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Audit" sheetId="2" state="visible" r:id="rId2"/>
    <sheet name="Cable Schedule" sheetId="3" state="visible" r:id="rId3"/>
    <sheet name="Cable BOM" sheetId="4" state="visible" r:id="rId4"/>
    <sheet name="Accessories" sheetId="5" state="visible" r:id="rId5"/>
    <sheet name="Summary" sheetId="6" state="visible" r:id="rId6"/>
    <sheet name="Load List" sheetId="7" state="visible" r:id="rId7"/>
  </sheets>
  <definedNames>
    <definedName name="_xlnm._FilterDatabase" localSheetId="2" hidden="1">'Cable Schedule'!$A$1:$AA$5696</definedName>
  </definedNames>
  <calcPr calcId="124519"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Arial"/>
      <b val="1"/>
      <sz val="12"/>
    </font>
    <font>
      <name val="Arial"/>
      <sz val="10"/>
    </font>
    <font>
      <name val="Arial"/>
      <b val="1"/>
      <sz val="10"/>
    </font>
    <font>
      <name val="Arial"/>
      <b val="1"/>
      <color rgb="000000FF"/>
    </font>
    <font>
      <name val="Arial"/>
      <b val="1"/>
    </font>
    <font>
      <name val="Arial"/>
      <b val="1"/>
      <color rgb="00FFFFFF"/>
      <sz val="9"/>
    </font>
    <font>
      <name val="Arial"/>
      <sz val="9"/>
    </font>
    <font>
      <name val="Arial"/>
      <color rgb="00008000"/>
      <sz val="9"/>
    </font>
    <font>
      <name val="Arial"/>
      <color rgb="000000FF"/>
      <sz val="9"/>
    </font>
    <font>
      <name val="Arial"/>
      <i val="1"/>
      <sz val="9"/>
    </font>
    <font>
      <name val="Arial"/>
      <b val="1"/>
      <sz val="11"/>
    </font>
    <font>
      <name val="Arial"/>
      <b val="1"/>
      <sz val="9"/>
    </font>
    <font>
      <name val="Arial"/>
      <b val="1"/>
      <color rgb="00008000"/>
      <sz val="9"/>
    </font>
    <font>
      <name val="Arial"/>
      <b val="1"/>
      <color rgb="00B07000"/>
      <sz val="9"/>
    </font>
    <font>
      <name val="Arial"/>
      <b val="1"/>
      <color rgb="00404040"/>
      <sz val="9"/>
    </font>
  </fonts>
  <fills count="4">
    <fill>
      <patternFill/>
    </fill>
    <fill>
      <patternFill patternType="gray125"/>
    </fill>
    <fill>
      <patternFill patternType="solid">
        <fgColor rgb="00FFFF00"/>
      </patternFill>
    </fill>
    <fill>
      <patternFill patternType="solid">
        <fgColor rgb="001F2A33"/>
      </patternFill>
    </fill>
  </fills>
  <borders count="1">
    <border>
      <left/>
      <right/>
      <top/>
      <bottom/>
      <diagonal/>
    </border>
  </borders>
  <cellStyleXfs count="1">
    <xf numFmtId="0" fontId="0" fillId="0" borderId="0"/>
  </cellStyleXfs>
  <cellXfs count="31">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xf numFmtId="9" fontId="4" fillId="2" borderId="0" pivotButton="0" quotePrefix="0" xfId="0"/>
    <xf numFmtId="0" fontId="4" fillId="2" borderId="0" pivotButton="0" quotePrefix="0" xfId="0"/>
    <xf numFmtId="0" fontId="5" fillId="0" borderId="0" applyAlignment="1" pivotButton="0" quotePrefix="0" xfId="0">
      <alignment vertical="top" wrapText="1"/>
    </xf>
    <xf numFmtId="0" fontId="2" fillId="0" borderId="0" pivotButton="0" quotePrefix="0" xfId="0"/>
    <xf numFmtId="0" fontId="6" fillId="3" borderId="0" pivotButton="0" quotePrefix="0" xfId="0"/>
    <xf numFmtId="0" fontId="7" fillId="0" borderId="0" applyAlignment="1" pivotButton="0" quotePrefix="0" xfId="0">
      <alignment vertical="top" wrapText="1"/>
    </xf>
    <xf numFmtId="0" fontId="13" fillId="0" borderId="0" pivotButton="0" quotePrefix="0" xfId="0"/>
    <xf numFmtId="0" fontId="7" fillId="0" borderId="0" pivotButton="0" quotePrefix="0" xfId="0"/>
    <xf numFmtId="0" fontId="14" fillId="0" borderId="0" pivotButton="0" quotePrefix="0" xfId="0"/>
    <xf numFmtId="0" fontId="15" fillId="0" borderId="0" pivotButton="0" quotePrefix="0" xfId="0"/>
    <xf numFmtId="0" fontId="6" fillId="3" borderId="0" applyAlignment="1" pivotButton="0" quotePrefix="0" xfId="0">
      <alignment vertical="center" wrapText="1"/>
    </xf>
    <xf numFmtId="3" fontId="7" fillId="0" borderId="0" pivotButton="0" quotePrefix="0" xfId="0"/>
    <xf numFmtId="0" fontId="8" fillId="0" borderId="0" pivotButton="0" quotePrefix="0" xfId="0"/>
    <xf numFmtId="3" fontId="8" fillId="0" borderId="0" pivotButton="0" quotePrefix="0" xfId="0"/>
    <xf numFmtId="9" fontId="8" fillId="0" borderId="0" pivotButton="0" quotePrefix="0" xfId="0"/>
    <xf numFmtId="3" fontId="9" fillId="0" borderId="0" pivotButton="0" quotePrefix="0" xfId="0"/>
    <xf numFmtId="164" fontId="7" fillId="0" borderId="0" pivotButton="0" quotePrefix="0" xfId="0"/>
    <xf numFmtId="0" fontId="5" fillId="0" borderId="0" pivotButton="0" quotePrefix="0" xfId="0"/>
    <xf numFmtId="3" fontId="5" fillId="0" borderId="0" pivotButton="0" quotePrefix="0" xfId="0"/>
    <xf numFmtId="164" fontId="5" fillId="0" borderId="0" pivotButton="0" quotePrefix="0" xfId="0"/>
    <xf numFmtId="0" fontId="10" fillId="0" borderId="0" pivotButton="0" quotePrefix="0" xfId="0"/>
    <xf numFmtId="0" fontId="11" fillId="0" borderId="0" pivotButton="0" quotePrefix="0" xfId="0"/>
    <xf numFmtId="0" fontId="6" fillId="3" borderId="0" applyAlignment="1" pivotButton="0" quotePrefix="0" xfId="0">
      <alignment wrapText="1"/>
    </xf>
    <xf numFmtId="3" fontId="12" fillId="0" borderId="0" pivotButton="0" quotePrefix="0" xfId="0"/>
    <xf numFmtId="164" fontId="12" fillId="0" borderId="0" pivotButton="0" quotePrefix="0" xfId="0"/>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120" customWidth="1" min="1" max="1"/>
    <col width="10" customWidth="1" min="2" max="2"/>
    <col width="45" customWidth="1" min="3" max="3"/>
  </cols>
  <sheetData>
    <row r="1">
      <c r="A1" s="1" t="inlineStr">
        <is>
          <t>SK-3X1 Rev 14 gas power campus: cable schedule and cable bill of materials</t>
        </is>
      </c>
    </row>
    <row r="2">
      <c r="A2" s="2" t="inlineStr">
        <is>
          <t>Conceptual, derived from the SK-3X1 3D model. Not engineered, not for construction or procurement.</t>
        </is>
      </c>
    </row>
    <row r="3">
      <c r="A3" s="2" t="inlineStr"/>
    </row>
    <row r="4">
      <c r="A4" s="3" t="inlineStr">
        <is>
          <t>How it was built</t>
        </is>
      </c>
    </row>
    <row r="5">
      <c r="A5" s="2" t="inlineStr">
        <is>
          <t>1. Every powered item of the model (BTM data-centre option excluded) is matched to an equipment class that gives its power circuits (voltage, typical rating, source bus) and its field devices (motors, MOVs, analog and discrete instruments, solenoids, thermocouples, RTDs; typical counts for the class). Each device has its own cable to its MCC or to a local junction box; junction boxes home-run on 24-pair / 12-triad / 25-conductor cables. Device-to-JB cables are grouped per JB (Sets = number of device cables). Ratings are typical unless the drawing states one.</t>
        </is>
      </c>
    </row>
    <row r="6">
      <c r="A6" s="2" t="inlineStr">
        <is>
          <t>2. Lengths follow the model's electrical routes (trays, duct banks, buried / surface cable, trenches) as a graph: shortest path source to load, plus drops and vertical transitions. 230 kV circuits, overhead conductors and the ground grid are measured directly from the model.</t>
        </is>
      </c>
    </row>
    <row r="7">
      <c r="A7" s="2" t="inlineStr">
        <is>
          <t>3. Sizes: ampacity at 125 % of full-load current (NEC 310.16 75 C Cu for 600 V; typical ICEA values for MV-105), 3 % voltage drop at 480 V, parallel sets above 500 kcmil (LV) / 1000 kcmil (MV).</t>
        </is>
      </c>
    </row>
    <row r="8">
      <c r="A8" s="2" t="inlineStr">
        <is>
          <t>4. Products are typical Southwire families for each application; confirm constructions, sizes and listings against current Southwire specifications.</t>
        </is>
      </c>
    </row>
    <row r="9">
      <c r="A9" s="2" t="inlineStr"/>
    </row>
    <row r="10">
      <c r="A10" s="2" t="inlineStr">
        <is>
          <t>5. 0 of 5695 runs could not follow a modelled route (Route type 'Estimated'): L-shaped length between the items plus 40 ft.</t>
        </is>
      </c>
    </row>
    <row r="11">
      <c r="A11" s="3" t="inlineStr">
        <is>
          <t>Inputs (blue, yellow cells; every length and quantity recalculates)</t>
        </is>
      </c>
    </row>
    <row r="12">
      <c r="A12" s="4" t="inlineStr">
        <is>
          <t>Routing slack (training, sag, cutting)</t>
        </is>
      </c>
      <c r="B12" s="5" t="n">
        <v>0.1</v>
      </c>
      <c r="C12" t="inlineStr">
        <is>
          <t>Source: typical industry allowance (assumption)</t>
        </is>
      </c>
    </row>
    <row r="13">
      <c r="A13" s="4" t="inlineStr">
        <is>
          <t>Termination allowance per run end (ft)</t>
        </is>
      </c>
      <c r="B13" s="6" t="n">
        <v>10</v>
      </c>
      <c r="C13" t="inlineStr">
        <is>
          <t>Source: typical (assumption)</t>
        </is>
      </c>
    </row>
    <row r="14">
      <c r="A14" s="4" t="inlineStr">
        <is>
          <t>BOM waste / cut allowance</t>
        </is>
      </c>
      <c r="B14" s="5" t="n">
        <v>0.05</v>
      </c>
      <c r="C14" t="inlineStr">
        <is>
          <t>Source: typical (assumption)</t>
        </is>
      </c>
    </row>
    <row r="15">
      <c r="A15" s="4" t="n"/>
    </row>
    <row r="16">
      <c r="A16" s="7" t="inlineStr">
        <is>
          <t>Sheets</t>
        </is>
      </c>
    </row>
    <row r="17">
      <c r="A17" s="2" t="inlineStr">
        <is>
          <t>Cable Schedule: one row per cable run (from / to, service, product, size, sets, length)</t>
        </is>
      </c>
    </row>
    <row r="18">
      <c r="A18" s="2" t="inlineStr">
        <is>
          <t>Cable BOM: totals per product and size, waste, order length, reels (SUMIFS on the schedule)</t>
        </is>
      </c>
    </row>
    <row r="19">
      <c r="A19" s="2" t="inlineStr">
        <is>
          <t>Accessories: terminations, glands, lugs, splices (from the schedule)</t>
        </is>
      </c>
    </row>
    <row r="20">
      <c r="A20" s="2" t="inlineStr">
        <is>
          <t>Summary: cable length by zone and voltage class</t>
        </is>
      </c>
    </row>
    <row r="21">
      <c r="A21" s="2" t="inlineStr">
        <is>
          <t>Load List: the equipment, assumed ratings and sources behind the power circuits</t>
        </is>
      </c>
    </row>
    <row r="22">
      <c r="A22" s="4" t="n"/>
    </row>
    <row r="23">
      <c r="A23" s="7" t="inlineStr">
        <is>
          <t>Excluded from the cable BOM (bus duct, by others)</t>
        </is>
      </c>
    </row>
    <row r="24">
      <c r="A24" s="2" t="inlineStr">
        <is>
          <t>RICE PCM to MOD-EH bus tie: 13.8 kV, ~6,300 A</t>
        </is>
      </c>
    </row>
    <row r="25">
      <c r="A25" s="8" t="inlineStr">
        <is>
          <t>MOD-EH to T-MOD-1 LV side: 13.8 kV, ~5,000 A</t>
        </is>
      </c>
    </row>
    <row r="26">
      <c r="A26" s="8" t="inlineStr">
        <is>
          <t>MOD-EH to T-MOD-2 LV side: 13.8 kV, ~5,000 A</t>
        </is>
      </c>
    </row>
    <row r="27">
      <c r="A27" s="8" t="inlineStr">
        <is>
          <t>Generator terminals to GSU / UAT / ET (isolated-phase bus): 21 kV, as modelled (IPB routes)</t>
        </is>
      </c>
    </row>
    <row r="28">
      <c r="A28" s="8" t="inlineStr">
        <is>
          <t>T-R4-1..4 secondaries to the ACC VFD lineups: 480 V, ~4,500 A each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62" customWidth="1" min="1" max="1"/>
    <col width="9" customWidth="1" min="2" max="2"/>
    <col width="9" customWidth="1" min="3" max="3"/>
    <col width="110" customWidth="1" min="4" max="4"/>
  </cols>
  <sheetData>
    <row r="1">
      <c r="A1" s="9" t="inlineStr">
        <is>
          <t>Check</t>
        </is>
      </c>
      <c r="B1" s="9" t="inlineStr">
        <is>
          <t>Result</t>
        </is>
      </c>
      <c r="C1" s="9" t="inlineStr">
        <is>
          <t>Count</t>
        </is>
      </c>
      <c r="D1" s="9" t="inlineStr">
        <is>
          <t>Notes / examples</t>
        </is>
      </c>
    </row>
    <row r="2">
      <c r="A2" s="10" t="inlineStr">
        <is>
          <t>Every powered item has a power circuit (VFD lineups: bus duct; BESS blocks: per container)</t>
        </is>
      </c>
      <c r="B2" s="11" t="inlineStr">
        <is>
          <t>PASS</t>
        </is>
      </c>
      <c r="C2" s="12" t="n">
        <v>0</v>
      </c>
      <c r="D2" s="10" t="inlineStr"/>
    </row>
    <row r="3">
      <c r="A3" s="10" t="inlineStr">
        <is>
          <t>Every instrumented item has instrument cables</t>
        </is>
      </c>
      <c r="B3" s="11" t="inlineStr">
        <is>
          <t>PASS</t>
        </is>
      </c>
      <c r="C3" s="12" t="n">
        <v>0</v>
      </c>
      <c r="D3" s="10" t="inlineStr"/>
    </row>
    <row r="4">
      <c r="A4" s="10" t="inlineStr">
        <is>
          <t>No lump feeder where motors are fed individually (double count)</t>
        </is>
      </c>
      <c r="B4" s="11" t="inlineStr">
        <is>
          <t>PASS</t>
        </is>
      </c>
      <c r="C4" s="12" t="n">
        <v>0</v>
      </c>
      <c r="D4" s="10" t="inlineStr"/>
    </row>
    <row r="5">
      <c r="A5" s="10" t="inlineStr">
        <is>
          <t>Ampacity &gt;= 125 % of full-load current (recomputed)</t>
        </is>
      </c>
      <c r="B5" s="11" t="inlineStr">
        <is>
          <t>PASS</t>
        </is>
      </c>
      <c r="C5" s="12" t="n">
        <v>0</v>
      </c>
      <c r="D5" s="10" t="inlineStr"/>
    </row>
    <row r="6">
      <c r="A6" s="10" t="inlineStr">
        <is>
          <t>480 V voltage drop &lt;= 3 % (recomputed)</t>
        </is>
      </c>
      <c r="B6" s="13" t="inlineStr">
        <is>
          <t>CHECK</t>
        </is>
      </c>
      <c r="C6" s="12" t="n">
        <v>3</v>
      </c>
      <c r="D6" s="10" t="inlineStr">
        <is>
          <t>EDG-1 480 V output to EMCC 3.1%; EDG-2 480 V output to EMCC 3.3%; Fuel-cell AC cabinet to MOD-LV 5.7%</t>
        </is>
      </c>
    </row>
    <row r="7">
      <c r="A7" s="10" t="inlineStr">
        <is>
          <t>Class I Div 2 loads on ARMOR-X / IS cable</t>
        </is>
      </c>
      <c r="B7" s="11" t="inlineStr">
        <is>
          <t>PASS</t>
        </is>
      </c>
      <c r="C7" s="12" t="n">
        <v>0</v>
      </c>
      <c r="D7" s="10" t="inlineStr"/>
    </row>
    <row r="8">
      <c r="A8" s="10" t="inlineStr">
        <is>
          <t>Runs that follow a modelled route</t>
        </is>
      </c>
      <c r="B8" s="14" t="inlineStr">
        <is>
          <t>INFO</t>
        </is>
      </c>
      <c r="C8" s="12" t="n">
        <v>5695</v>
      </c>
      <c r="D8" s="10" t="inlineStr">
        <is>
          <t>0 estimated (build-out bays D4-D6 and utilities without drawn trench / bank)</t>
        </is>
      </c>
    </row>
    <row r="9">
      <c r="A9" s="10" t="inlineStr">
        <is>
          <t>Copper runs &gt; 3,000 ft</t>
        </is>
      </c>
      <c r="B9" s="14" t="inlineStr">
        <is>
          <t>INFO</t>
        </is>
      </c>
      <c r="C9" s="12" t="n">
        <v>114</v>
      </c>
      <c r="D9" s="10" t="inlineStr">
        <is>
          <t xml:space="preserve">Control; Motor 1 of 6: control / local ; Motor 2 of 6: control / local ; Motor 3 of 6: control / local </t>
        </is>
      </c>
    </row>
    <row r="10">
      <c r="A10" s="10" t="inlineStr">
        <is>
          <t>Feeders with &gt;= 6 parallel sets (bus-duct candidates)</t>
        </is>
      </c>
      <c r="B10" s="14" t="inlineStr">
        <is>
          <t>INFO</t>
        </is>
      </c>
      <c r="C10" s="12" t="n">
        <v>15</v>
      </c>
      <c r="D10" s="10" t="inlineStr">
        <is>
          <t>EDG-1 480 V output to EMCC x13; EDG-2 480 V output to EMCC x13; Site / road lighting: 120 pole x120; Black-start genset output x10</t>
        </is>
      </c>
    </row>
    <row r="11">
      <c r="A11" s="10" t="inlineStr">
        <is>
          <t>Excluded as bus duct</t>
        </is>
      </c>
      <c r="B11" s="14" t="inlineStr">
        <is>
          <t>INFO</t>
        </is>
      </c>
      <c r="C11" s="12" t="n">
        <v>5</v>
      </c>
      <c r="D11" s="10" t="inlineStr">
        <is>
          <t>RICE PCM to MOD-EH bus tie; MOD-EH to T-MOD-1 LV side; MOD-EH to T-MOD-2 LV side; Generator terminals to GSU / UAT / ET (isolated-phase bus); T-R4-1..4 secondaries to the ACC VFD lineups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5696"/>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2" customWidth="1" min="1" max="1"/>
    <col width="6" customWidth="1" min="2" max="2"/>
    <col width="20" customWidth="1" min="3" max="3"/>
    <col width="46" customWidth="1" min="4" max="4"/>
    <col width="12" customWidth="1" min="5" max="5"/>
    <col width="34" customWidth="1" min="6" max="6"/>
    <col width="12" customWidth="1" min="7" max="7"/>
    <col width="34" customWidth="1" min="8" max="8"/>
    <col width="14" customWidth="1" min="9" max="9"/>
    <col width="52" customWidth="1" min="10" max="10"/>
    <col width="22" customWidth="1" min="11" max="11"/>
    <col width="10" customWidth="1" min="12" max="12"/>
    <col width="12" customWidth="1" min="13" max="13"/>
    <col width="6" customWidth="1" min="14" max="14"/>
    <col width="7" customWidth="1" min="15" max="15"/>
    <col width="9" customWidth="1" min="16" max="16"/>
    <col width="9" customWidth="1" min="17" max="17"/>
    <col width="9" customWidth="1" min="18" max="18"/>
    <col width="13" customWidth="1" min="19" max="19"/>
    <col width="9" customWidth="1" min="20" max="20"/>
    <col width="10" customWidth="1" min="21" max="21"/>
    <col width="10" customWidth="1" min="22" max="22"/>
    <col width="12" customWidth="1" min="23" max="23"/>
    <col width="8" customWidth="1" min="24" max="24"/>
    <col width="9" customWidth="1" min="25" max="25"/>
    <col width="30" customWidth="1" min="26" max="26"/>
    <col width="9" customWidth="1" min="27" max="27"/>
  </cols>
  <sheetData>
    <row r="1">
      <c r="A1" s="15" t="inlineStr">
        <is>
          <t>Cable No.</t>
        </is>
      </c>
      <c r="B1" s="15" t="inlineStr">
        <is>
          <t>Zone</t>
        </is>
      </c>
      <c r="C1" s="15" t="inlineStr">
        <is>
          <t>Area</t>
        </is>
      </c>
      <c r="D1" s="15" t="inlineStr">
        <is>
          <t>Service / circuit</t>
        </is>
      </c>
      <c r="E1" s="15" t="inlineStr">
        <is>
          <t>From (tag)</t>
        </is>
      </c>
      <c r="F1" s="15" t="inlineStr">
        <is>
          <t>From (description)</t>
        </is>
      </c>
      <c r="G1" s="15" t="inlineStr">
        <is>
          <t>To (tag)</t>
        </is>
      </c>
      <c r="H1" s="15" t="inlineStr">
        <is>
          <t>To (description)</t>
        </is>
      </c>
      <c r="I1" s="15" t="inlineStr">
        <is>
          <t>Class</t>
        </is>
      </c>
      <c r="J1" s="15" t="inlineStr">
        <is>
          <t>Product</t>
        </is>
      </c>
      <c r="K1" s="15" t="inlineStr">
        <is>
          <t>Product key</t>
        </is>
      </c>
      <c r="L1" s="15" t="inlineStr">
        <is>
          <t>Conductors</t>
        </is>
      </c>
      <c r="M1" s="15" t="inlineStr">
        <is>
          <t>Size (AWG/kcmil)</t>
        </is>
      </c>
      <c r="N1" s="15" t="inlineStr">
        <is>
          <t>Sets</t>
        </is>
      </c>
      <c r="O1" s="15" t="inlineStr">
        <is>
          <t>Cables / set</t>
        </is>
      </c>
      <c r="P1" s="15" t="inlineStr">
        <is>
          <t>Voltage (V)</t>
        </is>
      </c>
      <c r="Q1" s="15" t="inlineStr">
        <is>
          <t>Load (kW)</t>
        </is>
      </c>
      <c r="R1" s="15" t="inlineStr">
        <is>
          <t>Current (A)</t>
        </is>
      </c>
      <c r="S1" s="15" t="inlineStr">
        <is>
          <t>Route type</t>
        </is>
      </c>
      <c r="T1" s="15" t="inlineStr">
        <is>
          <t>Route (ft)</t>
        </is>
      </c>
      <c r="U1" s="15" t="inlineStr">
        <is>
          <t>Drops + vertical (ft)</t>
        </is>
      </c>
      <c r="V1" s="15" t="inlineStr">
        <is>
          <t>Run length (ft)</t>
        </is>
      </c>
      <c r="W1" s="15" t="inlineStr">
        <is>
          <t>Total cable (ft)</t>
        </is>
      </c>
      <c r="X1" s="15" t="inlineStr">
        <is>
          <t>MV term. kits</t>
        </is>
      </c>
      <c r="Y1" s="15" t="inlineStr">
        <is>
          <t>Glands / connectors</t>
        </is>
      </c>
      <c r="Z1" s="15" t="inlineStr">
        <is>
          <t>Notes</t>
        </is>
      </c>
      <c r="AA1" s="15" t="inlineStr">
        <is>
          <t>Cables (count)</t>
        </is>
      </c>
    </row>
    <row r="2">
      <c r="A2" s="12" t="inlineStr">
        <is>
          <t>A-L-0001</t>
        </is>
      </c>
      <c r="B2" s="12" t="inlineStr">
        <is>
          <t>A</t>
        </is>
      </c>
      <c r="C2" s="12" t="inlineStr">
        <is>
          <t>Power block</t>
        </is>
      </c>
      <c r="D2" s="12" t="inlineStr">
        <is>
          <t>Lighting, receptacles and small power branch circuits (allowance)</t>
        </is>
      </c>
      <c r="E2" s="12" t="inlineStr">
        <is>
          <t>CEMS-1</t>
        </is>
      </c>
      <c r="F2" s="12" t="inlineStr">
        <is>
          <t>CEMS shelter, HRSG 1</t>
        </is>
      </c>
      <c r="G2" s="12" t="inlineStr">
        <is>
          <t>CEMS-1</t>
        </is>
      </c>
      <c r="H2" s="12" t="inlineStr">
        <is>
          <t>CEMS shelter, HRSG 1</t>
        </is>
      </c>
      <c r="I2" s="12" t="inlineStr">
        <is>
          <t>Building wire</t>
        </is>
      </c>
      <c r="J2" s="12" t="inlineStr">
        <is>
          <t>SIMpull THHN/THWN-2 600 V 1/C Cu (lighting, receptacles, small power)</t>
        </is>
      </c>
      <c r="K2" s="12" t="inlineStr">
        <is>
          <t>THHN|1/C|12</t>
        </is>
      </c>
      <c r="L2" s="12" t="inlineStr">
        <is>
          <t>1/C</t>
        </is>
      </c>
      <c r="M2" s="12" t="inlineStr">
        <is>
          <t>12</t>
        </is>
      </c>
      <c r="N2" s="12" t="n">
        <v>1</v>
      </c>
      <c r="O2" s="12" t="n">
        <v>1</v>
      </c>
      <c r="P2" s="12" t="n">
        <v>277</v>
      </c>
      <c r="Q2" s="12" t="n"/>
      <c r="R2" s="12" t="n"/>
      <c r="S2" s="12" t="inlineStr">
        <is>
          <t>Conduit</t>
        </is>
      </c>
      <c r="T2" s="16" t="n">
        <v>358</v>
      </c>
      <c r="U2" s="16" t="n">
        <v>0</v>
      </c>
      <c r="V2" s="16">
        <f>ROUNDUP((T2+U2+2*'Read Me'!$B$13)*(1+'Read Me'!$B$12),-1)</f>
        <v/>
      </c>
      <c r="W2" s="16">
        <f>V2*N2*O2</f>
        <v/>
      </c>
      <c r="X2" s="12">
        <f>IF(LEFT(I2,2)="MV",2*N2*IF(L2="1/C",O2,1),0)</f>
        <v/>
      </c>
      <c r="Y2" s="12">
        <f>IF(OR(LEFT(K2,4)="LVAX",LEFT(K2,6)="MV15AX",LEFT(K2,4)="CTAX",LEFT(K2,2)="W|"),2*N2*O2,0)</f>
        <v/>
      </c>
      <c r="Z2" s="12" t="inlineStr">
        <is>
          <t>allowance: 1.6 ft of conductor per ft2 of floor</t>
        </is>
      </c>
      <c r="AA2" s="12">
        <f>N2*O2</f>
        <v/>
      </c>
    </row>
    <row r="3">
      <c r="A3" s="12" t="inlineStr">
        <is>
          <t>A-L-0002</t>
        </is>
      </c>
      <c r="B3" s="12" t="inlineStr">
        <is>
          <t>A</t>
        </is>
      </c>
      <c r="C3" s="12" t="inlineStr">
        <is>
          <t>Power block</t>
        </is>
      </c>
      <c r="D3" s="12" t="inlineStr">
        <is>
          <t>Lighting, receptacles and small power branch circuits (allowance)</t>
        </is>
      </c>
      <c r="E3" s="12" t="inlineStr">
        <is>
          <t>CEMS-2</t>
        </is>
      </c>
      <c r="F3" s="12" t="inlineStr">
        <is>
          <t>CEMS shelter, HRSG 2</t>
        </is>
      </c>
      <c r="G3" s="12" t="inlineStr">
        <is>
          <t>CEMS-2</t>
        </is>
      </c>
      <c r="H3" s="12" t="inlineStr">
        <is>
          <t>CEMS shelter, HRSG 2</t>
        </is>
      </c>
      <c r="I3" s="12" t="inlineStr">
        <is>
          <t>Building wire</t>
        </is>
      </c>
      <c r="J3" s="12" t="inlineStr">
        <is>
          <t>SIMpull THHN/THWN-2 600 V 1/C Cu (lighting, receptacles, small power)</t>
        </is>
      </c>
      <c r="K3" s="12" t="inlineStr">
        <is>
          <t>THHN|1/C|12</t>
        </is>
      </c>
      <c r="L3" s="12" t="inlineStr">
        <is>
          <t>1/C</t>
        </is>
      </c>
      <c r="M3" s="12" t="inlineStr">
        <is>
          <t>12</t>
        </is>
      </c>
      <c r="N3" s="12" t="n">
        <v>1</v>
      </c>
      <c r="O3" s="12" t="n">
        <v>1</v>
      </c>
      <c r="P3" s="12" t="n">
        <v>277</v>
      </c>
      <c r="Q3" s="12" t="n"/>
      <c r="R3" s="12" t="n"/>
      <c r="S3" s="12" t="inlineStr">
        <is>
          <t>Conduit</t>
        </is>
      </c>
      <c r="T3" s="16" t="n">
        <v>358</v>
      </c>
      <c r="U3" s="16" t="n">
        <v>0</v>
      </c>
      <c r="V3" s="16">
        <f>ROUNDUP((T3+U3+2*'Read Me'!$B$13)*(1+'Read Me'!$B$12),-1)</f>
        <v/>
      </c>
      <c r="W3" s="16">
        <f>V3*N3*O3</f>
        <v/>
      </c>
      <c r="X3" s="12">
        <f>IF(LEFT(I3,2)="MV",2*N3*IF(L3="1/C",O3,1),0)</f>
        <v/>
      </c>
      <c r="Y3" s="12">
        <f>IF(OR(LEFT(K3,4)="LVAX",LEFT(K3,6)="MV15AX",LEFT(K3,4)="CTAX",LEFT(K3,2)="W|"),2*N3*O3,0)</f>
        <v/>
      </c>
      <c r="Z3" s="12" t="inlineStr">
        <is>
          <t>allowance: 1.6 ft of conductor per ft2 of floor</t>
        </is>
      </c>
      <c r="AA3" s="12">
        <f>N3*O3</f>
        <v/>
      </c>
    </row>
    <row r="4">
      <c r="A4" s="12" t="inlineStr">
        <is>
          <t>A-L-0003</t>
        </is>
      </c>
      <c r="B4" s="12" t="inlineStr">
        <is>
          <t>A</t>
        </is>
      </c>
      <c r="C4" s="12" t="inlineStr">
        <is>
          <t>Power block</t>
        </is>
      </c>
      <c r="D4" s="12" t="inlineStr">
        <is>
          <t>Lighting, receptacles and small power branch circuits (allowance)</t>
        </is>
      </c>
      <c r="E4" s="12" t="inlineStr">
        <is>
          <t>CEMS-3</t>
        </is>
      </c>
      <c r="F4" s="12" t="inlineStr">
        <is>
          <t>CEMS shelter, HRSG 3</t>
        </is>
      </c>
      <c r="G4" s="12" t="inlineStr">
        <is>
          <t>CEMS-3</t>
        </is>
      </c>
      <c r="H4" s="12" t="inlineStr">
        <is>
          <t>CEMS shelter, HRSG 3</t>
        </is>
      </c>
      <c r="I4" s="12" t="inlineStr">
        <is>
          <t>Building wire</t>
        </is>
      </c>
      <c r="J4" s="12" t="inlineStr">
        <is>
          <t>SIMpull THHN/THWN-2 600 V 1/C Cu (lighting, receptacles, small power)</t>
        </is>
      </c>
      <c r="K4" s="12" t="inlineStr">
        <is>
          <t>THHN|1/C|12</t>
        </is>
      </c>
      <c r="L4" s="12" t="inlineStr">
        <is>
          <t>1/C</t>
        </is>
      </c>
      <c r="M4" s="12" t="inlineStr">
        <is>
          <t>12</t>
        </is>
      </c>
      <c r="N4" s="12" t="n">
        <v>1</v>
      </c>
      <c r="O4" s="12" t="n">
        <v>1</v>
      </c>
      <c r="P4" s="12" t="n">
        <v>277</v>
      </c>
      <c r="Q4" s="12" t="n"/>
      <c r="R4" s="12" t="n"/>
      <c r="S4" s="12" t="inlineStr">
        <is>
          <t>Conduit</t>
        </is>
      </c>
      <c r="T4" s="16" t="n">
        <v>358</v>
      </c>
      <c r="U4" s="16" t="n">
        <v>0</v>
      </c>
      <c r="V4" s="16">
        <f>ROUNDUP((T4+U4+2*'Read Me'!$B$13)*(1+'Read Me'!$B$12),-1)</f>
        <v/>
      </c>
      <c r="W4" s="16">
        <f>V4*N4*O4</f>
        <v/>
      </c>
      <c r="X4" s="12">
        <f>IF(LEFT(I4,2)="MV",2*N4*IF(L4="1/C",O4,1),0)</f>
        <v/>
      </c>
      <c r="Y4" s="12">
        <f>IF(OR(LEFT(K4,4)="LVAX",LEFT(K4,6)="MV15AX",LEFT(K4,4)="CTAX",LEFT(K4,2)="W|"),2*N4*O4,0)</f>
        <v/>
      </c>
      <c r="Z4" s="12" t="inlineStr">
        <is>
          <t>allowance: 1.6 ft of conductor per ft2 of floor</t>
        </is>
      </c>
      <c r="AA4" s="12">
        <f>N4*O4</f>
        <v/>
      </c>
    </row>
    <row r="5">
      <c r="A5" s="12" t="inlineStr">
        <is>
          <t>A-L-0004</t>
        </is>
      </c>
      <c r="B5" s="12" t="inlineStr">
        <is>
          <t>A</t>
        </is>
      </c>
      <c r="C5" s="12" t="inlineStr">
        <is>
          <t>Power block</t>
        </is>
      </c>
      <c r="D5" s="12" t="inlineStr">
        <is>
          <t>Lighting, receptacles and small power branch circuits (allowance)</t>
        </is>
      </c>
      <c r="E5" s="12" t="inlineStr">
        <is>
          <t>FH-1</t>
        </is>
      </c>
      <c r="F5" s="12" t="inlineStr">
        <is>
          <t>FH-1: GT inlet filter house on its own frame</t>
        </is>
      </c>
      <c r="G5" s="12" t="inlineStr">
        <is>
          <t>FH-1</t>
        </is>
      </c>
      <c r="H5" s="12" t="inlineStr">
        <is>
          <t>FH-1: GT inlet filter house on its own frame</t>
        </is>
      </c>
      <c r="I5" s="12" t="inlineStr">
        <is>
          <t>Building wire</t>
        </is>
      </c>
      <c r="J5" s="12" t="inlineStr">
        <is>
          <t>SIMpull THHN/THWN-2 600 V 1/C Cu (lighting, receptacles, small power)</t>
        </is>
      </c>
      <c r="K5" s="12" t="inlineStr">
        <is>
          <t>THHN|1/C|12</t>
        </is>
      </c>
      <c r="L5" s="12" t="inlineStr">
        <is>
          <t>1/C</t>
        </is>
      </c>
      <c r="M5" s="12" t="inlineStr">
        <is>
          <t>12</t>
        </is>
      </c>
      <c r="N5" s="12" t="n">
        <v>1</v>
      </c>
      <c r="O5" s="12" t="n">
        <v>1</v>
      </c>
      <c r="P5" s="12" t="n">
        <v>277</v>
      </c>
      <c r="Q5" s="12" t="n"/>
      <c r="R5" s="12" t="n"/>
      <c r="S5" s="12" t="inlineStr">
        <is>
          <t>Conduit</t>
        </is>
      </c>
      <c r="T5" s="16" t="n">
        <v>4973</v>
      </c>
      <c r="U5" s="16" t="n">
        <v>0</v>
      </c>
      <c r="V5" s="16">
        <f>ROUNDUP((T5+U5+2*'Read Me'!$B$13)*(1+'Read Me'!$B$12),-1)</f>
        <v/>
      </c>
      <c r="W5" s="16">
        <f>V5*N5*O5</f>
        <v/>
      </c>
      <c r="X5" s="12">
        <f>IF(LEFT(I5,2)="MV",2*N5*IF(L5="1/C",O5,1),0)</f>
        <v/>
      </c>
      <c r="Y5" s="12">
        <f>IF(OR(LEFT(K5,4)="LVAX",LEFT(K5,6)="MV15AX",LEFT(K5,4)="CTAX",LEFT(K5,2)="W|"),2*N5*O5,0)</f>
        <v/>
      </c>
      <c r="Z5" s="12" t="inlineStr">
        <is>
          <t>allowance: 1.6 ft of conductor per ft2 of floor</t>
        </is>
      </c>
      <c r="AA5" s="12">
        <f>N5*O5</f>
        <v/>
      </c>
    </row>
    <row r="6">
      <c r="A6" s="12" t="inlineStr">
        <is>
          <t>A-L-0005</t>
        </is>
      </c>
      <c r="B6" s="12" t="inlineStr">
        <is>
          <t>A</t>
        </is>
      </c>
      <c r="C6" s="12" t="inlineStr">
        <is>
          <t>Power block</t>
        </is>
      </c>
      <c r="D6" s="12" t="inlineStr">
        <is>
          <t>Lighting, receptacles and small power branch circuits (allowance)</t>
        </is>
      </c>
      <c r="E6" s="12" t="inlineStr">
        <is>
          <t>FH-2</t>
        </is>
      </c>
      <c r="F6" s="12" t="inlineStr">
        <is>
          <t>FH-2: GT inlet filter house on its own frame</t>
        </is>
      </c>
      <c r="G6" s="12" t="inlineStr">
        <is>
          <t>FH-2</t>
        </is>
      </c>
      <c r="H6" s="12" t="inlineStr">
        <is>
          <t>FH-2: GT inlet filter house on its own frame</t>
        </is>
      </c>
      <c r="I6" s="12" t="inlineStr">
        <is>
          <t>Building wire</t>
        </is>
      </c>
      <c r="J6" s="12" t="inlineStr">
        <is>
          <t>SIMpull THHN/THWN-2 600 V 1/C Cu (lighting, receptacles, small power)</t>
        </is>
      </c>
      <c r="K6" s="12" t="inlineStr">
        <is>
          <t>THHN|1/C|12</t>
        </is>
      </c>
      <c r="L6" s="12" t="inlineStr">
        <is>
          <t>1/C</t>
        </is>
      </c>
      <c r="M6" s="12" t="inlineStr">
        <is>
          <t>12</t>
        </is>
      </c>
      <c r="N6" s="12" t="n">
        <v>1</v>
      </c>
      <c r="O6" s="12" t="n">
        <v>1</v>
      </c>
      <c r="P6" s="12" t="n">
        <v>277</v>
      </c>
      <c r="Q6" s="12" t="n"/>
      <c r="R6" s="12" t="n"/>
      <c r="S6" s="12" t="inlineStr">
        <is>
          <t>Conduit</t>
        </is>
      </c>
      <c r="T6" s="16" t="n">
        <v>4973</v>
      </c>
      <c r="U6" s="16" t="n">
        <v>0</v>
      </c>
      <c r="V6" s="16">
        <f>ROUNDUP((T6+U6+2*'Read Me'!$B$13)*(1+'Read Me'!$B$12),-1)</f>
        <v/>
      </c>
      <c r="W6" s="16">
        <f>V6*N6*O6</f>
        <v/>
      </c>
      <c r="X6" s="12">
        <f>IF(LEFT(I6,2)="MV",2*N6*IF(L6="1/C",O6,1),0)</f>
        <v/>
      </c>
      <c r="Y6" s="12">
        <f>IF(OR(LEFT(K6,4)="LVAX",LEFT(K6,6)="MV15AX",LEFT(K6,4)="CTAX",LEFT(K6,2)="W|"),2*N6*O6,0)</f>
        <v/>
      </c>
      <c r="Z6" s="12" t="inlineStr">
        <is>
          <t>allowance: 1.6 ft of conductor per ft2 of floor</t>
        </is>
      </c>
      <c r="AA6" s="12">
        <f>N6*O6</f>
        <v/>
      </c>
    </row>
    <row r="7">
      <c r="A7" s="12" t="inlineStr">
        <is>
          <t>A-L-0006</t>
        </is>
      </c>
      <c r="B7" s="12" t="inlineStr">
        <is>
          <t>A</t>
        </is>
      </c>
      <c r="C7" s="12" t="inlineStr">
        <is>
          <t>Power block</t>
        </is>
      </c>
      <c r="D7" s="12" t="inlineStr">
        <is>
          <t>Lighting, receptacles and small power branch circuits (allowance)</t>
        </is>
      </c>
      <c r="E7" s="12" t="inlineStr">
        <is>
          <t>FH-3</t>
        </is>
      </c>
      <c r="F7" s="12" t="inlineStr">
        <is>
          <t>FH-3: GT inlet filter house on its own frame</t>
        </is>
      </c>
      <c r="G7" s="12" t="inlineStr">
        <is>
          <t>FH-3</t>
        </is>
      </c>
      <c r="H7" s="12" t="inlineStr">
        <is>
          <t>FH-3: GT inlet filter house on its own frame</t>
        </is>
      </c>
      <c r="I7" s="12" t="inlineStr">
        <is>
          <t>Building wire</t>
        </is>
      </c>
      <c r="J7" s="12" t="inlineStr">
        <is>
          <t>SIMpull THHN/THWN-2 600 V 1/C Cu (lighting, receptacles, small power)</t>
        </is>
      </c>
      <c r="K7" s="12" t="inlineStr">
        <is>
          <t>THHN|1/C|12</t>
        </is>
      </c>
      <c r="L7" s="12" t="inlineStr">
        <is>
          <t>1/C</t>
        </is>
      </c>
      <c r="M7" s="12" t="inlineStr">
        <is>
          <t>12</t>
        </is>
      </c>
      <c r="N7" s="12" t="n">
        <v>1</v>
      </c>
      <c r="O7" s="12" t="n">
        <v>1</v>
      </c>
      <c r="P7" s="12" t="n">
        <v>277</v>
      </c>
      <c r="Q7" s="12" t="n"/>
      <c r="R7" s="12" t="n"/>
      <c r="S7" s="12" t="inlineStr">
        <is>
          <t>Conduit</t>
        </is>
      </c>
      <c r="T7" s="16" t="n">
        <v>4973</v>
      </c>
      <c r="U7" s="16" t="n">
        <v>0</v>
      </c>
      <c r="V7" s="16">
        <f>ROUNDUP((T7+U7+2*'Read Me'!$B$13)*(1+'Read Me'!$B$12),-1)</f>
        <v/>
      </c>
      <c r="W7" s="16">
        <f>V7*N7*O7</f>
        <v/>
      </c>
      <c r="X7" s="12">
        <f>IF(LEFT(I7,2)="MV",2*N7*IF(L7="1/C",O7,1),0)</f>
        <v/>
      </c>
      <c r="Y7" s="12">
        <f>IF(OR(LEFT(K7,4)="LVAX",LEFT(K7,6)="MV15AX",LEFT(K7,4)="CTAX",LEFT(K7,2)="W|"),2*N7*O7,0)</f>
        <v/>
      </c>
      <c r="Z7" s="12" t="inlineStr">
        <is>
          <t>allowance: 1.6 ft of conductor per ft2 of floor</t>
        </is>
      </c>
      <c r="AA7" s="12">
        <f>N7*O7</f>
        <v/>
      </c>
    </row>
    <row r="8">
      <c r="A8" s="12" t="inlineStr">
        <is>
          <t>A-L-0007</t>
        </is>
      </c>
      <c r="B8" s="12" t="inlineStr">
        <is>
          <t>A</t>
        </is>
      </c>
      <c r="C8" s="12" t="inlineStr">
        <is>
          <t>Power block</t>
        </is>
      </c>
      <c r="D8" s="12" t="inlineStr">
        <is>
          <t>Lighting, receptacles and small power branch circuits (allowance)</t>
        </is>
      </c>
      <c r="E8" s="12" t="inlineStr">
        <is>
          <t>R1</t>
        </is>
      </c>
      <c r="F8" s="12" t="inlineStr">
        <is>
          <t>R1: main electrical building (64 x 180 ft)</t>
        </is>
      </c>
      <c r="G8" s="12" t="inlineStr">
        <is>
          <t>R1</t>
        </is>
      </c>
      <c r="H8" s="12" t="inlineStr">
        <is>
          <t>R1: main electrical building (64 x 180 ft)</t>
        </is>
      </c>
      <c r="I8" s="12" t="inlineStr">
        <is>
          <t>Building wire</t>
        </is>
      </c>
      <c r="J8" s="12" t="inlineStr">
        <is>
          <t>SIMpull THHN/THWN-2 600 V 1/C Cu (lighting, receptacles, small power)</t>
        </is>
      </c>
      <c r="K8" s="12" t="inlineStr">
        <is>
          <t>THHN|1/C|12</t>
        </is>
      </c>
      <c r="L8" s="12" t="inlineStr">
        <is>
          <t>1/C</t>
        </is>
      </c>
      <c r="M8" s="12" t="inlineStr">
        <is>
          <t>12</t>
        </is>
      </c>
      <c r="N8" s="12" t="n">
        <v>1</v>
      </c>
      <c r="O8" s="12" t="n">
        <v>1</v>
      </c>
      <c r="P8" s="12" t="n">
        <v>277</v>
      </c>
      <c r="Q8" s="12" t="n"/>
      <c r="R8" s="12" t="n"/>
      <c r="S8" s="12" t="inlineStr">
        <is>
          <t>Conduit</t>
        </is>
      </c>
      <c r="T8" s="16" t="n">
        <v>18432</v>
      </c>
      <c r="U8" s="16" t="n">
        <v>0</v>
      </c>
      <c r="V8" s="16">
        <f>ROUNDUP((T8+U8+2*'Read Me'!$B$13)*(1+'Read Me'!$B$12),-1)</f>
        <v/>
      </c>
      <c r="W8" s="16">
        <f>V8*N8*O8</f>
        <v/>
      </c>
      <c r="X8" s="12">
        <f>IF(LEFT(I8,2)="MV",2*N8*IF(L8="1/C",O8,1),0)</f>
        <v/>
      </c>
      <c r="Y8" s="12">
        <f>IF(OR(LEFT(K8,4)="LVAX",LEFT(K8,6)="MV15AX",LEFT(K8,4)="CTAX",LEFT(K8,2)="W|"),2*N8*O8,0)</f>
        <v/>
      </c>
      <c r="Z8" s="12" t="inlineStr">
        <is>
          <t>allowance: 1.6 ft of conductor per ft2 of floor</t>
        </is>
      </c>
      <c r="AA8" s="12">
        <f>N8*O8</f>
        <v/>
      </c>
    </row>
    <row r="9">
      <c r="A9" s="12" t="inlineStr">
        <is>
          <t>A-L-0008</t>
        </is>
      </c>
      <c r="B9" s="12" t="inlineStr">
        <is>
          <t>A</t>
        </is>
      </c>
      <c r="C9" s="12" t="inlineStr">
        <is>
          <t>Power block</t>
        </is>
      </c>
      <c r="D9" s="12" t="inlineStr">
        <is>
          <t>Lighting, receptacles and small power branch circuits (allowance)</t>
        </is>
      </c>
      <c r="E9" s="12" t="inlineStr">
        <is>
          <t>R2A</t>
        </is>
      </c>
      <c r="F9" s="12" t="inlineStr">
        <is>
          <t>R2A: unit / HRSG electrical e-house (32 x 40 ft)</t>
        </is>
      </c>
      <c r="G9" s="12" t="inlineStr">
        <is>
          <t>R2A</t>
        </is>
      </c>
      <c r="H9" s="12" t="inlineStr">
        <is>
          <t>R2A: unit / HRSG electrical e-house (32 x 40 ft)</t>
        </is>
      </c>
      <c r="I9" s="12" t="inlineStr">
        <is>
          <t>Building wire</t>
        </is>
      </c>
      <c r="J9" s="12" t="inlineStr">
        <is>
          <t>SIMpull THHN/THWN-2 600 V 1/C Cu (lighting, receptacles, small power)</t>
        </is>
      </c>
      <c r="K9" s="12" t="inlineStr">
        <is>
          <t>THHN|1/C|12</t>
        </is>
      </c>
      <c r="L9" s="12" t="inlineStr">
        <is>
          <t>1/C</t>
        </is>
      </c>
      <c r="M9" s="12" t="inlineStr">
        <is>
          <t>12</t>
        </is>
      </c>
      <c r="N9" s="12" t="n">
        <v>1</v>
      </c>
      <c r="O9" s="12" t="n">
        <v>1</v>
      </c>
      <c r="P9" s="12" t="n">
        <v>277</v>
      </c>
      <c r="Q9" s="12" t="n"/>
      <c r="R9" s="12" t="n"/>
      <c r="S9" s="12" t="inlineStr">
        <is>
          <t>Conduit</t>
        </is>
      </c>
      <c r="T9" s="16" t="n">
        <v>2048</v>
      </c>
      <c r="U9" s="16" t="n">
        <v>0</v>
      </c>
      <c r="V9" s="16">
        <f>ROUNDUP((T9+U9+2*'Read Me'!$B$13)*(1+'Read Me'!$B$12),-1)</f>
        <v/>
      </c>
      <c r="W9" s="16">
        <f>V9*N9*O9</f>
        <v/>
      </c>
      <c r="X9" s="12">
        <f>IF(LEFT(I9,2)="MV",2*N9*IF(L9="1/C",O9,1),0)</f>
        <v/>
      </c>
      <c r="Y9" s="12">
        <f>IF(OR(LEFT(K9,4)="LVAX",LEFT(K9,6)="MV15AX",LEFT(K9,4)="CTAX",LEFT(K9,2)="W|"),2*N9*O9,0)</f>
        <v/>
      </c>
      <c r="Z9" s="12" t="inlineStr">
        <is>
          <t>allowance: 1.6 ft of conductor per ft2 of floor</t>
        </is>
      </c>
      <c r="AA9" s="12">
        <f>N9*O9</f>
        <v/>
      </c>
    </row>
    <row r="10">
      <c r="A10" s="12" t="inlineStr">
        <is>
          <t>A-L-0009</t>
        </is>
      </c>
      <c r="B10" s="12" t="inlineStr">
        <is>
          <t>A</t>
        </is>
      </c>
      <c r="C10" s="12" t="inlineStr">
        <is>
          <t>Power block</t>
        </is>
      </c>
      <c r="D10" s="12" t="inlineStr">
        <is>
          <t>Lighting, receptacles and small power branch circuits (allowance)</t>
        </is>
      </c>
      <c r="E10" s="12" t="inlineStr">
        <is>
          <t>R2B</t>
        </is>
      </c>
      <c r="F10" s="12" t="inlineStr">
        <is>
          <t>R2B: unit / HRSG electrical e-house (32 x 40 ft)</t>
        </is>
      </c>
      <c r="G10" s="12" t="inlineStr">
        <is>
          <t>R2B</t>
        </is>
      </c>
      <c r="H10" s="12" t="inlineStr">
        <is>
          <t>R2B: unit / HRSG electrical e-house (32 x 40 ft)</t>
        </is>
      </c>
      <c r="I10" s="12" t="inlineStr">
        <is>
          <t>Building wire</t>
        </is>
      </c>
      <c r="J10" s="12" t="inlineStr">
        <is>
          <t>SIMpull THHN/THWN-2 600 V 1/C Cu (lighting, receptacles, small power)</t>
        </is>
      </c>
      <c r="K10" s="12" t="inlineStr">
        <is>
          <t>THHN|1/C|12</t>
        </is>
      </c>
      <c r="L10" s="12" t="inlineStr">
        <is>
          <t>1/C</t>
        </is>
      </c>
      <c r="M10" s="12" t="inlineStr">
        <is>
          <t>12</t>
        </is>
      </c>
      <c r="N10" s="12" t="n">
        <v>1</v>
      </c>
      <c r="O10" s="12" t="n">
        <v>1</v>
      </c>
      <c r="P10" s="12" t="n">
        <v>277</v>
      </c>
      <c r="Q10" s="12" t="n"/>
      <c r="R10" s="12" t="n"/>
      <c r="S10" s="12" t="inlineStr">
        <is>
          <t>Conduit</t>
        </is>
      </c>
      <c r="T10" s="16" t="n">
        <v>2048</v>
      </c>
      <c r="U10" s="16" t="n">
        <v>0</v>
      </c>
      <c r="V10" s="16">
        <f>ROUNDUP((T10+U10+2*'Read Me'!$B$13)*(1+'Read Me'!$B$12),-1)</f>
        <v/>
      </c>
      <c r="W10" s="16">
        <f>V10*N10*O10</f>
        <v/>
      </c>
      <c r="X10" s="12">
        <f>IF(LEFT(I10,2)="MV",2*N10*IF(L10="1/C",O10,1),0)</f>
        <v/>
      </c>
      <c r="Y10" s="12">
        <f>IF(OR(LEFT(K10,4)="LVAX",LEFT(K10,6)="MV15AX",LEFT(K10,4)="CTAX",LEFT(K10,2)="W|"),2*N10*O10,0)</f>
        <v/>
      </c>
      <c r="Z10" s="12" t="inlineStr">
        <is>
          <t>allowance: 1.6 ft of conductor per ft2 of floor</t>
        </is>
      </c>
      <c r="AA10" s="12">
        <f>N10*O10</f>
        <v/>
      </c>
    </row>
    <row r="11">
      <c r="A11" s="12" t="inlineStr">
        <is>
          <t>A-L-0010</t>
        </is>
      </c>
      <c r="B11" s="12" t="inlineStr">
        <is>
          <t>A</t>
        </is>
      </c>
      <c r="C11" s="12" t="inlineStr">
        <is>
          <t>Power block</t>
        </is>
      </c>
      <c r="D11" s="12" t="inlineStr">
        <is>
          <t>Lighting, receptacles and small power branch circuits (allowance)</t>
        </is>
      </c>
      <c r="E11" s="12" t="inlineStr">
        <is>
          <t>R2C</t>
        </is>
      </c>
      <c r="F11" s="12" t="inlineStr">
        <is>
          <t>R2C: unit / HRSG electrical e-house (32 x 40 ft)</t>
        </is>
      </c>
      <c r="G11" s="12" t="inlineStr">
        <is>
          <t>R2C</t>
        </is>
      </c>
      <c r="H11" s="12" t="inlineStr">
        <is>
          <t>R2C: unit / HRSG electrical e-house (32 x 40 ft)</t>
        </is>
      </c>
      <c r="I11" s="12" t="inlineStr">
        <is>
          <t>Building wire</t>
        </is>
      </c>
      <c r="J11" s="12" t="inlineStr">
        <is>
          <t>SIMpull THHN/THWN-2 600 V 1/C Cu (lighting, receptacles, small power)</t>
        </is>
      </c>
      <c r="K11" s="12" t="inlineStr">
        <is>
          <t>THHN|1/C|12</t>
        </is>
      </c>
      <c r="L11" s="12" t="inlineStr">
        <is>
          <t>1/C</t>
        </is>
      </c>
      <c r="M11" s="12" t="inlineStr">
        <is>
          <t>12</t>
        </is>
      </c>
      <c r="N11" s="12" t="n">
        <v>1</v>
      </c>
      <c r="O11" s="12" t="n">
        <v>1</v>
      </c>
      <c r="P11" s="12" t="n">
        <v>277</v>
      </c>
      <c r="Q11" s="12" t="n"/>
      <c r="R11" s="12" t="n"/>
      <c r="S11" s="12" t="inlineStr">
        <is>
          <t>Conduit</t>
        </is>
      </c>
      <c r="T11" s="16" t="n">
        <v>2048</v>
      </c>
      <c r="U11" s="16" t="n">
        <v>0</v>
      </c>
      <c r="V11" s="16">
        <f>ROUNDUP((T11+U11+2*'Read Me'!$B$13)*(1+'Read Me'!$B$12),-1)</f>
        <v/>
      </c>
      <c r="W11" s="16">
        <f>V11*N11*O11</f>
        <v/>
      </c>
      <c r="X11" s="12">
        <f>IF(LEFT(I11,2)="MV",2*N11*IF(L11="1/C",O11,1),0)</f>
        <v/>
      </c>
      <c r="Y11" s="12">
        <f>IF(OR(LEFT(K11,4)="LVAX",LEFT(K11,6)="MV15AX",LEFT(K11,4)="CTAX",LEFT(K11,2)="W|"),2*N11*O11,0)</f>
        <v/>
      </c>
      <c r="Z11" s="12" t="inlineStr">
        <is>
          <t>allowance: 1.6 ft of conductor per ft2 of floor</t>
        </is>
      </c>
      <c r="AA11" s="12">
        <f>N11*O11</f>
        <v/>
      </c>
    </row>
    <row r="12">
      <c r="A12" s="12" t="inlineStr">
        <is>
          <t>A-L-0011</t>
        </is>
      </c>
      <c r="B12" s="12" t="inlineStr">
        <is>
          <t>A</t>
        </is>
      </c>
      <c r="C12" s="12" t="inlineStr">
        <is>
          <t>Power block</t>
        </is>
      </c>
      <c r="D12" s="12" t="inlineStr">
        <is>
          <t>Lighting, receptacles and small power branch circuits (allowance)</t>
        </is>
      </c>
      <c r="E12" s="12" t="inlineStr">
        <is>
          <t>R3</t>
        </is>
      </c>
      <c r="F12" s="12" t="inlineStr">
        <is>
          <t>R3: ST auxiliary electrical e-house (40 x 65 ft)</t>
        </is>
      </c>
      <c r="G12" s="12" t="inlineStr">
        <is>
          <t>R3</t>
        </is>
      </c>
      <c r="H12" s="12" t="inlineStr">
        <is>
          <t>R3: ST auxiliary electrical e-house (40 x 65 ft)</t>
        </is>
      </c>
      <c r="I12" s="12" t="inlineStr">
        <is>
          <t>Building wire</t>
        </is>
      </c>
      <c r="J12" s="12" t="inlineStr">
        <is>
          <t>SIMpull THHN/THWN-2 600 V 1/C Cu (lighting, receptacles, small power)</t>
        </is>
      </c>
      <c r="K12" s="12" t="inlineStr">
        <is>
          <t>THHN|1/C|12</t>
        </is>
      </c>
      <c r="L12" s="12" t="inlineStr">
        <is>
          <t>1/C</t>
        </is>
      </c>
      <c r="M12" s="12" t="inlineStr">
        <is>
          <t>12</t>
        </is>
      </c>
      <c r="N12" s="12" t="n">
        <v>1</v>
      </c>
      <c r="O12" s="12" t="n">
        <v>1</v>
      </c>
      <c r="P12" s="12" t="n">
        <v>277</v>
      </c>
      <c r="Q12" s="12" t="n"/>
      <c r="R12" s="12" t="n"/>
      <c r="S12" s="12" t="inlineStr">
        <is>
          <t>Conduit</t>
        </is>
      </c>
      <c r="T12" s="16" t="n">
        <v>4160</v>
      </c>
      <c r="U12" s="16" t="n">
        <v>0</v>
      </c>
      <c r="V12" s="16">
        <f>ROUNDUP((T12+U12+2*'Read Me'!$B$13)*(1+'Read Me'!$B$12),-1)</f>
        <v/>
      </c>
      <c r="W12" s="16">
        <f>V12*N12*O12</f>
        <v/>
      </c>
      <c r="X12" s="12">
        <f>IF(LEFT(I12,2)="MV",2*N12*IF(L12="1/C",O12,1),0)</f>
        <v/>
      </c>
      <c r="Y12" s="12">
        <f>IF(OR(LEFT(K12,4)="LVAX",LEFT(K12,6)="MV15AX",LEFT(K12,4)="CTAX",LEFT(K12,2)="W|"),2*N12*O12,0)</f>
        <v/>
      </c>
      <c r="Z12" s="12" t="inlineStr">
        <is>
          <t>allowance: 1.6 ft of conductor per ft2 of floor</t>
        </is>
      </c>
      <c r="AA12" s="12">
        <f>N12*O12</f>
        <v/>
      </c>
    </row>
    <row r="13">
      <c r="A13" s="12" t="inlineStr">
        <is>
          <t>A-C-0001</t>
        </is>
      </c>
      <c r="B13" s="12" t="inlineStr">
        <is>
          <t>A</t>
        </is>
      </c>
      <c r="C13" s="12" t="inlineStr">
        <is>
          <t>Power block</t>
        </is>
      </c>
      <c r="D13" s="12" t="inlineStr">
        <is>
          <t>Motor 1 of 3: control / local station</t>
        </is>
      </c>
      <c r="E13" s="12" t="inlineStr">
        <is>
          <t>R3</t>
        </is>
      </c>
      <c r="F13" s="12" t="inlineStr">
        <is>
          <t>R3: ST auxiliary electrical e-house (40 x 65 ft)</t>
        </is>
      </c>
      <c r="G13" s="12" t="inlineStr">
        <is>
          <t>AC-A/B/C</t>
        </is>
      </c>
      <c r="H13" s="12" t="inlineStr">
        <is>
          <t>Air compressors AC-A/B/C</t>
        </is>
      </c>
      <c r="I13" s="12" t="inlineStr">
        <is>
          <t>Control</t>
        </is>
      </c>
      <c r="J13" s="12" t="inlineStr">
        <is>
          <t>ARMOR-X MC-HL 600 V control, Cu #14 AWG (Class I Div 2)</t>
        </is>
      </c>
      <c r="K13" s="12" t="inlineStr">
        <is>
          <t>CTAX|7/C|14</t>
        </is>
      </c>
      <c r="L13" s="12" t="inlineStr">
        <is>
          <t>7/C</t>
        </is>
      </c>
      <c r="M13" s="12" t="inlineStr">
        <is>
          <t>14</t>
        </is>
      </c>
      <c r="N13" s="12" t="n">
        <v>1</v>
      </c>
      <c r="O13" s="12" t="n">
        <v>1</v>
      </c>
      <c r="P13" s="12" t="n"/>
      <c r="Q13" s="12" t="n"/>
      <c r="R13" s="12" t="n"/>
      <c r="S13" s="12" t="inlineStr">
        <is>
          <t>Tray</t>
        </is>
      </c>
      <c r="T13" s="16" t="n">
        <v>88</v>
      </c>
      <c r="U13" s="16" t="n">
        <v>84</v>
      </c>
      <c r="V13" s="16">
        <f>ROUNDUP((T13+U13+2*'Read Me'!$B$13)*(1+'Read Me'!$B$12),-1)</f>
        <v/>
      </c>
      <c r="W13" s="16">
        <f>V13*N13*O13</f>
        <v/>
      </c>
      <c r="X13" s="12">
        <f>IF(LEFT(I13,2)="MV",2*N13*IF(L13="1/C",O13,1),0)</f>
        <v/>
      </c>
      <c r="Y13" s="12">
        <f>IF(OR(LEFT(K13,4)="LVAX",LEFT(K13,6)="MV15AX",LEFT(K13,4)="CTAX",LEFT(K13,2)="W|"),2*N13*O13,0)</f>
        <v/>
      </c>
      <c r="Z13" s="12" t="inlineStr"/>
      <c r="AA13" s="12">
        <f>N13*O13</f>
        <v/>
      </c>
    </row>
    <row r="14">
      <c r="A14" s="12" t="inlineStr">
        <is>
          <t>A-C-0002</t>
        </is>
      </c>
      <c r="B14" s="12" t="inlineStr">
        <is>
          <t>A</t>
        </is>
      </c>
      <c r="C14" s="12" t="inlineStr">
        <is>
          <t>Power block</t>
        </is>
      </c>
      <c r="D14" s="12" t="inlineStr">
        <is>
          <t>Motor 2 of 3: control / local station</t>
        </is>
      </c>
      <c r="E14" s="12" t="inlineStr">
        <is>
          <t>R3</t>
        </is>
      </c>
      <c r="F14" s="12" t="inlineStr">
        <is>
          <t>R3: ST auxiliary electrical e-house (40 x 65 ft)</t>
        </is>
      </c>
      <c r="G14" s="12" t="inlineStr">
        <is>
          <t>AC-A/B/C</t>
        </is>
      </c>
      <c r="H14" s="12" t="inlineStr">
        <is>
          <t>Air compressors AC-A/B/C</t>
        </is>
      </c>
      <c r="I14" s="12" t="inlineStr">
        <is>
          <t>Control</t>
        </is>
      </c>
      <c r="J14" s="12" t="inlineStr">
        <is>
          <t>ARMOR-X MC-HL 600 V control, Cu #14 AWG (Class I Div 2)</t>
        </is>
      </c>
      <c r="K14" s="12" t="inlineStr">
        <is>
          <t>CTAX|7/C|14</t>
        </is>
      </c>
      <c r="L14" s="12" t="inlineStr">
        <is>
          <t>7/C</t>
        </is>
      </c>
      <c r="M14" s="12" t="inlineStr">
        <is>
          <t>14</t>
        </is>
      </c>
      <c r="N14" s="12" t="n">
        <v>1</v>
      </c>
      <c r="O14" s="12" t="n">
        <v>1</v>
      </c>
      <c r="P14" s="12" t="n"/>
      <c r="Q14" s="12" t="n"/>
      <c r="R14" s="12" t="n"/>
      <c r="S14" s="12" t="inlineStr">
        <is>
          <t>Tray</t>
        </is>
      </c>
      <c r="T14" s="16" t="n">
        <v>88</v>
      </c>
      <c r="U14" s="16" t="n">
        <v>84</v>
      </c>
      <c r="V14" s="16">
        <f>ROUNDUP((T14+U14+2*'Read Me'!$B$13)*(1+'Read Me'!$B$12),-1)</f>
        <v/>
      </c>
      <c r="W14" s="16">
        <f>V14*N14*O14</f>
        <v/>
      </c>
      <c r="X14" s="12">
        <f>IF(LEFT(I14,2)="MV",2*N14*IF(L14="1/C",O14,1),0)</f>
        <v/>
      </c>
      <c r="Y14" s="12">
        <f>IF(OR(LEFT(K14,4)="LVAX",LEFT(K14,6)="MV15AX",LEFT(K14,4)="CTAX",LEFT(K14,2)="W|"),2*N14*O14,0)</f>
        <v/>
      </c>
      <c r="Z14" s="12" t="inlineStr"/>
      <c r="AA14" s="12">
        <f>N14*O14</f>
        <v/>
      </c>
    </row>
    <row r="15">
      <c r="A15" s="12" t="inlineStr">
        <is>
          <t>A-C-0003</t>
        </is>
      </c>
      <c r="B15" s="12" t="inlineStr">
        <is>
          <t>A</t>
        </is>
      </c>
      <c r="C15" s="12" t="inlineStr">
        <is>
          <t>Power block</t>
        </is>
      </c>
      <c r="D15" s="12" t="inlineStr">
        <is>
          <t>Motor 3 of 3: control / local station</t>
        </is>
      </c>
      <c r="E15" s="12" t="inlineStr">
        <is>
          <t>R3</t>
        </is>
      </c>
      <c r="F15" s="12" t="inlineStr">
        <is>
          <t>R3: ST auxiliary electrical e-house (40 x 65 ft)</t>
        </is>
      </c>
      <c r="G15" s="12" t="inlineStr">
        <is>
          <t>AC-A/B/C</t>
        </is>
      </c>
      <c r="H15" s="12" t="inlineStr">
        <is>
          <t>Air compressors AC-A/B/C</t>
        </is>
      </c>
      <c r="I15" s="12" t="inlineStr">
        <is>
          <t>Control</t>
        </is>
      </c>
      <c r="J15" s="12" t="inlineStr">
        <is>
          <t>ARMOR-X MC-HL 600 V control, Cu #14 AWG (Class I Div 2)</t>
        </is>
      </c>
      <c r="K15" s="12" t="inlineStr">
        <is>
          <t>CTAX|7/C|14</t>
        </is>
      </c>
      <c r="L15" s="12" t="inlineStr">
        <is>
          <t>7/C</t>
        </is>
      </c>
      <c r="M15" s="12" t="inlineStr">
        <is>
          <t>14</t>
        </is>
      </c>
      <c r="N15" s="12" t="n">
        <v>1</v>
      </c>
      <c r="O15" s="12" t="n">
        <v>1</v>
      </c>
      <c r="P15" s="12" t="n"/>
      <c r="Q15" s="12" t="n"/>
      <c r="R15" s="12" t="n"/>
      <c r="S15" s="12" t="inlineStr">
        <is>
          <t>Tray</t>
        </is>
      </c>
      <c r="T15" s="16" t="n">
        <v>88</v>
      </c>
      <c r="U15" s="16" t="n">
        <v>84</v>
      </c>
      <c r="V15" s="16">
        <f>ROUNDUP((T15+U15+2*'Read Me'!$B$13)*(1+'Read Me'!$B$12),-1)</f>
        <v/>
      </c>
      <c r="W15" s="16">
        <f>V15*N15*O15</f>
        <v/>
      </c>
      <c r="X15" s="12">
        <f>IF(LEFT(I15,2)="MV",2*N15*IF(L15="1/C",O15,1),0)</f>
        <v/>
      </c>
      <c r="Y15" s="12">
        <f>IF(OR(LEFT(K15,4)="LVAX",LEFT(K15,6)="MV15AX",LEFT(K15,4)="CTAX",LEFT(K15,2)="W|"),2*N15*O15,0)</f>
        <v/>
      </c>
      <c r="Z15" s="12" t="inlineStr"/>
      <c r="AA15" s="12">
        <f>N15*O15</f>
        <v/>
      </c>
    </row>
    <row r="16">
      <c r="A16" s="12" t="inlineStr">
        <is>
          <t>A-C-0004</t>
        </is>
      </c>
      <c r="B16" s="12" t="inlineStr">
        <is>
          <t>A</t>
        </is>
      </c>
      <c r="C16" s="12" t="inlineStr">
        <is>
          <t>Power block</t>
        </is>
      </c>
      <c r="D16" s="12" t="inlineStr">
        <is>
          <t>Motor 1 of 4: control / local station</t>
        </is>
      </c>
      <c r="E16" s="12" t="inlineStr">
        <is>
          <t>R2A</t>
        </is>
      </c>
      <c r="F16" s="12" t="inlineStr">
        <is>
          <t>R2A: unit / HRSG electrical e-house (32 x 40 ft)</t>
        </is>
      </c>
      <c r="G16" s="12" t="inlineStr">
        <is>
          <t>BFP-1</t>
        </is>
      </c>
      <c r="H16" s="12" t="inlineStr">
        <is>
          <t>BFP-1A/B: boiler feed pumps (13.8 kV DOL)</t>
        </is>
      </c>
      <c r="I16" s="12" t="inlineStr">
        <is>
          <t>Control</t>
        </is>
      </c>
      <c r="J16" s="12" t="inlineStr">
        <is>
          <t>Control cable 600 V Type TC-ER, Cu #14 AWG, PVC jacket</t>
        </is>
      </c>
      <c r="K16" s="12" t="inlineStr">
        <is>
          <t>CT|7/C|14</t>
        </is>
      </c>
      <c r="L16" s="12" t="inlineStr">
        <is>
          <t>7/C</t>
        </is>
      </c>
      <c r="M16" s="12" t="inlineStr">
        <is>
          <t>14</t>
        </is>
      </c>
      <c r="N16" s="12" t="n">
        <v>1</v>
      </c>
      <c r="O16" s="12" t="n">
        <v>1</v>
      </c>
      <c r="P16" s="12" t="n"/>
      <c r="Q16" s="12" t="n"/>
      <c r="R16" s="12" t="n"/>
      <c r="S16" s="12" t="inlineStr">
        <is>
          <t>Tray</t>
        </is>
      </c>
      <c r="T16" s="16" t="n">
        <v>481</v>
      </c>
      <c r="U16" s="16" t="n">
        <v>84</v>
      </c>
      <c r="V16" s="16">
        <f>ROUNDUP((T16+U16+2*'Read Me'!$B$13)*(1+'Read Me'!$B$12),-1)</f>
        <v/>
      </c>
      <c r="W16" s="16">
        <f>V16*N16*O16</f>
        <v/>
      </c>
      <c r="X16" s="12">
        <f>IF(LEFT(I16,2)="MV",2*N16*IF(L16="1/C",O16,1),0)</f>
        <v/>
      </c>
      <c r="Y16" s="12">
        <f>IF(OR(LEFT(K16,4)="LVAX",LEFT(K16,6)="MV15AX",LEFT(K16,4)="CTAX",LEFT(K16,2)="W|"),2*N16*O16,0)</f>
        <v/>
      </c>
      <c r="Z16" s="12" t="inlineStr"/>
      <c r="AA16" s="12">
        <f>N16*O16</f>
        <v/>
      </c>
    </row>
    <row r="17">
      <c r="A17" s="12" t="inlineStr">
        <is>
          <t>A-C-0005</t>
        </is>
      </c>
      <c r="B17" s="12" t="inlineStr">
        <is>
          <t>A</t>
        </is>
      </c>
      <c r="C17" s="12" t="inlineStr">
        <is>
          <t>Power block</t>
        </is>
      </c>
      <c r="D17" s="12" t="inlineStr">
        <is>
          <t>Motor 2 of 4: control / local station</t>
        </is>
      </c>
      <c r="E17" s="12" t="inlineStr">
        <is>
          <t>R2A</t>
        </is>
      </c>
      <c r="F17" s="12" t="inlineStr">
        <is>
          <t>R2A: unit / HRSG electrical e-house (32 x 40 ft)</t>
        </is>
      </c>
      <c r="G17" s="12" t="inlineStr">
        <is>
          <t>BFP-1</t>
        </is>
      </c>
      <c r="H17" s="12" t="inlineStr">
        <is>
          <t>BFP-1A/B: boiler feed pumps (13.8 kV DOL)</t>
        </is>
      </c>
      <c r="I17" s="12" t="inlineStr">
        <is>
          <t>Control</t>
        </is>
      </c>
      <c r="J17" s="12" t="inlineStr">
        <is>
          <t>Control cable 600 V Type TC-ER, Cu #14 AWG, PVC jacket</t>
        </is>
      </c>
      <c r="K17" s="12" t="inlineStr">
        <is>
          <t>CT|7/C|14</t>
        </is>
      </c>
      <c r="L17" s="12" t="inlineStr">
        <is>
          <t>7/C</t>
        </is>
      </c>
      <c r="M17" s="12" t="inlineStr">
        <is>
          <t>14</t>
        </is>
      </c>
      <c r="N17" s="12" t="n">
        <v>1</v>
      </c>
      <c r="O17" s="12" t="n">
        <v>1</v>
      </c>
      <c r="P17" s="12" t="n"/>
      <c r="Q17" s="12" t="n"/>
      <c r="R17" s="12" t="n"/>
      <c r="S17" s="12" t="inlineStr">
        <is>
          <t>Tray</t>
        </is>
      </c>
      <c r="T17" s="16" t="n">
        <v>481</v>
      </c>
      <c r="U17" s="16" t="n">
        <v>84</v>
      </c>
      <c r="V17" s="16">
        <f>ROUNDUP((T17+U17+2*'Read Me'!$B$13)*(1+'Read Me'!$B$12),-1)</f>
        <v/>
      </c>
      <c r="W17" s="16">
        <f>V17*N17*O17</f>
        <v/>
      </c>
      <c r="X17" s="12">
        <f>IF(LEFT(I17,2)="MV",2*N17*IF(L17="1/C",O17,1),0)</f>
        <v/>
      </c>
      <c r="Y17" s="12">
        <f>IF(OR(LEFT(K17,4)="LVAX",LEFT(K17,6)="MV15AX",LEFT(K17,4)="CTAX",LEFT(K17,2)="W|"),2*N17*O17,0)</f>
        <v/>
      </c>
      <c r="Z17" s="12" t="inlineStr"/>
      <c r="AA17" s="12">
        <f>N17*O17</f>
        <v/>
      </c>
    </row>
    <row r="18">
      <c r="A18" s="12" t="inlineStr">
        <is>
          <t>A-C-0006</t>
        </is>
      </c>
      <c r="B18" s="12" t="inlineStr">
        <is>
          <t>A</t>
        </is>
      </c>
      <c r="C18" s="12" t="inlineStr">
        <is>
          <t>Power block</t>
        </is>
      </c>
      <c r="D18" s="12" t="inlineStr">
        <is>
          <t>Motor 3 of 4: control / local station</t>
        </is>
      </c>
      <c r="E18" s="12" t="inlineStr">
        <is>
          <t>R2A</t>
        </is>
      </c>
      <c r="F18" s="12" t="inlineStr">
        <is>
          <t>R2A: unit / HRSG electrical e-house (32 x 40 ft)</t>
        </is>
      </c>
      <c r="G18" s="12" t="inlineStr">
        <is>
          <t>BFP-1</t>
        </is>
      </c>
      <c r="H18" s="12" t="inlineStr">
        <is>
          <t>BFP-1A/B: boiler feed pumps (13.8 kV DOL)</t>
        </is>
      </c>
      <c r="I18" s="12" t="inlineStr">
        <is>
          <t>Control</t>
        </is>
      </c>
      <c r="J18" s="12" t="inlineStr">
        <is>
          <t>Control cable 600 V Type TC-ER, Cu #14 AWG, PVC jacket</t>
        </is>
      </c>
      <c r="K18" s="12" t="inlineStr">
        <is>
          <t>CT|7/C|14</t>
        </is>
      </c>
      <c r="L18" s="12" t="inlineStr">
        <is>
          <t>7/C</t>
        </is>
      </c>
      <c r="M18" s="12" t="inlineStr">
        <is>
          <t>14</t>
        </is>
      </c>
      <c r="N18" s="12" t="n">
        <v>1</v>
      </c>
      <c r="O18" s="12" t="n">
        <v>1</v>
      </c>
      <c r="P18" s="12" t="n"/>
      <c r="Q18" s="12" t="n"/>
      <c r="R18" s="12" t="n"/>
      <c r="S18" s="12" t="inlineStr">
        <is>
          <t>Tray</t>
        </is>
      </c>
      <c r="T18" s="16" t="n">
        <v>481</v>
      </c>
      <c r="U18" s="16" t="n">
        <v>84</v>
      </c>
      <c r="V18" s="16">
        <f>ROUNDUP((T18+U18+2*'Read Me'!$B$13)*(1+'Read Me'!$B$12),-1)</f>
        <v/>
      </c>
      <c r="W18" s="16">
        <f>V18*N18*O18</f>
        <v/>
      </c>
      <c r="X18" s="12">
        <f>IF(LEFT(I18,2)="MV",2*N18*IF(L18="1/C",O18,1),0)</f>
        <v/>
      </c>
      <c r="Y18" s="12">
        <f>IF(OR(LEFT(K18,4)="LVAX",LEFT(K18,6)="MV15AX",LEFT(K18,4)="CTAX",LEFT(K18,2)="W|"),2*N18*O18,0)</f>
        <v/>
      </c>
      <c r="Z18" s="12" t="inlineStr"/>
      <c r="AA18" s="12">
        <f>N18*O18</f>
        <v/>
      </c>
    </row>
    <row r="19">
      <c r="A19" s="12" t="inlineStr">
        <is>
          <t>A-C-0007</t>
        </is>
      </c>
      <c r="B19" s="12" t="inlineStr">
        <is>
          <t>A</t>
        </is>
      </c>
      <c r="C19" s="12" t="inlineStr">
        <is>
          <t>Power block</t>
        </is>
      </c>
      <c r="D19" s="12" t="inlineStr">
        <is>
          <t>Motor 4 of 4: control / local station</t>
        </is>
      </c>
      <c r="E19" s="12" t="inlineStr">
        <is>
          <t>R2A</t>
        </is>
      </c>
      <c r="F19" s="12" t="inlineStr">
        <is>
          <t>R2A: unit / HRSG electrical e-house (32 x 40 ft)</t>
        </is>
      </c>
      <c r="G19" s="12" t="inlineStr">
        <is>
          <t>BFP-1</t>
        </is>
      </c>
      <c r="H19" s="12" t="inlineStr">
        <is>
          <t>BFP-1A/B: boiler feed pumps (13.8 kV DOL)</t>
        </is>
      </c>
      <c r="I19" s="12" t="inlineStr">
        <is>
          <t>Control</t>
        </is>
      </c>
      <c r="J19" s="12" t="inlineStr">
        <is>
          <t>Control cable 600 V Type TC-ER, Cu #14 AWG, PVC jacket</t>
        </is>
      </c>
      <c r="K19" s="12" t="inlineStr">
        <is>
          <t>CT|7/C|14</t>
        </is>
      </c>
      <c r="L19" s="12" t="inlineStr">
        <is>
          <t>7/C</t>
        </is>
      </c>
      <c r="M19" s="12" t="inlineStr">
        <is>
          <t>14</t>
        </is>
      </c>
      <c r="N19" s="12" t="n">
        <v>1</v>
      </c>
      <c r="O19" s="12" t="n">
        <v>1</v>
      </c>
      <c r="P19" s="12" t="n"/>
      <c r="Q19" s="12" t="n"/>
      <c r="R19" s="12" t="n"/>
      <c r="S19" s="12" t="inlineStr">
        <is>
          <t>Tray</t>
        </is>
      </c>
      <c r="T19" s="16" t="n">
        <v>481</v>
      </c>
      <c r="U19" s="16" t="n">
        <v>84</v>
      </c>
      <c r="V19" s="16">
        <f>ROUNDUP((T19+U19+2*'Read Me'!$B$13)*(1+'Read Me'!$B$12),-1)</f>
        <v/>
      </c>
      <c r="W19" s="16">
        <f>V19*N19*O19</f>
        <v/>
      </c>
      <c r="X19" s="12">
        <f>IF(LEFT(I19,2)="MV",2*N19*IF(L19="1/C",O19,1),0)</f>
        <v/>
      </c>
      <c r="Y19" s="12">
        <f>IF(OR(LEFT(K19,4)="LVAX",LEFT(K19,6)="MV15AX",LEFT(K19,4)="CTAX",LEFT(K19,2)="W|"),2*N19*O19,0)</f>
        <v/>
      </c>
      <c r="Z19" s="12" t="inlineStr"/>
      <c r="AA19" s="12">
        <f>N19*O19</f>
        <v/>
      </c>
    </row>
    <row r="20">
      <c r="A20" s="12" t="inlineStr">
        <is>
          <t>A-C-0008</t>
        </is>
      </c>
      <c r="B20" s="12" t="inlineStr">
        <is>
          <t>A</t>
        </is>
      </c>
      <c r="C20" s="12" t="inlineStr">
        <is>
          <t>Power block</t>
        </is>
      </c>
      <c r="D20" s="12" t="inlineStr">
        <is>
          <t>Motor 1 of 4: control / local station</t>
        </is>
      </c>
      <c r="E20" s="12" t="inlineStr">
        <is>
          <t>R2B</t>
        </is>
      </c>
      <c r="F20" s="12" t="inlineStr">
        <is>
          <t>R2B: unit / HRSG electrical e-house (32 x 40 ft)</t>
        </is>
      </c>
      <c r="G20" s="12" t="inlineStr">
        <is>
          <t>BFP-2</t>
        </is>
      </c>
      <c r="H20" s="12" t="inlineStr">
        <is>
          <t>BFP-2A/B: boiler feed pumps (13.8 kV DOL)</t>
        </is>
      </c>
      <c r="I20" s="12" t="inlineStr">
        <is>
          <t>Control</t>
        </is>
      </c>
      <c r="J20" s="12" t="inlineStr">
        <is>
          <t>Control cable 600 V Type TC-ER, Cu #14 AWG, PVC jacket</t>
        </is>
      </c>
      <c r="K20" s="12" t="inlineStr">
        <is>
          <t>CT|7/C|14</t>
        </is>
      </c>
      <c r="L20" s="12" t="inlineStr">
        <is>
          <t>7/C</t>
        </is>
      </c>
      <c r="M20" s="12" t="inlineStr">
        <is>
          <t>14</t>
        </is>
      </c>
      <c r="N20" s="12" t="n">
        <v>1</v>
      </c>
      <c r="O20" s="12" t="n">
        <v>1</v>
      </c>
      <c r="P20" s="12" t="n"/>
      <c r="Q20" s="12" t="n"/>
      <c r="R20" s="12" t="n"/>
      <c r="S20" s="12" t="inlineStr">
        <is>
          <t>Tray</t>
        </is>
      </c>
      <c r="T20" s="16" t="n">
        <v>479</v>
      </c>
      <c r="U20" s="16" t="n">
        <v>84</v>
      </c>
      <c r="V20" s="16">
        <f>ROUNDUP((T20+U20+2*'Read Me'!$B$13)*(1+'Read Me'!$B$12),-1)</f>
        <v/>
      </c>
      <c r="W20" s="16">
        <f>V20*N20*O20</f>
        <v/>
      </c>
      <c r="X20" s="12">
        <f>IF(LEFT(I20,2)="MV",2*N20*IF(L20="1/C",O20,1),0)</f>
        <v/>
      </c>
      <c r="Y20" s="12">
        <f>IF(OR(LEFT(K20,4)="LVAX",LEFT(K20,6)="MV15AX",LEFT(K20,4)="CTAX",LEFT(K20,2)="W|"),2*N20*O20,0)</f>
        <v/>
      </c>
      <c r="Z20" s="12" t="inlineStr"/>
      <c r="AA20" s="12">
        <f>N20*O20</f>
        <v/>
      </c>
    </row>
    <row r="21">
      <c r="A21" s="12" t="inlineStr">
        <is>
          <t>A-C-0009</t>
        </is>
      </c>
      <c r="B21" s="12" t="inlineStr">
        <is>
          <t>A</t>
        </is>
      </c>
      <c r="C21" s="12" t="inlineStr">
        <is>
          <t>Power block</t>
        </is>
      </c>
      <c r="D21" s="12" t="inlineStr">
        <is>
          <t>Motor 2 of 4: control / local station</t>
        </is>
      </c>
      <c r="E21" s="12" t="inlineStr">
        <is>
          <t>R2B</t>
        </is>
      </c>
      <c r="F21" s="12" t="inlineStr">
        <is>
          <t>R2B: unit / HRSG electrical e-house (32 x 40 ft)</t>
        </is>
      </c>
      <c r="G21" s="12" t="inlineStr">
        <is>
          <t>BFP-2</t>
        </is>
      </c>
      <c r="H21" s="12" t="inlineStr">
        <is>
          <t>BFP-2A/B: boiler feed pumps (13.8 kV DOL)</t>
        </is>
      </c>
      <c r="I21" s="12" t="inlineStr">
        <is>
          <t>Control</t>
        </is>
      </c>
      <c r="J21" s="12" t="inlineStr">
        <is>
          <t>Control cable 600 V Type TC-ER, Cu #14 AWG, PVC jacket</t>
        </is>
      </c>
      <c r="K21" s="12" t="inlineStr">
        <is>
          <t>CT|7/C|14</t>
        </is>
      </c>
      <c r="L21" s="12" t="inlineStr">
        <is>
          <t>7/C</t>
        </is>
      </c>
      <c r="M21" s="12" t="inlineStr">
        <is>
          <t>14</t>
        </is>
      </c>
      <c r="N21" s="12" t="n">
        <v>1</v>
      </c>
      <c r="O21" s="12" t="n">
        <v>1</v>
      </c>
      <c r="P21" s="12" t="n"/>
      <c r="Q21" s="12" t="n"/>
      <c r="R21" s="12" t="n"/>
      <c r="S21" s="12" t="inlineStr">
        <is>
          <t>Tray</t>
        </is>
      </c>
      <c r="T21" s="16" t="n">
        <v>479</v>
      </c>
      <c r="U21" s="16" t="n">
        <v>84</v>
      </c>
      <c r="V21" s="16">
        <f>ROUNDUP((T21+U21+2*'Read Me'!$B$13)*(1+'Read Me'!$B$12),-1)</f>
        <v/>
      </c>
      <c r="W21" s="16">
        <f>V21*N21*O21</f>
        <v/>
      </c>
      <c r="X21" s="12">
        <f>IF(LEFT(I21,2)="MV",2*N21*IF(L21="1/C",O21,1),0)</f>
        <v/>
      </c>
      <c r="Y21" s="12">
        <f>IF(OR(LEFT(K21,4)="LVAX",LEFT(K21,6)="MV15AX",LEFT(K21,4)="CTAX",LEFT(K21,2)="W|"),2*N21*O21,0)</f>
        <v/>
      </c>
      <c r="Z21" s="12" t="inlineStr"/>
      <c r="AA21" s="12">
        <f>N21*O21</f>
        <v/>
      </c>
    </row>
    <row r="22">
      <c r="A22" s="12" t="inlineStr">
        <is>
          <t>A-C-0010</t>
        </is>
      </c>
      <c r="B22" s="12" t="inlineStr">
        <is>
          <t>A</t>
        </is>
      </c>
      <c r="C22" s="12" t="inlineStr">
        <is>
          <t>Power block</t>
        </is>
      </c>
      <c r="D22" s="12" t="inlineStr">
        <is>
          <t>Motor 3 of 4: control / local station</t>
        </is>
      </c>
      <c r="E22" s="12" t="inlineStr">
        <is>
          <t>R2B</t>
        </is>
      </c>
      <c r="F22" s="12" t="inlineStr">
        <is>
          <t>R2B: unit / HRSG electrical e-house (32 x 40 ft)</t>
        </is>
      </c>
      <c r="G22" s="12" t="inlineStr">
        <is>
          <t>BFP-2</t>
        </is>
      </c>
      <c r="H22" s="12" t="inlineStr">
        <is>
          <t>BFP-2A/B: boiler feed pumps (13.8 kV DOL)</t>
        </is>
      </c>
      <c r="I22" s="12" t="inlineStr">
        <is>
          <t>Control</t>
        </is>
      </c>
      <c r="J22" s="12" t="inlineStr">
        <is>
          <t>Control cable 600 V Type TC-ER, Cu #14 AWG, PVC jacket</t>
        </is>
      </c>
      <c r="K22" s="12" t="inlineStr">
        <is>
          <t>CT|7/C|14</t>
        </is>
      </c>
      <c r="L22" s="12" t="inlineStr">
        <is>
          <t>7/C</t>
        </is>
      </c>
      <c r="M22" s="12" t="inlineStr">
        <is>
          <t>14</t>
        </is>
      </c>
      <c r="N22" s="12" t="n">
        <v>1</v>
      </c>
      <c r="O22" s="12" t="n">
        <v>1</v>
      </c>
      <c r="P22" s="12" t="n"/>
      <c r="Q22" s="12" t="n"/>
      <c r="R22" s="12" t="n"/>
      <c r="S22" s="12" t="inlineStr">
        <is>
          <t>Tray</t>
        </is>
      </c>
      <c r="T22" s="16" t="n">
        <v>479</v>
      </c>
      <c r="U22" s="16" t="n">
        <v>84</v>
      </c>
      <c r="V22" s="16">
        <f>ROUNDUP((T22+U22+2*'Read Me'!$B$13)*(1+'Read Me'!$B$12),-1)</f>
        <v/>
      </c>
      <c r="W22" s="16">
        <f>V22*N22*O22</f>
        <v/>
      </c>
      <c r="X22" s="12">
        <f>IF(LEFT(I22,2)="MV",2*N22*IF(L22="1/C",O22,1),0)</f>
        <v/>
      </c>
      <c r="Y22" s="12">
        <f>IF(OR(LEFT(K22,4)="LVAX",LEFT(K22,6)="MV15AX",LEFT(K22,4)="CTAX",LEFT(K22,2)="W|"),2*N22*O22,0)</f>
        <v/>
      </c>
      <c r="Z22" s="12" t="inlineStr"/>
      <c r="AA22" s="12">
        <f>N22*O22</f>
        <v/>
      </c>
    </row>
    <row r="23">
      <c r="A23" s="12" t="inlineStr">
        <is>
          <t>A-C-0011</t>
        </is>
      </c>
      <c r="B23" s="12" t="inlineStr">
        <is>
          <t>A</t>
        </is>
      </c>
      <c r="C23" s="12" t="inlineStr">
        <is>
          <t>Power block</t>
        </is>
      </c>
      <c r="D23" s="12" t="inlineStr">
        <is>
          <t>Motor 4 of 4: control / local station</t>
        </is>
      </c>
      <c r="E23" s="12" t="inlineStr">
        <is>
          <t>R2B</t>
        </is>
      </c>
      <c r="F23" s="12" t="inlineStr">
        <is>
          <t>R2B: unit / HRSG electrical e-house (32 x 40 ft)</t>
        </is>
      </c>
      <c r="G23" s="12" t="inlineStr">
        <is>
          <t>BFP-2</t>
        </is>
      </c>
      <c r="H23" s="12" t="inlineStr">
        <is>
          <t>BFP-2A/B: boiler feed pumps (13.8 kV DOL)</t>
        </is>
      </c>
      <c r="I23" s="12" t="inlineStr">
        <is>
          <t>Control</t>
        </is>
      </c>
      <c r="J23" s="12" t="inlineStr">
        <is>
          <t>Control cable 600 V Type TC-ER, Cu #14 AWG, PVC jacket</t>
        </is>
      </c>
      <c r="K23" s="12" t="inlineStr">
        <is>
          <t>CT|7/C|14</t>
        </is>
      </c>
      <c r="L23" s="12" t="inlineStr">
        <is>
          <t>7/C</t>
        </is>
      </c>
      <c r="M23" s="12" t="inlineStr">
        <is>
          <t>14</t>
        </is>
      </c>
      <c r="N23" s="12" t="n">
        <v>1</v>
      </c>
      <c r="O23" s="12" t="n">
        <v>1</v>
      </c>
      <c r="P23" s="12" t="n"/>
      <c r="Q23" s="12" t="n"/>
      <c r="R23" s="12" t="n"/>
      <c r="S23" s="12" t="inlineStr">
        <is>
          <t>Tray</t>
        </is>
      </c>
      <c r="T23" s="16" t="n">
        <v>479</v>
      </c>
      <c r="U23" s="16" t="n">
        <v>84</v>
      </c>
      <c r="V23" s="16">
        <f>ROUNDUP((T23+U23+2*'Read Me'!$B$13)*(1+'Read Me'!$B$12),-1)</f>
        <v/>
      </c>
      <c r="W23" s="16">
        <f>V23*N23*O23</f>
        <v/>
      </c>
      <c r="X23" s="12">
        <f>IF(LEFT(I23,2)="MV",2*N23*IF(L23="1/C",O23,1),0)</f>
        <v/>
      </c>
      <c r="Y23" s="12">
        <f>IF(OR(LEFT(K23,4)="LVAX",LEFT(K23,6)="MV15AX",LEFT(K23,4)="CTAX",LEFT(K23,2)="W|"),2*N23*O23,0)</f>
        <v/>
      </c>
      <c r="Z23" s="12" t="inlineStr"/>
      <c r="AA23" s="12">
        <f>N23*O23</f>
        <v/>
      </c>
    </row>
    <row r="24">
      <c r="A24" s="12" t="inlineStr">
        <is>
          <t>A-C-0012</t>
        </is>
      </c>
      <c r="B24" s="12" t="inlineStr">
        <is>
          <t>A</t>
        </is>
      </c>
      <c r="C24" s="12" t="inlineStr">
        <is>
          <t>Power block</t>
        </is>
      </c>
      <c r="D24" s="12" t="inlineStr">
        <is>
          <t>Motor 1 of 4: control / local station</t>
        </is>
      </c>
      <c r="E24" s="12" t="inlineStr">
        <is>
          <t>R2C</t>
        </is>
      </c>
      <c r="F24" s="12" t="inlineStr">
        <is>
          <t>R2C: unit / HRSG electrical e-house (32 x 40 ft)</t>
        </is>
      </c>
      <c r="G24" s="12" t="inlineStr">
        <is>
          <t>BFP-3</t>
        </is>
      </c>
      <c r="H24" s="12" t="inlineStr">
        <is>
          <t>BFP-3A/B: boiler feed pumps (13.8 kV DOL)</t>
        </is>
      </c>
      <c r="I24" s="12" t="inlineStr">
        <is>
          <t>Control</t>
        </is>
      </c>
      <c r="J24" s="12" t="inlineStr">
        <is>
          <t>Control cable 600 V Type TC-ER, Cu #14 AWG, PVC jacket</t>
        </is>
      </c>
      <c r="K24" s="12" t="inlineStr">
        <is>
          <t>CT|7/C|14</t>
        </is>
      </c>
      <c r="L24" s="12" t="inlineStr">
        <is>
          <t>7/C</t>
        </is>
      </c>
      <c r="M24" s="12" t="inlineStr">
        <is>
          <t>14</t>
        </is>
      </c>
      <c r="N24" s="12" t="n">
        <v>1</v>
      </c>
      <c r="O24" s="12" t="n">
        <v>1</v>
      </c>
      <c r="P24" s="12" t="n"/>
      <c r="Q24" s="12" t="n"/>
      <c r="R24" s="12" t="n"/>
      <c r="S24" s="12" t="inlineStr">
        <is>
          <t>Tray</t>
        </is>
      </c>
      <c r="T24" s="16" t="n">
        <v>481</v>
      </c>
      <c r="U24" s="16" t="n">
        <v>84</v>
      </c>
      <c r="V24" s="16">
        <f>ROUNDUP((T24+U24+2*'Read Me'!$B$13)*(1+'Read Me'!$B$12),-1)</f>
        <v/>
      </c>
      <c r="W24" s="16">
        <f>V24*N24*O24</f>
        <v/>
      </c>
      <c r="X24" s="12">
        <f>IF(LEFT(I24,2)="MV",2*N24*IF(L24="1/C",O24,1),0)</f>
        <v/>
      </c>
      <c r="Y24" s="12">
        <f>IF(OR(LEFT(K24,4)="LVAX",LEFT(K24,6)="MV15AX",LEFT(K24,4)="CTAX",LEFT(K24,2)="W|"),2*N24*O24,0)</f>
        <v/>
      </c>
      <c r="Z24" s="12" t="inlineStr"/>
      <c r="AA24" s="12">
        <f>N24*O24</f>
        <v/>
      </c>
    </row>
    <row r="25">
      <c r="A25" s="12" t="inlineStr">
        <is>
          <t>A-C-0013</t>
        </is>
      </c>
      <c r="B25" s="12" t="inlineStr">
        <is>
          <t>A</t>
        </is>
      </c>
      <c r="C25" s="12" t="inlineStr">
        <is>
          <t>Power block</t>
        </is>
      </c>
      <c r="D25" s="12" t="inlineStr">
        <is>
          <t>Motor 2 of 4: control / local station</t>
        </is>
      </c>
      <c r="E25" s="12" t="inlineStr">
        <is>
          <t>R2C</t>
        </is>
      </c>
      <c r="F25" s="12" t="inlineStr">
        <is>
          <t>R2C: unit / HRSG electrical e-house (32 x 40 ft)</t>
        </is>
      </c>
      <c r="G25" s="12" t="inlineStr">
        <is>
          <t>BFP-3</t>
        </is>
      </c>
      <c r="H25" s="12" t="inlineStr">
        <is>
          <t>BFP-3A/B: boiler feed pumps (13.8 kV DOL)</t>
        </is>
      </c>
      <c r="I25" s="12" t="inlineStr">
        <is>
          <t>Control</t>
        </is>
      </c>
      <c r="J25" s="12" t="inlineStr">
        <is>
          <t>Control cable 600 V Type TC-ER, Cu #14 AWG, PVC jacket</t>
        </is>
      </c>
      <c r="K25" s="12" t="inlineStr">
        <is>
          <t>CT|7/C|14</t>
        </is>
      </c>
      <c r="L25" s="12" t="inlineStr">
        <is>
          <t>7/C</t>
        </is>
      </c>
      <c r="M25" s="12" t="inlineStr">
        <is>
          <t>14</t>
        </is>
      </c>
      <c r="N25" s="12" t="n">
        <v>1</v>
      </c>
      <c r="O25" s="12" t="n">
        <v>1</v>
      </c>
      <c r="P25" s="12" t="n"/>
      <c r="Q25" s="12" t="n"/>
      <c r="R25" s="12" t="n"/>
      <c r="S25" s="12" t="inlineStr">
        <is>
          <t>Tray</t>
        </is>
      </c>
      <c r="T25" s="16" t="n">
        <v>481</v>
      </c>
      <c r="U25" s="16" t="n">
        <v>84</v>
      </c>
      <c r="V25" s="16">
        <f>ROUNDUP((T25+U25+2*'Read Me'!$B$13)*(1+'Read Me'!$B$12),-1)</f>
        <v/>
      </c>
      <c r="W25" s="16">
        <f>V25*N25*O25</f>
        <v/>
      </c>
      <c r="X25" s="12">
        <f>IF(LEFT(I25,2)="MV",2*N25*IF(L25="1/C",O25,1),0)</f>
        <v/>
      </c>
      <c r="Y25" s="12">
        <f>IF(OR(LEFT(K25,4)="LVAX",LEFT(K25,6)="MV15AX",LEFT(K25,4)="CTAX",LEFT(K25,2)="W|"),2*N25*O25,0)</f>
        <v/>
      </c>
      <c r="Z25" s="12" t="inlineStr"/>
      <c r="AA25" s="12">
        <f>N25*O25</f>
        <v/>
      </c>
    </row>
    <row r="26">
      <c r="A26" s="12" t="inlineStr">
        <is>
          <t>A-C-0014</t>
        </is>
      </c>
      <c r="B26" s="12" t="inlineStr">
        <is>
          <t>A</t>
        </is>
      </c>
      <c r="C26" s="12" t="inlineStr">
        <is>
          <t>Power block</t>
        </is>
      </c>
      <c r="D26" s="12" t="inlineStr">
        <is>
          <t>Motor 3 of 4: control / local station</t>
        </is>
      </c>
      <c r="E26" s="12" t="inlineStr">
        <is>
          <t>R2C</t>
        </is>
      </c>
      <c r="F26" s="12" t="inlineStr">
        <is>
          <t>R2C: unit / HRSG electrical e-house (32 x 40 ft)</t>
        </is>
      </c>
      <c r="G26" s="12" t="inlineStr">
        <is>
          <t>BFP-3</t>
        </is>
      </c>
      <c r="H26" s="12" t="inlineStr">
        <is>
          <t>BFP-3A/B: boiler feed pumps (13.8 kV DOL)</t>
        </is>
      </c>
      <c r="I26" s="12" t="inlineStr">
        <is>
          <t>Control</t>
        </is>
      </c>
      <c r="J26" s="12" t="inlineStr">
        <is>
          <t>Control cable 600 V Type TC-ER, Cu #14 AWG, PVC jacket</t>
        </is>
      </c>
      <c r="K26" s="12" t="inlineStr">
        <is>
          <t>CT|7/C|14</t>
        </is>
      </c>
      <c r="L26" s="12" t="inlineStr">
        <is>
          <t>7/C</t>
        </is>
      </c>
      <c r="M26" s="12" t="inlineStr">
        <is>
          <t>14</t>
        </is>
      </c>
      <c r="N26" s="12" t="n">
        <v>1</v>
      </c>
      <c r="O26" s="12" t="n">
        <v>1</v>
      </c>
      <c r="P26" s="12" t="n"/>
      <c r="Q26" s="12" t="n"/>
      <c r="R26" s="12" t="n"/>
      <c r="S26" s="12" t="inlineStr">
        <is>
          <t>Tray</t>
        </is>
      </c>
      <c r="T26" s="16" t="n">
        <v>481</v>
      </c>
      <c r="U26" s="16" t="n">
        <v>84</v>
      </c>
      <c r="V26" s="16">
        <f>ROUNDUP((T26+U26+2*'Read Me'!$B$13)*(1+'Read Me'!$B$12),-1)</f>
        <v/>
      </c>
      <c r="W26" s="16">
        <f>V26*N26*O26</f>
        <v/>
      </c>
      <c r="X26" s="12">
        <f>IF(LEFT(I26,2)="MV",2*N26*IF(L26="1/C",O26,1),0)</f>
        <v/>
      </c>
      <c r="Y26" s="12">
        <f>IF(OR(LEFT(K26,4)="LVAX",LEFT(K26,6)="MV15AX",LEFT(K26,4)="CTAX",LEFT(K26,2)="W|"),2*N26*O26,0)</f>
        <v/>
      </c>
      <c r="Z26" s="12" t="inlineStr"/>
      <c r="AA26" s="12">
        <f>N26*O26</f>
        <v/>
      </c>
    </row>
    <row r="27">
      <c r="A27" s="12" t="inlineStr">
        <is>
          <t>A-C-0015</t>
        </is>
      </c>
      <c r="B27" s="12" t="inlineStr">
        <is>
          <t>A</t>
        </is>
      </c>
      <c r="C27" s="12" t="inlineStr">
        <is>
          <t>Power block</t>
        </is>
      </c>
      <c r="D27" s="12" t="inlineStr">
        <is>
          <t>Motor 4 of 4: control / local station</t>
        </is>
      </c>
      <c r="E27" s="12" t="inlineStr">
        <is>
          <t>R2C</t>
        </is>
      </c>
      <c r="F27" s="12" t="inlineStr">
        <is>
          <t>R2C: unit / HRSG electrical e-house (32 x 40 ft)</t>
        </is>
      </c>
      <c r="G27" s="12" t="inlineStr">
        <is>
          <t>BFP-3</t>
        </is>
      </c>
      <c r="H27" s="12" t="inlineStr">
        <is>
          <t>BFP-3A/B: boiler feed pumps (13.8 kV DOL)</t>
        </is>
      </c>
      <c r="I27" s="12" t="inlineStr">
        <is>
          <t>Control</t>
        </is>
      </c>
      <c r="J27" s="12" t="inlineStr">
        <is>
          <t>Control cable 600 V Type TC-ER, Cu #14 AWG, PVC jacket</t>
        </is>
      </c>
      <c r="K27" s="12" t="inlineStr">
        <is>
          <t>CT|7/C|14</t>
        </is>
      </c>
      <c r="L27" s="12" t="inlineStr">
        <is>
          <t>7/C</t>
        </is>
      </c>
      <c r="M27" s="12" t="inlineStr">
        <is>
          <t>14</t>
        </is>
      </c>
      <c r="N27" s="12" t="n">
        <v>1</v>
      </c>
      <c r="O27" s="12" t="n">
        <v>1</v>
      </c>
      <c r="P27" s="12" t="n"/>
      <c r="Q27" s="12" t="n"/>
      <c r="R27" s="12" t="n"/>
      <c r="S27" s="12" t="inlineStr">
        <is>
          <t>Tray</t>
        </is>
      </c>
      <c r="T27" s="16" t="n">
        <v>481</v>
      </c>
      <c r="U27" s="16" t="n">
        <v>84</v>
      </c>
      <c r="V27" s="16">
        <f>ROUNDUP((T27+U27+2*'Read Me'!$B$13)*(1+'Read Me'!$B$12),-1)</f>
        <v/>
      </c>
      <c r="W27" s="16">
        <f>V27*N27*O27</f>
        <v/>
      </c>
      <c r="X27" s="12">
        <f>IF(LEFT(I27,2)="MV",2*N27*IF(L27="1/C",O27,1),0)</f>
        <v/>
      </c>
      <c r="Y27" s="12">
        <f>IF(OR(LEFT(K27,4)="LVAX",LEFT(K27,6)="MV15AX",LEFT(K27,4)="CTAX",LEFT(K27,2)="W|"),2*N27*O27,0)</f>
        <v/>
      </c>
      <c r="Z27" s="12" t="inlineStr"/>
      <c r="AA27" s="12">
        <f>N27*O27</f>
        <v/>
      </c>
    </row>
    <row r="28">
      <c r="A28" s="12" t="inlineStr">
        <is>
          <t>A-C-0016</t>
        </is>
      </c>
      <c r="B28" s="12" t="inlineStr">
        <is>
          <t>A</t>
        </is>
      </c>
      <c r="C28" s="12" t="inlineStr">
        <is>
          <t>Power block</t>
        </is>
      </c>
      <c r="D28" s="12" t="inlineStr">
        <is>
          <t>Motor 1 of 2: control / local station</t>
        </is>
      </c>
      <c r="E28" s="12" t="inlineStr">
        <is>
          <t>R2A</t>
        </is>
      </c>
      <c r="F28" s="12" t="inlineStr">
        <is>
          <t>R2A: unit / HRSG electrical e-house (32 x 40 ft)</t>
        </is>
      </c>
      <c r="G28" s="12" t="inlineStr">
        <is>
          <t>CEMS-1</t>
        </is>
      </c>
      <c r="H28" s="12" t="inlineStr">
        <is>
          <t>CEMS shelter, HRSG 1</t>
        </is>
      </c>
      <c r="I28" s="12" t="inlineStr">
        <is>
          <t>Control</t>
        </is>
      </c>
      <c r="J28" s="12" t="inlineStr">
        <is>
          <t>Control cable 600 V Type TC-ER, Cu #14 AWG, PVC jacket</t>
        </is>
      </c>
      <c r="K28" s="12" t="inlineStr">
        <is>
          <t>CT|7/C|14</t>
        </is>
      </c>
      <c r="L28" s="12" t="inlineStr">
        <is>
          <t>7/C</t>
        </is>
      </c>
      <c r="M28" s="12" t="inlineStr">
        <is>
          <t>14</t>
        </is>
      </c>
      <c r="N28" s="12" t="n">
        <v>1</v>
      </c>
      <c r="O28" s="12" t="n">
        <v>1</v>
      </c>
      <c r="P28" s="12" t="n"/>
      <c r="Q28" s="12" t="n"/>
      <c r="R28" s="12" t="n"/>
      <c r="S28" s="12" t="inlineStr">
        <is>
          <t>Tray</t>
        </is>
      </c>
      <c r="T28" s="16" t="n">
        <v>277</v>
      </c>
      <c r="U28" s="16" t="n">
        <v>97</v>
      </c>
      <c r="V28" s="16">
        <f>ROUNDUP((T28+U28+2*'Read Me'!$B$13)*(1+'Read Me'!$B$12),-1)</f>
        <v/>
      </c>
      <c r="W28" s="16">
        <f>V28*N28*O28</f>
        <v/>
      </c>
      <c r="X28" s="12">
        <f>IF(LEFT(I28,2)="MV",2*N28*IF(L28="1/C",O28,1),0)</f>
        <v/>
      </c>
      <c r="Y28" s="12">
        <f>IF(OR(LEFT(K28,4)="LVAX",LEFT(K28,6)="MV15AX",LEFT(K28,4)="CTAX",LEFT(K28,2)="W|"),2*N28*O28,0)</f>
        <v/>
      </c>
      <c r="Z28" s="12" t="inlineStr"/>
      <c r="AA28" s="12">
        <f>N28*O28</f>
        <v/>
      </c>
    </row>
    <row r="29">
      <c r="A29" s="12" t="inlineStr">
        <is>
          <t>A-C-0017</t>
        </is>
      </c>
      <c r="B29" s="12" t="inlineStr">
        <is>
          <t>A</t>
        </is>
      </c>
      <c r="C29" s="12" t="inlineStr">
        <is>
          <t>Power block</t>
        </is>
      </c>
      <c r="D29" s="12" t="inlineStr">
        <is>
          <t>Motor 2 of 2: control / local station</t>
        </is>
      </c>
      <c r="E29" s="12" t="inlineStr">
        <is>
          <t>R2A</t>
        </is>
      </c>
      <c r="F29" s="12" t="inlineStr">
        <is>
          <t>R2A: unit / HRSG electrical e-house (32 x 40 ft)</t>
        </is>
      </c>
      <c r="G29" s="12" t="inlineStr">
        <is>
          <t>CEMS-1</t>
        </is>
      </c>
      <c r="H29" s="12" t="inlineStr">
        <is>
          <t>CEMS shelter, HRSG 1</t>
        </is>
      </c>
      <c r="I29" s="12" t="inlineStr">
        <is>
          <t>Control</t>
        </is>
      </c>
      <c r="J29" s="12" t="inlineStr">
        <is>
          <t>Control cable 600 V Type TC-ER, Cu #14 AWG, PVC jacket</t>
        </is>
      </c>
      <c r="K29" s="12" t="inlineStr">
        <is>
          <t>CT|7/C|14</t>
        </is>
      </c>
      <c r="L29" s="12" t="inlineStr">
        <is>
          <t>7/C</t>
        </is>
      </c>
      <c r="M29" s="12" t="inlineStr">
        <is>
          <t>14</t>
        </is>
      </c>
      <c r="N29" s="12" t="n">
        <v>1</v>
      </c>
      <c r="O29" s="12" t="n">
        <v>1</v>
      </c>
      <c r="P29" s="12" t="n"/>
      <c r="Q29" s="12" t="n"/>
      <c r="R29" s="12" t="n"/>
      <c r="S29" s="12" t="inlineStr">
        <is>
          <t>Tray</t>
        </is>
      </c>
      <c r="T29" s="16" t="n">
        <v>277</v>
      </c>
      <c r="U29" s="16" t="n">
        <v>97</v>
      </c>
      <c r="V29" s="16">
        <f>ROUNDUP((T29+U29+2*'Read Me'!$B$13)*(1+'Read Me'!$B$12),-1)</f>
        <v/>
      </c>
      <c r="W29" s="16">
        <f>V29*N29*O29</f>
        <v/>
      </c>
      <c r="X29" s="12">
        <f>IF(LEFT(I29,2)="MV",2*N29*IF(L29="1/C",O29,1),0)</f>
        <v/>
      </c>
      <c r="Y29" s="12">
        <f>IF(OR(LEFT(K29,4)="LVAX",LEFT(K29,6)="MV15AX",LEFT(K29,4)="CTAX",LEFT(K29,2)="W|"),2*N29*O29,0)</f>
        <v/>
      </c>
      <c r="Z29" s="12" t="inlineStr"/>
      <c r="AA29" s="12">
        <f>N29*O29</f>
        <v/>
      </c>
    </row>
    <row r="30">
      <c r="A30" s="12" t="inlineStr">
        <is>
          <t>A-C-0018</t>
        </is>
      </c>
      <c r="B30" s="12" t="inlineStr">
        <is>
          <t>A</t>
        </is>
      </c>
      <c r="C30" s="12" t="inlineStr">
        <is>
          <t>Power block</t>
        </is>
      </c>
      <c r="D30" s="12" t="inlineStr">
        <is>
          <t>Motor 1 of 2: control / local station</t>
        </is>
      </c>
      <c r="E30" s="12" t="inlineStr">
        <is>
          <t>R2B</t>
        </is>
      </c>
      <c r="F30" s="12" t="inlineStr">
        <is>
          <t>R2B: unit / HRSG electrical e-house (32 x 40 ft)</t>
        </is>
      </c>
      <c r="G30" s="12" t="inlineStr">
        <is>
          <t>CEMS-2</t>
        </is>
      </c>
      <c r="H30" s="12" t="inlineStr">
        <is>
          <t>CEMS shelter, HRSG 2</t>
        </is>
      </c>
      <c r="I30" s="12" t="inlineStr">
        <is>
          <t>Control</t>
        </is>
      </c>
      <c r="J30" s="12" t="inlineStr">
        <is>
          <t>Control cable 600 V Type TC-ER, Cu #14 AWG, PVC jacket</t>
        </is>
      </c>
      <c r="K30" s="12" t="inlineStr">
        <is>
          <t>CT|7/C|14</t>
        </is>
      </c>
      <c r="L30" s="12" t="inlineStr">
        <is>
          <t>7/C</t>
        </is>
      </c>
      <c r="M30" s="12" t="inlineStr">
        <is>
          <t>14</t>
        </is>
      </c>
      <c r="N30" s="12" t="n">
        <v>1</v>
      </c>
      <c r="O30" s="12" t="n">
        <v>1</v>
      </c>
      <c r="P30" s="12" t="n"/>
      <c r="Q30" s="12" t="n"/>
      <c r="R30" s="12" t="n"/>
      <c r="S30" s="12" t="inlineStr">
        <is>
          <t>Tray</t>
        </is>
      </c>
      <c r="T30" s="16" t="n">
        <v>273</v>
      </c>
      <c r="U30" s="16" t="n">
        <v>93</v>
      </c>
      <c r="V30" s="16">
        <f>ROUNDUP((T30+U30+2*'Read Me'!$B$13)*(1+'Read Me'!$B$12),-1)</f>
        <v/>
      </c>
      <c r="W30" s="16">
        <f>V30*N30*O30</f>
        <v/>
      </c>
      <c r="X30" s="12">
        <f>IF(LEFT(I30,2)="MV",2*N30*IF(L30="1/C",O30,1),0)</f>
        <v/>
      </c>
      <c r="Y30" s="12">
        <f>IF(OR(LEFT(K30,4)="LVAX",LEFT(K30,6)="MV15AX",LEFT(K30,4)="CTAX",LEFT(K30,2)="W|"),2*N30*O30,0)</f>
        <v/>
      </c>
      <c r="Z30" s="12" t="inlineStr"/>
      <c r="AA30" s="12">
        <f>N30*O30</f>
        <v/>
      </c>
    </row>
    <row r="31">
      <c r="A31" s="12" t="inlineStr">
        <is>
          <t>A-C-0019</t>
        </is>
      </c>
      <c r="B31" s="12" t="inlineStr">
        <is>
          <t>A</t>
        </is>
      </c>
      <c r="C31" s="12" t="inlineStr">
        <is>
          <t>Power block</t>
        </is>
      </c>
      <c r="D31" s="12" t="inlineStr">
        <is>
          <t>Motor 2 of 2: control / local station</t>
        </is>
      </c>
      <c r="E31" s="12" t="inlineStr">
        <is>
          <t>R2B</t>
        </is>
      </c>
      <c r="F31" s="12" t="inlineStr">
        <is>
          <t>R2B: unit / HRSG electrical e-house (32 x 40 ft)</t>
        </is>
      </c>
      <c r="G31" s="12" t="inlineStr">
        <is>
          <t>CEMS-2</t>
        </is>
      </c>
      <c r="H31" s="12" t="inlineStr">
        <is>
          <t>CEMS shelter, HRSG 2</t>
        </is>
      </c>
      <c r="I31" s="12" t="inlineStr">
        <is>
          <t>Control</t>
        </is>
      </c>
      <c r="J31" s="12" t="inlineStr">
        <is>
          <t>Control cable 600 V Type TC-ER, Cu #14 AWG, PVC jacket</t>
        </is>
      </c>
      <c r="K31" s="12" t="inlineStr">
        <is>
          <t>CT|7/C|14</t>
        </is>
      </c>
      <c r="L31" s="12" t="inlineStr">
        <is>
          <t>7/C</t>
        </is>
      </c>
      <c r="M31" s="12" t="inlineStr">
        <is>
          <t>14</t>
        </is>
      </c>
      <c r="N31" s="12" t="n">
        <v>1</v>
      </c>
      <c r="O31" s="12" t="n">
        <v>1</v>
      </c>
      <c r="P31" s="12" t="n"/>
      <c r="Q31" s="12" t="n"/>
      <c r="R31" s="12" t="n"/>
      <c r="S31" s="12" t="inlineStr">
        <is>
          <t>Tray</t>
        </is>
      </c>
      <c r="T31" s="16" t="n">
        <v>273</v>
      </c>
      <c r="U31" s="16" t="n">
        <v>93</v>
      </c>
      <c r="V31" s="16">
        <f>ROUNDUP((T31+U31+2*'Read Me'!$B$13)*(1+'Read Me'!$B$12),-1)</f>
        <v/>
      </c>
      <c r="W31" s="16">
        <f>V31*N31*O31</f>
        <v/>
      </c>
      <c r="X31" s="12">
        <f>IF(LEFT(I31,2)="MV",2*N31*IF(L31="1/C",O31,1),0)</f>
        <v/>
      </c>
      <c r="Y31" s="12">
        <f>IF(OR(LEFT(K31,4)="LVAX",LEFT(K31,6)="MV15AX",LEFT(K31,4)="CTAX",LEFT(K31,2)="W|"),2*N31*O31,0)</f>
        <v/>
      </c>
      <c r="Z31" s="12" t="inlineStr"/>
      <c r="AA31" s="12">
        <f>N31*O31</f>
        <v/>
      </c>
    </row>
    <row r="32">
      <c r="A32" s="12" t="inlineStr">
        <is>
          <t>A-C-0020</t>
        </is>
      </c>
      <c r="B32" s="12" t="inlineStr">
        <is>
          <t>A</t>
        </is>
      </c>
      <c r="C32" s="12" t="inlineStr">
        <is>
          <t>Power block</t>
        </is>
      </c>
      <c r="D32" s="12" t="inlineStr">
        <is>
          <t>Motor 1 of 2: control / local station</t>
        </is>
      </c>
      <c r="E32" s="12" t="inlineStr">
        <is>
          <t>R2C</t>
        </is>
      </c>
      <c r="F32" s="12" t="inlineStr">
        <is>
          <t>R2C: unit / HRSG electrical e-house (32 x 40 ft)</t>
        </is>
      </c>
      <c r="G32" s="12" t="inlineStr">
        <is>
          <t>CEMS-3</t>
        </is>
      </c>
      <c r="H32" s="12" t="inlineStr">
        <is>
          <t>CEMS shelter, HRSG 3</t>
        </is>
      </c>
      <c r="I32" s="12" t="inlineStr">
        <is>
          <t>Control</t>
        </is>
      </c>
      <c r="J32" s="12" t="inlineStr">
        <is>
          <t>Control cable 600 V Type TC-ER, Cu #14 AWG, PVC jacket</t>
        </is>
      </c>
      <c r="K32" s="12" t="inlineStr">
        <is>
          <t>CT|7/C|14</t>
        </is>
      </c>
      <c r="L32" s="12" t="inlineStr">
        <is>
          <t>7/C</t>
        </is>
      </c>
      <c r="M32" s="12" t="inlineStr">
        <is>
          <t>14</t>
        </is>
      </c>
      <c r="N32" s="12" t="n">
        <v>1</v>
      </c>
      <c r="O32" s="12" t="n">
        <v>1</v>
      </c>
      <c r="P32" s="12" t="n"/>
      <c r="Q32" s="12" t="n"/>
      <c r="R32" s="12" t="n"/>
      <c r="S32" s="12" t="inlineStr">
        <is>
          <t>Tray</t>
        </is>
      </c>
      <c r="T32" s="16" t="n">
        <v>277</v>
      </c>
      <c r="U32" s="16" t="n">
        <v>97</v>
      </c>
      <c r="V32" s="16">
        <f>ROUNDUP((T32+U32+2*'Read Me'!$B$13)*(1+'Read Me'!$B$12),-1)</f>
        <v/>
      </c>
      <c r="W32" s="16">
        <f>V32*N32*O32</f>
        <v/>
      </c>
      <c r="X32" s="12">
        <f>IF(LEFT(I32,2)="MV",2*N32*IF(L32="1/C",O32,1),0)</f>
        <v/>
      </c>
      <c r="Y32" s="12">
        <f>IF(OR(LEFT(K32,4)="LVAX",LEFT(K32,6)="MV15AX",LEFT(K32,4)="CTAX",LEFT(K32,2)="W|"),2*N32*O32,0)</f>
        <v/>
      </c>
      <c r="Z32" s="12" t="inlineStr"/>
      <c r="AA32" s="12">
        <f>N32*O32</f>
        <v/>
      </c>
    </row>
    <row r="33">
      <c r="A33" s="12" t="inlineStr">
        <is>
          <t>A-C-0021</t>
        </is>
      </c>
      <c r="B33" s="12" t="inlineStr">
        <is>
          <t>A</t>
        </is>
      </c>
      <c r="C33" s="12" t="inlineStr">
        <is>
          <t>Power block</t>
        </is>
      </c>
      <c r="D33" s="12" t="inlineStr">
        <is>
          <t>Motor 2 of 2: control / local station</t>
        </is>
      </c>
      <c r="E33" s="12" t="inlineStr">
        <is>
          <t>R2C</t>
        </is>
      </c>
      <c r="F33" s="12" t="inlineStr">
        <is>
          <t>R2C: unit / HRSG electrical e-house (32 x 40 ft)</t>
        </is>
      </c>
      <c r="G33" s="12" t="inlineStr">
        <is>
          <t>CEMS-3</t>
        </is>
      </c>
      <c r="H33" s="12" t="inlineStr">
        <is>
          <t>CEMS shelter, HRSG 3</t>
        </is>
      </c>
      <c r="I33" s="12" t="inlineStr">
        <is>
          <t>Control</t>
        </is>
      </c>
      <c r="J33" s="12" t="inlineStr">
        <is>
          <t>Control cable 600 V Type TC-ER, Cu #14 AWG, PVC jacket</t>
        </is>
      </c>
      <c r="K33" s="12" t="inlineStr">
        <is>
          <t>CT|7/C|14</t>
        </is>
      </c>
      <c r="L33" s="12" t="inlineStr">
        <is>
          <t>7/C</t>
        </is>
      </c>
      <c r="M33" s="12" t="inlineStr">
        <is>
          <t>14</t>
        </is>
      </c>
      <c r="N33" s="12" t="n">
        <v>1</v>
      </c>
      <c r="O33" s="12" t="n">
        <v>1</v>
      </c>
      <c r="P33" s="12" t="n"/>
      <c r="Q33" s="12" t="n"/>
      <c r="R33" s="12" t="n"/>
      <c r="S33" s="12" t="inlineStr">
        <is>
          <t>Tray</t>
        </is>
      </c>
      <c r="T33" s="16" t="n">
        <v>277</v>
      </c>
      <c r="U33" s="16" t="n">
        <v>97</v>
      </c>
      <c r="V33" s="16">
        <f>ROUNDUP((T33+U33+2*'Read Me'!$B$13)*(1+'Read Me'!$B$12),-1)</f>
        <v/>
      </c>
      <c r="W33" s="16">
        <f>V33*N33*O33</f>
        <v/>
      </c>
      <c r="X33" s="12">
        <f>IF(LEFT(I33,2)="MV",2*N33*IF(L33="1/C",O33,1),0)</f>
        <v/>
      </c>
      <c r="Y33" s="12">
        <f>IF(OR(LEFT(K33,4)="LVAX",LEFT(K33,6)="MV15AX",LEFT(K33,4)="CTAX",LEFT(K33,2)="W|"),2*N33*O33,0)</f>
        <v/>
      </c>
      <c r="Z33" s="12" t="inlineStr"/>
      <c r="AA33" s="12">
        <f>N33*O33</f>
        <v/>
      </c>
    </row>
    <row r="34">
      <c r="A34" s="12" t="inlineStr">
        <is>
          <t>A-C-0022</t>
        </is>
      </c>
      <c r="B34" s="12" t="inlineStr">
        <is>
          <t>A</t>
        </is>
      </c>
      <c r="C34" s="12" t="inlineStr">
        <is>
          <t>Power block</t>
        </is>
      </c>
      <c r="D34" s="12" t="inlineStr">
        <is>
          <t>Motor 1 of 6: control / local station</t>
        </is>
      </c>
      <c r="E34" s="12" t="inlineStr">
        <is>
          <t>R3</t>
        </is>
      </c>
      <c r="F34" s="12" t="inlineStr">
        <is>
          <t>R3: ST auxiliary electrical e-house (40 x 65 ft)</t>
        </is>
      </c>
      <c r="G34" s="12" t="inlineStr">
        <is>
          <t>Chem feed</t>
        </is>
      </c>
      <c r="H34" s="12" t="inlineStr">
        <is>
          <t>Chemical feed</t>
        </is>
      </c>
      <c r="I34" s="12" t="inlineStr">
        <is>
          <t>Control</t>
        </is>
      </c>
      <c r="J34" s="12" t="inlineStr">
        <is>
          <t>Control cable 600 V Type TC-ER, Cu #14 AWG, PVC jacket</t>
        </is>
      </c>
      <c r="K34" s="12" t="inlineStr">
        <is>
          <t>CT|7/C|14</t>
        </is>
      </c>
      <c r="L34" s="12" t="inlineStr">
        <is>
          <t>7/C</t>
        </is>
      </c>
      <c r="M34" s="12" t="inlineStr">
        <is>
          <t>14</t>
        </is>
      </c>
      <c r="N34" s="12" t="n">
        <v>1</v>
      </c>
      <c r="O34" s="12" t="n">
        <v>1</v>
      </c>
      <c r="P34" s="12" t="n"/>
      <c r="Q34" s="12" t="n"/>
      <c r="R34" s="12" t="n"/>
      <c r="S34" s="12" t="inlineStr">
        <is>
          <t>Duct bank</t>
        </is>
      </c>
      <c r="T34" s="16" t="n">
        <v>258</v>
      </c>
      <c r="U34" s="16" t="n">
        <v>35</v>
      </c>
      <c r="V34" s="16">
        <f>ROUNDUP((T34+U34+2*'Read Me'!$B$13)*(1+'Read Me'!$B$12),-1)</f>
        <v/>
      </c>
      <c r="W34" s="16">
        <f>V34*N34*O34</f>
        <v/>
      </c>
      <c r="X34" s="12">
        <f>IF(LEFT(I34,2)="MV",2*N34*IF(L34="1/C",O34,1),0)</f>
        <v/>
      </c>
      <c r="Y34" s="12">
        <f>IF(OR(LEFT(K34,4)="LVAX",LEFT(K34,6)="MV15AX",LEFT(K34,4)="CTAX",LEFT(K34,2)="W|"),2*N34*O34,0)</f>
        <v/>
      </c>
      <c r="Z34" s="12" t="inlineStr"/>
      <c r="AA34" s="12">
        <f>N34*O34</f>
        <v/>
      </c>
    </row>
    <row r="35">
      <c r="A35" s="12" t="inlineStr">
        <is>
          <t>A-C-0023</t>
        </is>
      </c>
      <c r="B35" s="12" t="inlineStr">
        <is>
          <t>A</t>
        </is>
      </c>
      <c r="C35" s="12" t="inlineStr">
        <is>
          <t>Power block</t>
        </is>
      </c>
      <c r="D35" s="12" t="inlineStr">
        <is>
          <t>Motor 2 of 6: control / local station</t>
        </is>
      </c>
      <c r="E35" s="12" t="inlineStr">
        <is>
          <t>R3</t>
        </is>
      </c>
      <c r="F35" s="12" t="inlineStr">
        <is>
          <t>R3: ST auxiliary electrical e-house (40 x 65 ft)</t>
        </is>
      </c>
      <c r="G35" s="12" t="inlineStr">
        <is>
          <t>Chem feed</t>
        </is>
      </c>
      <c r="H35" s="12" t="inlineStr">
        <is>
          <t>Chemical feed</t>
        </is>
      </c>
      <c r="I35" s="12" t="inlineStr">
        <is>
          <t>Control</t>
        </is>
      </c>
      <c r="J35" s="12" t="inlineStr">
        <is>
          <t>Control cable 600 V Type TC-ER, Cu #14 AWG, PVC jacket</t>
        </is>
      </c>
      <c r="K35" s="12" t="inlineStr">
        <is>
          <t>CT|7/C|14</t>
        </is>
      </c>
      <c r="L35" s="12" t="inlineStr">
        <is>
          <t>7/C</t>
        </is>
      </c>
      <c r="M35" s="12" t="inlineStr">
        <is>
          <t>14</t>
        </is>
      </c>
      <c r="N35" s="12" t="n">
        <v>1</v>
      </c>
      <c r="O35" s="12" t="n">
        <v>1</v>
      </c>
      <c r="P35" s="12" t="n"/>
      <c r="Q35" s="12" t="n"/>
      <c r="R35" s="12" t="n"/>
      <c r="S35" s="12" t="inlineStr">
        <is>
          <t>Duct bank</t>
        </is>
      </c>
      <c r="T35" s="16" t="n">
        <v>258</v>
      </c>
      <c r="U35" s="16" t="n">
        <v>35</v>
      </c>
      <c r="V35" s="16">
        <f>ROUNDUP((T35+U35+2*'Read Me'!$B$13)*(1+'Read Me'!$B$12),-1)</f>
        <v/>
      </c>
      <c r="W35" s="16">
        <f>V35*N35*O35</f>
        <v/>
      </c>
      <c r="X35" s="12">
        <f>IF(LEFT(I35,2)="MV",2*N35*IF(L35="1/C",O35,1),0)</f>
        <v/>
      </c>
      <c r="Y35" s="12">
        <f>IF(OR(LEFT(K35,4)="LVAX",LEFT(K35,6)="MV15AX",LEFT(K35,4)="CTAX",LEFT(K35,2)="W|"),2*N35*O35,0)</f>
        <v/>
      </c>
      <c r="Z35" s="12" t="inlineStr"/>
      <c r="AA35" s="12">
        <f>N35*O35</f>
        <v/>
      </c>
    </row>
    <row r="36">
      <c r="A36" s="12" t="inlineStr">
        <is>
          <t>A-C-0024</t>
        </is>
      </c>
      <c r="B36" s="12" t="inlineStr">
        <is>
          <t>A</t>
        </is>
      </c>
      <c r="C36" s="12" t="inlineStr">
        <is>
          <t>Power block</t>
        </is>
      </c>
      <c r="D36" s="12" t="inlineStr">
        <is>
          <t>Motor 3 of 6: control / local station</t>
        </is>
      </c>
      <c r="E36" s="12" t="inlineStr">
        <is>
          <t>R3</t>
        </is>
      </c>
      <c r="F36" s="12" t="inlineStr">
        <is>
          <t>R3: ST auxiliary electrical e-house (40 x 65 ft)</t>
        </is>
      </c>
      <c r="G36" s="12" t="inlineStr">
        <is>
          <t>Chem feed</t>
        </is>
      </c>
      <c r="H36" s="12" t="inlineStr">
        <is>
          <t>Chemical feed</t>
        </is>
      </c>
      <c r="I36" s="12" t="inlineStr">
        <is>
          <t>Control</t>
        </is>
      </c>
      <c r="J36" s="12" t="inlineStr">
        <is>
          <t>Control cable 600 V Type TC-ER, Cu #14 AWG, PVC jacket</t>
        </is>
      </c>
      <c r="K36" s="12" t="inlineStr">
        <is>
          <t>CT|7/C|14</t>
        </is>
      </c>
      <c r="L36" s="12" t="inlineStr">
        <is>
          <t>7/C</t>
        </is>
      </c>
      <c r="M36" s="12" t="inlineStr">
        <is>
          <t>14</t>
        </is>
      </c>
      <c r="N36" s="12" t="n">
        <v>1</v>
      </c>
      <c r="O36" s="12" t="n">
        <v>1</v>
      </c>
      <c r="P36" s="12" t="n"/>
      <c r="Q36" s="12" t="n"/>
      <c r="R36" s="12" t="n"/>
      <c r="S36" s="12" t="inlineStr">
        <is>
          <t>Duct bank</t>
        </is>
      </c>
      <c r="T36" s="16" t="n">
        <v>258</v>
      </c>
      <c r="U36" s="16" t="n">
        <v>35</v>
      </c>
      <c r="V36" s="16">
        <f>ROUNDUP((T36+U36+2*'Read Me'!$B$13)*(1+'Read Me'!$B$12),-1)</f>
        <v/>
      </c>
      <c r="W36" s="16">
        <f>V36*N36*O36</f>
        <v/>
      </c>
      <c r="X36" s="12">
        <f>IF(LEFT(I36,2)="MV",2*N36*IF(L36="1/C",O36,1),0)</f>
        <v/>
      </c>
      <c r="Y36" s="12">
        <f>IF(OR(LEFT(K36,4)="LVAX",LEFT(K36,6)="MV15AX",LEFT(K36,4)="CTAX",LEFT(K36,2)="W|"),2*N36*O36,0)</f>
        <v/>
      </c>
      <c r="Z36" s="12" t="inlineStr"/>
      <c r="AA36" s="12">
        <f>N36*O36</f>
        <v/>
      </c>
    </row>
    <row r="37">
      <c r="A37" s="12" t="inlineStr">
        <is>
          <t>A-C-0025</t>
        </is>
      </c>
      <c r="B37" s="12" t="inlineStr">
        <is>
          <t>A</t>
        </is>
      </c>
      <c r="C37" s="12" t="inlineStr">
        <is>
          <t>Power block</t>
        </is>
      </c>
      <c r="D37" s="12" t="inlineStr">
        <is>
          <t>Motor 4 of 6: control / local station</t>
        </is>
      </c>
      <c r="E37" s="12" t="inlineStr">
        <is>
          <t>R3</t>
        </is>
      </c>
      <c r="F37" s="12" t="inlineStr">
        <is>
          <t>R3: ST auxiliary electrical e-house (40 x 65 ft)</t>
        </is>
      </c>
      <c r="G37" s="12" t="inlineStr">
        <is>
          <t>Chem feed</t>
        </is>
      </c>
      <c r="H37" s="12" t="inlineStr">
        <is>
          <t>Chemical feed</t>
        </is>
      </c>
      <c r="I37" s="12" t="inlineStr">
        <is>
          <t>Control</t>
        </is>
      </c>
      <c r="J37" s="12" t="inlineStr">
        <is>
          <t>Control cable 600 V Type TC-ER, Cu #14 AWG, PVC jacket</t>
        </is>
      </c>
      <c r="K37" s="12" t="inlineStr">
        <is>
          <t>CT|7/C|14</t>
        </is>
      </c>
      <c r="L37" s="12" t="inlineStr">
        <is>
          <t>7/C</t>
        </is>
      </c>
      <c r="M37" s="12" t="inlineStr">
        <is>
          <t>14</t>
        </is>
      </c>
      <c r="N37" s="12" t="n">
        <v>1</v>
      </c>
      <c r="O37" s="12" t="n">
        <v>1</v>
      </c>
      <c r="P37" s="12" t="n"/>
      <c r="Q37" s="12" t="n"/>
      <c r="R37" s="12" t="n"/>
      <c r="S37" s="12" t="inlineStr">
        <is>
          <t>Duct bank</t>
        </is>
      </c>
      <c r="T37" s="16" t="n">
        <v>258</v>
      </c>
      <c r="U37" s="16" t="n">
        <v>35</v>
      </c>
      <c r="V37" s="16">
        <f>ROUNDUP((T37+U37+2*'Read Me'!$B$13)*(1+'Read Me'!$B$12),-1)</f>
        <v/>
      </c>
      <c r="W37" s="16">
        <f>V37*N37*O37</f>
        <v/>
      </c>
      <c r="X37" s="12">
        <f>IF(LEFT(I37,2)="MV",2*N37*IF(L37="1/C",O37,1),0)</f>
        <v/>
      </c>
      <c r="Y37" s="12">
        <f>IF(OR(LEFT(K37,4)="LVAX",LEFT(K37,6)="MV15AX",LEFT(K37,4)="CTAX",LEFT(K37,2)="W|"),2*N37*O37,0)</f>
        <v/>
      </c>
      <c r="Z37" s="12" t="inlineStr"/>
      <c r="AA37" s="12">
        <f>N37*O37</f>
        <v/>
      </c>
    </row>
    <row r="38">
      <c r="A38" s="12" t="inlineStr">
        <is>
          <t>A-C-0026</t>
        </is>
      </c>
      <c r="B38" s="12" t="inlineStr">
        <is>
          <t>A</t>
        </is>
      </c>
      <c r="C38" s="12" t="inlineStr">
        <is>
          <t>Power block</t>
        </is>
      </c>
      <c r="D38" s="12" t="inlineStr">
        <is>
          <t>Motor 5 of 6: control / local station</t>
        </is>
      </c>
      <c r="E38" s="12" t="inlineStr">
        <is>
          <t>R3</t>
        </is>
      </c>
      <c r="F38" s="12" t="inlineStr">
        <is>
          <t>R3: ST auxiliary electrical e-house (40 x 65 ft)</t>
        </is>
      </c>
      <c r="G38" s="12" t="inlineStr">
        <is>
          <t>Chem feed</t>
        </is>
      </c>
      <c r="H38" s="12" t="inlineStr">
        <is>
          <t>Chemical feed</t>
        </is>
      </c>
      <c r="I38" s="12" t="inlineStr">
        <is>
          <t>Control</t>
        </is>
      </c>
      <c r="J38" s="12" t="inlineStr">
        <is>
          <t>Control cable 600 V Type TC-ER, Cu #14 AWG, PVC jacket</t>
        </is>
      </c>
      <c r="K38" s="12" t="inlineStr">
        <is>
          <t>CT|7/C|14</t>
        </is>
      </c>
      <c r="L38" s="12" t="inlineStr">
        <is>
          <t>7/C</t>
        </is>
      </c>
      <c r="M38" s="12" t="inlineStr">
        <is>
          <t>14</t>
        </is>
      </c>
      <c r="N38" s="12" t="n">
        <v>1</v>
      </c>
      <c r="O38" s="12" t="n">
        <v>1</v>
      </c>
      <c r="P38" s="12" t="n"/>
      <c r="Q38" s="12" t="n"/>
      <c r="R38" s="12" t="n"/>
      <c r="S38" s="12" t="inlineStr">
        <is>
          <t>Duct bank</t>
        </is>
      </c>
      <c r="T38" s="16" t="n">
        <v>258</v>
      </c>
      <c r="U38" s="16" t="n">
        <v>35</v>
      </c>
      <c r="V38" s="16">
        <f>ROUNDUP((T38+U38+2*'Read Me'!$B$13)*(1+'Read Me'!$B$12),-1)</f>
        <v/>
      </c>
      <c r="W38" s="16">
        <f>V38*N38*O38</f>
        <v/>
      </c>
      <c r="X38" s="12">
        <f>IF(LEFT(I38,2)="MV",2*N38*IF(L38="1/C",O38,1),0)</f>
        <v/>
      </c>
      <c r="Y38" s="12">
        <f>IF(OR(LEFT(K38,4)="LVAX",LEFT(K38,6)="MV15AX",LEFT(K38,4)="CTAX",LEFT(K38,2)="W|"),2*N38*O38,0)</f>
        <v/>
      </c>
      <c r="Z38" s="12" t="inlineStr"/>
      <c r="AA38" s="12">
        <f>N38*O38</f>
        <v/>
      </c>
    </row>
    <row r="39">
      <c r="A39" s="12" t="inlineStr">
        <is>
          <t>A-C-0027</t>
        </is>
      </c>
      <c r="B39" s="12" t="inlineStr">
        <is>
          <t>A</t>
        </is>
      </c>
      <c r="C39" s="12" t="inlineStr">
        <is>
          <t>Power block</t>
        </is>
      </c>
      <c r="D39" s="12" t="inlineStr">
        <is>
          <t>Motor 6 of 6: control / local station</t>
        </is>
      </c>
      <c r="E39" s="12" t="inlineStr">
        <is>
          <t>R3</t>
        </is>
      </c>
      <c r="F39" s="12" t="inlineStr">
        <is>
          <t>R3: ST auxiliary electrical e-house (40 x 65 ft)</t>
        </is>
      </c>
      <c r="G39" s="12" t="inlineStr">
        <is>
          <t>Chem feed</t>
        </is>
      </c>
      <c r="H39" s="12" t="inlineStr">
        <is>
          <t>Chemical feed</t>
        </is>
      </c>
      <c r="I39" s="12" t="inlineStr">
        <is>
          <t>Control</t>
        </is>
      </c>
      <c r="J39" s="12" t="inlineStr">
        <is>
          <t>Control cable 600 V Type TC-ER, Cu #14 AWG, PVC jacket</t>
        </is>
      </c>
      <c r="K39" s="12" t="inlineStr">
        <is>
          <t>CT|7/C|14</t>
        </is>
      </c>
      <c r="L39" s="12" t="inlineStr">
        <is>
          <t>7/C</t>
        </is>
      </c>
      <c r="M39" s="12" t="inlineStr">
        <is>
          <t>14</t>
        </is>
      </c>
      <c r="N39" s="12" t="n">
        <v>1</v>
      </c>
      <c r="O39" s="12" t="n">
        <v>1</v>
      </c>
      <c r="P39" s="12" t="n"/>
      <c r="Q39" s="12" t="n"/>
      <c r="R39" s="12" t="n"/>
      <c r="S39" s="12" t="inlineStr">
        <is>
          <t>Duct bank</t>
        </is>
      </c>
      <c r="T39" s="16" t="n">
        <v>258</v>
      </c>
      <c r="U39" s="16" t="n">
        <v>35</v>
      </c>
      <c r="V39" s="16">
        <f>ROUNDUP((T39+U39+2*'Read Me'!$B$13)*(1+'Read Me'!$B$12),-1)</f>
        <v/>
      </c>
      <c r="W39" s="16">
        <f>V39*N39*O39</f>
        <v/>
      </c>
      <c r="X39" s="12">
        <f>IF(LEFT(I39,2)="MV",2*N39*IF(L39="1/C",O39,1),0)</f>
        <v/>
      </c>
      <c r="Y39" s="12">
        <f>IF(OR(LEFT(K39,4)="LVAX",LEFT(K39,6)="MV15AX",LEFT(K39,4)="CTAX",LEFT(K39,2)="W|"),2*N39*O39,0)</f>
        <v/>
      </c>
      <c r="Z39" s="12" t="inlineStr"/>
      <c r="AA39" s="12">
        <f>N39*O39</f>
        <v/>
      </c>
    </row>
    <row r="40">
      <c r="A40" s="12" t="inlineStr">
        <is>
          <t>A-C-0028</t>
        </is>
      </c>
      <c r="B40" s="12" t="inlineStr">
        <is>
          <t>A</t>
        </is>
      </c>
      <c r="C40" s="12" t="inlineStr">
        <is>
          <t>Power block</t>
        </is>
      </c>
      <c r="D40" s="12" t="inlineStr">
        <is>
          <t>Control</t>
        </is>
      </c>
      <c r="E40" s="12" t="inlineStr">
        <is>
          <t>R2B</t>
        </is>
      </c>
      <c r="F40" s="12" t="inlineStr">
        <is>
          <t>R2B: unit / HRSG electrical e-house (32 x 40 ft)</t>
        </is>
      </c>
      <c r="G40" s="12" t="inlineStr">
        <is>
          <t>HALL</t>
        </is>
      </c>
      <c r="H40" s="12" t="inlineStr">
        <is>
          <t>Common turbine hall</t>
        </is>
      </c>
      <c r="I40" s="12" t="inlineStr">
        <is>
          <t>Control</t>
        </is>
      </c>
      <c r="J40" s="12" t="inlineStr">
        <is>
          <t>Control cable 600 V Type TC-ER, Cu #14 AWG, PVC jacket</t>
        </is>
      </c>
      <c r="K40" s="12" t="inlineStr">
        <is>
          <t>CT|7/C|14</t>
        </is>
      </c>
      <c r="L40" s="12" t="inlineStr">
        <is>
          <t>7/C</t>
        </is>
      </c>
      <c r="M40" s="12" t="inlineStr">
        <is>
          <t>14</t>
        </is>
      </c>
      <c r="N40" s="12" t="n">
        <v>1</v>
      </c>
      <c r="O40" s="12" t="n">
        <v>1</v>
      </c>
      <c r="P40" s="12" t="n"/>
      <c r="Q40" s="12" t="n"/>
      <c r="R40" s="12" t="n"/>
      <c r="S40" s="12" t="inlineStr">
        <is>
          <t>Tray</t>
        </is>
      </c>
      <c r="T40" s="16" t="n">
        <v>1069</v>
      </c>
      <c r="U40" s="16" t="n">
        <v>184</v>
      </c>
      <c r="V40" s="16">
        <f>ROUNDUP((T40+U40+2*'Read Me'!$B$13)*(1+'Read Me'!$B$12),-1)</f>
        <v/>
      </c>
      <c r="W40" s="16">
        <f>V40*N40*O40</f>
        <v/>
      </c>
      <c r="X40" s="12">
        <f>IF(LEFT(I40,2)="MV",2*N40*IF(L40="1/C",O40,1),0)</f>
        <v/>
      </c>
      <c r="Y40" s="12">
        <f>IF(OR(LEFT(K40,4)="LVAX",LEFT(K40,6)="MV15AX",LEFT(K40,4)="CTAX",LEFT(K40,2)="W|"),2*N40*O40,0)</f>
        <v/>
      </c>
      <c r="Z40" s="12" t="inlineStr"/>
      <c r="AA40" s="12">
        <f>N40*O40</f>
        <v/>
      </c>
    </row>
    <row r="41">
      <c r="A41" s="12" t="inlineStr">
        <is>
          <t>A-C-0029</t>
        </is>
      </c>
      <c r="B41" s="12" t="inlineStr">
        <is>
          <t>A</t>
        </is>
      </c>
      <c r="C41" s="12" t="inlineStr">
        <is>
          <t>Power block</t>
        </is>
      </c>
      <c r="D41" s="12" t="inlineStr">
        <is>
          <t>Motor 1 of 2: control / local station</t>
        </is>
      </c>
      <c r="E41" s="12" t="inlineStr">
        <is>
          <t>R3</t>
        </is>
      </c>
      <c r="F41" s="12" t="inlineStr">
        <is>
          <t>R3: ST auxiliary electrical e-house (40 x 65 ft)</t>
        </is>
      </c>
      <c r="G41" s="12" t="inlineStr">
        <is>
          <t>EHC-ST</t>
        </is>
      </c>
      <c r="H41" s="12" t="inlineStr">
        <is>
          <t>EHC-ST: ST electro-hydraulic control power unit</t>
        </is>
      </c>
      <c r="I41" s="12" t="inlineStr">
        <is>
          <t>Control</t>
        </is>
      </c>
      <c r="J41" s="12" t="inlineStr">
        <is>
          <t>Control cable 600 V Type TC-ER, Cu #14 AWG, PVC jacket</t>
        </is>
      </c>
      <c r="K41" s="12" t="inlineStr">
        <is>
          <t>CT|7/C|14</t>
        </is>
      </c>
      <c r="L41" s="12" t="inlineStr">
        <is>
          <t>7/C</t>
        </is>
      </c>
      <c r="M41" s="12" t="inlineStr">
        <is>
          <t>14</t>
        </is>
      </c>
      <c r="N41" s="12" t="n">
        <v>1</v>
      </c>
      <c r="O41" s="12" t="n">
        <v>1</v>
      </c>
      <c r="P41" s="12" t="n"/>
      <c r="Q41" s="12" t="n"/>
      <c r="R41" s="12" t="n"/>
      <c r="S41" s="12" t="inlineStr">
        <is>
          <t>Tray</t>
        </is>
      </c>
      <c r="T41" s="16" t="n">
        <v>67</v>
      </c>
      <c r="U41" s="16" t="n">
        <v>89</v>
      </c>
      <c r="V41" s="16">
        <f>ROUNDUP((T41+U41+2*'Read Me'!$B$13)*(1+'Read Me'!$B$12),-1)</f>
        <v/>
      </c>
      <c r="W41" s="16">
        <f>V41*N41*O41</f>
        <v/>
      </c>
      <c r="X41" s="12">
        <f>IF(LEFT(I41,2)="MV",2*N41*IF(L41="1/C",O41,1),0)</f>
        <v/>
      </c>
      <c r="Y41" s="12">
        <f>IF(OR(LEFT(K41,4)="LVAX",LEFT(K41,6)="MV15AX",LEFT(K41,4)="CTAX",LEFT(K41,2)="W|"),2*N41*O41,0)</f>
        <v/>
      </c>
      <c r="Z41" s="12" t="inlineStr"/>
      <c r="AA41" s="12">
        <f>N41*O41</f>
        <v/>
      </c>
    </row>
    <row r="42">
      <c r="A42" s="12" t="inlineStr">
        <is>
          <t>A-C-0030</t>
        </is>
      </c>
      <c r="B42" s="12" t="inlineStr">
        <is>
          <t>A</t>
        </is>
      </c>
      <c r="C42" s="12" t="inlineStr">
        <is>
          <t>Power block</t>
        </is>
      </c>
      <c r="D42" s="12" t="inlineStr">
        <is>
          <t>Motor 2 of 2: control / local station</t>
        </is>
      </c>
      <c r="E42" s="12" t="inlineStr">
        <is>
          <t>R3</t>
        </is>
      </c>
      <c r="F42" s="12" t="inlineStr">
        <is>
          <t>R3: ST auxiliary electrical e-house (40 x 65 ft)</t>
        </is>
      </c>
      <c r="G42" s="12" t="inlineStr">
        <is>
          <t>EHC-ST</t>
        </is>
      </c>
      <c r="H42" s="12" t="inlineStr">
        <is>
          <t>EHC-ST: ST electro-hydraulic control power unit</t>
        </is>
      </c>
      <c r="I42" s="12" t="inlineStr">
        <is>
          <t>Control</t>
        </is>
      </c>
      <c r="J42" s="12" t="inlineStr">
        <is>
          <t>Control cable 600 V Type TC-ER, Cu #14 AWG, PVC jacket</t>
        </is>
      </c>
      <c r="K42" s="12" t="inlineStr">
        <is>
          <t>CT|7/C|14</t>
        </is>
      </c>
      <c r="L42" s="12" t="inlineStr">
        <is>
          <t>7/C</t>
        </is>
      </c>
      <c r="M42" s="12" t="inlineStr">
        <is>
          <t>14</t>
        </is>
      </c>
      <c r="N42" s="12" t="n">
        <v>1</v>
      </c>
      <c r="O42" s="12" t="n">
        <v>1</v>
      </c>
      <c r="P42" s="12" t="n"/>
      <c r="Q42" s="12" t="n"/>
      <c r="R42" s="12" t="n"/>
      <c r="S42" s="12" t="inlineStr">
        <is>
          <t>Tray</t>
        </is>
      </c>
      <c r="T42" s="16" t="n">
        <v>67</v>
      </c>
      <c r="U42" s="16" t="n">
        <v>89</v>
      </c>
      <c r="V42" s="16">
        <f>ROUNDUP((T42+U42+2*'Read Me'!$B$13)*(1+'Read Me'!$B$12),-1)</f>
        <v/>
      </c>
      <c r="W42" s="16">
        <f>V42*N42*O42</f>
        <v/>
      </c>
      <c r="X42" s="12">
        <f>IF(LEFT(I42,2)="MV",2*N42*IF(L42="1/C",O42,1),0)</f>
        <v/>
      </c>
      <c r="Y42" s="12">
        <f>IF(OR(LEFT(K42,4)="LVAX",LEFT(K42,6)="MV15AX",LEFT(K42,4)="CTAX",LEFT(K42,2)="W|"),2*N42*O42,0)</f>
        <v/>
      </c>
      <c r="Z42" s="12" t="inlineStr"/>
      <c r="AA42" s="12">
        <f>N42*O42</f>
        <v/>
      </c>
    </row>
    <row r="43">
      <c r="A43" s="12" t="inlineStr">
        <is>
          <t>A-C-0031</t>
        </is>
      </c>
      <c r="B43" s="12" t="inlineStr">
        <is>
          <t>A</t>
        </is>
      </c>
      <c r="C43" s="12" t="inlineStr">
        <is>
          <t>Power block</t>
        </is>
      </c>
      <c r="D43" s="12" t="inlineStr">
        <is>
          <t>Solenoid to JB JB-EHC-ST-SOL01: 10 x 2/C (field cables)</t>
        </is>
      </c>
      <c r="E43" s="12" t="inlineStr">
        <is>
          <t>EHC-ST</t>
        </is>
      </c>
      <c r="F43" s="12" t="inlineStr">
        <is>
          <t>EHC-ST: ST electro-hydraulic control power unit</t>
        </is>
      </c>
      <c r="G43" s="12" t="inlineStr">
        <is>
          <t>JB-EHC-ST-SOL01</t>
        </is>
      </c>
      <c r="H43" s="12" t="inlineStr">
        <is>
          <t>EHC-ST: ST electro-hydraulic control power unit</t>
        </is>
      </c>
      <c r="I43" s="12" t="inlineStr">
        <is>
          <t>Control</t>
        </is>
      </c>
      <c r="J43" s="12" t="inlineStr">
        <is>
          <t>Control cable 600 V Type TC-ER, Cu #14 AWG, PVC jacket</t>
        </is>
      </c>
      <c r="K43" s="12" t="inlineStr">
        <is>
          <t>CT|2/C|14</t>
        </is>
      </c>
      <c r="L43" s="12" t="inlineStr">
        <is>
          <t>2/C</t>
        </is>
      </c>
      <c r="M43" s="12" t="inlineStr">
        <is>
          <t>14</t>
        </is>
      </c>
      <c r="N43" s="12" t="n">
        <v>10</v>
      </c>
      <c r="O43" s="12" t="n">
        <v>1</v>
      </c>
      <c r="P43" s="12" t="n"/>
      <c r="Q43" s="12" t="n"/>
      <c r="R43" s="12" t="n"/>
      <c r="S43" s="12" t="inlineStr">
        <is>
          <t>Tray / conduit</t>
        </is>
      </c>
      <c r="T43" s="16" t="n">
        <v>53</v>
      </c>
      <c r="U43" s="16" t="n">
        <v>10</v>
      </c>
      <c r="V43" s="16">
        <f>ROUNDUP((T43+U43+2*'Read Me'!$B$13)*(1+'Read Me'!$B$12),-1)</f>
        <v/>
      </c>
      <c r="W43" s="16">
        <f>V43*N43*O43</f>
        <v/>
      </c>
      <c r="X43" s="12">
        <f>IF(LEFT(I43,2)="MV",2*N43*IF(L43="1/C",O43,1),0)</f>
        <v/>
      </c>
      <c r="Y43" s="12">
        <f>IF(OR(LEFT(K43,4)="LVAX",LEFT(K43,6)="MV15AX",LEFT(K43,4)="CTAX",LEFT(K43,2)="W|"),2*N43*O43,0)</f>
        <v/>
      </c>
      <c r="Z43" s="12" t="inlineStr">
        <is>
          <t>device-to-JB field wiring, one cable per device</t>
        </is>
      </c>
      <c r="AA43" s="12">
        <f>N43*O43</f>
        <v/>
      </c>
    </row>
    <row r="44">
      <c r="A44" s="12" t="inlineStr">
        <is>
          <t>A-C-0032</t>
        </is>
      </c>
      <c r="B44" s="12" t="inlineStr">
        <is>
          <t>A</t>
        </is>
      </c>
      <c r="C44" s="12" t="inlineStr">
        <is>
          <t>Power block</t>
        </is>
      </c>
      <c r="D44" s="12" t="inlineStr">
        <is>
          <t>Home run JB-EHC-ST-SOL01 to the control / marshalling room</t>
        </is>
      </c>
      <c r="E44" s="12" t="inlineStr">
        <is>
          <t>R3</t>
        </is>
      </c>
      <c r="F44" s="12" t="inlineStr">
        <is>
          <t>R3: ST auxiliary electrical e-house (40 x 65 ft)</t>
        </is>
      </c>
      <c r="G44" s="12" t="inlineStr">
        <is>
          <t>JB-EHC-ST-SOL01</t>
        </is>
      </c>
      <c r="H44" s="12" t="inlineStr">
        <is>
          <t>EHC-ST: ST electro-hydraulic control power unit</t>
        </is>
      </c>
      <c r="I44" s="12" t="inlineStr">
        <is>
          <t>Control</t>
        </is>
      </c>
      <c r="J44" s="12" t="inlineStr">
        <is>
          <t>Control cable 600 V Type TC-ER, Cu #14 AWG, PVC jacket</t>
        </is>
      </c>
      <c r="K44" s="12" t="inlineStr">
        <is>
          <t>CT|25/C|14</t>
        </is>
      </c>
      <c r="L44" s="12" t="inlineStr">
        <is>
          <t>25/C</t>
        </is>
      </c>
      <c r="M44" s="12" t="inlineStr">
        <is>
          <t>14</t>
        </is>
      </c>
      <c r="N44" s="12" t="n">
        <v>1</v>
      </c>
      <c r="O44" s="12" t="n">
        <v>1</v>
      </c>
      <c r="P44" s="12" t="n"/>
      <c r="Q44" s="12" t="n"/>
      <c r="R44" s="12" t="n"/>
      <c r="S44" s="12" t="inlineStr">
        <is>
          <t>Tray</t>
        </is>
      </c>
      <c r="T44" s="16" t="n">
        <v>67</v>
      </c>
      <c r="U44" s="16" t="n">
        <v>89</v>
      </c>
      <c r="V44" s="16">
        <f>ROUNDUP((T44+U44+2*'Read Me'!$B$13)*(1+'Read Me'!$B$12),-1)</f>
        <v/>
      </c>
      <c r="W44" s="16">
        <f>V44*N44*O44</f>
        <v/>
      </c>
      <c r="X44" s="12">
        <f>IF(LEFT(I44,2)="MV",2*N44*IF(L44="1/C",O44,1),0)</f>
        <v/>
      </c>
      <c r="Y44" s="12">
        <f>IF(OR(LEFT(K44,4)="LVAX",LEFT(K44,6)="MV15AX",LEFT(K44,4)="CTAX",LEFT(K44,2)="W|"),2*N44*O44,0)</f>
        <v/>
      </c>
      <c r="Z44" s="12" t="inlineStr"/>
      <c r="AA44" s="12">
        <f>N44*O44</f>
        <v/>
      </c>
    </row>
    <row r="45">
      <c r="A45" s="12" t="inlineStr">
        <is>
          <t>A-C-0033</t>
        </is>
      </c>
      <c r="B45" s="12" t="inlineStr">
        <is>
          <t>A</t>
        </is>
      </c>
      <c r="C45" s="12" t="inlineStr">
        <is>
          <t>Power block</t>
        </is>
      </c>
      <c r="D45" s="12" t="inlineStr">
        <is>
          <t>Control</t>
        </is>
      </c>
      <c r="E45" s="12" t="inlineStr">
        <is>
          <t>R2A</t>
        </is>
      </c>
      <c r="F45" s="12" t="inlineStr">
        <is>
          <t>R2A: unit / HRSG electrical e-house (32 x 40 ft)</t>
        </is>
      </c>
      <c r="G45" s="12" t="inlineStr">
        <is>
          <t>ET-1</t>
        </is>
      </c>
      <c r="H45" s="12" t="inlineStr">
        <is>
          <t>ET-1: excitation transformer (dry type, GTG-1 terminals)</t>
        </is>
      </c>
      <c r="I45" s="12" t="inlineStr">
        <is>
          <t>Control</t>
        </is>
      </c>
      <c r="J45" s="12" t="inlineStr">
        <is>
          <t>Control cable 600 V Type TC-ER, Cu #14 AWG, PVC jacket</t>
        </is>
      </c>
      <c r="K45" s="12" t="inlineStr">
        <is>
          <t>CT|7/C|14</t>
        </is>
      </c>
      <c r="L45" s="12" t="inlineStr">
        <is>
          <t>7/C</t>
        </is>
      </c>
      <c r="M45" s="12" t="inlineStr">
        <is>
          <t>14</t>
        </is>
      </c>
      <c r="N45" s="12" t="n">
        <v>1</v>
      </c>
      <c r="O45" s="12" t="n">
        <v>1</v>
      </c>
      <c r="P45" s="12" t="n"/>
      <c r="Q45" s="12" t="n"/>
      <c r="R45" s="12" t="n"/>
      <c r="S45" s="12" t="inlineStr">
        <is>
          <t>Tray</t>
        </is>
      </c>
      <c r="T45" s="16" t="n">
        <v>403</v>
      </c>
      <c r="U45" s="16" t="n">
        <v>119</v>
      </c>
      <c r="V45" s="16">
        <f>ROUNDUP((T45+U45+2*'Read Me'!$B$13)*(1+'Read Me'!$B$12),-1)</f>
        <v/>
      </c>
      <c r="W45" s="16">
        <f>V45*N45*O45</f>
        <v/>
      </c>
      <c r="X45" s="12">
        <f>IF(LEFT(I45,2)="MV",2*N45*IF(L45="1/C",O45,1),0)</f>
        <v/>
      </c>
      <c r="Y45" s="12">
        <f>IF(OR(LEFT(K45,4)="LVAX",LEFT(K45,6)="MV15AX",LEFT(K45,4)="CTAX",LEFT(K45,2)="W|"),2*N45*O45,0)</f>
        <v/>
      </c>
      <c r="Z45" s="12" t="inlineStr"/>
      <c r="AA45" s="12">
        <f>N45*O45</f>
        <v/>
      </c>
    </row>
    <row r="46">
      <c r="A46" s="12" t="inlineStr">
        <is>
          <t>A-C-0034</t>
        </is>
      </c>
      <c r="B46" s="12" t="inlineStr">
        <is>
          <t>A</t>
        </is>
      </c>
      <c r="C46" s="12" t="inlineStr">
        <is>
          <t>Power block</t>
        </is>
      </c>
      <c r="D46" s="12" t="inlineStr">
        <is>
          <t>Control</t>
        </is>
      </c>
      <c r="E46" s="12" t="inlineStr">
        <is>
          <t>R2A</t>
        </is>
      </c>
      <c r="F46" s="12" t="inlineStr">
        <is>
          <t>R2A: unit / HRSG electrical e-house (32 x 40 ft)</t>
        </is>
      </c>
      <c r="G46" s="12" t="inlineStr">
        <is>
          <t>ET-1</t>
        </is>
      </c>
      <c r="H46" s="12" t="inlineStr">
        <is>
          <t>ET-1: excitation transformer (dry type, GTG-1 terminals)</t>
        </is>
      </c>
      <c r="I46" s="12" t="inlineStr">
        <is>
          <t>Control</t>
        </is>
      </c>
      <c r="J46" s="12" t="inlineStr">
        <is>
          <t>Control cable 600 V Type TC-ER, Cu #14 AWG, PVC jacket</t>
        </is>
      </c>
      <c r="K46" s="12" t="inlineStr">
        <is>
          <t>CT|12/C|14</t>
        </is>
      </c>
      <c r="L46" s="12" t="inlineStr">
        <is>
          <t>12/C</t>
        </is>
      </c>
      <c r="M46" s="12" t="inlineStr">
        <is>
          <t>14</t>
        </is>
      </c>
      <c r="N46" s="12" t="n">
        <v>1</v>
      </c>
      <c r="O46" s="12" t="n">
        <v>1</v>
      </c>
      <c r="P46" s="12" t="n"/>
      <c r="Q46" s="12" t="n"/>
      <c r="R46" s="12" t="n"/>
      <c r="S46" s="12" t="inlineStr">
        <is>
          <t>Tray</t>
        </is>
      </c>
      <c r="T46" s="16" t="n">
        <v>403</v>
      </c>
      <c r="U46" s="16" t="n">
        <v>119</v>
      </c>
      <c r="V46" s="16">
        <f>ROUNDUP((T46+U46+2*'Read Me'!$B$13)*(1+'Read Me'!$B$12),-1)</f>
        <v/>
      </c>
      <c r="W46" s="16">
        <f>V46*N46*O46</f>
        <v/>
      </c>
      <c r="X46" s="12">
        <f>IF(LEFT(I46,2)="MV",2*N46*IF(L46="1/C",O46,1),0)</f>
        <v/>
      </c>
      <c r="Y46" s="12">
        <f>IF(OR(LEFT(K46,4)="LVAX",LEFT(K46,6)="MV15AX",LEFT(K46,4)="CTAX",LEFT(K46,2)="W|"),2*N46*O46,0)</f>
        <v/>
      </c>
      <c r="Z46" s="12" t="inlineStr"/>
      <c r="AA46" s="12">
        <f>N46*O46</f>
        <v/>
      </c>
    </row>
    <row r="47">
      <c r="A47" s="12" t="inlineStr">
        <is>
          <t>A-C-0035</t>
        </is>
      </c>
      <c r="B47" s="12" t="inlineStr">
        <is>
          <t>A</t>
        </is>
      </c>
      <c r="C47" s="12" t="inlineStr">
        <is>
          <t>Power block</t>
        </is>
      </c>
      <c r="D47" s="12" t="inlineStr">
        <is>
          <t>CT / VT</t>
        </is>
      </c>
      <c r="E47" s="12" t="inlineStr">
        <is>
          <t>R2A</t>
        </is>
      </c>
      <c r="F47" s="12" t="inlineStr">
        <is>
          <t>R2A: unit / HRSG electrical e-house (32 x 40 ft)</t>
        </is>
      </c>
      <c r="G47" s="12" t="inlineStr">
        <is>
          <t>ET-1</t>
        </is>
      </c>
      <c r="H47" s="12" t="inlineStr">
        <is>
          <t>ET-1: excitation transformer (dry type, GTG-1 terminals)</t>
        </is>
      </c>
      <c r="I47" s="12" t="inlineStr">
        <is>
          <t>Control</t>
        </is>
      </c>
      <c r="J47" s="12" t="inlineStr">
        <is>
          <t>Control cable 600 V Type TC-ER, Cu #10 AWG (CT / VT circuits)</t>
        </is>
      </c>
      <c r="K47" s="12" t="inlineStr">
        <is>
          <t>CTCT|4/C|10</t>
        </is>
      </c>
      <c r="L47" s="12" t="inlineStr">
        <is>
          <t>4/C</t>
        </is>
      </c>
      <c r="M47" s="12" t="inlineStr">
        <is>
          <t>10</t>
        </is>
      </c>
      <c r="N47" s="12" t="n">
        <v>1</v>
      </c>
      <c r="O47" s="12" t="n">
        <v>1</v>
      </c>
      <c r="P47" s="12" t="n"/>
      <c r="Q47" s="12" t="n"/>
      <c r="R47" s="12" t="n"/>
      <c r="S47" s="12" t="inlineStr">
        <is>
          <t>Tray</t>
        </is>
      </c>
      <c r="T47" s="16" t="n">
        <v>403</v>
      </c>
      <c r="U47" s="16" t="n">
        <v>119</v>
      </c>
      <c r="V47" s="16">
        <f>ROUNDUP((T47+U47+2*'Read Me'!$B$13)*(1+'Read Me'!$B$12),-1)</f>
        <v/>
      </c>
      <c r="W47" s="16">
        <f>V47*N47*O47</f>
        <v/>
      </c>
      <c r="X47" s="12">
        <f>IF(LEFT(I47,2)="MV",2*N47*IF(L47="1/C",O47,1),0)</f>
        <v/>
      </c>
      <c r="Y47" s="12">
        <f>IF(OR(LEFT(K47,4)="LVAX",LEFT(K47,6)="MV15AX",LEFT(K47,4)="CTAX",LEFT(K47,2)="W|"),2*N47*O47,0)</f>
        <v/>
      </c>
      <c r="Z47" s="12" t="inlineStr"/>
      <c r="AA47" s="12">
        <f>N47*O47</f>
        <v/>
      </c>
    </row>
    <row r="48">
      <c r="A48" s="12" t="inlineStr">
        <is>
          <t>A-C-0036</t>
        </is>
      </c>
      <c r="B48" s="12" t="inlineStr">
        <is>
          <t>A</t>
        </is>
      </c>
      <c r="C48" s="12" t="inlineStr">
        <is>
          <t>Power block</t>
        </is>
      </c>
      <c r="D48" s="12" t="inlineStr">
        <is>
          <t>CT / VT</t>
        </is>
      </c>
      <c r="E48" s="12" t="inlineStr">
        <is>
          <t>R2A</t>
        </is>
      </c>
      <c r="F48" s="12" t="inlineStr">
        <is>
          <t>R2A: unit / HRSG electrical e-house (32 x 40 ft)</t>
        </is>
      </c>
      <c r="G48" s="12" t="inlineStr">
        <is>
          <t>ET-1</t>
        </is>
      </c>
      <c r="H48" s="12" t="inlineStr">
        <is>
          <t>ET-1: excitation transformer (dry type, GTG-1 terminals)</t>
        </is>
      </c>
      <c r="I48" s="12" t="inlineStr">
        <is>
          <t>Control</t>
        </is>
      </c>
      <c r="J48" s="12" t="inlineStr">
        <is>
          <t>Control cable 600 V Type TC-ER, Cu #10 AWG (CT / VT circuits)</t>
        </is>
      </c>
      <c r="K48" s="12" t="inlineStr">
        <is>
          <t>CTCT|4/C|10</t>
        </is>
      </c>
      <c r="L48" s="12" t="inlineStr">
        <is>
          <t>4/C</t>
        </is>
      </c>
      <c r="M48" s="12" t="inlineStr">
        <is>
          <t>10</t>
        </is>
      </c>
      <c r="N48" s="12" t="n">
        <v>1</v>
      </c>
      <c r="O48" s="12" t="n">
        <v>1</v>
      </c>
      <c r="P48" s="12" t="n"/>
      <c r="Q48" s="12" t="n"/>
      <c r="R48" s="12" t="n"/>
      <c r="S48" s="12" t="inlineStr">
        <is>
          <t>Tray</t>
        </is>
      </c>
      <c r="T48" s="16" t="n">
        <v>403</v>
      </c>
      <c r="U48" s="16" t="n">
        <v>119</v>
      </c>
      <c r="V48" s="16">
        <f>ROUNDUP((T48+U48+2*'Read Me'!$B$13)*(1+'Read Me'!$B$12),-1)</f>
        <v/>
      </c>
      <c r="W48" s="16">
        <f>V48*N48*O48</f>
        <v/>
      </c>
      <c r="X48" s="12">
        <f>IF(LEFT(I48,2)="MV",2*N48*IF(L48="1/C",O48,1),0)</f>
        <v/>
      </c>
      <c r="Y48" s="12">
        <f>IF(OR(LEFT(K48,4)="LVAX",LEFT(K48,6)="MV15AX",LEFT(K48,4)="CTAX",LEFT(K48,2)="W|"),2*N48*O48,0)</f>
        <v/>
      </c>
      <c r="Z48" s="12" t="inlineStr"/>
      <c r="AA48" s="12">
        <f>N48*O48</f>
        <v/>
      </c>
    </row>
    <row r="49">
      <c r="A49" s="12" t="inlineStr">
        <is>
          <t>A-C-0037</t>
        </is>
      </c>
      <c r="B49" s="12" t="inlineStr">
        <is>
          <t>A</t>
        </is>
      </c>
      <c r="C49" s="12" t="inlineStr">
        <is>
          <t>Power block</t>
        </is>
      </c>
      <c r="D49" s="12" t="inlineStr">
        <is>
          <t>Control</t>
        </is>
      </c>
      <c r="E49" s="12" t="inlineStr">
        <is>
          <t>R2B</t>
        </is>
      </c>
      <c r="F49" s="12" t="inlineStr">
        <is>
          <t>R2B: unit / HRSG electrical e-house (32 x 40 ft)</t>
        </is>
      </c>
      <c r="G49" s="12" t="inlineStr">
        <is>
          <t>ET-2</t>
        </is>
      </c>
      <c r="H49" s="12" t="inlineStr">
        <is>
          <t>ET-2: excitation transformer (dry type, GTG-2 terminals)</t>
        </is>
      </c>
      <c r="I49" s="12" t="inlineStr">
        <is>
          <t>Control</t>
        </is>
      </c>
      <c r="J49" s="12" t="inlineStr">
        <is>
          <t>Control cable 600 V Type TC-ER, Cu #14 AWG, PVC jacket</t>
        </is>
      </c>
      <c r="K49" s="12" t="inlineStr">
        <is>
          <t>CT|7/C|14</t>
        </is>
      </c>
      <c r="L49" s="12" t="inlineStr">
        <is>
          <t>7/C</t>
        </is>
      </c>
      <c r="M49" s="12" t="inlineStr">
        <is>
          <t>14</t>
        </is>
      </c>
      <c r="N49" s="12" t="n">
        <v>1</v>
      </c>
      <c r="O49" s="12" t="n">
        <v>1</v>
      </c>
      <c r="P49" s="12" t="n"/>
      <c r="Q49" s="12" t="n"/>
      <c r="R49" s="12" t="n"/>
      <c r="S49" s="12" t="inlineStr">
        <is>
          <t>Tray</t>
        </is>
      </c>
      <c r="T49" s="16" t="n">
        <v>1277</v>
      </c>
      <c r="U49" s="16" t="n">
        <v>209</v>
      </c>
      <c r="V49" s="16">
        <f>ROUNDUP((T49+U49+2*'Read Me'!$B$13)*(1+'Read Me'!$B$12),-1)</f>
        <v/>
      </c>
      <c r="W49" s="16">
        <f>V49*N49*O49</f>
        <v/>
      </c>
      <c r="X49" s="12">
        <f>IF(LEFT(I49,2)="MV",2*N49*IF(L49="1/C",O49,1),0)</f>
        <v/>
      </c>
      <c r="Y49" s="12">
        <f>IF(OR(LEFT(K49,4)="LVAX",LEFT(K49,6)="MV15AX",LEFT(K49,4)="CTAX",LEFT(K49,2)="W|"),2*N49*O49,0)</f>
        <v/>
      </c>
      <c r="Z49" s="12" t="inlineStr"/>
      <c r="AA49" s="12">
        <f>N49*O49</f>
        <v/>
      </c>
    </row>
    <row r="50">
      <c r="A50" s="12" t="inlineStr">
        <is>
          <t>A-C-0038</t>
        </is>
      </c>
      <c r="B50" s="12" t="inlineStr">
        <is>
          <t>A</t>
        </is>
      </c>
      <c r="C50" s="12" t="inlineStr">
        <is>
          <t>Power block</t>
        </is>
      </c>
      <c r="D50" s="12" t="inlineStr">
        <is>
          <t>Control</t>
        </is>
      </c>
      <c r="E50" s="12" t="inlineStr">
        <is>
          <t>R2B</t>
        </is>
      </c>
      <c r="F50" s="12" t="inlineStr">
        <is>
          <t>R2B: unit / HRSG electrical e-house (32 x 40 ft)</t>
        </is>
      </c>
      <c r="G50" s="12" t="inlineStr">
        <is>
          <t>ET-2</t>
        </is>
      </c>
      <c r="H50" s="12" t="inlineStr">
        <is>
          <t>ET-2: excitation transformer (dry type, GTG-2 terminals)</t>
        </is>
      </c>
      <c r="I50" s="12" t="inlineStr">
        <is>
          <t>Control</t>
        </is>
      </c>
      <c r="J50" s="12" t="inlineStr">
        <is>
          <t>Control cable 600 V Type TC-ER, Cu #14 AWG, PVC jacket</t>
        </is>
      </c>
      <c r="K50" s="12" t="inlineStr">
        <is>
          <t>CT|12/C|14</t>
        </is>
      </c>
      <c r="L50" s="12" t="inlineStr">
        <is>
          <t>12/C</t>
        </is>
      </c>
      <c r="M50" s="12" t="inlineStr">
        <is>
          <t>14</t>
        </is>
      </c>
      <c r="N50" s="12" t="n">
        <v>1</v>
      </c>
      <c r="O50" s="12" t="n">
        <v>1</v>
      </c>
      <c r="P50" s="12" t="n"/>
      <c r="Q50" s="12" t="n"/>
      <c r="R50" s="12" t="n"/>
      <c r="S50" s="12" t="inlineStr">
        <is>
          <t>Tray</t>
        </is>
      </c>
      <c r="T50" s="16" t="n">
        <v>1277</v>
      </c>
      <c r="U50" s="16" t="n">
        <v>209</v>
      </c>
      <c r="V50" s="16">
        <f>ROUNDUP((T50+U50+2*'Read Me'!$B$13)*(1+'Read Me'!$B$12),-1)</f>
        <v/>
      </c>
      <c r="W50" s="16">
        <f>V50*N50*O50</f>
        <v/>
      </c>
      <c r="X50" s="12">
        <f>IF(LEFT(I50,2)="MV",2*N50*IF(L50="1/C",O50,1),0)</f>
        <v/>
      </c>
      <c r="Y50" s="12">
        <f>IF(OR(LEFT(K50,4)="LVAX",LEFT(K50,6)="MV15AX",LEFT(K50,4)="CTAX",LEFT(K50,2)="W|"),2*N50*O50,0)</f>
        <v/>
      </c>
      <c r="Z50" s="12" t="inlineStr"/>
      <c r="AA50" s="12">
        <f>N50*O50</f>
        <v/>
      </c>
    </row>
    <row r="51">
      <c r="A51" s="12" t="inlineStr">
        <is>
          <t>A-C-0039</t>
        </is>
      </c>
      <c r="B51" s="12" t="inlineStr">
        <is>
          <t>A</t>
        </is>
      </c>
      <c r="C51" s="12" t="inlineStr">
        <is>
          <t>Power block</t>
        </is>
      </c>
      <c r="D51" s="12" t="inlineStr">
        <is>
          <t>CT / VT</t>
        </is>
      </c>
      <c r="E51" s="12" t="inlineStr">
        <is>
          <t>R2B</t>
        </is>
      </c>
      <c r="F51" s="12" t="inlineStr">
        <is>
          <t>R2B: unit / HRSG electrical e-house (32 x 40 ft)</t>
        </is>
      </c>
      <c r="G51" s="12" t="inlineStr">
        <is>
          <t>ET-2</t>
        </is>
      </c>
      <c r="H51" s="12" t="inlineStr">
        <is>
          <t>ET-2: excitation transformer (dry type, GTG-2 terminals)</t>
        </is>
      </c>
      <c r="I51" s="12" t="inlineStr">
        <is>
          <t>Control</t>
        </is>
      </c>
      <c r="J51" s="12" t="inlineStr">
        <is>
          <t>Control cable 600 V Type TC-ER, Cu #10 AWG (CT / VT circuits)</t>
        </is>
      </c>
      <c r="K51" s="12" t="inlineStr">
        <is>
          <t>CTCT|4/C|10</t>
        </is>
      </c>
      <c r="L51" s="12" t="inlineStr">
        <is>
          <t>4/C</t>
        </is>
      </c>
      <c r="M51" s="12" t="inlineStr">
        <is>
          <t>10</t>
        </is>
      </c>
      <c r="N51" s="12" t="n">
        <v>1</v>
      </c>
      <c r="O51" s="12" t="n">
        <v>1</v>
      </c>
      <c r="P51" s="12" t="n"/>
      <c r="Q51" s="12" t="n"/>
      <c r="R51" s="12" t="n"/>
      <c r="S51" s="12" t="inlineStr">
        <is>
          <t>Tray</t>
        </is>
      </c>
      <c r="T51" s="16" t="n">
        <v>1277</v>
      </c>
      <c r="U51" s="16" t="n">
        <v>209</v>
      </c>
      <c r="V51" s="16">
        <f>ROUNDUP((T51+U51+2*'Read Me'!$B$13)*(1+'Read Me'!$B$12),-1)</f>
        <v/>
      </c>
      <c r="W51" s="16">
        <f>V51*N51*O51</f>
        <v/>
      </c>
      <c r="X51" s="12">
        <f>IF(LEFT(I51,2)="MV",2*N51*IF(L51="1/C",O51,1),0)</f>
        <v/>
      </c>
      <c r="Y51" s="12">
        <f>IF(OR(LEFT(K51,4)="LVAX",LEFT(K51,6)="MV15AX",LEFT(K51,4)="CTAX",LEFT(K51,2)="W|"),2*N51*O51,0)</f>
        <v/>
      </c>
      <c r="Z51" s="12" t="inlineStr"/>
      <c r="AA51" s="12">
        <f>N51*O51</f>
        <v/>
      </c>
    </row>
    <row r="52">
      <c r="A52" s="12" t="inlineStr">
        <is>
          <t>A-C-0040</t>
        </is>
      </c>
      <c r="B52" s="12" t="inlineStr">
        <is>
          <t>A</t>
        </is>
      </c>
      <c r="C52" s="12" t="inlineStr">
        <is>
          <t>Power block</t>
        </is>
      </c>
      <c r="D52" s="12" t="inlineStr">
        <is>
          <t>CT / VT</t>
        </is>
      </c>
      <c r="E52" s="12" t="inlineStr">
        <is>
          <t>R2B</t>
        </is>
      </c>
      <c r="F52" s="12" t="inlineStr">
        <is>
          <t>R2B: unit / HRSG electrical e-house (32 x 40 ft)</t>
        </is>
      </c>
      <c r="G52" s="12" t="inlineStr">
        <is>
          <t>ET-2</t>
        </is>
      </c>
      <c r="H52" s="12" t="inlineStr">
        <is>
          <t>ET-2: excitation transformer (dry type, GTG-2 terminals)</t>
        </is>
      </c>
      <c r="I52" s="12" t="inlineStr">
        <is>
          <t>Control</t>
        </is>
      </c>
      <c r="J52" s="12" t="inlineStr">
        <is>
          <t>Control cable 600 V Type TC-ER, Cu #10 AWG (CT / VT circuits)</t>
        </is>
      </c>
      <c r="K52" s="12" t="inlineStr">
        <is>
          <t>CTCT|4/C|10</t>
        </is>
      </c>
      <c r="L52" s="12" t="inlineStr">
        <is>
          <t>4/C</t>
        </is>
      </c>
      <c r="M52" s="12" t="inlineStr">
        <is>
          <t>10</t>
        </is>
      </c>
      <c r="N52" s="12" t="n">
        <v>1</v>
      </c>
      <c r="O52" s="12" t="n">
        <v>1</v>
      </c>
      <c r="P52" s="12" t="n"/>
      <c r="Q52" s="12" t="n"/>
      <c r="R52" s="12" t="n"/>
      <c r="S52" s="12" t="inlineStr">
        <is>
          <t>Tray</t>
        </is>
      </c>
      <c r="T52" s="16" t="n">
        <v>1277</v>
      </c>
      <c r="U52" s="16" t="n">
        <v>209</v>
      </c>
      <c r="V52" s="16">
        <f>ROUNDUP((T52+U52+2*'Read Me'!$B$13)*(1+'Read Me'!$B$12),-1)</f>
        <v/>
      </c>
      <c r="W52" s="16">
        <f>V52*N52*O52</f>
        <v/>
      </c>
      <c r="X52" s="12">
        <f>IF(LEFT(I52,2)="MV",2*N52*IF(L52="1/C",O52,1),0)</f>
        <v/>
      </c>
      <c r="Y52" s="12">
        <f>IF(OR(LEFT(K52,4)="LVAX",LEFT(K52,6)="MV15AX",LEFT(K52,4)="CTAX",LEFT(K52,2)="W|"),2*N52*O52,0)</f>
        <v/>
      </c>
      <c r="Z52" s="12" t="inlineStr"/>
      <c r="AA52" s="12">
        <f>N52*O52</f>
        <v/>
      </c>
    </row>
    <row r="53">
      <c r="A53" s="12" t="inlineStr">
        <is>
          <t>A-C-0041</t>
        </is>
      </c>
      <c r="B53" s="12" t="inlineStr">
        <is>
          <t>A</t>
        </is>
      </c>
      <c r="C53" s="12" t="inlineStr">
        <is>
          <t>Power block</t>
        </is>
      </c>
      <c r="D53" s="12" t="inlineStr">
        <is>
          <t>Control</t>
        </is>
      </c>
      <c r="E53" s="12" t="inlineStr">
        <is>
          <t>R2C</t>
        </is>
      </c>
      <c r="F53" s="12" t="inlineStr">
        <is>
          <t>R2C: unit / HRSG electrical e-house (32 x 40 ft)</t>
        </is>
      </c>
      <c r="G53" s="12" t="inlineStr">
        <is>
          <t>ET-3</t>
        </is>
      </c>
      <c r="H53" s="12" t="inlineStr">
        <is>
          <t>ET-3: excitation transformer (dry type, GTG-3 terminals)</t>
        </is>
      </c>
      <c r="I53" s="12" t="inlineStr">
        <is>
          <t>Control</t>
        </is>
      </c>
      <c r="J53" s="12" t="inlineStr">
        <is>
          <t>Control cable 600 V Type TC-ER, Cu #14 AWG, PVC jacket</t>
        </is>
      </c>
      <c r="K53" s="12" t="inlineStr">
        <is>
          <t>CT|7/C|14</t>
        </is>
      </c>
      <c r="L53" s="12" t="inlineStr">
        <is>
          <t>7/C</t>
        </is>
      </c>
      <c r="M53" s="12" t="inlineStr">
        <is>
          <t>14</t>
        </is>
      </c>
      <c r="N53" s="12" t="n">
        <v>1</v>
      </c>
      <c r="O53" s="12" t="n">
        <v>1</v>
      </c>
      <c r="P53" s="12" t="n"/>
      <c r="Q53" s="12" t="n"/>
      <c r="R53" s="12" t="n"/>
      <c r="S53" s="12" t="inlineStr">
        <is>
          <t>Duct bank</t>
        </is>
      </c>
      <c r="T53" s="16" t="n">
        <v>1214</v>
      </c>
      <c r="U53" s="16" t="n">
        <v>102</v>
      </c>
      <c r="V53" s="16">
        <f>ROUNDUP((T53+U53+2*'Read Me'!$B$13)*(1+'Read Me'!$B$12),-1)</f>
        <v/>
      </c>
      <c r="W53" s="16">
        <f>V53*N53*O53</f>
        <v/>
      </c>
      <c r="X53" s="12">
        <f>IF(LEFT(I53,2)="MV",2*N53*IF(L53="1/C",O53,1),0)</f>
        <v/>
      </c>
      <c r="Y53" s="12">
        <f>IF(OR(LEFT(K53,4)="LVAX",LEFT(K53,6)="MV15AX",LEFT(K53,4)="CTAX",LEFT(K53,2)="W|"),2*N53*O53,0)</f>
        <v/>
      </c>
      <c r="Z53" s="12" t="inlineStr"/>
      <c r="AA53" s="12">
        <f>N53*O53</f>
        <v/>
      </c>
    </row>
    <row r="54">
      <c r="A54" s="12" t="inlineStr">
        <is>
          <t>A-C-0042</t>
        </is>
      </c>
      <c r="B54" s="12" t="inlineStr">
        <is>
          <t>A</t>
        </is>
      </c>
      <c r="C54" s="12" t="inlineStr">
        <is>
          <t>Power block</t>
        </is>
      </c>
      <c r="D54" s="12" t="inlineStr">
        <is>
          <t>Control</t>
        </is>
      </c>
      <c r="E54" s="12" t="inlineStr">
        <is>
          <t>R2C</t>
        </is>
      </c>
      <c r="F54" s="12" t="inlineStr">
        <is>
          <t>R2C: unit / HRSG electrical e-house (32 x 40 ft)</t>
        </is>
      </c>
      <c r="G54" s="12" t="inlineStr">
        <is>
          <t>ET-3</t>
        </is>
      </c>
      <c r="H54" s="12" t="inlineStr">
        <is>
          <t>ET-3: excitation transformer (dry type, GTG-3 terminals)</t>
        </is>
      </c>
      <c r="I54" s="12" t="inlineStr">
        <is>
          <t>Control</t>
        </is>
      </c>
      <c r="J54" s="12" t="inlineStr">
        <is>
          <t>Control cable 600 V Type TC-ER, Cu #14 AWG, PVC jacket</t>
        </is>
      </c>
      <c r="K54" s="12" t="inlineStr">
        <is>
          <t>CT|12/C|14</t>
        </is>
      </c>
      <c r="L54" s="12" t="inlineStr">
        <is>
          <t>12/C</t>
        </is>
      </c>
      <c r="M54" s="12" t="inlineStr">
        <is>
          <t>14</t>
        </is>
      </c>
      <c r="N54" s="12" t="n">
        <v>1</v>
      </c>
      <c r="O54" s="12" t="n">
        <v>1</v>
      </c>
      <c r="P54" s="12" t="n"/>
      <c r="Q54" s="12" t="n"/>
      <c r="R54" s="12" t="n"/>
      <c r="S54" s="12" t="inlineStr">
        <is>
          <t>Duct bank</t>
        </is>
      </c>
      <c r="T54" s="16" t="n">
        <v>1214</v>
      </c>
      <c r="U54" s="16" t="n">
        <v>102</v>
      </c>
      <c r="V54" s="16">
        <f>ROUNDUP((T54+U54+2*'Read Me'!$B$13)*(1+'Read Me'!$B$12),-1)</f>
        <v/>
      </c>
      <c r="W54" s="16">
        <f>V54*N54*O54</f>
        <v/>
      </c>
      <c r="X54" s="12">
        <f>IF(LEFT(I54,2)="MV",2*N54*IF(L54="1/C",O54,1),0)</f>
        <v/>
      </c>
      <c r="Y54" s="12">
        <f>IF(OR(LEFT(K54,4)="LVAX",LEFT(K54,6)="MV15AX",LEFT(K54,4)="CTAX",LEFT(K54,2)="W|"),2*N54*O54,0)</f>
        <v/>
      </c>
      <c r="Z54" s="12" t="inlineStr"/>
      <c r="AA54" s="12">
        <f>N54*O54</f>
        <v/>
      </c>
    </row>
    <row r="55">
      <c r="A55" s="12" t="inlineStr">
        <is>
          <t>A-C-0043</t>
        </is>
      </c>
      <c r="B55" s="12" t="inlineStr">
        <is>
          <t>A</t>
        </is>
      </c>
      <c r="C55" s="12" t="inlineStr">
        <is>
          <t>Power block</t>
        </is>
      </c>
      <c r="D55" s="12" t="inlineStr">
        <is>
          <t>CT / VT</t>
        </is>
      </c>
      <c r="E55" s="12" t="inlineStr">
        <is>
          <t>R2C</t>
        </is>
      </c>
      <c r="F55" s="12" t="inlineStr">
        <is>
          <t>R2C: unit / HRSG electrical e-house (32 x 40 ft)</t>
        </is>
      </c>
      <c r="G55" s="12" t="inlineStr">
        <is>
          <t>ET-3</t>
        </is>
      </c>
      <c r="H55" s="12" t="inlineStr">
        <is>
          <t>ET-3: excitation transformer (dry type, GTG-3 terminals)</t>
        </is>
      </c>
      <c r="I55" s="12" t="inlineStr">
        <is>
          <t>Control</t>
        </is>
      </c>
      <c r="J55" s="12" t="inlineStr">
        <is>
          <t>Control cable 600 V Type TC-ER, Cu #10 AWG (CT / VT circuits)</t>
        </is>
      </c>
      <c r="K55" s="12" t="inlineStr">
        <is>
          <t>CTCT|4/C|10</t>
        </is>
      </c>
      <c r="L55" s="12" t="inlineStr">
        <is>
          <t>4/C</t>
        </is>
      </c>
      <c r="M55" s="12" t="inlineStr">
        <is>
          <t>10</t>
        </is>
      </c>
      <c r="N55" s="12" t="n">
        <v>1</v>
      </c>
      <c r="O55" s="12" t="n">
        <v>1</v>
      </c>
      <c r="P55" s="12" t="n"/>
      <c r="Q55" s="12" t="n"/>
      <c r="R55" s="12" t="n"/>
      <c r="S55" s="12" t="inlineStr">
        <is>
          <t>Duct bank</t>
        </is>
      </c>
      <c r="T55" s="16" t="n">
        <v>1214</v>
      </c>
      <c r="U55" s="16" t="n">
        <v>102</v>
      </c>
      <c r="V55" s="16">
        <f>ROUNDUP((T55+U55+2*'Read Me'!$B$13)*(1+'Read Me'!$B$12),-1)</f>
        <v/>
      </c>
      <c r="W55" s="16">
        <f>V55*N55*O55</f>
        <v/>
      </c>
      <c r="X55" s="12">
        <f>IF(LEFT(I55,2)="MV",2*N55*IF(L55="1/C",O55,1),0)</f>
        <v/>
      </c>
      <c r="Y55" s="12">
        <f>IF(OR(LEFT(K55,4)="LVAX",LEFT(K55,6)="MV15AX",LEFT(K55,4)="CTAX",LEFT(K55,2)="W|"),2*N55*O55,0)</f>
        <v/>
      </c>
      <c r="Z55" s="12" t="inlineStr"/>
      <c r="AA55" s="12">
        <f>N55*O55</f>
        <v/>
      </c>
    </row>
    <row r="56">
      <c r="A56" s="12" t="inlineStr">
        <is>
          <t>A-C-0044</t>
        </is>
      </c>
      <c r="B56" s="12" t="inlineStr">
        <is>
          <t>A</t>
        </is>
      </c>
      <c r="C56" s="12" t="inlineStr">
        <is>
          <t>Power block</t>
        </is>
      </c>
      <c r="D56" s="12" t="inlineStr">
        <is>
          <t>CT / VT</t>
        </is>
      </c>
      <c r="E56" s="12" t="inlineStr">
        <is>
          <t>R2C</t>
        </is>
      </c>
      <c r="F56" s="12" t="inlineStr">
        <is>
          <t>R2C: unit / HRSG electrical e-house (32 x 40 ft)</t>
        </is>
      </c>
      <c r="G56" s="12" t="inlineStr">
        <is>
          <t>ET-3</t>
        </is>
      </c>
      <c r="H56" s="12" t="inlineStr">
        <is>
          <t>ET-3: excitation transformer (dry type, GTG-3 terminals)</t>
        </is>
      </c>
      <c r="I56" s="12" t="inlineStr">
        <is>
          <t>Control</t>
        </is>
      </c>
      <c r="J56" s="12" t="inlineStr">
        <is>
          <t>Control cable 600 V Type TC-ER, Cu #10 AWG (CT / VT circuits)</t>
        </is>
      </c>
      <c r="K56" s="12" t="inlineStr">
        <is>
          <t>CTCT|4/C|10</t>
        </is>
      </c>
      <c r="L56" s="12" t="inlineStr">
        <is>
          <t>4/C</t>
        </is>
      </c>
      <c r="M56" s="12" t="inlineStr">
        <is>
          <t>10</t>
        </is>
      </c>
      <c r="N56" s="12" t="n">
        <v>1</v>
      </c>
      <c r="O56" s="12" t="n">
        <v>1</v>
      </c>
      <c r="P56" s="12" t="n"/>
      <c r="Q56" s="12" t="n"/>
      <c r="R56" s="12" t="n"/>
      <c r="S56" s="12" t="inlineStr">
        <is>
          <t>Duct bank</t>
        </is>
      </c>
      <c r="T56" s="16" t="n">
        <v>1214</v>
      </c>
      <c r="U56" s="16" t="n">
        <v>102</v>
      </c>
      <c r="V56" s="16">
        <f>ROUNDUP((T56+U56+2*'Read Me'!$B$13)*(1+'Read Me'!$B$12),-1)</f>
        <v/>
      </c>
      <c r="W56" s="16">
        <f>V56*N56*O56</f>
        <v/>
      </c>
      <c r="X56" s="12">
        <f>IF(LEFT(I56,2)="MV",2*N56*IF(L56="1/C",O56,1),0)</f>
        <v/>
      </c>
      <c r="Y56" s="12">
        <f>IF(OR(LEFT(K56,4)="LVAX",LEFT(K56,6)="MV15AX",LEFT(K56,4)="CTAX",LEFT(K56,2)="W|"),2*N56*O56,0)</f>
        <v/>
      </c>
      <c r="Z56" s="12" t="inlineStr"/>
      <c r="AA56" s="12">
        <f>N56*O56</f>
        <v/>
      </c>
    </row>
    <row r="57">
      <c r="A57" s="12" t="inlineStr">
        <is>
          <t>A-C-0045</t>
        </is>
      </c>
      <c r="B57" s="12" t="inlineStr">
        <is>
          <t>A</t>
        </is>
      </c>
      <c r="C57" s="12" t="inlineStr">
        <is>
          <t>Power block</t>
        </is>
      </c>
      <c r="D57" s="12" t="inlineStr">
        <is>
          <t>Motor 1 of 2: control / local station</t>
        </is>
      </c>
      <c r="E57" s="12" t="inlineStr">
        <is>
          <t>MCC-GT1</t>
        </is>
      </c>
      <c r="F57" s="12" t="inlineStr">
        <is>
          <t>R1 MCC-GT1</t>
        </is>
      </c>
      <c r="G57" s="12" t="inlineStr">
        <is>
          <t>FH-1</t>
        </is>
      </c>
      <c r="H57" s="12" t="inlineStr">
        <is>
          <t>FH-1: GT inlet filter house on its own frame</t>
        </is>
      </c>
      <c r="I57" s="12" t="inlineStr">
        <is>
          <t>Control</t>
        </is>
      </c>
      <c r="J57" s="12" t="inlineStr">
        <is>
          <t>Control cable 600 V Type TC-ER, Cu #14 AWG, PVC jacket</t>
        </is>
      </c>
      <c r="K57" s="12" t="inlineStr">
        <is>
          <t>CT|7/C|14</t>
        </is>
      </c>
      <c r="L57" s="12" t="inlineStr">
        <is>
          <t>7/C</t>
        </is>
      </c>
      <c r="M57" s="12" t="inlineStr">
        <is>
          <t>14</t>
        </is>
      </c>
      <c r="N57" s="12" t="n">
        <v>1</v>
      </c>
      <c r="O57" s="12" t="n">
        <v>1</v>
      </c>
      <c r="P57" s="12" t="n"/>
      <c r="Q57" s="12" t="n"/>
      <c r="R57" s="12" t="n"/>
      <c r="S57" s="12" t="inlineStr">
        <is>
          <t>Tray</t>
        </is>
      </c>
      <c r="T57" s="16" t="n">
        <v>451</v>
      </c>
      <c r="U57" s="16" t="n">
        <v>157</v>
      </c>
      <c r="V57" s="16">
        <f>ROUNDUP((T57+U57+2*'Read Me'!$B$13)*(1+'Read Me'!$B$12),-1)</f>
        <v/>
      </c>
      <c r="W57" s="16">
        <f>V57*N57*O57</f>
        <v/>
      </c>
      <c r="X57" s="12">
        <f>IF(LEFT(I57,2)="MV",2*N57*IF(L57="1/C",O57,1),0)</f>
        <v/>
      </c>
      <c r="Y57" s="12">
        <f>IF(OR(LEFT(K57,4)="LVAX",LEFT(K57,6)="MV15AX",LEFT(K57,4)="CTAX",LEFT(K57,2)="W|"),2*N57*O57,0)</f>
        <v/>
      </c>
      <c r="Z57" s="12" t="inlineStr"/>
      <c r="AA57" s="12">
        <f>N57*O57</f>
        <v/>
      </c>
    </row>
    <row r="58">
      <c r="A58" s="12" t="inlineStr">
        <is>
          <t>A-C-0046</t>
        </is>
      </c>
      <c r="B58" s="12" t="inlineStr">
        <is>
          <t>A</t>
        </is>
      </c>
      <c r="C58" s="12" t="inlineStr">
        <is>
          <t>Power block</t>
        </is>
      </c>
      <c r="D58" s="12" t="inlineStr">
        <is>
          <t>Motor 2 of 2: control / local station</t>
        </is>
      </c>
      <c r="E58" s="12" t="inlineStr">
        <is>
          <t>MCC-GT1</t>
        </is>
      </c>
      <c r="F58" s="12" t="inlineStr">
        <is>
          <t>R1 MCC-GT1</t>
        </is>
      </c>
      <c r="G58" s="12" t="inlineStr">
        <is>
          <t>FH-1</t>
        </is>
      </c>
      <c r="H58" s="12" t="inlineStr">
        <is>
          <t>FH-1: GT inlet filter house on its own frame</t>
        </is>
      </c>
      <c r="I58" s="12" t="inlineStr">
        <is>
          <t>Control</t>
        </is>
      </c>
      <c r="J58" s="12" t="inlineStr">
        <is>
          <t>Control cable 600 V Type TC-ER, Cu #14 AWG, PVC jacket</t>
        </is>
      </c>
      <c r="K58" s="12" t="inlineStr">
        <is>
          <t>CT|7/C|14</t>
        </is>
      </c>
      <c r="L58" s="12" t="inlineStr">
        <is>
          <t>7/C</t>
        </is>
      </c>
      <c r="M58" s="12" t="inlineStr">
        <is>
          <t>14</t>
        </is>
      </c>
      <c r="N58" s="12" t="n">
        <v>1</v>
      </c>
      <c r="O58" s="12" t="n">
        <v>1</v>
      </c>
      <c r="P58" s="12" t="n"/>
      <c r="Q58" s="12" t="n"/>
      <c r="R58" s="12" t="n"/>
      <c r="S58" s="12" t="inlineStr">
        <is>
          <t>Tray</t>
        </is>
      </c>
      <c r="T58" s="16" t="n">
        <v>451</v>
      </c>
      <c r="U58" s="16" t="n">
        <v>157</v>
      </c>
      <c r="V58" s="16">
        <f>ROUNDUP((T58+U58+2*'Read Me'!$B$13)*(1+'Read Me'!$B$12),-1)</f>
        <v/>
      </c>
      <c r="W58" s="16">
        <f>V58*N58*O58</f>
        <v/>
      </c>
      <c r="X58" s="12">
        <f>IF(LEFT(I58,2)="MV",2*N58*IF(L58="1/C",O58,1),0)</f>
        <v/>
      </c>
      <c r="Y58" s="12">
        <f>IF(OR(LEFT(K58,4)="LVAX",LEFT(K58,6)="MV15AX",LEFT(K58,4)="CTAX",LEFT(K58,2)="W|"),2*N58*O58,0)</f>
        <v/>
      </c>
      <c r="Z58" s="12" t="inlineStr"/>
      <c r="AA58" s="12">
        <f>N58*O58</f>
        <v/>
      </c>
    </row>
    <row r="59">
      <c r="A59" s="12" t="inlineStr">
        <is>
          <t>A-C-0047</t>
        </is>
      </c>
      <c r="B59" s="12" t="inlineStr">
        <is>
          <t>A</t>
        </is>
      </c>
      <c r="C59" s="12" t="inlineStr">
        <is>
          <t>Power block</t>
        </is>
      </c>
      <c r="D59" s="12" t="inlineStr">
        <is>
          <t>Solenoid to JB JB-FH-1-SOL01: 10 x 2/C (field cables)</t>
        </is>
      </c>
      <c r="E59" s="12" t="inlineStr">
        <is>
          <t>FH-1</t>
        </is>
      </c>
      <c r="F59" s="12" t="inlineStr">
        <is>
          <t>FH-1: GT inlet filter house on its own frame</t>
        </is>
      </c>
      <c r="G59" s="12" t="inlineStr">
        <is>
          <t>JB-FH-1-SOL01</t>
        </is>
      </c>
      <c r="H59" s="12" t="inlineStr">
        <is>
          <t>FH-1: GT inlet filter house on its own frame</t>
        </is>
      </c>
      <c r="I59" s="12" t="inlineStr">
        <is>
          <t>Control</t>
        </is>
      </c>
      <c r="J59" s="12" t="inlineStr">
        <is>
          <t>Control cable 600 V Type TC-ER, Cu #14 AWG, PVC jacket</t>
        </is>
      </c>
      <c r="K59" s="12" t="inlineStr">
        <is>
          <t>CT|2/C|14</t>
        </is>
      </c>
      <c r="L59" s="12" t="inlineStr">
        <is>
          <t>2/C</t>
        </is>
      </c>
      <c r="M59" s="12" t="inlineStr">
        <is>
          <t>14</t>
        </is>
      </c>
      <c r="N59" s="12" t="n">
        <v>10</v>
      </c>
      <c r="O59" s="12" t="n">
        <v>1</v>
      </c>
      <c r="P59" s="12" t="n"/>
      <c r="Q59" s="12" t="n"/>
      <c r="R59" s="12" t="n"/>
      <c r="S59" s="12" t="inlineStr">
        <is>
          <t>Tray / conduit</t>
        </is>
      </c>
      <c r="T59" s="16" t="n">
        <v>140</v>
      </c>
      <c r="U59" s="16" t="n">
        <v>10</v>
      </c>
      <c r="V59" s="16">
        <f>ROUNDUP((T59+U59+2*'Read Me'!$B$13)*(1+'Read Me'!$B$12),-1)</f>
        <v/>
      </c>
      <c r="W59" s="16">
        <f>V59*N59*O59</f>
        <v/>
      </c>
      <c r="X59" s="12">
        <f>IF(LEFT(I59,2)="MV",2*N59*IF(L59="1/C",O59,1),0)</f>
        <v/>
      </c>
      <c r="Y59" s="12">
        <f>IF(OR(LEFT(K59,4)="LVAX",LEFT(K59,6)="MV15AX",LEFT(K59,4)="CTAX",LEFT(K59,2)="W|"),2*N59*O59,0)</f>
        <v/>
      </c>
      <c r="Z59" s="12" t="inlineStr">
        <is>
          <t>device-to-JB field wiring, one cable per device</t>
        </is>
      </c>
      <c r="AA59" s="12">
        <f>N59*O59</f>
        <v/>
      </c>
    </row>
    <row r="60">
      <c r="A60" s="12" t="inlineStr">
        <is>
          <t>A-C-0048</t>
        </is>
      </c>
      <c r="B60" s="12" t="inlineStr">
        <is>
          <t>A</t>
        </is>
      </c>
      <c r="C60" s="12" t="inlineStr">
        <is>
          <t>Power block</t>
        </is>
      </c>
      <c r="D60" s="12" t="inlineStr">
        <is>
          <t>Home run JB-FH-1-SOL01 to the control / marshalling room</t>
        </is>
      </c>
      <c r="E60" s="12" t="inlineStr">
        <is>
          <t>R2A</t>
        </is>
      </c>
      <c r="F60" s="12" t="inlineStr">
        <is>
          <t>R2A: unit / HRSG electrical e-house (32 x 40 ft)</t>
        </is>
      </c>
      <c r="G60" s="12" t="inlineStr">
        <is>
          <t>JB-FH-1-SOL01</t>
        </is>
      </c>
      <c r="H60" s="12" t="inlineStr">
        <is>
          <t>FH-1: GT inlet filter house on its own frame</t>
        </is>
      </c>
      <c r="I60" s="12" t="inlineStr">
        <is>
          <t>Control</t>
        </is>
      </c>
      <c r="J60" s="12" t="inlineStr">
        <is>
          <t>Control cable 600 V Type TC-ER, Cu #14 AWG, PVC jacket</t>
        </is>
      </c>
      <c r="K60" s="12" t="inlineStr">
        <is>
          <t>CT|25/C|14</t>
        </is>
      </c>
      <c r="L60" s="12" t="inlineStr">
        <is>
          <t>25/C</t>
        </is>
      </c>
      <c r="M60" s="12" t="inlineStr">
        <is>
          <t>14</t>
        </is>
      </c>
      <c r="N60" s="12" t="n">
        <v>1</v>
      </c>
      <c r="O60" s="12" t="n">
        <v>1</v>
      </c>
      <c r="P60" s="12" t="n"/>
      <c r="Q60" s="12" t="n"/>
      <c r="R60" s="12" t="n"/>
      <c r="S60" s="12" t="inlineStr">
        <is>
          <t>Tray</t>
        </is>
      </c>
      <c r="T60" s="16" t="n">
        <v>373</v>
      </c>
      <c r="U60" s="16" t="n">
        <v>106</v>
      </c>
      <c r="V60" s="16">
        <f>ROUNDUP((T60+U60+2*'Read Me'!$B$13)*(1+'Read Me'!$B$12),-1)</f>
        <v/>
      </c>
      <c r="W60" s="16">
        <f>V60*N60*O60</f>
        <v/>
      </c>
      <c r="X60" s="12">
        <f>IF(LEFT(I60,2)="MV",2*N60*IF(L60="1/C",O60,1),0)</f>
        <v/>
      </c>
      <c r="Y60" s="12">
        <f>IF(OR(LEFT(K60,4)="LVAX",LEFT(K60,6)="MV15AX",LEFT(K60,4)="CTAX",LEFT(K60,2)="W|"),2*N60*O60,0)</f>
        <v/>
      </c>
      <c r="Z60" s="12" t="inlineStr"/>
      <c r="AA60" s="12">
        <f>N60*O60</f>
        <v/>
      </c>
    </row>
    <row r="61">
      <c r="A61" s="12" t="inlineStr">
        <is>
          <t>A-C-0049</t>
        </is>
      </c>
      <c r="B61" s="12" t="inlineStr">
        <is>
          <t>A</t>
        </is>
      </c>
      <c r="C61" s="12" t="inlineStr">
        <is>
          <t>Power block</t>
        </is>
      </c>
      <c r="D61" s="12" t="inlineStr">
        <is>
          <t>Solenoid to JB JB-FH-1-SOL02: 10 x 2/C (field cables)</t>
        </is>
      </c>
      <c r="E61" s="12" t="inlineStr">
        <is>
          <t>FH-1</t>
        </is>
      </c>
      <c r="F61" s="12" t="inlineStr">
        <is>
          <t>FH-1: GT inlet filter house on its own frame</t>
        </is>
      </c>
      <c r="G61" s="12" t="inlineStr">
        <is>
          <t>JB-FH-1-SOL02</t>
        </is>
      </c>
      <c r="H61" s="12" t="inlineStr">
        <is>
          <t>FH-1: GT inlet filter house on its own frame</t>
        </is>
      </c>
      <c r="I61" s="12" t="inlineStr">
        <is>
          <t>Control</t>
        </is>
      </c>
      <c r="J61" s="12" t="inlineStr">
        <is>
          <t>Control cable 600 V Type TC-ER, Cu #14 AWG, PVC jacket</t>
        </is>
      </c>
      <c r="K61" s="12" t="inlineStr">
        <is>
          <t>CT|2/C|14</t>
        </is>
      </c>
      <c r="L61" s="12" t="inlineStr">
        <is>
          <t>2/C</t>
        </is>
      </c>
      <c r="M61" s="12" t="inlineStr">
        <is>
          <t>14</t>
        </is>
      </c>
      <c r="N61" s="12" t="n">
        <v>10</v>
      </c>
      <c r="O61" s="12" t="n">
        <v>1</v>
      </c>
      <c r="P61" s="12" t="n"/>
      <c r="Q61" s="12" t="n"/>
      <c r="R61" s="12" t="n"/>
      <c r="S61" s="12" t="inlineStr">
        <is>
          <t>Tray / conduit</t>
        </is>
      </c>
      <c r="T61" s="16" t="n">
        <v>140</v>
      </c>
      <c r="U61" s="16" t="n">
        <v>10</v>
      </c>
      <c r="V61" s="16">
        <f>ROUNDUP((T61+U61+2*'Read Me'!$B$13)*(1+'Read Me'!$B$12),-1)</f>
        <v/>
      </c>
      <c r="W61" s="16">
        <f>V61*N61*O61</f>
        <v/>
      </c>
      <c r="X61" s="12">
        <f>IF(LEFT(I61,2)="MV",2*N61*IF(L61="1/C",O61,1),0)</f>
        <v/>
      </c>
      <c r="Y61" s="12">
        <f>IF(OR(LEFT(K61,4)="LVAX",LEFT(K61,6)="MV15AX",LEFT(K61,4)="CTAX",LEFT(K61,2)="W|"),2*N61*O61,0)</f>
        <v/>
      </c>
      <c r="Z61" s="12" t="inlineStr">
        <is>
          <t>device-to-JB field wiring, one cable per device</t>
        </is>
      </c>
      <c r="AA61" s="12">
        <f>N61*O61</f>
        <v/>
      </c>
    </row>
    <row r="62">
      <c r="A62" s="12" t="inlineStr">
        <is>
          <t>A-C-0050</t>
        </is>
      </c>
      <c r="B62" s="12" t="inlineStr">
        <is>
          <t>A</t>
        </is>
      </c>
      <c r="C62" s="12" t="inlineStr">
        <is>
          <t>Power block</t>
        </is>
      </c>
      <c r="D62" s="12" t="inlineStr">
        <is>
          <t>Home run JB-FH-1-SOL02 to the control / marshalling room</t>
        </is>
      </c>
      <c r="E62" s="12" t="inlineStr">
        <is>
          <t>R2A</t>
        </is>
      </c>
      <c r="F62" s="12" t="inlineStr">
        <is>
          <t>R2A: unit / HRSG electrical e-house (32 x 40 ft)</t>
        </is>
      </c>
      <c r="G62" s="12" t="inlineStr">
        <is>
          <t>JB-FH-1-SOL02</t>
        </is>
      </c>
      <c r="H62" s="12" t="inlineStr">
        <is>
          <t>FH-1: GT inlet filter house on its own frame</t>
        </is>
      </c>
      <c r="I62" s="12" t="inlineStr">
        <is>
          <t>Control</t>
        </is>
      </c>
      <c r="J62" s="12" t="inlineStr">
        <is>
          <t>Control cable 600 V Type TC-ER, Cu #14 AWG, PVC jacket</t>
        </is>
      </c>
      <c r="K62" s="12" t="inlineStr">
        <is>
          <t>CT|25/C|14</t>
        </is>
      </c>
      <c r="L62" s="12" t="inlineStr">
        <is>
          <t>25/C</t>
        </is>
      </c>
      <c r="M62" s="12" t="inlineStr">
        <is>
          <t>14</t>
        </is>
      </c>
      <c r="N62" s="12" t="n">
        <v>1</v>
      </c>
      <c r="O62" s="12" t="n">
        <v>1</v>
      </c>
      <c r="P62" s="12" t="n"/>
      <c r="Q62" s="12" t="n"/>
      <c r="R62" s="12" t="n"/>
      <c r="S62" s="12" t="inlineStr">
        <is>
          <t>Tray</t>
        </is>
      </c>
      <c r="T62" s="16" t="n">
        <v>373</v>
      </c>
      <c r="U62" s="16" t="n">
        <v>106</v>
      </c>
      <c r="V62" s="16">
        <f>ROUNDUP((T62+U62+2*'Read Me'!$B$13)*(1+'Read Me'!$B$12),-1)</f>
        <v/>
      </c>
      <c r="W62" s="16">
        <f>V62*N62*O62</f>
        <v/>
      </c>
      <c r="X62" s="12">
        <f>IF(LEFT(I62,2)="MV",2*N62*IF(L62="1/C",O62,1),0)</f>
        <v/>
      </c>
      <c r="Y62" s="12">
        <f>IF(OR(LEFT(K62,4)="LVAX",LEFT(K62,6)="MV15AX",LEFT(K62,4)="CTAX",LEFT(K62,2)="W|"),2*N62*O62,0)</f>
        <v/>
      </c>
      <c r="Z62" s="12" t="inlineStr"/>
      <c r="AA62" s="12">
        <f>N62*O62</f>
        <v/>
      </c>
    </row>
    <row r="63">
      <c r="A63" s="12" t="inlineStr">
        <is>
          <t>A-C-0051</t>
        </is>
      </c>
      <c r="B63" s="12" t="inlineStr">
        <is>
          <t>A</t>
        </is>
      </c>
      <c r="C63" s="12" t="inlineStr">
        <is>
          <t>Power block</t>
        </is>
      </c>
      <c r="D63" s="12" t="inlineStr">
        <is>
          <t>Solenoid to JB JB-FH-1-SOL03: 10 x 2/C (field cables)</t>
        </is>
      </c>
      <c r="E63" s="12" t="inlineStr">
        <is>
          <t>FH-1</t>
        </is>
      </c>
      <c r="F63" s="12" t="inlineStr">
        <is>
          <t>FH-1: GT inlet filter house on its own frame</t>
        </is>
      </c>
      <c r="G63" s="12" t="inlineStr">
        <is>
          <t>JB-FH-1-SOL03</t>
        </is>
      </c>
      <c r="H63" s="12" t="inlineStr">
        <is>
          <t>FH-1: GT inlet filter house on its own frame</t>
        </is>
      </c>
      <c r="I63" s="12" t="inlineStr">
        <is>
          <t>Control</t>
        </is>
      </c>
      <c r="J63" s="12" t="inlineStr">
        <is>
          <t>Control cable 600 V Type TC-ER, Cu #14 AWG, PVC jacket</t>
        </is>
      </c>
      <c r="K63" s="12" t="inlineStr">
        <is>
          <t>CT|2/C|14</t>
        </is>
      </c>
      <c r="L63" s="12" t="inlineStr">
        <is>
          <t>2/C</t>
        </is>
      </c>
      <c r="M63" s="12" t="inlineStr">
        <is>
          <t>14</t>
        </is>
      </c>
      <c r="N63" s="12" t="n">
        <v>10</v>
      </c>
      <c r="O63" s="12" t="n">
        <v>1</v>
      </c>
      <c r="P63" s="12" t="n"/>
      <c r="Q63" s="12" t="n"/>
      <c r="R63" s="12" t="n"/>
      <c r="S63" s="12" t="inlineStr">
        <is>
          <t>Tray / conduit</t>
        </is>
      </c>
      <c r="T63" s="16" t="n">
        <v>140</v>
      </c>
      <c r="U63" s="16" t="n">
        <v>10</v>
      </c>
      <c r="V63" s="16">
        <f>ROUNDUP((T63+U63+2*'Read Me'!$B$13)*(1+'Read Me'!$B$12),-1)</f>
        <v/>
      </c>
      <c r="W63" s="16">
        <f>V63*N63*O63</f>
        <v/>
      </c>
      <c r="X63" s="12">
        <f>IF(LEFT(I63,2)="MV",2*N63*IF(L63="1/C",O63,1),0)</f>
        <v/>
      </c>
      <c r="Y63" s="12">
        <f>IF(OR(LEFT(K63,4)="LVAX",LEFT(K63,6)="MV15AX",LEFT(K63,4)="CTAX",LEFT(K63,2)="W|"),2*N63*O63,0)</f>
        <v/>
      </c>
      <c r="Z63" s="12" t="inlineStr">
        <is>
          <t>device-to-JB field wiring, one cable per device</t>
        </is>
      </c>
      <c r="AA63" s="12">
        <f>N63*O63</f>
        <v/>
      </c>
    </row>
    <row r="64">
      <c r="A64" s="12" t="inlineStr">
        <is>
          <t>A-C-0052</t>
        </is>
      </c>
      <c r="B64" s="12" t="inlineStr">
        <is>
          <t>A</t>
        </is>
      </c>
      <c r="C64" s="12" t="inlineStr">
        <is>
          <t>Power block</t>
        </is>
      </c>
      <c r="D64" s="12" t="inlineStr">
        <is>
          <t>Home run JB-FH-1-SOL03 to the control / marshalling room</t>
        </is>
      </c>
      <c r="E64" s="12" t="inlineStr">
        <is>
          <t>R2A</t>
        </is>
      </c>
      <c r="F64" s="12" t="inlineStr">
        <is>
          <t>R2A: unit / HRSG electrical e-house (32 x 40 ft)</t>
        </is>
      </c>
      <c r="G64" s="12" t="inlineStr">
        <is>
          <t>JB-FH-1-SOL03</t>
        </is>
      </c>
      <c r="H64" s="12" t="inlineStr">
        <is>
          <t>FH-1: GT inlet filter house on its own frame</t>
        </is>
      </c>
      <c r="I64" s="12" t="inlineStr">
        <is>
          <t>Control</t>
        </is>
      </c>
      <c r="J64" s="12" t="inlineStr">
        <is>
          <t>Control cable 600 V Type TC-ER, Cu #14 AWG, PVC jacket</t>
        </is>
      </c>
      <c r="K64" s="12" t="inlineStr">
        <is>
          <t>CT|25/C|14</t>
        </is>
      </c>
      <c r="L64" s="12" t="inlineStr">
        <is>
          <t>25/C</t>
        </is>
      </c>
      <c r="M64" s="12" t="inlineStr">
        <is>
          <t>14</t>
        </is>
      </c>
      <c r="N64" s="12" t="n">
        <v>1</v>
      </c>
      <c r="O64" s="12" t="n">
        <v>1</v>
      </c>
      <c r="P64" s="12" t="n"/>
      <c r="Q64" s="12" t="n"/>
      <c r="R64" s="12" t="n"/>
      <c r="S64" s="12" t="inlineStr">
        <is>
          <t>Tray</t>
        </is>
      </c>
      <c r="T64" s="16" t="n">
        <v>373</v>
      </c>
      <c r="U64" s="16" t="n">
        <v>106</v>
      </c>
      <c r="V64" s="16">
        <f>ROUNDUP((T64+U64+2*'Read Me'!$B$13)*(1+'Read Me'!$B$12),-1)</f>
        <v/>
      </c>
      <c r="W64" s="16">
        <f>V64*N64*O64</f>
        <v/>
      </c>
      <c r="X64" s="12">
        <f>IF(LEFT(I64,2)="MV",2*N64*IF(L64="1/C",O64,1),0)</f>
        <v/>
      </c>
      <c r="Y64" s="12">
        <f>IF(OR(LEFT(K64,4)="LVAX",LEFT(K64,6)="MV15AX",LEFT(K64,4)="CTAX",LEFT(K64,2)="W|"),2*N64*O64,0)</f>
        <v/>
      </c>
      <c r="Z64" s="12" t="inlineStr"/>
      <c r="AA64" s="12">
        <f>N64*O64</f>
        <v/>
      </c>
    </row>
    <row r="65">
      <c r="A65" s="12" t="inlineStr">
        <is>
          <t>A-C-0053</t>
        </is>
      </c>
      <c r="B65" s="12" t="inlineStr">
        <is>
          <t>A</t>
        </is>
      </c>
      <c r="C65" s="12" t="inlineStr">
        <is>
          <t>Power block</t>
        </is>
      </c>
      <c r="D65" s="12" t="inlineStr">
        <is>
          <t>Solenoid to JB JB-FH-1-SOL04: 10 x 2/C (field cables)</t>
        </is>
      </c>
      <c r="E65" s="12" t="inlineStr">
        <is>
          <t>FH-1</t>
        </is>
      </c>
      <c r="F65" s="12" t="inlineStr">
        <is>
          <t>FH-1: GT inlet filter house on its own frame</t>
        </is>
      </c>
      <c r="G65" s="12" t="inlineStr">
        <is>
          <t>JB-FH-1-SOL04</t>
        </is>
      </c>
      <c r="H65" s="12" t="inlineStr">
        <is>
          <t>FH-1: GT inlet filter house on its own frame</t>
        </is>
      </c>
      <c r="I65" s="12" t="inlineStr">
        <is>
          <t>Control</t>
        </is>
      </c>
      <c r="J65" s="12" t="inlineStr">
        <is>
          <t>Control cable 600 V Type TC-ER, Cu #14 AWG, PVC jacket</t>
        </is>
      </c>
      <c r="K65" s="12" t="inlineStr">
        <is>
          <t>CT|2/C|14</t>
        </is>
      </c>
      <c r="L65" s="12" t="inlineStr">
        <is>
          <t>2/C</t>
        </is>
      </c>
      <c r="M65" s="12" t="inlineStr">
        <is>
          <t>14</t>
        </is>
      </c>
      <c r="N65" s="12" t="n">
        <v>10</v>
      </c>
      <c r="O65" s="12" t="n">
        <v>1</v>
      </c>
      <c r="P65" s="12" t="n"/>
      <c r="Q65" s="12" t="n"/>
      <c r="R65" s="12" t="n"/>
      <c r="S65" s="12" t="inlineStr">
        <is>
          <t>Tray / conduit</t>
        </is>
      </c>
      <c r="T65" s="16" t="n">
        <v>140</v>
      </c>
      <c r="U65" s="16" t="n">
        <v>10</v>
      </c>
      <c r="V65" s="16">
        <f>ROUNDUP((T65+U65+2*'Read Me'!$B$13)*(1+'Read Me'!$B$12),-1)</f>
        <v/>
      </c>
      <c r="W65" s="16">
        <f>V65*N65*O65</f>
        <v/>
      </c>
      <c r="X65" s="12">
        <f>IF(LEFT(I65,2)="MV",2*N65*IF(L65="1/C",O65,1),0)</f>
        <v/>
      </c>
      <c r="Y65" s="12">
        <f>IF(OR(LEFT(K65,4)="LVAX",LEFT(K65,6)="MV15AX",LEFT(K65,4)="CTAX",LEFT(K65,2)="W|"),2*N65*O65,0)</f>
        <v/>
      </c>
      <c r="Z65" s="12" t="inlineStr">
        <is>
          <t>device-to-JB field wiring, one cable per device</t>
        </is>
      </c>
      <c r="AA65" s="12">
        <f>N65*O65</f>
        <v/>
      </c>
    </row>
    <row r="66">
      <c r="A66" s="12" t="inlineStr">
        <is>
          <t>A-C-0054</t>
        </is>
      </c>
      <c r="B66" s="12" t="inlineStr">
        <is>
          <t>A</t>
        </is>
      </c>
      <c r="C66" s="12" t="inlineStr">
        <is>
          <t>Power block</t>
        </is>
      </c>
      <c r="D66" s="12" t="inlineStr">
        <is>
          <t>Home run JB-FH-1-SOL04 to the control / marshalling room</t>
        </is>
      </c>
      <c r="E66" s="12" t="inlineStr">
        <is>
          <t>R2A</t>
        </is>
      </c>
      <c r="F66" s="12" t="inlineStr">
        <is>
          <t>R2A: unit / HRSG electrical e-house (32 x 40 ft)</t>
        </is>
      </c>
      <c r="G66" s="12" t="inlineStr">
        <is>
          <t>JB-FH-1-SOL04</t>
        </is>
      </c>
      <c r="H66" s="12" t="inlineStr">
        <is>
          <t>FH-1: GT inlet filter house on its own frame</t>
        </is>
      </c>
      <c r="I66" s="12" t="inlineStr">
        <is>
          <t>Control</t>
        </is>
      </c>
      <c r="J66" s="12" t="inlineStr">
        <is>
          <t>Control cable 600 V Type TC-ER, Cu #14 AWG, PVC jacket</t>
        </is>
      </c>
      <c r="K66" s="12" t="inlineStr">
        <is>
          <t>CT|25/C|14</t>
        </is>
      </c>
      <c r="L66" s="12" t="inlineStr">
        <is>
          <t>25/C</t>
        </is>
      </c>
      <c r="M66" s="12" t="inlineStr">
        <is>
          <t>14</t>
        </is>
      </c>
      <c r="N66" s="12" t="n">
        <v>1</v>
      </c>
      <c r="O66" s="12" t="n">
        <v>1</v>
      </c>
      <c r="P66" s="12" t="n"/>
      <c r="Q66" s="12" t="n"/>
      <c r="R66" s="12" t="n"/>
      <c r="S66" s="12" t="inlineStr">
        <is>
          <t>Tray</t>
        </is>
      </c>
      <c r="T66" s="16" t="n">
        <v>373</v>
      </c>
      <c r="U66" s="16" t="n">
        <v>106</v>
      </c>
      <c r="V66" s="16">
        <f>ROUNDUP((T66+U66+2*'Read Me'!$B$13)*(1+'Read Me'!$B$12),-1)</f>
        <v/>
      </c>
      <c r="W66" s="16">
        <f>V66*N66*O66</f>
        <v/>
      </c>
      <c r="X66" s="12">
        <f>IF(LEFT(I66,2)="MV",2*N66*IF(L66="1/C",O66,1),0)</f>
        <v/>
      </c>
      <c r="Y66" s="12">
        <f>IF(OR(LEFT(K66,4)="LVAX",LEFT(K66,6)="MV15AX",LEFT(K66,4)="CTAX",LEFT(K66,2)="W|"),2*N66*O66,0)</f>
        <v/>
      </c>
      <c r="Z66" s="12" t="inlineStr"/>
      <c r="AA66" s="12">
        <f>N66*O66</f>
        <v/>
      </c>
    </row>
    <row r="67">
      <c r="A67" s="12" t="inlineStr">
        <is>
          <t>A-C-0055</t>
        </is>
      </c>
      <c r="B67" s="12" t="inlineStr">
        <is>
          <t>A</t>
        </is>
      </c>
      <c r="C67" s="12" t="inlineStr">
        <is>
          <t>Power block</t>
        </is>
      </c>
      <c r="D67" s="12" t="inlineStr">
        <is>
          <t>Solenoid to JB JB-FH-1-SOL05: 10 x 2/C (field cables)</t>
        </is>
      </c>
      <c r="E67" s="12" t="inlineStr">
        <is>
          <t>FH-1</t>
        </is>
      </c>
      <c r="F67" s="12" t="inlineStr">
        <is>
          <t>FH-1: GT inlet filter house on its own frame</t>
        </is>
      </c>
      <c r="G67" s="12" t="inlineStr">
        <is>
          <t>JB-FH-1-SOL05</t>
        </is>
      </c>
      <c r="H67" s="12" t="inlineStr">
        <is>
          <t>FH-1: GT inlet filter house on its own frame</t>
        </is>
      </c>
      <c r="I67" s="12" t="inlineStr">
        <is>
          <t>Control</t>
        </is>
      </c>
      <c r="J67" s="12" t="inlineStr">
        <is>
          <t>Control cable 600 V Type TC-ER, Cu #14 AWG, PVC jacket</t>
        </is>
      </c>
      <c r="K67" s="12" t="inlineStr">
        <is>
          <t>CT|2/C|14</t>
        </is>
      </c>
      <c r="L67" s="12" t="inlineStr">
        <is>
          <t>2/C</t>
        </is>
      </c>
      <c r="M67" s="12" t="inlineStr">
        <is>
          <t>14</t>
        </is>
      </c>
      <c r="N67" s="12" t="n">
        <v>10</v>
      </c>
      <c r="O67" s="12" t="n">
        <v>1</v>
      </c>
      <c r="P67" s="12" t="n"/>
      <c r="Q67" s="12" t="n"/>
      <c r="R67" s="12" t="n"/>
      <c r="S67" s="12" t="inlineStr">
        <is>
          <t>Tray / conduit</t>
        </is>
      </c>
      <c r="T67" s="16" t="n">
        <v>140</v>
      </c>
      <c r="U67" s="16" t="n">
        <v>10</v>
      </c>
      <c r="V67" s="16">
        <f>ROUNDUP((T67+U67+2*'Read Me'!$B$13)*(1+'Read Me'!$B$12),-1)</f>
        <v/>
      </c>
      <c r="W67" s="16">
        <f>V67*N67*O67</f>
        <v/>
      </c>
      <c r="X67" s="12">
        <f>IF(LEFT(I67,2)="MV",2*N67*IF(L67="1/C",O67,1),0)</f>
        <v/>
      </c>
      <c r="Y67" s="12">
        <f>IF(OR(LEFT(K67,4)="LVAX",LEFT(K67,6)="MV15AX",LEFT(K67,4)="CTAX",LEFT(K67,2)="W|"),2*N67*O67,0)</f>
        <v/>
      </c>
      <c r="Z67" s="12" t="inlineStr">
        <is>
          <t>device-to-JB field wiring, one cable per device</t>
        </is>
      </c>
      <c r="AA67" s="12">
        <f>N67*O67</f>
        <v/>
      </c>
    </row>
    <row r="68">
      <c r="A68" s="12" t="inlineStr">
        <is>
          <t>A-C-0056</t>
        </is>
      </c>
      <c r="B68" s="12" t="inlineStr">
        <is>
          <t>A</t>
        </is>
      </c>
      <c r="C68" s="12" t="inlineStr">
        <is>
          <t>Power block</t>
        </is>
      </c>
      <c r="D68" s="12" t="inlineStr">
        <is>
          <t>Home run JB-FH-1-SOL05 to the control / marshalling room</t>
        </is>
      </c>
      <c r="E68" s="12" t="inlineStr">
        <is>
          <t>R2A</t>
        </is>
      </c>
      <c r="F68" s="12" t="inlineStr">
        <is>
          <t>R2A: unit / HRSG electrical e-house (32 x 40 ft)</t>
        </is>
      </c>
      <c r="G68" s="12" t="inlineStr">
        <is>
          <t>JB-FH-1-SOL05</t>
        </is>
      </c>
      <c r="H68" s="12" t="inlineStr">
        <is>
          <t>FH-1: GT inlet filter house on its own frame</t>
        </is>
      </c>
      <c r="I68" s="12" t="inlineStr">
        <is>
          <t>Control</t>
        </is>
      </c>
      <c r="J68" s="12" t="inlineStr">
        <is>
          <t>Control cable 600 V Type TC-ER, Cu #14 AWG, PVC jacket</t>
        </is>
      </c>
      <c r="K68" s="12" t="inlineStr">
        <is>
          <t>CT|25/C|14</t>
        </is>
      </c>
      <c r="L68" s="12" t="inlineStr">
        <is>
          <t>25/C</t>
        </is>
      </c>
      <c r="M68" s="12" t="inlineStr">
        <is>
          <t>14</t>
        </is>
      </c>
      <c r="N68" s="12" t="n">
        <v>1</v>
      </c>
      <c r="O68" s="12" t="n">
        <v>1</v>
      </c>
      <c r="P68" s="12" t="n"/>
      <c r="Q68" s="12" t="n"/>
      <c r="R68" s="12" t="n"/>
      <c r="S68" s="12" t="inlineStr">
        <is>
          <t>Tray</t>
        </is>
      </c>
      <c r="T68" s="16" t="n">
        <v>373</v>
      </c>
      <c r="U68" s="16" t="n">
        <v>106</v>
      </c>
      <c r="V68" s="16">
        <f>ROUNDUP((T68+U68+2*'Read Me'!$B$13)*(1+'Read Me'!$B$12),-1)</f>
        <v/>
      </c>
      <c r="W68" s="16">
        <f>V68*N68*O68</f>
        <v/>
      </c>
      <c r="X68" s="12">
        <f>IF(LEFT(I68,2)="MV",2*N68*IF(L68="1/C",O68,1),0)</f>
        <v/>
      </c>
      <c r="Y68" s="12">
        <f>IF(OR(LEFT(K68,4)="LVAX",LEFT(K68,6)="MV15AX",LEFT(K68,4)="CTAX",LEFT(K68,2)="W|"),2*N68*O68,0)</f>
        <v/>
      </c>
      <c r="Z68" s="12" t="inlineStr"/>
      <c r="AA68" s="12">
        <f>N68*O68</f>
        <v/>
      </c>
    </row>
    <row r="69">
      <c r="A69" s="12" t="inlineStr">
        <is>
          <t>A-C-0057</t>
        </is>
      </c>
      <c r="B69" s="12" t="inlineStr">
        <is>
          <t>A</t>
        </is>
      </c>
      <c r="C69" s="12" t="inlineStr">
        <is>
          <t>Power block</t>
        </is>
      </c>
      <c r="D69" s="12" t="inlineStr">
        <is>
          <t>Solenoid to JB JB-FH-1-SOL06: 10 x 2/C (field cables)</t>
        </is>
      </c>
      <c r="E69" s="12" t="inlineStr">
        <is>
          <t>FH-1</t>
        </is>
      </c>
      <c r="F69" s="12" t="inlineStr">
        <is>
          <t>FH-1: GT inlet filter house on its own frame</t>
        </is>
      </c>
      <c r="G69" s="12" t="inlineStr">
        <is>
          <t>JB-FH-1-SOL06</t>
        </is>
      </c>
      <c r="H69" s="12" t="inlineStr">
        <is>
          <t>FH-1: GT inlet filter house on its own frame</t>
        </is>
      </c>
      <c r="I69" s="12" t="inlineStr">
        <is>
          <t>Control</t>
        </is>
      </c>
      <c r="J69" s="12" t="inlineStr">
        <is>
          <t>Control cable 600 V Type TC-ER, Cu #14 AWG, PVC jacket</t>
        </is>
      </c>
      <c r="K69" s="12" t="inlineStr">
        <is>
          <t>CT|2/C|14</t>
        </is>
      </c>
      <c r="L69" s="12" t="inlineStr">
        <is>
          <t>2/C</t>
        </is>
      </c>
      <c r="M69" s="12" t="inlineStr">
        <is>
          <t>14</t>
        </is>
      </c>
      <c r="N69" s="12" t="n">
        <v>10</v>
      </c>
      <c r="O69" s="12" t="n">
        <v>1</v>
      </c>
      <c r="P69" s="12" t="n"/>
      <c r="Q69" s="12" t="n"/>
      <c r="R69" s="12" t="n"/>
      <c r="S69" s="12" t="inlineStr">
        <is>
          <t>Tray / conduit</t>
        </is>
      </c>
      <c r="T69" s="16" t="n">
        <v>140</v>
      </c>
      <c r="U69" s="16" t="n">
        <v>10</v>
      </c>
      <c r="V69" s="16">
        <f>ROUNDUP((T69+U69+2*'Read Me'!$B$13)*(1+'Read Me'!$B$12),-1)</f>
        <v/>
      </c>
      <c r="W69" s="16">
        <f>V69*N69*O69</f>
        <v/>
      </c>
      <c r="X69" s="12">
        <f>IF(LEFT(I69,2)="MV",2*N69*IF(L69="1/C",O69,1),0)</f>
        <v/>
      </c>
      <c r="Y69" s="12">
        <f>IF(OR(LEFT(K69,4)="LVAX",LEFT(K69,6)="MV15AX",LEFT(K69,4)="CTAX",LEFT(K69,2)="W|"),2*N69*O69,0)</f>
        <v/>
      </c>
      <c r="Z69" s="12" t="inlineStr">
        <is>
          <t>device-to-JB field wiring, one cable per device</t>
        </is>
      </c>
      <c r="AA69" s="12">
        <f>N69*O69</f>
        <v/>
      </c>
    </row>
    <row r="70">
      <c r="A70" s="12" t="inlineStr">
        <is>
          <t>A-C-0058</t>
        </is>
      </c>
      <c r="B70" s="12" t="inlineStr">
        <is>
          <t>A</t>
        </is>
      </c>
      <c r="C70" s="12" t="inlineStr">
        <is>
          <t>Power block</t>
        </is>
      </c>
      <c r="D70" s="12" t="inlineStr">
        <is>
          <t>Home run JB-FH-1-SOL06 to the control / marshalling room</t>
        </is>
      </c>
      <c r="E70" s="12" t="inlineStr">
        <is>
          <t>R2A</t>
        </is>
      </c>
      <c r="F70" s="12" t="inlineStr">
        <is>
          <t>R2A: unit / HRSG electrical e-house (32 x 40 ft)</t>
        </is>
      </c>
      <c r="G70" s="12" t="inlineStr">
        <is>
          <t>JB-FH-1-SOL06</t>
        </is>
      </c>
      <c r="H70" s="12" t="inlineStr">
        <is>
          <t>FH-1: GT inlet filter house on its own frame</t>
        </is>
      </c>
      <c r="I70" s="12" t="inlineStr">
        <is>
          <t>Control</t>
        </is>
      </c>
      <c r="J70" s="12" t="inlineStr">
        <is>
          <t>Control cable 600 V Type TC-ER, Cu #14 AWG, PVC jacket</t>
        </is>
      </c>
      <c r="K70" s="12" t="inlineStr">
        <is>
          <t>CT|25/C|14</t>
        </is>
      </c>
      <c r="L70" s="12" t="inlineStr">
        <is>
          <t>25/C</t>
        </is>
      </c>
      <c r="M70" s="12" t="inlineStr">
        <is>
          <t>14</t>
        </is>
      </c>
      <c r="N70" s="12" t="n">
        <v>1</v>
      </c>
      <c r="O70" s="12" t="n">
        <v>1</v>
      </c>
      <c r="P70" s="12" t="n"/>
      <c r="Q70" s="12" t="n"/>
      <c r="R70" s="12" t="n"/>
      <c r="S70" s="12" t="inlineStr">
        <is>
          <t>Tray</t>
        </is>
      </c>
      <c r="T70" s="16" t="n">
        <v>373</v>
      </c>
      <c r="U70" s="16" t="n">
        <v>106</v>
      </c>
      <c r="V70" s="16">
        <f>ROUNDUP((T70+U70+2*'Read Me'!$B$13)*(1+'Read Me'!$B$12),-1)</f>
        <v/>
      </c>
      <c r="W70" s="16">
        <f>V70*N70*O70</f>
        <v/>
      </c>
      <c r="X70" s="12">
        <f>IF(LEFT(I70,2)="MV",2*N70*IF(L70="1/C",O70,1),0)</f>
        <v/>
      </c>
      <c r="Y70" s="12">
        <f>IF(OR(LEFT(K70,4)="LVAX",LEFT(K70,6)="MV15AX",LEFT(K70,4)="CTAX",LEFT(K70,2)="W|"),2*N70*O70,0)</f>
        <v/>
      </c>
      <c r="Z70" s="12" t="inlineStr"/>
      <c r="AA70" s="12">
        <f>N70*O70</f>
        <v/>
      </c>
    </row>
    <row r="71">
      <c r="A71" s="12" t="inlineStr">
        <is>
          <t>A-C-0059</t>
        </is>
      </c>
      <c r="B71" s="12" t="inlineStr">
        <is>
          <t>A</t>
        </is>
      </c>
      <c r="C71" s="12" t="inlineStr">
        <is>
          <t>Power block</t>
        </is>
      </c>
      <c r="D71" s="12" t="inlineStr">
        <is>
          <t>Motor 1 of 2: control / local station</t>
        </is>
      </c>
      <c r="E71" s="12" t="inlineStr">
        <is>
          <t>MCC-GT2</t>
        </is>
      </c>
      <c r="F71" s="12" t="inlineStr">
        <is>
          <t>R1 MCC-GT2</t>
        </is>
      </c>
      <c r="G71" s="12" t="inlineStr">
        <is>
          <t>FH-2</t>
        </is>
      </c>
      <c r="H71" s="12" t="inlineStr">
        <is>
          <t>FH-2: GT inlet filter house on its own frame</t>
        </is>
      </c>
      <c r="I71" s="12" t="inlineStr">
        <is>
          <t>Control</t>
        </is>
      </c>
      <c r="J71" s="12" t="inlineStr">
        <is>
          <t>Control cable 600 V Type TC-ER, Cu #14 AWG, PVC jacket</t>
        </is>
      </c>
      <c r="K71" s="12" t="inlineStr">
        <is>
          <t>CT|7/C|14</t>
        </is>
      </c>
      <c r="L71" s="12" t="inlineStr">
        <is>
          <t>7/C</t>
        </is>
      </c>
      <c r="M71" s="12" t="inlineStr">
        <is>
          <t>14</t>
        </is>
      </c>
      <c r="N71" s="12" t="n">
        <v>1</v>
      </c>
      <c r="O71" s="12" t="n">
        <v>1</v>
      </c>
      <c r="P71" s="12" t="n"/>
      <c r="Q71" s="12" t="n"/>
      <c r="R71" s="12" t="n"/>
      <c r="S71" s="12" t="inlineStr">
        <is>
          <t>Tray</t>
        </is>
      </c>
      <c r="T71" s="16" t="n">
        <v>631</v>
      </c>
      <c r="U71" s="16" t="n">
        <v>137</v>
      </c>
      <c r="V71" s="16">
        <f>ROUNDUP((T71+U71+2*'Read Me'!$B$13)*(1+'Read Me'!$B$12),-1)</f>
        <v/>
      </c>
      <c r="W71" s="16">
        <f>V71*N71*O71</f>
        <v/>
      </c>
      <c r="X71" s="12">
        <f>IF(LEFT(I71,2)="MV",2*N71*IF(L71="1/C",O71,1),0)</f>
        <v/>
      </c>
      <c r="Y71" s="12">
        <f>IF(OR(LEFT(K71,4)="LVAX",LEFT(K71,6)="MV15AX",LEFT(K71,4)="CTAX",LEFT(K71,2)="W|"),2*N71*O71,0)</f>
        <v/>
      </c>
      <c r="Z71" s="12" t="inlineStr"/>
      <c r="AA71" s="12">
        <f>N71*O71</f>
        <v/>
      </c>
    </row>
    <row r="72">
      <c r="A72" s="12" t="inlineStr">
        <is>
          <t>A-C-0060</t>
        </is>
      </c>
      <c r="B72" s="12" t="inlineStr">
        <is>
          <t>A</t>
        </is>
      </c>
      <c r="C72" s="12" t="inlineStr">
        <is>
          <t>Power block</t>
        </is>
      </c>
      <c r="D72" s="12" t="inlineStr">
        <is>
          <t>Motor 2 of 2: control / local station</t>
        </is>
      </c>
      <c r="E72" s="12" t="inlineStr">
        <is>
          <t>MCC-GT2</t>
        </is>
      </c>
      <c r="F72" s="12" t="inlineStr">
        <is>
          <t>R1 MCC-GT2</t>
        </is>
      </c>
      <c r="G72" s="12" t="inlineStr">
        <is>
          <t>FH-2</t>
        </is>
      </c>
      <c r="H72" s="12" t="inlineStr">
        <is>
          <t>FH-2: GT inlet filter house on its own frame</t>
        </is>
      </c>
      <c r="I72" s="12" t="inlineStr">
        <is>
          <t>Control</t>
        </is>
      </c>
      <c r="J72" s="12" t="inlineStr">
        <is>
          <t>Control cable 600 V Type TC-ER, Cu #14 AWG, PVC jacket</t>
        </is>
      </c>
      <c r="K72" s="12" t="inlineStr">
        <is>
          <t>CT|7/C|14</t>
        </is>
      </c>
      <c r="L72" s="12" t="inlineStr">
        <is>
          <t>7/C</t>
        </is>
      </c>
      <c r="M72" s="12" t="inlineStr">
        <is>
          <t>14</t>
        </is>
      </c>
      <c r="N72" s="12" t="n">
        <v>1</v>
      </c>
      <c r="O72" s="12" t="n">
        <v>1</v>
      </c>
      <c r="P72" s="12" t="n"/>
      <c r="Q72" s="12" t="n"/>
      <c r="R72" s="12" t="n"/>
      <c r="S72" s="12" t="inlineStr">
        <is>
          <t>Tray</t>
        </is>
      </c>
      <c r="T72" s="16" t="n">
        <v>631</v>
      </c>
      <c r="U72" s="16" t="n">
        <v>137</v>
      </c>
      <c r="V72" s="16">
        <f>ROUNDUP((T72+U72+2*'Read Me'!$B$13)*(1+'Read Me'!$B$12),-1)</f>
        <v/>
      </c>
      <c r="W72" s="16">
        <f>V72*N72*O72</f>
        <v/>
      </c>
      <c r="X72" s="12">
        <f>IF(LEFT(I72,2)="MV",2*N72*IF(L72="1/C",O72,1),0)</f>
        <v/>
      </c>
      <c r="Y72" s="12">
        <f>IF(OR(LEFT(K72,4)="LVAX",LEFT(K72,6)="MV15AX",LEFT(K72,4)="CTAX",LEFT(K72,2)="W|"),2*N72*O72,0)</f>
        <v/>
      </c>
      <c r="Z72" s="12" t="inlineStr"/>
      <c r="AA72" s="12">
        <f>N72*O72</f>
        <v/>
      </c>
    </row>
    <row r="73">
      <c r="A73" s="12" t="inlineStr">
        <is>
          <t>A-C-0061</t>
        </is>
      </c>
      <c r="B73" s="12" t="inlineStr">
        <is>
          <t>A</t>
        </is>
      </c>
      <c r="C73" s="12" t="inlineStr">
        <is>
          <t>Power block</t>
        </is>
      </c>
      <c r="D73" s="12" t="inlineStr">
        <is>
          <t>Solenoid to JB JB-FH-2-SOL01: 10 x 2/C (field cables)</t>
        </is>
      </c>
      <c r="E73" s="12" t="inlineStr">
        <is>
          <t>FH-2</t>
        </is>
      </c>
      <c r="F73" s="12" t="inlineStr">
        <is>
          <t>FH-2: GT inlet filter house on its own frame</t>
        </is>
      </c>
      <c r="G73" s="12" t="inlineStr">
        <is>
          <t>JB-FH-2-SOL01</t>
        </is>
      </c>
      <c r="H73" s="12" t="inlineStr">
        <is>
          <t>FH-2: GT inlet filter house on its own frame</t>
        </is>
      </c>
      <c r="I73" s="12" t="inlineStr">
        <is>
          <t>Control</t>
        </is>
      </c>
      <c r="J73" s="12" t="inlineStr">
        <is>
          <t>Control cable 600 V Type TC-ER, Cu #14 AWG, PVC jacket</t>
        </is>
      </c>
      <c r="K73" s="12" t="inlineStr">
        <is>
          <t>CT|2/C|14</t>
        </is>
      </c>
      <c r="L73" s="12" t="inlineStr">
        <is>
          <t>2/C</t>
        </is>
      </c>
      <c r="M73" s="12" t="inlineStr">
        <is>
          <t>14</t>
        </is>
      </c>
      <c r="N73" s="12" t="n">
        <v>10</v>
      </c>
      <c r="O73" s="12" t="n">
        <v>1</v>
      </c>
      <c r="P73" s="12" t="n"/>
      <c r="Q73" s="12" t="n"/>
      <c r="R73" s="12" t="n"/>
      <c r="S73" s="12" t="inlineStr">
        <is>
          <t>Tray / conduit</t>
        </is>
      </c>
      <c r="T73" s="16" t="n">
        <v>140</v>
      </c>
      <c r="U73" s="16" t="n">
        <v>10</v>
      </c>
      <c r="V73" s="16">
        <f>ROUNDUP((T73+U73+2*'Read Me'!$B$13)*(1+'Read Me'!$B$12),-1)</f>
        <v/>
      </c>
      <c r="W73" s="16">
        <f>V73*N73*O73</f>
        <v/>
      </c>
      <c r="X73" s="12">
        <f>IF(LEFT(I73,2)="MV",2*N73*IF(L73="1/C",O73,1),0)</f>
        <v/>
      </c>
      <c r="Y73" s="12">
        <f>IF(OR(LEFT(K73,4)="LVAX",LEFT(K73,6)="MV15AX",LEFT(K73,4)="CTAX",LEFT(K73,2)="W|"),2*N73*O73,0)</f>
        <v/>
      </c>
      <c r="Z73" s="12" t="inlineStr">
        <is>
          <t>device-to-JB field wiring, one cable per device</t>
        </is>
      </c>
      <c r="AA73" s="12">
        <f>N73*O73</f>
        <v/>
      </c>
    </row>
    <row r="74">
      <c r="A74" s="12" t="inlineStr">
        <is>
          <t>A-C-0062</t>
        </is>
      </c>
      <c r="B74" s="12" t="inlineStr">
        <is>
          <t>A</t>
        </is>
      </c>
      <c r="C74" s="12" t="inlineStr">
        <is>
          <t>Power block</t>
        </is>
      </c>
      <c r="D74" s="12" t="inlineStr">
        <is>
          <t>Home run JB-FH-2-SOL01 to the control / marshalling room</t>
        </is>
      </c>
      <c r="E74" s="12" t="inlineStr">
        <is>
          <t>R2B</t>
        </is>
      </c>
      <c r="F74" s="12" t="inlineStr">
        <is>
          <t>R2B: unit / HRSG electrical e-house (32 x 40 ft)</t>
        </is>
      </c>
      <c r="G74" s="12" t="inlineStr">
        <is>
          <t>JB-FH-2-SOL01</t>
        </is>
      </c>
      <c r="H74" s="12" t="inlineStr">
        <is>
          <t>FH-2: GT inlet filter house on its own frame</t>
        </is>
      </c>
      <c r="I74" s="12" t="inlineStr">
        <is>
          <t>Control</t>
        </is>
      </c>
      <c r="J74" s="12" t="inlineStr">
        <is>
          <t>Control cable 600 V Type TC-ER, Cu #14 AWG, PVC jacket</t>
        </is>
      </c>
      <c r="K74" s="12" t="inlineStr">
        <is>
          <t>CT|25/C|14</t>
        </is>
      </c>
      <c r="L74" s="12" t="inlineStr">
        <is>
          <t>25/C</t>
        </is>
      </c>
      <c r="M74" s="12" t="inlineStr">
        <is>
          <t>14</t>
        </is>
      </c>
      <c r="N74" s="12" t="n">
        <v>1</v>
      </c>
      <c r="O74" s="12" t="n">
        <v>1</v>
      </c>
      <c r="P74" s="12" t="n"/>
      <c r="Q74" s="12" t="n"/>
      <c r="R74" s="12" t="n"/>
      <c r="S74" s="12" t="inlineStr">
        <is>
          <t>Tray</t>
        </is>
      </c>
      <c r="T74" s="16" t="n">
        <v>1247</v>
      </c>
      <c r="U74" s="16" t="n">
        <v>196</v>
      </c>
      <c r="V74" s="16">
        <f>ROUNDUP((T74+U74+2*'Read Me'!$B$13)*(1+'Read Me'!$B$12),-1)</f>
        <v/>
      </c>
      <c r="W74" s="16">
        <f>V74*N74*O74</f>
        <v/>
      </c>
      <c r="X74" s="12">
        <f>IF(LEFT(I74,2)="MV",2*N74*IF(L74="1/C",O74,1),0)</f>
        <v/>
      </c>
      <c r="Y74" s="12">
        <f>IF(OR(LEFT(K74,4)="LVAX",LEFT(K74,6)="MV15AX",LEFT(K74,4)="CTAX",LEFT(K74,2)="W|"),2*N74*O74,0)</f>
        <v/>
      </c>
      <c r="Z74" s="12" t="inlineStr"/>
      <c r="AA74" s="12">
        <f>N74*O74</f>
        <v/>
      </c>
    </row>
    <row r="75">
      <c r="A75" s="12" t="inlineStr">
        <is>
          <t>A-C-0063</t>
        </is>
      </c>
      <c r="B75" s="12" t="inlineStr">
        <is>
          <t>A</t>
        </is>
      </c>
      <c r="C75" s="12" t="inlineStr">
        <is>
          <t>Power block</t>
        </is>
      </c>
      <c r="D75" s="12" t="inlineStr">
        <is>
          <t>Solenoid to JB JB-FH-2-SOL02: 10 x 2/C (field cables)</t>
        </is>
      </c>
      <c r="E75" s="12" t="inlineStr">
        <is>
          <t>FH-2</t>
        </is>
      </c>
      <c r="F75" s="12" t="inlineStr">
        <is>
          <t>FH-2: GT inlet filter house on its own frame</t>
        </is>
      </c>
      <c r="G75" s="12" t="inlineStr">
        <is>
          <t>JB-FH-2-SOL02</t>
        </is>
      </c>
      <c r="H75" s="12" t="inlineStr">
        <is>
          <t>FH-2: GT inlet filter house on its own frame</t>
        </is>
      </c>
      <c r="I75" s="12" t="inlineStr">
        <is>
          <t>Control</t>
        </is>
      </c>
      <c r="J75" s="12" t="inlineStr">
        <is>
          <t>Control cable 600 V Type TC-ER, Cu #14 AWG, PVC jacket</t>
        </is>
      </c>
      <c r="K75" s="12" t="inlineStr">
        <is>
          <t>CT|2/C|14</t>
        </is>
      </c>
      <c r="L75" s="12" t="inlineStr">
        <is>
          <t>2/C</t>
        </is>
      </c>
      <c r="M75" s="12" t="inlineStr">
        <is>
          <t>14</t>
        </is>
      </c>
      <c r="N75" s="12" t="n">
        <v>10</v>
      </c>
      <c r="O75" s="12" t="n">
        <v>1</v>
      </c>
      <c r="P75" s="12" t="n"/>
      <c r="Q75" s="12" t="n"/>
      <c r="R75" s="12" t="n"/>
      <c r="S75" s="12" t="inlineStr">
        <is>
          <t>Tray / conduit</t>
        </is>
      </c>
      <c r="T75" s="16" t="n">
        <v>140</v>
      </c>
      <c r="U75" s="16" t="n">
        <v>10</v>
      </c>
      <c r="V75" s="16">
        <f>ROUNDUP((T75+U75+2*'Read Me'!$B$13)*(1+'Read Me'!$B$12),-1)</f>
        <v/>
      </c>
      <c r="W75" s="16">
        <f>V75*N75*O75</f>
        <v/>
      </c>
      <c r="X75" s="12">
        <f>IF(LEFT(I75,2)="MV",2*N75*IF(L75="1/C",O75,1),0)</f>
        <v/>
      </c>
      <c r="Y75" s="12">
        <f>IF(OR(LEFT(K75,4)="LVAX",LEFT(K75,6)="MV15AX",LEFT(K75,4)="CTAX",LEFT(K75,2)="W|"),2*N75*O75,0)</f>
        <v/>
      </c>
      <c r="Z75" s="12" t="inlineStr">
        <is>
          <t>device-to-JB field wiring, one cable per device</t>
        </is>
      </c>
      <c r="AA75" s="12">
        <f>N75*O75</f>
        <v/>
      </c>
    </row>
    <row r="76">
      <c r="A76" s="12" t="inlineStr">
        <is>
          <t>A-C-0064</t>
        </is>
      </c>
      <c r="B76" s="12" t="inlineStr">
        <is>
          <t>A</t>
        </is>
      </c>
      <c r="C76" s="12" t="inlineStr">
        <is>
          <t>Power block</t>
        </is>
      </c>
      <c r="D76" s="12" t="inlineStr">
        <is>
          <t>Home run JB-FH-2-SOL02 to the control / marshalling room</t>
        </is>
      </c>
      <c r="E76" s="12" t="inlineStr">
        <is>
          <t>R2B</t>
        </is>
      </c>
      <c r="F76" s="12" t="inlineStr">
        <is>
          <t>R2B: unit / HRSG electrical e-house (32 x 40 ft)</t>
        </is>
      </c>
      <c r="G76" s="12" t="inlineStr">
        <is>
          <t>JB-FH-2-SOL02</t>
        </is>
      </c>
      <c r="H76" s="12" t="inlineStr">
        <is>
          <t>FH-2: GT inlet filter house on its own frame</t>
        </is>
      </c>
      <c r="I76" s="12" t="inlineStr">
        <is>
          <t>Control</t>
        </is>
      </c>
      <c r="J76" s="12" t="inlineStr">
        <is>
          <t>Control cable 600 V Type TC-ER, Cu #14 AWG, PVC jacket</t>
        </is>
      </c>
      <c r="K76" s="12" t="inlineStr">
        <is>
          <t>CT|25/C|14</t>
        </is>
      </c>
      <c r="L76" s="12" t="inlineStr">
        <is>
          <t>25/C</t>
        </is>
      </c>
      <c r="M76" s="12" t="inlineStr">
        <is>
          <t>14</t>
        </is>
      </c>
      <c r="N76" s="12" t="n">
        <v>1</v>
      </c>
      <c r="O76" s="12" t="n">
        <v>1</v>
      </c>
      <c r="P76" s="12" t="n"/>
      <c r="Q76" s="12" t="n"/>
      <c r="R76" s="12" t="n"/>
      <c r="S76" s="12" t="inlineStr">
        <is>
          <t>Tray</t>
        </is>
      </c>
      <c r="T76" s="16" t="n">
        <v>1247</v>
      </c>
      <c r="U76" s="16" t="n">
        <v>196</v>
      </c>
      <c r="V76" s="16">
        <f>ROUNDUP((T76+U76+2*'Read Me'!$B$13)*(1+'Read Me'!$B$12),-1)</f>
        <v/>
      </c>
      <c r="W76" s="16">
        <f>V76*N76*O76</f>
        <v/>
      </c>
      <c r="X76" s="12">
        <f>IF(LEFT(I76,2)="MV",2*N76*IF(L76="1/C",O76,1),0)</f>
        <v/>
      </c>
      <c r="Y76" s="12">
        <f>IF(OR(LEFT(K76,4)="LVAX",LEFT(K76,6)="MV15AX",LEFT(K76,4)="CTAX",LEFT(K76,2)="W|"),2*N76*O76,0)</f>
        <v/>
      </c>
      <c r="Z76" s="12" t="inlineStr"/>
      <c r="AA76" s="12">
        <f>N76*O76</f>
        <v/>
      </c>
    </row>
    <row r="77">
      <c r="A77" s="12" t="inlineStr">
        <is>
          <t>A-C-0065</t>
        </is>
      </c>
      <c r="B77" s="12" t="inlineStr">
        <is>
          <t>A</t>
        </is>
      </c>
      <c r="C77" s="12" t="inlineStr">
        <is>
          <t>Power block</t>
        </is>
      </c>
      <c r="D77" s="12" t="inlineStr">
        <is>
          <t>Solenoid to JB JB-FH-2-SOL03: 10 x 2/C (field cables)</t>
        </is>
      </c>
      <c r="E77" s="12" t="inlineStr">
        <is>
          <t>FH-2</t>
        </is>
      </c>
      <c r="F77" s="12" t="inlineStr">
        <is>
          <t>FH-2: GT inlet filter house on its own frame</t>
        </is>
      </c>
      <c r="G77" s="12" t="inlineStr">
        <is>
          <t>JB-FH-2-SOL03</t>
        </is>
      </c>
      <c r="H77" s="12" t="inlineStr">
        <is>
          <t>FH-2: GT inlet filter house on its own frame</t>
        </is>
      </c>
      <c r="I77" s="12" t="inlineStr">
        <is>
          <t>Control</t>
        </is>
      </c>
      <c r="J77" s="12" t="inlineStr">
        <is>
          <t>Control cable 600 V Type TC-ER, Cu #14 AWG, PVC jacket</t>
        </is>
      </c>
      <c r="K77" s="12" t="inlineStr">
        <is>
          <t>CT|2/C|14</t>
        </is>
      </c>
      <c r="L77" s="12" t="inlineStr">
        <is>
          <t>2/C</t>
        </is>
      </c>
      <c r="M77" s="12" t="inlineStr">
        <is>
          <t>14</t>
        </is>
      </c>
      <c r="N77" s="12" t="n">
        <v>10</v>
      </c>
      <c r="O77" s="12" t="n">
        <v>1</v>
      </c>
      <c r="P77" s="12" t="n"/>
      <c r="Q77" s="12" t="n"/>
      <c r="R77" s="12" t="n"/>
      <c r="S77" s="12" t="inlineStr">
        <is>
          <t>Tray / conduit</t>
        </is>
      </c>
      <c r="T77" s="16" t="n">
        <v>140</v>
      </c>
      <c r="U77" s="16" t="n">
        <v>10</v>
      </c>
      <c r="V77" s="16">
        <f>ROUNDUP((T77+U77+2*'Read Me'!$B$13)*(1+'Read Me'!$B$12),-1)</f>
        <v/>
      </c>
      <c r="W77" s="16">
        <f>V77*N77*O77</f>
        <v/>
      </c>
      <c r="X77" s="12">
        <f>IF(LEFT(I77,2)="MV",2*N77*IF(L77="1/C",O77,1),0)</f>
        <v/>
      </c>
      <c r="Y77" s="12">
        <f>IF(OR(LEFT(K77,4)="LVAX",LEFT(K77,6)="MV15AX",LEFT(K77,4)="CTAX",LEFT(K77,2)="W|"),2*N77*O77,0)</f>
        <v/>
      </c>
      <c r="Z77" s="12" t="inlineStr">
        <is>
          <t>device-to-JB field wiring, one cable per device</t>
        </is>
      </c>
      <c r="AA77" s="12">
        <f>N77*O77</f>
        <v/>
      </c>
    </row>
    <row r="78">
      <c r="A78" s="12" t="inlineStr">
        <is>
          <t>A-C-0066</t>
        </is>
      </c>
      <c r="B78" s="12" t="inlineStr">
        <is>
          <t>A</t>
        </is>
      </c>
      <c r="C78" s="12" t="inlineStr">
        <is>
          <t>Power block</t>
        </is>
      </c>
      <c r="D78" s="12" t="inlineStr">
        <is>
          <t>Home run JB-FH-2-SOL03 to the control / marshalling room</t>
        </is>
      </c>
      <c r="E78" s="12" t="inlineStr">
        <is>
          <t>R2B</t>
        </is>
      </c>
      <c r="F78" s="12" t="inlineStr">
        <is>
          <t>R2B: unit / HRSG electrical e-house (32 x 40 ft)</t>
        </is>
      </c>
      <c r="G78" s="12" t="inlineStr">
        <is>
          <t>JB-FH-2-SOL03</t>
        </is>
      </c>
      <c r="H78" s="12" t="inlineStr">
        <is>
          <t>FH-2: GT inlet filter house on its own frame</t>
        </is>
      </c>
      <c r="I78" s="12" t="inlineStr">
        <is>
          <t>Control</t>
        </is>
      </c>
      <c r="J78" s="12" t="inlineStr">
        <is>
          <t>Control cable 600 V Type TC-ER, Cu #14 AWG, PVC jacket</t>
        </is>
      </c>
      <c r="K78" s="12" t="inlineStr">
        <is>
          <t>CT|25/C|14</t>
        </is>
      </c>
      <c r="L78" s="12" t="inlineStr">
        <is>
          <t>25/C</t>
        </is>
      </c>
      <c r="M78" s="12" t="inlineStr">
        <is>
          <t>14</t>
        </is>
      </c>
      <c r="N78" s="12" t="n">
        <v>1</v>
      </c>
      <c r="O78" s="12" t="n">
        <v>1</v>
      </c>
      <c r="P78" s="12" t="n"/>
      <c r="Q78" s="12" t="n"/>
      <c r="R78" s="12" t="n"/>
      <c r="S78" s="12" t="inlineStr">
        <is>
          <t>Tray</t>
        </is>
      </c>
      <c r="T78" s="16" t="n">
        <v>1247</v>
      </c>
      <c r="U78" s="16" t="n">
        <v>196</v>
      </c>
      <c r="V78" s="16">
        <f>ROUNDUP((T78+U78+2*'Read Me'!$B$13)*(1+'Read Me'!$B$12),-1)</f>
        <v/>
      </c>
      <c r="W78" s="16">
        <f>V78*N78*O78</f>
        <v/>
      </c>
      <c r="X78" s="12">
        <f>IF(LEFT(I78,2)="MV",2*N78*IF(L78="1/C",O78,1),0)</f>
        <v/>
      </c>
      <c r="Y78" s="12">
        <f>IF(OR(LEFT(K78,4)="LVAX",LEFT(K78,6)="MV15AX",LEFT(K78,4)="CTAX",LEFT(K78,2)="W|"),2*N78*O78,0)</f>
        <v/>
      </c>
      <c r="Z78" s="12" t="inlineStr"/>
      <c r="AA78" s="12">
        <f>N78*O78</f>
        <v/>
      </c>
    </row>
    <row r="79">
      <c r="A79" s="12" t="inlineStr">
        <is>
          <t>A-C-0067</t>
        </is>
      </c>
      <c r="B79" s="12" t="inlineStr">
        <is>
          <t>A</t>
        </is>
      </c>
      <c r="C79" s="12" t="inlineStr">
        <is>
          <t>Power block</t>
        </is>
      </c>
      <c r="D79" s="12" t="inlineStr">
        <is>
          <t>Solenoid to JB JB-FH-2-SOL04: 10 x 2/C (field cables)</t>
        </is>
      </c>
      <c r="E79" s="12" t="inlineStr">
        <is>
          <t>FH-2</t>
        </is>
      </c>
      <c r="F79" s="12" t="inlineStr">
        <is>
          <t>FH-2: GT inlet filter house on its own frame</t>
        </is>
      </c>
      <c r="G79" s="12" t="inlineStr">
        <is>
          <t>JB-FH-2-SOL04</t>
        </is>
      </c>
      <c r="H79" s="12" t="inlineStr">
        <is>
          <t>FH-2: GT inlet filter house on its own frame</t>
        </is>
      </c>
      <c r="I79" s="12" t="inlineStr">
        <is>
          <t>Control</t>
        </is>
      </c>
      <c r="J79" s="12" t="inlineStr">
        <is>
          <t>Control cable 600 V Type TC-ER, Cu #14 AWG, PVC jacket</t>
        </is>
      </c>
      <c r="K79" s="12" t="inlineStr">
        <is>
          <t>CT|2/C|14</t>
        </is>
      </c>
      <c r="L79" s="12" t="inlineStr">
        <is>
          <t>2/C</t>
        </is>
      </c>
      <c r="M79" s="12" t="inlineStr">
        <is>
          <t>14</t>
        </is>
      </c>
      <c r="N79" s="12" t="n">
        <v>10</v>
      </c>
      <c r="O79" s="12" t="n">
        <v>1</v>
      </c>
      <c r="P79" s="12" t="n"/>
      <c r="Q79" s="12" t="n"/>
      <c r="R79" s="12" t="n"/>
      <c r="S79" s="12" t="inlineStr">
        <is>
          <t>Tray / conduit</t>
        </is>
      </c>
      <c r="T79" s="16" t="n">
        <v>140</v>
      </c>
      <c r="U79" s="16" t="n">
        <v>10</v>
      </c>
      <c r="V79" s="16">
        <f>ROUNDUP((T79+U79+2*'Read Me'!$B$13)*(1+'Read Me'!$B$12),-1)</f>
        <v/>
      </c>
      <c r="W79" s="16">
        <f>V79*N79*O79</f>
        <v/>
      </c>
      <c r="X79" s="12">
        <f>IF(LEFT(I79,2)="MV",2*N79*IF(L79="1/C",O79,1),0)</f>
        <v/>
      </c>
      <c r="Y79" s="12">
        <f>IF(OR(LEFT(K79,4)="LVAX",LEFT(K79,6)="MV15AX",LEFT(K79,4)="CTAX",LEFT(K79,2)="W|"),2*N79*O79,0)</f>
        <v/>
      </c>
      <c r="Z79" s="12" t="inlineStr">
        <is>
          <t>device-to-JB field wiring, one cable per device</t>
        </is>
      </c>
      <c r="AA79" s="12">
        <f>N79*O79</f>
        <v/>
      </c>
    </row>
    <row r="80">
      <c r="A80" s="12" t="inlineStr">
        <is>
          <t>A-C-0068</t>
        </is>
      </c>
      <c r="B80" s="12" t="inlineStr">
        <is>
          <t>A</t>
        </is>
      </c>
      <c r="C80" s="12" t="inlineStr">
        <is>
          <t>Power block</t>
        </is>
      </c>
      <c r="D80" s="12" t="inlineStr">
        <is>
          <t>Home run JB-FH-2-SOL04 to the control / marshalling room</t>
        </is>
      </c>
      <c r="E80" s="12" t="inlineStr">
        <is>
          <t>R2B</t>
        </is>
      </c>
      <c r="F80" s="12" t="inlineStr">
        <is>
          <t>R2B: unit / HRSG electrical e-house (32 x 40 ft)</t>
        </is>
      </c>
      <c r="G80" s="12" t="inlineStr">
        <is>
          <t>JB-FH-2-SOL04</t>
        </is>
      </c>
      <c r="H80" s="12" t="inlineStr">
        <is>
          <t>FH-2: GT inlet filter house on its own frame</t>
        </is>
      </c>
      <c r="I80" s="12" t="inlineStr">
        <is>
          <t>Control</t>
        </is>
      </c>
      <c r="J80" s="12" t="inlineStr">
        <is>
          <t>Control cable 600 V Type TC-ER, Cu #14 AWG, PVC jacket</t>
        </is>
      </c>
      <c r="K80" s="12" t="inlineStr">
        <is>
          <t>CT|25/C|14</t>
        </is>
      </c>
      <c r="L80" s="12" t="inlineStr">
        <is>
          <t>25/C</t>
        </is>
      </c>
      <c r="M80" s="12" t="inlineStr">
        <is>
          <t>14</t>
        </is>
      </c>
      <c r="N80" s="12" t="n">
        <v>1</v>
      </c>
      <c r="O80" s="12" t="n">
        <v>1</v>
      </c>
      <c r="P80" s="12" t="n"/>
      <c r="Q80" s="12" t="n"/>
      <c r="R80" s="12" t="n"/>
      <c r="S80" s="12" t="inlineStr">
        <is>
          <t>Tray</t>
        </is>
      </c>
      <c r="T80" s="16" t="n">
        <v>1247</v>
      </c>
      <c r="U80" s="16" t="n">
        <v>196</v>
      </c>
      <c r="V80" s="16">
        <f>ROUNDUP((T80+U80+2*'Read Me'!$B$13)*(1+'Read Me'!$B$12),-1)</f>
        <v/>
      </c>
      <c r="W80" s="16">
        <f>V80*N80*O80</f>
        <v/>
      </c>
      <c r="X80" s="12">
        <f>IF(LEFT(I80,2)="MV",2*N80*IF(L80="1/C",O80,1),0)</f>
        <v/>
      </c>
      <c r="Y80" s="12">
        <f>IF(OR(LEFT(K80,4)="LVAX",LEFT(K80,6)="MV15AX",LEFT(K80,4)="CTAX",LEFT(K80,2)="W|"),2*N80*O80,0)</f>
        <v/>
      </c>
      <c r="Z80" s="12" t="inlineStr"/>
      <c r="AA80" s="12">
        <f>N80*O80</f>
        <v/>
      </c>
    </row>
    <row r="81">
      <c r="A81" s="12" t="inlineStr">
        <is>
          <t>A-C-0069</t>
        </is>
      </c>
      <c r="B81" s="12" t="inlineStr">
        <is>
          <t>A</t>
        </is>
      </c>
      <c r="C81" s="12" t="inlineStr">
        <is>
          <t>Power block</t>
        </is>
      </c>
      <c r="D81" s="12" t="inlineStr">
        <is>
          <t>Solenoid to JB JB-FH-2-SOL05: 10 x 2/C (field cables)</t>
        </is>
      </c>
      <c r="E81" s="12" t="inlineStr">
        <is>
          <t>FH-2</t>
        </is>
      </c>
      <c r="F81" s="12" t="inlineStr">
        <is>
          <t>FH-2: GT inlet filter house on its own frame</t>
        </is>
      </c>
      <c r="G81" s="12" t="inlineStr">
        <is>
          <t>JB-FH-2-SOL05</t>
        </is>
      </c>
      <c r="H81" s="12" t="inlineStr">
        <is>
          <t>FH-2: GT inlet filter house on its own frame</t>
        </is>
      </c>
      <c r="I81" s="12" t="inlineStr">
        <is>
          <t>Control</t>
        </is>
      </c>
      <c r="J81" s="12" t="inlineStr">
        <is>
          <t>Control cable 600 V Type TC-ER, Cu #14 AWG, PVC jacket</t>
        </is>
      </c>
      <c r="K81" s="12" t="inlineStr">
        <is>
          <t>CT|2/C|14</t>
        </is>
      </c>
      <c r="L81" s="12" t="inlineStr">
        <is>
          <t>2/C</t>
        </is>
      </c>
      <c r="M81" s="12" t="inlineStr">
        <is>
          <t>14</t>
        </is>
      </c>
      <c r="N81" s="12" t="n">
        <v>10</v>
      </c>
      <c r="O81" s="12" t="n">
        <v>1</v>
      </c>
      <c r="P81" s="12" t="n"/>
      <c r="Q81" s="12" t="n"/>
      <c r="R81" s="12" t="n"/>
      <c r="S81" s="12" t="inlineStr">
        <is>
          <t>Tray / conduit</t>
        </is>
      </c>
      <c r="T81" s="16" t="n">
        <v>140</v>
      </c>
      <c r="U81" s="16" t="n">
        <v>10</v>
      </c>
      <c r="V81" s="16">
        <f>ROUNDUP((T81+U81+2*'Read Me'!$B$13)*(1+'Read Me'!$B$12),-1)</f>
        <v/>
      </c>
      <c r="W81" s="16">
        <f>V81*N81*O81</f>
        <v/>
      </c>
      <c r="X81" s="12">
        <f>IF(LEFT(I81,2)="MV",2*N81*IF(L81="1/C",O81,1),0)</f>
        <v/>
      </c>
      <c r="Y81" s="12">
        <f>IF(OR(LEFT(K81,4)="LVAX",LEFT(K81,6)="MV15AX",LEFT(K81,4)="CTAX",LEFT(K81,2)="W|"),2*N81*O81,0)</f>
        <v/>
      </c>
      <c r="Z81" s="12" t="inlineStr">
        <is>
          <t>device-to-JB field wiring, one cable per device</t>
        </is>
      </c>
      <c r="AA81" s="12">
        <f>N81*O81</f>
        <v/>
      </c>
    </row>
    <row r="82">
      <c r="A82" s="12" t="inlineStr">
        <is>
          <t>A-C-0070</t>
        </is>
      </c>
      <c r="B82" s="12" t="inlineStr">
        <is>
          <t>A</t>
        </is>
      </c>
      <c r="C82" s="12" t="inlineStr">
        <is>
          <t>Power block</t>
        </is>
      </c>
      <c r="D82" s="12" t="inlineStr">
        <is>
          <t>Home run JB-FH-2-SOL05 to the control / marshalling room</t>
        </is>
      </c>
      <c r="E82" s="12" t="inlineStr">
        <is>
          <t>R2B</t>
        </is>
      </c>
      <c r="F82" s="12" t="inlineStr">
        <is>
          <t>R2B: unit / HRSG electrical e-house (32 x 40 ft)</t>
        </is>
      </c>
      <c r="G82" s="12" t="inlineStr">
        <is>
          <t>JB-FH-2-SOL05</t>
        </is>
      </c>
      <c r="H82" s="12" t="inlineStr">
        <is>
          <t>FH-2: GT inlet filter house on its own frame</t>
        </is>
      </c>
      <c r="I82" s="12" t="inlineStr">
        <is>
          <t>Control</t>
        </is>
      </c>
      <c r="J82" s="12" t="inlineStr">
        <is>
          <t>Control cable 600 V Type TC-ER, Cu #14 AWG, PVC jacket</t>
        </is>
      </c>
      <c r="K82" s="12" t="inlineStr">
        <is>
          <t>CT|25/C|14</t>
        </is>
      </c>
      <c r="L82" s="12" t="inlineStr">
        <is>
          <t>25/C</t>
        </is>
      </c>
      <c r="M82" s="12" t="inlineStr">
        <is>
          <t>14</t>
        </is>
      </c>
      <c r="N82" s="12" t="n">
        <v>1</v>
      </c>
      <c r="O82" s="12" t="n">
        <v>1</v>
      </c>
      <c r="P82" s="12" t="n"/>
      <c r="Q82" s="12" t="n"/>
      <c r="R82" s="12" t="n"/>
      <c r="S82" s="12" t="inlineStr">
        <is>
          <t>Tray</t>
        </is>
      </c>
      <c r="T82" s="16" t="n">
        <v>1247</v>
      </c>
      <c r="U82" s="16" t="n">
        <v>196</v>
      </c>
      <c r="V82" s="16">
        <f>ROUNDUP((T82+U82+2*'Read Me'!$B$13)*(1+'Read Me'!$B$12),-1)</f>
        <v/>
      </c>
      <c r="W82" s="16">
        <f>V82*N82*O82</f>
        <v/>
      </c>
      <c r="X82" s="12">
        <f>IF(LEFT(I82,2)="MV",2*N82*IF(L82="1/C",O82,1),0)</f>
        <v/>
      </c>
      <c r="Y82" s="12">
        <f>IF(OR(LEFT(K82,4)="LVAX",LEFT(K82,6)="MV15AX",LEFT(K82,4)="CTAX",LEFT(K82,2)="W|"),2*N82*O82,0)</f>
        <v/>
      </c>
      <c r="Z82" s="12" t="inlineStr"/>
      <c r="AA82" s="12">
        <f>N82*O82</f>
        <v/>
      </c>
    </row>
    <row r="83">
      <c r="A83" s="12" t="inlineStr">
        <is>
          <t>A-C-0071</t>
        </is>
      </c>
      <c r="B83" s="12" t="inlineStr">
        <is>
          <t>A</t>
        </is>
      </c>
      <c r="C83" s="12" t="inlineStr">
        <is>
          <t>Power block</t>
        </is>
      </c>
      <c r="D83" s="12" t="inlineStr">
        <is>
          <t>Solenoid to JB JB-FH-2-SOL06: 10 x 2/C (field cables)</t>
        </is>
      </c>
      <c r="E83" s="12" t="inlineStr">
        <is>
          <t>FH-2</t>
        </is>
      </c>
      <c r="F83" s="12" t="inlineStr">
        <is>
          <t>FH-2: GT inlet filter house on its own frame</t>
        </is>
      </c>
      <c r="G83" s="12" t="inlineStr">
        <is>
          <t>JB-FH-2-SOL06</t>
        </is>
      </c>
      <c r="H83" s="12" t="inlineStr">
        <is>
          <t>FH-2: GT inlet filter house on its own frame</t>
        </is>
      </c>
      <c r="I83" s="12" t="inlineStr">
        <is>
          <t>Control</t>
        </is>
      </c>
      <c r="J83" s="12" t="inlineStr">
        <is>
          <t>Control cable 600 V Type TC-ER, Cu #14 AWG, PVC jacket</t>
        </is>
      </c>
      <c r="K83" s="12" t="inlineStr">
        <is>
          <t>CT|2/C|14</t>
        </is>
      </c>
      <c r="L83" s="12" t="inlineStr">
        <is>
          <t>2/C</t>
        </is>
      </c>
      <c r="M83" s="12" t="inlineStr">
        <is>
          <t>14</t>
        </is>
      </c>
      <c r="N83" s="12" t="n">
        <v>10</v>
      </c>
      <c r="O83" s="12" t="n">
        <v>1</v>
      </c>
      <c r="P83" s="12" t="n"/>
      <c r="Q83" s="12" t="n"/>
      <c r="R83" s="12" t="n"/>
      <c r="S83" s="12" t="inlineStr">
        <is>
          <t>Tray / conduit</t>
        </is>
      </c>
      <c r="T83" s="16" t="n">
        <v>140</v>
      </c>
      <c r="U83" s="16" t="n">
        <v>10</v>
      </c>
      <c r="V83" s="16">
        <f>ROUNDUP((T83+U83+2*'Read Me'!$B$13)*(1+'Read Me'!$B$12),-1)</f>
        <v/>
      </c>
      <c r="W83" s="16">
        <f>V83*N83*O83</f>
        <v/>
      </c>
      <c r="X83" s="12">
        <f>IF(LEFT(I83,2)="MV",2*N83*IF(L83="1/C",O83,1),0)</f>
        <v/>
      </c>
      <c r="Y83" s="12">
        <f>IF(OR(LEFT(K83,4)="LVAX",LEFT(K83,6)="MV15AX",LEFT(K83,4)="CTAX",LEFT(K83,2)="W|"),2*N83*O83,0)</f>
        <v/>
      </c>
      <c r="Z83" s="12" t="inlineStr">
        <is>
          <t>device-to-JB field wiring, one cable per device</t>
        </is>
      </c>
      <c r="AA83" s="12">
        <f>N83*O83</f>
        <v/>
      </c>
    </row>
    <row r="84">
      <c r="A84" s="12" t="inlineStr">
        <is>
          <t>A-C-0072</t>
        </is>
      </c>
      <c r="B84" s="12" t="inlineStr">
        <is>
          <t>A</t>
        </is>
      </c>
      <c r="C84" s="12" t="inlineStr">
        <is>
          <t>Power block</t>
        </is>
      </c>
      <c r="D84" s="12" t="inlineStr">
        <is>
          <t>Home run JB-FH-2-SOL06 to the control / marshalling room</t>
        </is>
      </c>
      <c r="E84" s="12" t="inlineStr">
        <is>
          <t>R2B</t>
        </is>
      </c>
      <c r="F84" s="12" t="inlineStr">
        <is>
          <t>R2B: unit / HRSG electrical e-house (32 x 40 ft)</t>
        </is>
      </c>
      <c r="G84" s="12" t="inlineStr">
        <is>
          <t>JB-FH-2-SOL06</t>
        </is>
      </c>
      <c r="H84" s="12" t="inlineStr">
        <is>
          <t>FH-2: GT inlet filter house on its own frame</t>
        </is>
      </c>
      <c r="I84" s="12" t="inlineStr">
        <is>
          <t>Control</t>
        </is>
      </c>
      <c r="J84" s="12" t="inlineStr">
        <is>
          <t>Control cable 600 V Type TC-ER, Cu #14 AWG, PVC jacket</t>
        </is>
      </c>
      <c r="K84" s="12" t="inlineStr">
        <is>
          <t>CT|25/C|14</t>
        </is>
      </c>
      <c r="L84" s="12" t="inlineStr">
        <is>
          <t>25/C</t>
        </is>
      </c>
      <c r="M84" s="12" t="inlineStr">
        <is>
          <t>14</t>
        </is>
      </c>
      <c r="N84" s="12" t="n">
        <v>1</v>
      </c>
      <c r="O84" s="12" t="n">
        <v>1</v>
      </c>
      <c r="P84" s="12" t="n"/>
      <c r="Q84" s="12" t="n"/>
      <c r="R84" s="12" t="n"/>
      <c r="S84" s="12" t="inlineStr">
        <is>
          <t>Tray</t>
        </is>
      </c>
      <c r="T84" s="16" t="n">
        <v>1247</v>
      </c>
      <c r="U84" s="16" t="n">
        <v>196</v>
      </c>
      <c r="V84" s="16">
        <f>ROUNDUP((T84+U84+2*'Read Me'!$B$13)*(1+'Read Me'!$B$12),-1)</f>
        <v/>
      </c>
      <c r="W84" s="16">
        <f>V84*N84*O84</f>
        <v/>
      </c>
      <c r="X84" s="12">
        <f>IF(LEFT(I84,2)="MV",2*N84*IF(L84="1/C",O84,1),0)</f>
        <v/>
      </c>
      <c r="Y84" s="12">
        <f>IF(OR(LEFT(K84,4)="LVAX",LEFT(K84,6)="MV15AX",LEFT(K84,4)="CTAX",LEFT(K84,2)="W|"),2*N84*O84,0)</f>
        <v/>
      </c>
      <c r="Z84" s="12" t="inlineStr"/>
      <c r="AA84" s="12">
        <f>N84*O84</f>
        <v/>
      </c>
    </row>
    <row r="85">
      <c r="A85" s="12" t="inlineStr">
        <is>
          <t>A-C-0073</t>
        </is>
      </c>
      <c r="B85" s="12" t="inlineStr">
        <is>
          <t>A</t>
        </is>
      </c>
      <c r="C85" s="12" t="inlineStr">
        <is>
          <t>Power block</t>
        </is>
      </c>
      <c r="D85" s="12" t="inlineStr">
        <is>
          <t>Motor 1 of 2: control / local station</t>
        </is>
      </c>
      <c r="E85" s="12" t="inlineStr">
        <is>
          <t>MCC-GT3</t>
        </is>
      </c>
      <c r="F85" s="12" t="inlineStr">
        <is>
          <t>R1 MCC-GT3</t>
        </is>
      </c>
      <c r="G85" s="12" t="inlineStr">
        <is>
          <t>FH-3</t>
        </is>
      </c>
      <c r="H85" s="12" t="inlineStr">
        <is>
          <t>FH-3: GT inlet filter house on its own frame</t>
        </is>
      </c>
      <c r="I85" s="12" t="inlineStr">
        <is>
          <t>Control</t>
        </is>
      </c>
      <c r="J85" s="12" t="inlineStr">
        <is>
          <t>Control cable 600 V Type TC-ER, Cu #14 AWG, PVC jacket</t>
        </is>
      </c>
      <c r="K85" s="12" t="inlineStr">
        <is>
          <t>CT|7/C|14</t>
        </is>
      </c>
      <c r="L85" s="12" t="inlineStr">
        <is>
          <t>7/C</t>
        </is>
      </c>
      <c r="M85" s="12" t="inlineStr">
        <is>
          <t>14</t>
        </is>
      </c>
      <c r="N85" s="12" t="n">
        <v>1</v>
      </c>
      <c r="O85" s="12" t="n">
        <v>1</v>
      </c>
      <c r="P85" s="12" t="n"/>
      <c r="Q85" s="12" t="n"/>
      <c r="R85" s="12" t="n"/>
      <c r="S85" s="12" t="inlineStr">
        <is>
          <t>Tray</t>
        </is>
      </c>
      <c r="T85" s="16" t="n">
        <v>799</v>
      </c>
      <c r="U85" s="16" t="n">
        <v>145</v>
      </c>
      <c r="V85" s="16">
        <f>ROUNDUP((T85+U85+2*'Read Me'!$B$13)*(1+'Read Me'!$B$12),-1)</f>
        <v/>
      </c>
      <c r="W85" s="16">
        <f>V85*N85*O85</f>
        <v/>
      </c>
      <c r="X85" s="12">
        <f>IF(LEFT(I85,2)="MV",2*N85*IF(L85="1/C",O85,1),0)</f>
        <v/>
      </c>
      <c r="Y85" s="12">
        <f>IF(OR(LEFT(K85,4)="LVAX",LEFT(K85,6)="MV15AX",LEFT(K85,4)="CTAX",LEFT(K85,2)="W|"),2*N85*O85,0)</f>
        <v/>
      </c>
      <c r="Z85" s="12" t="inlineStr"/>
      <c r="AA85" s="12">
        <f>N85*O85</f>
        <v/>
      </c>
    </row>
    <row r="86">
      <c r="A86" s="12" t="inlineStr">
        <is>
          <t>A-C-0074</t>
        </is>
      </c>
      <c r="B86" s="12" t="inlineStr">
        <is>
          <t>A</t>
        </is>
      </c>
      <c r="C86" s="12" t="inlineStr">
        <is>
          <t>Power block</t>
        </is>
      </c>
      <c r="D86" s="12" t="inlineStr">
        <is>
          <t>Motor 2 of 2: control / local station</t>
        </is>
      </c>
      <c r="E86" s="12" t="inlineStr">
        <is>
          <t>MCC-GT3</t>
        </is>
      </c>
      <c r="F86" s="12" t="inlineStr">
        <is>
          <t>R1 MCC-GT3</t>
        </is>
      </c>
      <c r="G86" s="12" t="inlineStr">
        <is>
          <t>FH-3</t>
        </is>
      </c>
      <c r="H86" s="12" t="inlineStr">
        <is>
          <t>FH-3: GT inlet filter house on its own frame</t>
        </is>
      </c>
      <c r="I86" s="12" t="inlineStr">
        <is>
          <t>Control</t>
        </is>
      </c>
      <c r="J86" s="12" t="inlineStr">
        <is>
          <t>Control cable 600 V Type TC-ER, Cu #14 AWG, PVC jacket</t>
        </is>
      </c>
      <c r="K86" s="12" t="inlineStr">
        <is>
          <t>CT|7/C|14</t>
        </is>
      </c>
      <c r="L86" s="12" t="inlineStr">
        <is>
          <t>7/C</t>
        </is>
      </c>
      <c r="M86" s="12" t="inlineStr">
        <is>
          <t>14</t>
        </is>
      </c>
      <c r="N86" s="12" t="n">
        <v>1</v>
      </c>
      <c r="O86" s="12" t="n">
        <v>1</v>
      </c>
      <c r="P86" s="12" t="n"/>
      <c r="Q86" s="12" t="n"/>
      <c r="R86" s="12" t="n"/>
      <c r="S86" s="12" t="inlineStr">
        <is>
          <t>Tray</t>
        </is>
      </c>
      <c r="T86" s="16" t="n">
        <v>799</v>
      </c>
      <c r="U86" s="16" t="n">
        <v>145</v>
      </c>
      <c r="V86" s="16">
        <f>ROUNDUP((T86+U86+2*'Read Me'!$B$13)*(1+'Read Me'!$B$12),-1)</f>
        <v/>
      </c>
      <c r="W86" s="16">
        <f>V86*N86*O86</f>
        <v/>
      </c>
      <c r="X86" s="12">
        <f>IF(LEFT(I86,2)="MV",2*N86*IF(L86="1/C",O86,1),0)</f>
        <v/>
      </c>
      <c r="Y86" s="12">
        <f>IF(OR(LEFT(K86,4)="LVAX",LEFT(K86,6)="MV15AX",LEFT(K86,4)="CTAX",LEFT(K86,2)="W|"),2*N86*O86,0)</f>
        <v/>
      </c>
      <c r="Z86" s="12" t="inlineStr"/>
      <c r="AA86" s="12">
        <f>N86*O86</f>
        <v/>
      </c>
    </row>
    <row r="87">
      <c r="A87" s="12" t="inlineStr">
        <is>
          <t>A-C-0075</t>
        </is>
      </c>
      <c r="B87" s="12" t="inlineStr">
        <is>
          <t>A</t>
        </is>
      </c>
      <c r="C87" s="12" t="inlineStr">
        <is>
          <t>Power block</t>
        </is>
      </c>
      <c r="D87" s="12" t="inlineStr">
        <is>
          <t>Solenoid to JB JB-FH-3-SOL01: 10 x 2/C (field cables)</t>
        </is>
      </c>
      <c r="E87" s="12" t="inlineStr">
        <is>
          <t>FH-3</t>
        </is>
      </c>
      <c r="F87" s="12" t="inlineStr">
        <is>
          <t>FH-3: GT inlet filter house on its own frame</t>
        </is>
      </c>
      <c r="G87" s="12" t="inlineStr">
        <is>
          <t>JB-FH-3-SOL01</t>
        </is>
      </c>
      <c r="H87" s="12" t="inlineStr">
        <is>
          <t>FH-3: GT inlet filter house on its own frame</t>
        </is>
      </c>
      <c r="I87" s="12" t="inlineStr">
        <is>
          <t>Control</t>
        </is>
      </c>
      <c r="J87" s="12" t="inlineStr">
        <is>
          <t>Control cable 600 V Type TC-ER, Cu #14 AWG, PVC jacket</t>
        </is>
      </c>
      <c r="K87" s="12" t="inlineStr">
        <is>
          <t>CT|2/C|14</t>
        </is>
      </c>
      <c r="L87" s="12" t="inlineStr">
        <is>
          <t>2/C</t>
        </is>
      </c>
      <c r="M87" s="12" t="inlineStr">
        <is>
          <t>14</t>
        </is>
      </c>
      <c r="N87" s="12" t="n">
        <v>10</v>
      </c>
      <c r="O87" s="12" t="n">
        <v>1</v>
      </c>
      <c r="P87" s="12" t="n"/>
      <c r="Q87" s="12" t="n"/>
      <c r="R87" s="12" t="n"/>
      <c r="S87" s="12" t="inlineStr">
        <is>
          <t>Tray / conduit</t>
        </is>
      </c>
      <c r="T87" s="16" t="n">
        <v>140</v>
      </c>
      <c r="U87" s="16" t="n">
        <v>10</v>
      </c>
      <c r="V87" s="16">
        <f>ROUNDUP((T87+U87+2*'Read Me'!$B$13)*(1+'Read Me'!$B$12),-1)</f>
        <v/>
      </c>
      <c r="W87" s="16">
        <f>V87*N87*O87</f>
        <v/>
      </c>
      <c r="X87" s="12">
        <f>IF(LEFT(I87,2)="MV",2*N87*IF(L87="1/C",O87,1),0)</f>
        <v/>
      </c>
      <c r="Y87" s="12">
        <f>IF(OR(LEFT(K87,4)="LVAX",LEFT(K87,6)="MV15AX",LEFT(K87,4)="CTAX",LEFT(K87,2)="W|"),2*N87*O87,0)</f>
        <v/>
      </c>
      <c r="Z87" s="12" t="inlineStr">
        <is>
          <t>device-to-JB field wiring, one cable per device</t>
        </is>
      </c>
      <c r="AA87" s="12">
        <f>N87*O87</f>
        <v/>
      </c>
    </row>
    <row r="88">
      <c r="A88" s="12" t="inlineStr">
        <is>
          <t>A-C-0076</t>
        </is>
      </c>
      <c r="B88" s="12" t="inlineStr">
        <is>
          <t>A</t>
        </is>
      </c>
      <c r="C88" s="12" t="inlineStr">
        <is>
          <t>Power block</t>
        </is>
      </c>
      <c r="D88" s="12" t="inlineStr">
        <is>
          <t>Home run JB-FH-3-SOL01 to the control / marshalling room</t>
        </is>
      </c>
      <c r="E88" s="12" t="inlineStr">
        <is>
          <t>R2C</t>
        </is>
      </c>
      <c r="F88" s="12" t="inlineStr">
        <is>
          <t>R2C: unit / HRSG electrical e-house (32 x 40 ft)</t>
        </is>
      </c>
      <c r="G88" s="12" t="inlineStr">
        <is>
          <t>JB-FH-3-SOL01</t>
        </is>
      </c>
      <c r="H88" s="12" t="inlineStr">
        <is>
          <t>FH-3: GT inlet filter house on its own frame</t>
        </is>
      </c>
      <c r="I88" s="12" t="inlineStr">
        <is>
          <t>Control</t>
        </is>
      </c>
      <c r="J88" s="12" t="inlineStr">
        <is>
          <t>Control cable 600 V Type TC-ER, Cu #14 AWG, PVC jacket</t>
        </is>
      </c>
      <c r="K88" s="12" t="inlineStr">
        <is>
          <t>CT|25/C|14</t>
        </is>
      </c>
      <c r="L88" s="12" t="inlineStr">
        <is>
          <t>25/C</t>
        </is>
      </c>
      <c r="M88" s="12" t="inlineStr">
        <is>
          <t>14</t>
        </is>
      </c>
      <c r="N88" s="12" t="n">
        <v>1</v>
      </c>
      <c r="O88" s="12" t="n">
        <v>1</v>
      </c>
      <c r="P88" s="12" t="n"/>
      <c r="Q88" s="12" t="n"/>
      <c r="R88" s="12" t="n"/>
      <c r="S88" s="12" t="inlineStr">
        <is>
          <t>Duct bank</t>
        </is>
      </c>
      <c r="T88" s="16" t="n">
        <v>1193</v>
      </c>
      <c r="U88" s="16" t="n">
        <v>96</v>
      </c>
      <c r="V88" s="16">
        <f>ROUNDUP((T88+U88+2*'Read Me'!$B$13)*(1+'Read Me'!$B$12),-1)</f>
        <v/>
      </c>
      <c r="W88" s="16">
        <f>V88*N88*O88</f>
        <v/>
      </c>
      <c r="X88" s="12">
        <f>IF(LEFT(I88,2)="MV",2*N88*IF(L88="1/C",O88,1),0)</f>
        <v/>
      </c>
      <c r="Y88" s="12">
        <f>IF(OR(LEFT(K88,4)="LVAX",LEFT(K88,6)="MV15AX",LEFT(K88,4)="CTAX",LEFT(K88,2)="W|"),2*N88*O88,0)</f>
        <v/>
      </c>
      <c r="Z88" s="12" t="inlineStr"/>
      <c r="AA88" s="12">
        <f>N88*O88</f>
        <v/>
      </c>
    </row>
    <row r="89">
      <c r="A89" s="12" t="inlineStr">
        <is>
          <t>A-C-0077</t>
        </is>
      </c>
      <c r="B89" s="12" t="inlineStr">
        <is>
          <t>A</t>
        </is>
      </c>
      <c r="C89" s="12" t="inlineStr">
        <is>
          <t>Power block</t>
        </is>
      </c>
      <c r="D89" s="12" t="inlineStr">
        <is>
          <t>Solenoid to JB JB-FH-3-SOL02: 10 x 2/C (field cables)</t>
        </is>
      </c>
      <c r="E89" s="12" t="inlineStr">
        <is>
          <t>FH-3</t>
        </is>
      </c>
      <c r="F89" s="12" t="inlineStr">
        <is>
          <t>FH-3: GT inlet filter house on its own frame</t>
        </is>
      </c>
      <c r="G89" s="12" t="inlineStr">
        <is>
          <t>JB-FH-3-SOL02</t>
        </is>
      </c>
      <c r="H89" s="12" t="inlineStr">
        <is>
          <t>FH-3: GT inlet filter house on its own frame</t>
        </is>
      </c>
      <c r="I89" s="12" t="inlineStr">
        <is>
          <t>Control</t>
        </is>
      </c>
      <c r="J89" s="12" t="inlineStr">
        <is>
          <t>Control cable 600 V Type TC-ER, Cu #14 AWG, PVC jacket</t>
        </is>
      </c>
      <c r="K89" s="12" t="inlineStr">
        <is>
          <t>CT|2/C|14</t>
        </is>
      </c>
      <c r="L89" s="12" t="inlineStr">
        <is>
          <t>2/C</t>
        </is>
      </c>
      <c r="M89" s="12" t="inlineStr">
        <is>
          <t>14</t>
        </is>
      </c>
      <c r="N89" s="12" t="n">
        <v>10</v>
      </c>
      <c r="O89" s="12" t="n">
        <v>1</v>
      </c>
      <c r="P89" s="12" t="n"/>
      <c r="Q89" s="12" t="n"/>
      <c r="R89" s="12" t="n"/>
      <c r="S89" s="12" t="inlineStr">
        <is>
          <t>Tray / conduit</t>
        </is>
      </c>
      <c r="T89" s="16" t="n">
        <v>140</v>
      </c>
      <c r="U89" s="16" t="n">
        <v>10</v>
      </c>
      <c r="V89" s="16">
        <f>ROUNDUP((T89+U89+2*'Read Me'!$B$13)*(1+'Read Me'!$B$12),-1)</f>
        <v/>
      </c>
      <c r="W89" s="16">
        <f>V89*N89*O89</f>
        <v/>
      </c>
      <c r="X89" s="12">
        <f>IF(LEFT(I89,2)="MV",2*N89*IF(L89="1/C",O89,1),0)</f>
        <v/>
      </c>
      <c r="Y89" s="12">
        <f>IF(OR(LEFT(K89,4)="LVAX",LEFT(K89,6)="MV15AX",LEFT(K89,4)="CTAX",LEFT(K89,2)="W|"),2*N89*O89,0)</f>
        <v/>
      </c>
      <c r="Z89" s="12" t="inlineStr">
        <is>
          <t>device-to-JB field wiring, one cable per device</t>
        </is>
      </c>
      <c r="AA89" s="12">
        <f>N89*O89</f>
        <v/>
      </c>
    </row>
    <row r="90">
      <c r="A90" s="12" t="inlineStr">
        <is>
          <t>A-C-0078</t>
        </is>
      </c>
      <c r="B90" s="12" t="inlineStr">
        <is>
          <t>A</t>
        </is>
      </c>
      <c r="C90" s="12" t="inlineStr">
        <is>
          <t>Power block</t>
        </is>
      </c>
      <c r="D90" s="12" t="inlineStr">
        <is>
          <t>Home run JB-FH-3-SOL02 to the control / marshalling room</t>
        </is>
      </c>
      <c r="E90" s="12" t="inlineStr">
        <is>
          <t>R2C</t>
        </is>
      </c>
      <c r="F90" s="12" t="inlineStr">
        <is>
          <t>R2C: unit / HRSG electrical e-house (32 x 40 ft)</t>
        </is>
      </c>
      <c r="G90" s="12" t="inlineStr">
        <is>
          <t>JB-FH-3-SOL02</t>
        </is>
      </c>
      <c r="H90" s="12" t="inlineStr">
        <is>
          <t>FH-3: GT inlet filter house on its own frame</t>
        </is>
      </c>
      <c r="I90" s="12" t="inlineStr">
        <is>
          <t>Control</t>
        </is>
      </c>
      <c r="J90" s="12" t="inlineStr">
        <is>
          <t>Control cable 600 V Type TC-ER, Cu #14 AWG, PVC jacket</t>
        </is>
      </c>
      <c r="K90" s="12" t="inlineStr">
        <is>
          <t>CT|25/C|14</t>
        </is>
      </c>
      <c r="L90" s="12" t="inlineStr">
        <is>
          <t>25/C</t>
        </is>
      </c>
      <c r="M90" s="12" t="inlineStr">
        <is>
          <t>14</t>
        </is>
      </c>
      <c r="N90" s="12" t="n">
        <v>1</v>
      </c>
      <c r="O90" s="12" t="n">
        <v>1</v>
      </c>
      <c r="P90" s="12" t="n"/>
      <c r="Q90" s="12" t="n"/>
      <c r="R90" s="12" t="n"/>
      <c r="S90" s="12" t="inlineStr">
        <is>
          <t>Duct bank</t>
        </is>
      </c>
      <c r="T90" s="16" t="n">
        <v>1193</v>
      </c>
      <c r="U90" s="16" t="n">
        <v>96</v>
      </c>
      <c r="V90" s="16">
        <f>ROUNDUP((T90+U90+2*'Read Me'!$B$13)*(1+'Read Me'!$B$12),-1)</f>
        <v/>
      </c>
      <c r="W90" s="16">
        <f>V90*N90*O90</f>
        <v/>
      </c>
      <c r="X90" s="12">
        <f>IF(LEFT(I90,2)="MV",2*N90*IF(L90="1/C",O90,1),0)</f>
        <v/>
      </c>
      <c r="Y90" s="12">
        <f>IF(OR(LEFT(K90,4)="LVAX",LEFT(K90,6)="MV15AX",LEFT(K90,4)="CTAX",LEFT(K90,2)="W|"),2*N90*O90,0)</f>
        <v/>
      </c>
      <c r="Z90" s="12" t="inlineStr"/>
      <c r="AA90" s="12">
        <f>N90*O90</f>
        <v/>
      </c>
    </row>
    <row r="91">
      <c r="A91" s="12" t="inlineStr">
        <is>
          <t>A-C-0079</t>
        </is>
      </c>
      <c r="B91" s="12" t="inlineStr">
        <is>
          <t>A</t>
        </is>
      </c>
      <c r="C91" s="12" t="inlineStr">
        <is>
          <t>Power block</t>
        </is>
      </c>
      <c r="D91" s="12" t="inlineStr">
        <is>
          <t>Solenoid to JB JB-FH-3-SOL03: 10 x 2/C (field cables)</t>
        </is>
      </c>
      <c r="E91" s="12" t="inlineStr">
        <is>
          <t>FH-3</t>
        </is>
      </c>
      <c r="F91" s="12" t="inlineStr">
        <is>
          <t>FH-3: GT inlet filter house on its own frame</t>
        </is>
      </c>
      <c r="G91" s="12" t="inlineStr">
        <is>
          <t>JB-FH-3-SOL03</t>
        </is>
      </c>
      <c r="H91" s="12" t="inlineStr">
        <is>
          <t>FH-3: GT inlet filter house on its own frame</t>
        </is>
      </c>
      <c r="I91" s="12" t="inlineStr">
        <is>
          <t>Control</t>
        </is>
      </c>
      <c r="J91" s="12" t="inlineStr">
        <is>
          <t>Control cable 600 V Type TC-ER, Cu #14 AWG, PVC jacket</t>
        </is>
      </c>
      <c r="K91" s="12" t="inlineStr">
        <is>
          <t>CT|2/C|14</t>
        </is>
      </c>
      <c r="L91" s="12" t="inlineStr">
        <is>
          <t>2/C</t>
        </is>
      </c>
      <c r="M91" s="12" t="inlineStr">
        <is>
          <t>14</t>
        </is>
      </c>
      <c r="N91" s="12" t="n">
        <v>10</v>
      </c>
      <c r="O91" s="12" t="n">
        <v>1</v>
      </c>
      <c r="P91" s="12" t="n"/>
      <c r="Q91" s="12" t="n"/>
      <c r="R91" s="12" t="n"/>
      <c r="S91" s="12" t="inlineStr">
        <is>
          <t>Tray / conduit</t>
        </is>
      </c>
      <c r="T91" s="16" t="n">
        <v>140</v>
      </c>
      <c r="U91" s="16" t="n">
        <v>10</v>
      </c>
      <c r="V91" s="16">
        <f>ROUNDUP((T91+U91+2*'Read Me'!$B$13)*(1+'Read Me'!$B$12),-1)</f>
        <v/>
      </c>
      <c r="W91" s="16">
        <f>V91*N91*O91</f>
        <v/>
      </c>
      <c r="X91" s="12">
        <f>IF(LEFT(I91,2)="MV",2*N91*IF(L91="1/C",O91,1),0)</f>
        <v/>
      </c>
      <c r="Y91" s="12">
        <f>IF(OR(LEFT(K91,4)="LVAX",LEFT(K91,6)="MV15AX",LEFT(K91,4)="CTAX",LEFT(K91,2)="W|"),2*N91*O91,0)</f>
        <v/>
      </c>
      <c r="Z91" s="12" t="inlineStr">
        <is>
          <t>device-to-JB field wiring, one cable per device</t>
        </is>
      </c>
      <c r="AA91" s="12">
        <f>N91*O91</f>
        <v/>
      </c>
    </row>
    <row r="92">
      <c r="A92" s="12" t="inlineStr">
        <is>
          <t>A-C-0080</t>
        </is>
      </c>
      <c r="B92" s="12" t="inlineStr">
        <is>
          <t>A</t>
        </is>
      </c>
      <c r="C92" s="12" t="inlineStr">
        <is>
          <t>Power block</t>
        </is>
      </c>
      <c r="D92" s="12" t="inlineStr">
        <is>
          <t>Home run JB-FH-3-SOL03 to the control / marshalling room</t>
        </is>
      </c>
      <c r="E92" s="12" t="inlineStr">
        <is>
          <t>R2C</t>
        </is>
      </c>
      <c r="F92" s="12" t="inlineStr">
        <is>
          <t>R2C: unit / HRSG electrical e-house (32 x 40 ft)</t>
        </is>
      </c>
      <c r="G92" s="12" t="inlineStr">
        <is>
          <t>JB-FH-3-SOL03</t>
        </is>
      </c>
      <c r="H92" s="12" t="inlineStr">
        <is>
          <t>FH-3: GT inlet filter house on its own frame</t>
        </is>
      </c>
      <c r="I92" s="12" t="inlineStr">
        <is>
          <t>Control</t>
        </is>
      </c>
      <c r="J92" s="12" t="inlineStr">
        <is>
          <t>Control cable 600 V Type TC-ER, Cu #14 AWG, PVC jacket</t>
        </is>
      </c>
      <c r="K92" s="12" t="inlineStr">
        <is>
          <t>CT|25/C|14</t>
        </is>
      </c>
      <c r="L92" s="12" t="inlineStr">
        <is>
          <t>25/C</t>
        </is>
      </c>
      <c r="M92" s="12" t="inlineStr">
        <is>
          <t>14</t>
        </is>
      </c>
      <c r="N92" s="12" t="n">
        <v>1</v>
      </c>
      <c r="O92" s="12" t="n">
        <v>1</v>
      </c>
      <c r="P92" s="12" t="n"/>
      <c r="Q92" s="12" t="n"/>
      <c r="R92" s="12" t="n"/>
      <c r="S92" s="12" t="inlineStr">
        <is>
          <t>Duct bank</t>
        </is>
      </c>
      <c r="T92" s="16" t="n">
        <v>1193</v>
      </c>
      <c r="U92" s="16" t="n">
        <v>96</v>
      </c>
      <c r="V92" s="16">
        <f>ROUNDUP((T92+U92+2*'Read Me'!$B$13)*(1+'Read Me'!$B$12),-1)</f>
        <v/>
      </c>
      <c r="W92" s="16">
        <f>V92*N92*O92</f>
        <v/>
      </c>
      <c r="X92" s="12">
        <f>IF(LEFT(I92,2)="MV",2*N92*IF(L92="1/C",O92,1),0)</f>
        <v/>
      </c>
      <c r="Y92" s="12">
        <f>IF(OR(LEFT(K92,4)="LVAX",LEFT(K92,6)="MV15AX",LEFT(K92,4)="CTAX",LEFT(K92,2)="W|"),2*N92*O92,0)</f>
        <v/>
      </c>
      <c r="Z92" s="12" t="inlineStr"/>
      <c r="AA92" s="12">
        <f>N92*O92</f>
        <v/>
      </c>
    </row>
    <row r="93">
      <c r="A93" s="12" t="inlineStr">
        <is>
          <t>A-C-0081</t>
        </is>
      </c>
      <c r="B93" s="12" t="inlineStr">
        <is>
          <t>A</t>
        </is>
      </c>
      <c r="C93" s="12" t="inlineStr">
        <is>
          <t>Power block</t>
        </is>
      </c>
      <c r="D93" s="12" t="inlineStr">
        <is>
          <t>Solenoid to JB JB-FH-3-SOL04: 10 x 2/C (field cables)</t>
        </is>
      </c>
      <c r="E93" s="12" t="inlineStr">
        <is>
          <t>FH-3</t>
        </is>
      </c>
      <c r="F93" s="12" t="inlineStr">
        <is>
          <t>FH-3: GT inlet filter house on its own frame</t>
        </is>
      </c>
      <c r="G93" s="12" t="inlineStr">
        <is>
          <t>JB-FH-3-SOL04</t>
        </is>
      </c>
      <c r="H93" s="12" t="inlineStr">
        <is>
          <t>FH-3: GT inlet filter house on its own frame</t>
        </is>
      </c>
      <c r="I93" s="12" t="inlineStr">
        <is>
          <t>Control</t>
        </is>
      </c>
      <c r="J93" s="12" t="inlineStr">
        <is>
          <t>Control cable 600 V Type TC-ER, Cu #14 AWG, PVC jacket</t>
        </is>
      </c>
      <c r="K93" s="12" t="inlineStr">
        <is>
          <t>CT|2/C|14</t>
        </is>
      </c>
      <c r="L93" s="12" t="inlineStr">
        <is>
          <t>2/C</t>
        </is>
      </c>
      <c r="M93" s="12" t="inlineStr">
        <is>
          <t>14</t>
        </is>
      </c>
      <c r="N93" s="12" t="n">
        <v>10</v>
      </c>
      <c r="O93" s="12" t="n">
        <v>1</v>
      </c>
      <c r="P93" s="12" t="n"/>
      <c r="Q93" s="12" t="n"/>
      <c r="R93" s="12" t="n"/>
      <c r="S93" s="12" t="inlineStr">
        <is>
          <t>Tray / conduit</t>
        </is>
      </c>
      <c r="T93" s="16" t="n">
        <v>140</v>
      </c>
      <c r="U93" s="16" t="n">
        <v>10</v>
      </c>
      <c r="V93" s="16">
        <f>ROUNDUP((T93+U93+2*'Read Me'!$B$13)*(1+'Read Me'!$B$12),-1)</f>
        <v/>
      </c>
      <c r="W93" s="16">
        <f>V93*N93*O93</f>
        <v/>
      </c>
      <c r="X93" s="12">
        <f>IF(LEFT(I93,2)="MV",2*N93*IF(L93="1/C",O93,1),0)</f>
        <v/>
      </c>
      <c r="Y93" s="12">
        <f>IF(OR(LEFT(K93,4)="LVAX",LEFT(K93,6)="MV15AX",LEFT(K93,4)="CTAX",LEFT(K93,2)="W|"),2*N93*O93,0)</f>
        <v/>
      </c>
      <c r="Z93" s="12" t="inlineStr">
        <is>
          <t>device-to-JB field wiring, one cable per device</t>
        </is>
      </c>
      <c r="AA93" s="12">
        <f>N93*O93</f>
        <v/>
      </c>
    </row>
    <row r="94">
      <c r="A94" s="12" t="inlineStr">
        <is>
          <t>A-C-0082</t>
        </is>
      </c>
      <c r="B94" s="12" t="inlineStr">
        <is>
          <t>A</t>
        </is>
      </c>
      <c r="C94" s="12" t="inlineStr">
        <is>
          <t>Power block</t>
        </is>
      </c>
      <c r="D94" s="12" t="inlineStr">
        <is>
          <t>Home run JB-FH-3-SOL04 to the control / marshalling room</t>
        </is>
      </c>
      <c r="E94" s="12" t="inlineStr">
        <is>
          <t>R2C</t>
        </is>
      </c>
      <c r="F94" s="12" t="inlineStr">
        <is>
          <t>R2C: unit / HRSG electrical e-house (32 x 40 ft)</t>
        </is>
      </c>
      <c r="G94" s="12" t="inlineStr">
        <is>
          <t>JB-FH-3-SOL04</t>
        </is>
      </c>
      <c r="H94" s="12" t="inlineStr">
        <is>
          <t>FH-3: GT inlet filter house on its own frame</t>
        </is>
      </c>
      <c r="I94" s="12" t="inlineStr">
        <is>
          <t>Control</t>
        </is>
      </c>
      <c r="J94" s="12" t="inlineStr">
        <is>
          <t>Control cable 600 V Type TC-ER, Cu #14 AWG, PVC jacket</t>
        </is>
      </c>
      <c r="K94" s="12" t="inlineStr">
        <is>
          <t>CT|25/C|14</t>
        </is>
      </c>
      <c r="L94" s="12" t="inlineStr">
        <is>
          <t>25/C</t>
        </is>
      </c>
      <c r="M94" s="12" t="inlineStr">
        <is>
          <t>14</t>
        </is>
      </c>
      <c r="N94" s="12" t="n">
        <v>1</v>
      </c>
      <c r="O94" s="12" t="n">
        <v>1</v>
      </c>
      <c r="P94" s="12" t="n"/>
      <c r="Q94" s="12" t="n"/>
      <c r="R94" s="12" t="n"/>
      <c r="S94" s="12" t="inlineStr">
        <is>
          <t>Duct bank</t>
        </is>
      </c>
      <c r="T94" s="16" t="n">
        <v>1193</v>
      </c>
      <c r="U94" s="16" t="n">
        <v>96</v>
      </c>
      <c r="V94" s="16">
        <f>ROUNDUP((T94+U94+2*'Read Me'!$B$13)*(1+'Read Me'!$B$12),-1)</f>
        <v/>
      </c>
      <c r="W94" s="16">
        <f>V94*N94*O94</f>
        <v/>
      </c>
      <c r="X94" s="12">
        <f>IF(LEFT(I94,2)="MV",2*N94*IF(L94="1/C",O94,1),0)</f>
        <v/>
      </c>
      <c r="Y94" s="12">
        <f>IF(OR(LEFT(K94,4)="LVAX",LEFT(K94,6)="MV15AX",LEFT(K94,4)="CTAX",LEFT(K94,2)="W|"),2*N94*O94,0)</f>
        <v/>
      </c>
      <c r="Z94" s="12" t="inlineStr"/>
      <c r="AA94" s="12">
        <f>N94*O94</f>
        <v/>
      </c>
    </row>
    <row r="95">
      <c r="A95" s="12" t="inlineStr">
        <is>
          <t>A-C-0083</t>
        </is>
      </c>
      <c r="B95" s="12" t="inlineStr">
        <is>
          <t>A</t>
        </is>
      </c>
      <c r="C95" s="12" t="inlineStr">
        <is>
          <t>Power block</t>
        </is>
      </c>
      <c r="D95" s="12" t="inlineStr">
        <is>
          <t>Solenoid to JB JB-FH-3-SOL05: 10 x 2/C (field cables)</t>
        </is>
      </c>
      <c r="E95" s="12" t="inlineStr">
        <is>
          <t>FH-3</t>
        </is>
      </c>
      <c r="F95" s="12" t="inlineStr">
        <is>
          <t>FH-3: GT inlet filter house on its own frame</t>
        </is>
      </c>
      <c r="G95" s="12" t="inlineStr">
        <is>
          <t>JB-FH-3-SOL05</t>
        </is>
      </c>
      <c r="H95" s="12" t="inlineStr">
        <is>
          <t>FH-3: GT inlet filter house on its own frame</t>
        </is>
      </c>
      <c r="I95" s="12" t="inlineStr">
        <is>
          <t>Control</t>
        </is>
      </c>
      <c r="J95" s="12" t="inlineStr">
        <is>
          <t>Control cable 600 V Type TC-ER, Cu #14 AWG, PVC jacket</t>
        </is>
      </c>
      <c r="K95" s="12" t="inlineStr">
        <is>
          <t>CT|2/C|14</t>
        </is>
      </c>
      <c r="L95" s="12" t="inlineStr">
        <is>
          <t>2/C</t>
        </is>
      </c>
      <c r="M95" s="12" t="inlineStr">
        <is>
          <t>14</t>
        </is>
      </c>
      <c r="N95" s="12" t="n">
        <v>10</v>
      </c>
      <c r="O95" s="12" t="n">
        <v>1</v>
      </c>
      <c r="P95" s="12" t="n"/>
      <c r="Q95" s="12" t="n"/>
      <c r="R95" s="12" t="n"/>
      <c r="S95" s="12" t="inlineStr">
        <is>
          <t>Tray / conduit</t>
        </is>
      </c>
      <c r="T95" s="16" t="n">
        <v>140</v>
      </c>
      <c r="U95" s="16" t="n">
        <v>10</v>
      </c>
      <c r="V95" s="16">
        <f>ROUNDUP((T95+U95+2*'Read Me'!$B$13)*(1+'Read Me'!$B$12),-1)</f>
        <v/>
      </c>
      <c r="W95" s="16">
        <f>V95*N95*O95</f>
        <v/>
      </c>
      <c r="X95" s="12">
        <f>IF(LEFT(I95,2)="MV",2*N95*IF(L95="1/C",O95,1),0)</f>
        <v/>
      </c>
      <c r="Y95" s="12">
        <f>IF(OR(LEFT(K95,4)="LVAX",LEFT(K95,6)="MV15AX",LEFT(K95,4)="CTAX",LEFT(K95,2)="W|"),2*N95*O95,0)</f>
        <v/>
      </c>
      <c r="Z95" s="12" t="inlineStr">
        <is>
          <t>device-to-JB field wiring, one cable per device</t>
        </is>
      </c>
      <c r="AA95" s="12">
        <f>N95*O95</f>
        <v/>
      </c>
    </row>
    <row r="96">
      <c r="A96" s="12" t="inlineStr">
        <is>
          <t>A-C-0084</t>
        </is>
      </c>
      <c r="B96" s="12" t="inlineStr">
        <is>
          <t>A</t>
        </is>
      </c>
      <c r="C96" s="12" t="inlineStr">
        <is>
          <t>Power block</t>
        </is>
      </c>
      <c r="D96" s="12" t="inlineStr">
        <is>
          <t>Home run JB-FH-3-SOL05 to the control / marshalling room</t>
        </is>
      </c>
      <c r="E96" s="12" t="inlineStr">
        <is>
          <t>R2C</t>
        </is>
      </c>
      <c r="F96" s="12" t="inlineStr">
        <is>
          <t>R2C: unit / HRSG electrical e-house (32 x 40 ft)</t>
        </is>
      </c>
      <c r="G96" s="12" t="inlineStr">
        <is>
          <t>JB-FH-3-SOL05</t>
        </is>
      </c>
      <c r="H96" s="12" t="inlineStr">
        <is>
          <t>FH-3: GT inlet filter house on its own frame</t>
        </is>
      </c>
      <c r="I96" s="12" t="inlineStr">
        <is>
          <t>Control</t>
        </is>
      </c>
      <c r="J96" s="12" t="inlineStr">
        <is>
          <t>Control cable 600 V Type TC-ER, Cu #14 AWG, PVC jacket</t>
        </is>
      </c>
      <c r="K96" s="12" t="inlineStr">
        <is>
          <t>CT|25/C|14</t>
        </is>
      </c>
      <c r="L96" s="12" t="inlineStr">
        <is>
          <t>25/C</t>
        </is>
      </c>
      <c r="M96" s="12" t="inlineStr">
        <is>
          <t>14</t>
        </is>
      </c>
      <c r="N96" s="12" t="n">
        <v>1</v>
      </c>
      <c r="O96" s="12" t="n">
        <v>1</v>
      </c>
      <c r="P96" s="12" t="n"/>
      <c r="Q96" s="12" t="n"/>
      <c r="R96" s="12" t="n"/>
      <c r="S96" s="12" t="inlineStr">
        <is>
          <t>Duct bank</t>
        </is>
      </c>
      <c r="T96" s="16" t="n">
        <v>1193</v>
      </c>
      <c r="U96" s="16" t="n">
        <v>96</v>
      </c>
      <c r="V96" s="16">
        <f>ROUNDUP((T96+U96+2*'Read Me'!$B$13)*(1+'Read Me'!$B$12),-1)</f>
        <v/>
      </c>
      <c r="W96" s="16">
        <f>V96*N96*O96</f>
        <v/>
      </c>
      <c r="X96" s="12">
        <f>IF(LEFT(I96,2)="MV",2*N96*IF(L96="1/C",O96,1),0)</f>
        <v/>
      </c>
      <c r="Y96" s="12">
        <f>IF(OR(LEFT(K96,4)="LVAX",LEFT(K96,6)="MV15AX",LEFT(K96,4)="CTAX",LEFT(K96,2)="W|"),2*N96*O96,0)</f>
        <v/>
      </c>
      <c r="Z96" s="12" t="inlineStr"/>
      <c r="AA96" s="12">
        <f>N96*O96</f>
        <v/>
      </c>
    </row>
    <row r="97">
      <c r="A97" s="12" t="inlineStr">
        <is>
          <t>A-C-0085</t>
        </is>
      </c>
      <c r="B97" s="12" t="inlineStr">
        <is>
          <t>A</t>
        </is>
      </c>
      <c r="C97" s="12" t="inlineStr">
        <is>
          <t>Power block</t>
        </is>
      </c>
      <c r="D97" s="12" t="inlineStr">
        <is>
          <t>Solenoid to JB JB-FH-3-SOL06: 10 x 2/C (field cables)</t>
        </is>
      </c>
      <c r="E97" s="12" t="inlineStr">
        <is>
          <t>FH-3</t>
        </is>
      </c>
      <c r="F97" s="12" t="inlineStr">
        <is>
          <t>FH-3: GT inlet filter house on its own frame</t>
        </is>
      </c>
      <c r="G97" s="12" t="inlineStr">
        <is>
          <t>JB-FH-3-SOL06</t>
        </is>
      </c>
      <c r="H97" s="12" t="inlineStr">
        <is>
          <t>FH-3: GT inlet filter house on its own frame</t>
        </is>
      </c>
      <c r="I97" s="12" t="inlineStr">
        <is>
          <t>Control</t>
        </is>
      </c>
      <c r="J97" s="12" t="inlineStr">
        <is>
          <t>Control cable 600 V Type TC-ER, Cu #14 AWG, PVC jacket</t>
        </is>
      </c>
      <c r="K97" s="12" t="inlineStr">
        <is>
          <t>CT|2/C|14</t>
        </is>
      </c>
      <c r="L97" s="12" t="inlineStr">
        <is>
          <t>2/C</t>
        </is>
      </c>
      <c r="M97" s="12" t="inlineStr">
        <is>
          <t>14</t>
        </is>
      </c>
      <c r="N97" s="12" t="n">
        <v>10</v>
      </c>
      <c r="O97" s="12" t="n">
        <v>1</v>
      </c>
      <c r="P97" s="12" t="n"/>
      <c r="Q97" s="12" t="n"/>
      <c r="R97" s="12" t="n"/>
      <c r="S97" s="12" t="inlineStr">
        <is>
          <t>Tray / conduit</t>
        </is>
      </c>
      <c r="T97" s="16" t="n">
        <v>140</v>
      </c>
      <c r="U97" s="16" t="n">
        <v>10</v>
      </c>
      <c r="V97" s="16">
        <f>ROUNDUP((T97+U97+2*'Read Me'!$B$13)*(1+'Read Me'!$B$12),-1)</f>
        <v/>
      </c>
      <c r="W97" s="16">
        <f>V97*N97*O97</f>
        <v/>
      </c>
      <c r="X97" s="12">
        <f>IF(LEFT(I97,2)="MV",2*N97*IF(L97="1/C",O97,1),0)</f>
        <v/>
      </c>
      <c r="Y97" s="12">
        <f>IF(OR(LEFT(K97,4)="LVAX",LEFT(K97,6)="MV15AX",LEFT(K97,4)="CTAX",LEFT(K97,2)="W|"),2*N97*O97,0)</f>
        <v/>
      </c>
      <c r="Z97" s="12" t="inlineStr">
        <is>
          <t>device-to-JB field wiring, one cable per device</t>
        </is>
      </c>
      <c r="AA97" s="12">
        <f>N97*O97</f>
        <v/>
      </c>
    </row>
    <row r="98">
      <c r="A98" s="12" t="inlineStr">
        <is>
          <t>A-C-0086</t>
        </is>
      </c>
      <c r="B98" s="12" t="inlineStr">
        <is>
          <t>A</t>
        </is>
      </c>
      <c r="C98" s="12" t="inlineStr">
        <is>
          <t>Power block</t>
        </is>
      </c>
      <c r="D98" s="12" t="inlineStr">
        <is>
          <t>Home run JB-FH-3-SOL06 to the control / marshalling room</t>
        </is>
      </c>
      <c r="E98" s="12" t="inlineStr">
        <is>
          <t>R2C</t>
        </is>
      </c>
      <c r="F98" s="12" t="inlineStr">
        <is>
          <t>R2C: unit / HRSG electrical e-house (32 x 40 ft)</t>
        </is>
      </c>
      <c r="G98" s="12" t="inlineStr">
        <is>
          <t>JB-FH-3-SOL06</t>
        </is>
      </c>
      <c r="H98" s="12" t="inlineStr">
        <is>
          <t>FH-3: GT inlet filter house on its own frame</t>
        </is>
      </c>
      <c r="I98" s="12" t="inlineStr">
        <is>
          <t>Control</t>
        </is>
      </c>
      <c r="J98" s="12" t="inlineStr">
        <is>
          <t>Control cable 600 V Type TC-ER, Cu #14 AWG, PVC jacket</t>
        </is>
      </c>
      <c r="K98" s="12" t="inlineStr">
        <is>
          <t>CT|25/C|14</t>
        </is>
      </c>
      <c r="L98" s="12" t="inlineStr">
        <is>
          <t>25/C</t>
        </is>
      </c>
      <c r="M98" s="12" t="inlineStr">
        <is>
          <t>14</t>
        </is>
      </c>
      <c r="N98" s="12" t="n">
        <v>1</v>
      </c>
      <c r="O98" s="12" t="n">
        <v>1</v>
      </c>
      <c r="P98" s="12" t="n"/>
      <c r="Q98" s="12" t="n"/>
      <c r="R98" s="12" t="n"/>
      <c r="S98" s="12" t="inlineStr">
        <is>
          <t>Duct bank</t>
        </is>
      </c>
      <c r="T98" s="16" t="n">
        <v>1193</v>
      </c>
      <c r="U98" s="16" t="n">
        <v>96</v>
      </c>
      <c r="V98" s="16">
        <f>ROUNDUP((T98+U98+2*'Read Me'!$B$13)*(1+'Read Me'!$B$12),-1)</f>
        <v/>
      </c>
      <c r="W98" s="16">
        <f>V98*N98*O98</f>
        <v/>
      </c>
      <c r="X98" s="12">
        <f>IF(LEFT(I98,2)="MV",2*N98*IF(L98="1/C",O98,1),0)</f>
        <v/>
      </c>
      <c r="Y98" s="12">
        <f>IF(OR(LEFT(K98,4)="LVAX",LEFT(K98,6)="MV15AX",LEFT(K98,4)="CTAX",LEFT(K98,2)="W|"),2*N98*O98,0)</f>
        <v/>
      </c>
      <c r="Z98" s="12" t="inlineStr"/>
      <c r="AA98" s="12">
        <f>N98*O98</f>
        <v/>
      </c>
    </row>
    <row r="99">
      <c r="A99" s="12" t="inlineStr">
        <is>
          <t>A-C-0087</t>
        </is>
      </c>
      <c r="B99" s="12" t="inlineStr">
        <is>
          <t>A</t>
        </is>
      </c>
      <c r="C99" s="12" t="inlineStr">
        <is>
          <t>Power block</t>
        </is>
      </c>
      <c r="D99" s="12" t="inlineStr">
        <is>
          <t>Solenoid to JB JB-FS-GT1-SOL01: 8 x 2/C (field cables)</t>
        </is>
      </c>
      <c r="E99" s="12" t="inlineStr">
        <is>
          <t>FS-GT1</t>
        </is>
      </c>
      <c r="F99" s="12" t="inlineStr">
        <is>
          <t>FS-GT1: CO2 fire-suppression skid</t>
        </is>
      </c>
      <c r="G99" s="12" t="inlineStr">
        <is>
          <t>JB-FS-GT1-SOL01</t>
        </is>
      </c>
      <c r="H99" s="12" t="inlineStr">
        <is>
          <t>FS-GT1: CO2 fire-suppression skid</t>
        </is>
      </c>
      <c r="I99" s="12" t="inlineStr">
        <is>
          <t>Control</t>
        </is>
      </c>
      <c r="J99" s="12" t="inlineStr">
        <is>
          <t>Control cable 600 V Type TC-ER, Cu #14 AWG, PVC jacket</t>
        </is>
      </c>
      <c r="K99" s="12" t="inlineStr">
        <is>
          <t>CT|2/C|14</t>
        </is>
      </c>
      <c r="L99" s="12" t="inlineStr">
        <is>
          <t>2/C</t>
        </is>
      </c>
      <c r="M99" s="12" t="inlineStr">
        <is>
          <t>14</t>
        </is>
      </c>
      <c r="N99" s="12" t="n">
        <v>8</v>
      </c>
      <c r="O99" s="12" t="n">
        <v>1</v>
      </c>
      <c r="P99" s="12" t="n"/>
      <c r="Q99" s="12" t="n"/>
      <c r="R99" s="12" t="n"/>
      <c r="S99" s="12" t="inlineStr">
        <is>
          <t>Tray / conduit</t>
        </is>
      </c>
      <c r="T99" s="16" t="n">
        <v>54</v>
      </c>
      <c r="U99" s="16" t="n">
        <v>10</v>
      </c>
      <c r="V99" s="16">
        <f>ROUNDUP((T99+U99+2*'Read Me'!$B$13)*(1+'Read Me'!$B$12),-1)</f>
        <v/>
      </c>
      <c r="W99" s="16">
        <f>V99*N99*O99</f>
        <v/>
      </c>
      <c r="X99" s="12">
        <f>IF(LEFT(I99,2)="MV",2*N99*IF(L99="1/C",O99,1),0)</f>
        <v/>
      </c>
      <c r="Y99" s="12">
        <f>IF(OR(LEFT(K99,4)="LVAX",LEFT(K99,6)="MV15AX",LEFT(K99,4)="CTAX",LEFT(K99,2)="W|"),2*N99*O99,0)</f>
        <v/>
      </c>
      <c r="Z99" s="12" t="inlineStr">
        <is>
          <t>device-to-JB field wiring, one cable per device</t>
        </is>
      </c>
      <c r="AA99" s="12">
        <f>N99*O99</f>
        <v/>
      </c>
    </row>
    <row r="100">
      <c r="A100" s="12" t="inlineStr">
        <is>
          <t>A-C-0088</t>
        </is>
      </c>
      <c r="B100" s="12" t="inlineStr">
        <is>
          <t>A</t>
        </is>
      </c>
      <c r="C100" s="12" t="inlineStr">
        <is>
          <t>Power block</t>
        </is>
      </c>
      <c r="D100" s="12" t="inlineStr">
        <is>
          <t>Home run JB-FS-GT1-SOL01 to the control / marshalling room</t>
        </is>
      </c>
      <c r="E100" s="12" t="inlineStr">
        <is>
          <t>R2A</t>
        </is>
      </c>
      <c r="F100" s="12" t="inlineStr">
        <is>
          <t>R2A: unit / HRSG electrical e-house (32 x 40 ft)</t>
        </is>
      </c>
      <c r="G100" s="12" t="inlineStr">
        <is>
          <t>JB-FS-GT1-SOL01</t>
        </is>
      </c>
      <c r="H100" s="12" t="inlineStr">
        <is>
          <t>FS-GT1: CO2 fire-suppression skid</t>
        </is>
      </c>
      <c r="I100" s="12" t="inlineStr">
        <is>
          <t>Control</t>
        </is>
      </c>
      <c r="J100" s="12" t="inlineStr">
        <is>
          <t>Control cable 600 V Type TC-ER, Cu #14 AWG, PVC jacket</t>
        </is>
      </c>
      <c r="K100" s="12" t="inlineStr">
        <is>
          <t>CT|25/C|14</t>
        </is>
      </c>
      <c r="L100" s="12" t="inlineStr">
        <is>
          <t>25/C</t>
        </is>
      </c>
      <c r="M100" s="12" t="inlineStr">
        <is>
          <t>14</t>
        </is>
      </c>
      <c r="N100" s="12" t="n">
        <v>1</v>
      </c>
      <c r="O100" s="12" t="n">
        <v>1</v>
      </c>
      <c r="P100" s="12" t="n"/>
      <c r="Q100" s="12" t="n"/>
      <c r="R100" s="12" t="n"/>
      <c r="S100" s="12" t="inlineStr">
        <is>
          <t>Tray</t>
        </is>
      </c>
      <c r="T100" s="16" t="n">
        <v>210</v>
      </c>
      <c r="U100" s="16" t="n">
        <v>104</v>
      </c>
      <c r="V100" s="16">
        <f>ROUNDUP((T100+U100+2*'Read Me'!$B$13)*(1+'Read Me'!$B$12),-1)</f>
        <v/>
      </c>
      <c r="W100" s="16">
        <f>V100*N100*O100</f>
        <v/>
      </c>
      <c r="X100" s="12">
        <f>IF(LEFT(I100,2)="MV",2*N100*IF(L100="1/C",O100,1),0)</f>
        <v/>
      </c>
      <c r="Y100" s="12">
        <f>IF(OR(LEFT(K100,4)="LVAX",LEFT(K100,6)="MV15AX",LEFT(K100,4)="CTAX",LEFT(K100,2)="W|"),2*N100*O100,0)</f>
        <v/>
      </c>
      <c r="Z100" s="12" t="inlineStr"/>
      <c r="AA100" s="12">
        <f>N100*O100</f>
        <v/>
      </c>
    </row>
    <row r="101">
      <c r="A101" s="12" t="inlineStr">
        <is>
          <t>A-C-0089</t>
        </is>
      </c>
      <c r="B101" s="12" t="inlineStr">
        <is>
          <t>A</t>
        </is>
      </c>
      <c r="C101" s="12" t="inlineStr">
        <is>
          <t>Power block</t>
        </is>
      </c>
      <c r="D101" s="12" t="inlineStr">
        <is>
          <t>Solenoid to JB JB-FS-GT2-SOL01: 8 x 2/C (field cables)</t>
        </is>
      </c>
      <c r="E101" s="12" t="inlineStr">
        <is>
          <t>FS-GT2</t>
        </is>
      </c>
      <c r="F101" s="12" t="inlineStr">
        <is>
          <t>FS-GT2: CO2 fire-suppression skid</t>
        </is>
      </c>
      <c r="G101" s="12" t="inlineStr">
        <is>
          <t>JB-FS-GT2-SOL01</t>
        </is>
      </c>
      <c r="H101" s="12" t="inlineStr">
        <is>
          <t>FS-GT2: CO2 fire-suppression skid</t>
        </is>
      </c>
      <c r="I101" s="12" t="inlineStr">
        <is>
          <t>Control</t>
        </is>
      </c>
      <c r="J101" s="12" t="inlineStr">
        <is>
          <t>Control cable 600 V Type TC-ER, Cu #14 AWG, PVC jacket</t>
        </is>
      </c>
      <c r="K101" s="12" t="inlineStr">
        <is>
          <t>CT|2/C|14</t>
        </is>
      </c>
      <c r="L101" s="12" t="inlineStr">
        <is>
          <t>2/C</t>
        </is>
      </c>
      <c r="M101" s="12" t="inlineStr">
        <is>
          <t>14</t>
        </is>
      </c>
      <c r="N101" s="12" t="n">
        <v>8</v>
      </c>
      <c r="O101" s="12" t="n">
        <v>1</v>
      </c>
      <c r="P101" s="12" t="n"/>
      <c r="Q101" s="12" t="n"/>
      <c r="R101" s="12" t="n"/>
      <c r="S101" s="12" t="inlineStr">
        <is>
          <t>Tray / conduit</t>
        </is>
      </c>
      <c r="T101" s="16" t="n">
        <v>54</v>
      </c>
      <c r="U101" s="16" t="n">
        <v>10</v>
      </c>
      <c r="V101" s="16">
        <f>ROUNDUP((T101+U101+2*'Read Me'!$B$13)*(1+'Read Me'!$B$12),-1)</f>
        <v/>
      </c>
      <c r="W101" s="16">
        <f>V101*N101*O101</f>
        <v/>
      </c>
      <c r="X101" s="12">
        <f>IF(LEFT(I101,2)="MV",2*N101*IF(L101="1/C",O101,1),0)</f>
        <v/>
      </c>
      <c r="Y101" s="12">
        <f>IF(OR(LEFT(K101,4)="LVAX",LEFT(K101,6)="MV15AX",LEFT(K101,4)="CTAX",LEFT(K101,2)="W|"),2*N101*O101,0)</f>
        <v/>
      </c>
      <c r="Z101" s="12" t="inlineStr">
        <is>
          <t>device-to-JB field wiring, one cable per device</t>
        </is>
      </c>
      <c r="AA101" s="12">
        <f>N101*O101</f>
        <v/>
      </c>
    </row>
    <row r="102">
      <c r="A102" s="12" t="inlineStr">
        <is>
          <t>A-C-0090</t>
        </is>
      </c>
      <c r="B102" s="12" t="inlineStr">
        <is>
          <t>A</t>
        </is>
      </c>
      <c r="C102" s="12" t="inlineStr">
        <is>
          <t>Power block</t>
        </is>
      </c>
      <c r="D102" s="12" t="inlineStr">
        <is>
          <t>Home run JB-FS-GT2-SOL01 to the control / marshalling room</t>
        </is>
      </c>
      <c r="E102" s="12" t="inlineStr">
        <is>
          <t>R2B</t>
        </is>
      </c>
      <c r="F102" s="12" t="inlineStr">
        <is>
          <t>R2B: unit / HRSG electrical e-house (32 x 40 ft)</t>
        </is>
      </c>
      <c r="G102" s="12" t="inlineStr">
        <is>
          <t>JB-FS-GT2-SOL01</t>
        </is>
      </c>
      <c r="H102" s="12" t="inlineStr">
        <is>
          <t>FS-GT2: CO2 fire-suppression skid</t>
        </is>
      </c>
      <c r="I102" s="12" t="inlineStr">
        <is>
          <t>Control</t>
        </is>
      </c>
      <c r="J102" s="12" t="inlineStr">
        <is>
          <t>Control cable 600 V Type TC-ER, Cu #14 AWG, PVC jacket</t>
        </is>
      </c>
      <c r="K102" s="12" t="inlineStr">
        <is>
          <t>CT|25/C|14</t>
        </is>
      </c>
      <c r="L102" s="12" t="inlineStr">
        <is>
          <t>25/C</t>
        </is>
      </c>
      <c r="M102" s="12" t="inlineStr">
        <is>
          <t>14</t>
        </is>
      </c>
      <c r="N102" s="12" t="n">
        <v>1</v>
      </c>
      <c r="O102" s="12" t="n">
        <v>1</v>
      </c>
      <c r="P102" s="12" t="n"/>
      <c r="Q102" s="12" t="n"/>
      <c r="R102" s="12" t="n"/>
      <c r="S102" s="12" t="inlineStr">
        <is>
          <t>Tray</t>
        </is>
      </c>
      <c r="T102" s="16" t="n">
        <v>1102</v>
      </c>
      <c r="U102" s="16" t="n">
        <v>198</v>
      </c>
      <c r="V102" s="16">
        <f>ROUNDUP((T102+U102+2*'Read Me'!$B$13)*(1+'Read Me'!$B$12),-1)</f>
        <v/>
      </c>
      <c r="W102" s="16">
        <f>V102*N102*O102</f>
        <v/>
      </c>
      <c r="X102" s="12">
        <f>IF(LEFT(I102,2)="MV",2*N102*IF(L102="1/C",O102,1),0)</f>
        <v/>
      </c>
      <c r="Y102" s="12">
        <f>IF(OR(LEFT(K102,4)="LVAX",LEFT(K102,6)="MV15AX",LEFT(K102,4)="CTAX",LEFT(K102,2)="W|"),2*N102*O102,0)</f>
        <v/>
      </c>
      <c r="Z102" s="12" t="inlineStr"/>
      <c r="AA102" s="12">
        <f>N102*O102</f>
        <v/>
      </c>
    </row>
    <row r="103">
      <c r="A103" s="12" t="inlineStr">
        <is>
          <t>A-C-0091</t>
        </is>
      </c>
      <c r="B103" s="12" t="inlineStr">
        <is>
          <t>A</t>
        </is>
      </c>
      <c r="C103" s="12" t="inlineStr">
        <is>
          <t>Power block</t>
        </is>
      </c>
      <c r="D103" s="12" t="inlineStr">
        <is>
          <t>Solenoid to JB JB-FS-GT3-SOL01: 8 x 2/C (field cables)</t>
        </is>
      </c>
      <c r="E103" s="12" t="inlineStr">
        <is>
          <t>FS-GT3</t>
        </is>
      </c>
      <c r="F103" s="12" t="inlineStr">
        <is>
          <t>FS-GT3: CO2 fire-suppression skid</t>
        </is>
      </c>
      <c r="G103" s="12" t="inlineStr">
        <is>
          <t>JB-FS-GT3-SOL01</t>
        </is>
      </c>
      <c r="H103" s="12" t="inlineStr">
        <is>
          <t>FS-GT3: CO2 fire-suppression skid</t>
        </is>
      </c>
      <c r="I103" s="12" t="inlineStr">
        <is>
          <t>Control</t>
        </is>
      </c>
      <c r="J103" s="12" t="inlineStr">
        <is>
          <t>Control cable 600 V Type TC-ER, Cu #14 AWG, PVC jacket</t>
        </is>
      </c>
      <c r="K103" s="12" t="inlineStr">
        <is>
          <t>CT|2/C|14</t>
        </is>
      </c>
      <c r="L103" s="12" t="inlineStr">
        <is>
          <t>2/C</t>
        </is>
      </c>
      <c r="M103" s="12" t="inlineStr">
        <is>
          <t>14</t>
        </is>
      </c>
      <c r="N103" s="12" t="n">
        <v>8</v>
      </c>
      <c r="O103" s="12" t="n">
        <v>1</v>
      </c>
      <c r="P103" s="12" t="n"/>
      <c r="Q103" s="12" t="n"/>
      <c r="R103" s="12" t="n"/>
      <c r="S103" s="12" t="inlineStr">
        <is>
          <t>Tray / conduit</t>
        </is>
      </c>
      <c r="T103" s="16" t="n">
        <v>54</v>
      </c>
      <c r="U103" s="16" t="n">
        <v>10</v>
      </c>
      <c r="V103" s="16">
        <f>ROUNDUP((T103+U103+2*'Read Me'!$B$13)*(1+'Read Me'!$B$12),-1)</f>
        <v/>
      </c>
      <c r="W103" s="16">
        <f>V103*N103*O103</f>
        <v/>
      </c>
      <c r="X103" s="12">
        <f>IF(LEFT(I103,2)="MV",2*N103*IF(L103="1/C",O103,1),0)</f>
        <v/>
      </c>
      <c r="Y103" s="12">
        <f>IF(OR(LEFT(K103,4)="LVAX",LEFT(K103,6)="MV15AX",LEFT(K103,4)="CTAX",LEFT(K103,2)="W|"),2*N103*O103,0)</f>
        <v/>
      </c>
      <c r="Z103" s="12" t="inlineStr">
        <is>
          <t>device-to-JB field wiring, one cable per device</t>
        </is>
      </c>
      <c r="AA103" s="12">
        <f>N103*O103</f>
        <v/>
      </c>
    </row>
    <row r="104">
      <c r="A104" s="12" t="inlineStr">
        <is>
          <t>A-C-0092</t>
        </is>
      </c>
      <c r="B104" s="12" t="inlineStr">
        <is>
          <t>A</t>
        </is>
      </c>
      <c r="C104" s="12" t="inlineStr">
        <is>
          <t>Power block</t>
        </is>
      </c>
      <c r="D104" s="12" t="inlineStr">
        <is>
          <t>Home run JB-FS-GT3-SOL01 to the control / marshalling room</t>
        </is>
      </c>
      <c r="E104" s="12" t="inlineStr">
        <is>
          <t>R2C</t>
        </is>
      </c>
      <c r="F104" s="12" t="inlineStr">
        <is>
          <t>R2C: unit / HRSG electrical e-house (32 x 40 ft)</t>
        </is>
      </c>
      <c r="G104" s="12" t="inlineStr">
        <is>
          <t>JB-FS-GT3-SOL01</t>
        </is>
      </c>
      <c r="H104" s="12" t="inlineStr">
        <is>
          <t>FS-GT3: CO2 fire-suppression skid</t>
        </is>
      </c>
      <c r="I104" s="12" t="inlineStr">
        <is>
          <t>Control</t>
        </is>
      </c>
      <c r="J104" s="12" t="inlineStr">
        <is>
          <t>Control cable 600 V Type TC-ER, Cu #14 AWG, PVC jacket</t>
        </is>
      </c>
      <c r="K104" s="12" t="inlineStr">
        <is>
          <t>CT|25/C|14</t>
        </is>
      </c>
      <c r="L104" s="12" t="inlineStr">
        <is>
          <t>25/C</t>
        </is>
      </c>
      <c r="M104" s="12" t="inlineStr">
        <is>
          <t>14</t>
        </is>
      </c>
      <c r="N104" s="12" t="n">
        <v>1</v>
      </c>
      <c r="O104" s="12" t="n">
        <v>1</v>
      </c>
      <c r="P104" s="12" t="n"/>
      <c r="Q104" s="12" t="n"/>
      <c r="R104" s="12" t="n"/>
      <c r="S104" s="12" t="inlineStr">
        <is>
          <t>Tray</t>
        </is>
      </c>
      <c r="T104" s="16" t="n">
        <v>908</v>
      </c>
      <c r="U104" s="16" t="n">
        <v>238</v>
      </c>
      <c r="V104" s="16">
        <f>ROUNDUP((T104+U104+2*'Read Me'!$B$13)*(1+'Read Me'!$B$12),-1)</f>
        <v/>
      </c>
      <c r="W104" s="16">
        <f>V104*N104*O104</f>
        <v/>
      </c>
      <c r="X104" s="12">
        <f>IF(LEFT(I104,2)="MV",2*N104*IF(L104="1/C",O104,1),0)</f>
        <v/>
      </c>
      <c r="Y104" s="12">
        <f>IF(OR(LEFT(K104,4)="LVAX",LEFT(K104,6)="MV15AX",LEFT(K104,4)="CTAX",LEFT(K104,2)="W|"),2*N104*O104,0)</f>
        <v/>
      </c>
      <c r="Z104" s="12" t="inlineStr"/>
      <c r="AA104" s="12">
        <f>N104*O104</f>
        <v/>
      </c>
    </row>
    <row r="105">
      <c r="A105" s="12" t="inlineStr">
        <is>
          <t>A-C-0093</t>
        </is>
      </c>
      <c r="B105" s="12" t="inlineStr">
        <is>
          <t>A</t>
        </is>
      </c>
      <c r="C105" s="12" t="inlineStr">
        <is>
          <t>Power block</t>
        </is>
      </c>
      <c r="D105" s="12" t="inlineStr">
        <is>
          <t>Control</t>
        </is>
      </c>
      <c r="E105" s="12" t="inlineStr">
        <is>
          <t>R2A</t>
        </is>
      </c>
      <c r="F105" s="12" t="inlineStr">
        <is>
          <t>R2A: unit / HRSG electrical e-house (32 x 40 ft)</t>
        </is>
      </c>
      <c r="G105" s="12" t="inlineStr">
        <is>
          <t>GCB-1</t>
        </is>
      </c>
      <c r="H105" s="12" t="inlineStr">
        <is>
          <t>GCB-1: generator circuit breaker</t>
        </is>
      </c>
      <c r="I105" s="12" t="inlineStr">
        <is>
          <t>Control</t>
        </is>
      </c>
      <c r="J105" s="12" t="inlineStr">
        <is>
          <t>Control cable 600 V Type TC-ER, Cu #14 AWG, PVC jacket</t>
        </is>
      </c>
      <c r="K105" s="12" t="inlineStr">
        <is>
          <t>CT|12/C|14</t>
        </is>
      </c>
      <c r="L105" s="12" t="inlineStr">
        <is>
          <t>12/C</t>
        </is>
      </c>
      <c r="M105" s="12" t="inlineStr">
        <is>
          <t>14</t>
        </is>
      </c>
      <c r="N105" s="12" t="n">
        <v>1</v>
      </c>
      <c r="O105" s="12" t="n">
        <v>1</v>
      </c>
      <c r="P105" s="12" t="n"/>
      <c r="Q105" s="12" t="n"/>
      <c r="R105" s="12" t="n"/>
      <c r="S105" s="12" t="inlineStr">
        <is>
          <t>Tray</t>
        </is>
      </c>
      <c r="T105" s="16" t="n">
        <v>373</v>
      </c>
      <c r="U105" s="16" t="n">
        <v>118</v>
      </c>
      <c r="V105" s="16">
        <f>ROUNDUP((T105+U105+2*'Read Me'!$B$13)*(1+'Read Me'!$B$12),-1)</f>
        <v/>
      </c>
      <c r="W105" s="16">
        <f>V105*N105*O105</f>
        <v/>
      </c>
      <c r="X105" s="12">
        <f>IF(LEFT(I105,2)="MV",2*N105*IF(L105="1/C",O105,1),0)</f>
        <v/>
      </c>
      <c r="Y105" s="12">
        <f>IF(OR(LEFT(K105,4)="LVAX",LEFT(K105,6)="MV15AX",LEFT(K105,4)="CTAX",LEFT(K105,2)="W|"),2*N105*O105,0)</f>
        <v/>
      </c>
      <c r="Z105" s="12" t="inlineStr"/>
      <c r="AA105" s="12">
        <f>N105*O105</f>
        <v/>
      </c>
    </row>
    <row r="106">
      <c r="A106" s="12" t="inlineStr">
        <is>
          <t>A-C-0094</t>
        </is>
      </c>
      <c r="B106" s="12" t="inlineStr">
        <is>
          <t>A</t>
        </is>
      </c>
      <c r="C106" s="12" t="inlineStr">
        <is>
          <t>Power block</t>
        </is>
      </c>
      <c r="D106" s="12" t="inlineStr">
        <is>
          <t>Control</t>
        </is>
      </c>
      <c r="E106" s="12" t="inlineStr">
        <is>
          <t>R2A</t>
        </is>
      </c>
      <c r="F106" s="12" t="inlineStr">
        <is>
          <t>R2A: unit / HRSG electrical e-house (32 x 40 ft)</t>
        </is>
      </c>
      <c r="G106" s="12" t="inlineStr">
        <is>
          <t>GCB-1</t>
        </is>
      </c>
      <c r="H106" s="12" t="inlineStr">
        <is>
          <t>GCB-1: generator circuit breaker</t>
        </is>
      </c>
      <c r="I106" s="12" t="inlineStr">
        <is>
          <t>Control</t>
        </is>
      </c>
      <c r="J106" s="12" t="inlineStr">
        <is>
          <t>Control cable 600 V Type TC-ER, Cu #14 AWG, PVC jacket</t>
        </is>
      </c>
      <c r="K106" s="12" t="inlineStr">
        <is>
          <t>CT|12/C|14</t>
        </is>
      </c>
      <c r="L106" s="12" t="inlineStr">
        <is>
          <t>12/C</t>
        </is>
      </c>
      <c r="M106" s="12" t="inlineStr">
        <is>
          <t>14</t>
        </is>
      </c>
      <c r="N106" s="12" t="n">
        <v>1</v>
      </c>
      <c r="O106" s="12" t="n">
        <v>1</v>
      </c>
      <c r="P106" s="12" t="n"/>
      <c r="Q106" s="12" t="n"/>
      <c r="R106" s="12" t="n"/>
      <c r="S106" s="12" t="inlineStr">
        <is>
          <t>Tray</t>
        </is>
      </c>
      <c r="T106" s="16" t="n">
        <v>373</v>
      </c>
      <c r="U106" s="16" t="n">
        <v>118</v>
      </c>
      <c r="V106" s="16">
        <f>ROUNDUP((T106+U106+2*'Read Me'!$B$13)*(1+'Read Me'!$B$12),-1)</f>
        <v/>
      </c>
      <c r="W106" s="16">
        <f>V106*N106*O106</f>
        <v/>
      </c>
      <c r="X106" s="12">
        <f>IF(LEFT(I106,2)="MV",2*N106*IF(L106="1/C",O106,1),0)</f>
        <v/>
      </c>
      <c r="Y106" s="12">
        <f>IF(OR(LEFT(K106,4)="LVAX",LEFT(K106,6)="MV15AX",LEFT(K106,4)="CTAX",LEFT(K106,2)="W|"),2*N106*O106,0)</f>
        <v/>
      </c>
      <c r="Z106" s="12" t="inlineStr"/>
      <c r="AA106" s="12">
        <f>N106*O106</f>
        <v/>
      </c>
    </row>
    <row r="107">
      <c r="A107" s="12" t="inlineStr">
        <is>
          <t>A-C-0095</t>
        </is>
      </c>
      <c r="B107" s="12" t="inlineStr">
        <is>
          <t>A</t>
        </is>
      </c>
      <c r="C107" s="12" t="inlineStr">
        <is>
          <t>Power block</t>
        </is>
      </c>
      <c r="D107" s="12" t="inlineStr">
        <is>
          <t>Control</t>
        </is>
      </c>
      <c r="E107" s="12" t="inlineStr">
        <is>
          <t>R2A</t>
        </is>
      </c>
      <c r="F107" s="12" t="inlineStr">
        <is>
          <t>R2A: unit / HRSG electrical e-house (32 x 40 ft)</t>
        </is>
      </c>
      <c r="G107" s="12" t="inlineStr">
        <is>
          <t>GCB-1</t>
        </is>
      </c>
      <c r="H107" s="12" t="inlineStr">
        <is>
          <t>GCB-1: generator circuit breaker</t>
        </is>
      </c>
      <c r="I107" s="12" t="inlineStr">
        <is>
          <t>Control</t>
        </is>
      </c>
      <c r="J107" s="12" t="inlineStr">
        <is>
          <t>Control cable 600 V Type TC-ER, Cu #14 AWG, PVC jacket</t>
        </is>
      </c>
      <c r="K107" s="12" t="inlineStr">
        <is>
          <t>CT|12/C|14</t>
        </is>
      </c>
      <c r="L107" s="12" t="inlineStr">
        <is>
          <t>12/C</t>
        </is>
      </c>
      <c r="M107" s="12" t="inlineStr">
        <is>
          <t>14</t>
        </is>
      </c>
      <c r="N107" s="12" t="n">
        <v>1</v>
      </c>
      <c r="O107" s="12" t="n">
        <v>1</v>
      </c>
      <c r="P107" s="12" t="n"/>
      <c r="Q107" s="12" t="n"/>
      <c r="R107" s="12" t="n"/>
      <c r="S107" s="12" t="inlineStr">
        <is>
          <t>Tray</t>
        </is>
      </c>
      <c r="T107" s="16" t="n">
        <v>373</v>
      </c>
      <c r="U107" s="16" t="n">
        <v>118</v>
      </c>
      <c r="V107" s="16">
        <f>ROUNDUP((T107+U107+2*'Read Me'!$B$13)*(1+'Read Me'!$B$12),-1)</f>
        <v/>
      </c>
      <c r="W107" s="16">
        <f>V107*N107*O107</f>
        <v/>
      </c>
      <c r="X107" s="12">
        <f>IF(LEFT(I107,2)="MV",2*N107*IF(L107="1/C",O107,1),0)</f>
        <v/>
      </c>
      <c r="Y107" s="12">
        <f>IF(OR(LEFT(K107,4)="LVAX",LEFT(K107,6)="MV15AX",LEFT(K107,4)="CTAX",LEFT(K107,2)="W|"),2*N107*O107,0)</f>
        <v/>
      </c>
      <c r="Z107" s="12" t="inlineStr"/>
      <c r="AA107" s="12">
        <f>N107*O107</f>
        <v/>
      </c>
    </row>
    <row r="108">
      <c r="A108" s="12" t="inlineStr">
        <is>
          <t>A-C-0096</t>
        </is>
      </c>
      <c r="B108" s="12" t="inlineStr">
        <is>
          <t>A</t>
        </is>
      </c>
      <c r="C108" s="12" t="inlineStr">
        <is>
          <t>Power block</t>
        </is>
      </c>
      <c r="D108" s="12" t="inlineStr">
        <is>
          <t>CT / VT</t>
        </is>
      </c>
      <c r="E108" s="12" t="inlineStr">
        <is>
          <t>R2A</t>
        </is>
      </c>
      <c r="F108" s="12" t="inlineStr">
        <is>
          <t>R2A: unit / HRSG electrical e-house (32 x 40 ft)</t>
        </is>
      </c>
      <c r="G108" s="12" t="inlineStr">
        <is>
          <t>GCB-1</t>
        </is>
      </c>
      <c r="H108" s="12" t="inlineStr">
        <is>
          <t>GCB-1: generator circuit breaker</t>
        </is>
      </c>
      <c r="I108" s="12" t="inlineStr">
        <is>
          <t>Control</t>
        </is>
      </c>
      <c r="J108" s="12" t="inlineStr">
        <is>
          <t>Control cable 600 V Type TC-ER, Cu #10 AWG (CT / VT circuits)</t>
        </is>
      </c>
      <c r="K108" s="12" t="inlineStr">
        <is>
          <t>CTCT|4/C|10</t>
        </is>
      </c>
      <c r="L108" s="12" t="inlineStr">
        <is>
          <t>4/C</t>
        </is>
      </c>
      <c r="M108" s="12" t="inlineStr">
        <is>
          <t>10</t>
        </is>
      </c>
      <c r="N108" s="12" t="n">
        <v>1</v>
      </c>
      <c r="O108" s="12" t="n">
        <v>1</v>
      </c>
      <c r="P108" s="12" t="n"/>
      <c r="Q108" s="12" t="n"/>
      <c r="R108" s="12" t="n"/>
      <c r="S108" s="12" t="inlineStr">
        <is>
          <t>Tray</t>
        </is>
      </c>
      <c r="T108" s="16" t="n">
        <v>373</v>
      </c>
      <c r="U108" s="16" t="n">
        <v>118</v>
      </c>
      <c r="V108" s="16">
        <f>ROUNDUP((T108+U108+2*'Read Me'!$B$13)*(1+'Read Me'!$B$12),-1)</f>
        <v/>
      </c>
      <c r="W108" s="16">
        <f>V108*N108*O108</f>
        <v/>
      </c>
      <c r="X108" s="12">
        <f>IF(LEFT(I108,2)="MV",2*N108*IF(L108="1/C",O108,1),0)</f>
        <v/>
      </c>
      <c r="Y108" s="12">
        <f>IF(OR(LEFT(K108,4)="LVAX",LEFT(K108,6)="MV15AX",LEFT(K108,4)="CTAX",LEFT(K108,2)="W|"),2*N108*O108,0)</f>
        <v/>
      </c>
      <c r="Z108" s="12" t="inlineStr"/>
      <c r="AA108" s="12">
        <f>N108*O108</f>
        <v/>
      </c>
    </row>
    <row r="109">
      <c r="A109" s="12" t="inlineStr">
        <is>
          <t>A-C-0097</t>
        </is>
      </c>
      <c r="B109" s="12" t="inlineStr">
        <is>
          <t>A</t>
        </is>
      </c>
      <c r="C109" s="12" t="inlineStr">
        <is>
          <t>Power block</t>
        </is>
      </c>
      <c r="D109" s="12" t="inlineStr">
        <is>
          <t>CT / VT</t>
        </is>
      </c>
      <c r="E109" s="12" t="inlineStr">
        <is>
          <t>R2A</t>
        </is>
      </c>
      <c r="F109" s="12" t="inlineStr">
        <is>
          <t>R2A: unit / HRSG electrical e-house (32 x 40 ft)</t>
        </is>
      </c>
      <c r="G109" s="12" t="inlineStr">
        <is>
          <t>GCB-1</t>
        </is>
      </c>
      <c r="H109" s="12" t="inlineStr">
        <is>
          <t>GCB-1: generator circuit breaker</t>
        </is>
      </c>
      <c r="I109" s="12" t="inlineStr">
        <is>
          <t>Control</t>
        </is>
      </c>
      <c r="J109" s="12" t="inlineStr">
        <is>
          <t>Control cable 600 V Type TC-ER, Cu #10 AWG (CT / VT circuits)</t>
        </is>
      </c>
      <c r="K109" s="12" t="inlineStr">
        <is>
          <t>CTCT|4/C|10</t>
        </is>
      </c>
      <c r="L109" s="12" t="inlineStr">
        <is>
          <t>4/C</t>
        </is>
      </c>
      <c r="M109" s="12" t="inlineStr">
        <is>
          <t>10</t>
        </is>
      </c>
      <c r="N109" s="12" t="n">
        <v>1</v>
      </c>
      <c r="O109" s="12" t="n">
        <v>1</v>
      </c>
      <c r="P109" s="12" t="n"/>
      <c r="Q109" s="12" t="n"/>
      <c r="R109" s="12" t="n"/>
      <c r="S109" s="12" t="inlineStr">
        <is>
          <t>Tray</t>
        </is>
      </c>
      <c r="T109" s="16" t="n">
        <v>373</v>
      </c>
      <c r="U109" s="16" t="n">
        <v>118</v>
      </c>
      <c r="V109" s="16">
        <f>ROUNDUP((T109+U109+2*'Read Me'!$B$13)*(1+'Read Me'!$B$12),-1)</f>
        <v/>
      </c>
      <c r="W109" s="16">
        <f>V109*N109*O109</f>
        <v/>
      </c>
      <c r="X109" s="12">
        <f>IF(LEFT(I109,2)="MV",2*N109*IF(L109="1/C",O109,1),0)</f>
        <v/>
      </c>
      <c r="Y109" s="12">
        <f>IF(OR(LEFT(K109,4)="LVAX",LEFT(K109,6)="MV15AX",LEFT(K109,4)="CTAX",LEFT(K109,2)="W|"),2*N109*O109,0)</f>
        <v/>
      </c>
      <c r="Z109" s="12" t="inlineStr"/>
      <c r="AA109" s="12">
        <f>N109*O109</f>
        <v/>
      </c>
    </row>
    <row r="110">
      <c r="A110" s="12" t="inlineStr">
        <is>
          <t>A-C-0098</t>
        </is>
      </c>
      <c r="B110" s="12" t="inlineStr">
        <is>
          <t>A</t>
        </is>
      </c>
      <c r="C110" s="12" t="inlineStr">
        <is>
          <t>Power block</t>
        </is>
      </c>
      <c r="D110" s="12" t="inlineStr">
        <is>
          <t>CT / VT</t>
        </is>
      </c>
      <c r="E110" s="12" t="inlineStr">
        <is>
          <t>R2A</t>
        </is>
      </c>
      <c r="F110" s="12" t="inlineStr">
        <is>
          <t>R2A: unit / HRSG electrical e-house (32 x 40 ft)</t>
        </is>
      </c>
      <c r="G110" s="12" t="inlineStr">
        <is>
          <t>GCB-1</t>
        </is>
      </c>
      <c r="H110" s="12" t="inlineStr">
        <is>
          <t>GCB-1: generator circuit breaker</t>
        </is>
      </c>
      <c r="I110" s="12" t="inlineStr">
        <is>
          <t>Control</t>
        </is>
      </c>
      <c r="J110" s="12" t="inlineStr">
        <is>
          <t>Control cable 600 V Type TC-ER, Cu #10 AWG (CT / VT circuits)</t>
        </is>
      </c>
      <c r="K110" s="12" t="inlineStr">
        <is>
          <t>CTCT|4/C|10</t>
        </is>
      </c>
      <c r="L110" s="12" t="inlineStr">
        <is>
          <t>4/C</t>
        </is>
      </c>
      <c r="M110" s="12" t="inlineStr">
        <is>
          <t>10</t>
        </is>
      </c>
      <c r="N110" s="12" t="n">
        <v>1</v>
      </c>
      <c r="O110" s="12" t="n">
        <v>1</v>
      </c>
      <c r="P110" s="12" t="n"/>
      <c r="Q110" s="12" t="n"/>
      <c r="R110" s="12" t="n"/>
      <c r="S110" s="12" t="inlineStr">
        <is>
          <t>Tray</t>
        </is>
      </c>
      <c r="T110" s="16" t="n">
        <v>373</v>
      </c>
      <c r="U110" s="16" t="n">
        <v>118</v>
      </c>
      <c r="V110" s="16">
        <f>ROUNDUP((T110+U110+2*'Read Me'!$B$13)*(1+'Read Me'!$B$12),-1)</f>
        <v/>
      </c>
      <c r="W110" s="16">
        <f>V110*N110*O110</f>
        <v/>
      </c>
      <c r="X110" s="12">
        <f>IF(LEFT(I110,2)="MV",2*N110*IF(L110="1/C",O110,1),0)</f>
        <v/>
      </c>
      <c r="Y110" s="12">
        <f>IF(OR(LEFT(K110,4)="LVAX",LEFT(K110,6)="MV15AX",LEFT(K110,4)="CTAX",LEFT(K110,2)="W|"),2*N110*O110,0)</f>
        <v/>
      </c>
      <c r="Z110" s="12" t="inlineStr"/>
      <c r="AA110" s="12">
        <f>N110*O110</f>
        <v/>
      </c>
    </row>
    <row r="111">
      <c r="A111" s="12" t="inlineStr">
        <is>
          <t>A-C-0099</t>
        </is>
      </c>
      <c r="B111" s="12" t="inlineStr">
        <is>
          <t>A</t>
        </is>
      </c>
      <c r="C111" s="12" t="inlineStr">
        <is>
          <t>Power block</t>
        </is>
      </c>
      <c r="D111" s="12" t="inlineStr">
        <is>
          <t>CT / VT</t>
        </is>
      </c>
      <c r="E111" s="12" t="inlineStr">
        <is>
          <t>R2A</t>
        </is>
      </c>
      <c r="F111" s="12" t="inlineStr">
        <is>
          <t>R2A: unit / HRSG electrical e-house (32 x 40 ft)</t>
        </is>
      </c>
      <c r="G111" s="12" t="inlineStr">
        <is>
          <t>GCB-1</t>
        </is>
      </c>
      <c r="H111" s="12" t="inlineStr">
        <is>
          <t>GCB-1: generator circuit breaker</t>
        </is>
      </c>
      <c r="I111" s="12" t="inlineStr">
        <is>
          <t>Control</t>
        </is>
      </c>
      <c r="J111" s="12" t="inlineStr">
        <is>
          <t>Control cable 600 V Type TC-ER, Cu #10 AWG (CT / VT circuits)</t>
        </is>
      </c>
      <c r="K111" s="12" t="inlineStr">
        <is>
          <t>CTCT|4/C|10</t>
        </is>
      </c>
      <c r="L111" s="12" t="inlineStr">
        <is>
          <t>4/C</t>
        </is>
      </c>
      <c r="M111" s="12" t="inlineStr">
        <is>
          <t>10</t>
        </is>
      </c>
      <c r="N111" s="12" t="n">
        <v>1</v>
      </c>
      <c r="O111" s="12" t="n">
        <v>1</v>
      </c>
      <c r="P111" s="12" t="n"/>
      <c r="Q111" s="12" t="n"/>
      <c r="R111" s="12" t="n"/>
      <c r="S111" s="12" t="inlineStr">
        <is>
          <t>Tray</t>
        </is>
      </c>
      <c r="T111" s="16" t="n">
        <v>373</v>
      </c>
      <c r="U111" s="16" t="n">
        <v>118</v>
      </c>
      <c r="V111" s="16">
        <f>ROUNDUP((T111+U111+2*'Read Me'!$B$13)*(1+'Read Me'!$B$12),-1)</f>
        <v/>
      </c>
      <c r="W111" s="16">
        <f>V111*N111*O111</f>
        <v/>
      </c>
      <c r="X111" s="12">
        <f>IF(LEFT(I111,2)="MV",2*N111*IF(L111="1/C",O111,1),0)</f>
        <v/>
      </c>
      <c r="Y111" s="12">
        <f>IF(OR(LEFT(K111,4)="LVAX",LEFT(K111,6)="MV15AX",LEFT(K111,4)="CTAX",LEFT(K111,2)="W|"),2*N111*O111,0)</f>
        <v/>
      </c>
      <c r="Z111" s="12" t="inlineStr"/>
      <c r="AA111" s="12">
        <f>N111*O111</f>
        <v/>
      </c>
    </row>
    <row r="112">
      <c r="A112" s="12" t="inlineStr">
        <is>
          <t>A-C-0100</t>
        </is>
      </c>
      <c r="B112" s="12" t="inlineStr">
        <is>
          <t>A</t>
        </is>
      </c>
      <c r="C112" s="12" t="inlineStr">
        <is>
          <t>Power block</t>
        </is>
      </c>
      <c r="D112" s="12" t="inlineStr">
        <is>
          <t>Control</t>
        </is>
      </c>
      <c r="E112" s="12" t="inlineStr">
        <is>
          <t>R2B</t>
        </is>
      </c>
      <c r="F112" s="12" t="inlineStr">
        <is>
          <t>R2B: unit / HRSG electrical e-house (32 x 40 ft)</t>
        </is>
      </c>
      <c r="G112" s="12" t="inlineStr">
        <is>
          <t>GCB-2</t>
        </is>
      </c>
      <c r="H112" s="12" t="inlineStr">
        <is>
          <t>GCB-2: generator circuit breaker</t>
        </is>
      </c>
      <c r="I112" s="12" t="inlineStr">
        <is>
          <t>Control</t>
        </is>
      </c>
      <c r="J112" s="12" t="inlineStr">
        <is>
          <t>Control cable 600 V Type TC-ER, Cu #14 AWG, PVC jacket</t>
        </is>
      </c>
      <c r="K112" s="12" t="inlineStr">
        <is>
          <t>CT|12/C|14</t>
        </is>
      </c>
      <c r="L112" s="12" t="inlineStr">
        <is>
          <t>12/C</t>
        </is>
      </c>
      <c r="M112" s="12" t="inlineStr">
        <is>
          <t>14</t>
        </is>
      </c>
      <c r="N112" s="12" t="n">
        <v>1</v>
      </c>
      <c r="O112" s="12" t="n">
        <v>1</v>
      </c>
      <c r="P112" s="12" t="n"/>
      <c r="Q112" s="12" t="n"/>
      <c r="R112" s="12" t="n"/>
      <c r="S112" s="12" t="inlineStr">
        <is>
          <t>Tray</t>
        </is>
      </c>
      <c r="T112" s="16" t="n">
        <v>1247</v>
      </c>
      <c r="U112" s="16" t="n">
        <v>208</v>
      </c>
      <c r="V112" s="16">
        <f>ROUNDUP((T112+U112+2*'Read Me'!$B$13)*(1+'Read Me'!$B$12),-1)</f>
        <v/>
      </c>
      <c r="W112" s="16">
        <f>V112*N112*O112</f>
        <v/>
      </c>
      <c r="X112" s="12">
        <f>IF(LEFT(I112,2)="MV",2*N112*IF(L112="1/C",O112,1),0)</f>
        <v/>
      </c>
      <c r="Y112" s="12">
        <f>IF(OR(LEFT(K112,4)="LVAX",LEFT(K112,6)="MV15AX",LEFT(K112,4)="CTAX",LEFT(K112,2)="W|"),2*N112*O112,0)</f>
        <v/>
      </c>
      <c r="Z112" s="12" t="inlineStr"/>
      <c r="AA112" s="12">
        <f>N112*O112</f>
        <v/>
      </c>
    </row>
    <row r="113">
      <c r="A113" s="12" t="inlineStr">
        <is>
          <t>A-C-0101</t>
        </is>
      </c>
      <c r="B113" s="12" t="inlineStr">
        <is>
          <t>A</t>
        </is>
      </c>
      <c r="C113" s="12" t="inlineStr">
        <is>
          <t>Power block</t>
        </is>
      </c>
      <c r="D113" s="12" t="inlineStr">
        <is>
          <t>Control</t>
        </is>
      </c>
      <c r="E113" s="12" t="inlineStr">
        <is>
          <t>R2B</t>
        </is>
      </c>
      <c r="F113" s="12" t="inlineStr">
        <is>
          <t>R2B: unit / HRSG electrical e-house (32 x 40 ft)</t>
        </is>
      </c>
      <c r="G113" s="12" t="inlineStr">
        <is>
          <t>GCB-2</t>
        </is>
      </c>
      <c r="H113" s="12" t="inlineStr">
        <is>
          <t>GCB-2: generator circuit breaker</t>
        </is>
      </c>
      <c r="I113" s="12" t="inlineStr">
        <is>
          <t>Control</t>
        </is>
      </c>
      <c r="J113" s="12" t="inlineStr">
        <is>
          <t>Control cable 600 V Type TC-ER, Cu #14 AWG, PVC jacket</t>
        </is>
      </c>
      <c r="K113" s="12" t="inlineStr">
        <is>
          <t>CT|12/C|14</t>
        </is>
      </c>
      <c r="L113" s="12" t="inlineStr">
        <is>
          <t>12/C</t>
        </is>
      </c>
      <c r="M113" s="12" t="inlineStr">
        <is>
          <t>14</t>
        </is>
      </c>
      <c r="N113" s="12" t="n">
        <v>1</v>
      </c>
      <c r="O113" s="12" t="n">
        <v>1</v>
      </c>
      <c r="P113" s="12" t="n"/>
      <c r="Q113" s="12" t="n"/>
      <c r="R113" s="12" t="n"/>
      <c r="S113" s="12" t="inlineStr">
        <is>
          <t>Tray</t>
        </is>
      </c>
      <c r="T113" s="16" t="n">
        <v>1247</v>
      </c>
      <c r="U113" s="16" t="n">
        <v>208</v>
      </c>
      <c r="V113" s="16">
        <f>ROUNDUP((T113+U113+2*'Read Me'!$B$13)*(1+'Read Me'!$B$12),-1)</f>
        <v/>
      </c>
      <c r="W113" s="16">
        <f>V113*N113*O113</f>
        <v/>
      </c>
      <c r="X113" s="12">
        <f>IF(LEFT(I113,2)="MV",2*N113*IF(L113="1/C",O113,1),0)</f>
        <v/>
      </c>
      <c r="Y113" s="12">
        <f>IF(OR(LEFT(K113,4)="LVAX",LEFT(K113,6)="MV15AX",LEFT(K113,4)="CTAX",LEFT(K113,2)="W|"),2*N113*O113,0)</f>
        <v/>
      </c>
      <c r="Z113" s="12" t="inlineStr"/>
      <c r="AA113" s="12">
        <f>N113*O113</f>
        <v/>
      </c>
    </row>
    <row r="114">
      <c r="A114" s="12" t="inlineStr">
        <is>
          <t>A-C-0102</t>
        </is>
      </c>
      <c r="B114" s="12" t="inlineStr">
        <is>
          <t>A</t>
        </is>
      </c>
      <c r="C114" s="12" t="inlineStr">
        <is>
          <t>Power block</t>
        </is>
      </c>
      <c r="D114" s="12" t="inlineStr">
        <is>
          <t>Control</t>
        </is>
      </c>
      <c r="E114" s="12" t="inlineStr">
        <is>
          <t>R2B</t>
        </is>
      </c>
      <c r="F114" s="12" t="inlineStr">
        <is>
          <t>R2B: unit / HRSG electrical e-house (32 x 40 ft)</t>
        </is>
      </c>
      <c r="G114" s="12" t="inlineStr">
        <is>
          <t>GCB-2</t>
        </is>
      </c>
      <c r="H114" s="12" t="inlineStr">
        <is>
          <t>GCB-2: generator circuit breaker</t>
        </is>
      </c>
      <c r="I114" s="12" t="inlineStr">
        <is>
          <t>Control</t>
        </is>
      </c>
      <c r="J114" s="12" t="inlineStr">
        <is>
          <t>Control cable 600 V Type TC-ER, Cu #14 AWG, PVC jacket</t>
        </is>
      </c>
      <c r="K114" s="12" t="inlineStr">
        <is>
          <t>CT|12/C|14</t>
        </is>
      </c>
      <c r="L114" s="12" t="inlineStr">
        <is>
          <t>12/C</t>
        </is>
      </c>
      <c r="M114" s="12" t="inlineStr">
        <is>
          <t>14</t>
        </is>
      </c>
      <c r="N114" s="12" t="n">
        <v>1</v>
      </c>
      <c r="O114" s="12" t="n">
        <v>1</v>
      </c>
      <c r="P114" s="12" t="n"/>
      <c r="Q114" s="12" t="n"/>
      <c r="R114" s="12" t="n"/>
      <c r="S114" s="12" t="inlineStr">
        <is>
          <t>Tray</t>
        </is>
      </c>
      <c r="T114" s="16" t="n">
        <v>1247</v>
      </c>
      <c r="U114" s="16" t="n">
        <v>208</v>
      </c>
      <c r="V114" s="16">
        <f>ROUNDUP((T114+U114+2*'Read Me'!$B$13)*(1+'Read Me'!$B$12),-1)</f>
        <v/>
      </c>
      <c r="W114" s="16">
        <f>V114*N114*O114</f>
        <v/>
      </c>
      <c r="X114" s="12">
        <f>IF(LEFT(I114,2)="MV",2*N114*IF(L114="1/C",O114,1),0)</f>
        <v/>
      </c>
      <c r="Y114" s="12">
        <f>IF(OR(LEFT(K114,4)="LVAX",LEFT(K114,6)="MV15AX",LEFT(K114,4)="CTAX",LEFT(K114,2)="W|"),2*N114*O114,0)</f>
        <v/>
      </c>
      <c r="Z114" s="12" t="inlineStr"/>
      <c r="AA114" s="12">
        <f>N114*O114</f>
        <v/>
      </c>
    </row>
    <row r="115">
      <c r="A115" s="12" t="inlineStr">
        <is>
          <t>A-C-0103</t>
        </is>
      </c>
      <c r="B115" s="12" t="inlineStr">
        <is>
          <t>A</t>
        </is>
      </c>
      <c r="C115" s="12" t="inlineStr">
        <is>
          <t>Power block</t>
        </is>
      </c>
      <c r="D115" s="12" t="inlineStr">
        <is>
          <t>CT / VT</t>
        </is>
      </c>
      <c r="E115" s="12" t="inlineStr">
        <is>
          <t>R2B</t>
        </is>
      </c>
      <c r="F115" s="12" t="inlineStr">
        <is>
          <t>R2B: unit / HRSG electrical e-house (32 x 40 ft)</t>
        </is>
      </c>
      <c r="G115" s="12" t="inlineStr">
        <is>
          <t>GCB-2</t>
        </is>
      </c>
      <c r="H115" s="12" t="inlineStr">
        <is>
          <t>GCB-2: generator circuit breaker</t>
        </is>
      </c>
      <c r="I115" s="12" t="inlineStr">
        <is>
          <t>Control</t>
        </is>
      </c>
      <c r="J115" s="12" t="inlineStr">
        <is>
          <t>Control cable 600 V Type TC-ER, Cu #10 AWG (CT / VT circuits)</t>
        </is>
      </c>
      <c r="K115" s="12" t="inlineStr">
        <is>
          <t>CTCT|4/C|10</t>
        </is>
      </c>
      <c r="L115" s="12" t="inlineStr">
        <is>
          <t>4/C</t>
        </is>
      </c>
      <c r="M115" s="12" t="inlineStr">
        <is>
          <t>10</t>
        </is>
      </c>
      <c r="N115" s="12" t="n">
        <v>1</v>
      </c>
      <c r="O115" s="12" t="n">
        <v>1</v>
      </c>
      <c r="P115" s="12" t="n"/>
      <c r="Q115" s="12" t="n"/>
      <c r="R115" s="12" t="n"/>
      <c r="S115" s="12" t="inlineStr">
        <is>
          <t>Tray</t>
        </is>
      </c>
      <c r="T115" s="16" t="n">
        <v>1247</v>
      </c>
      <c r="U115" s="16" t="n">
        <v>208</v>
      </c>
      <c r="V115" s="16">
        <f>ROUNDUP((T115+U115+2*'Read Me'!$B$13)*(1+'Read Me'!$B$12),-1)</f>
        <v/>
      </c>
      <c r="W115" s="16">
        <f>V115*N115*O115</f>
        <v/>
      </c>
      <c r="X115" s="12">
        <f>IF(LEFT(I115,2)="MV",2*N115*IF(L115="1/C",O115,1),0)</f>
        <v/>
      </c>
      <c r="Y115" s="12">
        <f>IF(OR(LEFT(K115,4)="LVAX",LEFT(K115,6)="MV15AX",LEFT(K115,4)="CTAX",LEFT(K115,2)="W|"),2*N115*O115,0)</f>
        <v/>
      </c>
      <c r="Z115" s="12" t="inlineStr"/>
      <c r="AA115" s="12">
        <f>N115*O115</f>
        <v/>
      </c>
    </row>
    <row r="116">
      <c r="A116" s="12" t="inlineStr">
        <is>
          <t>A-C-0104</t>
        </is>
      </c>
      <c r="B116" s="12" t="inlineStr">
        <is>
          <t>A</t>
        </is>
      </c>
      <c r="C116" s="12" t="inlineStr">
        <is>
          <t>Power block</t>
        </is>
      </c>
      <c r="D116" s="12" t="inlineStr">
        <is>
          <t>CT / VT</t>
        </is>
      </c>
      <c r="E116" s="12" t="inlineStr">
        <is>
          <t>R2B</t>
        </is>
      </c>
      <c r="F116" s="12" t="inlineStr">
        <is>
          <t>R2B: unit / HRSG electrical e-house (32 x 40 ft)</t>
        </is>
      </c>
      <c r="G116" s="12" t="inlineStr">
        <is>
          <t>GCB-2</t>
        </is>
      </c>
      <c r="H116" s="12" t="inlineStr">
        <is>
          <t>GCB-2: generator circuit breaker</t>
        </is>
      </c>
      <c r="I116" s="12" t="inlineStr">
        <is>
          <t>Control</t>
        </is>
      </c>
      <c r="J116" s="12" t="inlineStr">
        <is>
          <t>Control cable 600 V Type TC-ER, Cu #10 AWG (CT / VT circuits)</t>
        </is>
      </c>
      <c r="K116" s="12" t="inlineStr">
        <is>
          <t>CTCT|4/C|10</t>
        </is>
      </c>
      <c r="L116" s="12" t="inlineStr">
        <is>
          <t>4/C</t>
        </is>
      </c>
      <c r="M116" s="12" t="inlineStr">
        <is>
          <t>10</t>
        </is>
      </c>
      <c r="N116" s="12" t="n">
        <v>1</v>
      </c>
      <c r="O116" s="12" t="n">
        <v>1</v>
      </c>
      <c r="P116" s="12" t="n"/>
      <c r="Q116" s="12" t="n"/>
      <c r="R116" s="12" t="n"/>
      <c r="S116" s="12" t="inlineStr">
        <is>
          <t>Tray</t>
        </is>
      </c>
      <c r="T116" s="16" t="n">
        <v>1247</v>
      </c>
      <c r="U116" s="16" t="n">
        <v>208</v>
      </c>
      <c r="V116" s="16">
        <f>ROUNDUP((T116+U116+2*'Read Me'!$B$13)*(1+'Read Me'!$B$12),-1)</f>
        <v/>
      </c>
      <c r="W116" s="16">
        <f>V116*N116*O116</f>
        <v/>
      </c>
      <c r="X116" s="12">
        <f>IF(LEFT(I116,2)="MV",2*N116*IF(L116="1/C",O116,1),0)</f>
        <v/>
      </c>
      <c r="Y116" s="12">
        <f>IF(OR(LEFT(K116,4)="LVAX",LEFT(K116,6)="MV15AX",LEFT(K116,4)="CTAX",LEFT(K116,2)="W|"),2*N116*O116,0)</f>
        <v/>
      </c>
      <c r="Z116" s="12" t="inlineStr"/>
      <c r="AA116" s="12">
        <f>N116*O116</f>
        <v/>
      </c>
    </row>
    <row r="117">
      <c r="A117" s="12" t="inlineStr">
        <is>
          <t>A-C-0105</t>
        </is>
      </c>
      <c r="B117" s="12" t="inlineStr">
        <is>
          <t>A</t>
        </is>
      </c>
      <c r="C117" s="12" t="inlineStr">
        <is>
          <t>Power block</t>
        </is>
      </c>
      <c r="D117" s="12" t="inlineStr">
        <is>
          <t>CT / VT</t>
        </is>
      </c>
      <c r="E117" s="12" t="inlineStr">
        <is>
          <t>R2B</t>
        </is>
      </c>
      <c r="F117" s="12" t="inlineStr">
        <is>
          <t>R2B: unit / HRSG electrical e-house (32 x 40 ft)</t>
        </is>
      </c>
      <c r="G117" s="12" t="inlineStr">
        <is>
          <t>GCB-2</t>
        </is>
      </c>
      <c r="H117" s="12" t="inlineStr">
        <is>
          <t>GCB-2: generator circuit breaker</t>
        </is>
      </c>
      <c r="I117" s="12" t="inlineStr">
        <is>
          <t>Control</t>
        </is>
      </c>
      <c r="J117" s="12" t="inlineStr">
        <is>
          <t>Control cable 600 V Type TC-ER, Cu #10 AWG (CT / VT circuits)</t>
        </is>
      </c>
      <c r="K117" s="12" t="inlineStr">
        <is>
          <t>CTCT|4/C|10</t>
        </is>
      </c>
      <c r="L117" s="12" t="inlineStr">
        <is>
          <t>4/C</t>
        </is>
      </c>
      <c r="M117" s="12" t="inlineStr">
        <is>
          <t>10</t>
        </is>
      </c>
      <c r="N117" s="12" t="n">
        <v>1</v>
      </c>
      <c r="O117" s="12" t="n">
        <v>1</v>
      </c>
      <c r="P117" s="12" t="n"/>
      <c r="Q117" s="12" t="n"/>
      <c r="R117" s="12" t="n"/>
      <c r="S117" s="12" t="inlineStr">
        <is>
          <t>Tray</t>
        </is>
      </c>
      <c r="T117" s="16" t="n">
        <v>1247</v>
      </c>
      <c r="U117" s="16" t="n">
        <v>208</v>
      </c>
      <c r="V117" s="16">
        <f>ROUNDUP((T117+U117+2*'Read Me'!$B$13)*(1+'Read Me'!$B$12),-1)</f>
        <v/>
      </c>
      <c r="W117" s="16">
        <f>V117*N117*O117</f>
        <v/>
      </c>
      <c r="X117" s="12">
        <f>IF(LEFT(I117,2)="MV",2*N117*IF(L117="1/C",O117,1),0)</f>
        <v/>
      </c>
      <c r="Y117" s="12">
        <f>IF(OR(LEFT(K117,4)="LVAX",LEFT(K117,6)="MV15AX",LEFT(K117,4)="CTAX",LEFT(K117,2)="W|"),2*N117*O117,0)</f>
        <v/>
      </c>
      <c r="Z117" s="12" t="inlineStr"/>
      <c r="AA117" s="12">
        <f>N117*O117</f>
        <v/>
      </c>
    </row>
    <row r="118">
      <c r="A118" s="12" t="inlineStr">
        <is>
          <t>A-C-0106</t>
        </is>
      </c>
      <c r="B118" s="12" t="inlineStr">
        <is>
          <t>A</t>
        </is>
      </c>
      <c r="C118" s="12" t="inlineStr">
        <is>
          <t>Power block</t>
        </is>
      </c>
      <c r="D118" s="12" t="inlineStr">
        <is>
          <t>CT / VT</t>
        </is>
      </c>
      <c r="E118" s="12" t="inlineStr">
        <is>
          <t>R2B</t>
        </is>
      </c>
      <c r="F118" s="12" t="inlineStr">
        <is>
          <t>R2B: unit / HRSG electrical e-house (32 x 40 ft)</t>
        </is>
      </c>
      <c r="G118" s="12" t="inlineStr">
        <is>
          <t>GCB-2</t>
        </is>
      </c>
      <c r="H118" s="12" t="inlineStr">
        <is>
          <t>GCB-2: generator circuit breaker</t>
        </is>
      </c>
      <c r="I118" s="12" t="inlineStr">
        <is>
          <t>Control</t>
        </is>
      </c>
      <c r="J118" s="12" t="inlineStr">
        <is>
          <t>Control cable 600 V Type TC-ER, Cu #10 AWG (CT / VT circuits)</t>
        </is>
      </c>
      <c r="K118" s="12" t="inlineStr">
        <is>
          <t>CTCT|4/C|10</t>
        </is>
      </c>
      <c r="L118" s="12" t="inlineStr">
        <is>
          <t>4/C</t>
        </is>
      </c>
      <c r="M118" s="12" t="inlineStr">
        <is>
          <t>10</t>
        </is>
      </c>
      <c r="N118" s="12" t="n">
        <v>1</v>
      </c>
      <c r="O118" s="12" t="n">
        <v>1</v>
      </c>
      <c r="P118" s="12" t="n"/>
      <c r="Q118" s="12" t="n"/>
      <c r="R118" s="12" t="n"/>
      <c r="S118" s="12" t="inlineStr">
        <is>
          <t>Tray</t>
        </is>
      </c>
      <c r="T118" s="16" t="n">
        <v>1247</v>
      </c>
      <c r="U118" s="16" t="n">
        <v>208</v>
      </c>
      <c r="V118" s="16">
        <f>ROUNDUP((T118+U118+2*'Read Me'!$B$13)*(1+'Read Me'!$B$12),-1)</f>
        <v/>
      </c>
      <c r="W118" s="16">
        <f>V118*N118*O118</f>
        <v/>
      </c>
      <c r="X118" s="12">
        <f>IF(LEFT(I118,2)="MV",2*N118*IF(L118="1/C",O118,1),0)</f>
        <v/>
      </c>
      <c r="Y118" s="12">
        <f>IF(OR(LEFT(K118,4)="LVAX",LEFT(K118,6)="MV15AX",LEFT(K118,4)="CTAX",LEFT(K118,2)="W|"),2*N118*O118,0)</f>
        <v/>
      </c>
      <c r="Z118" s="12" t="inlineStr"/>
      <c r="AA118" s="12">
        <f>N118*O118</f>
        <v/>
      </c>
    </row>
    <row r="119">
      <c r="A119" s="12" t="inlineStr">
        <is>
          <t>A-C-0107</t>
        </is>
      </c>
      <c r="B119" s="12" t="inlineStr">
        <is>
          <t>A</t>
        </is>
      </c>
      <c r="C119" s="12" t="inlineStr">
        <is>
          <t>Power block</t>
        </is>
      </c>
      <c r="D119" s="12" t="inlineStr">
        <is>
          <t>Control</t>
        </is>
      </c>
      <c r="E119" s="12" t="inlineStr">
        <is>
          <t>R2C</t>
        </is>
      </c>
      <c r="F119" s="12" t="inlineStr">
        <is>
          <t>R2C: unit / HRSG electrical e-house (32 x 40 ft)</t>
        </is>
      </c>
      <c r="G119" s="12" t="inlineStr">
        <is>
          <t>GCB-3</t>
        </is>
      </c>
      <c r="H119" s="12" t="inlineStr">
        <is>
          <t>GCB-3: generator circuit breaker</t>
        </is>
      </c>
      <c r="I119" s="12" t="inlineStr">
        <is>
          <t>Control</t>
        </is>
      </c>
      <c r="J119" s="12" t="inlineStr">
        <is>
          <t>Control cable 600 V Type TC-ER, Cu #14 AWG, PVC jacket</t>
        </is>
      </c>
      <c r="K119" s="12" t="inlineStr">
        <is>
          <t>CT|12/C|14</t>
        </is>
      </c>
      <c r="L119" s="12" t="inlineStr">
        <is>
          <t>12/C</t>
        </is>
      </c>
      <c r="M119" s="12" t="inlineStr">
        <is>
          <t>14</t>
        </is>
      </c>
      <c r="N119" s="12" t="n">
        <v>1</v>
      </c>
      <c r="O119" s="12" t="n">
        <v>1</v>
      </c>
      <c r="P119" s="12" t="n"/>
      <c r="Q119" s="12" t="n"/>
      <c r="R119" s="12" t="n"/>
      <c r="S119" s="12" t="inlineStr">
        <is>
          <t>Duct bank</t>
        </is>
      </c>
      <c r="T119" s="16" t="n">
        <v>1193</v>
      </c>
      <c r="U119" s="16" t="n">
        <v>97</v>
      </c>
      <c r="V119" s="16">
        <f>ROUNDUP((T119+U119+2*'Read Me'!$B$13)*(1+'Read Me'!$B$12),-1)</f>
        <v/>
      </c>
      <c r="W119" s="16">
        <f>V119*N119*O119</f>
        <v/>
      </c>
      <c r="X119" s="12">
        <f>IF(LEFT(I119,2)="MV",2*N119*IF(L119="1/C",O119,1),0)</f>
        <v/>
      </c>
      <c r="Y119" s="12">
        <f>IF(OR(LEFT(K119,4)="LVAX",LEFT(K119,6)="MV15AX",LEFT(K119,4)="CTAX",LEFT(K119,2)="W|"),2*N119*O119,0)</f>
        <v/>
      </c>
      <c r="Z119" s="12" t="inlineStr"/>
      <c r="AA119" s="12">
        <f>N119*O119</f>
        <v/>
      </c>
    </row>
    <row r="120">
      <c r="A120" s="12" t="inlineStr">
        <is>
          <t>A-C-0108</t>
        </is>
      </c>
      <c r="B120" s="12" t="inlineStr">
        <is>
          <t>A</t>
        </is>
      </c>
      <c r="C120" s="12" t="inlineStr">
        <is>
          <t>Power block</t>
        </is>
      </c>
      <c r="D120" s="12" t="inlineStr">
        <is>
          <t>Control</t>
        </is>
      </c>
      <c r="E120" s="12" t="inlineStr">
        <is>
          <t>R2C</t>
        </is>
      </c>
      <c r="F120" s="12" t="inlineStr">
        <is>
          <t>R2C: unit / HRSG electrical e-house (32 x 40 ft)</t>
        </is>
      </c>
      <c r="G120" s="12" t="inlineStr">
        <is>
          <t>GCB-3</t>
        </is>
      </c>
      <c r="H120" s="12" t="inlineStr">
        <is>
          <t>GCB-3: generator circuit breaker</t>
        </is>
      </c>
      <c r="I120" s="12" t="inlineStr">
        <is>
          <t>Control</t>
        </is>
      </c>
      <c r="J120" s="12" t="inlineStr">
        <is>
          <t>Control cable 600 V Type TC-ER, Cu #14 AWG, PVC jacket</t>
        </is>
      </c>
      <c r="K120" s="12" t="inlineStr">
        <is>
          <t>CT|12/C|14</t>
        </is>
      </c>
      <c r="L120" s="12" t="inlineStr">
        <is>
          <t>12/C</t>
        </is>
      </c>
      <c r="M120" s="12" t="inlineStr">
        <is>
          <t>14</t>
        </is>
      </c>
      <c r="N120" s="12" t="n">
        <v>1</v>
      </c>
      <c r="O120" s="12" t="n">
        <v>1</v>
      </c>
      <c r="P120" s="12" t="n"/>
      <c r="Q120" s="12" t="n"/>
      <c r="R120" s="12" t="n"/>
      <c r="S120" s="12" t="inlineStr">
        <is>
          <t>Duct bank</t>
        </is>
      </c>
      <c r="T120" s="16" t="n">
        <v>1193</v>
      </c>
      <c r="U120" s="16" t="n">
        <v>97</v>
      </c>
      <c r="V120" s="16">
        <f>ROUNDUP((T120+U120+2*'Read Me'!$B$13)*(1+'Read Me'!$B$12),-1)</f>
        <v/>
      </c>
      <c r="W120" s="16">
        <f>V120*N120*O120</f>
        <v/>
      </c>
      <c r="X120" s="12">
        <f>IF(LEFT(I120,2)="MV",2*N120*IF(L120="1/C",O120,1),0)</f>
        <v/>
      </c>
      <c r="Y120" s="12">
        <f>IF(OR(LEFT(K120,4)="LVAX",LEFT(K120,6)="MV15AX",LEFT(K120,4)="CTAX",LEFT(K120,2)="W|"),2*N120*O120,0)</f>
        <v/>
      </c>
      <c r="Z120" s="12" t="inlineStr"/>
      <c r="AA120" s="12">
        <f>N120*O120</f>
        <v/>
      </c>
    </row>
    <row r="121">
      <c r="A121" s="12" t="inlineStr">
        <is>
          <t>A-C-0109</t>
        </is>
      </c>
      <c r="B121" s="12" t="inlineStr">
        <is>
          <t>A</t>
        </is>
      </c>
      <c r="C121" s="12" t="inlineStr">
        <is>
          <t>Power block</t>
        </is>
      </c>
      <c r="D121" s="12" t="inlineStr">
        <is>
          <t>Control</t>
        </is>
      </c>
      <c r="E121" s="12" t="inlineStr">
        <is>
          <t>R2C</t>
        </is>
      </c>
      <c r="F121" s="12" t="inlineStr">
        <is>
          <t>R2C: unit / HRSG electrical e-house (32 x 40 ft)</t>
        </is>
      </c>
      <c r="G121" s="12" t="inlineStr">
        <is>
          <t>GCB-3</t>
        </is>
      </c>
      <c r="H121" s="12" t="inlineStr">
        <is>
          <t>GCB-3: generator circuit breaker</t>
        </is>
      </c>
      <c r="I121" s="12" t="inlineStr">
        <is>
          <t>Control</t>
        </is>
      </c>
      <c r="J121" s="12" t="inlineStr">
        <is>
          <t>Control cable 600 V Type TC-ER, Cu #14 AWG, PVC jacket</t>
        </is>
      </c>
      <c r="K121" s="12" t="inlineStr">
        <is>
          <t>CT|12/C|14</t>
        </is>
      </c>
      <c r="L121" s="12" t="inlineStr">
        <is>
          <t>12/C</t>
        </is>
      </c>
      <c r="M121" s="12" t="inlineStr">
        <is>
          <t>14</t>
        </is>
      </c>
      <c r="N121" s="12" t="n">
        <v>1</v>
      </c>
      <c r="O121" s="12" t="n">
        <v>1</v>
      </c>
      <c r="P121" s="12" t="n"/>
      <c r="Q121" s="12" t="n"/>
      <c r="R121" s="12" t="n"/>
      <c r="S121" s="12" t="inlineStr">
        <is>
          <t>Duct bank</t>
        </is>
      </c>
      <c r="T121" s="16" t="n">
        <v>1193</v>
      </c>
      <c r="U121" s="16" t="n">
        <v>97</v>
      </c>
      <c r="V121" s="16">
        <f>ROUNDUP((T121+U121+2*'Read Me'!$B$13)*(1+'Read Me'!$B$12),-1)</f>
        <v/>
      </c>
      <c r="W121" s="16">
        <f>V121*N121*O121</f>
        <v/>
      </c>
      <c r="X121" s="12">
        <f>IF(LEFT(I121,2)="MV",2*N121*IF(L121="1/C",O121,1),0)</f>
        <v/>
      </c>
      <c r="Y121" s="12">
        <f>IF(OR(LEFT(K121,4)="LVAX",LEFT(K121,6)="MV15AX",LEFT(K121,4)="CTAX",LEFT(K121,2)="W|"),2*N121*O121,0)</f>
        <v/>
      </c>
      <c r="Z121" s="12" t="inlineStr"/>
      <c r="AA121" s="12">
        <f>N121*O121</f>
        <v/>
      </c>
    </row>
    <row r="122">
      <c r="A122" s="12" t="inlineStr">
        <is>
          <t>A-C-0110</t>
        </is>
      </c>
      <c r="B122" s="12" t="inlineStr">
        <is>
          <t>A</t>
        </is>
      </c>
      <c r="C122" s="12" t="inlineStr">
        <is>
          <t>Power block</t>
        </is>
      </c>
      <c r="D122" s="12" t="inlineStr">
        <is>
          <t>CT / VT</t>
        </is>
      </c>
      <c r="E122" s="12" t="inlineStr">
        <is>
          <t>R2C</t>
        </is>
      </c>
      <c r="F122" s="12" t="inlineStr">
        <is>
          <t>R2C: unit / HRSG electrical e-house (32 x 40 ft)</t>
        </is>
      </c>
      <c r="G122" s="12" t="inlineStr">
        <is>
          <t>GCB-3</t>
        </is>
      </c>
      <c r="H122" s="12" t="inlineStr">
        <is>
          <t>GCB-3: generator circuit breaker</t>
        </is>
      </c>
      <c r="I122" s="12" t="inlineStr">
        <is>
          <t>Control</t>
        </is>
      </c>
      <c r="J122" s="12" t="inlineStr">
        <is>
          <t>Control cable 600 V Type TC-ER, Cu #10 AWG (CT / VT circuits)</t>
        </is>
      </c>
      <c r="K122" s="12" t="inlineStr">
        <is>
          <t>CTCT|4/C|10</t>
        </is>
      </c>
      <c r="L122" s="12" t="inlineStr">
        <is>
          <t>4/C</t>
        </is>
      </c>
      <c r="M122" s="12" t="inlineStr">
        <is>
          <t>10</t>
        </is>
      </c>
      <c r="N122" s="12" t="n">
        <v>1</v>
      </c>
      <c r="O122" s="12" t="n">
        <v>1</v>
      </c>
      <c r="P122" s="12" t="n"/>
      <c r="Q122" s="12" t="n"/>
      <c r="R122" s="12" t="n"/>
      <c r="S122" s="12" t="inlineStr">
        <is>
          <t>Duct bank</t>
        </is>
      </c>
      <c r="T122" s="16" t="n">
        <v>1193</v>
      </c>
      <c r="U122" s="16" t="n">
        <v>97</v>
      </c>
      <c r="V122" s="16">
        <f>ROUNDUP((T122+U122+2*'Read Me'!$B$13)*(1+'Read Me'!$B$12),-1)</f>
        <v/>
      </c>
      <c r="W122" s="16">
        <f>V122*N122*O122</f>
        <v/>
      </c>
      <c r="X122" s="12">
        <f>IF(LEFT(I122,2)="MV",2*N122*IF(L122="1/C",O122,1),0)</f>
        <v/>
      </c>
      <c r="Y122" s="12">
        <f>IF(OR(LEFT(K122,4)="LVAX",LEFT(K122,6)="MV15AX",LEFT(K122,4)="CTAX",LEFT(K122,2)="W|"),2*N122*O122,0)</f>
        <v/>
      </c>
      <c r="Z122" s="12" t="inlineStr"/>
      <c r="AA122" s="12">
        <f>N122*O122</f>
        <v/>
      </c>
    </row>
    <row r="123">
      <c r="A123" s="12" t="inlineStr">
        <is>
          <t>A-C-0111</t>
        </is>
      </c>
      <c r="B123" s="12" t="inlineStr">
        <is>
          <t>A</t>
        </is>
      </c>
      <c r="C123" s="12" t="inlineStr">
        <is>
          <t>Power block</t>
        </is>
      </c>
      <c r="D123" s="12" t="inlineStr">
        <is>
          <t>CT / VT</t>
        </is>
      </c>
      <c r="E123" s="12" t="inlineStr">
        <is>
          <t>R2C</t>
        </is>
      </c>
      <c r="F123" s="12" t="inlineStr">
        <is>
          <t>R2C: unit / HRSG electrical e-house (32 x 40 ft)</t>
        </is>
      </c>
      <c r="G123" s="12" t="inlineStr">
        <is>
          <t>GCB-3</t>
        </is>
      </c>
      <c r="H123" s="12" t="inlineStr">
        <is>
          <t>GCB-3: generator circuit breaker</t>
        </is>
      </c>
      <c r="I123" s="12" t="inlineStr">
        <is>
          <t>Control</t>
        </is>
      </c>
      <c r="J123" s="12" t="inlineStr">
        <is>
          <t>Control cable 600 V Type TC-ER, Cu #10 AWG (CT / VT circuits)</t>
        </is>
      </c>
      <c r="K123" s="12" t="inlineStr">
        <is>
          <t>CTCT|4/C|10</t>
        </is>
      </c>
      <c r="L123" s="12" t="inlineStr">
        <is>
          <t>4/C</t>
        </is>
      </c>
      <c r="M123" s="12" t="inlineStr">
        <is>
          <t>10</t>
        </is>
      </c>
      <c r="N123" s="12" t="n">
        <v>1</v>
      </c>
      <c r="O123" s="12" t="n">
        <v>1</v>
      </c>
      <c r="P123" s="12" t="n"/>
      <c r="Q123" s="12" t="n"/>
      <c r="R123" s="12" t="n"/>
      <c r="S123" s="12" t="inlineStr">
        <is>
          <t>Duct bank</t>
        </is>
      </c>
      <c r="T123" s="16" t="n">
        <v>1193</v>
      </c>
      <c r="U123" s="16" t="n">
        <v>97</v>
      </c>
      <c r="V123" s="16">
        <f>ROUNDUP((T123+U123+2*'Read Me'!$B$13)*(1+'Read Me'!$B$12),-1)</f>
        <v/>
      </c>
      <c r="W123" s="16">
        <f>V123*N123*O123</f>
        <v/>
      </c>
      <c r="X123" s="12">
        <f>IF(LEFT(I123,2)="MV",2*N123*IF(L123="1/C",O123,1),0)</f>
        <v/>
      </c>
      <c r="Y123" s="12">
        <f>IF(OR(LEFT(K123,4)="LVAX",LEFT(K123,6)="MV15AX",LEFT(K123,4)="CTAX",LEFT(K123,2)="W|"),2*N123*O123,0)</f>
        <v/>
      </c>
      <c r="Z123" s="12" t="inlineStr"/>
      <c r="AA123" s="12">
        <f>N123*O123</f>
        <v/>
      </c>
    </row>
    <row r="124">
      <c r="A124" s="12" t="inlineStr">
        <is>
          <t>A-C-0112</t>
        </is>
      </c>
      <c r="B124" s="12" t="inlineStr">
        <is>
          <t>A</t>
        </is>
      </c>
      <c r="C124" s="12" t="inlineStr">
        <is>
          <t>Power block</t>
        </is>
      </c>
      <c r="D124" s="12" t="inlineStr">
        <is>
          <t>CT / VT</t>
        </is>
      </c>
      <c r="E124" s="12" t="inlineStr">
        <is>
          <t>R2C</t>
        </is>
      </c>
      <c r="F124" s="12" t="inlineStr">
        <is>
          <t>R2C: unit / HRSG electrical e-house (32 x 40 ft)</t>
        </is>
      </c>
      <c r="G124" s="12" t="inlineStr">
        <is>
          <t>GCB-3</t>
        </is>
      </c>
      <c r="H124" s="12" t="inlineStr">
        <is>
          <t>GCB-3: generator circuit breaker</t>
        </is>
      </c>
      <c r="I124" s="12" t="inlineStr">
        <is>
          <t>Control</t>
        </is>
      </c>
      <c r="J124" s="12" t="inlineStr">
        <is>
          <t>Control cable 600 V Type TC-ER, Cu #10 AWG (CT / VT circuits)</t>
        </is>
      </c>
      <c r="K124" s="12" t="inlineStr">
        <is>
          <t>CTCT|4/C|10</t>
        </is>
      </c>
      <c r="L124" s="12" t="inlineStr">
        <is>
          <t>4/C</t>
        </is>
      </c>
      <c r="M124" s="12" t="inlineStr">
        <is>
          <t>10</t>
        </is>
      </c>
      <c r="N124" s="12" t="n">
        <v>1</v>
      </c>
      <c r="O124" s="12" t="n">
        <v>1</v>
      </c>
      <c r="P124" s="12" t="n"/>
      <c r="Q124" s="12" t="n"/>
      <c r="R124" s="12" t="n"/>
      <c r="S124" s="12" t="inlineStr">
        <is>
          <t>Duct bank</t>
        </is>
      </c>
      <c r="T124" s="16" t="n">
        <v>1193</v>
      </c>
      <c r="U124" s="16" t="n">
        <v>97</v>
      </c>
      <c r="V124" s="16">
        <f>ROUNDUP((T124+U124+2*'Read Me'!$B$13)*(1+'Read Me'!$B$12),-1)</f>
        <v/>
      </c>
      <c r="W124" s="16">
        <f>V124*N124*O124</f>
        <v/>
      </c>
      <c r="X124" s="12">
        <f>IF(LEFT(I124,2)="MV",2*N124*IF(L124="1/C",O124,1),0)</f>
        <v/>
      </c>
      <c r="Y124" s="12">
        <f>IF(OR(LEFT(K124,4)="LVAX",LEFT(K124,6)="MV15AX",LEFT(K124,4)="CTAX",LEFT(K124,2)="W|"),2*N124*O124,0)</f>
        <v/>
      </c>
      <c r="Z124" s="12" t="inlineStr"/>
      <c r="AA124" s="12">
        <f>N124*O124</f>
        <v/>
      </c>
    </row>
    <row r="125">
      <c r="A125" s="12" t="inlineStr">
        <is>
          <t>A-C-0113</t>
        </is>
      </c>
      <c r="B125" s="12" t="inlineStr">
        <is>
          <t>A</t>
        </is>
      </c>
      <c r="C125" s="12" t="inlineStr">
        <is>
          <t>Power block</t>
        </is>
      </c>
      <c r="D125" s="12" t="inlineStr">
        <is>
          <t>CT / VT</t>
        </is>
      </c>
      <c r="E125" s="12" t="inlineStr">
        <is>
          <t>R2C</t>
        </is>
      </c>
      <c r="F125" s="12" t="inlineStr">
        <is>
          <t>R2C: unit / HRSG electrical e-house (32 x 40 ft)</t>
        </is>
      </c>
      <c r="G125" s="12" t="inlineStr">
        <is>
          <t>GCB-3</t>
        </is>
      </c>
      <c r="H125" s="12" t="inlineStr">
        <is>
          <t>GCB-3: generator circuit breaker</t>
        </is>
      </c>
      <c r="I125" s="12" t="inlineStr">
        <is>
          <t>Control</t>
        </is>
      </c>
      <c r="J125" s="12" t="inlineStr">
        <is>
          <t>Control cable 600 V Type TC-ER, Cu #10 AWG (CT / VT circuits)</t>
        </is>
      </c>
      <c r="K125" s="12" t="inlineStr">
        <is>
          <t>CTCT|4/C|10</t>
        </is>
      </c>
      <c r="L125" s="12" t="inlineStr">
        <is>
          <t>4/C</t>
        </is>
      </c>
      <c r="M125" s="12" t="inlineStr">
        <is>
          <t>10</t>
        </is>
      </c>
      <c r="N125" s="12" t="n">
        <v>1</v>
      </c>
      <c r="O125" s="12" t="n">
        <v>1</v>
      </c>
      <c r="P125" s="12" t="n"/>
      <c r="Q125" s="12" t="n"/>
      <c r="R125" s="12" t="n"/>
      <c r="S125" s="12" t="inlineStr">
        <is>
          <t>Duct bank</t>
        </is>
      </c>
      <c r="T125" s="16" t="n">
        <v>1193</v>
      </c>
      <c r="U125" s="16" t="n">
        <v>97</v>
      </c>
      <c r="V125" s="16">
        <f>ROUNDUP((T125+U125+2*'Read Me'!$B$13)*(1+'Read Me'!$B$12),-1)</f>
        <v/>
      </c>
      <c r="W125" s="16">
        <f>V125*N125*O125</f>
        <v/>
      </c>
      <c r="X125" s="12">
        <f>IF(LEFT(I125,2)="MV",2*N125*IF(L125="1/C",O125,1),0)</f>
        <v/>
      </c>
      <c r="Y125" s="12">
        <f>IF(OR(LEFT(K125,4)="LVAX",LEFT(K125,6)="MV15AX",LEFT(K125,4)="CTAX",LEFT(K125,2)="W|"),2*N125*O125,0)</f>
        <v/>
      </c>
      <c r="Z125" s="12" t="inlineStr"/>
      <c r="AA125" s="12">
        <f>N125*O125</f>
        <v/>
      </c>
    </row>
    <row r="126">
      <c r="A126" s="12" t="inlineStr">
        <is>
          <t>A-C-0114</t>
        </is>
      </c>
      <c r="B126" s="12" t="inlineStr">
        <is>
          <t>A</t>
        </is>
      </c>
      <c r="C126" s="12" t="inlineStr">
        <is>
          <t>Power block</t>
        </is>
      </c>
      <c r="D126" s="12" t="inlineStr">
        <is>
          <t>Control</t>
        </is>
      </c>
      <c r="E126" s="12" t="inlineStr">
        <is>
          <t>R3</t>
        </is>
      </c>
      <c r="F126" s="12" t="inlineStr">
        <is>
          <t>R3: ST auxiliary electrical e-house (40 x 65 ft)</t>
        </is>
      </c>
      <c r="G126" s="12" t="inlineStr">
        <is>
          <t>GCB-ST</t>
        </is>
      </c>
      <c r="H126" s="12" t="inlineStr">
        <is>
          <t>GCB-ST</t>
        </is>
      </c>
      <c r="I126" s="12" t="inlineStr">
        <is>
          <t>Control</t>
        </is>
      </c>
      <c r="J126" s="12" t="inlineStr">
        <is>
          <t>Control cable 600 V Type TC-ER, Cu #14 AWG, PVC jacket</t>
        </is>
      </c>
      <c r="K126" s="12" t="inlineStr">
        <is>
          <t>CT|12/C|14</t>
        </is>
      </c>
      <c r="L126" s="12" t="inlineStr">
        <is>
          <t>12/C</t>
        </is>
      </c>
      <c r="M126" s="12" t="inlineStr">
        <is>
          <t>14</t>
        </is>
      </c>
      <c r="N126" s="12" t="n">
        <v>1</v>
      </c>
      <c r="O126" s="12" t="n">
        <v>1</v>
      </c>
      <c r="P126" s="12" t="n"/>
      <c r="Q126" s="12" t="n"/>
      <c r="R126" s="12" t="n"/>
      <c r="S126" s="12" t="inlineStr">
        <is>
          <t>Tray</t>
        </is>
      </c>
      <c r="T126" s="16" t="n">
        <v>366</v>
      </c>
      <c r="U126" s="16" t="n">
        <v>111</v>
      </c>
      <c r="V126" s="16">
        <f>ROUNDUP((T126+U126+2*'Read Me'!$B$13)*(1+'Read Me'!$B$12),-1)</f>
        <v/>
      </c>
      <c r="W126" s="16">
        <f>V126*N126*O126</f>
        <v/>
      </c>
      <c r="X126" s="12">
        <f>IF(LEFT(I126,2)="MV",2*N126*IF(L126="1/C",O126,1),0)</f>
        <v/>
      </c>
      <c r="Y126" s="12">
        <f>IF(OR(LEFT(K126,4)="LVAX",LEFT(K126,6)="MV15AX",LEFT(K126,4)="CTAX",LEFT(K126,2)="W|"),2*N126*O126,0)</f>
        <v/>
      </c>
      <c r="Z126" s="12" t="inlineStr"/>
      <c r="AA126" s="12">
        <f>N126*O126</f>
        <v/>
      </c>
    </row>
    <row r="127">
      <c r="A127" s="12" t="inlineStr">
        <is>
          <t>A-C-0115</t>
        </is>
      </c>
      <c r="B127" s="12" t="inlineStr">
        <is>
          <t>A</t>
        </is>
      </c>
      <c r="C127" s="12" t="inlineStr">
        <is>
          <t>Power block</t>
        </is>
      </c>
      <c r="D127" s="12" t="inlineStr">
        <is>
          <t>Control</t>
        </is>
      </c>
      <c r="E127" s="12" t="inlineStr">
        <is>
          <t>R3</t>
        </is>
      </c>
      <c r="F127" s="12" t="inlineStr">
        <is>
          <t>R3: ST auxiliary electrical e-house (40 x 65 ft)</t>
        </is>
      </c>
      <c r="G127" s="12" t="inlineStr">
        <is>
          <t>GCB-ST</t>
        </is>
      </c>
      <c r="H127" s="12" t="inlineStr">
        <is>
          <t>GCB-ST</t>
        </is>
      </c>
      <c r="I127" s="12" t="inlineStr">
        <is>
          <t>Control</t>
        </is>
      </c>
      <c r="J127" s="12" t="inlineStr">
        <is>
          <t>Control cable 600 V Type TC-ER, Cu #14 AWG, PVC jacket</t>
        </is>
      </c>
      <c r="K127" s="12" t="inlineStr">
        <is>
          <t>CT|12/C|14</t>
        </is>
      </c>
      <c r="L127" s="12" t="inlineStr">
        <is>
          <t>12/C</t>
        </is>
      </c>
      <c r="M127" s="12" t="inlineStr">
        <is>
          <t>14</t>
        </is>
      </c>
      <c r="N127" s="12" t="n">
        <v>1</v>
      </c>
      <c r="O127" s="12" t="n">
        <v>1</v>
      </c>
      <c r="P127" s="12" t="n"/>
      <c r="Q127" s="12" t="n"/>
      <c r="R127" s="12" t="n"/>
      <c r="S127" s="12" t="inlineStr">
        <is>
          <t>Tray</t>
        </is>
      </c>
      <c r="T127" s="16" t="n">
        <v>366</v>
      </c>
      <c r="U127" s="16" t="n">
        <v>111</v>
      </c>
      <c r="V127" s="16">
        <f>ROUNDUP((T127+U127+2*'Read Me'!$B$13)*(1+'Read Me'!$B$12),-1)</f>
        <v/>
      </c>
      <c r="W127" s="16">
        <f>V127*N127*O127</f>
        <v/>
      </c>
      <c r="X127" s="12">
        <f>IF(LEFT(I127,2)="MV",2*N127*IF(L127="1/C",O127,1),0)</f>
        <v/>
      </c>
      <c r="Y127" s="12">
        <f>IF(OR(LEFT(K127,4)="LVAX",LEFT(K127,6)="MV15AX",LEFT(K127,4)="CTAX",LEFT(K127,2)="W|"),2*N127*O127,0)</f>
        <v/>
      </c>
      <c r="Z127" s="12" t="inlineStr"/>
      <c r="AA127" s="12">
        <f>N127*O127</f>
        <v/>
      </c>
    </row>
    <row r="128">
      <c r="A128" s="12" t="inlineStr">
        <is>
          <t>A-C-0116</t>
        </is>
      </c>
      <c r="B128" s="12" t="inlineStr">
        <is>
          <t>A</t>
        </is>
      </c>
      <c r="C128" s="12" t="inlineStr">
        <is>
          <t>Power block</t>
        </is>
      </c>
      <c r="D128" s="12" t="inlineStr">
        <is>
          <t>Control</t>
        </is>
      </c>
      <c r="E128" s="12" t="inlineStr">
        <is>
          <t>R3</t>
        </is>
      </c>
      <c r="F128" s="12" t="inlineStr">
        <is>
          <t>R3: ST auxiliary electrical e-house (40 x 65 ft)</t>
        </is>
      </c>
      <c r="G128" s="12" t="inlineStr">
        <is>
          <t>GCB-ST</t>
        </is>
      </c>
      <c r="H128" s="12" t="inlineStr">
        <is>
          <t>GCB-ST</t>
        </is>
      </c>
      <c r="I128" s="12" t="inlineStr">
        <is>
          <t>Control</t>
        </is>
      </c>
      <c r="J128" s="12" t="inlineStr">
        <is>
          <t>Control cable 600 V Type TC-ER, Cu #14 AWG, PVC jacket</t>
        </is>
      </c>
      <c r="K128" s="12" t="inlineStr">
        <is>
          <t>CT|12/C|14</t>
        </is>
      </c>
      <c r="L128" s="12" t="inlineStr">
        <is>
          <t>12/C</t>
        </is>
      </c>
      <c r="M128" s="12" t="inlineStr">
        <is>
          <t>14</t>
        </is>
      </c>
      <c r="N128" s="12" t="n">
        <v>1</v>
      </c>
      <c r="O128" s="12" t="n">
        <v>1</v>
      </c>
      <c r="P128" s="12" t="n"/>
      <c r="Q128" s="12" t="n"/>
      <c r="R128" s="12" t="n"/>
      <c r="S128" s="12" t="inlineStr">
        <is>
          <t>Tray</t>
        </is>
      </c>
      <c r="T128" s="16" t="n">
        <v>366</v>
      </c>
      <c r="U128" s="16" t="n">
        <v>111</v>
      </c>
      <c r="V128" s="16">
        <f>ROUNDUP((T128+U128+2*'Read Me'!$B$13)*(1+'Read Me'!$B$12),-1)</f>
        <v/>
      </c>
      <c r="W128" s="16">
        <f>V128*N128*O128</f>
        <v/>
      </c>
      <c r="X128" s="12">
        <f>IF(LEFT(I128,2)="MV",2*N128*IF(L128="1/C",O128,1),0)</f>
        <v/>
      </c>
      <c r="Y128" s="12">
        <f>IF(OR(LEFT(K128,4)="LVAX",LEFT(K128,6)="MV15AX",LEFT(K128,4)="CTAX",LEFT(K128,2)="W|"),2*N128*O128,0)</f>
        <v/>
      </c>
      <c r="Z128" s="12" t="inlineStr"/>
      <c r="AA128" s="12">
        <f>N128*O128</f>
        <v/>
      </c>
    </row>
    <row r="129">
      <c r="A129" s="12" t="inlineStr">
        <is>
          <t>A-C-0117</t>
        </is>
      </c>
      <c r="B129" s="12" t="inlineStr">
        <is>
          <t>A</t>
        </is>
      </c>
      <c r="C129" s="12" t="inlineStr">
        <is>
          <t>Power block</t>
        </is>
      </c>
      <c r="D129" s="12" t="inlineStr">
        <is>
          <t>CT / VT</t>
        </is>
      </c>
      <c r="E129" s="12" t="inlineStr">
        <is>
          <t>R3</t>
        </is>
      </c>
      <c r="F129" s="12" t="inlineStr">
        <is>
          <t>R3: ST auxiliary electrical e-house (40 x 65 ft)</t>
        </is>
      </c>
      <c r="G129" s="12" t="inlineStr">
        <is>
          <t>GCB-ST</t>
        </is>
      </c>
      <c r="H129" s="12" t="inlineStr">
        <is>
          <t>GCB-ST</t>
        </is>
      </c>
      <c r="I129" s="12" t="inlineStr">
        <is>
          <t>Control</t>
        </is>
      </c>
      <c r="J129" s="12" t="inlineStr">
        <is>
          <t>Control cable 600 V Type TC-ER, Cu #10 AWG (CT / VT circuits)</t>
        </is>
      </c>
      <c r="K129" s="12" t="inlineStr">
        <is>
          <t>CTCT|4/C|10</t>
        </is>
      </c>
      <c r="L129" s="12" t="inlineStr">
        <is>
          <t>4/C</t>
        </is>
      </c>
      <c r="M129" s="12" t="inlineStr">
        <is>
          <t>10</t>
        </is>
      </c>
      <c r="N129" s="12" t="n">
        <v>1</v>
      </c>
      <c r="O129" s="12" t="n">
        <v>1</v>
      </c>
      <c r="P129" s="12" t="n"/>
      <c r="Q129" s="12" t="n"/>
      <c r="R129" s="12" t="n"/>
      <c r="S129" s="12" t="inlineStr">
        <is>
          <t>Tray</t>
        </is>
      </c>
      <c r="T129" s="16" t="n">
        <v>366</v>
      </c>
      <c r="U129" s="16" t="n">
        <v>111</v>
      </c>
      <c r="V129" s="16">
        <f>ROUNDUP((T129+U129+2*'Read Me'!$B$13)*(1+'Read Me'!$B$12),-1)</f>
        <v/>
      </c>
      <c r="W129" s="16">
        <f>V129*N129*O129</f>
        <v/>
      </c>
      <c r="X129" s="12">
        <f>IF(LEFT(I129,2)="MV",2*N129*IF(L129="1/C",O129,1),0)</f>
        <v/>
      </c>
      <c r="Y129" s="12">
        <f>IF(OR(LEFT(K129,4)="LVAX",LEFT(K129,6)="MV15AX",LEFT(K129,4)="CTAX",LEFT(K129,2)="W|"),2*N129*O129,0)</f>
        <v/>
      </c>
      <c r="Z129" s="12" t="inlineStr"/>
      <c r="AA129" s="12">
        <f>N129*O129</f>
        <v/>
      </c>
    </row>
    <row r="130">
      <c r="A130" s="12" t="inlineStr">
        <is>
          <t>A-C-0118</t>
        </is>
      </c>
      <c r="B130" s="12" t="inlineStr">
        <is>
          <t>A</t>
        </is>
      </c>
      <c r="C130" s="12" t="inlineStr">
        <is>
          <t>Power block</t>
        </is>
      </c>
      <c r="D130" s="12" t="inlineStr">
        <is>
          <t>CT / VT</t>
        </is>
      </c>
      <c r="E130" s="12" t="inlineStr">
        <is>
          <t>R3</t>
        </is>
      </c>
      <c r="F130" s="12" t="inlineStr">
        <is>
          <t>R3: ST auxiliary electrical e-house (40 x 65 ft)</t>
        </is>
      </c>
      <c r="G130" s="12" t="inlineStr">
        <is>
          <t>GCB-ST</t>
        </is>
      </c>
      <c r="H130" s="12" t="inlineStr">
        <is>
          <t>GCB-ST</t>
        </is>
      </c>
      <c r="I130" s="12" t="inlineStr">
        <is>
          <t>Control</t>
        </is>
      </c>
      <c r="J130" s="12" t="inlineStr">
        <is>
          <t>Control cable 600 V Type TC-ER, Cu #10 AWG (CT / VT circuits)</t>
        </is>
      </c>
      <c r="K130" s="12" t="inlineStr">
        <is>
          <t>CTCT|4/C|10</t>
        </is>
      </c>
      <c r="L130" s="12" t="inlineStr">
        <is>
          <t>4/C</t>
        </is>
      </c>
      <c r="M130" s="12" t="inlineStr">
        <is>
          <t>10</t>
        </is>
      </c>
      <c r="N130" s="12" t="n">
        <v>1</v>
      </c>
      <c r="O130" s="12" t="n">
        <v>1</v>
      </c>
      <c r="P130" s="12" t="n"/>
      <c r="Q130" s="12" t="n"/>
      <c r="R130" s="12" t="n"/>
      <c r="S130" s="12" t="inlineStr">
        <is>
          <t>Tray</t>
        </is>
      </c>
      <c r="T130" s="16" t="n">
        <v>366</v>
      </c>
      <c r="U130" s="16" t="n">
        <v>111</v>
      </c>
      <c r="V130" s="16">
        <f>ROUNDUP((T130+U130+2*'Read Me'!$B$13)*(1+'Read Me'!$B$12),-1)</f>
        <v/>
      </c>
      <c r="W130" s="16">
        <f>V130*N130*O130</f>
        <v/>
      </c>
      <c r="X130" s="12">
        <f>IF(LEFT(I130,2)="MV",2*N130*IF(L130="1/C",O130,1),0)</f>
        <v/>
      </c>
      <c r="Y130" s="12">
        <f>IF(OR(LEFT(K130,4)="LVAX",LEFT(K130,6)="MV15AX",LEFT(K130,4)="CTAX",LEFT(K130,2)="W|"),2*N130*O130,0)</f>
        <v/>
      </c>
      <c r="Z130" s="12" t="inlineStr"/>
      <c r="AA130" s="12">
        <f>N130*O130</f>
        <v/>
      </c>
    </row>
    <row r="131">
      <c r="A131" s="12" t="inlineStr">
        <is>
          <t>A-C-0119</t>
        </is>
      </c>
      <c r="B131" s="12" t="inlineStr">
        <is>
          <t>A</t>
        </is>
      </c>
      <c r="C131" s="12" t="inlineStr">
        <is>
          <t>Power block</t>
        </is>
      </c>
      <c r="D131" s="12" t="inlineStr">
        <is>
          <t>CT / VT</t>
        </is>
      </c>
      <c r="E131" s="12" t="inlineStr">
        <is>
          <t>R3</t>
        </is>
      </c>
      <c r="F131" s="12" t="inlineStr">
        <is>
          <t>R3: ST auxiliary electrical e-house (40 x 65 ft)</t>
        </is>
      </c>
      <c r="G131" s="12" t="inlineStr">
        <is>
          <t>GCB-ST</t>
        </is>
      </c>
      <c r="H131" s="12" t="inlineStr">
        <is>
          <t>GCB-ST</t>
        </is>
      </c>
      <c r="I131" s="12" t="inlineStr">
        <is>
          <t>Control</t>
        </is>
      </c>
      <c r="J131" s="12" t="inlineStr">
        <is>
          <t>Control cable 600 V Type TC-ER, Cu #10 AWG (CT / VT circuits)</t>
        </is>
      </c>
      <c r="K131" s="12" t="inlineStr">
        <is>
          <t>CTCT|4/C|10</t>
        </is>
      </c>
      <c r="L131" s="12" t="inlineStr">
        <is>
          <t>4/C</t>
        </is>
      </c>
      <c r="M131" s="12" t="inlineStr">
        <is>
          <t>10</t>
        </is>
      </c>
      <c r="N131" s="12" t="n">
        <v>1</v>
      </c>
      <c r="O131" s="12" t="n">
        <v>1</v>
      </c>
      <c r="P131" s="12" t="n"/>
      <c r="Q131" s="12" t="n"/>
      <c r="R131" s="12" t="n"/>
      <c r="S131" s="12" t="inlineStr">
        <is>
          <t>Tray</t>
        </is>
      </c>
      <c r="T131" s="16" t="n">
        <v>366</v>
      </c>
      <c r="U131" s="16" t="n">
        <v>111</v>
      </c>
      <c r="V131" s="16">
        <f>ROUNDUP((T131+U131+2*'Read Me'!$B$13)*(1+'Read Me'!$B$12),-1)</f>
        <v/>
      </c>
      <c r="W131" s="16">
        <f>V131*N131*O131</f>
        <v/>
      </c>
      <c r="X131" s="12">
        <f>IF(LEFT(I131,2)="MV",2*N131*IF(L131="1/C",O131,1),0)</f>
        <v/>
      </c>
      <c r="Y131" s="12">
        <f>IF(OR(LEFT(K131,4)="LVAX",LEFT(K131,6)="MV15AX",LEFT(K131,4)="CTAX",LEFT(K131,2)="W|"),2*N131*O131,0)</f>
        <v/>
      </c>
      <c r="Z131" s="12" t="inlineStr"/>
      <c r="AA131" s="12">
        <f>N131*O131</f>
        <v/>
      </c>
    </row>
    <row r="132">
      <c r="A132" s="12" t="inlineStr">
        <is>
          <t>A-C-0120</t>
        </is>
      </c>
      <c r="B132" s="12" t="inlineStr">
        <is>
          <t>A</t>
        </is>
      </c>
      <c r="C132" s="12" t="inlineStr">
        <is>
          <t>Power block</t>
        </is>
      </c>
      <c r="D132" s="12" t="inlineStr">
        <is>
          <t>CT / VT</t>
        </is>
      </c>
      <c r="E132" s="12" t="inlineStr">
        <is>
          <t>R3</t>
        </is>
      </c>
      <c r="F132" s="12" t="inlineStr">
        <is>
          <t>R3: ST auxiliary electrical e-house (40 x 65 ft)</t>
        </is>
      </c>
      <c r="G132" s="12" t="inlineStr">
        <is>
          <t>GCB-ST</t>
        </is>
      </c>
      <c r="H132" s="12" t="inlineStr">
        <is>
          <t>GCB-ST</t>
        </is>
      </c>
      <c r="I132" s="12" t="inlineStr">
        <is>
          <t>Control</t>
        </is>
      </c>
      <c r="J132" s="12" t="inlineStr">
        <is>
          <t>Control cable 600 V Type TC-ER, Cu #10 AWG (CT / VT circuits)</t>
        </is>
      </c>
      <c r="K132" s="12" t="inlineStr">
        <is>
          <t>CTCT|4/C|10</t>
        </is>
      </c>
      <c r="L132" s="12" t="inlineStr">
        <is>
          <t>4/C</t>
        </is>
      </c>
      <c r="M132" s="12" t="inlineStr">
        <is>
          <t>10</t>
        </is>
      </c>
      <c r="N132" s="12" t="n">
        <v>1</v>
      </c>
      <c r="O132" s="12" t="n">
        <v>1</v>
      </c>
      <c r="P132" s="12" t="n"/>
      <c r="Q132" s="12" t="n"/>
      <c r="R132" s="12" t="n"/>
      <c r="S132" s="12" t="inlineStr">
        <is>
          <t>Tray</t>
        </is>
      </c>
      <c r="T132" s="16" t="n">
        <v>366</v>
      </c>
      <c r="U132" s="16" t="n">
        <v>111</v>
      </c>
      <c r="V132" s="16">
        <f>ROUNDUP((T132+U132+2*'Read Me'!$B$13)*(1+'Read Me'!$B$12),-1)</f>
        <v/>
      </c>
      <c r="W132" s="16">
        <f>V132*N132*O132</f>
        <v/>
      </c>
      <c r="X132" s="12">
        <f>IF(LEFT(I132,2)="MV",2*N132*IF(L132="1/C",O132,1),0)</f>
        <v/>
      </c>
      <c r="Y132" s="12">
        <f>IF(OR(LEFT(K132,4)="LVAX",LEFT(K132,6)="MV15AX",LEFT(K132,4)="CTAX",LEFT(K132,2)="W|"),2*N132*O132,0)</f>
        <v/>
      </c>
      <c r="Z132" s="12" t="inlineStr"/>
      <c r="AA132" s="12">
        <f>N132*O132</f>
        <v/>
      </c>
    </row>
    <row r="133">
      <c r="A133" s="12" t="inlineStr">
        <is>
          <t>A-C-0121</t>
        </is>
      </c>
      <c r="B133" s="12" t="inlineStr">
        <is>
          <t>A</t>
        </is>
      </c>
      <c r="C133" s="12" t="inlineStr">
        <is>
          <t>Power block</t>
        </is>
      </c>
      <c r="D133" s="12" t="inlineStr">
        <is>
          <t>Solenoid to JB JB-GFM-1-SOL01: 6 x 2/C (field cables)</t>
        </is>
      </c>
      <c r="E133" s="12" t="inlineStr">
        <is>
          <t>GFM-1</t>
        </is>
      </c>
      <c r="F133" s="12" t="inlineStr">
        <is>
          <t>GFM-1: GT1 gas fuel module (stop / control valves, final strainer)</t>
        </is>
      </c>
      <c r="G133" s="12" t="inlineStr">
        <is>
          <t>JB-GFM-1-SOL01</t>
        </is>
      </c>
      <c r="H133" s="12" t="inlineStr">
        <is>
          <t>GFM-1: GT1 gas fuel module (stop / control valves, final strainer)</t>
        </is>
      </c>
      <c r="I133" s="12" t="inlineStr">
        <is>
          <t>Control</t>
        </is>
      </c>
      <c r="J133" s="12" t="inlineStr">
        <is>
          <t>ARMOR-X MC-HL 600 V control, Cu #14 AWG (Class I Div 2)</t>
        </is>
      </c>
      <c r="K133" s="12" t="inlineStr">
        <is>
          <t>CTAX|2/C|14</t>
        </is>
      </c>
      <c r="L133" s="12" t="inlineStr">
        <is>
          <t>2/C</t>
        </is>
      </c>
      <c r="M133" s="12" t="inlineStr">
        <is>
          <t>14</t>
        </is>
      </c>
      <c r="N133" s="12" t="n">
        <v>6</v>
      </c>
      <c r="O133" s="12" t="n">
        <v>1</v>
      </c>
      <c r="P133" s="12" t="n"/>
      <c r="Q133" s="12" t="n"/>
      <c r="R133" s="12" t="n"/>
      <c r="S133" s="12" t="inlineStr">
        <is>
          <t>Tray / conduit</t>
        </is>
      </c>
      <c r="T133" s="16" t="n">
        <v>70</v>
      </c>
      <c r="U133" s="16" t="n">
        <v>10</v>
      </c>
      <c r="V133" s="16">
        <f>ROUNDUP((T133+U133+2*'Read Me'!$B$13)*(1+'Read Me'!$B$12),-1)</f>
        <v/>
      </c>
      <c r="W133" s="16">
        <f>V133*N133*O133</f>
        <v/>
      </c>
      <c r="X133" s="12">
        <f>IF(LEFT(I133,2)="MV",2*N133*IF(L133="1/C",O133,1),0)</f>
        <v/>
      </c>
      <c r="Y133" s="12">
        <f>IF(OR(LEFT(K133,4)="LVAX",LEFT(K133,6)="MV15AX",LEFT(K133,4)="CTAX",LEFT(K133,2)="W|"),2*N133*O133,0)</f>
        <v/>
      </c>
      <c r="Z133" s="12" t="inlineStr">
        <is>
          <t>device-to-JB field wiring, one cable per device</t>
        </is>
      </c>
      <c r="AA133" s="12">
        <f>N133*O133</f>
        <v/>
      </c>
    </row>
    <row r="134">
      <c r="A134" s="12" t="inlineStr">
        <is>
          <t>A-C-0122</t>
        </is>
      </c>
      <c r="B134" s="12" t="inlineStr">
        <is>
          <t>A</t>
        </is>
      </c>
      <c r="C134" s="12" t="inlineStr">
        <is>
          <t>Power block</t>
        </is>
      </c>
      <c r="D134" s="12" t="inlineStr">
        <is>
          <t>Home run JB-GFM-1-SOL01 to the control / marshalling room</t>
        </is>
      </c>
      <c r="E134" s="12" t="inlineStr">
        <is>
          <t>R2A</t>
        </is>
      </c>
      <c r="F134" s="12" t="inlineStr">
        <is>
          <t>R2A: unit / HRSG electrical e-house (32 x 40 ft)</t>
        </is>
      </c>
      <c r="G134" s="12" t="inlineStr">
        <is>
          <t>JB-GFM-1-SOL01</t>
        </is>
      </c>
      <c r="H134" s="12" t="inlineStr">
        <is>
          <t>GFM-1: GT1 gas fuel module (stop / control valves, final strainer)</t>
        </is>
      </c>
      <c r="I134" s="12" t="inlineStr">
        <is>
          <t>Control</t>
        </is>
      </c>
      <c r="J134" s="12" t="inlineStr">
        <is>
          <t>ARMOR-X MC-HL 600 V control, Cu #14 AWG (Class I Div 2)</t>
        </is>
      </c>
      <c r="K134" s="12" t="inlineStr">
        <is>
          <t>CTAX|25/C|14</t>
        </is>
      </c>
      <c r="L134" s="12" t="inlineStr">
        <is>
          <t>25/C</t>
        </is>
      </c>
      <c r="M134" s="12" t="inlineStr">
        <is>
          <t>14</t>
        </is>
      </c>
      <c r="N134" s="12" t="n">
        <v>1</v>
      </c>
      <c r="O134" s="12" t="n">
        <v>1</v>
      </c>
      <c r="P134" s="12" t="n"/>
      <c r="Q134" s="12" t="n"/>
      <c r="R134" s="12" t="n"/>
      <c r="S134" s="12" t="inlineStr">
        <is>
          <t>Tray</t>
        </is>
      </c>
      <c r="T134" s="16" t="n">
        <v>220</v>
      </c>
      <c r="U134" s="16" t="n">
        <v>94</v>
      </c>
      <c r="V134" s="16">
        <f>ROUNDUP((T134+U134+2*'Read Me'!$B$13)*(1+'Read Me'!$B$12),-1)</f>
        <v/>
      </c>
      <c r="W134" s="16">
        <f>V134*N134*O134</f>
        <v/>
      </c>
      <c r="X134" s="12">
        <f>IF(LEFT(I134,2)="MV",2*N134*IF(L134="1/C",O134,1),0)</f>
        <v/>
      </c>
      <c r="Y134" s="12">
        <f>IF(OR(LEFT(K134,4)="LVAX",LEFT(K134,6)="MV15AX",LEFT(K134,4)="CTAX",LEFT(K134,2)="W|"),2*N134*O134,0)</f>
        <v/>
      </c>
      <c r="Z134" s="12" t="inlineStr"/>
      <c r="AA134" s="12">
        <f>N134*O134</f>
        <v/>
      </c>
    </row>
    <row r="135">
      <c r="A135" s="12" t="inlineStr">
        <is>
          <t>A-C-0123</t>
        </is>
      </c>
      <c r="B135" s="12" t="inlineStr">
        <is>
          <t>A</t>
        </is>
      </c>
      <c r="C135" s="12" t="inlineStr">
        <is>
          <t>Power block</t>
        </is>
      </c>
      <c r="D135" s="12" t="inlineStr">
        <is>
          <t>Solenoid to JB JB-GFM-2-SOL01: 6 x 2/C (field cables)</t>
        </is>
      </c>
      <c r="E135" s="12" t="inlineStr">
        <is>
          <t>GFM-2</t>
        </is>
      </c>
      <c r="F135" s="12" t="inlineStr">
        <is>
          <t>GFM-2: GT2 gas fuel module (stop / control valves, final strainer)</t>
        </is>
      </c>
      <c r="G135" s="12" t="inlineStr">
        <is>
          <t>JB-GFM-2-SOL01</t>
        </is>
      </c>
      <c r="H135" s="12" t="inlineStr">
        <is>
          <t>GFM-2: GT2 gas fuel module (stop / control valves, final strainer)</t>
        </is>
      </c>
      <c r="I135" s="12" t="inlineStr">
        <is>
          <t>Control</t>
        </is>
      </c>
      <c r="J135" s="12" t="inlineStr">
        <is>
          <t>ARMOR-X MC-HL 600 V control, Cu #14 AWG (Class I Div 2)</t>
        </is>
      </c>
      <c r="K135" s="12" t="inlineStr">
        <is>
          <t>CTAX|2/C|14</t>
        </is>
      </c>
      <c r="L135" s="12" t="inlineStr">
        <is>
          <t>2/C</t>
        </is>
      </c>
      <c r="M135" s="12" t="inlineStr">
        <is>
          <t>14</t>
        </is>
      </c>
      <c r="N135" s="12" t="n">
        <v>6</v>
      </c>
      <c r="O135" s="12" t="n">
        <v>1</v>
      </c>
      <c r="P135" s="12" t="n"/>
      <c r="Q135" s="12" t="n"/>
      <c r="R135" s="12" t="n"/>
      <c r="S135" s="12" t="inlineStr">
        <is>
          <t>Tray / conduit</t>
        </is>
      </c>
      <c r="T135" s="16" t="n">
        <v>70</v>
      </c>
      <c r="U135" s="16" t="n">
        <v>10</v>
      </c>
      <c r="V135" s="16">
        <f>ROUNDUP((T135+U135+2*'Read Me'!$B$13)*(1+'Read Me'!$B$12),-1)</f>
        <v/>
      </c>
      <c r="W135" s="16">
        <f>V135*N135*O135</f>
        <v/>
      </c>
      <c r="X135" s="12">
        <f>IF(LEFT(I135,2)="MV",2*N135*IF(L135="1/C",O135,1),0)</f>
        <v/>
      </c>
      <c r="Y135" s="12">
        <f>IF(OR(LEFT(K135,4)="LVAX",LEFT(K135,6)="MV15AX",LEFT(K135,4)="CTAX",LEFT(K135,2)="W|"),2*N135*O135,0)</f>
        <v/>
      </c>
      <c r="Z135" s="12" t="inlineStr">
        <is>
          <t>device-to-JB field wiring, one cable per device</t>
        </is>
      </c>
      <c r="AA135" s="12">
        <f>N135*O135</f>
        <v/>
      </c>
    </row>
    <row r="136">
      <c r="A136" s="12" t="inlineStr">
        <is>
          <t>A-C-0124</t>
        </is>
      </c>
      <c r="B136" s="12" t="inlineStr">
        <is>
          <t>A</t>
        </is>
      </c>
      <c r="C136" s="12" t="inlineStr">
        <is>
          <t>Power block</t>
        </is>
      </c>
      <c r="D136" s="12" t="inlineStr">
        <is>
          <t>Home run JB-GFM-2-SOL01 to the control / marshalling room</t>
        </is>
      </c>
      <c r="E136" s="12" t="inlineStr">
        <is>
          <t>R2B</t>
        </is>
      </c>
      <c r="F136" s="12" t="inlineStr">
        <is>
          <t>R2B: unit / HRSG electrical e-house (32 x 40 ft)</t>
        </is>
      </c>
      <c r="G136" s="12" t="inlineStr">
        <is>
          <t>JB-GFM-2-SOL01</t>
        </is>
      </c>
      <c r="H136" s="12" t="inlineStr">
        <is>
          <t>GFM-2: GT2 gas fuel module (stop / control valves, final strainer)</t>
        </is>
      </c>
      <c r="I136" s="12" t="inlineStr">
        <is>
          <t>Control</t>
        </is>
      </c>
      <c r="J136" s="12" t="inlineStr">
        <is>
          <t>ARMOR-X MC-HL 600 V control, Cu #14 AWG (Class I Div 2)</t>
        </is>
      </c>
      <c r="K136" s="12" t="inlineStr">
        <is>
          <t>CTAX|25/C|14</t>
        </is>
      </c>
      <c r="L136" s="12" t="inlineStr">
        <is>
          <t>25/C</t>
        </is>
      </c>
      <c r="M136" s="12" t="inlineStr">
        <is>
          <t>14</t>
        </is>
      </c>
      <c r="N136" s="12" t="n">
        <v>1</v>
      </c>
      <c r="O136" s="12" t="n">
        <v>1</v>
      </c>
      <c r="P136" s="12" t="n"/>
      <c r="Q136" s="12" t="n"/>
      <c r="R136" s="12" t="n"/>
      <c r="S136" s="12" t="inlineStr">
        <is>
          <t>Tray</t>
        </is>
      </c>
      <c r="T136" s="16" t="n">
        <v>1124</v>
      </c>
      <c r="U136" s="16" t="n">
        <v>188</v>
      </c>
      <c r="V136" s="16">
        <f>ROUNDUP((T136+U136+2*'Read Me'!$B$13)*(1+'Read Me'!$B$12),-1)</f>
        <v/>
      </c>
      <c r="W136" s="16">
        <f>V136*N136*O136</f>
        <v/>
      </c>
      <c r="X136" s="12">
        <f>IF(LEFT(I136,2)="MV",2*N136*IF(L136="1/C",O136,1),0)</f>
        <v/>
      </c>
      <c r="Y136" s="12">
        <f>IF(OR(LEFT(K136,4)="LVAX",LEFT(K136,6)="MV15AX",LEFT(K136,4)="CTAX",LEFT(K136,2)="W|"),2*N136*O136,0)</f>
        <v/>
      </c>
      <c r="Z136" s="12" t="inlineStr"/>
      <c r="AA136" s="12">
        <f>N136*O136</f>
        <v/>
      </c>
    </row>
    <row r="137">
      <c r="A137" s="12" t="inlineStr">
        <is>
          <t>A-C-0125</t>
        </is>
      </c>
      <c r="B137" s="12" t="inlineStr">
        <is>
          <t>A</t>
        </is>
      </c>
      <c r="C137" s="12" t="inlineStr">
        <is>
          <t>Power block</t>
        </is>
      </c>
      <c r="D137" s="12" t="inlineStr">
        <is>
          <t>Solenoid to JB JB-GFM-3-SOL01: 6 x 2/C (field cables)</t>
        </is>
      </c>
      <c r="E137" s="12" t="inlineStr">
        <is>
          <t>GFM-3</t>
        </is>
      </c>
      <c r="F137" s="12" t="inlineStr">
        <is>
          <t>GFM-3: GT3 gas fuel module (stop / control valves, final strainer)</t>
        </is>
      </c>
      <c r="G137" s="12" t="inlineStr">
        <is>
          <t>JB-GFM-3-SOL01</t>
        </is>
      </c>
      <c r="H137" s="12" t="inlineStr">
        <is>
          <t>GFM-3: GT3 gas fuel module (stop / control valves, final strainer)</t>
        </is>
      </c>
      <c r="I137" s="12" t="inlineStr">
        <is>
          <t>Control</t>
        </is>
      </c>
      <c r="J137" s="12" t="inlineStr">
        <is>
          <t>ARMOR-X MC-HL 600 V control, Cu #14 AWG (Class I Div 2)</t>
        </is>
      </c>
      <c r="K137" s="12" t="inlineStr">
        <is>
          <t>CTAX|2/C|14</t>
        </is>
      </c>
      <c r="L137" s="12" t="inlineStr">
        <is>
          <t>2/C</t>
        </is>
      </c>
      <c r="M137" s="12" t="inlineStr">
        <is>
          <t>14</t>
        </is>
      </c>
      <c r="N137" s="12" t="n">
        <v>6</v>
      </c>
      <c r="O137" s="12" t="n">
        <v>1</v>
      </c>
      <c r="P137" s="12" t="n"/>
      <c r="Q137" s="12" t="n"/>
      <c r="R137" s="12" t="n"/>
      <c r="S137" s="12" t="inlineStr">
        <is>
          <t>Tray / conduit</t>
        </is>
      </c>
      <c r="T137" s="16" t="n">
        <v>70</v>
      </c>
      <c r="U137" s="16" t="n">
        <v>10</v>
      </c>
      <c r="V137" s="16">
        <f>ROUNDUP((T137+U137+2*'Read Me'!$B$13)*(1+'Read Me'!$B$12),-1)</f>
        <v/>
      </c>
      <c r="W137" s="16">
        <f>V137*N137*O137</f>
        <v/>
      </c>
      <c r="X137" s="12">
        <f>IF(LEFT(I137,2)="MV",2*N137*IF(L137="1/C",O137,1),0)</f>
        <v/>
      </c>
      <c r="Y137" s="12">
        <f>IF(OR(LEFT(K137,4)="LVAX",LEFT(K137,6)="MV15AX",LEFT(K137,4)="CTAX",LEFT(K137,2)="W|"),2*N137*O137,0)</f>
        <v/>
      </c>
      <c r="Z137" s="12" t="inlineStr">
        <is>
          <t>device-to-JB field wiring, one cable per device</t>
        </is>
      </c>
      <c r="AA137" s="12">
        <f>N137*O137</f>
        <v/>
      </c>
    </row>
    <row r="138">
      <c r="A138" s="12" t="inlineStr">
        <is>
          <t>A-C-0126</t>
        </is>
      </c>
      <c r="B138" s="12" t="inlineStr">
        <is>
          <t>A</t>
        </is>
      </c>
      <c r="C138" s="12" t="inlineStr">
        <is>
          <t>Power block</t>
        </is>
      </c>
      <c r="D138" s="12" t="inlineStr">
        <is>
          <t>Home run JB-GFM-3-SOL01 to the control / marshalling room</t>
        </is>
      </c>
      <c r="E138" s="12" t="inlineStr">
        <is>
          <t>R2C</t>
        </is>
      </c>
      <c r="F138" s="12" t="inlineStr">
        <is>
          <t>R2C: unit / HRSG electrical e-house (32 x 40 ft)</t>
        </is>
      </c>
      <c r="G138" s="12" t="inlineStr">
        <is>
          <t>JB-GFM-3-SOL01</t>
        </is>
      </c>
      <c r="H138" s="12" t="inlineStr">
        <is>
          <t>GFM-3: GT3 gas fuel module (stop / control valves, final strainer)</t>
        </is>
      </c>
      <c r="I138" s="12" t="inlineStr">
        <is>
          <t>Control</t>
        </is>
      </c>
      <c r="J138" s="12" t="inlineStr">
        <is>
          <t>ARMOR-X MC-HL 600 V control, Cu #14 AWG (Class I Div 2)</t>
        </is>
      </c>
      <c r="K138" s="12" t="inlineStr">
        <is>
          <t>CTAX|25/C|14</t>
        </is>
      </c>
      <c r="L138" s="12" t="inlineStr">
        <is>
          <t>25/C</t>
        </is>
      </c>
      <c r="M138" s="12" t="inlineStr">
        <is>
          <t>14</t>
        </is>
      </c>
      <c r="N138" s="12" t="n">
        <v>1</v>
      </c>
      <c r="O138" s="12" t="n">
        <v>1</v>
      </c>
      <c r="P138" s="12" t="n"/>
      <c r="Q138" s="12" t="n"/>
      <c r="R138" s="12" t="n"/>
      <c r="S138" s="12" t="inlineStr">
        <is>
          <t>Tray</t>
        </is>
      </c>
      <c r="T138" s="16" t="n">
        <v>896</v>
      </c>
      <c r="U138" s="16" t="n">
        <v>212</v>
      </c>
      <c r="V138" s="16">
        <f>ROUNDUP((T138+U138+2*'Read Me'!$B$13)*(1+'Read Me'!$B$12),-1)</f>
        <v/>
      </c>
      <c r="W138" s="16">
        <f>V138*N138*O138</f>
        <v/>
      </c>
      <c r="X138" s="12">
        <f>IF(LEFT(I138,2)="MV",2*N138*IF(L138="1/C",O138,1),0)</f>
        <v/>
      </c>
      <c r="Y138" s="12">
        <f>IF(OR(LEFT(K138,4)="LVAX",LEFT(K138,6)="MV15AX",LEFT(K138,4)="CTAX",LEFT(K138,2)="W|"),2*N138*O138,0)</f>
        <v/>
      </c>
      <c r="Z138" s="12" t="inlineStr"/>
      <c r="AA138" s="12">
        <f>N138*O138</f>
        <v/>
      </c>
    </row>
    <row r="139">
      <c r="A139" s="12" t="inlineStr">
        <is>
          <t>A-C-0127</t>
        </is>
      </c>
      <c r="B139" s="12" t="inlineStr">
        <is>
          <t>A</t>
        </is>
      </c>
      <c r="C139" s="12" t="inlineStr">
        <is>
          <t>Power block</t>
        </is>
      </c>
      <c r="D139" s="12" t="inlineStr">
        <is>
          <t>Motor 1 of 2: control / local station</t>
        </is>
      </c>
      <c r="E139" s="12" t="inlineStr">
        <is>
          <t>R3</t>
        </is>
      </c>
      <c r="F139" s="12" t="inlineStr">
        <is>
          <t>R3: ST auxiliary electrical e-house (40 x 65 ft)</t>
        </is>
      </c>
      <c r="G139" s="12" t="inlineStr">
        <is>
          <t>GSC-ST</t>
        </is>
      </c>
      <c r="H139" s="12" t="inlineStr">
        <is>
          <t>GSC-ST: gland-steam condenser and exhausters</t>
        </is>
      </c>
      <c r="I139" s="12" t="inlineStr">
        <is>
          <t>Control</t>
        </is>
      </c>
      <c r="J139" s="12" t="inlineStr">
        <is>
          <t>Control cable 600 V Type TC-ER, Cu #14 AWG, PVC jacket</t>
        </is>
      </c>
      <c r="K139" s="12" t="inlineStr">
        <is>
          <t>CT|7/C|14</t>
        </is>
      </c>
      <c r="L139" s="12" t="inlineStr">
        <is>
          <t>7/C</t>
        </is>
      </c>
      <c r="M139" s="12" t="inlineStr">
        <is>
          <t>14</t>
        </is>
      </c>
      <c r="N139" s="12" t="n">
        <v>1</v>
      </c>
      <c r="O139" s="12" t="n">
        <v>1</v>
      </c>
      <c r="P139" s="12" t="n"/>
      <c r="Q139" s="12" t="n"/>
      <c r="R139" s="12" t="n"/>
      <c r="S139" s="12" t="inlineStr">
        <is>
          <t>Tray</t>
        </is>
      </c>
      <c r="T139" s="16" t="n">
        <v>72</v>
      </c>
      <c r="U139" s="16" t="n">
        <v>139</v>
      </c>
      <c r="V139" s="16">
        <f>ROUNDUP((T139+U139+2*'Read Me'!$B$13)*(1+'Read Me'!$B$12),-1)</f>
        <v/>
      </c>
      <c r="W139" s="16">
        <f>V139*N139*O139</f>
        <v/>
      </c>
      <c r="X139" s="12">
        <f>IF(LEFT(I139,2)="MV",2*N139*IF(L139="1/C",O139,1),0)</f>
        <v/>
      </c>
      <c r="Y139" s="12">
        <f>IF(OR(LEFT(K139,4)="LVAX",LEFT(K139,6)="MV15AX",LEFT(K139,4)="CTAX",LEFT(K139,2)="W|"),2*N139*O139,0)</f>
        <v/>
      </c>
      <c r="Z139" s="12" t="inlineStr"/>
      <c r="AA139" s="12">
        <f>N139*O139</f>
        <v/>
      </c>
    </row>
    <row r="140">
      <c r="A140" s="12" t="inlineStr">
        <is>
          <t>A-C-0128</t>
        </is>
      </c>
      <c r="B140" s="12" t="inlineStr">
        <is>
          <t>A</t>
        </is>
      </c>
      <c r="C140" s="12" t="inlineStr">
        <is>
          <t>Power block</t>
        </is>
      </c>
      <c r="D140" s="12" t="inlineStr">
        <is>
          <t>Motor 2 of 2: control / local station</t>
        </is>
      </c>
      <c r="E140" s="12" t="inlineStr">
        <is>
          <t>R3</t>
        </is>
      </c>
      <c r="F140" s="12" t="inlineStr">
        <is>
          <t>R3: ST auxiliary electrical e-house (40 x 65 ft)</t>
        </is>
      </c>
      <c r="G140" s="12" t="inlineStr">
        <is>
          <t>GSC-ST</t>
        </is>
      </c>
      <c r="H140" s="12" t="inlineStr">
        <is>
          <t>GSC-ST: gland-steam condenser and exhausters</t>
        </is>
      </c>
      <c r="I140" s="12" t="inlineStr">
        <is>
          <t>Control</t>
        </is>
      </c>
      <c r="J140" s="12" t="inlineStr">
        <is>
          <t>Control cable 600 V Type TC-ER, Cu #14 AWG, PVC jacket</t>
        </is>
      </c>
      <c r="K140" s="12" t="inlineStr">
        <is>
          <t>CT|7/C|14</t>
        </is>
      </c>
      <c r="L140" s="12" t="inlineStr">
        <is>
          <t>7/C</t>
        </is>
      </c>
      <c r="M140" s="12" t="inlineStr">
        <is>
          <t>14</t>
        </is>
      </c>
      <c r="N140" s="12" t="n">
        <v>1</v>
      </c>
      <c r="O140" s="12" t="n">
        <v>1</v>
      </c>
      <c r="P140" s="12" t="n"/>
      <c r="Q140" s="12" t="n"/>
      <c r="R140" s="12" t="n"/>
      <c r="S140" s="12" t="inlineStr">
        <is>
          <t>Tray</t>
        </is>
      </c>
      <c r="T140" s="16" t="n">
        <v>72</v>
      </c>
      <c r="U140" s="16" t="n">
        <v>139</v>
      </c>
      <c r="V140" s="16">
        <f>ROUNDUP((T140+U140+2*'Read Me'!$B$13)*(1+'Read Me'!$B$12),-1)</f>
        <v/>
      </c>
      <c r="W140" s="16">
        <f>V140*N140*O140</f>
        <v/>
      </c>
      <c r="X140" s="12">
        <f>IF(LEFT(I140,2)="MV",2*N140*IF(L140="1/C",O140,1),0)</f>
        <v/>
      </c>
      <c r="Y140" s="12">
        <f>IF(OR(LEFT(K140,4)="LVAX",LEFT(K140,6)="MV15AX",LEFT(K140,4)="CTAX",LEFT(K140,2)="W|"),2*N140*O140,0)</f>
        <v/>
      </c>
      <c r="Z140" s="12" t="inlineStr"/>
      <c r="AA140" s="12">
        <f>N140*O140</f>
        <v/>
      </c>
    </row>
    <row r="141">
      <c r="A141" s="12" t="inlineStr">
        <is>
          <t>A-C-0129</t>
        </is>
      </c>
      <c r="B141" s="12" t="inlineStr">
        <is>
          <t>A</t>
        </is>
      </c>
      <c r="C141" s="12" t="inlineStr">
        <is>
          <t>Power block</t>
        </is>
      </c>
      <c r="D141" s="12" t="inlineStr">
        <is>
          <t>Motor 1 of 6: control / local station</t>
        </is>
      </c>
      <c r="E141" s="12" t="inlineStr">
        <is>
          <t>R2A</t>
        </is>
      </c>
      <c r="F141" s="12" t="inlineStr">
        <is>
          <t>R2A: unit / HRSG electrical e-house (32 x 40 ft)</t>
        </is>
      </c>
      <c r="G141" s="12" t="inlineStr"/>
      <c r="H141" s="12" t="inlineStr">
        <is>
          <t>GSU-1 firewall</t>
        </is>
      </c>
      <c r="I141" s="12" t="inlineStr">
        <is>
          <t>Control</t>
        </is>
      </c>
      <c r="J141" s="12" t="inlineStr">
        <is>
          <t>Control cable 600 V Type TC-ER, Cu #14 AWG, PVC jacket</t>
        </is>
      </c>
      <c r="K141" s="12" t="inlineStr">
        <is>
          <t>CT|7/C|14</t>
        </is>
      </c>
      <c r="L141" s="12" t="inlineStr">
        <is>
          <t>7/C</t>
        </is>
      </c>
      <c r="M141" s="12" t="inlineStr">
        <is>
          <t>14</t>
        </is>
      </c>
      <c r="N141" s="12" t="n">
        <v>1</v>
      </c>
      <c r="O141" s="12" t="n">
        <v>1</v>
      </c>
      <c r="P141" s="12" t="n"/>
      <c r="Q141" s="12" t="n"/>
      <c r="R141" s="12" t="n"/>
      <c r="S141" s="12" t="inlineStr">
        <is>
          <t>Tray</t>
        </is>
      </c>
      <c r="T141" s="16" t="n">
        <v>416</v>
      </c>
      <c r="U141" s="16" t="n">
        <v>181</v>
      </c>
      <c r="V141" s="16">
        <f>ROUNDUP((T141+U141+2*'Read Me'!$B$13)*(1+'Read Me'!$B$12),-1)</f>
        <v/>
      </c>
      <c r="W141" s="16">
        <f>V141*N141*O141</f>
        <v/>
      </c>
      <c r="X141" s="12">
        <f>IF(LEFT(I141,2)="MV",2*N141*IF(L141="1/C",O141,1),0)</f>
        <v/>
      </c>
      <c r="Y141" s="12">
        <f>IF(OR(LEFT(K141,4)="LVAX",LEFT(K141,6)="MV15AX",LEFT(K141,4)="CTAX",LEFT(K141,2)="W|"),2*N141*O141,0)</f>
        <v/>
      </c>
      <c r="Z141" s="12" t="inlineStr"/>
      <c r="AA141" s="12">
        <f>N141*O141</f>
        <v/>
      </c>
    </row>
    <row r="142">
      <c r="A142" s="12" t="inlineStr">
        <is>
          <t>A-C-0130</t>
        </is>
      </c>
      <c r="B142" s="12" t="inlineStr">
        <is>
          <t>A</t>
        </is>
      </c>
      <c r="C142" s="12" t="inlineStr">
        <is>
          <t>Power block</t>
        </is>
      </c>
      <c r="D142" s="12" t="inlineStr">
        <is>
          <t>Motor 2 of 6: control / local station</t>
        </is>
      </c>
      <c r="E142" s="12" t="inlineStr">
        <is>
          <t>R2A</t>
        </is>
      </c>
      <c r="F142" s="12" t="inlineStr">
        <is>
          <t>R2A: unit / HRSG electrical e-house (32 x 40 ft)</t>
        </is>
      </c>
      <c r="G142" s="12" t="inlineStr"/>
      <c r="H142" s="12" t="inlineStr">
        <is>
          <t>GSU-1 firewall</t>
        </is>
      </c>
      <c r="I142" s="12" t="inlineStr">
        <is>
          <t>Control</t>
        </is>
      </c>
      <c r="J142" s="12" t="inlineStr">
        <is>
          <t>Control cable 600 V Type TC-ER, Cu #14 AWG, PVC jacket</t>
        </is>
      </c>
      <c r="K142" s="12" t="inlineStr">
        <is>
          <t>CT|7/C|14</t>
        </is>
      </c>
      <c r="L142" s="12" t="inlineStr">
        <is>
          <t>7/C</t>
        </is>
      </c>
      <c r="M142" s="12" t="inlineStr">
        <is>
          <t>14</t>
        </is>
      </c>
      <c r="N142" s="12" t="n">
        <v>1</v>
      </c>
      <c r="O142" s="12" t="n">
        <v>1</v>
      </c>
      <c r="P142" s="12" t="n"/>
      <c r="Q142" s="12" t="n"/>
      <c r="R142" s="12" t="n"/>
      <c r="S142" s="12" t="inlineStr">
        <is>
          <t>Tray</t>
        </is>
      </c>
      <c r="T142" s="16" t="n">
        <v>416</v>
      </c>
      <c r="U142" s="16" t="n">
        <v>181</v>
      </c>
      <c r="V142" s="16">
        <f>ROUNDUP((T142+U142+2*'Read Me'!$B$13)*(1+'Read Me'!$B$12),-1)</f>
        <v/>
      </c>
      <c r="W142" s="16">
        <f>V142*N142*O142</f>
        <v/>
      </c>
      <c r="X142" s="12">
        <f>IF(LEFT(I142,2)="MV",2*N142*IF(L142="1/C",O142,1),0)</f>
        <v/>
      </c>
      <c r="Y142" s="12">
        <f>IF(OR(LEFT(K142,4)="LVAX",LEFT(K142,6)="MV15AX",LEFT(K142,4)="CTAX",LEFT(K142,2)="W|"),2*N142*O142,0)</f>
        <v/>
      </c>
      <c r="Z142" s="12" t="inlineStr"/>
      <c r="AA142" s="12">
        <f>N142*O142</f>
        <v/>
      </c>
    </row>
    <row r="143">
      <c r="A143" s="12" t="inlineStr">
        <is>
          <t>A-C-0131</t>
        </is>
      </c>
      <c r="B143" s="12" t="inlineStr">
        <is>
          <t>A</t>
        </is>
      </c>
      <c r="C143" s="12" t="inlineStr">
        <is>
          <t>Power block</t>
        </is>
      </c>
      <c r="D143" s="12" t="inlineStr">
        <is>
          <t>Motor 3 of 6: control / local station</t>
        </is>
      </c>
      <c r="E143" s="12" t="inlineStr">
        <is>
          <t>R2A</t>
        </is>
      </c>
      <c r="F143" s="12" t="inlineStr">
        <is>
          <t>R2A: unit / HRSG electrical e-house (32 x 40 ft)</t>
        </is>
      </c>
      <c r="G143" s="12" t="inlineStr"/>
      <c r="H143" s="12" t="inlineStr">
        <is>
          <t>GSU-1 firewall</t>
        </is>
      </c>
      <c r="I143" s="12" t="inlineStr">
        <is>
          <t>Control</t>
        </is>
      </c>
      <c r="J143" s="12" t="inlineStr">
        <is>
          <t>Control cable 600 V Type TC-ER, Cu #14 AWG, PVC jacket</t>
        </is>
      </c>
      <c r="K143" s="12" t="inlineStr">
        <is>
          <t>CT|7/C|14</t>
        </is>
      </c>
      <c r="L143" s="12" t="inlineStr">
        <is>
          <t>7/C</t>
        </is>
      </c>
      <c r="M143" s="12" t="inlineStr">
        <is>
          <t>14</t>
        </is>
      </c>
      <c r="N143" s="12" t="n">
        <v>1</v>
      </c>
      <c r="O143" s="12" t="n">
        <v>1</v>
      </c>
      <c r="P143" s="12" t="n"/>
      <c r="Q143" s="12" t="n"/>
      <c r="R143" s="12" t="n"/>
      <c r="S143" s="12" t="inlineStr">
        <is>
          <t>Tray</t>
        </is>
      </c>
      <c r="T143" s="16" t="n">
        <v>416</v>
      </c>
      <c r="U143" s="16" t="n">
        <v>181</v>
      </c>
      <c r="V143" s="16">
        <f>ROUNDUP((T143+U143+2*'Read Me'!$B$13)*(1+'Read Me'!$B$12),-1)</f>
        <v/>
      </c>
      <c r="W143" s="16">
        <f>V143*N143*O143</f>
        <v/>
      </c>
      <c r="X143" s="12">
        <f>IF(LEFT(I143,2)="MV",2*N143*IF(L143="1/C",O143,1),0)</f>
        <v/>
      </c>
      <c r="Y143" s="12">
        <f>IF(OR(LEFT(K143,4)="LVAX",LEFT(K143,6)="MV15AX",LEFT(K143,4)="CTAX",LEFT(K143,2)="W|"),2*N143*O143,0)</f>
        <v/>
      </c>
      <c r="Z143" s="12" t="inlineStr"/>
      <c r="AA143" s="12">
        <f>N143*O143</f>
        <v/>
      </c>
    </row>
    <row r="144">
      <c r="A144" s="12" t="inlineStr">
        <is>
          <t>A-C-0132</t>
        </is>
      </c>
      <c r="B144" s="12" t="inlineStr">
        <is>
          <t>A</t>
        </is>
      </c>
      <c r="C144" s="12" t="inlineStr">
        <is>
          <t>Power block</t>
        </is>
      </c>
      <c r="D144" s="12" t="inlineStr">
        <is>
          <t>Motor 4 of 6: control / local station</t>
        </is>
      </c>
      <c r="E144" s="12" t="inlineStr">
        <is>
          <t>R2A</t>
        </is>
      </c>
      <c r="F144" s="12" t="inlineStr">
        <is>
          <t>R2A: unit / HRSG electrical e-house (32 x 40 ft)</t>
        </is>
      </c>
      <c r="G144" s="12" t="inlineStr"/>
      <c r="H144" s="12" t="inlineStr">
        <is>
          <t>GSU-1 firewall</t>
        </is>
      </c>
      <c r="I144" s="12" t="inlineStr">
        <is>
          <t>Control</t>
        </is>
      </c>
      <c r="J144" s="12" t="inlineStr">
        <is>
          <t>Control cable 600 V Type TC-ER, Cu #14 AWG, PVC jacket</t>
        </is>
      </c>
      <c r="K144" s="12" t="inlineStr">
        <is>
          <t>CT|7/C|14</t>
        </is>
      </c>
      <c r="L144" s="12" t="inlineStr">
        <is>
          <t>7/C</t>
        </is>
      </c>
      <c r="M144" s="12" t="inlineStr">
        <is>
          <t>14</t>
        </is>
      </c>
      <c r="N144" s="12" t="n">
        <v>1</v>
      </c>
      <c r="O144" s="12" t="n">
        <v>1</v>
      </c>
      <c r="P144" s="12" t="n"/>
      <c r="Q144" s="12" t="n"/>
      <c r="R144" s="12" t="n"/>
      <c r="S144" s="12" t="inlineStr">
        <is>
          <t>Tray</t>
        </is>
      </c>
      <c r="T144" s="16" t="n">
        <v>416</v>
      </c>
      <c r="U144" s="16" t="n">
        <v>181</v>
      </c>
      <c r="V144" s="16">
        <f>ROUNDUP((T144+U144+2*'Read Me'!$B$13)*(1+'Read Me'!$B$12),-1)</f>
        <v/>
      </c>
      <c r="W144" s="16">
        <f>V144*N144*O144</f>
        <v/>
      </c>
      <c r="X144" s="12">
        <f>IF(LEFT(I144,2)="MV",2*N144*IF(L144="1/C",O144,1),0)</f>
        <v/>
      </c>
      <c r="Y144" s="12">
        <f>IF(OR(LEFT(K144,4)="LVAX",LEFT(K144,6)="MV15AX",LEFT(K144,4)="CTAX",LEFT(K144,2)="W|"),2*N144*O144,0)</f>
        <v/>
      </c>
      <c r="Z144" s="12" t="inlineStr"/>
      <c r="AA144" s="12">
        <f>N144*O144</f>
        <v/>
      </c>
    </row>
    <row r="145">
      <c r="A145" s="12" t="inlineStr">
        <is>
          <t>A-C-0133</t>
        </is>
      </c>
      <c r="B145" s="12" t="inlineStr">
        <is>
          <t>A</t>
        </is>
      </c>
      <c r="C145" s="12" t="inlineStr">
        <is>
          <t>Power block</t>
        </is>
      </c>
      <c r="D145" s="12" t="inlineStr">
        <is>
          <t>Motor 5 of 6: control / local station</t>
        </is>
      </c>
      <c r="E145" s="12" t="inlineStr">
        <is>
          <t>R2A</t>
        </is>
      </c>
      <c r="F145" s="12" t="inlineStr">
        <is>
          <t>R2A: unit / HRSG electrical e-house (32 x 40 ft)</t>
        </is>
      </c>
      <c r="G145" s="12" t="inlineStr"/>
      <c r="H145" s="12" t="inlineStr">
        <is>
          <t>GSU-1 firewall</t>
        </is>
      </c>
      <c r="I145" s="12" t="inlineStr">
        <is>
          <t>Control</t>
        </is>
      </c>
      <c r="J145" s="12" t="inlineStr">
        <is>
          <t>Control cable 600 V Type TC-ER, Cu #14 AWG, PVC jacket</t>
        </is>
      </c>
      <c r="K145" s="12" t="inlineStr">
        <is>
          <t>CT|7/C|14</t>
        </is>
      </c>
      <c r="L145" s="12" t="inlineStr">
        <is>
          <t>7/C</t>
        </is>
      </c>
      <c r="M145" s="12" t="inlineStr">
        <is>
          <t>14</t>
        </is>
      </c>
      <c r="N145" s="12" t="n">
        <v>1</v>
      </c>
      <c r="O145" s="12" t="n">
        <v>1</v>
      </c>
      <c r="P145" s="12" t="n"/>
      <c r="Q145" s="12" t="n"/>
      <c r="R145" s="12" t="n"/>
      <c r="S145" s="12" t="inlineStr">
        <is>
          <t>Tray</t>
        </is>
      </c>
      <c r="T145" s="16" t="n">
        <v>416</v>
      </c>
      <c r="U145" s="16" t="n">
        <v>181</v>
      </c>
      <c r="V145" s="16">
        <f>ROUNDUP((T145+U145+2*'Read Me'!$B$13)*(1+'Read Me'!$B$12),-1)</f>
        <v/>
      </c>
      <c r="W145" s="16">
        <f>V145*N145*O145</f>
        <v/>
      </c>
      <c r="X145" s="12">
        <f>IF(LEFT(I145,2)="MV",2*N145*IF(L145="1/C",O145,1),0)</f>
        <v/>
      </c>
      <c r="Y145" s="12">
        <f>IF(OR(LEFT(K145,4)="LVAX",LEFT(K145,6)="MV15AX",LEFT(K145,4)="CTAX",LEFT(K145,2)="W|"),2*N145*O145,0)</f>
        <v/>
      </c>
      <c r="Z145" s="12" t="inlineStr"/>
      <c r="AA145" s="12">
        <f>N145*O145</f>
        <v/>
      </c>
    </row>
    <row r="146">
      <c r="A146" s="12" t="inlineStr">
        <is>
          <t>A-C-0134</t>
        </is>
      </c>
      <c r="B146" s="12" t="inlineStr">
        <is>
          <t>A</t>
        </is>
      </c>
      <c r="C146" s="12" t="inlineStr">
        <is>
          <t>Power block</t>
        </is>
      </c>
      <c r="D146" s="12" t="inlineStr">
        <is>
          <t>Motor 6 of 6: control / local station</t>
        </is>
      </c>
      <c r="E146" s="12" t="inlineStr">
        <is>
          <t>R2A</t>
        </is>
      </c>
      <c r="F146" s="12" t="inlineStr">
        <is>
          <t>R2A: unit / HRSG electrical e-house (32 x 40 ft)</t>
        </is>
      </c>
      <c r="G146" s="12" t="inlineStr"/>
      <c r="H146" s="12" t="inlineStr">
        <is>
          <t>GSU-1 firewall</t>
        </is>
      </c>
      <c r="I146" s="12" t="inlineStr">
        <is>
          <t>Control</t>
        </is>
      </c>
      <c r="J146" s="12" t="inlineStr">
        <is>
          <t>Control cable 600 V Type TC-ER, Cu #14 AWG, PVC jacket</t>
        </is>
      </c>
      <c r="K146" s="12" t="inlineStr">
        <is>
          <t>CT|7/C|14</t>
        </is>
      </c>
      <c r="L146" s="12" t="inlineStr">
        <is>
          <t>7/C</t>
        </is>
      </c>
      <c r="M146" s="12" t="inlineStr">
        <is>
          <t>14</t>
        </is>
      </c>
      <c r="N146" s="12" t="n">
        <v>1</v>
      </c>
      <c r="O146" s="12" t="n">
        <v>1</v>
      </c>
      <c r="P146" s="12" t="n"/>
      <c r="Q146" s="12" t="n"/>
      <c r="R146" s="12" t="n"/>
      <c r="S146" s="12" t="inlineStr">
        <is>
          <t>Tray</t>
        </is>
      </c>
      <c r="T146" s="16" t="n">
        <v>416</v>
      </c>
      <c r="U146" s="16" t="n">
        <v>181</v>
      </c>
      <c r="V146" s="16">
        <f>ROUNDUP((T146+U146+2*'Read Me'!$B$13)*(1+'Read Me'!$B$12),-1)</f>
        <v/>
      </c>
      <c r="W146" s="16">
        <f>V146*N146*O146</f>
        <v/>
      </c>
      <c r="X146" s="12">
        <f>IF(LEFT(I146,2)="MV",2*N146*IF(L146="1/C",O146,1),0)</f>
        <v/>
      </c>
      <c r="Y146" s="12">
        <f>IF(OR(LEFT(K146,4)="LVAX",LEFT(K146,6)="MV15AX",LEFT(K146,4)="CTAX",LEFT(K146,2)="W|"),2*N146*O146,0)</f>
        <v/>
      </c>
      <c r="Z146" s="12" t="inlineStr"/>
      <c r="AA146" s="12">
        <f>N146*O146</f>
        <v/>
      </c>
    </row>
    <row r="147">
      <c r="A147" s="12" t="inlineStr">
        <is>
          <t>A-C-0135</t>
        </is>
      </c>
      <c r="B147" s="12" t="inlineStr">
        <is>
          <t>A</t>
        </is>
      </c>
      <c r="C147" s="12" t="inlineStr">
        <is>
          <t>Power block</t>
        </is>
      </c>
      <c r="D147" s="12" t="inlineStr">
        <is>
          <t>Motor 1 of 6: control / local station</t>
        </is>
      </c>
      <c r="E147" s="12" t="inlineStr">
        <is>
          <t>R2A</t>
        </is>
      </c>
      <c r="F147" s="12" t="inlineStr">
        <is>
          <t>R2A: unit / HRSG electrical e-house (32 x 40 ft)</t>
        </is>
      </c>
      <c r="G147" s="12" t="inlineStr">
        <is>
          <t>GSU-1</t>
        </is>
      </c>
      <c r="H147" s="12" t="inlineStr">
        <is>
          <t>GSU-1: 21/230 kV generator step-up transformer</t>
        </is>
      </c>
      <c r="I147" s="12" t="inlineStr">
        <is>
          <t>Control</t>
        </is>
      </c>
      <c r="J147" s="12" t="inlineStr">
        <is>
          <t>Control cable 600 V Type TC-ER, Cu #14 AWG, PVC jacket</t>
        </is>
      </c>
      <c r="K147" s="12" t="inlineStr">
        <is>
          <t>CT|7/C|14</t>
        </is>
      </c>
      <c r="L147" s="12" t="inlineStr">
        <is>
          <t>7/C</t>
        </is>
      </c>
      <c r="M147" s="12" t="inlineStr">
        <is>
          <t>14</t>
        </is>
      </c>
      <c r="N147" s="12" t="n">
        <v>1</v>
      </c>
      <c r="O147" s="12" t="n">
        <v>1</v>
      </c>
      <c r="P147" s="12" t="n"/>
      <c r="Q147" s="12" t="n"/>
      <c r="R147" s="12" t="n"/>
      <c r="S147" s="12" t="inlineStr">
        <is>
          <t>Tray</t>
        </is>
      </c>
      <c r="T147" s="16" t="n">
        <v>419</v>
      </c>
      <c r="U147" s="16" t="n">
        <v>179</v>
      </c>
      <c r="V147" s="16">
        <f>ROUNDUP((T147+U147+2*'Read Me'!$B$13)*(1+'Read Me'!$B$12),-1)</f>
        <v/>
      </c>
      <c r="W147" s="16">
        <f>V147*N147*O147</f>
        <v/>
      </c>
      <c r="X147" s="12">
        <f>IF(LEFT(I147,2)="MV",2*N147*IF(L147="1/C",O147,1),0)</f>
        <v/>
      </c>
      <c r="Y147" s="12">
        <f>IF(OR(LEFT(K147,4)="LVAX",LEFT(K147,6)="MV15AX",LEFT(K147,4)="CTAX",LEFT(K147,2)="W|"),2*N147*O147,0)</f>
        <v/>
      </c>
      <c r="Z147" s="12" t="inlineStr"/>
      <c r="AA147" s="12">
        <f>N147*O147</f>
        <v/>
      </c>
    </row>
    <row r="148">
      <c r="A148" s="12" t="inlineStr">
        <is>
          <t>A-C-0136</t>
        </is>
      </c>
      <c r="B148" s="12" t="inlineStr">
        <is>
          <t>A</t>
        </is>
      </c>
      <c r="C148" s="12" t="inlineStr">
        <is>
          <t>Power block</t>
        </is>
      </c>
      <c r="D148" s="12" t="inlineStr">
        <is>
          <t>Motor 2 of 6: control / local station</t>
        </is>
      </c>
      <c r="E148" s="12" t="inlineStr">
        <is>
          <t>R2A</t>
        </is>
      </c>
      <c r="F148" s="12" t="inlineStr">
        <is>
          <t>R2A: unit / HRSG electrical e-house (32 x 40 ft)</t>
        </is>
      </c>
      <c r="G148" s="12" t="inlineStr">
        <is>
          <t>GSU-1</t>
        </is>
      </c>
      <c r="H148" s="12" t="inlineStr">
        <is>
          <t>GSU-1: 21/230 kV generator step-up transformer</t>
        </is>
      </c>
      <c r="I148" s="12" t="inlineStr">
        <is>
          <t>Control</t>
        </is>
      </c>
      <c r="J148" s="12" t="inlineStr">
        <is>
          <t>Control cable 600 V Type TC-ER, Cu #14 AWG, PVC jacket</t>
        </is>
      </c>
      <c r="K148" s="12" t="inlineStr">
        <is>
          <t>CT|7/C|14</t>
        </is>
      </c>
      <c r="L148" s="12" t="inlineStr">
        <is>
          <t>7/C</t>
        </is>
      </c>
      <c r="M148" s="12" t="inlineStr">
        <is>
          <t>14</t>
        </is>
      </c>
      <c r="N148" s="12" t="n">
        <v>1</v>
      </c>
      <c r="O148" s="12" t="n">
        <v>1</v>
      </c>
      <c r="P148" s="12" t="n"/>
      <c r="Q148" s="12" t="n"/>
      <c r="R148" s="12" t="n"/>
      <c r="S148" s="12" t="inlineStr">
        <is>
          <t>Tray</t>
        </is>
      </c>
      <c r="T148" s="16" t="n">
        <v>419</v>
      </c>
      <c r="U148" s="16" t="n">
        <v>179</v>
      </c>
      <c r="V148" s="16">
        <f>ROUNDUP((T148+U148+2*'Read Me'!$B$13)*(1+'Read Me'!$B$12),-1)</f>
        <v/>
      </c>
      <c r="W148" s="16">
        <f>V148*N148*O148</f>
        <v/>
      </c>
      <c r="X148" s="12">
        <f>IF(LEFT(I148,2)="MV",2*N148*IF(L148="1/C",O148,1),0)</f>
        <v/>
      </c>
      <c r="Y148" s="12">
        <f>IF(OR(LEFT(K148,4)="LVAX",LEFT(K148,6)="MV15AX",LEFT(K148,4)="CTAX",LEFT(K148,2)="W|"),2*N148*O148,0)</f>
        <v/>
      </c>
      <c r="Z148" s="12" t="inlineStr"/>
      <c r="AA148" s="12">
        <f>N148*O148</f>
        <v/>
      </c>
    </row>
    <row r="149">
      <c r="A149" s="12" t="inlineStr">
        <is>
          <t>A-C-0137</t>
        </is>
      </c>
      <c r="B149" s="12" t="inlineStr">
        <is>
          <t>A</t>
        </is>
      </c>
      <c r="C149" s="12" t="inlineStr">
        <is>
          <t>Power block</t>
        </is>
      </c>
      <c r="D149" s="12" t="inlineStr">
        <is>
          <t>Motor 3 of 6: control / local station</t>
        </is>
      </c>
      <c r="E149" s="12" t="inlineStr">
        <is>
          <t>R2A</t>
        </is>
      </c>
      <c r="F149" s="12" t="inlineStr">
        <is>
          <t>R2A: unit / HRSG electrical e-house (32 x 40 ft)</t>
        </is>
      </c>
      <c r="G149" s="12" t="inlineStr">
        <is>
          <t>GSU-1</t>
        </is>
      </c>
      <c r="H149" s="12" t="inlineStr">
        <is>
          <t>GSU-1: 21/230 kV generator step-up transformer</t>
        </is>
      </c>
      <c r="I149" s="12" t="inlineStr">
        <is>
          <t>Control</t>
        </is>
      </c>
      <c r="J149" s="12" t="inlineStr">
        <is>
          <t>Control cable 600 V Type TC-ER, Cu #14 AWG, PVC jacket</t>
        </is>
      </c>
      <c r="K149" s="12" t="inlineStr">
        <is>
          <t>CT|7/C|14</t>
        </is>
      </c>
      <c r="L149" s="12" t="inlineStr">
        <is>
          <t>7/C</t>
        </is>
      </c>
      <c r="M149" s="12" t="inlineStr">
        <is>
          <t>14</t>
        </is>
      </c>
      <c r="N149" s="12" t="n">
        <v>1</v>
      </c>
      <c r="O149" s="12" t="n">
        <v>1</v>
      </c>
      <c r="P149" s="12" t="n"/>
      <c r="Q149" s="12" t="n"/>
      <c r="R149" s="12" t="n"/>
      <c r="S149" s="12" t="inlineStr">
        <is>
          <t>Tray</t>
        </is>
      </c>
      <c r="T149" s="16" t="n">
        <v>419</v>
      </c>
      <c r="U149" s="16" t="n">
        <v>179</v>
      </c>
      <c r="V149" s="16">
        <f>ROUNDUP((T149+U149+2*'Read Me'!$B$13)*(1+'Read Me'!$B$12),-1)</f>
        <v/>
      </c>
      <c r="W149" s="16">
        <f>V149*N149*O149</f>
        <v/>
      </c>
      <c r="X149" s="12">
        <f>IF(LEFT(I149,2)="MV",2*N149*IF(L149="1/C",O149,1),0)</f>
        <v/>
      </c>
      <c r="Y149" s="12">
        <f>IF(OR(LEFT(K149,4)="LVAX",LEFT(K149,6)="MV15AX",LEFT(K149,4)="CTAX",LEFT(K149,2)="W|"),2*N149*O149,0)</f>
        <v/>
      </c>
      <c r="Z149" s="12" t="inlineStr"/>
      <c r="AA149" s="12">
        <f>N149*O149</f>
        <v/>
      </c>
    </row>
    <row r="150">
      <c r="A150" s="12" t="inlineStr">
        <is>
          <t>A-C-0138</t>
        </is>
      </c>
      <c r="B150" s="12" t="inlineStr">
        <is>
          <t>A</t>
        </is>
      </c>
      <c r="C150" s="12" t="inlineStr">
        <is>
          <t>Power block</t>
        </is>
      </c>
      <c r="D150" s="12" t="inlineStr">
        <is>
          <t>Motor 4 of 6: control / local station</t>
        </is>
      </c>
      <c r="E150" s="12" t="inlineStr">
        <is>
          <t>R2A</t>
        </is>
      </c>
      <c r="F150" s="12" t="inlineStr">
        <is>
          <t>R2A: unit / HRSG electrical e-house (32 x 40 ft)</t>
        </is>
      </c>
      <c r="G150" s="12" t="inlineStr">
        <is>
          <t>GSU-1</t>
        </is>
      </c>
      <c r="H150" s="12" t="inlineStr">
        <is>
          <t>GSU-1: 21/230 kV generator step-up transformer</t>
        </is>
      </c>
      <c r="I150" s="12" t="inlineStr">
        <is>
          <t>Control</t>
        </is>
      </c>
      <c r="J150" s="12" t="inlineStr">
        <is>
          <t>Control cable 600 V Type TC-ER, Cu #14 AWG, PVC jacket</t>
        </is>
      </c>
      <c r="K150" s="12" t="inlineStr">
        <is>
          <t>CT|7/C|14</t>
        </is>
      </c>
      <c r="L150" s="12" t="inlineStr">
        <is>
          <t>7/C</t>
        </is>
      </c>
      <c r="M150" s="12" t="inlineStr">
        <is>
          <t>14</t>
        </is>
      </c>
      <c r="N150" s="12" t="n">
        <v>1</v>
      </c>
      <c r="O150" s="12" t="n">
        <v>1</v>
      </c>
      <c r="P150" s="12" t="n"/>
      <c r="Q150" s="12" t="n"/>
      <c r="R150" s="12" t="n"/>
      <c r="S150" s="12" t="inlineStr">
        <is>
          <t>Tray</t>
        </is>
      </c>
      <c r="T150" s="16" t="n">
        <v>419</v>
      </c>
      <c r="U150" s="16" t="n">
        <v>179</v>
      </c>
      <c r="V150" s="16">
        <f>ROUNDUP((T150+U150+2*'Read Me'!$B$13)*(1+'Read Me'!$B$12),-1)</f>
        <v/>
      </c>
      <c r="W150" s="16">
        <f>V150*N150*O150</f>
        <v/>
      </c>
      <c r="X150" s="12">
        <f>IF(LEFT(I150,2)="MV",2*N150*IF(L150="1/C",O150,1),0)</f>
        <v/>
      </c>
      <c r="Y150" s="12">
        <f>IF(OR(LEFT(K150,4)="LVAX",LEFT(K150,6)="MV15AX",LEFT(K150,4)="CTAX",LEFT(K150,2)="W|"),2*N150*O150,0)</f>
        <v/>
      </c>
      <c r="Z150" s="12" t="inlineStr"/>
      <c r="AA150" s="12">
        <f>N150*O150</f>
        <v/>
      </c>
    </row>
    <row r="151">
      <c r="A151" s="12" t="inlineStr">
        <is>
          <t>A-C-0139</t>
        </is>
      </c>
      <c r="B151" s="12" t="inlineStr">
        <is>
          <t>A</t>
        </is>
      </c>
      <c r="C151" s="12" t="inlineStr">
        <is>
          <t>Power block</t>
        </is>
      </c>
      <c r="D151" s="12" t="inlineStr">
        <is>
          <t>Motor 5 of 6: control / local station</t>
        </is>
      </c>
      <c r="E151" s="12" t="inlineStr">
        <is>
          <t>R2A</t>
        </is>
      </c>
      <c r="F151" s="12" t="inlineStr">
        <is>
          <t>R2A: unit / HRSG electrical e-house (32 x 40 ft)</t>
        </is>
      </c>
      <c r="G151" s="12" t="inlineStr">
        <is>
          <t>GSU-1</t>
        </is>
      </c>
      <c r="H151" s="12" t="inlineStr">
        <is>
          <t>GSU-1: 21/230 kV generator step-up transformer</t>
        </is>
      </c>
      <c r="I151" s="12" t="inlineStr">
        <is>
          <t>Control</t>
        </is>
      </c>
      <c r="J151" s="12" t="inlineStr">
        <is>
          <t>Control cable 600 V Type TC-ER, Cu #14 AWG, PVC jacket</t>
        </is>
      </c>
      <c r="K151" s="12" t="inlineStr">
        <is>
          <t>CT|7/C|14</t>
        </is>
      </c>
      <c r="L151" s="12" t="inlineStr">
        <is>
          <t>7/C</t>
        </is>
      </c>
      <c r="M151" s="12" t="inlineStr">
        <is>
          <t>14</t>
        </is>
      </c>
      <c r="N151" s="12" t="n">
        <v>1</v>
      </c>
      <c r="O151" s="12" t="n">
        <v>1</v>
      </c>
      <c r="P151" s="12" t="n"/>
      <c r="Q151" s="12" t="n"/>
      <c r="R151" s="12" t="n"/>
      <c r="S151" s="12" t="inlineStr">
        <is>
          <t>Tray</t>
        </is>
      </c>
      <c r="T151" s="16" t="n">
        <v>419</v>
      </c>
      <c r="U151" s="16" t="n">
        <v>179</v>
      </c>
      <c r="V151" s="16">
        <f>ROUNDUP((T151+U151+2*'Read Me'!$B$13)*(1+'Read Me'!$B$12),-1)</f>
        <v/>
      </c>
      <c r="W151" s="16">
        <f>V151*N151*O151</f>
        <v/>
      </c>
      <c r="X151" s="12">
        <f>IF(LEFT(I151,2)="MV",2*N151*IF(L151="1/C",O151,1),0)</f>
        <v/>
      </c>
      <c r="Y151" s="12">
        <f>IF(OR(LEFT(K151,4)="LVAX",LEFT(K151,6)="MV15AX",LEFT(K151,4)="CTAX",LEFT(K151,2)="W|"),2*N151*O151,0)</f>
        <v/>
      </c>
      <c r="Z151" s="12" t="inlineStr"/>
      <c r="AA151" s="12">
        <f>N151*O151</f>
        <v/>
      </c>
    </row>
    <row r="152">
      <c r="A152" s="12" t="inlineStr">
        <is>
          <t>A-C-0140</t>
        </is>
      </c>
      <c r="B152" s="12" t="inlineStr">
        <is>
          <t>A</t>
        </is>
      </c>
      <c r="C152" s="12" t="inlineStr">
        <is>
          <t>Power block</t>
        </is>
      </c>
      <c r="D152" s="12" t="inlineStr">
        <is>
          <t>Motor 6 of 6: control / local station</t>
        </is>
      </c>
      <c r="E152" s="12" t="inlineStr">
        <is>
          <t>R2A</t>
        </is>
      </c>
      <c r="F152" s="12" t="inlineStr">
        <is>
          <t>R2A: unit / HRSG electrical e-house (32 x 40 ft)</t>
        </is>
      </c>
      <c r="G152" s="12" t="inlineStr">
        <is>
          <t>GSU-1</t>
        </is>
      </c>
      <c r="H152" s="12" t="inlineStr">
        <is>
          <t>GSU-1: 21/230 kV generator step-up transformer</t>
        </is>
      </c>
      <c r="I152" s="12" t="inlineStr">
        <is>
          <t>Control</t>
        </is>
      </c>
      <c r="J152" s="12" t="inlineStr">
        <is>
          <t>Control cable 600 V Type TC-ER, Cu #14 AWG, PVC jacket</t>
        </is>
      </c>
      <c r="K152" s="12" t="inlineStr">
        <is>
          <t>CT|7/C|14</t>
        </is>
      </c>
      <c r="L152" s="12" t="inlineStr">
        <is>
          <t>7/C</t>
        </is>
      </c>
      <c r="M152" s="12" t="inlineStr">
        <is>
          <t>14</t>
        </is>
      </c>
      <c r="N152" s="12" t="n">
        <v>1</v>
      </c>
      <c r="O152" s="12" t="n">
        <v>1</v>
      </c>
      <c r="P152" s="12" t="n"/>
      <c r="Q152" s="12" t="n"/>
      <c r="R152" s="12" t="n"/>
      <c r="S152" s="12" t="inlineStr">
        <is>
          <t>Tray</t>
        </is>
      </c>
      <c r="T152" s="16" t="n">
        <v>419</v>
      </c>
      <c r="U152" s="16" t="n">
        <v>179</v>
      </c>
      <c r="V152" s="16">
        <f>ROUNDUP((T152+U152+2*'Read Me'!$B$13)*(1+'Read Me'!$B$12),-1)</f>
        <v/>
      </c>
      <c r="W152" s="16">
        <f>V152*N152*O152</f>
        <v/>
      </c>
      <c r="X152" s="12">
        <f>IF(LEFT(I152,2)="MV",2*N152*IF(L152="1/C",O152,1),0)</f>
        <v/>
      </c>
      <c r="Y152" s="12">
        <f>IF(OR(LEFT(K152,4)="LVAX",LEFT(K152,6)="MV15AX",LEFT(K152,4)="CTAX",LEFT(K152,2)="W|"),2*N152*O152,0)</f>
        <v/>
      </c>
      <c r="Z152" s="12" t="inlineStr"/>
      <c r="AA152" s="12">
        <f>N152*O152</f>
        <v/>
      </c>
    </row>
    <row r="153">
      <c r="A153" s="12" t="inlineStr">
        <is>
          <t>A-C-0141</t>
        </is>
      </c>
      <c r="B153" s="12" t="inlineStr">
        <is>
          <t>A</t>
        </is>
      </c>
      <c r="C153" s="12" t="inlineStr">
        <is>
          <t>Power block</t>
        </is>
      </c>
      <c r="D153" s="12" t="inlineStr">
        <is>
          <t>Control</t>
        </is>
      </c>
      <c r="E153" s="12" t="inlineStr">
        <is>
          <t>R2A</t>
        </is>
      </c>
      <c r="F153" s="12" t="inlineStr">
        <is>
          <t>R2A: unit / HRSG electrical e-house (32 x 40 ft)</t>
        </is>
      </c>
      <c r="G153" s="12" t="inlineStr">
        <is>
          <t>GSU-1</t>
        </is>
      </c>
      <c r="H153" s="12" t="inlineStr">
        <is>
          <t>GSU-1: 21/230 kV generator step-up transformer</t>
        </is>
      </c>
      <c r="I153" s="12" t="inlineStr">
        <is>
          <t>Control</t>
        </is>
      </c>
      <c r="J153" s="12" t="inlineStr">
        <is>
          <t>Control cable 600 V Type TC-ER, Cu #14 AWG, PVC jacket</t>
        </is>
      </c>
      <c r="K153" s="12" t="inlineStr">
        <is>
          <t>CT|7/C|14</t>
        </is>
      </c>
      <c r="L153" s="12" t="inlineStr">
        <is>
          <t>7/C</t>
        </is>
      </c>
      <c r="M153" s="12" t="inlineStr">
        <is>
          <t>14</t>
        </is>
      </c>
      <c r="N153" s="12" t="n">
        <v>1</v>
      </c>
      <c r="O153" s="12" t="n">
        <v>1</v>
      </c>
      <c r="P153" s="12" t="n"/>
      <c r="Q153" s="12" t="n"/>
      <c r="R153" s="12" t="n"/>
      <c r="S153" s="12" t="inlineStr">
        <is>
          <t>Tray</t>
        </is>
      </c>
      <c r="T153" s="16" t="n">
        <v>419</v>
      </c>
      <c r="U153" s="16" t="n">
        <v>179</v>
      </c>
      <c r="V153" s="16">
        <f>ROUNDUP((T153+U153+2*'Read Me'!$B$13)*(1+'Read Me'!$B$12),-1)</f>
        <v/>
      </c>
      <c r="W153" s="16">
        <f>V153*N153*O153</f>
        <v/>
      </c>
      <c r="X153" s="12">
        <f>IF(LEFT(I153,2)="MV",2*N153*IF(L153="1/C",O153,1),0)</f>
        <v/>
      </c>
      <c r="Y153" s="12">
        <f>IF(OR(LEFT(K153,4)="LVAX",LEFT(K153,6)="MV15AX",LEFT(K153,4)="CTAX",LEFT(K153,2)="W|"),2*N153*O153,0)</f>
        <v/>
      </c>
      <c r="Z153" s="12" t="inlineStr"/>
      <c r="AA153" s="12">
        <f>N153*O153</f>
        <v/>
      </c>
    </row>
    <row r="154">
      <c r="A154" s="12" t="inlineStr">
        <is>
          <t>A-C-0142</t>
        </is>
      </c>
      <c r="B154" s="12" t="inlineStr">
        <is>
          <t>A</t>
        </is>
      </c>
      <c r="C154" s="12" t="inlineStr">
        <is>
          <t>Power block</t>
        </is>
      </c>
      <c r="D154" s="12" t="inlineStr">
        <is>
          <t>Control</t>
        </is>
      </c>
      <c r="E154" s="12" t="inlineStr">
        <is>
          <t>R2A</t>
        </is>
      </c>
      <c r="F154" s="12" t="inlineStr">
        <is>
          <t>R2A: unit / HRSG electrical e-house (32 x 40 ft)</t>
        </is>
      </c>
      <c r="G154" s="12" t="inlineStr">
        <is>
          <t>GSU-1</t>
        </is>
      </c>
      <c r="H154" s="12" t="inlineStr">
        <is>
          <t>GSU-1: 21/230 kV generator step-up transformer</t>
        </is>
      </c>
      <c r="I154" s="12" t="inlineStr">
        <is>
          <t>Control</t>
        </is>
      </c>
      <c r="J154" s="12" t="inlineStr">
        <is>
          <t>Control cable 600 V Type TC-ER, Cu #14 AWG, PVC jacket</t>
        </is>
      </c>
      <c r="K154" s="12" t="inlineStr">
        <is>
          <t>CT|12/C|14</t>
        </is>
      </c>
      <c r="L154" s="12" t="inlineStr">
        <is>
          <t>12/C</t>
        </is>
      </c>
      <c r="M154" s="12" t="inlineStr">
        <is>
          <t>14</t>
        </is>
      </c>
      <c r="N154" s="12" t="n">
        <v>1</v>
      </c>
      <c r="O154" s="12" t="n">
        <v>1</v>
      </c>
      <c r="P154" s="12" t="n"/>
      <c r="Q154" s="12" t="n"/>
      <c r="R154" s="12" t="n"/>
      <c r="S154" s="12" t="inlineStr">
        <is>
          <t>Tray</t>
        </is>
      </c>
      <c r="T154" s="16" t="n">
        <v>419</v>
      </c>
      <c r="U154" s="16" t="n">
        <v>179</v>
      </c>
      <c r="V154" s="16">
        <f>ROUNDUP((T154+U154+2*'Read Me'!$B$13)*(1+'Read Me'!$B$12),-1)</f>
        <v/>
      </c>
      <c r="W154" s="16">
        <f>V154*N154*O154</f>
        <v/>
      </c>
      <c r="X154" s="12">
        <f>IF(LEFT(I154,2)="MV",2*N154*IF(L154="1/C",O154,1),0)</f>
        <v/>
      </c>
      <c r="Y154" s="12">
        <f>IF(OR(LEFT(K154,4)="LVAX",LEFT(K154,6)="MV15AX",LEFT(K154,4)="CTAX",LEFT(K154,2)="W|"),2*N154*O154,0)</f>
        <v/>
      </c>
      <c r="Z154" s="12" t="inlineStr"/>
      <c r="AA154" s="12">
        <f>N154*O154</f>
        <v/>
      </c>
    </row>
    <row r="155">
      <c r="A155" s="12" t="inlineStr">
        <is>
          <t>A-C-0143</t>
        </is>
      </c>
      <c r="B155" s="12" t="inlineStr">
        <is>
          <t>A</t>
        </is>
      </c>
      <c r="C155" s="12" t="inlineStr">
        <is>
          <t>Power block</t>
        </is>
      </c>
      <c r="D155" s="12" t="inlineStr">
        <is>
          <t>CT / VT</t>
        </is>
      </c>
      <c r="E155" s="12" t="inlineStr">
        <is>
          <t>R2A</t>
        </is>
      </c>
      <c r="F155" s="12" t="inlineStr">
        <is>
          <t>R2A: unit / HRSG electrical e-house (32 x 40 ft)</t>
        </is>
      </c>
      <c r="G155" s="12" t="inlineStr">
        <is>
          <t>GSU-1</t>
        </is>
      </c>
      <c r="H155" s="12" t="inlineStr">
        <is>
          <t>GSU-1: 21/230 kV generator step-up transformer</t>
        </is>
      </c>
      <c r="I155" s="12" t="inlineStr">
        <is>
          <t>Control</t>
        </is>
      </c>
      <c r="J155" s="12" t="inlineStr">
        <is>
          <t>Control cable 600 V Type TC-ER, Cu #10 AWG (CT / VT circuits)</t>
        </is>
      </c>
      <c r="K155" s="12" t="inlineStr">
        <is>
          <t>CTCT|4/C|10</t>
        </is>
      </c>
      <c r="L155" s="12" t="inlineStr">
        <is>
          <t>4/C</t>
        </is>
      </c>
      <c r="M155" s="12" t="inlineStr">
        <is>
          <t>10</t>
        </is>
      </c>
      <c r="N155" s="12" t="n">
        <v>1</v>
      </c>
      <c r="O155" s="12" t="n">
        <v>1</v>
      </c>
      <c r="P155" s="12" t="n"/>
      <c r="Q155" s="12" t="n"/>
      <c r="R155" s="12" t="n"/>
      <c r="S155" s="12" t="inlineStr">
        <is>
          <t>Tray</t>
        </is>
      </c>
      <c r="T155" s="16" t="n">
        <v>419</v>
      </c>
      <c r="U155" s="16" t="n">
        <v>179</v>
      </c>
      <c r="V155" s="16">
        <f>ROUNDUP((T155+U155+2*'Read Me'!$B$13)*(1+'Read Me'!$B$12),-1)</f>
        <v/>
      </c>
      <c r="W155" s="16">
        <f>V155*N155*O155</f>
        <v/>
      </c>
      <c r="X155" s="12">
        <f>IF(LEFT(I155,2)="MV",2*N155*IF(L155="1/C",O155,1),0)</f>
        <v/>
      </c>
      <c r="Y155" s="12">
        <f>IF(OR(LEFT(K155,4)="LVAX",LEFT(K155,6)="MV15AX",LEFT(K155,4)="CTAX",LEFT(K155,2)="W|"),2*N155*O155,0)</f>
        <v/>
      </c>
      <c r="Z155" s="12" t="inlineStr"/>
      <c r="AA155" s="12">
        <f>N155*O155</f>
        <v/>
      </c>
    </row>
    <row r="156">
      <c r="A156" s="12" t="inlineStr">
        <is>
          <t>A-C-0144</t>
        </is>
      </c>
      <c r="B156" s="12" t="inlineStr">
        <is>
          <t>A</t>
        </is>
      </c>
      <c r="C156" s="12" t="inlineStr">
        <is>
          <t>Power block</t>
        </is>
      </c>
      <c r="D156" s="12" t="inlineStr">
        <is>
          <t>CT / VT</t>
        </is>
      </c>
      <c r="E156" s="12" t="inlineStr">
        <is>
          <t>R2A</t>
        </is>
      </c>
      <c r="F156" s="12" t="inlineStr">
        <is>
          <t>R2A: unit / HRSG electrical e-house (32 x 40 ft)</t>
        </is>
      </c>
      <c r="G156" s="12" t="inlineStr">
        <is>
          <t>GSU-1</t>
        </is>
      </c>
      <c r="H156" s="12" t="inlineStr">
        <is>
          <t>GSU-1: 21/230 kV generator step-up transformer</t>
        </is>
      </c>
      <c r="I156" s="12" t="inlineStr">
        <is>
          <t>Control</t>
        </is>
      </c>
      <c r="J156" s="12" t="inlineStr">
        <is>
          <t>Control cable 600 V Type TC-ER, Cu #10 AWG (CT / VT circuits)</t>
        </is>
      </c>
      <c r="K156" s="12" t="inlineStr">
        <is>
          <t>CTCT|4/C|10</t>
        </is>
      </c>
      <c r="L156" s="12" t="inlineStr">
        <is>
          <t>4/C</t>
        </is>
      </c>
      <c r="M156" s="12" t="inlineStr">
        <is>
          <t>10</t>
        </is>
      </c>
      <c r="N156" s="12" t="n">
        <v>1</v>
      </c>
      <c r="O156" s="12" t="n">
        <v>1</v>
      </c>
      <c r="P156" s="12" t="n"/>
      <c r="Q156" s="12" t="n"/>
      <c r="R156" s="12" t="n"/>
      <c r="S156" s="12" t="inlineStr">
        <is>
          <t>Tray</t>
        </is>
      </c>
      <c r="T156" s="16" t="n">
        <v>419</v>
      </c>
      <c r="U156" s="16" t="n">
        <v>179</v>
      </c>
      <c r="V156" s="16">
        <f>ROUNDUP((T156+U156+2*'Read Me'!$B$13)*(1+'Read Me'!$B$12),-1)</f>
        <v/>
      </c>
      <c r="W156" s="16">
        <f>V156*N156*O156</f>
        <v/>
      </c>
      <c r="X156" s="12">
        <f>IF(LEFT(I156,2)="MV",2*N156*IF(L156="1/C",O156,1),0)</f>
        <v/>
      </c>
      <c r="Y156" s="12">
        <f>IF(OR(LEFT(K156,4)="LVAX",LEFT(K156,6)="MV15AX",LEFT(K156,4)="CTAX",LEFT(K156,2)="W|"),2*N156*O156,0)</f>
        <v/>
      </c>
      <c r="Z156" s="12" t="inlineStr"/>
      <c r="AA156" s="12">
        <f>N156*O156</f>
        <v/>
      </c>
    </row>
    <row r="157">
      <c r="A157" s="12" t="inlineStr">
        <is>
          <t>A-C-0145</t>
        </is>
      </c>
      <c r="B157" s="12" t="inlineStr">
        <is>
          <t>A</t>
        </is>
      </c>
      <c r="C157" s="12" t="inlineStr">
        <is>
          <t>Power block</t>
        </is>
      </c>
      <c r="D157" s="12" t="inlineStr">
        <is>
          <t>Motor 1 of 6: control / local station</t>
        </is>
      </c>
      <c r="E157" s="12" t="inlineStr">
        <is>
          <t>R2B</t>
        </is>
      </c>
      <c r="F157" s="12" t="inlineStr">
        <is>
          <t>R2B: unit / HRSG electrical e-house (32 x 40 ft)</t>
        </is>
      </c>
      <c r="G157" s="12" t="inlineStr"/>
      <c r="H157" s="12" t="inlineStr">
        <is>
          <t>GSU-2 firewall</t>
        </is>
      </c>
      <c r="I157" s="12" t="inlineStr">
        <is>
          <t>Control</t>
        </is>
      </c>
      <c r="J157" s="12" t="inlineStr">
        <is>
          <t>Control cable 600 V Type TC-ER, Cu #14 AWG, PVC jacket</t>
        </is>
      </c>
      <c r="K157" s="12" t="inlineStr">
        <is>
          <t>CT|7/C|14</t>
        </is>
      </c>
      <c r="L157" s="12" t="inlineStr">
        <is>
          <t>7/C</t>
        </is>
      </c>
      <c r="M157" s="12" t="inlineStr">
        <is>
          <t>14</t>
        </is>
      </c>
      <c r="N157" s="12" t="n">
        <v>1</v>
      </c>
      <c r="O157" s="12" t="n">
        <v>1</v>
      </c>
      <c r="P157" s="12" t="n"/>
      <c r="Q157" s="12" t="n"/>
      <c r="R157" s="12" t="n"/>
      <c r="S157" s="12" t="inlineStr">
        <is>
          <t>Tray</t>
        </is>
      </c>
      <c r="T157" s="16" t="n">
        <v>1290</v>
      </c>
      <c r="U157" s="16" t="n">
        <v>271</v>
      </c>
      <c r="V157" s="16">
        <f>ROUNDUP((T157+U157+2*'Read Me'!$B$13)*(1+'Read Me'!$B$12),-1)</f>
        <v/>
      </c>
      <c r="W157" s="16">
        <f>V157*N157*O157</f>
        <v/>
      </c>
      <c r="X157" s="12">
        <f>IF(LEFT(I157,2)="MV",2*N157*IF(L157="1/C",O157,1),0)</f>
        <v/>
      </c>
      <c r="Y157" s="12">
        <f>IF(OR(LEFT(K157,4)="LVAX",LEFT(K157,6)="MV15AX",LEFT(K157,4)="CTAX",LEFT(K157,2)="W|"),2*N157*O157,0)</f>
        <v/>
      </c>
      <c r="Z157" s="12" t="inlineStr"/>
      <c r="AA157" s="12">
        <f>N157*O157</f>
        <v/>
      </c>
    </row>
    <row r="158">
      <c r="A158" s="12" t="inlineStr">
        <is>
          <t>A-C-0146</t>
        </is>
      </c>
      <c r="B158" s="12" t="inlineStr">
        <is>
          <t>A</t>
        </is>
      </c>
      <c r="C158" s="12" t="inlineStr">
        <is>
          <t>Power block</t>
        </is>
      </c>
      <c r="D158" s="12" t="inlineStr">
        <is>
          <t>Motor 2 of 6: control / local station</t>
        </is>
      </c>
      <c r="E158" s="12" t="inlineStr">
        <is>
          <t>R2B</t>
        </is>
      </c>
      <c r="F158" s="12" t="inlineStr">
        <is>
          <t>R2B: unit / HRSG electrical e-house (32 x 40 ft)</t>
        </is>
      </c>
      <c r="G158" s="12" t="inlineStr"/>
      <c r="H158" s="12" t="inlineStr">
        <is>
          <t>GSU-2 firewall</t>
        </is>
      </c>
      <c r="I158" s="12" t="inlineStr">
        <is>
          <t>Control</t>
        </is>
      </c>
      <c r="J158" s="12" t="inlineStr">
        <is>
          <t>Control cable 600 V Type TC-ER, Cu #14 AWG, PVC jacket</t>
        </is>
      </c>
      <c r="K158" s="12" t="inlineStr">
        <is>
          <t>CT|7/C|14</t>
        </is>
      </c>
      <c r="L158" s="12" t="inlineStr">
        <is>
          <t>7/C</t>
        </is>
      </c>
      <c r="M158" s="12" t="inlineStr">
        <is>
          <t>14</t>
        </is>
      </c>
      <c r="N158" s="12" t="n">
        <v>1</v>
      </c>
      <c r="O158" s="12" t="n">
        <v>1</v>
      </c>
      <c r="P158" s="12" t="n"/>
      <c r="Q158" s="12" t="n"/>
      <c r="R158" s="12" t="n"/>
      <c r="S158" s="12" t="inlineStr">
        <is>
          <t>Tray</t>
        </is>
      </c>
      <c r="T158" s="16" t="n">
        <v>1290</v>
      </c>
      <c r="U158" s="16" t="n">
        <v>271</v>
      </c>
      <c r="V158" s="16">
        <f>ROUNDUP((T158+U158+2*'Read Me'!$B$13)*(1+'Read Me'!$B$12),-1)</f>
        <v/>
      </c>
      <c r="W158" s="16">
        <f>V158*N158*O158</f>
        <v/>
      </c>
      <c r="X158" s="12">
        <f>IF(LEFT(I158,2)="MV",2*N158*IF(L158="1/C",O158,1),0)</f>
        <v/>
      </c>
      <c r="Y158" s="12">
        <f>IF(OR(LEFT(K158,4)="LVAX",LEFT(K158,6)="MV15AX",LEFT(K158,4)="CTAX",LEFT(K158,2)="W|"),2*N158*O158,0)</f>
        <v/>
      </c>
      <c r="Z158" s="12" t="inlineStr"/>
      <c r="AA158" s="12">
        <f>N158*O158</f>
        <v/>
      </c>
    </row>
    <row r="159">
      <c r="A159" s="12" t="inlineStr">
        <is>
          <t>A-C-0147</t>
        </is>
      </c>
      <c r="B159" s="12" t="inlineStr">
        <is>
          <t>A</t>
        </is>
      </c>
      <c r="C159" s="12" t="inlineStr">
        <is>
          <t>Power block</t>
        </is>
      </c>
      <c r="D159" s="12" t="inlineStr">
        <is>
          <t>Motor 3 of 6: control / local station</t>
        </is>
      </c>
      <c r="E159" s="12" t="inlineStr">
        <is>
          <t>R2B</t>
        </is>
      </c>
      <c r="F159" s="12" t="inlineStr">
        <is>
          <t>R2B: unit / HRSG electrical e-house (32 x 40 ft)</t>
        </is>
      </c>
      <c r="G159" s="12" t="inlineStr"/>
      <c r="H159" s="12" t="inlineStr">
        <is>
          <t>GSU-2 firewall</t>
        </is>
      </c>
      <c r="I159" s="12" t="inlineStr">
        <is>
          <t>Control</t>
        </is>
      </c>
      <c r="J159" s="12" t="inlineStr">
        <is>
          <t>Control cable 600 V Type TC-ER, Cu #14 AWG, PVC jacket</t>
        </is>
      </c>
      <c r="K159" s="12" t="inlineStr">
        <is>
          <t>CT|7/C|14</t>
        </is>
      </c>
      <c r="L159" s="12" t="inlineStr">
        <is>
          <t>7/C</t>
        </is>
      </c>
      <c r="M159" s="12" t="inlineStr">
        <is>
          <t>14</t>
        </is>
      </c>
      <c r="N159" s="12" t="n">
        <v>1</v>
      </c>
      <c r="O159" s="12" t="n">
        <v>1</v>
      </c>
      <c r="P159" s="12" t="n"/>
      <c r="Q159" s="12" t="n"/>
      <c r="R159" s="12" t="n"/>
      <c r="S159" s="12" t="inlineStr">
        <is>
          <t>Tray</t>
        </is>
      </c>
      <c r="T159" s="16" t="n">
        <v>1290</v>
      </c>
      <c r="U159" s="16" t="n">
        <v>271</v>
      </c>
      <c r="V159" s="16">
        <f>ROUNDUP((T159+U159+2*'Read Me'!$B$13)*(1+'Read Me'!$B$12),-1)</f>
        <v/>
      </c>
      <c r="W159" s="16">
        <f>V159*N159*O159</f>
        <v/>
      </c>
      <c r="X159" s="12">
        <f>IF(LEFT(I159,2)="MV",2*N159*IF(L159="1/C",O159,1),0)</f>
        <v/>
      </c>
      <c r="Y159" s="12">
        <f>IF(OR(LEFT(K159,4)="LVAX",LEFT(K159,6)="MV15AX",LEFT(K159,4)="CTAX",LEFT(K159,2)="W|"),2*N159*O159,0)</f>
        <v/>
      </c>
      <c r="Z159" s="12" t="inlineStr"/>
      <c r="AA159" s="12">
        <f>N159*O159</f>
        <v/>
      </c>
    </row>
    <row r="160">
      <c r="A160" s="12" t="inlineStr">
        <is>
          <t>A-C-0148</t>
        </is>
      </c>
      <c r="B160" s="12" t="inlineStr">
        <is>
          <t>A</t>
        </is>
      </c>
      <c r="C160" s="12" t="inlineStr">
        <is>
          <t>Power block</t>
        </is>
      </c>
      <c r="D160" s="12" t="inlineStr">
        <is>
          <t>Motor 4 of 6: control / local station</t>
        </is>
      </c>
      <c r="E160" s="12" t="inlineStr">
        <is>
          <t>R2B</t>
        </is>
      </c>
      <c r="F160" s="12" t="inlineStr">
        <is>
          <t>R2B: unit / HRSG electrical e-house (32 x 40 ft)</t>
        </is>
      </c>
      <c r="G160" s="12" t="inlineStr"/>
      <c r="H160" s="12" t="inlineStr">
        <is>
          <t>GSU-2 firewall</t>
        </is>
      </c>
      <c r="I160" s="12" t="inlineStr">
        <is>
          <t>Control</t>
        </is>
      </c>
      <c r="J160" s="12" t="inlineStr">
        <is>
          <t>Control cable 600 V Type TC-ER, Cu #14 AWG, PVC jacket</t>
        </is>
      </c>
      <c r="K160" s="12" t="inlineStr">
        <is>
          <t>CT|7/C|14</t>
        </is>
      </c>
      <c r="L160" s="12" t="inlineStr">
        <is>
          <t>7/C</t>
        </is>
      </c>
      <c r="M160" s="12" t="inlineStr">
        <is>
          <t>14</t>
        </is>
      </c>
      <c r="N160" s="12" t="n">
        <v>1</v>
      </c>
      <c r="O160" s="12" t="n">
        <v>1</v>
      </c>
      <c r="P160" s="12" t="n"/>
      <c r="Q160" s="12" t="n"/>
      <c r="R160" s="12" t="n"/>
      <c r="S160" s="12" t="inlineStr">
        <is>
          <t>Tray</t>
        </is>
      </c>
      <c r="T160" s="16" t="n">
        <v>1290</v>
      </c>
      <c r="U160" s="16" t="n">
        <v>271</v>
      </c>
      <c r="V160" s="16">
        <f>ROUNDUP((T160+U160+2*'Read Me'!$B$13)*(1+'Read Me'!$B$12),-1)</f>
        <v/>
      </c>
      <c r="W160" s="16">
        <f>V160*N160*O160</f>
        <v/>
      </c>
      <c r="X160" s="12">
        <f>IF(LEFT(I160,2)="MV",2*N160*IF(L160="1/C",O160,1),0)</f>
        <v/>
      </c>
      <c r="Y160" s="12">
        <f>IF(OR(LEFT(K160,4)="LVAX",LEFT(K160,6)="MV15AX",LEFT(K160,4)="CTAX",LEFT(K160,2)="W|"),2*N160*O160,0)</f>
        <v/>
      </c>
      <c r="Z160" s="12" t="inlineStr"/>
      <c r="AA160" s="12">
        <f>N160*O160</f>
        <v/>
      </c>
    </row>
    <row r="161">
      <c r="A161" s="12" t="inlineStr">
        <is>
          <t>A-C-0149</t>
        </is>
      </c>
      <c r="B161" s="12" t="inlineStr">
        <is>
          <t>A</t>
        </is>
      </c>
      <c r="C161" s="12" t="inlineStr">
        <is>
          <t>Power block</t>
        </is>
      </c>
      <c r="D161" s="12" t="inlineStr">
        <is>
          <t>Motor 5 of 6: control / local station</t>
        </is>
      </c>
      <c r="E161" s="12" t="inlineStr">
        <is>
          <t>R2B</t>
        </is>
      </c>
      <c r="F161" s="12" t="inlineStr">
        <is>
          <t>R2B: unit / HRSG electrical e-house (32 x 40 ft)</t>
        </is>
      </c>
      <c r="G161" s="12" t="inlineStr"/>
      <c r="H161" s="12" t="inlineStr">
        <is>
          <t>GSU-2 firewall</t>
        </is>
      </c>
      <c r="I161" s="12" t="inlineStr">
        <is>
          <t>Control</t>
        </is>
      </c>
      <c r="J161" s="12" t="inlineStr">
        <is>
          <t>Control cable 600 V Type TC-ER, Cu #14 AWG, PVC jacket</t>
        </is>
      </c>
      <c r="K161" s="12" t="inlineStr">
        <is>
          <t>CT|7/C|14</t>
        </is>
      </c>
      <c r="L161" s="12" t="inlineStr">
        <is>
          <t>7/C</t>
        </is>
      </c>
      <c r="M161" s="12" t="inlineStr">
        <is>
          <t>14</t>
        </is>
      </c>
      <c r="N161" s="12" t="n">
        <v>1</v>
      </c>
      <c r="O161" s="12" t="n">
        <v>1</v>
      </c>
      <c r="P161" s="12" t="n"/>
      <c r="Q161" s="12" t="n"/>
      <c r="R161" s="12" t="n"/>
      <c r="S161" s="12" t="inlineStr">
        <is>
          <t>Tray</t>
        </is>
      </c>
      <c r="T161" s="16" t="n">
        <v>1290</v>
      </c>
      <c r="U161" s="16" t="n">
        <v>271</v>
      </c>
      <c r="V161" s="16">
        <f>ROUNDUP((T161+U161+2*'Read Me'!$B$13)*(1+'Read Me'!$B$12),-1)</f>
        <v/>
      </c>
      <c r="W161" s="16">
        <f>V161*N161*O161</f>
        <v/>
      </c>
      <c r="X161" s="12">
        <f>IF(LEFT(I161,2)="MV",2*N161*IF(L161="1/C",O161,1),0)</f>
        <v/>
      </c>
      <c r="Y161" s="12">
        <f>IF(OR(LEFT(K161,4)="LVAX",LEFT(K161,6)="MV15AX",LEFT(K161,4)="CTAX",LEFT(K161,2)="W|"),2*N161*O161,0)</f>
        <v/>
      </c>
      <c r="Z161" s="12" t="inlineStr"/>
      <c r="AA161" s="12">
        <f>N161*O161</f>
        <v/>
      </c>
    </row>
    <row r="162">
      <c r="A162" s="12" t="inlineStr">
        <is>
          <t>A-C-0150</t>
        </is>
      </c>
      <c r="B162" s="12" t="inlineStr">
        <is>
          <t>A</t>
        </is>
      </c>
      <c r="C162" s="12" t="inlineStr">
        <is>
          <t>Power block</t>
        </is>
      </c>
      <c r="D162" s="12" t="inlineStr">
        <is>
          <t>Motor 6 of 6: control / local station</t>
        </is>
      </c>
      <c r="E162" s="12" t="inlineStr">
        <is>
          <t>R2B</t>
        </is>
      </c>
      <c r="F162" s="12" t="inlineStr">
        <is>
          <t>R2B: unit / HRSG electrical e-house (32 x 40 ft)</t>
        </is>
      </c>
      <c r="G162" s="12" t="inlineStr"/>
      <c r="H162" s="12" t="inlineStr">
        <is>
          <t>GSU-2 firewall</t>
        </is>
      </c>
      <c r="I162" s="12" t="inlineStr">
        <is>
          <t>Control</t>
        </is>
      </c>
      <c r="J162" s="12" t="inlineStr">
        <is>
          <t>Control cable 600 V Type TC-ER, Cu #14 AWG, PVC jacket</t>
        </is>
      </c>
      <c r="K162" s="12" t="inlineStr">
        <is>
          <t>CT|7/C|14</t>
        </is>
      </c>
      <c r="L162" s="12" t="inlineStr">
        <is>
          <t>7/C</t>
        </is>
      </c>
      <c r="M162" s="12" t="inlineStr">
        <is>
          <t>14</t>
        </is>
      </c>
      <c r="N162" s="12" t="n">
        <v>1</v>
      </c>
      <c r="O162" s="12" t="n">
        <v>1</v>
      </c>
      <c r="P162" s="12" t="n"/>
      <c r="Q162" s="12" t="n"/>
      <c r="R162" s="12" t="n"/>
      <c r="S162" s="12" t="inlineStr">
        <is>
          <t>Tray</t>
        </is>
      </c>
      <c r="T162" s="16" t="n">
        <v>1290</v>
      </c>
      <c r="U162" s="16" t="n">
        <v>271</v>
      </c>
      <c r="V162" s="16">
        <f>ROUNDUP((T162+U162+2*'Read Me'!$B$13)*(1+'Read Me'!$B$12),-1)</f>
        <v/>
      </c>
      <c r="W162" s="16">
        <f>V162*N162*O162</f>
        <v/>
      </c>
      <c r="X162" s="12">
        <f>IF(LEFT(I162,2)="MV",2*N162*IF(L162="1/C",O162,1),0)</f>
        <v/>
      </c>
      <c r="Y162" s="12">
        <f>IF(OR(LEFT(K162,4)="LVAX",LEFT(K162,6)="MV15AX",LEFT(K162,4)="CTAX",LEFT(K162,2)="W|"),2*N162*O162,0)</f>
        <v/>
      </c>
      <c r="Z162" s="12" t="inlineStr"/>
      <c r="AA162" s="12">
        <f>N162*O162</f>
        <v/>
      </c>
    </row>
    <row r="163">
      <c r="A163" s="12" t="inlineStr">
        <is>
          <t>A-C-0151</t>
        </is>
      </c>
      <c r="B163" s="12" t="inlineStr">
        <is>
          <t>A</t>
        </is>
      </c>
      <c r="C163" s="12" t="inlineStr">
        <is>
          <t>Power block</t>
        </is>
      </c>
      <c r="D163" s="12" t="inlineStr">
        <is>
          <t>Motor 1 of 6: control / local station</t>
        </is>
      </c>
      <c r="E163" s="12" t="inlineStr">
        <is>
          <t>R2B</t>
        </is>
      </c>
      <c r="F163" s="12" t="inlineStr">
        <is>
          <t>R2B: unit / HRSG electrical e-house (32 x 40 ft)</t>
        </is>
      </c>
      <c r="G163" s="12" t="inlineStr">
        <is>
          <t>GSU-2</t>
        </is>
      </c>
      <c r="H163" s="12" t="inlineStr">
        <is>
          <t>GSU-2: 21/230 kV generator step-up transformer</t>
        </is>
      </c>
      <c r="I163" s="12" t="inlineStr">
        <is>
          <t>Control</t>
        </is>
      </c>
      <c r="J163" s="12" t="inlineStr">
        <is>
          <t>Control cable 600 V Type TC-ER, Cu #14 AWG, PVC jacket</t>
        </is>
      </c>
      <c r="K163" s="12" t="inlineStr">
        <is>
          <t>CT|7/C|14</t>
        </is>
      </c>
      <c r="L163" s="12" t="inlineStr">
        <is>
          <t>7/C</t>
        </is>
      </c>
      <c r="M163" s="12" t="inlineStr">
        <is>
          <t>14</t>
        </is>
      </c>
      <c r="N163" s="12" t="n">
        <v>1</v>
      </c>
      <c r="O163" s="12" t="n">
        <v>1</v>
      </c>
      <c r="P163" s="12" t="n"/>
      <c r="Q163" s="12" t="n"/>
      <c r="R163" s="12" t="n"/>
      <c r="S163" s="12" t="inlineStr">
        <is>
          <t>Duct bank</t>
        </is>
      </c>
      <c r="T163" s="16" t="n">
        <v>1423</v>
      </c>
      <c r="U163" s="16" t="n">
        <v>113</v>
      </c>
      <c r="V163" s="16">
        <f>ROUNDUP((T163+U163+2*'Read Me'!$B$13)*(1+'Read Me'!$B$12),-1)</f>
        <v/>
      </c>
      <c r="W163" s="16">
        <f>V163*N163*O163</f>
        <v/>
      </c>
      <c r="X163" s="12">
        <f>IF(LEFT(I163,2)="MV",2*N163*IF(L163="1/C",O163,1),0)</f>
        <v/>
      </c>
      <c r="Y163" s="12">
        <f>IF(OR(LEFT(K163,4)="LVAX",LEFT(K163,6)="MV15AX",LEFT(K163,4)="CTAX",LEFT(K163,2)="W|"),2*N163*O163,0)</f>
        <v/>
      </c>
      <c r="Z163" s="12" t="inlineStr"/>
      <c r="AA163" s="12">
        <f>N163*O163</f>
        <v/>
      </c>
    </row>
    <row r="164">
      <c r="A164" s="12" t="inlineStr">
        <is>
          <t>A-C-0152</t>
        </is>
      </c>
      <c r="B164" s="12" t="inlineStr">
        <is>
          <t>A</t>
        </is>
      </c>
      <c r="C164" s="12" t="inlineStr">
        <is>
          <t>Power block</t>
        </is>
      </c>
      <c r="D164" s="12" t="inlineStr">
        <is>
          <t>Motor 2 of 6: control / local station</t>
        </is>
      </c>
      <c r="E164" s="12" t="inlineStr">
        <is>
          <t>R2B</t>
        </is>
      </c>
      <c r="F164" s="12" t="inlineStr">
        <is>
          <t>R2B: unit / HRSG electrical e-house (32 x 40 ft)</t>
        </is>
      </c>
      <c r="G164" s="12" t="inlineStr">
        <is>
          <t>GSU-2</t>
        </is>
      </c>
      <c r="H164" s="12" t="inlineStr">
        <is>
          <t>GSU-2: 21/230 kV generator step-up transformer</t>
        </is>
      </c>
      <c r="I164" s="12" t="inlineStr">
        <is>
          <t>Control</t>
        </is>
      </c>
      <c r="J164" s="12" t="inlineStr">
        <is>
          <t>Control cable 600 V Type TC-ER, Cu #14 AWG, PVC jacket</t>
        </is>
      </c>
      <c r="K164" s="12" t="inlineStr">
        <is>
          <t>CT|7/C|14</t>
        </is>
      </c>
      <c r="L164" s="12" t="inlineStr">
        <is>
          <t>7/C</t>
        </is>
      </c>
      <c r="M164" s="12" t="inlineStr">
        <is>
          <t>14</t>
        </is>
      </c>
      <c r="N164" s="12" t="n">
        <v>1</v>
      </c>
      <c r="O164" s="12" t="n">
        <v>1</v>
      </c>
      <c r="P164" s="12" t="n"/>
      <c r="Q164" s="12" t="n"/>
      <c r="R164" s="12" t="n"/>
      <c r="S164" s="12" t="inlineStr">
        <is>
          <t>Duct bank</t>
        </is>
      </c>
      <c r="T164" s="16" t="n">
        <v>1423</v>
      </c>
      <c r="U164" s="16" t="n">
        <v>113</v>
      </c>
      <c r="V164" s="16">
        <f>ROUNDUP((T164+U164+2*'Read Me'!$B$13)*(1+'Read Me'!$B$12),-1)</f>
        <v/>
      </c>
      <c r="W164" s="16">
        <f>V164*N164*O164</f>
        <v/>
      </c>
      <c r="X164" s="12">
        <f>IF(LEFT(I164,2)="MV",2*N164*IF(L164="1/C",O164,1),0)</f>
        <v/>
      </c>
      <c r="Y164" s="12">
        <f>IF(OR(LEFT(K164,4)="LVAX",LEFT(K164,6)="MV15AX",LEFT(K164,4)="CTAX",LEFT(K164,2)="W|"),2*N164*O164,0)</f>
        <v/>
      </c>
      <c r="Z164" s="12" t="inlineStr"/>
      <c r="AA164" s="12">
        <f>N164*O164</f>
        <v/>
      </c>
    </row>
    <row r="165">
      <c r="A165" s="12" t="inlineStr">
        <is>
          <t>A-C-0153</t>
        </is>
      </c>
      <c r="B165" s="12" t="inlineStr">
        <is>
          <t>A</t>
        </is>
      </c>
      <c r="C165" s="12" t="inlineStr">
        <is>
          <t>Power block</t>
        </is>
      </c>
      <c r="D165" s="12" t="inlineStr">
        <is>
          <t>Motor 3 of 6: control / local station</t>
        </is>
      </c>
      <c r="E165" s="12" t="inlineStr">
        <is>
          <t>R2B</t>
        </is>
      </c>
      <c r="F165" s="12" t="inlineStr">
        <is>
          <t>R2B: unit / HRSG electrical e-house (32 x 40 ft)</t>
        </is>
      </c>
      <c r="G165" s="12" t="inlineStr">
        <is>
          <t>GSU-2</t>
        </is>
      </c>
      <c r="H165" s="12" t="inlineStr">
        <is>
          <t>GSU-2: 21/230 kV generator step-up transformer</t>
        </is>
      </c>
      <c r="I165" s="12" t="inlineStr">
        <is>
          <t>Control</t>
        </is>
      </c>
      <c r="J165" s="12" t="inlineStr">
        <is>
          <t>Control cable 600 V Type TC-ER, Cu #14 AWG, PVC jacket</t>
        </is>
      </c>
      <c r="K165" s="12" t="inlineStr">
        <is>
          <t>CT|7/C|14</t>
        </is>
      </c>
      <c r="L165" s="12" t="inlineStr">
        <is>
          <t>7/C</t>
        </is>
      </c>
      <c r="M165" s="12" t="inlineStr">
        <is>
          <t>14</t>
        </is>
      </c>
      <c r="N165" s="12" t="n">
        <v>1</v>
      </c>
      <c r="O165" s="12" t="n">
        <v>1</v>
      </c>
      <c r="P165" s="12" t="n"/>
      <c r="Q165" s="12" t="n"/>
      <c r="R165" s="12" t="n"/>
      <c r="S165" s="12" t="inlineStr">
        <is>
          <t>Duct bank</t>
        </is>
      </c>
      <c r="T165" s="16" t="n">
        <v>1423</v>
      </c>
      <c r="U165" s="16" t="n">
        <v>113</v>
      </c>
      <c r="V165" s="16">
        <f>ROUNDUP((T165+U165+2*'Read Me'!$B$13)*(1+'Read Me'!$B$12),-1)</f>
        <v/>
      </c>
      <c r="W165" s="16">
        <f>V165*N165*O165</f>
        <v/>
      </c>
      <c r="X165" s="12">
        <f>IF(LEFT(I165,2)="MV",2*N165*IF(L165="1/C",O165,1),0)</f>
        <v/>
      </c>
      <c r="Y165" s="12">
        <f>IF(OR(LEFT(K165,4)="LVAX",LEFT(K165,6)="MV15AX",LEFT(K165,4)="CTAX",LEFT(K165,2)="W|"),2*N165*O165,0)</f>
        <v/>
      </c>
      <c r="Z165" s="12" t="inlineStr"/>
      <c r="AA165" s="12">
        <f>N165*O165</f>
        <v/>
      </c>
    </row>
    <row r="166">
      <c r="A166" s="12" t="inlineStr">
        <is>
          <t>A-C-0154</t>
        </is>
      </c>
      <c r="B166" s="12" t="inlineStr">
        <is>
          <t>A</t>
        </is>
      </c>
      <c r="C166" s="12" t="inlineStr">
        <is>
          <t>Power block</t>
        </is>
      </c>
      <c r="D166" s="12" t="inlineStr">
        <is>
          <t>Motor 4 of 6: control / local station</t>
        </is>
      </c>
      <c r="E166" s="12" t="inlineStr">
        <is>
          <t>R2B</t>
        </is>
      </c>
      <c r="F166" s="12" t="inlineStr">
        <is>
          <t>R2B: unit / HRSG electrical e-house (32 x 40 ft)</t>
        </is>
      </c>
      <c r="G166" s="12" t="inlineStr">
        <is>
          <t>GSU-2</t>
        </is>
      </c>
      <c r="H166" s="12" t="inlineStr">
        <is>
          <t>GSU-2: 21/230 kV generator step-up transformer</t>
        </is>
      </c>
      <c r="I166" s="12" t="inlineStr">
        <is>
          <t>Control</t>
        </is>
      </c>
      <c r="J166" s="12" t="inlineStr">
        <is>
          <t>Control cable 600 V Type TC-ER, Cu #14 AWG, PVC jacket</t>
        </is>
      </c>
      <c r="K166" s="12" t="inlineStr">
        <is>
          <t>CT|7/C|14</t>
        </is>
      </c>
      <c r="L166" s="12" t="inlineStr">
        <is>
          <t>7/C</t>
        </is>
      </c>
      <c r="M166" s="12" t="inlineStr">
        <is>
          <t>14</t>
        </is>
      </c>
      <c r="N166" s="12" t="n">
        <v>1</v>
      </c>
      <c r="O166" s="12" t="n">
        <v>1</v>
      </c>
      <c r="P166" s="12" t="n"/>
      <c r="Q166" s="12" t="n"/>
      <c r="R166" s="12" t="n"/>
      <c r="S166" s="12" t="inlineStr">
        <is>
          <t>Duct bank</t>
        </is>
      </c>
      <c r="T166" s="16" t="n">
        <v>1423</v>
      </c>
      <c r="U166" s="16" t="n">
        <v>113</v>
      </c>
      <c r="V166" s="16">
        <f>ROUNDUP((T166+U166+2*'Read Me'!$B$13)*(1+'Read Me'!$B$12),-1)</f>
        <v/>
      </c>
      <c r="W166" s="16">
        <f>V166*N166*O166</f>
        <v/>
      </c>
      <c r="X166" s="12">
        <f>IF(LEFT(I166,2)="MV",2*N166*IF(L166="1/C",O166,1),0)</f>
        <v/>
      </c>
      <c r="Y166" s="12">
        <f>IF(OR(LEFT(K166,4)="LVAX",LEFT(K166,6)="MV15AX",LEFT(K166,4)="CTAX",LEFT(K166,2)="W|"),2*N166*O166,0)</f>
        <v/>
      </c>
      <c r="Z166" s="12" t="inlineStr"/>
      <c r="AA166" s="12">
        <f>N166*O166</f>
        <v/>
      </c>
    </row>
    <row r="167">
      <c r="A167" s="12" t="inlineStr">
        <is>
          <t>A-C-0155</t>
        </is>
      </c>
      <c r="B167" s="12" t="inlineStr">
        <is>
          <t>A</t>
        </is>
      </c>
      <c r="C167" s="12" t="inlineStr">
        <is>
          <t>Power block</t>
        </is>
      </c>
      <c r="D167" s="12" t="inlineStr">
        <is>
          <t>Motor 5 of 6: control / local station</t>
        </is>
      </c>
      <c r="E167" s="12" t="inlineStr">
        <is>
          <t>R2B</t>
        </is>
      </c>
      <c r="F167" s="12" t="inlineStr">
        <is>
          <t>R2B: unit / HRSG electrical e-house (32 x 40 ft)</t>
        </is>
      </c>
      <c r="G167" s="12" t="inlineStr">
        <is>
          <t>GSU-2</t>
        </is>
      </c>
      <c r="H167" s="12" t="inlineStr">
        <is>
          <t>GSU-2: 21/230 kV generator step-up transformer</t>
        </is>
      </c>
      <c r="I167" s="12" t="inlineStr">
        <is>
          <t>Control</t>
        </is>
      </c>
      <c r="J167" s="12" t="inlineStr">
        <is>
          <t>Control cable 600 V Type TC-ER, Cu #14 AWG, PVC jacket</t>
        </is>
      </c>
      <c r="K167" s="12" t="inlineStr">
        <is>
          <t>CT|7/C|14</t>
        </is>
      </c>
      <c r="L167" s="12" t="inlineStr">
        <is>
          <t>7/C</t>
        </is>
      </c>
      <c r="M167" s="12" t="inlineStr">
        <is>
          <t>14</t>
        </is>
      </c>
      <c r="N167" s="12" t="n">
        <v>1</v>
      </c>
      <c r="O167" s="12" t="n">
        <v>1</v>
      </c>
      <c r="P167" s="12" t="n"/>
      <c r="Q167" s="12" t="n"/>
      <c r="R167" s="12" t="n"/>
      <c r="S167" s="12" t="inlineStr">
        <is>
          <t>Duct bank</t>
        </is>
      </c>
      <c r="T167" s="16" t="n">
        <v>1423</v>
      </c>
      <c r="U167" s="16" t="n">
        <v>113</v>
      </c>
      <c r="V167" s="16">
        <f>ROUNDUP((T167+U167+2*'Read Me'!$B$13)*(1+'Read Me'!$B$12),-1)</f>
        <v/>
      </c>
      <c r="W167" s="16">
        <f>V167*N167*O167</f>
        <v/>
      </c>
      <c r="X167" s="12">
        <f>IF(LEFT(I167,2)="MV",2*N167*IF(L167="1/C",O167,1),0)</f>
        <v/>
      </c>
      <c r="Y167" s="12">
        <f>IF(OR(LEFT(K167,4)="LVAX",LEFT(K167,6)="MV15AX",LEFT(K167,4)="CTAX",LEFT(K167,2)="W|"),2*N167*O167,0)</f>
        <v/>
      </c>
      <c r="Z167" s="12" t="inlineStr"/>
      <c r="AA167" s="12">
        <f>N167*O167</f>
        <v/>
      </c>
    </row>
    <row r="168">
      <c r="A168" s="12" t="inlineStr">
        <is>
          <t>A-C-0156</t>
        </is>
      </c>
      <c r="B168" s="12" t="inlineStr">
        <is>
          <t>A</t>
        </is>
      </c>
      <c r="C168" s="12" t="inlineStr">
        <is>
          <t>Power block</t>
        </is>
      </c>
      <c r="D168" s="12" t="inlineStr">
        <is>
          <t>Motor 6 of 6: control / local station</t>
        </is>
      </c>
      <c r="E168" s="12" t="inlineStr">
        <is>
          <t>R2B</t>
        </is>
      </c>
      <c r="F168" s="12" t="inlineStr">
        <is>
          <t>R2B: unit / HRSG electrical e-house (32 x 40 ft)</t>
        </is>
      </c>
      <c r="G168" s="12" t="inlineStr">
        <is>
          <t>GSU-2</t>
        </is>
      </c>
      <c r="H168" s="12" t="inlineStr">
        <is>
          <t>GSU-2: 21/230 kV generator step-up transformer</t>
        </is>
      </c>
      <c r="I168" s="12" t="inlineStr">
        <is>
          <t>Control</t>
        </is>
      </c>
      <c r="J168" s="12" t="inlineStr">
        <is>
          <t>Control cable 600 V Type TC-ER, Cu #14 AWG, PVC jacket</t>
        </is>
      </c>
      <c r="K168" s="12" t="inlineStr">
        <is>
          <t>CT|7/C|14</t>
        </is>
      </c>
      <c r="L168" s="12" t="inlineStr">
        <is>
          <t>7/C</t>
        </is>
      </c>
      <c r="M168" s="12" t="inlineStr">
        <is>
          <t>14</t>
        </is>
      </c>
      <c r="N168" s="12" t="n">
        <v>1</v>
      </c>
      <c r="O168" s="12" t="n">
        <v>1</v>
      </c>
      <c r="P168" s="12" t="n"/>
      <c r="Q168" s="12" t="n"/>
      <c r="R168" s="12" t="n"/>
      <c r="S168" s="12" t="inlineStr">
        <is>
          <t>Duct bank</t>
        </is>
      </c>
      <c r="T168" s="16" t="n">
        <v>1423</v>
      </c>
      <c r="U168" s="16" t="n">
        <v>113</v>
      </c>
      <c r="V168" s="16">
        <f>ROUNDUP((T168+U168+2*'Read Me'!$B$13)*(1+'Read Me'!$B$12),-1)</f>
        <v/>
      </c>
      <c r="W168" s="16">
        <f>V168*N168*O168</f>
        <v/>
      </c>
      <c r="X168" s="12">
        <f>IF(LEFT(I168,2)="MV",2*N168*IF(L168="1/C",O168,1),0)</f>
        <v/>
      </c>
      <c r="Y168" s="12">
        <f>IF(OR(LEFT(K168,4)="LVAX",LEFT(K168,6)="MV15AX",LEFT(K168,4)="CTAX",LEFT(K168,2)="W|"),2*N168*O168,0)</f>
        <v/>
      </c>
      <c r="Z168" s="12" t="inlineStr"/>
      <c r="AA168" s="12">
        <f>N168*O168</f>
        <v/>
      </c>
    </row>
    <row r="169">
      <c r="A169" s="12" t="inlineStr">
        <is>
          <t>A-C-0157</t>
        </is>
      </c>
      <c r="B169" s="12" t="inlineStr">
        <is>
          <t>A</t>
        </is>
      </c>
      <c r="C169" s="12" t="inlineStr">
        <is>
          <t>Power block</t>
        </is>
      </c>
      <c r="D169" s="12" t="inlineStr">
        <is>
          <t>Control</t>
        </is>
      </c>
      <c r="E169" s="12" t="inlineStr">
        <is>
          <t>R2B</t>
        </is>
      </c>
      <c r="F169" s="12" t="inlineStr">
        <is>
          <t>R2B: unit / HRSG electrical e-house (32 x 40 ft)</t>
        </is>
      </c>
      <c r="G169" s="12" t="inlineStr">
        <is>
          <t>GSU-2</t>
        </is>
      </c>
      <c r="H169" s="12" t="inlineStr">
        <is>
          <t>GSU-2: 21/230 kV generator step-up transformer</t>
        </is>
      </c>
      <c r="I169" s="12" t="inlineStr">
        <is>
          <t>Control</t>
        </is>
      </c>
      <c r="J169" s="12" t="inlineStr">
        <is>
          <t>Control cable 600 V Type TC-ER, Cu #14 AWG, PVC jacket</t>
        </is>
      </c>
      <c r="K169" s="12" t="inlineStr">
        <is>
          <t>CT|7/C|14</t>
        </is>
      </c>
      <c r="L169" s="12" t="inlineStr">
        <is>
          <t>7/C</t>
        </is>
      </c>
      <c r="M169" s="12" t="inlineStr">
        <is>
          <t>14</t>
        </is>
      </c>
      <c r="N169" s="12" t="n">
        <v>1</v>
      </c>
      <c r="O169" s="12" t="n">
        <v>1</v>
      </c>
      <c r="P169" s="12" t="n"/>
      <c r="Q169" s="12" t="n"/>
      <c r="R169" s="12" t="n"/>
      <c r="S169" s="12" t="inlineStr">
        <is>
          <t>Duct bank</t>
        </is>
      </c>
      <c r="T169" s="16" t="n">
        <v>1423</v>
      </c>
      <c r="U169" s="16" t="n">
        <v>113</v>
      </c>
      <c r="V169" s="16">
        <f>ROUNDUP((T169+U169+2*'Read Me'!$B$13)*(1+'Read Me'!$B$12),-1)</f>
        <v/>
      </c>
      <c r="W169" s="16">
        <f>V169*N169*O169</f>
        <v/>
      </c>
      <c r="X169" s="12">
        <f>IF(LEFT(I169,2)="MV",2*N169*IF(L169="1/C",O169,1),0)</f>
        <v/>
      </c>
      <c r="Y169" s="12">
        <f>IF(OR(LEFT(K169,4)="LVAX",LEFT(K169,6)="MV15AX",LEFT(K169,4)="CTAX",LEFT(K169,2)="W|"),2*N169*O169,0)</f>
        <v/>
      </c>
      <c r="Z169" s="12" t="inlineStr"/>
      <c r="AA169" s="12">
        <f>N169*O169</f>
        <v/>
      </c>
    </row>
    <row r="170">
      <c r="A170" s="12" t="inlineStr">
        <is>
          <t>A-C-0158</t>
        </is>
      </c>
      <c r="B170" s="12" t="inlineStr">
        <is>
          <t>A</t>
        </is>
      </c>
      <c r="C170" s="12" t="inlineStr">
        <is>
          <t>Power block</t>
        </is>
      </c>
      <c r="D170" s="12" t="inlineStr">
        <is>
          <t>Control</t>
        </is>
      </c>
      <c r="E170" s="12" t="inlineStr">
        <is>
          <t>R2B</t>
        </is>
      </c>
      <c r="F170" s="12" t="inlineStr">
        <is>
          <t>R2B: unit / HRSG electrical e-house (32 x 40 ft)</t>
        </is>
      </c>
      <c r="G170" s="12" t="inlineStr">
        <is>
          <t>GSU-2</t>
        </is>
      </c>
      <c r="H170" s="12" t="inlineStr">
        <is>
          <t>GSU-2: 21/230 kV generator step-up transformer</t>
        </is>
      </c>
      <c r="I170" s="12" t="inlineStr">
        <is>
          <t>Control</t>
        </is>
      </c>
      <c r="J170" s="12" t="inlineStr">
        <is>
          <t>Control cable 600 V Type TC-ER, Cu #14 AWG, PVC jacket</t>
        </is>
      </c>
      <c r="K170" s="12" t="inlineStr">
        <is>
          <t>CT|12/C|14</t>
        </is>
      </c>
      <c r="L170" s="12" t="inlineStr">
        <is>
          <t>12/C</t>
        </is>
      </c>
      <c r="M170" s="12" t="inlineStr">
        <is>
          <t>14</t>
        </is>
      </c>
      <c r="N170" s="12" t="n">
        <v>1</v>
      </c>
      <c r="O170" s="12" t="n">
        <v>1</v>
      </c>
      <c r="P170" s="12" t="n"/>
      <c r="Q170" s="12" t="n"/>
      <c r="R170" s="12" t="n"/>
      <c r="S170" s="12" t="inlineStr">
        <is>
          <t>Duct bank</t>
        </is>
      </c>
      <c r="T170" s="16" t="n">
        <v>1423</v>
      </c>
      <c r="U170" s="16" t="n">
        <v>113</v>
      </c>
      <c r="V170" s="16">
        <f>ROUNDUP((T170+U170+2*'Read Me'!$B$13)*(1+'Read Me'!$B$12),-1)</f>
        <v/>
      </c>
      <c r="W170" s="16">
        <f>V170*N170*O170</f>
        <v/>
      </c>
      <c r="X170" s="12">
        <f>IF(LEFT(I170,2)="MV",2*N170*IF(L170="1/C",O170,1),0)</f>
        <v/>
      </c>
      <c r="Y170" s="12">
        <f>IF(OR(LEFT(K170,4)="LVAX",LEFT(K170,6)="MV15AX",LEFT(K170,4)="CTAX",LEFT(K170,2)="W|"),2*N170*O170,0)</f>
        <v/>
      </c>
      <c r="Z170" s="12" t="inlineStr"/>
      <c r="AA170" s="12">
        <f>N170*O170</f>
        <v/>
      </c>
    </row>
    <row r="171">
      <c r="A171" s="12" t="inlineStr">
        <is>
          <t>A-C-0159</t>
        </is>
      </c>
      <c r="B171" s="12" t="inlineStr">
        <is>
          <t>A</t>
        </is>
      </c>
      <c r="C171" s="12" t="inlineStr">
        <is>
          <t>Power block</t>
        </is>
      </c>
      <c r="D171" s="12" t="inlineStr">
        <is>
          <t>CT / VT</t>
        </is>
      </c>
      <c r="E171" s="12" t="inlineStr">
        <is>
          <t>R2B</t>
        </is>
      </c>
      <c r="F171" s="12" t="inlineStr">
        <is>
          <t>R2B: unit / HRSG electrical e-house (32 x 40 ft)</t>
        </is>
      </c>
      <c r="G171" s="12" t="inlineStr">
        <is>
          <t>GSU-2</t>
        </is>
      </c>
      <c r="H171" s="12" t="inlineStr">
        <is>
          <t>GSU-2: 21/230 kV generator step-up transformer</t>
        </is>
      </c>
      <c r="I171" s="12" t="inlineStr">
        <is>
          <t>Control</t>
        </is>
      </c>
      <c r="J171" s="12" t="inlineStr">
        <is>
          <t>Control cable 600 V Type TC-ER, Cu #10 AWG (CT / VT circuits)</t>
        </is>
      </c>
      <c r="K171" s="12" t="inlineStr">
        <is>
          <t>CTCT|4/C|10</t>
        </is>
      </c>
      <c r="L171" s="12" t="inlineStr">
        <is>
          <t>4/C</t>
        </is>
      </c>
      <c r="M171" s="12" t="inlineStr">
        <is>
          <t>10</t>
        </is>
      </c>
      <c r="N171" s="12" t="n">
        <v>1</v>
      </c>
      <c r="O171" s="12" t="n">
        <v>1</v>
      </c>
      <c r="P171" s="12" t="n"/>
      <c r="Q171" s="12" t="n"/>
      <c r="R171" s="12" t="n"/>
      <c r="S171" s="12" t="inlineStr">
        <is>
          <t>Duct bank</t>
        </is>
      </c>
      <c r="T171" s="16" t="n">
        <v>1423</v>
      </c>
      <c r="U171" s="16" t="n">
        <v>113</v>
      </c>
      <c r="V171" s="16">
        <f>ROUNDUP((T171+U171+2*'Read Me'!$B$13)*(1+'Read Me'!$B$12),-1)</f>
        <v/>
      </c>
      <c r="W171" s="16">
        <f>V171*N171*O171</f>
        <v/>
      </c>
      <c r="X171" s="12">
        <f>IF(LEFT(I171,2)="MV",2*N171*IF(L171="1/C",O171,1),0)</f>
        <v/>
      </c>
      <c r="Y171" s="12">
        <f>IF(OR(LEFT(K171,4)="LVAX",LEFT(K171,6)="MV15AX",LEFT(K171,4)="CTAX",LEFT(K171,2)="W|"),2*N171*O171,0)</f>
        <v/>
      </c>
      <c r="Z171" s="12" t="inlineStr"/>
      <c r="AA171" s="12">
        <f>N171*O171</f>
        <v/>
      </c>
    </row>
    <row r="172">
      <c r="A172" s="12" t="inlineStr">
        <is>
          <t>A-C-0160</t>
        </is>
      </c>
      <c r="B172" s="12" t="inlineStr">
        <is>
          <t>A</t>
        </is>
      </c>
      <c r="C172" s="12" t="inlineStr">
        <is>
          <t>Power block</t>
        </is>
      </c>
      <c r="D172" s="12" t="inlineStr">
        <is>
          <t>CT / VT</t>
        </is>
      </c>
      <c r="E172" s="12" t="inlineStr">
        <is>
          <t>R2B</t>
        </is>
      </c>
      <c r="F172" s="12" t="inlineStr">
        <is>
          <t>R2B: unit / HRSG electrical e-house (32 x 40 ft)</t>
        </is>
      </c>
      <c r="G172" s="12" t="inlineStr">
        <is>
          <t>GSU-2</t>
        </is>
      </c>
      <c r="H172" s="12" t="inlineStr">
        <is>
          <t>GSU-2: 21/230 kV generator step-up transformer</t>
        </is>
      </c>
      <c r="I172" s="12" t="inlineStr">
        <is>
          <t>Control</t>
        </is>
      </c>
      <c r="J172" s="12" t="inlineStr">
        <is>
          <t>Control cable 600 V Type TC-ER, Cu #10 AWG (CT / VT circuits)</t>
        </is>
      </c>
      <c r="K172" s="12" t="inlineStr">
        <is>
          <t>CTCT|4/C|10</t>
        </is>
      </c>
      <c r="L172" s="12" t="inlineStr">
        <is>
          <t>4/C</t>
        </is>
      </c>
      <c r="M172" s="12" t="inlineStr">
        <is>
          <t>10</t>
        </is>
      </c>
      <c r="N172" s="12" t="n">
        <v>1</v>
      </c>
      <c r="O172" s="12" t="n">
        <v>1</v>
      </c>
      <c r="P172" s="12" t="n"/>
      <c r="Q172" s="12" t="n"/>
      <c r="R172" s="12" t="n"/>
      <c r="S172" s="12" t="inlineStr">
        <is>
          <t>Duct bank</t>
        </is>
      </c>
      <c r="T172" s="16" t="n">
        <v>1423</v>
      </c>
      <c r="U172" s="16" t="n">
        <v>113</v>
      </c>
      <c r="V172" s="16">
        <f>ROUNDUP((T172+U172+2*'Read Me'!$B$13)*(1+'Read Me'!$B$12),-1)</f>
        <v/>
      </c>
      <c r="W172" s="16">
        <f>V172*N172*O172</f>
        <v/>
      </c>
      <c r="X172" s="12">
        <f>IF(LEFT(I172,2)="MV",2*N172*IF(L172="1/C",O172,1),0)</f>
        <v/>
      </c>
      <c r="Y172" s="12">
        <f>IF(OR(LEFT(K172,4)="LVAX",LEFT(K172,6)="MV15AX",LEFT(K172,4)="CTAX",LEFT(K172,2)="W|"),2*N172*O172,0)</f>
        <v/>
      </c>
      <c r="Z172" s="12" t="inlineStr"/>
      <c r="AA172" s="12">
        <f>N172*O172</f>
        <v/>
      </c>
    </row>
    <row r="173">
      <c r="A173" s="12" t="inlineStr">
        <is>
          <t>A-C-0161</t>
        </is>
      </c>
      <c r="B173" s="12" t="inlineStr">
        <is>
          <t>A</t>
        </is>
      </c>
      <c r="C173" s="12" t="inlineStr">
        <is>
          <t>Power block</t>
        </is>
      </c>
      <c r="D173" s="12" t="inlineStr">
        <is>
          <t>Motor 1 of 6: control / local station</t>
        </is>
      </c>
      <c r="E173" s="12" t="inlineStr">
        <is>
          <t>R2C</t>
        </is>
      </c>
      <c r="F173" s="12" t="inlineStr">
        <is>
          <t>R2C: unit / HRSG electrical e-house (32 x 40 ft)</t>
        </is>
      </c>
      <c r="G173" s="12" t="inlineStr"/>
      <c r="H173" s="12" t="inlineStr">
        <is>
          <t>GSU-3 firewall</t>
        </is>
      </c>
      <c r="I173" s="12" t="inlineStr">
        <is>
          <t>Control</t>
        </is>
      </c>
      <c r="J173" s="12" t="inlineStr">
        <is>
          <t>Control cable 600 V Type TC-ER, Cu #14 AWG, PVC jacket</t>
        </is>
      </c>
      <c r="K173" s="12" t="inlineStr">
        <is>
          <t>CT|7/C|14</t>
        </is>
      </c>
      <c r="L173" s="12" t="inlineStr">
        <is>
          <t>7/C</t>
        </is>
      </c>
      <c r="M173" s="12" t="inlineStr">
        <is>
          <t>14</t>
        </is>
      </c>
      <c r="N173" s="12" t="n">
        <v>1</v>
      </c>
      <c r="O173" s="12" t="n">
        <v>1</v>
      </c>
      <c r="P173" s="12" t="n"/>
      <c r="Q173" s="12" t="n"/>
      <c r="R173" s="12" t="n"/>
      <c r="S173" s="12" t="inlineStr">
        <is>
          <t>Duct bank</t>
        </is>
      </c>
      <c r="T173" s="16" t="n">
        <v>1140</v>
      </c>
      <c r="U173" s="16" t="n">
        <v>110</v>
      </c>
      <c r="V173" s="16">
        <f>ROUNDUP((T173+U173+2*'Read Me'!$B$13)*(1+'Read Me'!$B$12),-1)</f>
        <v/>
      </c>
      <c r="W173" s="16">
        <f>V173*N173*O173</f>
        <v/>
      </c>
      <c r="X173" s="12">
        <f>IF(LEFT(I173,2)="MV",2*N173*IF(L173="1/C",O173,1),0)</f>
        <v/>
      </c>
      <c r="Y173" s="12">
        <f>IF(OR(LEFT(K173,4)="LVAX",LEFT(K173,6)="MV15AX",LEFT(K173,4)="CTAX",LEFT(K173,2)="W|"),2*N173*O173,0)</f>
        <v/>
      </c>
      <c r="Z173" s="12" t="inlineStr"/>
      <c r="AA173" s="12">
        <f>N173*O173</f>
        <v/>
      </c>
    </row>
    <row r="174">
      <c r="A174" s="12" t="inlineStr">
        <is>
          <t>A-C-0162</t>
        </is>
      </c>
      <c r="B174" s="12" t="inlineStr">
        <is>
          <t>A</t>
        </is>
      </c>
      <c r="C174" s="12" t="inlineStr">
        <is>
          <t>Power block</t>
        </is>
      </c>
      <c r="D174" s="12" t="inlineStr">
        <is>
          <t>Motor 2 of 6: control / local station</t>
        </is>
      </c>
      <c r="E174" s="12" t="inlineStr">
        <is>
          <t>R2C</t>
        </is>
      </c>
      <c r="F174" s="12" t="inlineStr">
        <is>
          <t>R2C: unit / HRSG electrical e-house (32 x 40 ft)</t>
        </is>
      </c>
      <c r="G174" s="12" t="inlineStr"/>
      <c r="H174" s="12" t="inlineStr">
        <is>
          <t>GSU-3 firewall</t>
        </is>
      </c>
      <c r="I174" s="12" t="inlineStr">
        <is>
          <t>Control</t>
        </is>
      </c>
      <c r="J174" s="12" t="inlineStr">
        <is>
          <t>Control cable 600 V Type TC-ER, Cu #14 AWG, PVC jacket</t>
        </is>
      </c>
      <c r="K174" s="12" t="inlineStr">
        <is>
          <t>CT|7/C|14</t>
        </is>
      </c>
      <c r="L174" s="12" t="inlineStr">
        <is>
          <t>7/C</t>
        </is>
      </c>
      <c r="M174" s="12" t="inlineStr">
        <is>
          <t>14</t>
        </is>
      </c>
      <c r="N174" s="12" t="n">
        <v>1</v>
      </c>
      <c r="O174" s="12" t="n">
        <v>1</v>
      </c>
      <c r="P174" s="12" t="n"/>
      <c r="Q174" s="12" t="n"/>
      <c r="R174" s="12" t="n"/>
      <c r="S174" s="12" t="inlineStr">
        <is>
          <t>Duct bank</t>
        </is>
      </c>
      <c r="T174" s="16" t="n">
        <v>1140</v>
      </c>
      <c r="U174" s="16" t="n">
        <v>110</v>
      </c>
      <c r="V174" s="16">
        <f>ROUNDUP((T174+U174+2*'Read Me'!$B$13)*(1+'Read Me'!$B$12),-1)</f>
        <v/>
      </c>
      <c r="W174" s="16">
        <f>V174*N174*O174</f>
        <v/>
      </c>
      <c r="X174" s="12">
        <f>IF(LEFT(I174,2)="MV",2*N174*IF(L174="1/C",O174,1),0)</f>
        <v/>
      </c>
      <c r="Y174" s="12">
        <f>IF(OR(LEFT(K174,4)="LVAX",LEFT(K174,6)="MV15AX",LEFT(K174,4)="CTAX",LEFT(K174,2)="W|"),2*N174*O174,0)</f>
        <v/>
      </c>
      <c r="Z174" s="12" t="inlineStr"/>
      <c r="AA174" s="12">
        <f>N174*O174</f>
        <v/>
      </c>
    </row>
    <row r="175">
      <c r="A175" s="12" t="inlineStr">
        <is>
          <t>A-C-0163</t>
        </is>
      </c>
      <c r="B175" s="12" t="inlineStr">
        <is>
          <t>A</t>
        </is>
      </c>
      <c r="C175" s="12" t="inlineStr">
        <is>
          <t>Power block</t>
        </is>
      </c>
      <c r="D175" s="12" t="inlineStr">
        <is>
          <t>Motor 3 of 6: control / local station</t>
        </is>
      </c>
      <c r="E175" s="12" t="inlineStr">
        <is>
          <t>R2C</t>
        </is>
      </c>
      <c r="F175" s="12" t="inlineStr">
        <is>
          <t>R2C: unit / HRSG electrical e-house (32 x 40 ft)</t>
        </is>
      </c>
      <c r="G175" s="12" t="inlineStr"/>
      <c r="H175" s="12" t="inlineStr">
        <is>
          <t>GSU-3 firewall</t>
        </is>
      </c>
      <c r="I175" s="12" t="inlineStr">
        <is>
          <t>Control</t>
        </is>
      </c>
      <c r="J175" s="12" t="inlineStr">
        <is>
          <t>Control cable 600 V Type TC-ER, Cu #14 AWG, PVC jacket</t>
        </is>
      </c>
      <c r="K175" s="12" t="inlineStr">
        <is>
          <t>CT|7/C|14</t>
        </is>
      </c>
      <c r="L175" s="12" t="inlineStr">
        <is>
          <t>7/C</t>
        </is>
      </c>
      <c r="M175" s="12" t="inlineStr">
        <is>
          <t>14</t>
        </is>
      </c>
      <c r="N175" s="12" t="n">
        <v>1</v>
      </c>
      <c r="O175" s="12" t="n">
        <v>1</v>
      </c>
      <c r="P175" s="12" t="n"/>
      <c r="Q175" s="12" t="n"/>
      <c r="R175" s="12" t="n"/>
      <c r="S175" s="12" t="inlineStr">
        <is>
          <t>Duct bank</t>
        </is>
      </c>
      <c r="T175" s="16" t="n">
        <v>1140</v>
      </c>
      <c r="U175" s="16" t="n">
        <v>110</v>
      </c>
      <c r="V175" s="16">
        <f>ROUNDUP((T175+U175+2*'Read Me'!$B$13)*(1+'Read Me'!$B$12),-1)</f>
        <v/>
      </c>
      <c r="W175" s="16">
        <f>V175*N175*O175</f>
        <v/>
      </c>
      <c r="X175" s="12">
        <f>IF(LEFT(I175,2)="MV",2*N175*IF(L175="1/C",O175,1),0)</f>
        <v/>
      </c>
      <c r="Y175" s="12">
        <f>IF(OR(LEFT(K175,4)="LVAX",LEFT(K175,6)="MV15AX",LEFT(K175,4)="CTAX",LEFT(K175,2)="W|"),2*N175*O175,0)</f>
        <v/>
      </c>
      <c r="Z175" s="12" t="inlineStr"/>
      <c r="AA175" s="12">
        <f>N175*O175</f>
        <v/>
      </c>
    </row>
    <row r="176">
      <c r="A176" s="12" t="inlineStr">
        <is>
          <t>A-C-0164</t>
        </is>
      </c>
      <c r="B176" s="12" t="inlineStr">
        <is>
          <t>A</t>
        </is>
      </c>
      <c r="C176" s="12" t="inlineStr">
        <is>
          <t>Power block</t>
        </is>
      </c>
      <c r="D176" s="12" t="inlineStr">
        <is>
          <t>Motor 4 of 6: control / local station</t>
        </is>
      </c>
      <c r="E176" s="12" t="inlineStr">
        <is>
          <t>R2C</t>
        </is>
      </c>
      <c r="F176" s="12" t="inlineStr">
        <is>
          <t>R2C: unit / HRSG electrical e-house (32 x 40 ft)</t>
        </is>
      </c>
      <c r="G176" s="12" t="inlineStr"/>
      <c r="H176" s="12" t="inlineStr">
        <is>
          <t>GSU-3 firewall</t>
        </is>
      </c>
      <c r="I176" s="12" t="inlineStr">
        <is>
          <t>Control</t>
        </is>
      </c>
      <c r="J176" s="12" t="inlineStr">
        <is>
          <t>Control cable 600 V Type TC-ER, Cu #14 AWG, PVC jacket</t>
        </is>
      </c>
      <c r="K176" s="12" t="inlineStr">
        <is>
          <t>CT|7/C|14</t>
        </is>
      </c>
      <c r="L176" s="12" t="inlineStr">
        <is>
          <t>7/C</t>
        </is>
      </c>
      <c r="M176" s="12" t="inlineStr">
        <is>
          <t>14</t>
        </is>
      </c>
      <c r="N176" s="12" t="n">
        <v>1</v>
      </c>
      <c r="O176" s="12" t="n">
        <v>1</v>
      </c>
      <c r="P176" s="12" t="n"/>
      <c r="Q176" s="12" t="n"/>
      <c r="R176" s="12" t="n"/>
      <c r="S176" s="12" t="inlineStr">
        <is>
          <t>Duct bank</t>
        </is>
      </c>
      <c r="T176" s="16" t="n">
        <v>1140</v>
      </c>
      <c r="U176" s="16" t="n">
        <v>110</v>
      </c>
      <c r="V176" s="16">
        <f>ROUNDUP((T176+U176+2*'Read Me'!$B$13)*(1+'Read Me'!$B$12),-1)</f>
        <v/>
      </c>
      <c r="W176" s="16">
        <f>V176*N176*O176</f>
        <v/>
      </c>
      <c r="X176" s="12">
        <f>IF(LEFT(I176,2)="MV",2*N176*IF(L176="1/C",O176,1),0)</f>
        <v/>
      </c>
      <c r="Y176" s="12">
        <f>IF(OR(LEFT(K176,4)="LVAX",LEFT(K176,6)="MV15AX",LEFT(K176,4)="CTAX",LEFT(K176,2)="W|"),2*N176*O176,0)</f>
        <v/>
      </c>
      <c r="Z176" s="12" t="inlineStr"/>
      <c r="AA176" s="12">
        <f>N176*O176</f>
        <v/>
      </c>
    </row>
    <row r="177">
      <c r="A177" s="12" t="inlineStr">
        <is>
          <t>A-C-0165</t>
        </is>
      </c>
      <c r="B177" s="12" t="inlineStr">
        <is>
          <t>A</t>
        </is>
      </c>
      <c r="C177" s="12" t="inlineStr">
        <is>
          <t>Power block</t>
        </is>
      </c>
      <c r="D177" s="12" t="inlineStr">
        <is>
          <t>Motor 5 of 6: control / local station</t>
        </is>
      </c>
      <c r="E177" s="12" t="inlineStr">
        <is>
          <t>R2C</t>
        </is>
      </c>
      <c r="F177" s="12" t="inlineStr">
        <is>
          <t>R2C: unit / HRSG electrical e-house (32 x 40 ft)</t>
        </is>
      </c>
      <c r="G177" s="12" t="inlineStr"/>
      <c r="H177" s="12" t="inlineStr">
        <is>
          <t>GSU-3 firewall</t>
        </is>
      </c>
      <c r="I177" s="12" t="inlineStr">
        <is>
          <t>Control</t>
        </is>
      </c>
      <c r="J177" s="12" t="inlineStr">
        <is>
          <t>Control cable 600 V Type TC-ER, Cu #14 AWG, PVC jacket</t>
        </is>
      </c>
      <c r="K177" s="12" t="inlineStr">
        <is>
          <t>CT|7/C|14</t>
        </is>
      </c>
      <c r="L177" s="12" t="inlineStr">
        <is>
          <t>7/C</t>
        </is>
      </c>
      <c r="M177" s="12" t="inlineStr">
        <is>
          <t>14</t>
        </is>
      </c>
      <c r="N177" s="12" t="n">
        <v>1</v>
      </c>
      <c r="O177" s="12" t="n">
        <v>1</v>
      </c>
      <c r="P177" s="12" t="n"/>
      <c r="Q177" s="12" t="n"/>
      <c r="R177" s="12" t="n"/>
      <c r="S177" s="12" t="inlineStr">
        <is>
          <t>Duct bank</t>
        </is>
      </c>
      <c r="T177" s="16" t="n">
        <v>1140</v>
      </c>
      <c r="U177" s="16" t="n">
        <v>110</v>
      </c>
      <c r="V177" s="16">
        <f>ROUNDUP((T177+U177+2*'Read Me'!$B$13)*(1+'Read Me'!$B$12),-1)</f>
        <v/>
      </c>
      <c r="W177" s="16">
        <f>V177*N177*O177</f>
        <v/>
      </c>
      <c r="X177" s="12">
        <f>IF(LEFT(I177,2)="MV",2*N177*IF(L177="1/C",O177,1),0)</f>
        <v/>
      </c>
      <c r="Y177" s="12">
        <f>IF(OR(LEFT(K177,4)="LVAX",LEFT(K177,6)="MV15AX",LEFT(K177,4)="CTAX",LEFT(K177,2)="W|"),2*N177*O177,0)</f>
        <v/>
      </c>
      <c r="Z177" s="12" t="inlineStr"/>
      <c r="AA177" s="12">
        <f>N177*O177</f>
        <v/>
      </c>
    </row>
    <row r="178">
      <c r="A178" s="12" t="inlineStr">
        <is>
          <t>A-C-0166</t>
        </is>
      </c>
      <c r="B178" s="12" t="inlineStr">
        <is>
          <t>A</t>
        </is>
      </c>
      <c r="C178" s="12" t="inlineStr">
        <is>
          <t>Power block</t>
        </is>
      </c>
      <c r="D178" s="12" t="inlineStr">
        <is>
          <t>Motor 6 of 6: control / local station</t>
        </is>
      </c>
      <c r="E178" s="12" t="inlineStr">
        <is>
          <t>R2C</t>
        </is>
      </c>
      <c r="F178" s="12" t="inlineStr">
        <is>
          <t>R2C: unit / HRSG electrical e-house (32 x 40 ft)</t>
        </is>
      </c>
      <c r="G178" s="12" t="inlineStr"/>
      <c r="H178" s="12" t="inlineStr">
        <is>
          <t>GSU-3 firewall</t>
        </is>
      </c>
      <c r="I178" s="12" t="inlineStr">
        <is>
          <t>Control</t>
        </is>
      </c>
      <c r="J178" s="12" t="inlineStr">
        <is>
          <t>Control cable 600 V Type TC-ER, Cu #14 AWG, PVC jacket</t>
        </is>
      </c>
      <c r="K178" s="12" t="inlineStr">
        <is>
          <t>CT|7/C|14</t>
        </is>
      </c>
      <c r="L178" s="12" t="inlineStr">
        <is>
          <t>7/C</t>
        </is>
      </c>
      <c r="M178" s="12" t="inlineStr">
        <is>
          <t>14</t>
        </is>
      </c>
      <c r="N178" s="12" t="n">
        <v>1</v>
      </c>
      <c r="O178" s="12" t="n">
        <v>1</v>
      </c>
      <c r="P178" s="12" t="n"/>
      <c r="Q178" s="12" t="n"/>
      <c r="R178" s="12" t="n"/>
      <c r="S178" s="12" t="inlineStr">
        <is>
          <t>Duct bank</t>
        </is>
      </c>
      <c r="T178" s="16" t="n">
        <v>1140</v>
      </c>
      <c r="U178" s="16" t="n">
        <v>110</v>
      </c>
      <c r="V178" s="16">
        <f>ROUNDUP((T178+U178+2*'Read Me'!$B$13)*(1+'Read Me'!$B$12),-1)</f>
        <v/>
      </c>
      <c r="W178" s="16">
        <f>V178*N178*O178</f>
        <v/>
      </c>
      <c r="X178" s="12">
        <f>IF(LEFT(I178,2)="MV",2*N178*IF(L178="1/C",O178,1),0)</f>
        <v/>
      </c>
      <c r="Y178" s="12">
        <f>IF(OR(LEFT(K178,4)="LVAX",LEFT(K178,6)="MV15AX",LEFT(K178,4)="CTAX",LEFT(K178,2)="W|"),2*N178*O178,0)</f>
        <v/>
      </c>
      <c r="Z178" s="12" t="inlineStr"/>
      <c r="AA178" s="12">
        <f>N178*O178</f>
        <v/>
      </c>
    </row>
    <row r="179">
      <c r="A179" s="12" t="inlineStr">
        <is>
          <t>A-C-0167</t>
        </is>
      </c>
      <c r="B179" s="12" t="inlineStr">
        <is>
          <t>A</t>
        </is>
      </c>
      <c r="C179" s="12" t="inlineStr">
        <is>
          <t>Power block</t>
        </is>
      </c>
      <c r="D179" s="12" t="inlineStr">
        <is>
          <t>Motor 1 of 6: control / local station</t>
        </is>
      </c>
      <c r="E179" s="12" t="inlineStr">
        <is>
          <t>R2C</t>
        </is>
      </c>
      <c r="F179" s="12" t="inlineStr">
        <is>
          <t>R2C: unit / HRSG electrical e-house (32 x 40 ft)</t>
        </is>
      </c>
      <c r="G179" s="12" t="inlineStr">
        <is>
          <t>GSU-3</t>
        </is>
      </c>
      <c r="H179" s="12" t="inlineStr">
        <is>
          <t>GSU-3: 21/230 kV generator step-up transformer</t>
        </is>
      </c>
      <c r="I179" s="12" t="inlineStr">
        <is>
          <t>Control</t>
        </is>
      </c>
      <c r="J179" s="12" t="inlineStr">
        <is>
          <t>Control cable 600 V Type TC-ER, Cu #14 AWG, PVC jacket</t>
        </is>
      </c>
      <c r="K179" s="12" t="inlineStr">
        <is>
          <t>CT|7/C|14</t>
        </is>
      </c>
      <c r="L179" s="12" t="inlineStr">
        <is>
          <t>7/C</t>
        </is>
      </c>
      <c r="M179" s="12" t="inlineStr">
        <is>
          <t>14</t>
        </is>
      </c>
      <c r="N179" s="12" t="n">
        <v>1</v>
      </c>
      <c r="O179" s="12" t="n">
        <v>1</v>
      </c>
      <c r="P179" s="12" t="n"/>
      <c r="Q179" s="12" t="n"/>
      <c r="R179" s="12" t="n"/>
      <c r="S179" s="12" t="inlineStr">
        <is>
          <t>Duct bank</t>
        </is>
      </c>
      <c r="T179" s="16" t="n">
        <v>1103</v>
      </c>
      <c r="U179" s="16" t="n">
        <v>113</v>
      </c>
      <c r="V179" s="16">
        <f>ROUNDUP((T179+U179+2*'Read Me'!$B$13)*(1+'Read Me'!$B$12),-1)</f>
        <v/>
      </c>
      <c r="W179" s="16">
        <f>V179*N179*O179</f>
        <v/>
      </c>
      <c r="X179" s="12">
        <f>IF(LEFT(I179,2)="MV",2*N179*IF(L179="1/C",O179,1),0)</f>
        <v/>
      </c>
      <c r="Y179" s="12">
        <f>IF(OR(LEFT(K179,4)="LVAX",LEFT(K179,6)="MV15AX",LEFT(K179,4)="CTAX",LEFT(K179,2)="W|"),2*N179*O179,0)</f>
        <v/>
      </c>
      <c r="Z179" s="12" t="inlineStr"/>
      <c r="AA179" s="12">
        <f>N179*O179</f>
        <v/>
      </c>
    </row>
    <row r="180">
      <c r="A180" s="12" t="inlineStr">
        <is>
          <t>A-C-0168</t>
        </is>
      </c>
      <c r="B180" s="12" t="inlineStr">
        <is>
          <t>A</t>
        </is>
      </c>
      <c r="C180" s="12" t="inlineStr">
        <is>
          <t>Power block</t>
        </is>
      </c>
      <c r="D180" s="12" t="inlineStr">
        <is>
          <t>Motor 2 of 6: control / local station</t>
        </is>
      </c>
      <c r="E180" s="12" t="inlineStr">
        <is>
          <t>R2C</t>
        </is>
      </c>
      <c r="F180" s="12" t="inlineStr">
        <is>
          <t>R2C: unit / HRSG electrical e-house (32 x 40 ft)</t>
        </is>
      </c>
      <c r="G180" s="12" t="inlineStr">
        <is>
          <t>GSU-3</t>
        </is>
      </c>
      <c r="H180" s="12" t="inlineStr">
        <is>
          <t>GSU-3: 21/230 kV generator step-up transformer</t>
        </is>
      </c>
      <c r="I180" s="12" t="inlineStr">
        <is>
          <t>Control</t>
        </is>
      </c>
      <c r="J180" s="12" t="inlineStr">
        <is>
          <t>Control cable 600 V Type TC-ER, Cu #14 AWG, PVC jacket</t>
        </is>
      </c>
      <c r="K180" s="12" t="inlineStr">
        <is>
          <t>CT|7/C|14</t>
        </is>
      </c>
      <c r="L180" s="12" t="inlineStr">
        <is>
          <t>7/C</t>
        </is>
      </c>
      <c r="M180" s="12" t="inlineStr">
        <is>
          <t>14</t>
        </is>
      </c>
      <c r="N180" s="12" t="n">
        <v>1</v>
      </c>
      <c r="O180" s="12" t="n">
        <v>1</v>
      </c>
      <c r="P180" s="12" t="n"/>
      <c r="Q180" s="12" t="n"/>
      <c r="R180" s="12" t="n"/>
      <c r="S180" s="12" t="inlineStr">
        <is>
          <t>Duct bank</t>
        </is>
      </c>
      <c r="T180" s="16" t="n">
        <v>1103</v>
      </c>
      <c r="U180" s="16" t="n">
        <v>113</v>
      </c>
      <c r="V180" s="16">
        <f>ROUNDUP((T180+U180+2*'Read Me'!$B$13)*(1+'Read Me'!$B$12),-1)</f>
        <v/>
      </c>
      <c r="W180" s="16">
        <f>V180*N180*O180</f>
        <v/>
      </c>
      <c r="X180" s="12">
        <f>IF(LEFT(I180,2)="MV",2*N180*IF(L180="1/C",O180,1),0)</f>
        <v/>
      </c>
      <c r="Y180" s="12">
        <f>IF(OR(LEFT(K180,4)="LVAX",LEFT(K180,6)="MV15AX",LEFT(K180,4)="CTAX",LEFT(K180,2)="W|"),2*N180*O180,0)</f>
        <v/>
      </c>
      <c r="Z180" s="12" t="inlineStr"/>
      <c r="AA180" s="12">
        <f>N180*O180</f>
        <v/>
      </c>
    </row>
    <row r="181">
      <c r="A181" s="12" t="inlineStr">
        <is>
          <t>A-C-0169</t>
        </is>
      </c>
      <c r="B181" s="12" t="inlineStr">
        <is>
          <t>A</t>
        </is>
      </c>
      <c r="C181" s="12" t="inlineStr">
        <is>
          <t>Power block</t>
        </is>
      </c>
      <c r="D181" s="12" t="inlineStr">
        <is>
          <t>Motor 3 of 6: control / local station</t>
        </is>
      </c>
      <c r="E181" s="12" t="inlineStr">
        <is>
          <t>R2C</t>
        </is>
      </c>
      <c r="F181" s="12" t="inlineStr">
        <is>
          <t>R2C: unit / HRSG electrical e-house (32 x 40 ft)</t>
        </is>
      </c>
      <c r="G181" s="12" t="inlineStr">
        <is>
          <t>GSU-3</t>
        </is>
      </c>
      <c r="H181" s="12" t="inlineStr">
        <is>
          <t>GSU-3: 21/230 kV generator step-up transformer</t>
        </is>
      </c>
      <c r="I181" s="12" t="inlineStr">
        <is>
          <t>Control</t>
        </is>
      </c>
      <c r="J181" s="12" t="inlineStr">
        <is>
          <t>Control cable 600 V Type TC-ER, Cu #14 AWG, PVC jacket</t>
        </is>
      </c>
      <c r="K181" s="12" t="inlineStr">
        <is>
          <t>CT|7/C|14</t>
        </is>
      </c>
      <c r="L181" s="12" t="inlineStr">
        <is>
          <t>7/C</t>
        </is>
      </c>
      <c r="M181" s="12" t="inlineStr">
        <is>
          <t>14</t>
        </is>
      </c>
      <c r="N181" s="12" t="n">
        <v>1</v>
      </c>
      <c r="O181" s="12" t="n">
        <v>1</v>
      </c>
      <c r="P181" s="12" t="n"/>
      <c r="Q181" s="12" t="n"/>
      <c r="R181" s="12" t="n"/>
      <c r="S181" s="12" t="inlineStr">
        <is>
          <t>Duct bank</t>
        </is>
      </c>
      <c r="T181" s="16" t="n">
        <v>1103</v>
      </c>
      <c r="U181" s="16" t="n">
        <v>113</v>
      </c>
      <c r="V181" s="16">
        <f>ROUNDUP((T181+U181+2*'Read Me'!$B$13)*(1+'Read Me'!$B$12),-1)</f>
        <v/>
      </c>
      <c r="W181" s="16">
        <f>V181*N181*O181</f>
        <v/>
      </c>
      <c r="X181" s="12">
        <f>IF(LEFT(I181,2)="MV",2*N181*IF(L181="1/C",O181,1),0)</f>
        <v/>
      </c>
      <c r="Y181" s="12">
        <f>IF(OR(LEFT(K181,4)="LVAX",LEFT(K181,6)="MV15AX",LEFT(K181,4)="CTAX",LEFT(K181,2)="W|"),2*N181*O181,0)</f>
        <v/>
      </c>
      <c r="Z181" s="12" t="inlineStr"/>
      <c r="AA181" s="12">
        <f>N181*O181</f>
        <v/>
      </c>
    </row>
    <row r="182">
      <c r="A182" s="12" t="inlineStr">
        <is>
          <t>A-C-0170</t>
        </is>
      </c>
      <c r="B182" s="12" t="inlineStr">
        <is>
          <t>A</t>
        </is>
      </c>
      <c r="C182" s="12" t="inlineStr">
        <is>
          <t>Power block</t>
        </is>
      </c>
      <c r="D182" s="12" t="inlineStr">
        <is>
          <t>Motor 4 of 6: control / local station</t>
        </is>
      </c>
      <c r="E182" s="12" t="inlineStr">
        <is>
          <t>R2C</t>
        </is>
      </c>
      <c r="F182" s="12" t="inlineStr">
        <is>
          <t>R2C: unit / HRSG electrical e-house (32 x 40 ft)</t>
        </is>
      </c>
      <c r="G182" s="12" t="inlineStr">
        <is>
          <t>GSU-3</t>
        </is>
      </c>
      <c r="H182" s="12" t="inlineStr">
        <is>
          <t>GSU-3: 21/230 kV generator step-up transformer</t>
        </is>
      </c>
      <c r="I182" s="12" t="inlineStr">
        <is>
          <t>Control</t>
        </is>
      </c>
      <c r="J182" s="12" t="inlineStr">
        <is>
          <t>Control cable 600 V Type TC-ER, Cu #14 AWG, PVC jacket</t>
        </is>
      </c>
      <c r="K182" s="12" t="inlineStr">
        <is>
          <t>CT|7/C|14</t>
        </is>
      </c>
      <c r="L182" s="12" t="inlineStr">
        <is>
          <t>7/C</t>
        </is>
      </c>
      <c r="M182" s="12" t="inlineStr">
        <is>
          <t>14</t>
        </is>
      </c>
      <c r="N182" s="12" t="n">
        <v>1</v>
      </c>
      <c r="O182" s="12" t="n">
        <v>1</v>
      </c>
      <c r="P182" s="12" t="n"/>
      <c r="Q182" s="12" t="n"/>
      <c r="R182" s="12" t="n"/>
      <c r="S182" s="12" t="inlineStr">
        <is>
          <t>Duct bank</t>
        </is>
      </c>
      <c r="T182" s="16" t="n">
        <v>1103</v>
      </c>
      <c r="U182" s="16" t="n">
        <v>113</v>
      </c>
      <c r="V182" s="16">
        <f>ROUNDUP((T182+U182+2*'Read Me'!$B$13)*(1+'Read Me'!$B$12),-1)</f>
        <v/>
      </c>
      <c r="W182" s="16">
        <f>V182*N182*O182</f>
        <v/>
      </c>
      <c r="X182" s="12">
        <f>IF(LEFT(I182,2)="MV",2*N182*IF(L182="1/C",O182,1),0)</f>
        <v/>
      </c>
      <c r="Y182" s="12">
        <f>IF(OR(LEFT(K182,4)="LVAX",LEFT(K182,6)="MV15AX",LEFT(K182,4)="CTAX",LEFT(K182,2)="W|"),2*N182*O182,0)</f>
        <v/>
      </c>
      <c r="Z182" s="12" t="inlineStr"/>
      <c r="AA182" s="12">
        <f>N182*O182</f>
        <v/>
      </c>
    </row>
    <row r="183">
      <c r="A183" s="12" t="inlineStr">
        <is>
          <t>A-C-0171</t>
        </is>
      </c>
      <c r="B183" s="12" t="inlineStr">
        <is>
          <t>A</t>
        </is>
      </c>
      <c r="C183" s="12" t="inlineStr">
        <is>
          <t>Power block</t>
        </is>
      </c>
      <c r="D183" s="12" t="inlineStr">
        <is>
          <t>Motor 5 of 6: control / local station</t>
        </is>
      </c>
      <c r="E183" s="12" t="inlineStr">
        <is>
          <t>R2C</t>
        </is>
      </c>
      <c r="F183" s="12" t="inlineStr">
        <is>
          <t>R2C: unit / HRSG electrical e-house (32 x 40 ft)</t>
        </is>
      </c>
      <c r="G183" s="12" t="inlineStr">
        <is>
          <t>GSU-3</t>
        </is>
      </c>
      <c r="H183" s="12" t="inlineStr">
        <is>
          <t>GSU-3: 21/230 kV generator step-up transformer</t>
        </is>
      </c>
      <c r="I183" s="12" t="inlineStr">
        <is>
          <t>Control</t>
        </is>
      </c>
      <c r="J183" s="12" t="inlineStr">
        <is>
          <t>Control cable 600 V Type TC-ER, Cu #14 AWG, PVC jacket</t>
        </is>
      </c>
      <c r="K183" s="12" t="inlineStr">
        <is>
          <t>CT|7/C|14</t>
        </is>
      </c>
      <c r="L183" s="12" t="inlineStr">
        <is>
          <t>7/C</t>
        </is>
      </c>
      <c r="M183" s="12" t="inlineStr">
        <is>
          <t>14</t>
        </is>
      </c>
      <c r="N183" s="12" t="n">
        <v>1</v>
      </c>
      <c r="O183" s="12" t="n">
        <v>1</v>
      </c>
      <c r="P183" s="12" t="n"/>
      <c r="Q183" s="12" t="n"/>
      <c r="R183" s="12" t="n"/>
      <c r="S183" s="12" t="inlineStr">
        <is>
          <t>Duct bank</t>
        </is>
      </c>
      <c r="T183" s="16" t="n">
        <v>1103</v>
      </c>
      <c r="U183" s="16" t="n">
        <v>113</v>
      </c>
      <c r="V183" s="16">
        <f>ROUNDUP((T183+U183+2*'Read Me'!$B$13)*(1+'Read Me'!$B$12),-1)</f>
        <v/>
      </c>
      <c r="W183" s="16">
        <f>V183*N183*O183</f>
        <v/>
      </c>
      <c r="X183" s="12">
        <f>IF(LEFT(I183,2)="MV",2*N183*IF(L183="1/C",O183,1),0)</f>
        <v/>
      </c>
      <c r="Y183" s="12">
        <f>IF(OR(LEFT(K183,4)="LVAX",LEFT(K183,6)="MV15AX",LEFT(K183,4)="CTAX",LEFT(K183,2)="W|"),2*N183*O183,0)</f>
        <v/>
      </c>
      <c r="Z183" s="12" t="inlineStr"/>
      <c r="AA183" s="12">
        <f>N183*O183</f>
        <v/>
      </c>
    </row>
    <row r="184">
      <c r="A184" s="12" t="inlineStr">
        <is>
          <t>A-C-0172</t>
        </is>
      </c>
      <c r="B184" s="12" t="inlineStr">
        <is>
          <t>A</t>
        </is>
      </c>
      <c r="C184" s="12" t="inlineStr">
        <is>
          <t>Power block</t>
        </is>
      </c>
      <c r="D184" s="12" t="inlineStr">
        <is>
          <t>Motor 6 of 6: control / local station</t>
        </is>
      </c>
      <c r="E184" s="12" t="inlineStr">
        <is>
          <t>R2C</t>
        </is>
      </c>
      <c r="F184" s="12" t="inlineStr">
        <is>
          <t>R2C: unit / HRSG electrical e-house (32 x 40 ft)</t>
        </is>
      </c>
      <c r="G184" s="12" t="inlineStr">
        <is>
          <t>GSU-3</t>
        </is>
      </c>
      <c r="H184" s="12" t="inlineStr">
        <is>
          <t>GSU-3: 21/230 kV generator step-up transformer</t>
        </is>
      </c>
      <c r="I184" s="12" t="inlineStr">
        <is>
          <t>Control</t>
        </is>
      </c>
      <c r="J184" s="12" t="inlineStr">
        <is>
          <t>Control cable 600 V Type TC-ER, Cu #14 AWG, PVC jacket</t>
        </is>
      </c>
      <c r="K184" s="12" t="inlineStr">
        <is>
          <t>CT|7/C|14</t>
        </is>
      </c>
      <c r="L184" s="12" t="inlineStr">
        <is>
          <t>7/C</t>
        </is>
      </c>
      <c r="M184" s="12" t="inlineStr">
        <is>
          <t>14</t>
        </is>
      </c>
      <c r="N184" s="12" t="n">
        <v>1</v>
      </c>
      <c r="O184" s="12" t="n">
        <v>1</v>
      </c>
      <c r="P184" s="12" t="n"/>
      <c r="Q184" s="12" t="n"/>
      <c r="R184" s="12" t="n"/>
      <c r="S184" s="12" t="inlineStr">
        <is>
          <t>Duct bank</t>
        </is>
      </c>
      <c r="T184" s="16" t="n">
        <v>1103</v>
      </c>
      <c r="U184" s="16" t="n">
        <v>113</v>
      </c>
      <c r="V184" s="16">
        <f>ROUNDUP((T184+U184+2*'Read Me'!$B$13)*(1+'Read Me'!$B$12),-1)</f>
        <v/>
      </c>
      <c r="W184" s="16">
        <f>V184*N184*O184</f>
        <v/>
      </c>
      <c r="X184" s="12">
        <f>IF(LEFT(I184,2)="MV",2*N184*IF(L184="1/C",O184,1),0)</f>
        <v/>
      </c>
      <c r="Y184" s="12">
        <f>IF(OR(LEFT(K184,4)="LVAX",LEFT(K184,6)="MV15AX",LEFT(K184,4)="CTAX",LEFT(K184,2)="W|"),2*N184*O184,0)</f>
        <v/>
      </c>
      <c r="Z184" s="12" t="inlineStr"/>
      <c r="AA184" s="12">
        <f>N184*O184</f>
        <v/>
      </c>
    </row>
    <row r="185">
      <c r="A185" s="12" t="inlineStr">
        <is>
          <t>A-C-0173</t>
        </is>
      </c>
      <c r="B185" s="12" t="inlineStr">
        <is>
          <t>A</t>
        </is>
      </c>
      <c r="C185" s="12" t="inlineStr">
        <is>
          <t>Power block</t>
        </is>
      </c>
      <c r="D185" s="12" t="inlineStr">
        <is>
          <t>Control</t>
        </is>
      </c>
      <c r="E185" s="12" t="inlineStr">
        <is>
          <t>R2C</t>
        </is>
      </c>
      <c r="F185" s="12" t="inlineStr">
        <is>
          <t>R2C: unit / HRSG electrical e-house (32 x 40 ft)</t>
        </is>
      </c>
      <c r="G185" s="12" t="inlineStr">
        <is>
          <t>GSU-3</t>
        </is>
      </c>
      <c r="H185" s="12" t="inlineStr">
        <is>
          <t>GSU-3: 21/230 kV generator step-up transformer</t>
        </is>
      </c>
      <c r="I185" s="12" t="inlineStr">
        <is>
          <t>Control</t>
        </is>
      </c>
      <c r="J185" s="12" t="inlineStr">
        <is>
          <t>Control cable 600 V Type TC-ER, Cu #14 AWG, PVC jacket</t>
        </is>
      </c>
      <c r="K185" s="12" t="inlineStr">
        <is>
          <t>CT|7/C|14</t>
        </is>
      </c>
      <c r="L185" s="12" t="inlineStr">
        <is>
          <t>7/C</t>
        </is>
      </c>
      <c r="M185" s="12" t="inlineStr">
        <is>
          <t>14</t>
        </is>
      </c>
      <c r="N185" s="12" t="n">
        <v>1</v>
      </c>
      <c r="O185" s="12" t="n">
        <v>1</v>
      </c>
      <c r="P185" s="12" t="n"/>
      <c r="Q185" s="12" t="n"/>
      <c r="R185" s="12" t="n"/>
      <c r="S185" s="12" t="inlineStr">
        <is>
          <t>Duct bank</t>
        </is>
      </c>
      <c r="T185" s="16" t="n">
        <v>1103</v>
      </c>
      <c r="U185" s="16" t="n">
        <v>113</v>
      </c>
      <c r="V185" s="16">
        <f>ROUNDUP((T185+U185+2*'Read Me'!$B$13)*(1+'Read Me'!$B$12),-1)</f>
        <v/>
      </c>
      <c r="W185" s="16">
        <f>V185*N185*O185</f>
        <v/>
      </c>
      <c r="X185" s="12">
        <f>IF(LEFT(I185,2)="MV",2*N185*IF(L185="1/C",O185,1),0)</f>
        <v/>
      </c>
      <c r="Y185" s="12">
        <f>IF(OR(LEFT(K185,4)="LVAX",LEFT(K185,6)="MV15AX",LEFT(K185,4)="CTAX",LEFT(K185,2)="W|"),2*N185*O185,0)</f>
        <v/>
      </c>
      <c r="Z185" s="12" t="inlineStr"/>
      <c r="AA185" s="12">
        <f>N185*O185</f>
        <v/>
      </c>
    </row>
    <row r="186">
      <c r="A186" s="12" t="inlineStr">
        <is>
          <t>A-C-0174</t>
        </is>
      </c>
      <c r="B186" s="12" t="inlineStr">
        <is>
          <t>A</t>
        </is>
      </c>
      <c r="C186" s="12" t="inlineStr">
        <is>
          <t>Power block</t>
        </is>
      </c>
      <c r="D186" s="12" t="inlineStr">
        <is>
          <t>Control</t>
        </is>
      </c>
      <c r="E186" s="12" t="inlineStr">
        <is>
          <t>R2C</t>
        </is>
      </c>
      <c r="F186" s="12" t="inlineStr">
        <is>
          <t>R2C: unit / HRSG electrical e-house (32 x 40 ft)</t>
        </is>
      </c>
      <c r="G186" s="12" t="inlineStr">
        <is>
          <t>GSU-3</t>
        </is>
      </c>
      <c r="H186" s="12" t="inlineStr">
        <is>
          <t>GSU-3: 21/230 kV generator step-up transformer</t>
        </is>
      </c>
      <c r="I186" s="12" t="inlineStr">
        <is>
          <t>Control</t>
        </is>
      </c>
      <c r="J186" s="12" t="inlineStr">
        <is>
          <t>Control cable 600 V Type TC-ER, Cu #14 AWG, PVC jacket</t>
        </is>
      </c>
      <c r="K186" s="12" t="inlineStr">
        <is>
          <t>CT|12/C|14</t>
        </is>
      </c>
      <c r="L186" s="12" t="inlineStr">
        <is>
          <t>12/C</t>
        </is>
      </c>
      <c r="M186" s="12" t="inlineStr">
        <is>
          <t>14</t>
        </is>
      </c>
      <c r="N186" s="12" t="n">
        <v>1</v>
      </c>
      <c r="O186" s="12" t="n">
        <v>1</v>
      </c>
      <c r="P186" s="12" t="n"/>
      <c r="Q186" s="12" t="n"/>
      <c r="R186" s="12" t="n"/>
      <c r="S186" s="12" t="inlineStr">
        <is>
          <t>Duct bank</t>
        </is>
      </c>
      <c r="T186" s="16" t="n">
        <v>1103</v>
      </c>
      <c r="U186" s="16" t="n">
        <v>113</v>
      </c>
      <c r="V186" s="16">
        <f>ROUNDUP((T186+U186+2*'Read Me'!$B$13)*(1+'Read Me'!$B$12),-1)</f>
        <v/>
      </c>
      <c r="W186" s="16">
        <f>V186*N186*O186</f>
        <v/>
      </c>
      <c r="X186" s="12">
        <f>IF(LEFT(I186,2)="MV",2*N186*IF(L186="1/C",O186,1),0)</f>
        <v/>
      </c>
      <c r="Y186" s="12">
        <f>IF(OR(LEFT(K186,4)="LVAX",LEFT(K186,6)="MV15AX",LEFT(K186,4)="CTAX",LEFT(K186,2)="W|"),2*N186*O186,0)</f>
        <v/>
      </c>
      <c r="Z186" s="12" t="inlineStr"/>
      <c r="AA186" s="12">
        <f>N186*O186</f>
        <v/>
      </c>
    </row>
    <row r="187">
      <c r="A187" s="12" t="inlineStr">
        <is>
          <t>A-C-0175</t>
        </is>
      </c>
      <c r="B187" s="12" t="inlineStr">
        <is>
          <t>A</t>
        </is>
      </c>
      <c r="C187" s="12" t="inlineStr">
        <is>
          <t>Power block</t>
        </is>
      </c>
      <c r="D187" s="12" t="inlineStr">
        <is>
          <t>CT / VT</t>
        </is>
      </c>
      <c r="E187" s="12" t="inlineStr">
        <is>
          <t>R2C</t>
        </is>
      </c>
      <c r="F187" s="12" t="inlineStr">
        <is>
          <t>R2C: unit / HRSG electrical e-house (32 x 40 ft)</t>
        </is>
      </c>
      <c r="G187" s="12" t="inlineStr">
        <is>
          <t>GSU-3</t>
        </is>
      </c>
      <c r="H187" s="12" t="inlineStr">
        <is>
          <t>GSU-3: 21/230 kV generator step-up transformer</t>
        </is>
      </c>
      <c r="I187" s="12" t="inlineStr">
        <is>
          <t>Control</t>
        </is>
      </c>
      <c r="J187" s="12" t="inlineStr">
        <is>
          <t>Control cable 600 V Type TC-ER, Cu #10 AWG (CT / VT circuits)</t>
        </is>
      </c>
      <c r="K187" s="12" t="inlineStr">
        <is>
          <t>CTCT|4/C|10</t>
        </is>
      </c>
      <c r="L187" s="12" t="inlineStr">
        <is>
          <t>4/C</t>
        </is>
      </c>
      <c r="M187" s="12" t="inlineStr">
        <is>
          <t>10</t>
        </is>
      </c>
      <c r="N187" s="12" t="n">
        <v>1</v>
      </c>
      <c r="O187" s="12" t="n">
        <v>1</v>
      </c>
      <c r="P187" s="12" t="n"/>
      <c r="Q187" s="12" t="n"/>
      <c r="R187" s="12" t="n"/>
      <c r="S187" s="12" t="inlineStr">
        <is>
          <t>Duct bank</t>
        </is>
      </c>
      <c r="T187" s="16" t="n">
        <v>1103</v>
      </c>
      <c r="U187" s="16" t="n">
        <v>113</v>
      </c>
      <c r="V187" s="16">
        <f>ROUNDUP((T187+U187+2*'Read Me'!$B$13)*(1+'Read Me'!$B$12),-1)</f>
        <v/>
      </c>
      <c r="W187" s="16">
        <f>V187*N187*O187</f>
        <v/>
      </c>
      <c r="X187" s="12">
        <f>IF(LEFT(I187,2)="MV",2*N187*IF(L187="1/C",O187,1),0)</f>
        <v/>
      </c>
      <c r="Y187" s="12">
        <f>IF(OR(LEFT(K187,4)="LVAX",LEFT(K187,6)="MV15AX",LEFT(K187,4)="CTAX",LEFT(K187,2)="W|"),2*N187*O187,0)</f>
        <v/>
      </c>
      <c r="Z187" s="12" t="inlineStr"/>
      <c r="AA187" s="12">
        <f>N187*O187</f>
        <v/>
      </c>
    </row>
    <row r="188">
      <c r="A188" s="12" t="inlineStr">
        <is>
          <t>A-C-0176</t>
        </is>
      </c>
      <c r="B188" s="12" t="inlineStr">
        <is>
          <t>A</t>
        </is>
      </c>
      <c r="C188" s="12" t="inlineStr">
        <is>
          <t>Power block</t>
        </is>
      </c>
      <c r="D188" s="12" t="inlineStr">
        <is>
          <t>CT / VT</t>
        </is>
      </c>
      <c r="E188" s="12" t="inlineStr">
        <is>
          <t>R2C</t>
        </is>
      </c>
      <c r="F188" s="12" t="inlineStr">
        <is>
          <t>R2C: unit / HRSG electrical e-house (32 x 40 ft)</t>
        </is>
      </c>
      <c r="G188" s="12" t="inlineStr">
        <is>
          <t>GSU-3</t>
        </is>
      </c>
      <c r="H188" s="12" t="inlineStr">
        <is>
          <t>GSU-3: 21/230 kV generator step-up transformer</t>
        </is>
      </c>
      <c r="I188" s="12" t="inlineStr">
        <is>
          <t>Control</t>
        </is>
      </c>
      <c r="J188" s="12" t="inlineStr">
        <is>
          <t>Control cable 600 V Type TC-ER, Cu #10 AWG (CT / VT circuits)</t>
        </is>
      </c>
      <c r="K188" s="12" t="inlineStr">
        <is>
          <t>CTCT|4/C|10</t>
        </is>
      </c>
      <c r="L188" s="12" t="inlineStr">
        <is>
          <t>4/C</t>
        </is>
      </c>
      <c r="M188" s="12" t="inlineStr">
        <is>
          <t>10</t>
        </is>
      </c>
      <c r="N188" s="12" t="n">
        <v>1</v>
      </c>
      <c r="O188" s="12" t="n">
        <v>1</v>
      </c>
      <c r="P188" s="12" t="n"/>
      <c r="Q188" s="12" t="n"/>
      <c r="R188" s="12" t="n"/>
      <c r="S188" s="12" t="inlineStr">
        <is>
          <t>Duct bank</t>
        </is>
      </c>
      <c r="T188" s="16" t="n">
        <v>1103</v>
      </c>
      <c r="U188" s="16" t="n">
        <v>113</v>
      </c>
      <c r="V188" s="16">
        <f>ROUNDUP((T188+U188+2*'Read Me'!$B$13)*(1+'Read Me'!$B$12),-1)</f>
        <v/>
      </c>
      <c r="W188" s="16">
        <f>V188*N188*O188</f>
        <v/>
      </c>
      <c r="X188" s="12">
        <f>IF(LEFT(I188,2)="MV",2*N188*IF(L188="1/C",O188,1),0)</f>
        <v/>
      </c>
      <c r="Y188" s="12">
        <f>IF(OR(LEFT(K188,4)="LVAX",LEFT(K188,6)="MV15AX",LEFT(K188,4)="CTAX",LEFT(K188,2)="W|"),2*N188*O188,0)</f>
        <v/>
      </c>
      <c r="Z188" s="12" t="inlineStr"/>
      <c r="AA188" s="12">
        <f>N188*O188</f>
        <v/>
      </c>
    </row>
    <row r="189">
      <c r="A189" s="12" t="inlineStr">
        <is>
          <t>A-C-0177</t>
        </is>
      </c>
      <c r="B189" s="12" t="inlineStr">
        <is>
          <t>A</t>
        </is>
      </c>
      <c r="C189" s="12" t="inlineStr">
        <is>
          <t>Power block</t>
        </is>
      </c>
      <c r="D189" s="12" t="inlineStr">
        <is>
          <t>Motor 1 of 6: control / local station</t>
        </is>
      </c>
      <c r="E189" s="12" t="inlineStr">
        <is>
          <t>R3</t>
        </is>
      </c>
      <c r="F189" s="12" t="inlineStr">
        <is>
          <t>R3: ST auxiliary electrical e-house (40 x 65 ft)</t>
        </is>
      </c>
      <c r="G189" s="12" t="inlineStr"/>
      <c r="H189" s="12" t="inlineStr">
        <is>
          <t>GSU-ST firewall</t>
        </is>
      </c>
      <c r="I189" s="12" t="inlineStr">
        <is>
          <t>Control</t>
        </is>
      </c>
      <c r="J189" s="12" t="inlineStr">
        <is>
          <t>Control cable 600 V Type TC-ER, Cu #14 AWG, PVC jacket</t>
        </is>
      </c>
      <c r="K189" s="12" t="inlineStr">
        <is>
          <t>CT|7/C|14</t>
        </is>
      </c>
      <c r="L189" s="12" t="inlineStr">
        <is>
          <t>7/C</t>
        </is>
      </c>
      <c r="M189" s="12" t="inlineStr">
        <is>
          <t>14</t>
        </is>
      </c>
      <c r="N189" s="12" t="n">
        <v>1</v>
      </c>
      <c r="O189" s="12" t="n">
        <v>1</v>
      </c>
      <c r="P189" s="12" t="n"/>
      <c r="Q189" s="12" t="n"/>
      <c r="R189" s="12" t="n"/>
      <c r="S189" s="12" t="inlineStr">
        <is>
          <t>Duct bank</t>
        </is>
      </c>
      <c r="T189" s="16" t="n">
        <v>463</v>
      </c>
      <c r="U189" s="16" t="n">
        <v>35</v>
      </c>
      <c r="V189" s="16">
        <f>ROUNDUP((T189+U189+2*'Read Me'!$B$13)*(1+'Read Me'!$B$12),-1)</f>
        <v/>
      </c>
      <c r="W189" s="16">
        <f>V189*N189*O189</f>
        <v/>
      </c>
      <c r="X189" s="12">
        <f>IF(LEFT(I189,2)="MV",2*N189*IF(L189="1/C",O189,1),0)</f>
        <v/>
      </c>
      <c r="Y189" s="12">
        <f>IF(OR(LEFT(K189,4)="LVAX",LEFT(K189,6)="MV15AX",LEFT(K189,4)="CTAX",LEFT(K189,2)="W|"),2*N189*O189,0)</f>
        <v/>
      </c>
      <c r="Z189" s="12" t="inlineStr"/>
      <c r="AA189" s="12">
        <f>N189*O189</f>
        <v/>
      </c>
    </row>
    <row r="190">
      <c r="A190" s="12" t="inlineStr">
        <is>
          <t>A-C-0178</t>
        </is>
      </c>
      <c r="B190" s="12" t="inlineStr">
        <is>
          <t>A</t>
        </is>
      </c>
      <c r="C190" s="12" t="inlineStr">
        <is>
          <t>Power block</t>
        </is>
      </c>
      <c r="D190" s="12" t="inlineStr">
        <is>
          <t>Motor 2 of 6: control / local station</t>
        </is>
      </c>
      <c r="E190" s="12" t="inlineStr">
        <is>
          <t>R3</t>
        </is>
      </c>
      <c r="F190" s="12" t="inlineStr">
        <is>
          <t>R3: ST auxiliary electrical e-house (40 x 65 ft)</t>
        </is>
      </c>
      <c r="G190" s="12" t="inlineStr"/>
      <c r="H190" s="12" t="inlineStr">
        <is>
          <t>GSU-ST firewall</t>
        </is>
      </c>
      <c r="I190" s="12" t="inlineStr">
        <is>
          <t>Control</t>
        </is>
      </c>
      <c r="J190" s="12" t="inlineStr">
        <is>
          <t>Control cable 600 V Type TC-ER, Cu #14 AWG, PVC jacket</t>
        </is>
      </c>
      <c r="K190" s="12" t="inlineStr">
        <is>
          <t>CT|7/C|14</t>
        </is>
      </c>
      <c r="L190" s="12" t="inlineStr">
        <is>
          <t>7/C</t>
        </is>
      </c>
      <c r="M190" s="12" t="inlineStr">
        <is>
          <t>14</t>
        </is>
      </c>
      <c r="N190" s="12" t="n">
        <v>1</v>
      </c>
      <c r="O190" s="12" t="n">
        <v>1</v>
      </c>
      <c r="P190" s="12" t="n"/>
      <c r="Q190" s="12" t="n"/>
      <c r="R190" s="12" t="n"/>
      <c r="S190" s="12" t="inlineStr">
        <is>
          <t>Duct bank</t>
        </is>
      </c>
      <c r="T190" s="16" t="n">
        <v>463</v>
      </c>
      <c r="U190" s="16" t="n">
        <v>35</v>
      </c>
      <c r="V190" s="16">
        <f>ROUNDUP((T190+U190+2*'Read Me'!$B$13)*(1+'Read Me'!$B$12),-1)</f>
        <v/>
      </c>
      <c r="W190" s="16">
        <f>V190*N190*O190</f>
        <v/>
      </c>
      <c r="X190" s="12">
        <f>IF(LEFT(I190,2)="MV",2*N190*IF(L190="1/C",O190,1),0)</f>
        <v/>
      </c>
      <c r="Y190" s="12">
        <f>IF(OR(LEFT(K190,4)="LVAX",LEFT(K190,6)="MV15AX",LEFT(K190,4)="CTAX",LEFT(K190,2)="W|"),2*N190*O190,0)</f>
        <v/>
      </c>
      <c r="Z190" s="12" t="inlineStr"/>
      <c r="AA190" s="12">
        <f>N190*O190</f>
        <v/>
      </c>
    </row>
    <row r="191">
      <c r="A191" s="12" t="inlineStr">
        <is>
          <t>A-C-0179</t>
        </is>
      </c>
      <c r="B191" s="12" t="inlineStr">
        <is>
          <t>A</t>
        </is>
      </c>
      <c r="C191" s="12" t="inlineStr">
        <is>
          <t>Power block</t>
        </is>
      </c>
      <c r="D191" s="12" t="inlineStr">
        <is>
          <t>Motor 3 of 6: control / local station</t>
        </is>
      </c>
      <c r="E191" s="12" t="inlineStr">
        <is>
          <t>R3</t>
        </is>
      </c>
      <c r="F191" s="12" t="inlineStr">
        <is>
          <t>R3: ST auxiliary electrical e-house (40 x 65 ft)</t>
        </is>
      </c>
      <c r="G191" s="12" t="inlineStr"/>
      <c r="H191" s="12" t="inlineStr">
        <is>
          <t>GSU-ST firewall</t>
        </is>
      </c>
      <c r="I191" s="12" t="inlineStr">
        <is>
          <t>Control</t>
        </is>
      </c>
      <c r="J191" s="12" t="inlineStr">
        <is>
          <t>Control cable 600 V Type TC-ER, Cu #14 AWG, PVC jacket</t>
        </is>
      </c>
      <c r="K191" s="12" t="inlineStr">
        <is>
          <t>CT|7/C|14</t>
        </is>
      </c>
      <c r="L191" s="12" t="inlineStr">
        <is>
          <t>7/C</t>
        </is>
      </c>
      <c r="M191" s="12" t="inlineStr">
        <is>
          <t>14</t>
        </is>
      </c>
      <c r="N191" s="12" t="n">
        <v>1</v>
      </c>
      <c r="O191" s="12" t="n">
        <v>1</v>
      </c>
      <c r="P191" s="12" t="n"/>
      <c r="Q191" s="12" t="n"/>
      <c r="R191" s="12" t="n"/>
      <c r="S191" s="12" t="inlineStr">
        <is>
          <t>Duct bank</t>
        </is>
      </c>
      <c r="T191" s="16" t="n">
        <v>463</v>
      </c>
      <c r="U191" s="16" t="n">
        <v>35</v>
      </c>
      <c r="V191" s="16">
        <f>ROUNDUP((T191+U191+2*'Read Me'!$B$13)*(1+'Read Me'!$B$12),-1)</f>
        <v/>
      </c>
      <c r="W191" s="16">
        <f>V191*N191*O191</f>
        <v/>
      </c>
      <c r="X191" s="12">
        <f>IF(LEFT(I191,2)="MV",2*N191*IF(L191="1/C",O191,1),0)</f>
        <v/>
      </c>
      <c r="Y191" s="12">
        <f>IF(OR(LEFT(K191,4)="LVAX",LEFT(K191,6)="MV15AX",LEFT(K191,4)="CTAX",LEFT(K191,2)="W|"),2*N191*O191,0)</f>
        <v/>
      </c>
      <c r="Z191" s="12" t="inlineStr"/>
      <c r="AA191" s="12">
        <f>N191*O191</f>
        <v/>
      </c>
    </row>
    <row r="192">
      <c r="A192" s="12" t="inlineStr">
        <is>
          <t>A-C-0180</t>
        </is>
      </c>
      <c r="B192" s="12" t="inlineStr">
        <is>
          <t>A</t>
        </is>
      </c>
      <c r="C192" s="12" t="inlineStr">
        <is>
          <t>Power block</t>
        </is>
      </c>
      <c r="D192" s="12" t="inlineStr">
        <is>
          <t>Motor 4 of 6: control / local station</t>
        </is>
      </c>
      <c r="E192" s="12" t="inlineStr">
        <is>
          <t>R3</t>
        </is>
      </c>
      <c r="F192" s="12" t="inlineStr">
        <is>
          <t>R3: ST auxiliary electrical e-house (40 x 65 ft)</t>
        </is>
      </c>
      <c r="G192" s="12" t="inlineStr"/>
      <c r="H192" s="12" t="inlineStr">
        <is>
          <t>GSU-ST firewall</t>
        </is>
      </c>
      <c r="I192" s="12" t="inlineStr">
        <is>
          <t>Control</t>
        </is>
      </c>
      <c r="J192" s="12" t="inlineStr">
        <is>
          <t>Control cable 600 V Type TC-ER, Cu #14 AWG, PVC jacket</t>
        </is>
      </c>
      <c r="K192" s="12" t="inlineStr">
        <is>
          <t>CT|7/C|14</t>
        </is>
      </c>
      <c r="L192" s="12" t="inlineStr">
        <is>
          <t>7/C</t>
        </is>
      </c>
      <c r="M192" s="12" t="inlineStr">
        <is>
          <t>14</t>
        </is>
      </c>
      <c r="N192" s="12" t="n">
        <v>1</v>
      </c>
      <c r="O192" s="12" t="n">
        <v>1</v>
      </c>
      <c r="P192" s="12" t="n"/>
      <c r="Q192" s="12" t="n"/>
      <c r="R192" s="12" t="n"/>
      <c r="S192" s="12" t="inlineStr">
        <is>
          <t>Duct bank</t>
        </is>
      </c>
      <c r="T192" s="16" t="n">
        <v>463</v>
      </c>
      <c r="U192" s="16" t="n">
        <v>35</v>
      </c>
      <c r="V192" s="16">
        <f>ROUNDUP((T192+U192+2*'Read Me'!$B$13)*(1+'Read Me'!$B$12),-1)</f>
        <v/>
      </c>
      <c r="W192" s="16">
        <f>V192*N192*O192</f>
        <v/>
      </c>
      <c r="X192" s="12">
        <f>IF(LEFT(I192,2)="MV",2*N192*IF(L192="1/C",O192,1),0)</f>
        <v/>
      </c>
      <c r="Y192" s="12">
        <f>IF(OR(LEFT(K192,4)="LVAX",LEFT(K192,6)="MV15AX",LEFT(K192,4)="CTAX",LEFT(K192,2)="W|"),2*N192*O192,0)</f>
        <v/>
      </c>
      <c r="Z192" s="12" t="inlineStr"/>
      <c r="AA192" s="12">
        <f>N192*O192</f>
        <v/>
      </c>
    </row>
    <row r="193">
      <c r="A193" s="12" t="inlineStr">
        <is>
          <t>A-C-0181</t>
        </is>
      </c>
      <c r="B193" s="12" t="inlineStr">
        <is>
          <t>A</t>
        </is>
      </c>
      <c r="C193" s="12" t="inlineStr">
        <is>
          <t>Power block</t>
        </is>
      </c>
      <c r="D193" s="12" t="inlineStr">
        <is>
          <t>Motor 5 of 6: control / local station</t>
        </is>
      </c>
      <c r="E193" s="12" t="inlineStr">
        <is>
          <t>R3</t>
        </is>
      </c>
      <c r="F193" s="12" t="inlineStr">
        <is>
          <t>R3: ST auxiliary electrical e-house (40 x 65 ft)</t>
        </is>
      </c>
      <c r="G193" s="12" t="inlineStr"/>
      <c r="H193" s="12" t="inlineStr">
        <is>
          <t>GSU-ST firewall</t>
        </is>
      </c>
      <c r="I193" s="12" t="inlineStr">
        <is>
          <t>Control</t>
        </is>
      </c>
      <c r="J193" s="12" t="inlineStr">
        <is>
          <t>Control cable 600 V Type TC-ER, Cu #14 AWG, PVC jacket</t>
        </is>
      </c>
      <c r="K193" s="12" t="inlineStr">
        <is>
          <t>CT|7/C|14</t>
        </is>
      </c>
      <c r="L193" s="12" t="inlineStr">
        <is>
          <t>7/C</t>
        </is>
      </c>
      <c r="M193" s="12" t="inlineStr">
        <is>
          <t>14</t>
        </is>
      </c>
      <c r="N193" s="12" t="n">
        <v>1</v>
      </c>
      <c r="O193" s="12" t="n">
        <v>1</v>
      </c>
      <c r="P193" s="12" t="n"/>
      <c r="Q193" s="12" t="n"/>
      <c r="R193" s="12" t="n"/>
      <c r="S193" s="12" t="inlineStr">
        <is>
          <t>Duct bank</t>
        </is>
      </c>
      <c r="T193" s="16" t="n">
        <v>463</v>
      </c>
      <c r="U193" s="16" t="n">
        <v>35</v>
      </c>
      <c r="V193" s="16">
        <f>ROUNDUP((T193+U193+2*'Read Me'!$B$13)*(1+'Read Me'!$B$12),-1)</f>
        <v/>
      </c>
      <c r="W193" s="16">
        <f>V193*N193*O193</f>
        <v/>
      </c>
      <c r="X193" s="12">
        <f>IF(LEFT(I193,2)="MV",2*N193*IF(L193="1/C",O193,1),0)</f>
        <v/>
      </c>
      <c r="Y193" s="12">
        <f>IF(OR(LEFT(K193,4)="LVAX",LEFT(K193,6)="MV15AX",LEFT(K193,4)="CTAX",LEFT(K193,2)="W|"),2*N193*O193,0)</f>
        <v/>
      </c>
      <c r="Z193" s="12" t="inlineStr"/>
      <c r="AA193" s="12">
        <f>N193*O193</f>
        <v/>
      </c>
    </row>
    <row r="194">
      <c r="A194" s="12" t="inlineStr">
        <is>
          <t>A-C-0182</t>
        </is>
      </c>
      <c r="B194" s="12" t="inlineStr">
        <is>
          <t>A</t>
        </is>
      </c>
      <c r="C194" s="12" t="inlineStr">
        <is>
          <t>Power block</t>
        </is>
      </c>
      <c r="D194" s="12" t="inlineStr">
        <is>
          <t>Motor 6 of 6: control / local station</t>
        </is>
      </c>
      <c r="E194" s="12" t="inlineStr">
        <is>
          <t>R3</t>
        </is>
      </c>
      <c r="F194" s="12" t="inlineStr">
        <is>
          <t>R3: ST auxiliary electrical e-house (40 x 65 ft)</t>
        </is>
      </c>
      <c r="G194" s="12" t="inlineStr"/>
      <c r="H194" s="12" t="inlineStr">
        <is>
          <t>GSU-ST firewall</t>
        </is>
      </c>
      <c r="I194" s="12" t="inlineStr">
        <is>
          <t>Control</t>
        </is>
      </c>
      <c r="J194" s="12" t="inlineStr">
        <is>
          <t>Control cable 600 V Type TC-ER, Cu #14 AWG, PVC jacket</t>
        </is>
      </c>
      <c r="K194" s="12" t="inlineStr">
        <is>
          <t>CT|7/C|14</t>
        </is>
      </c>
      <c r="L194" s="12" t="inlineStr">
        <is>
          <t>7/C</t>
        </is>
      </c>
      <c r="M194" s="12" t="inlineStr">
        <is>
          <t>14</t>
        </is>
      </c>
      <c r="N194" s="12" t="n">
        <v>1</v>
      </c>
      <c r="O194" s="12" t="n">
        <v>1</v>
      </c>
      <c r="P194" s="12" t="n"/>
      <c r="Q194" s="12" t="n"/>
      <c r="R194" s="12" t="n"/>
      <c r="S194" s="12" t="inlineStr">
        <is>
          <t>Duct bank</t>
        </is>
      </c>
      <c r="T194" s="16" t="n">
        <v>463</v>
      </c>
      <c r="U194" s="16" t="n">
        <v>35</v>
      </c>
      <c r="V194" s="16">
        <f>ROUNDUP((T194+U194+2*'Read Me'!$B$13)*(1+'Read Me'!$B$12),-1)</f>
        <v/>
      </c>
      <c r="W194" s="16">
        <f>V194*N194*O194</f>
        <v/>
      </c>
      <c r="X194" s="12">
        <f>IF(LEFT(I194,2)="MV",2*N194*IF(L194="1/C",O194,1),0)</f>
        <v/>
      </c>
      <c r="Y194" s="12">
        <f>IF(OR(LEFT(K194,4)="LVAX",LEFT(K194,6)="MV15AX",LEFT(K194,4)="CTAX",LEFT(K194,2)="W|"),2*N194*O194,0)</f>
        <v/>
      </c>
      <c r="Z194" s="12" t="inlineStr"/>
      <c r="AA194" s="12">
        <f>N194*O194</f>
        <v/>
      </c>
    </row>
    <row r="195">
      <c r="A195" s="12" t="inlineStr">
        <is>
          <t>A-C-0183</t>
        </is>
      </c>
      <c r="B195" s="12" t="inlineStr">
        <is>
          <t>A</t>
        </is>
      </c>
      <c r="C195" s="12" t="inlineStr">
        <is>
          <t>Power block</t>
        </is>
      </c>
      <c r="D195" s="12" t="inlineStr">
        <is>
          <t>Motor 1 of 6: control / local station</t>
        </is>
      </c>
      <c r="E195" s="12" t="inlineStr">
        <is>
          <t>R3</t>
        </is>
      </c>
      <c r="F195" s="12" t="inlineStr">
        <is>
          <t>R3: ST auxiliary electrical e-house (40 x 65 ft)</t>
        </is>
      </c>
      <c r="G195" s="12" t="inlineStr">
        <is>
          <t>GSU-ST</t>
        </is>
      </c>
      <c r="H195" s="12" t="inlineStr">
        <is>
          <t>GSU-ST: 21/230 kV (one ST GSU, baseline)</t>
        </is>
      </c>
      <c r="I195" s="12" t="inlineStr">
        <is>
          <t>Control</t>
        </is>
      </c>
      <c r="J195" s="12" t="inlineStr">
        <is>
          <t>Control cable 600 V Type TC-ER, Cu #14 AWG, PVC jacket</t>
        </is>
      </c>
      <c r="K195" s="12" t="inlineStr">
        <is>
          <t>CT|7/C|14</t>
        </is>
      </c>
      <c r="L195" s="12" t="inlineStr">
        <is>
          <t>7/C</t>
        </is>
      </c>
      <c r="M195" s="12" t="inlineStr">
        <is>
          <t>14</t>
        </is>
      </c>
      <c r="N195" s="12" t="n">
        <v>1</v>
      </c>
      <c r="O195" s="12" t="n">
        <v>1</v>
      </c>
      <c r="P195" s="12" t="n"/>
      <c r="Q195" s="12" t="n"/>
      <c r="R195" s="12" t="n"/>
      <c r="S195" s="12" t="inlineStr">
        <is>
          <t>Duct bank</t>
        </is>
      </c>
      <c r="T195" s="16" t="n">
        <v>408</v>
      </c>
      <c r="U195" s="16" t="n">
        <v>32</v>
      </c>
      <c r="V195" s="16">
        <f>ROUNDUP((T195+U195+2*'Read Me'!$B$13)*(1+'Read Me'!$B$12),-1)</f>
        <v/>
      </c>
      <c r="W195" s="16">
        <f>V195*N195*O195</f>
        <v/>
      </c>
      <c r="X195" s="12">
        <f>IF(LEFT(I195,2)="MV",2*N195*IF(L195="1/C",O195,1),0)</f>
        <v/>
      </c>
      <c r="Y195" s="12">
        <f>IF(OR(LEFT(K195,4)="LVAX",LEFT(K195,6)="MV15AX",LEFT(K195,4)="CTAX",LEFT(K195,2)="W|"),2*N195*O195,0)</f>
        <v/>
      </c>
      <c r="Z195" s="12" t="inlineStr"/>
      <c r="AA195" s="12">
        <f>N195*O195</f>
        <v/>
      </c>
    </row>
    <row r="196">
      <c r="A196" s="12" t="inlineStr">
        <is>
          <t>A-C-0184</t>
        </is>
      </c>
      <c r="B196" s="12" t="inlineStr">
        <is>
          <t>A</t>
        </is>
      </c>
      <c r="C196" s="12" t="inlineStr">
        <is>
          <t>Power block</t>
        </is>
      </c>
      <c r="D196" s="12" t="inlineStr">
        <is>
          <t>Motor 2 of 6: control / local station</t>
        </is>
      </c>
      <c r="E196" s="12" t="inlineStr">
        <is>
          <t>R3</t>
        </is>
      </c>
      <c r="F196" s="12" t="inlineStr">
        <is>
          <t>R3: ST auxiliary electrical e-house (40 x 65 ft)</t>
        </is>
      </c>
      <c r="G196" s="12" t="inlineStr">
        <is>
          <t>GSU-ST</t>
        </is>
      </c>
      <c r="H196" s="12" t="inlineStr">
        <is>
          <t>GSU-ST: 21/230 kV (one ST GSU, baseline)</t>
        </is>
      </c>
      <c r="I196" s="12" t="inlineStr">
        <is>
          <t>Control</t>
        </is>
      </c>
      <c r="J196" s="12" t="inlineStr">
        <is>
          <t>Control cable 600 V Type TC-ER, Cu #14 AWG, PVC jacket</t>
        </is>
      </c>
      <c r="K196" s="12" t="inlineStr">
        <is>
          <t>CT|7/C|14</t>
        </is>
      </c>
      <c r="L196" s="12" t="inlineStr">
        <is>
          <t>7/C</t>
        </is>
      </c>
      <c r="M196" s="12" t="inlineStr">
        <is>
          <t>14</t>
        </is>
      </c>
      <c r="N196" s="12" t="n">
        <v>1</v>
      </c>
      <c r="O196" s="12" t="n">
        <v>1</v>
      </c>
      <c r="P196" s="12" t="n"/>
      <c r="Q196" s="12" t="n"/>
      <c r="R196" s="12" t="n"/>
      <c r="S196" s="12" t="inlineStr">
        <is>
          <t>Duct bank</t>
        </is>
      </c>
      <c r="T196" s="16" t="n">
        <v>408</v>
      </c>
      <c r="U196" s="16" t="n">
        <v>32</v>
      </c>
      <c r="V196" s="16">
        <f>ROUNDUP((T196+U196+2*'Read Me'!$B$13)*(1+'Read Me'!$B$12),-1)</f>
        <v/>
      </c>
      <c r="W196" s="16">
        <f>V196*N196*O196</f>
        <v/>
      </c>
      <c r="X196" s="12">
        <f>IF(LEFT(I196,2)="MV",2*N196*IF(L196="1/C",O196,1),0)</f>
        <v/>
      </c>
      <c r="Y196" s="12">
        <f>IF(OR(LEFT(K196,4)="LVAX",LEFT(K196,6)="MV15AX",LEFT(K196,4)="CTAX",LEFT(K196,2)="W|"),2*N196*O196,0)</f>
        <v/>
      </c>
      <c r="Z196" s="12" t="inlineStr"/>
      <c r="AA196" s="12">
        <f>N196*O196</f>
        <v/>
      </c>
    </row>
    <row r="197">
      <c r="A197" s="12" t="inlineStr">
        <is>
          <t>A-C-0185</t>
        </is>
      </c>
      <c r="B197" s="12" t="inlineStr">
        <is>
          <t>A</t>
        </is>
      </c>
      <c r="C197" s="12" t="inlineStr">
        <is>
          <t>Power block</t>
        </is>
      </c>
      <c r="D197" s="12" t="inlineStr">
        <is>
          <t>Motor 3 of 6: control / local station</t>
        </is>
      </c>
      <c r="E197" s="12" t="inlineStr">
        <is>
          <t>R3</t>
        </is>
      </c>
      <c r="F197" s="12" t="inlineStr">
        <is>
          <t>R3: ST auxiliary electrical e-house (40 x 65 ft)</t>
        </is>
      </c>
      <c r="G197" s="12" t="inlineStr">
        <is>
          <t>GSU-ST</t>
        </is>
      </c>
      <c r="H197" s="12" t="inlineStr">
        <is>
          <t>GSU-ST: 21/230 kV (one ST GSU, baseline)</t>
        </is>
      </c>
      <c r="I197" s="12" t="inlineStr">
        <is>
          <t>Control</t>
        </is>
      </c>
      <c r="J197" s="12" t="inlineStr">
        <is>
          <t>Control cable 600 V Type TC-ER, Cu #14 AWG, PVC jacket</t>
        </is>
      </c>
      <c r="K197" s="12" t="inlineStr">
        <is>
          <t>CT|7/C|14</t>
        </is>
      </c>
      <c r="L197" s="12" t="inlineStr">
        <is>
          <t>7/C</t>
        </is>
      </c>
      <c r="M197" s="12" t="inlineStr">
        <is>
          <t>14</t>
        </is>
      </c>
      <c r="N197" s="12" t="n">
        <v>1</v>
      </c>
      <c r="O197" s="12" t="n">
        <v>1</v>
      </c>
      <c r="P197" s="12" t="n"/>
      <c r="Q197" s="12" t="n"/>
      <c r="R197" s="12" t="n"/>
      <c r="S197" s="12" t="inlineStr">
        <is>
          <t>Duct bank</t>
        </is>
      </c>
      <c r="T197" s="16" t="n">
        <v>408</v>
      </c>
      <c r="U197" s="16" t="n">
        <v>32</v>
      </c>
      <c r="V197" s="16">
        <f>ROUNDUP((T197+U197+2*'Read Me'!$B$13)*(1+'Read Me'!$B$12),-1)</f>
        <v/>
      </c>
      <c r="W197" s="16">
        <f>V197*N197*O197</f>
        <v/>
      </c>
      <c r="X197" s="12">
        <f>IF(LEFT(I197,2)="MV",2*N197*IF(L197="1/C",O197,1),0)</f>
        <v/>
      </c>
      <c r="Y197" s="12">
        <f>IF(OR(LEFT(K197,4)="LVAX",LEFT(K197,6)="MV15AX",LEFT(K197,4)="CTAX",LEFT(K197,2)="W|"),2*N197*O197,0)</f>
        <v/>
      </c>
      <c r="Z197" s="12" t="inlineStr"/>
      <c r="AA197" s="12">
        <f>N197*O197</f>
        <v/>
      </c>
    </row>
    <row r="198">
      <c r="A198" s="12" t="inlineStr">
        <is>
          <t>A-C-0186</t>
        </is>
      </c>
      <c r="B198" s="12" t="inlineStr">
        <is>
          <t>A</t>
        </is>
      </c>
      <c r="C198" s="12" t="inlineStr">
        <is>
          <t>Power block</t>
        </is>
      </c>
      <c r="D198" s="12" t="inlineStr">
        <is>
          <t>Motor 4 of 6: control / local station</t>
        </is>
      </c>
      <c r="E198" s="12" t="inlineStr">
        <is>
          <t>R3</t>
        </is>
      </c>
      <c r="F198" s="12" t="inlineStr">
        <is>
          <t>R3: ST auxiliary electrical e-house (40 x 65 ft)</t>
        </is>
      </c>
      <c r="G198" s="12" t="inlineStr">
        <is>
          <t>GSU-ST</t>
        </is>
      </c>
      <c r="H198" s="12" t="inlineStr">
        <is>
          <t>GSU-ST: 21/230 kV (one ST GSU, baseline)</t>
        </is>
      </c>
      <c r="I198" s="12" t="inlineStr">
        <is>
          <t>Control</t>
        </is>
      </c>
      <c r="J198" s="12" t="inlineStr">
        <is>
          <t>Control cable 600 V Type TC-ER, Cu #14 AWG, PVC jacket</t>
        </is>
      </c>
      <c r="K198" s="12" t="inlineStr">
        <is>
          <t>CT|7/C|14</t>
        </is>
      </c>
      <c r="L198" s="12" t="inlineStr">
        <is>
          <t>7/C</t>
        </is>
      </c>
      <c r="M198" s="12" t="inlineStr">
        <is>
          <t>14</t>
        </is>
      </c>
      <c r="N198" s="12" t="n">
        <v>1</v>
      </c>
      <c r="O198" s="12" t="n">
        <v>1</v>
      </c>
      <c r="P198" s="12" t="n"/>
      <c r="Q198" s="12" t="n"/>
      <c r="R198" s="12" t="n"/>
      <c r="S198" s="12" t="inlineStr">
        <is>
          <t>Duct bank</t>
        </is>
      </c>
      <c r="T198" s="16" t="n">
        <v>408</v>
      </c>
      <c r="U198" s="16" t="n">
        <v>32</v>
      </c>
      <c r="V198" s="16">
        <f>ROUNDUP((T198+U198+2*'Read Me'!$B$13)*(1+'Read Me'!$B$12),-1)</f>
        <v/>
      </c>
      <c r="W198" s="16">
        <f>V198*N198*O198</f>
        <v/>
      </c>
      <c r="X198" s="12">
        <f>IF(LEFT(I198,2)="MV",2*N198*IF(L198="1/C",O198,1),0)</f>
        <v/>
      </c>
      <c r="Y198" s="12">
        <f>IF(OR(LEFT(K198,4)="LVAX",LEFT(K198,6)="MV15AX",LEFT(K198,4)="CTAX",LEFT(K198,2)="W|"),2*N198*O198,0)</f>
        <v/>
      </c>
      <c r="Z198" s="12" t="inlineStr"/>
      <c r="AA198" s="12">
        <f>N198*O198</f>
        <v/>
      </c>
    </row>
    <row r="199">
      <c r="A199" s="12" t="inlineStr">
        <is>
          <t>A-C-0187</t>
        </is>
      </c>
      <c r="B199" s="12" t="inlineStr">
        <is>
          <t>A</t>
        </is>
      </c>
      <c r="C199" s="12" t="inlineStr">
        <is>
          <t>Power block</t>
        </is>
      </c>
      <c r="D199" s="12" t="inlineStr">
        <is>
          <t>Motor 5 of 6: control / local station</t>
        </is>
      </c>
      <c r="E199" s="12" t="inlineStr">
        <is>
          <t>R3</t>
        </is>
      </c>
      <c r="F199" s="12" t="inlineStr">
        <is>
          <t>R3: ST auxiliary electrical e-house (40 x 65 ft)</t>
        </is>
      </c>
      <c r="G199" s="12" t="inlineStr">
        <is>
          <t>GSU-ST</t>
        </is>
      </c>
      <c r="H199" s="12" t="inlineStr">
        <is>
          <t>GSU-ST: 21/230 kV (one ST GSU, baseline)</t>
        </is>
      </c>
      <c r="I199" s="12" t="inlineStr">
        <is>
          <t>Control</t>
        </is>
      </c>
      <c r="J199" s="12" t="inlineStr">
        <is>
          <t>Control cable 600 V Type TC-ER, Cu #14 AWG, PVC jacket</t>
        </is>
      </c>
      <c r="K199" s="12" t="inlineStr">
        <is>
          <t>CT|7/C|14</t>
        </is>
      </c>
      <c r="L199" s="12" t="inlineStr">
        <is>
          <t>7/C</t>
        </is>
      </c>
      <c r="M199" s="12" t="inlineStr">
        <is>
          <t>14</t>
        </is>
      </c>
      <c r="N199" s="12" t="n">
        <v>1</v>
      </c>
      <c r="O199" s="12" t="n">
        <v>1</v>
      </c>
      <c r="P199" s="12" t="n"/>
      <c r="Q199" s="12" t="n"/>
      <c r="R199" s="12" t="n"/>
      <c r="S199" s="12" t="inlineStr">
        <is>
          <t>Duct bank</t>
        </is>
      </c>
      <c r="T199" s="16" t="n">
        <v>408</v>
      </c>
      <c r="U199" s="16" t="n">
        <v>32</v>
      </c>
      <c r="V199" s="16">
        <f>ROUNDUP((T199+U199+2*'Read Me'!$B$13)*(1+'Read Me'!$B$12),-1)</f>
        <v/>
      </c>
      <c r="W199" s="16">
        <f>V199*N199*O199</f>
        <v/>
      </c>
      <c r="X199" s="12">
        <f>IF(LEFT(I199,2)="MV",2*N199*IF(L199="1/C",O199,1),0)</f>
        <v/>
      </c>
      <c r="Y199" s="12">
        <f>IF(OR(LEFT(K199,4)="LVAX",LEFT(K199,6)="MV15AX",LEFT(K199,4)="CTAX",LEFT(K199,2)="W|"),2*N199*O199,0)</f>
        <v/>
      </c>
      <c r="Z199" s="12" t="inlineStr"/>
      <c r="AA199" s="12">
        <f>N199*O199</f>
        <v/>
      </c>
    </row>
    <row r="200">
      <c r="A200" s="12" t="inlineStr">
        <is>
          <t>A-C-0188</t>
        </is>
      </c>
      <c r="B200" s="12" t="inlineStr">
        <is>
          <t>A</t>
        </is>
      </c>
      <c r="C200" s="12" t="inlineStr">
        <is>
          <t>Power block</t>
        </is>
      </c>
      <c r="D200" s="12" t="inlineStr">
        <is>
          <t>Motor 6 of 6: control / local station</t>
        </is>
      </c>
      <c r="E200" s="12" t="inlineStr">
        <is>
          <t>R3</t>
        </is>
      </c>
      <c r="F200" s="12" t="inlineStr">
        <is>
          <t>R3: ST auxiliary electrical e-house (40 x 65 ft)</t>
        </is>
      </c>
      <c r="G200" s="12" t="inlineStr">
        <is>
          <t>GSU-ST</t>
        </is>
      </c>
      <c r="H200" s="12" t="inlineStr">
        <is>
          <t>GSU-ST: 21/230 kV (one ST GSU, baseline)</t>
        </is>
      </c>
      <c r="I200" s="12" t="inlineStr">
        <is>
          <t>Control</t>
        </is>
      </c>
      <c r="J200" s="12" t="inlineStr">
        <is>
          <t>Control cable 600 V Type TC-ER, Cu #14 AWG, PVC jacket</t>
        </is>
      </c>
      <c r="K200" s="12" t="inlineStr">
        <is>
          <t>CT|7/C|14</t>
        </is>
      </c>
      <c r="L200" s="12" t="inlineStr">
        <is>
          <t>7/C</t>
        </is>
      </c>
      <c r="M200" s="12" t="inlineStr">
        <is>
          <t>14</t>
        </is>
      </c>
      <c r="N200" s="12" t="n">
        <v>1</v>
      </c>
      <c r="O200" s="12" t="n">
        <v>1</v>
      </c>
      <c r="P200" s="12" t="n"/>
      <c r="Q200" s="12" t="n"/>
      <c r="R200" s="12" t="n"/>
      <c r="S200" s="12" t="inlineStr">
        <is>
          <t>Duct bank</t>
        </is>
      </c>
      <c r="T200" s="16" t="n">
        <v>408</v>
      </c>
      <c r="U200" s="16" t="n">
        <v>32</v>
      </c>
      <c r="V200" s="16">
        <f>ROUNDUP((T200+U200+2*'Read Me'!$B$13)*(1+'Read Me'!$B$12),-1)</f>
        <v/>
      </c>
      <c r="W200" s="16">
        <f>V200*N200*O200</f>
        <v/>
      </c>
      <c r="X200" s="12">
        <f>IF(LEFT(I200,2)="MV",2*N200*IF(L200="1/C",O200,1),0)</f>
        <v/>
      </c>
      <c r="Y200" s="12">
        <f>IF(OR(LEFT(K200,4)="LVAX",LEFT(K200,6)="MV15AX",LEFT(K200,4)="CTAX",LEFT(K200,2)="W|"),2*N200*O200,0)</f>
        <v/>
      </c>
      <c r="Z200" s="12" t="inlineStr"/>
      <c r="AA200" s="12">
        <f>N200*O200</f>
        <v/>
      </c>
    </row>
    <row r="201">
      <c r="A201" s="12" t="inlineStr">
        <is>
          <t>A-C-0189</t>
        </is>
      </c>
      <c r="B201" s="12" t="inlineStr">
        <is>
          <t>A</t>
        </is>
      </c>
      <c r="C201" s="12" t="inlineStr">
        <is>
          <t>Power block</t>
        </is>
      </c>
      <c r="D201" s="12" t="inlineStr">
        <is>
          <t>Control</t>
        </is>
      </c>
      <c r="E201" s="12" t="inlineStr">
        <is>
          <t>R3</t>
        </is>
      </c>
      <c r="F201" s="12" t="inlineStr">
        <is>
          <t>R3: ST auxiliary electrical e-house (40 x 65 ft)</t>
        </is>
      </c>
      <c r="G201" s="12" t="inlineStr">
        <is>
          <t>GSU-ST</t>
        </is>
      </c>
      <c r="H201" s="12" t="inlineStr">
        <is>
          <t>GSU-ST: 21/230 kV (one ST GSU, baseline)</t>
        </is>
      </c>
      <c r="I201" s="12" t="inlineStr">
        <is>
          <t>Control</t>
        </is>
      </c>
      <c r="J201" s="12" t="inlineStr">
        <is>
          <t>Control cable 600 V Type TC-ER, Cu #14 AWG, PVC jacket</t>
        </is>
      </c>
      <c r="K201" s="12" t="inlineStr">
        <is>
          <t>CT|7/C|14</t>
        </is>
      </c>
      <c r="L201" s="12" t="inlineStr">
        <is>
          <t>7/C</t>
        </is>
      </c>
      <c r="M201" s="12" t="inlineStr">
        <is>
          <t>14</t>
        </is>
      </c>
      <c r="N201" s="12" t="n">
        <v>1</v>
      </c>
      <c r="O201" s="12" t="n">
        <v>1</v>
      </c>
      <c r="P201" s="12" t="n"/>
      <c r="Q201" s="12" t="n"/>
      <c r="R201" s="12" t="n"/>
      <c r="S201" s="12" t="inlineStr">
        <is>
          <t>Duct bank</t>
        </is>
      </c>
      <c r="T201" s="16" t="n">
        <v>408</v>
      </c>
      <c r="U201" s="16" t="n">
        <v>32</v>
      </c>
      <c r="V201" s="16">
        <f>ROUNDUP((T201+U201+2*'Read Me'!$B$13)*(1+'Read Me'!$B$12),-1)</f>
        <v/>
      </c>
      <c r="W201" s="16">
        <f>V201*N201*O201</f>
        <v/>
      </c>
      <c r="X201" s="12">
        <f>IF(LEFT(I201,2)="MV",2*N201*IF(L201="1/C",O201,1),0)</f>
        <v/>
      </c>
      <c r="Y201" s="12">
        <f>IF(OR(LEFT(K201,4)="LVAX",LEFT(K201,6)="MV15AX",LEFT(K201,4)="CTAX",LEFT(K201,2)="W|"),2*N201*O201,0)</f>
        <v/>
      </c>
      <c r="Z201" s="12" t="inlineStr"/>
      <c r="AA201" s="12">
        <f>N201*O201</f>
        <v/>
      </c>
    </row>
    <row r="202">
      <c r="A202" s="12" t="inlineStr">
        <is>
          <t>A-C-0190</t>
        </is>
      </c>
      <c r="B202" s="12" t="inlineStr">
        <is>
          <t>A</t>
        </is>
      </c>
      <c r="C202" s="12" t="inlineStr">
        <is>
          <t>Power block</t>
        </is>
      </c>
      <c r="D202" s="12" t="inlineStr">
        <is>
          <t>Control</t>
        </is>
      </c>
      <c r="E202" s="12" t="inlineStr">
        <is>
          <t>R3</t>
        </is>
      </c>
      <c r="F202" s="12" t="inlineStr">
        <is>
          <t>R3: ST auxiliary electrical e-house (40 x 65 ft)</t>
        </is>
      </c>
      <c r="G202" s="12" t="inlineStr">
        <is>
          <t>GSU-ST</t>
        </is>
      </c>
      <c r="H202" s="12" t="inlineStr">
        <is>
          <t>GSU-ST: 21/230 kV (one ST GSU, baseline)</t>
        </is>
      </c>
      <c r="I202" s="12" t="inlineStr">
        <is>
          <t>Control</t>
        </is>
      </c>
      <c r="J202" s="12" t="inlineStr">
        <is>
          <t>Control cable 600 V Type TC-ER, Cu #14 AWG, PVC jacket</t>
        </is>
      </c>
      <c r="K202" s="12" t="inlineStr">
        <is>
          <t>CT|12/C|14</t>
        </is>
      </c>
      <c r="L202" s="12" t="inlineStr">
        <is>
          <t>12/C</t>
        </is>
      </c>
      <c r="M202" s="12" t="inlineStr">
        <is>
          <t>14</t>
        </is>
      </c>
      <c r="N202" s="12" t="n">
        <v>1</v>
      </c>
      <c r="O202" s="12" t="n">
        <v>1</v>
      </c>
      <c r="P202" s="12" t="n"/>
      <c r="Q202" s="12" t="n"/>
      <c r="R202" s="12" t="n"/>
      <c r="S202" s="12" t="inlineStr">
        <is>
          <t>Duct bank</t>
        </is>
      </c>
      <c r="T202" s="16" t="n">
        <v>408</v>
      </c>
      <c r="U202" s="16" t="n">
        <v>32</v>
      </c>
      <c r="V202" s="16">
        <f>ROUNDUP((T202+U202+2*'Read Me'!$B$13)*(1+'Read Me'!$B$12),-1)</f>
        <v/>
      </c>
      <c r="W202" s="16">
        <f>V202*N202*O202</f>
        <v/>
      </c>
      <c r="X202" s="12">
        <f>IF(LEFT(I202,2)="MV",2*N202*IF(L202="1/C",O202,1),0)</f>
        <v/>
      </c>
      <c r="Y202" s="12">
        <f>IF(OR(LEFT(K202,4)="LVAX",LEFT(K202,6)="MV15AX",LEFT(K202,4)="CTAX",LEFT(K202,2)="W|"),2*N202*O202,0)</f>
        <v/>
      </c>
      <c r="Z202" s="12" t="inlineStr"/>
      <c r="AA202" s="12">
        <f>N202*O202</f>
        <v/>
      </c>
    </row>
    <row r="203">
      <c r="A203" s="12" t="inlineStr">
        <is>
          <t>A-C-0191</t>
        </is>
      </c>
      <c r="B203" s="12" t="inlineStr">
        <is>
          <t>A</t>
        </is>
      </c>
      <c r="C203" s="12" t="inlineStr">
        <is>
          <t>Power block</t>
        </is>
      </c>
      <c r="D203" s="12" t="inlineStr">
        <is>
          <t>CT / VT</t>
        </is>
      </c>
      <c r="E203" s="12" t="inlineStr">
        <is>
          <t>R3</t>
        </is>
      </c>
      <c r="F203" s="12" t="inlineStr">
        <is>
          <t>R3: ST auxiliary electrical e-house (40 x 65 ft)</t>
        </is>
      </c>
      <c r="G203" s="12" t="inlineStr">
        <is>
          <t>GSU-ST</t>
        </is>
      </c>
      <c r="H203" s="12" t="inlineStr">
        <is>
          <t>GSU-ST: 21/230 kV (one ST GSU, baseline)</t>
        </is>
      </c>
      <c r="I203" s="12" t="inlineStr">
        <is>
          <t>Control</t>
        </is>
      </c>
      <c r="J203" s="12" t="inlineStr">
        <is>
          <t>Control cable 600 V Type TC-ER, Cu #10 AWG (CT / VT circuits)</t>
        </is>
      </c>
      <c r="K203" s="12" t="inlineStr">
        <is>
          <t>CTCT|4/C|10</t>
        </is>
      </c>
      <c r="L203" s="12" t="inlineStr">
        <is>
          <t>4/C</t>
        </is>
      </c>
      <c r="M203" s="12" t="inlineStr">
        <is>
          <t>10</t>
        </is>
      </c>
      <c r="N203" s="12" t="n">
        <v>1</v>
      </c>
      <c r="O203" s="12" t="n">
        <v>1</v>
      </c>
      <c r="P203" s="12" t="n"/>
      <c r="Q203" s="12" t="n"/>
      <c r="R203" s="12" t="n"/>
      <c r="S203" s="12" t="inlineStr">
        <is>
          <t>Duct bank</t>
        </is>
      </c>
      <c r="T203" s="16" t="n">
        <v>408</v>
      </c>
      <c r="U203" s="16" t="n">
        <v>32</v>
      </c>
      <c r="V203" s="16">
        <f>ROUNDUP((T203+U203+2*'Read Me'!$B$13)*(1+'Read Me'!$B$12),-1)</f>
        <v/>
      </c>
      <c r="W203" s="16">
        <f>V203*N203*O203</f>
        <v/>
      </c>
      <c r="X203" s="12">
        <f>IF(LEFT(I203,2)="MV",2*N203*IF(L203="1/C",O203,1),0)</f>
        <v/>
      </c>
      <c r="Y203" s="12">
        <f>IF(OR(LEFT(K203,4)="LVAX",LEFT(K203,6)="MV15AX",LEFT(K203,4)="CTAX",LEFT(K203,2)="W|"),2*N203*O203,0)</f>
        <v/>
      </c>
      <c r="Z203" s="12" t="inlineStr"/>
      <c r="AA203" s="12">
        <f>N203*O203</f>
        <v/>
      </c>
    </row>
    <row r="204">
      <c r="A204" s="12" t="inlineStr">
        <is>
          <t>A-C-0192</t>
        </is>
      </c>
      <c r="B204" s="12" t="inlineStr">
        <is>
          <t>A</t>
        </is>
      </c>
      <c r="C204" s="12" t="inlineStr">
        <is>
          <t>Power block</t>
        </is>
      </c>
      <c r="D204" s="12" t="inlineStr">
        <is>
          <t>CT / VT</t>
        </is>
      </c>
      <c r="E204" s="12" t="inlineStr">
        <is>
          <t>R3</t>
        </is>
      </c>
      <c r="F204" s="12" t="inlineStr">
        <is>
          <t>R3: ST auxiliary electrical e-house (40 x 65 ft)</t>
        </is>
      </c>
      <c r="G204" s="12" t="inlineStr">
        <is>
          <t>GSU-ST</t>
        </is>
      </c>
      <c r="H204" s="12" t="inlineStr">
        <is>
          <t>GSU-ST: 21/230 kV (one ST GSU, baseline)</t>
        </is>
      </c>
      <c r="I204" s="12" t="inlineStr">
        <is>
          <t>Control</t>
        </is>
      </c>
      <c r="J204" s="12" t="inlineStr">
        <is>
          <t>Control cable 600 V Type TC-ER, Cu #10 AWG (CT / VT circuits)</t>
        </is>
      </c>
      <c r="K204" s="12" t="inlineStr">
        <is>
          <t>CTCT|4/C|10</t>
        </is>
      </c>
      <c r="L204" s="12" t="inlineStr">
        <is>
          <t>4/C</t>
        </is>
      </c>
      <c r="M204" s="12" t="inlineStr">
        <is>
          <t>10</t>
        </is>
      </c>
      <c r="N204" s="12" t="n">
        <v>1</v>
      </c>
      <c r="O204" s="12" t="n">
        <v>1</v>
      </c>
      <c r="P204" s="12" t="n"/>
      <c r="Q204" s="12" t="n"/>
      <c r="R204" s="12" t="n"/>
      <c r="S204" s="12" t="inlineStr">
        <is>
          <t>Duct bank</t>
        </is>
      </c>
      <c r="T204" s="16" t="n">
        <v>408</v>
      </c>
      <c r="U204" s="16" t="n">
        <v>32</v>
      </c>
      <c r="V204" s="16">
        <f>ROUNDUP((T204+U204+2*'Read Me'!$B$13)*(1+'Read Me'!$B$12),-1)</f>
        <v/>
      </c>
      <c r="W204" s="16">
        <f>V204*N204*O204</f>
        <v/>
      </c>
      <c r="X204" s="12">
        <f>IF(LEFT(I204,2)="MV",2*N204*IF(L204="1/C",O204,1),0)</f>
        <v/>
      </c>
      <c r="Y204" s="12">
        <f>IF(OR(LEFT(K204,4)="LVAX",LEFT(K204,6)="MV15AX",LEFT(K204,4)="CTAX",LEFT(K204,2)="W|"),2*N204*O204,0)</f>
        <v/>
      </c>
      <c r="Z204" s="12" t="inlineStr"/>
      <c r="AA204" s="12">
        <f>N204*O204</f>
        <v/>
      </c>
    </row>
    <row r="205">
      <c r="A205" s="12" t="inlineStr">
        <is>
          <t>A-C-0193</t>
        </is>
      </c>
      <c r="B205" s="12" t="inlineStr">
        <is>
          <t>A</t>
        </is>
      </c>
      <c r="C205" s="12" t="inlineStr">
        <is>
          <t>Power block</t>
        </is>
      </c>
      <c r="D205" s="12" t="inlineStr">
        <is>
          <t>Motor 1 of 12: control / local station</t>
        </is>
      </c>
      <c r="E205" s="12" t="inlineStr">
        <is>
          <t>MCC-GT1</t>
        </is>
      </c>
      <c r="F205" s="12" t="inlineStr">
        <is>
          <t>R1 MCC-GT1</t>
        </is>
      </c>
      <c r="G205" s="12" t="inlineStr">
        <is>
          <t>GT1 aux</t>
        </is>
      </c>
      <c r="H205" s="12" t="inlineStr">
        <is>
          <t>GT1 aux: lube oil, hydraulics, enclosure fans</t>
        </is>
      </c>
      <c r="I205" s="12" t="inlineStr">
        <is>
          <t>Control</t>
        </is>
      </c>
      <c r="J205" s="12" t="inlineStr">
        <is>
          <t>ARMOR-X MC-HL 600 V control, Cu #14 AWG (Class I Div 2)</t>
        </is>
      </c>
      <c r="K205" s="12" t="inlineStr">
        <is>
          <t>CTAX|7/C|14</t>
        </is>
      </c>
      <c r="L205" s="12" t="inlineStr">
        <is>
          <t>7/C</t>
        </is>
      </c>
      <c r="M205" s="12" t="inlineStr">
        <is>
          <t>14</t>
        </is>
      </c>
      <c r="N205" s="12" t="n">
        <v>1</v>
      </c>
      <c r="O205" s="12" t="n">
        <v>1</v>
      </c>
      <c r="P205" s="12" t="n"/>
      <c r="Q205" s="12" t="n"/>
      <c r="R205" s="12" t="n"/>
      <c r="S205" s="12" t="inlineStr">
        <is>
          <t>Tray</t>
        </is>
      </c>
      <c r="T205" s="16" t="n">
        <v>302</v>
      </c>
      <c r="U205" s="16" t="n">
        <v>170</v>
      </c>
      <c r="V205" s="16">
        <f>ROUNDUP((T205+U205+2*'Read Me'!$B$13)*(1+'Read Me'!$B$12),-1)</f>
        <v/>
      </c>
      <c r="W205" s="16">
        <f>V205*N205*O205</f>
        <v/>
      </c>
      <c r="X205" s="12">
        <f>IF(LEFT(I205,2)="MV",2*N205*IF(L205="1/C",O205,1),0)</f>
        <v/>
      </c>
      <c r="Y205" s="12">
        <f>IF(OR(LEFT(K205,4)="LVAX",LEFT(K205,6)="MV15AX",LEFT(K205,4)="CTAX",LEFT(K205,2)="W|"),2*N205*O205,0)</f>
        <v/>
      </c>
      <c r="Z205" s="12" t="inlineStr"/>
      <c r="AA205" s="12">
        <f>N205*O205</f>
        <v/>
      </c>
    </row>
    <row r="206">
      <c r="A206" s="12" t="inlineStr">
        <is>
          <t>A-C-0194</t>
        </is>
      </c>
      <c r="B206" s="12" t="inlineStr">
        <is>
          <t>A</t>
        </is>
      </c>
      <c r="C206" s="12" t="inlineStr">
        <is>
          <t>Power block</t>
        </is>
      </c>
      <c r="D206" s="12" t="inlineStr">
        <is>
          <t>Motor 2 of 12: control / local station</t>
        </is>
      </c>
      <c r="E206" s="12" t="inlineStr">
        <is>
          <t>MCC-GT1</t>
        </is>
      </c>
      <c r="F206" s="12" t="inlineStr">
        <is>
          <t>R1 MCC-GT1</t>
        </is>
      </c>
      <c r="G206" s="12" t="inlineStr">
        <is>
          <t>GT1 aux</t>
        </is>
      </c>
      <c r="H206" s="12" t="inlineStr">
        <is>
          <t>GT1 aux: lube oil, hydraulics, enclosure fans</t>
        </is>
      </c>
      <c r="I206" s="12" t="inlineStr">
        <is>
          <t>Control</t>
        </is>
      </c>
      <c r="J206" s="12" t="inlineStr">
        <is>
          <t>ARMOR-X MC-HL 600 V control, Cu #14 AWG (Class I Div 2)</t>
        </is>
      </c>
      <c r="K206" s="12" t="inlineStr">
        <is>
          <t>CTAX|7/C|14</t>
        </is>
      </c>
      <c r="L206" s="12" t="inlineStr">
        <is>
          <t>7/C</t>
        </is>
      </c>
      <c r="M206" s="12" t="inlineStr">
        <is>
          <t>14</t>
        </is>
      </c>
      <c r="N206" s="12" t="n">
        <v>1</v>
      </c>
      <c r="O206" s="12" t="n">
        <v>1</v>
      </c>
      <c r="P206" s="12" t="n"/>
      <c r="Q206" s="12" t="n"/>
      <c r="R206" s="12" t="n"/>
      <c r="S206" s="12" t="inlineStr">
        <is>
          <t>Tray</t>
        </is>
      </c>
      <c r="T206" s="16" t="n">
        <v>302</v>
      </c>
      <c r="U206" s="16" t="n">
        <v>170</v>
      </c>
      <c r="V206" s="16">
        <f>ROUNDUP((T206+U206+2*'Read Me'!$B$13)*(1+'Read Me'!$B$12),-1)</f>
        <v/>
      </c>
      <c r="W206" s="16">
        <f>V206*N206*O206</f>
        <v/>
      </c>
      <c r="X206" s="12">
        <f>IF(LEFT(I206,2)="MV",2*N206*IF(L206="1/C",O206,1),0)</f>
        <v/>
      </c>
      <c r="Y206" s="12">
        <f>IF(OR(LEFT(K206,4)="LVAX",LEFT(K206,6)="MV15AX",LEFT(K206,4)="CTAX",LEFT(K206,2)="W|"),2*N206*O206,0)</f>
        <v/>
      </c>
      <c r="Z206" s="12" t="inlineStr"/>
      <c r="AA206" s="12">
        <f>N206*O206</f>
        <v/>
      </c>
    </row>
    <row r="207">
      <c r="A207" s="12" t="inlineStr">
        <is>
          <t>A-C-0195</t>
        </is>
      </c>
      <c r="B207" s="12" t="inlineStr">
        <is>
          <t>A</t>
        </is>
      </c>
      <c r="C207" s="12" t="inlineStr">
        <is>
          <t>Power block</t>
        </is>
      </c>
      <c r="D207" s="12" t="inlineStr">
        <is>
          <t>Motor 3 of 12: control / local station</t>
        </is>
      </c>
      <c r="E207" s="12" t="inlineStr">
        <is>
          <t>MCC-GT1</t>
        </is>
      </c>
      <c r="F207" s="12" t="inlineStr">
        <is>
          <t>R1 MCC-GT1</t>
        </is>
      </c>
      <c r="G207" s="12" t="inlineStr">
        <is>
          <t>GT1 aux</t>
        </is>
      </c>
      <c r="H207" s="12" t="inlineStr">
        <is>
          <t>GT1 aux: lube oil, hydraulics, enclosure fans</t>
        </is>
      </c>
      <c r="I207" s="12" t="inlineStr">
        <is>
          <t>Control</t>
        </is>
      </c>
      <c r="J207" s="12" t="inlineStr">
        <is>
          <t>ARMOR-X MC-HL 600 V control, Cu #14 AWG (Class I Div 2)</t>
        </is>
      </c>
      <c r="K207" s="12" t="inlineStr">
        <is>
          <t>CTAX|7/C|14</t>
        </is>
      </c>
      <c r="L207" s="12" t="inlineStr">
        <is>
          <t>7/C</t>
        </is>
      </c>
      <c r="M207" s="12" t="inlineStr">
        <is>
          <t>14</t>
        </is>
      </c>
      <c r="N207" s="12" t="n">
        <v>1</v>
      </c>
      <c r="O207" s="12" t="n">
        <v>1</v>
      </c>
      <c r="P207" s="12" t="n"/>
      <c r="Q207" s="12" t="n"/>
      <c r="R207" s="12" t="n"/>
      <c r="S207" s="12" t="inlineStr">
        <is>
          <t>Tray</t>
        </is>
      </c>
      <c r="T207" s="16" t="n">
        <v>302</v>
      </c>
      <c r="U207" s="16" t="n">
        <v>170</v>
      </c>
      <c r="V207" s="16">
        <f>ROUNDUP((T207+U207+2*'Read Me'!$B$13)*(1+'Read Me'!$B$12),-1)</f>
        <v/>
      </c>
      <c r="W207" s="16">
        <f>V207*N207*O207</f>
        <v/>
      </c>
      <c r="X207" s="12">
        <f>IF(LEFT(I207,2)="MV",2*N207*IF(L207="1/C",O207,1),0)</f>
        <v/>
      </c>
      <c r="Y207" s="12">
        <f>IF(OR(LEFT(K207,4)="LVAX",LEFT(K207,6)="MV15AX",LEFT(K207,4)="CTAX",LEFT(K207,2)="W|"),2*N207*O207,0)</f>
        <v/>
      </c>
      <c r="Z207" s="12" t="inlineStr"/>
      <c r="AA207" s="12">
        <f>N207*O207</f>
        <v/>
      </c>
    </row>
    <row r="208">
      <c r="A208" s="12" t="inlineStr">
        <is>
          <t>A-C-0196</t>
        </is>
      </c>
      <c r="B208" s="12" t="inlineStr">
        <is>
          <t>A</t>
        </is>
      </c>
      <c r="C208" s="12" t="inlineStr">
        <is>
          <t>Power block</t>
        </is>
      </c>
      <c r="D208" s="12" t="inlineStr">
        <is>
          <t>Motor 4 of 12: control / local station</t>
        </is>
      </c>
      <c r="E208" s="12" t="inlineStr">
        <is>
          <t>MCC-GT1</t>
        </is>
      </c>
      <c r="F208" s="12" t="inlineStr">
        <is>
          <t>R1 MCC-GT1</t>
        </is>
      </c>
      <c r="G208" s="12" t="inlineStr">
        <is>
          <t>GT1 aux</t>
        </is>
      </c>
      <c r="H208" s="12" t="inlineStr">
        <is>
          <t>GT1 aux: lube oil, hydraulics, enclosure fans</t>
        </is>
      </c>
      <c r="I208" s="12" t="inlineStr">
        <is>
          <t>Control</t>
        </is>
      </c>
      <c r="J208" s="12" t="inlineStr">
        <is>
          <t>ARMOR-X MC-HL 600 V control, Cu #14 AWG (Class I Div 2)</t>
        </is>
      </c>
      <c r="K208" s="12" t="inlineStr">
        <is>
          <t>CTAX|7/C|14</t>
        </is>
      </c>
      <c r="L208" s="12" t="inlineStr">
        <is>
          <t>7/C</t>
        </is>
      </c>
      <c r="M208" s="12" t="inlineStr">
        <is>
          <t>14</t>
        </is>
      </c>
      <c r="N208" s="12" t="n">
        <v>1</v>
      </c>
      <c r="O208" s="12" t="n">
        <v>1</v>
      </c>
      <c r="P208" s="12" t="n"/>
      <c r="Q208" s="12" t="n"/>
      <c r="R208" s="12" t="n"/>
      <c r="S208" s="12" t="inlineStr">
        <is>
          <t>Tray</t>
        </is>
      </c>
      <c r="T208" s="16" t="n">
        <v>302</v>
      </c>
      <c r="U208" s="16" t="n">
        <v>170</v>
      </c>
      <c r="V208" s="16">
        <f>ROUNDUP((T208+U208+2*'Read Me'!$B$13)*(1+'Read Me'!$B$12),-1)</f>
        <v/>
      </c>
      <c r="W208" s="16">
        <f>V208*N208*O208</f>
        <v/>
      </c>
      <c r="X208" s="12">
        <f>IF(LEFT(I208,2)="MV",2*N208*IF(L208="1/C",O208,1),0)</f>
        <v/>
      </c>
      <c r="Y208" s="12">
        <f>IF(OR(LEFT(K208,4)="LVAX",LEFT(K208,6)="MV15AX",LEFT(K208,4)="CTAX",LEFT(K208,2)="W|"),2*N208*O208,0)</f>
        <v/>
      </c>
      <c r="Z208" s="12" t="inlineStr"/>
      <c r="AA208" s="12">
        <f>N208*O208</f>
        <v/>
      </c>
    </row>
    <row r="209">
      <c r="A209" s="12" t="inlineStr">
        <is>
          <t>A-C-0197</t>
        </is>
      </c>
      <c r="B209" s="12" t="inlineStr">
        <is>
          <t>A</t>
        </is>
      </c>
      <c r="C209" s="12" t="inlineStr">
        <is>
          <t>Power block</t>
        </is>
      </c>
      <c r="D209" s="12" t="inlineStr">
        <is>
          <t>Motor 5 of 12: control / local station</t>
        </is>
      </c>
      <c r="E209" s="12" t="inlineStr">
        <is>
          <t>MCC-GT1</t>
        </is>
      </c>
      <c r="F209" s="12" t="inlineStr">
        <is>
          <t>R1 MCC-GT1</t>
        </is>
      </c>
      <c r="G209" s="12" t="inlineStr">
        <is>
          <t>GT1 aux</t>
        </is>
      </c>
      <c r="H209" s="12" t="inlineStr">
        <is>
          <t>GT1 aux: lube oil, hydraulics, enclosure fans</t>
        </is>
      </c>
      <c r="I209" s="12" t="inlineStr">
        <is>
          <t>Control</t>
        </is>
      </c>
      <c r="J209" s="12" t="inlineStr">
        <is>
          <t>ARMOR-X MC-HL 600 V control, Cu #14 AWG (Class I Div 2)</t>
        </is>
      </c>
      <c r="K209" s="12" t="inlineStr">
        <is>
          <t>CTAX|7/C|14</t>
        </is>
      </c>
      <c r="L209" s="12" t="inlineStr">
        <is>
          <t>7/C</t>
        </is>
      </c>
      <c r="M209" s="12" t="inlineStr">
        <is>
          <t>14</t>
        </is>
      </c>
      <c r="N209" s="12" t="n">
        <v>1</v>
      </c>
      <c r="O209" s="12" t="n">
        <v>1</v>
      </c>
      <c r="P209" s="12" t="n"/>
      <c r="Q209" s="12" t="n"/>
      <c r="R209" s="12" t="n"/>
      <c r="S209" s="12" t="inlineStr">
        <is>
          <t>Tray</t>
        </is>
      </c>
      <c r="T209" s="16" t="n">
        <v>302</v>
      </c>
      <c r="U209" s="16" t="n">
        <v>170</v>
      </c>
      <c r="V209" s="16">
        <f>ROUNDUP((T209+U209+2*'Read Me'!$B$13)*(1+'Read Me'!$B$12),-1)</f>
        <v/>
      </c>
      <c r="W209" s="16">
        <f>V209*N209*O209</f>
        <v/>
      </c>
      <c r="X209" s="12">
        <f>IF(LEFT(I209,2)="MV",2*N209*IF(L209="1/C",O209,1),0)</f>
        <v/>
      </c>
      <c r="Y209" s="12">
        <f>IF(OR(LEFT(K209,4)="LVAX",LEFT(K209,6)="MV15AX",LEFT(K209,4)="CTAX",LEFT(K209,2)="W|"),2*N209*O209,0)</f>
        <v/>
      </c>
      <c r="Z209" s="12" t="inlineStr"/>
      <c r="AA209" s="12">
        <f>N209*O209</f>
        <v/>
      </c>
    </row>
    <row r="210">
      <c r="A210" s="12" t="inlineStr">
        <is>
          <t>A-C-0198</t>
        </is>
      </c>
      <c r="B210" s="12" t="inlineStr">
        <is>
          <t>A</t>
        </is>
      </c>
      <c r="C210" s="12" t="inlineStr">
        <is>
          <t>Power block</t>
        </is>
      </c>
      <c r="D210" s="12" t="inlineStr">
        <is>
          <t>Motor 6 of 12: control / local station</t>
        </is>
      </c>
      <c r="E210" s="12" t="inlineStr">
        <is>
          <t>MCC-GT1</t>
        </is>
      </c>
      <c r="F210" s="12" t="inlineStr">
        <is>
          <t>R1 MCC-GT1</t>
        </is>
      </c>
      <c r="G210" s="12" t="inlineStr">
        <is>
          <t>GT1 aux</t>
        </is>
      </c>
      <c r="H210" s="12" t="inlineStr">
        <is>
          <t>GT1 aux: lube oil, hydraulics, enclosure fans</t>
        </is>
      </c>
      <c r="I210" s="12" t="inlineStr">
        <is>
          <t>Control</t>
        </is>
      </c>
      <c r="J210" s="12" t="inlineStr">
        <is>
          <t>ARMOR-X MC-HL 600 V control, Cu #14 AWG (Class I Div 2)</t>
        </is>
      </c>
      <c r="K210" s="12" t="inlineStr">
        <is>
          <t>CTAX|7/C|14</t>
        </is>
      </c>
      <c r="L210" s="12" t="inlineStr">
        <is>
          <t>7/C</t>
        </is>
      </c>
      <c r="M210" s="12" t="inlineStr">
        <is>
          <t>14</t>
        </is>
      </c>
      <c r="N210" s="12" t="n">
        <v>1</v>
      </c>
      <c r="O210" s="12" t="n">
        <v>1</v>
      </c>
      <c r="P210" s="12" t="n"/>
      <c r="Q210" s="12" t="n"/>
      <c r="R210" s="12" t="n"/>
      <c r="S210" s="12" t="inlineStr">
        <is>
          <t>Tray</t>
        </is>
      </c>
      <c r="T210" s="16" t="n">
        <v>302</v>
      </c>
      <c r="U210" s="16" t="n">
        <v>170</v>
      </c>
      <c r="V210" s="16">
        <f>ROUNDUP((T210+U210+2*'Read Me'!$B$13)*(1+'Read Me'!$B$12),-1)</f>
        <v/>
      </c>
      <c r="W210" s="16">
        <f>V210*N210*O210</f>
        <v/>
      </c>
      <c r="X210" s="12">
        <f>IF(LEFT(I210,2)="MV",2*N210*IF(L210="1/C",O210,1),0)</f>
        <v/>
      </c>
      <c r="Y210" s="12">
        <f>IF(OR(LEFT(K210,4)="LVAX",LEFT(K210,6)="MV15AX",LEFT(K210,4)="CTAX",LEFT(K210,2)="W|"),2*N210*O210,0)</f>
        <v/>
      </c>
      <c r="Z210" s="12" t="inlineStr"/>
      <c r="AA210" s="12">
        <f>N210*O210</f>
        <v/>
      </c>
    </row>
    <row r="211">
      <c r="A211" s="12" t="inlineStr">
        <is>
          <t>A-C-0199</t>
        </is>
      </c>
      <c r="B211" s="12" t="inlineStr">
        <is>
          <t>A</t>
        </is>
      </c>
      <c r="C211" s="12" t="inlineStr">
        <is>
          <t>Power block</t>
        </is>
      </c>
      <c r="D211" s="12" t="inlineStr">
        <is>
          <t>Motor 7 of 12: control / local station</t>
        </is>
      </c>
      <c r="E211" s="12" t="inlineStr">
        <is>
          <t>MCC-GT1</t>
        </is>
      </c>
      <c r="F211" s="12" t="inlineStr">
        <is>
          <t>R1 MCC-GT1</t>
        </is>
      </c>
      <c r="G211" s="12" t="inlineStr">
        <is>
          <t>GT1 aux</t>
        </is>
      </c>
      <c r="H211" s="12" t="inlineStr">
        <is>
          <t>GT1 aux: lube oil, hydraulics, enclosure fans</t>
        </is>
      </c>
      <c r="I211" s="12" t="inlineStr">
        <is>
          <t>Control</t>
        </is>
      </c>
      <c r="J211" s="12" t="inlineStr">
        <is>
          <t>ARMOR-X MC-HL 600 V control, Cu #14 AWG (Class I Div 2)</t>
        </is>
      </c>
      <c r="K211" s="12" t="inlineStr">
        <is>
          <t>CTAX|7/C|14</t>
        </is>
      </c>
      <c r="L211" s="12" t="inlineStr">
        <is>
          <t>7/C</t>
        </is>
      </c>
      <c r="M211" s="12" t="inlineStr">
        <is>
          <t>14</t>
        </is>
      </c>
      <c r="N211" s="12" t="n">
        <v>1</v>
      </c>
      <c r="O211" s="12" t="n">
        <v>1</v>
      </c>
      <c r="P211" s="12" t="n"/>
      <c r="Q211" s="12" t="n"/>
      <c r="R211" s="12" t="n"/>
      <c r="S211" s="12" t="inlineStr">
        <is>
          <t>Tray</t>
        </is>
      </c>
      <c r="T211" s="16" t="n">
        <v>302</v>
      </c>
      <c r="U211" s="16" t="n">
        <v>170</v>
      </c>
      <c r="V211" s="16">
        <f>ROUNDUP((T211+U211+2*'Read Me'!$B$13)*(1+'Read Me'!$B$12),-1)</f>
        <v/>
      </c>
      <c r="W211" s="16">
        <f>V211*N211*O211</f>
        <v/>
      </c>
      <c r="X211" s="12">
        <f>IF(LEFT(I211,2)="MV",2*N211*IF(L211="1/C",O211,1),0)</f>
        <v/>
      </c>
      <c r="Y211" s="12">
        <f>IF(OR(LEFT(K211,4)="LVAX",LEFT(K211,6)="MV15AX",LEFT(K211,4)="CTAX",LEFT(K211,2)="W|"),2*N211*O211,0)</f>
        <v/>
      </c>
      <c r="Z211" s="12" t="inlineStr"/>
      <c r="AA211" s="12">
        <f>N211*O211</f>
        <v/>
      </c>
    </row>
    <row r="212">
      <c r="A212" s="12" t="inlineStr">
        <is>
          <t>A-C-0200</t>
        </is>
      </c>
      <c r="B212" s="12" t="inlineStr">
        <is>
          <t>A</t>
        </is>
      </c>
      <c r="C212" s="12" t="inlineStr">
        <is>
          <t>Power block</t>
        </is>
      </c>
      <c r="D212" s="12" t="inlineStr">
        <is>
          <t>Motor 8 of 12: control / local station</t>
        </is>
      </c>
      <c r="E212" s="12" t="inlineStr">
        <is>
          <t>MCC-GT1</t>
        </is>
      </c>
      <c r="F212" s="12" t="inlineStr">
        <is>
          <t>R1 MCC-GT1</t>
        </is>
      </c>
      <c r="G212" s="12" t="inlineStr">
        <is>
          <t>GT1 aux</t>
        </is>
      </c>
      <c r="H212" s="12" t="inlineStr">
        <is>
          <t>GT1 aux: lube oil, hydraulics, enclosure fans</t>
        </is>
      </c>
      <c r="I212" s="12" t="inlineStr">
        <is>
          <t>Control</t>
        </is>
      </c>
      <c r="J212" s="12" t="inlineStr">
        <is>
          <t>ARMOR-X MC-HL 600 V control, Cu #14 AWG (Class I Div 2)</t>
        </is>
      </c>
      <c r="K212" s="12" t="inlineStr">
        <is>
          <t>CTAX|7/C|14</t>
        </is>
      </c>
      <c r="L212" s="12" t="inlineStr">
        <is>
          <t>7/C</t>
        </is>
      </c>
      <c r="M212" s="12" t="inlineStr">
        <is>
          <t>14</t>
        </is>
      </c>
      <c r="N212" s="12" t="n">
        <v>1</v>
      </c>
      <c r="O212" s="12" t="n">
        <v>1</v>
      </c>
      <c r="P212" s="12" t="n"/>
      <c r="Q212" s="12" t="n"/>
      <c r="R212" s="12" t="n"/>
      <c r="S212" s="12" t="inlineStr">
        <is>
          <t>Tray</t>
        </is>
      </c>
      <c r="T212" s="16" t="n">
        <v>302</v>
      </c>
      <c r="U212" s="16" t="n">
        <v>170</v>
      </c>
      <c r="V212" s="16">
        <f>ROUNDUP((T212+U212+2*'Read Me'!$B$13)*(1+'Read Me'!$B$12),-1)</f>
        <v/>
      </c>
      <c r="W212" s="16">
        <f>V212*N212*O212</f>
        <v/>
      </c>
      <c r="X212" s="12">
        <f>IF(LEFT(I212,2)="MV",2*N212*IF(L212="1/C",O212,1),0)</f>
        <v/>
      </c>
      <c r="Y212" s="12">
        <f>IF(OR(LEFT(K212,4)="LVAX",LEFT(K212,6)="MV15AX",LEFT(K212,4)="CTAX",LEFT(K212,2)="W|"),2*N212*O212,0)</f>
        <v/>
      </c>
      <c r="Z212" s="12" t="inlineStr"/>
      <c r="AA212" s="12">
        <f>N212*O212</f>
        <v/>
      </c>
    </row>
    <row r="213">
      <c r="A213" s="12" t="inlineStr">
        <is>
          <t>A-C-0201</t>
        </is>
      </c>
      <c r="B213" s="12" t="inlineStr">
        <is>
          <t>A</t>
        </is>
      </c>
      <c r="C213" s="12" t="inlineStr">
        <is>
          <t>Power block</t>
        </is>
      </c>
      <c r="D213" s="12" t="inlineStr">
        <is>
          <t>Motor 9 of 12: control / local station</t>
        </is>
      </c>
      <c r="E213" s="12" t="inlineStr">
        <is>
          <t>MCC-GT1</t>
        </is>
      </c>
      <c r="F213" s="12" t="inlineStr">
        <is>
          <t>R1 MCC-GT1</t>
        </is>
      </c>
      <c r="G213" s="12" t="inlineStr">
        <is>
          <t>GT1 aux</t>
        </is>
      </c>
      <c r="H213" s="12" t="inlineStr">
        <is>
          <t>GT1 aux: lube oil, hydraulics, enclosure fans</t>
        </is>
      </c>
      <c r="I213" s="12" t="inlineStr">
        <is>
          <t>Control</t>
        </is>
      </c>
      <c r="J213" s="12" t="inlineStr">
        <is>
          <t>ARMOR-X MC-HL 600 V control, Cu #14 AWG (Class I Div 2)</t>
        </is>
      </c>
      <c r="K213" s="12" t="inlineStr">
        <is>
          <t>CTAX|7/C|14</t>
        </is>
      </c>
      <c r="L213" s="12" t="inlineStr">
        <is>
          <t>7/C</t>
        </is>
      </c>
      <c r="M213" s="12" t="inlineStr">
        <is>
          <t>14</t>
        </is>
      </c>
      <c r="N213" s="12" t="n">
        <v>1</v>
      </c>
      <c r="O213" s="12" t="n">
        <v>1</v>
      </c>
      <c r="P213" s="12" t="n"/>
      <c r="Q213" s="12" t="n"/>
      <c r="R213" s="12" t="n"/>
      <c r="S213" s="12" t="inlineStr">
        <is>
          <t>Tray</t>
        </is>
      </c>
      <c r="T213" s="16" t="n">
        <v>302</v>
      </c>
      <c r="U213" s="16" t="n">
        <v>170</v>
      </c>
      <c r="V213" s="16">
        <f>ROUNDUP((T213+U213+2*'Read Me'!$B$13)*(1+'Read Me'!$B$12),-1)</f>
        <v/>
      </c>
      <c r="W213" s="16">
        <f>V213*N213*O213</f>
        <v/>
      </c>
      <c r="X213" s="12">
        <f>IF(LEFT(I213,2)="MV",2*N213*IF(L213="1/C",O213,1),0)</f>
        <v/>
      </c>
      <c r="Y213" s="12">
        <f>IF(OR(LEFT(K213,4)="LVAX",LEFT(K213,6)="MV15AX",LEFT(K213,4)="CTAX",LEFT(K213,2)="W|"),2*N213*O213,0)</f>
        <v/>
      </c>
      <c r="Z213" s="12" t="inlineStr"/>
      <c r="AA213" s="12">
        <f>N213*O213</f>
        <v/>
      </c>
    </row>
    <row r="214">
      <c r="A214" s="12" t="inlineStr">
        <is>
          <t>A-C-0202</t>
        </is>
      </c>
      <c r="B214" s="12" t="inlineStr">
        <is>
          <t>A</t>
        </is>
      </c>
      <c r="C214" s="12" t="inlineStr">
        <is>
          <t>Power block</t>
        </is>
      </c>
      <c r="D214" s="12" t="inlineStr">
        <is>
          <t>Motor 10 of 12: control / local station</t>
        </is>
      </c>
      <c r="E214" s="12" t="inlineStr">
        <is>
          <t>MCC-GT1</t>
        </is>
      </c>
      <c r="F214" s="12" t="inlineStr">
        <is>
          <t>R1 MCC-GT1</t>
        </is>
      </c>
      <c r="G214" s="12" t="inlineStr">
        <is>
          <t>GT1 aux</t>
        </is>
      </c>
      <c r="H214" s="12" t="inlineStr">
        <is>
          <t>GT1 aux: lube oil, hydraulics, enclosure fans</t>
        </is>
      </c>
      <c r="I214" s="12" t="inlineStr">
        <is>
          <t>Control</t>
        </is>
      </c>
      <c r="J214" s="12" t="inlineStr">
        <is>
          <t>ARMOR-X MC-HL 600 V control, Cu #14 AWG (Class I Div 2)</t>
        </is>
      </c>
      <c r="K214" s="12" t="inlineStr">
        <is>
          <t>CTAX|7/C|14</t>
        </is>
      </c>
      <c r="L214" s="12" t="inlineStr">
        <is>
          <t>7/C</t>
        </is>
      </c>
      <c r="M214" s="12" t="inlineStr">
        <is>
          <t>14</t>
        </is>
      </c>
      <c r="N214" s="12" t="n">
        <v>1</v>
      </c>
      <c r="O214" s="12" t="n">
        <v>1</v>
      </c>
      <c r="P214" s="12" t="n"/>
      <c r="Q214" s="12" t="n"/>
      <c r="R214" s="12" t="n"/>
      <c r="S214" s="12" t="inlineStr">
        <is>
          <t>Tray</t>
        </is>
      </c>
      <c r="T214" s="16" t="n">
        <v>302</v>
      </c>
      <c r="U214" s="16" t="n">
        <v>170</v>
      </c>
      <c r="V214" s="16">
        <f>ROUNDUP((T214+U214+2*'Read Me'!$B$13)*(1+'Read Me'!$B$12),-1)</f>
        <v/>
      </c>
      <c r="W214" s="16">
        <f>V214*N214*O214</f>
        <v/>
      </c>
      <c r="X214" s="12">
        <f>IF(LEFT(I214,2)="MV",2*N214*IF(L214="1/C",O214,1),0)</f>
        <v/>
      </c>
      <c r="Y214" s="12">
        <f>IF(OR(LEFT(K214,4)="LVAX",LEFT(K214,6)="MV15AX",LEFT(K214,4)="CTAX",LEFT(K214,2)="W|"),2*N214*O214,0)</f>
        <v/>
      </c>
      <c r="Z214" s="12" t="inlineStr"/>
      <c r="AA214" s="12">
        <f>N214*O214</f>
        <v/>
      </c>
    </row>
    <row r="215">
      <c r="A215" s="12" t="inlineStr">
        <is>
          <t>A-C-0203</t>
        </is>
      </c>
      <c r="B215" s="12" t="inlineStr">
        <is>
          <t>A</t>
        </is>
      </c>
      <c r="C215" s="12" t="inlineStr">
        <is>
          <t>Power block</t>
        </is>
      </c>
      <c r="D215" s="12" t="inlineStr">
        <is>
          <t>Motor 11 of 12: control / local station</t>
        </is>
      </c>
      <c r="E215" s="12" t="inlineStr">
        <is>
          <t>MCC-GT1</t>
        </is>
      </c>
      <c r="F215" s="12" t="inlineStr">
        <is>
          <t>R1 MCC-GT1</t>
        </is>
      </c>
      <c r="G215" s="12" t="inlineStr">
        <is>
          <t>GT1 aux</t>
        </is>
      </c>
      <c r="H215" s="12" t="inlineStr">
        <is>
          <t>GT1 aux: lube oil, hydraulics, enclosure fans</t>
        </is>
      </c>
      <c r="I215" s="12" t="inlineStr">
        <is>
          <t>Control</t>
        </is>
      </c>
      <c r="J215" s="12" t="inlineStr">
        <is>
          <t>ARMOR-X MC-HL 600 V control, Cu #14 AWG (Class I Div 2)</t>
        </is>
      </c>
      <c r="K215" s="12" t="inlineStr">
        <is>
          <t>CTAX|7/C|14</t>
        </is>
      </c>
      <c r="L215" s="12" t="inlineStr">
        <is>
          <t>7/C</t>
        </is>
      </c>
      <c r="M215" s="12" t="inlineStr">
        <is>
          <t>14</t>
        </is>
      </c>
      <c r="N215" s="12" t="n">
        <v>1</v>
      </c>
      <c r="O215" s="12" t="n">
        <v>1</v>
      </c>
      <c r="P215" s="12" t="n"/>
      <c r="Q215" s="12" t="n"/>
      <c r="R215" s="12" t="n"/>
      <c r="S215" s="12" t="inlineStr">
        <is>
          <t>Tray</t>
        </is>
      </c>
      <c r="T215" s="16" t="n">
        <v>302</v>
      </c>
      <c r="U215" s="16" t="n">
        <v>170</v>
      </c>
      <c r="V215" s="16">
        <f>ROUNDUP((T215+U215+2*'Read Me'!$B$13)*(1+'Read Me'!$B$12),-1)</f>
        <v/>
      </c>
      <c r="W215" s="16">
        <f>V215*N215*O215</f>
        <v/>
      </c>
      <c r="X215" s="12">
        <f>IF(LEFT(I215,2)="MV",2*N215*IF(L215="1/C",O215,1),0)</f>
        <v/>
      </c>
      <c r="Y215" s="12">
        <f>IF(OR(LEFT(K215,4)="LVAX",LEFT(K215,6)="MV15AX",LEFT(K215,4)="CTAX",LEFT(K215,2)="W|"),2*N215*O215,0)</f>
        <v/>
      </c>
      <c r="Z215" s="12" t="inlineStr"/>
      <c r="AA215" s="12">
        <f>N215*O215</f>
        <v/>
      </c>
    </row>
    <row r="216">
      <c r="A216" s="12" t="inlineStr">
        <is>
          <t>A-C-0204</t>
        </is>
      </c>
      <c r="B216" s="12" t="inlineStr">
        <is>
          <t>A</t>
        </is>
      </c>
      <c r="C216" s="12" t="inlineStr">
        <is>
          <t>Power block</t>
        </is>
      </c>
      <c r="D216" s="12" t="inlineStr">
        <is>
          <t>Motor 12 of 12: control / local station</t>
        </is>
      </c>
      <c r="E216" s="12" t="inlineStr">
        <is>
          <t>MCC-GT1</t>
        </is>
      </c>
      <c r="F216" s="12" t="inlineStr">
        <is>
          <t>R1 MCC-GT1</t>
        </is>
      </c>
      <c r="G216" s="12" t="inlineStr">
        <is>
          <t>GT1 aux</t>
        </is>
      </c>
      <c r="H216" s="12" t="inlineStr">
        <is>
          <t>GT1 aux: lube oil, hydraulics, enclosure fans</t>
        </is>
      </c>
      <c r="I216" s="12" t="inlineStr">
        <is>
          <t>Control</t>
        </is>
      </c>
      <c r="J216" s="12" t="inlineStr">
        <is>
          <t>ARMOR-X MC-HL 600 V control, Cu #14 AWG (Class I Div 2)</t>
        </is>
      </c>
      <c r="K216" s="12" t="inlineStr">
        <is>
          <t>CTAX|7/C|14</t>
        </is>
      </c>
      <c r="L216" s="12" t="inlineStr">
        <is>
          <t>7/C</t>
        </is>
      </c>
      <c r="M216" s="12" t="inlineStr">
        <is>
          <t>14</t>
        </is>
      </c>
      <c r="N216" s="12" t="n">
        <v>1</v>
      </c>
      <c r="O216" s="12" t="n">
        <v>1</v>
      </c>
      <c r="P216" s="12" t="n"/>
      <c r="Q216" s="12" t="n"/>
      <c r="R216" s="12" t="n"/>
      <c r="S216" s="12" t="inlineStr">
        <is>
          <t>Tray</t>
        </is>
      </c>
      <c r="T216" s="16" t="n">
        <v>302</v>
      </c>
      <c r="U216" s="16" t="n">
        <v>170</v>
      </c>
      <c r="V216" s="16">
        <f>ROUNDUP((T216+U216+2*'Read Me'!$B$13)*(1+'Read Me'!$B$12),-1)</f>
        <v/>
      </c>
      <c r="W216" s="16">
        <f>V216*N216*O216</f>
        <v/>
      </c>
      <c r="X216" s="12">
        <f>IF(LEFT(I216,2)="MV",2*N216*IF(L216="1/C",O216,1),0)</f>
        <v/>
      </c>
      <c r="Y216" s="12">
        <f>IF(OR(LEFT(K216,4)="LVAX",LEFT(K216,6)="MV15AX",LEFT(K216,4)="CTAX",LEFT(K216,2)="W|"),2*N216*O216,0)</f>
        <v/>
      </c>
      <c r="Z216" s="12" t="inlineStr"/>
      <c r="AA216" s="12">
        <f>N216*O216</f>
        <v/>
      </c>
    </row>
    <row r="217">
      <c r="A217" s="12" t="inlineStr">
        <is>
          <t>A-C-0205</t>
        </is>
      </c>
      <c r="B217" s="12" t="inlineStr">
        <is>
          <t>A</t>
        </is>
      </c>
      <c r="C217" s="12" t="inlineStr">
        <is>
          <t>Power block</t>
        </is>
      </c>
      <c r="D217" s="12" t="inlineStr">
        <is>
          <t>Solenoid to JB JB-GT1 aux-SOL01: 10 x 2/C (field cables)</t>
        </is>
      </c>
      <c r="E217" s="12" t="inlineStr">
        <is>
          <t>GT1 aux</t>
        </is>
      </c>
      <c r="F217" s="12" t="inlineStr">
        <is>
          <t>GT1 aux: lube oil, hydraulics, enclosure fans</t>
        </is>
      </c>
      <c r="G217" s="12" t="inlineStr">
        <is>
          <t>JB-GT1 aux-SOL01</t>
        </is>
      </c>
      <c r="H217" s="12" t="inlineStr">
        <is>
          <t>GT1 aux: lube oil, hydraulics, enclosure fans</t>
        </is>
      </c>
      <c r="I217" s="12" t="inlineStr">
        <is>
          <t>Control</t>
        </is>
      </c>
      <c r="J217" s="12" t="inlineStr">
        <is>
          <t>ARMOR-X MC-HL 600 V control, Cu #14 AWG (Class I Div 2)</t>
        </is>
      </c>
      <c r="K217" s="12" t="inlineStr">
        <is>
          <t>CTAX|2/C|14</t>
        </is>
      </c>
      <c r="L217" s="12" t="inlineStr">
        <is>
          <t>2/C</t>
        </is>
      </c>
      <c r="M217" s="12" t="inlineStr">
        <is>
          <t>14</t>
        </is>
      </c>
      <c r="N217" s="12" t="n">
        <v>10</v>
      </c>
      <c r="O217" s="12" t="n">
        <v>1</v>
      </c>
      <c r="P217" s="12" t="n"/>
      <c r="Q217" s="12" t="n"/>
      <c r="R217" s="12" t="n"/>
      <c r="S217" s="12" t="inlineStr">
        <is>
          <t>Tray / conduit</t>
        </is>
      </c>
      <c r="T217" s="16" t="n">
        <v>62</v>
      </c>
      <c r="U217" s="16" t="n">
        <v>10</v>
      </c>
      <c r="V217" s="16">
        <f>ROUNDUP((T217+U217+2*'Read Me'!$B$13)*(1+'Read Me'!$B$12),-1)</f>
        <v/>
      </c>
      <c r="W217" s="16">
        <f>V217*N217*O217</f>
        <v/>
      </c>
      <c r="X217" s="12">
        <f>IF(LEFT(I217,2)="MV",2*N217*IF(L217="1/C",O217,1),0)</f>
        <v/>
      </c>
      <c r="Y217" s="12">
        <f>IF(OR(LEFT(K217,4)="LVAX",LEFT(K217,6)="MV15AX",LEFT(K217,4)="CTAX",LEFT(K217,2)="W|"),2*N217*O217,0)</f>
        <v/>
      </c>
      <c r="Z217" s="12" t="inlineStr">
        <is>
          <t>device-to-JB field wiring, one cable per device</t>
        </is>
      </c>
      <c r="AA217" s="12">
        <f>N217*O217</f>
        <v/>
      </c>
    </row>
    <row r="218">
      <c r="A218" s="12" t="inlineStr">
        <is>
          <t>A-C-0206</t>
        </is>
      </c>
      <c r="B218" s="12" t="inlineStr">
        <is>
          <t>A</t>
        </is>
      </c>
      <c r="C218" s="12" t="inlineStr">
        <is>
          <t>Power block</t>
        </is>
      </c>
      <c r="D218" s="12" t="inlineStr">
        <is>
          <t>Home run JB-GT1 aux-SOL01 to the control / marshalling room</t>
        </is>
      </c>
      <c r="E218" s="12" t="inlineStr">
        <is>
          <t>R2A</t>
        </is>
      </c>
      <c r="F218" s="12" t="inlineStr">
        <is>
          <t>R2A: unit / HRSG electrical e-house (32 x 40 ft)</t>
        </is>
      </c>
      <c r="G218" s="12" t="inlineStr">
        <is>
          <t>JB-GT1 aux-SOL01</t>
        </is>
      </c>
      <c r="H218" s="12" t="inlineStr">
        <is>
          <t>GT1 aux: lube oil, hydraulics, enclosure fans</t>
        </is>
      </c>
      <c r="I218" s="12" t="inlineStr">
        <is>
          <t>Control</t>
        </is>
      </c>
      <c r="J218" s="12" t="inlineStr">
        <is>
          <t>ARMOR-X MC-HL 600 V control, Cu #14 AWG (Class I Div 2)</t>
        </is>
      </c>
      <c r="K218" s="12" t="inlineStr">
        <is>
          <t>CTAX|25/C|14</t>
        </is>
      </c>
      <c r="L218" s="12" t="inlineStr">
        <is>
          <t>25/C</t>
        </is>
      </c>
      <c r="M218" s="12" t="inlineStr">
        <is>
          <t>14</t>
        </is>
      </c>
      <c r="N218" s="12" t="n">
        <v>1</v>
      </c>
      <c r="O218" s="12" t="n">
        <v>1</v>
      </c>
      <c r="P218" s="12" t="n"/>
      <c r="Q218" s="12" t="n"/>
      <c r="R218" s="12" t="n"/>
      <c r="S218" s="12" t="inlineStr">
        <is>
          <t>Tray</t>
        </is>
      </c>
      <c r="T218" s="16" t="n">
        <v>224</v>
      </c>
      <c r="U218" s="16" t="n">
        <v>119</v>
      </c>
      <c r="V218" s="16">
        <f>ROUNDUP((T218+U218+2*'Read Me'!$B$13)*(1+'Read Me'!$B$12),-1)</f>
        <v/>
      </c>
      <c r="W218" s="16">
        <f>V218*N218*O218</f>
        <v/>
      </c>
      <c r="X218" s="12">
        <f>IF(LEFT(I218,2)="MV",2*N218*IF(L218="1/C",O218,1),0)</f>
        <v/>
      </c>
      <c r="Y218" s="12">
        <f>IF(OR(LEFT(K218,4)="LVAX",LEFT(K218,6)="MV15AX",LEFT(K218,4)="CTAX",LEFT(K218,2)="W|"),2*N218*O218,0)</f>
        <v/>
      </c>
      <c r="Z218" s="12" t="inlineStr"/>
      <c r="AA218" s="12">
        <f>N218*O218</f>
        <v/>
      </c>
    </row>
    <row r="219">
      <c r="A219" s="12" t="inlineStr">
        <is>
          <t>A-C-0207</t>
        </is>
      </c>
      <c r="B219" s="12" t="inlineStr">
        <is>
          <t>A</t>
        </is>
      </c>
      <c r="C219" s="12" t="inlineStr">
        <is>
          <t>Power block</t>
        </is>
      </c>
      <c r="D219" s="12" t="inlineStr">
        <is>
          <t>Solenoid to JB JB-GT1-SOL01: 10 x 2/C (field cables)</t>
        </is>
      </c>
      <c r="E219" s="12" t="inlineStr">
        <is>
          <t>GT1</t>
        </is>
      </c>
      <c r="F219" s="12" t="inlineStr">
        <is>
          <t>GT1: H-class gas turbine (60 Hz)</t>
        </is>
      </c>
      <c r="G219" s="12" t="inlineStr">
        <is>
          <t>JB-GT1-SOL01</t>
        </is>
      </c>
      <c r="H219" s="12" t="inlineStr">
        <is>
          <t>GT1: H-class gas turbine (60 Hz)</t>
        </is>
      </c>
      <c r="I219" s="12" t="inlineStr">
        <is>
          <t>Control</t>
        </is>
      </c>
      <c r="J219" s="12" t="inlineStr">
        <is>
          <t>ARMOR-X MC-HL 600 V control, Cu #14 AWG (Class I Div 2)</t>
        </is>
      </c>
      <c r="K219" s="12" t="inlineStr">
        <is>
          <t>CTAX|2/C|14</t>
        </is>
      </c>
      <c r="L219" s="12" t="inlineStr">
        <is>
          <t>2/C</t>
        </is>
      </c>
      <c r="M219" s="12" t="inlineStr">
        <is>
          <t>14</t>
        </is>
      </c>
      <c r="N219" s="12" t="n">
        <v>10</v>
      </c>
      <c r="O219" s="12" t="n">
        <v>1</v>
      </c>
      <c r="P219" s="12" t="n"/>
      <c r="Q219" s="12" t="n"/>
      <c r="R219" s="12" t="n"/>
      <c r="S219" s="12" t="inlineStr">
        <is>
          <t>Tray / conduit</t>
        </is>
      </c>
      <c r="T219" s="16" t="n">
        <v>96</v>
      </c>
      <c r="U219" s="16" t="n">
        <v>10</v>
      </c>
      <c r="V219" s="16">
        <f>ROUNDUP((T219+U219+2*'Read Me'!$B$13)*(1+'Read Me'!$B$12),-1)</f>
        <v/>
      </c>
      <c r="W219" s="16">
        <f>V219*N219*O219</f>
        <v/>
      </c>
      <c r="X219" s="12">
        <f>IF(LEFT(I219,2)="MV",2*N219*IF(L219="1/C",O219,1),0)</f>
        <v/>
      </c>
      <c r="Y219" s="12">
        <f>IF(OR(LEFT(K219,4)="LVAX",LEFT(K219,6)="MV15AX",LEFT(K219,4)="CTAX",LEFT(K219,2)="W|"),2*N219*O219,0)</f>
        <v/>
      </c>
      <c r="Z219" s="12" t="inlineStr">
        <is>
          <t>device-to-JB field wiring, one cable per device</t>
        </is>
      </c>
      <c r="AA219" s="12">
        <f>N219*O219</f>
        <v/>
      </c>
    </row>
    <row r="220">
      <c r="A220" s="12" t="inlineStr">
        <is>
          <t>A-C-0208</t>
        </is>
      </c>
      <c r="B220" s="12" t="inlineStr">
        <is>
          <t>A</t>
        </is>
      </c>
      <c r="C220" s="12" t="inlineStr">
        <is>
          <t>Power block</t>
        </is>
      </c>
      <c r="D220" s="12" t="inlineStr">
        <is>
          <t>Home run JB-GT1-SOL01 to the control / marshalling room</t>
        </is>
      </c>
      <c r="E220" s="12" t="inlineStr">
        <is>
          <t>R2A</t>
        </is>
      </c>
      <c r="F220" s="12" t="inlineStr">
        <is>
          <t>R2A: unit / HRSG electrical e-house (32 x 40 ft)</t>
        </is>
      </c>
      <c r="G220" s="12" t="inlineStr">
        <is>
          <t>JB-GT1-SOL01</t>
        </is>
      </c>
      <c r="H220" s="12" t="inlineStr">
        <is>
          <t>GT1: H-class gas turbine (60 Hz)</t>
        </is>
      </c>
      <c r="I220" s="12" t="inlineStr">
        <is>
          <t>Control</t>
        </is>
      </c>
      <c r="J220" s="12" t="inlineStr">
        <is>
          <t>ARMOR-X MC-HL 600 V control, Cu #14 AWG (Class I Div 2)</t>
        </is>
      </c>
      <c r="K220" s="12" t="inlineStr">
        <is>
          <t>CTAX|25/C|14</t>
        </is>
      </c>
      <c r="L220" s="12" t="inlineStr">
        <is>
          <t>25/C</t>
        </is>
      </c>
      <c r="M220" s="12" t="inlineStr">
        <is>
          <t>14</t>
        </is>
      </c>
      <c r="N220" s="12" t="n">
        <v>1</v>
      </c>
      <c r="O220" s="12" t="n">
        <v>1</v>
      </c>
      <c r="P220" s="12" t="n"/>
      <c r="Q220" s="12" t="n"/>
      <c r="R220" s="12" t="n"/>
      <c r="S220" s="12" t="inlineStr">
        <is>
          <t>Tray</t>
        </is>
      </c>
      <c r="T220" s="16" t="n">
        <v>154</v>
      </c>
      <c r="U220" s="16" t="n">
        <v>103</v>
      </c>
      <c r="V220" s="16">
        <f>ROUNDUP((T220+U220+2*'Read Me'!$B$13)*(1+'Read Me'!$B$12),-1)</f>
        <v/>
      </c>
      <c r="W220" s="16">
        <f>V220*N220*O220</f>
        <v/>
      </c>
      <c r="X220" s="12">
        <f>IF(LEFT(I220,2)="MV",2*N220*IF(L220="1/C",O220,1),0)</f>
        <v/>
      </c>
      <c r="Y220" s="12">
        <f>IF(OR(LEFT(K220,4)="LVAX",LEFT(K220,6)="MV15AX",LEFT(K220,4)="CTAX",LEFT(K220,2)="W|"),2*N220*O220,0)</f>
        <v/>
      </c>
      <c r="Z220" s="12" t="inlineStr"/>
      <c r="AA220" s="12">
        <f>N220*O220</f>
        <v/>
      </c>
    </row>
    <row r="221">
      <c r="A221" s="12" t="inlineStr">
        <is>
          <t>A-C-0209</t>
        </is>
      </c>
      <c r="B221" s="12" t="inlineStr">
        <is>
          <t>A</t>
        </is>
      </c>
      <c r="C221" s="12" t="inlineStr">
        <is>
          <t>Power block</t>
        </is>
      </c>
      <c r="D221" s="12" t="inlineStr">
        <is>
          <t>Solenoid to JB JB-GT1-SOL02: 10 x 2/C (field cables)</t>
        </is>
      </c>
      <c r="E221" s="12" t="inlineStr">
        <is>
          <t>GT1</t>
        </is>
      </c>
      <c r="F221" s="12" t="inlineStr">
        <is>
          <t>GT1: H-class gas turbine (60 Hz)</t>
        </is>
      </c>
      <c r="G221" s="12" t="inlineStr">
        <is>
          <t>JB-GT1-SOL02</t>
        </is>
      </c>
      <c r="H221" s="12" t="inlineStr">
        <is>
          <t>GT1: H-class gas turbine (60 Hz)</t>
        </is>
      </c>
      <c r="I221" s="12" t="inlineStr">
        <is>
          <t>Control</t>
        </is>
      </c>
      <c r="J221" s="12" t="inlineStr">
        <is>
          <t>ARMOR-X MC-HL 600 V control, Cu #14 AWG (Class I Div 2)</t>
        </is>
      </c>
      <c r="K221" s="12" t="inlineStr">
        <is>
          <t>CTAX|2/C|14</t>
        </is>
      </c>
      <c r="L221" s="12" t="inlineStr">
        <is>
          <t>2/C</t>
        </is>
      </c>
      <c r="M221" s="12" t="inlineStr">
        <is>
          <t>14</t>
        </is>
      </c>
      <c r="N221" s="12" t="n">
        <v>10</v>
      </c>
      <c r="O221" s="12" t="n">
        <v>1</v>
      </c>
      <c r="P221" s="12" t="n"/>
      <c r="Q221" s="12" t="n"/>
      <c r="R221" s="12" t="n"/>
      <c r="S221" s="12" t="inlineStr">
        <is>
          <t>Tray / conduit</t>
        </is>
      </c>
      <c r="T221" s="16" t="n">
        <v>96</v>
      </c>
      <c r="U221" s="16" t="n">
        <v>10</v>
      </c>
      <c r="V221" s="16">
        <f>ROUNDUP((T221+U221+2*'Read Me'!$B$13)*(1+'Read Me'!$B$12),-1)</f>
        <v/>
      </c>
      <c r="W221" s="16">
        <f>V221*N221*O221</f>
        <v/>
      </c>
      <c r="X221" s="12">
        <f>IF(LEFT(I221,2)="MV",2*N221*IF(L221="1/C",O221,1),0)</f>
        <v/>
      </c>
      <c r="Y221" s="12">
        <f>IF(OR(LEFT(K221,4)="LVAX",LEFT(K221,6)="MV15AX",LEFT(K221,4)="CTAX",LEFT(K221,2)="W|"),2*N221*O221,0)</f>
        <v/>
      </c>
      <c r="Z221" s="12" t="inlineStr">
        <is>
          <t>device-to-JB field wiring, one cable per device</t>
        </is>
      </c>
      <c r="AA221" s="12">
        <f>N221*O221</f>
        <v/>
      </c>
    </row>
    <row r="222">
      <c r="A222" s="12" t="inlineStr">
        <is>
          <t>A-C-0210</t>
        </is>
      </c>
      <c r="B222" s="12" t="inlineStr">
        <is>
          <t>A</t>
        </is>
      </c>
      <c r="C222" s="12" t="inlineStr">
        <is>
          <t>Power block</t>
        </is>
      </c>
      <c r="D222" s="12" t="inlineStr">
        <is>
          <t>Home run JB-GT1-SOL02 to the control / marshalling room</t>
        </is>
      </c>
      <c r="E222" s="12" t="inlineStr">
        <is>
          <t>R2A</t>
        </is>
      </c>
      <c r="F222" s="12" t="inlineStr">
        <is>
          <t>R2A: unit / HRSG electrical e-house (32 x 40 ft)</t>
        </is>
      </c>
      <c r="G222" s="12" t="inlineStr">
        <is>
          <t>JB-GT1-SOL02</t>
        </is>
      </c>
      <c r="H222" s="12" t="inlineStr">
        <is>
          <t>GT1: H-class gas turbine (60 Hz)</t>
        </is>
      </c>
      <c r="I222" s="12" t="inlineStr">
        <is>
          <t>Control</t>
        </is>
      </c>
      <c r="J222" s="12" t="inlineStr">
        <is>
          <t>ARMOR-X MC-HL 600 V control, Cu #14 AWG (Class I Div 2)</t>
        </is>
      </c>
      <c r="K222" s="12" t="inlineStr">
        <is>
          <t>CTAX|25/C|14</t>
        </is>
      </c>
      <c r="L222" s="12" t="inlineStr">
        <is>
          <t>25/C</t>
        </is>
      </c>
      <c r="M222" s="12" t="inlineStr">
        <is>
          <t>14</t>
        </is>
      </c>
      <c r="N222" s="12" t="n">
        <v>1</v>
      </c>
      <c r="O222" s="12" t="n">
        <v>1</v>
      </c>
      <c r="P222" s="12" t="n"/>
      <c r="Q222" s="12" t="n"/>
      <c r="R222" s="12" t="n"/>
      <c r="S222" s="12" t="inlineStr">
        <is>
          <t>Tray</t>
        </is>
      </c>
      <c r="T222" s="16" t="n">
        <v>154</v>
      </c>
      <c r="U222" s="16" t="n">
        <v>103</v>
      </c>
      <c r="V222" s="16">
        <f>ROUNDUP((T222+U222+2*'Read Me'!$B$13)*(1+'Read Me'!$B$12),-1)</f>
        <v/>
      </c>
      <c r="W222" s="16">
        <f>V222*N222*O222</f>
        <v/>
      </c>
      <c r="X222" s="12">
        <f>IF(LEFT(I222,2)="MV",2*N222*IF(L222="1/C",O222,1),0)</f>
        <v/>
      </c>
      <c r="Y222" s="12">
        <f>IF(OR(LEFT(K222,4)="LVAX",LEFT(K222,6)="MV15AX",LEFT(K222,4)="CTAX",LEFT(K222,2)="W|"),2*N222*O222,0)</f>
        <v/>
      </c>
      <c r="Z222" s="12" t="inlineStr"/>
      <c r="AA222" s="12">
        <f>N222*O222</f>
        <v/>
      </c>
    </row>
    <row r="223">
      <c r="A223" s="12" t="inlineStr">
        <is>
          <t>A-C-0211</t>
        </is>
      </c>
      <c r="B223" s="12" t="inlineStr">
        <is>
          <t>A</t>
        </is>
      </c>
      <c r="C223" s="12" t="inlineStr">
        <is>
          <t>Power block</t>
        </is>
      </c>
      <c r="D223" s="12" t="inlineStr">
        <is>
          <t>Solenoid to JB JB-GT1-SOL03: 10 x 2/C (field cables)</t>
        </is>
      </c>
      <c r="E223" s="12" t="inlineStr">
        <is>
          <t>GT1</t>
        </is>
      </c>
      <c r="F223" s="12" t="inlineStr">
        <is>
          <t>GT1: H-class gas turbine (60 Hz)</t>
        </is>
      </c>
      <c r="G223" s="12" t="inlineStr">
        <is>
          <t>JB-GT1-SOL03</t>
        </is>
      </c>
      <c r="H223" s="12" t="inlineStr">
        <is>
          <t>GT1: H-class gas turbine (60 Hz)</t>
        </is>
      </c>
      <c r="I223" s="12" t="inlineStr">
        <is>
          <t>Control</t>
        </is>
      </c>
      <c r="J223" s="12" t="inlineStr">
        <is>
          <t>ARMOR-X MC-HL 600 V control, Cu #14 AWG (Class I Div 2)</t>
        </is>
      </c>
      <c r="K223" s="12" t="inlineStr">
        <is>
          <t>CTAX|2/C|14</t>
        </is>
      </c>
      <c r="L223" s="12" t="inlineStr">
        <is>
          <t>2/C</t>
        </is>
      </c>
      <c r="M223" s="12" t="inlineStr">
        <is>
          <t>14</t>
        </is>
      </c>
      <c r="N223" s="12" t="n">
        <v>10</v>
      </c>
      <c r="O223" s="12" t="n">
        <v>1</v>
      </c>
      <c r="P223" s="12" t="n"/>
      <c r="Q223" s="12" t="n"/>
      <c r="R223" s="12" t="n"/>
      <c r="S223" s="12" t="inlineStr">
        <is>
          <t>Tray / conduit</t>
        </is>
      </c>
      <c r="T223" s="16" t="n">
        <v>96</v>
      </c>
      <c r="U223" s="16" t="n">
        <v>10</v>
      </c>
      <c r="V223" s="16">
        <f>ROUNDUP((T223+U223+2*'Read Me'!$B$13)*(1+'Read Me'!$B$12),-1)</f>
        <v/>
      </c>
      <c r="W223" s="16">
        <f>V223*N223*O223</f>
        <v/>
      </c>
      <c r="X223" s="12">
        <f>IF(LEFT(I223,2)="MV",2*N223*IF(L223="1/C",O223,1),0)</f>
        <v/>
      </c>
      <c r="Y223" s="12">
        <f>IF(OR(LEFT(K223,4)="LVAX",LEFT(K223,6)="MV15AX",LEFT(K223,4)="CTAX",LEFT(K223,2)="W|"),2*N223*O223,0)</f>
        <v/>
      </c>
      <c r="Z223" s="12" t="inlineStr">
        <is>
          <t>device-to-JB field wiring, one cable per device</t>
        </is>
      </c>
      <c r="AA223" s="12">
        <f>N223*O223</f>
        <v/>
      </c>
    </row>
    <row r="224">
      <c r="A224" s="12" t="inlineStr">
        <is>
          <t>A-C-0212</t>
        </is>
      </c>
      <c r="B224" s="12" t="inlineStr">
        <is>
          <t>A</t>
        </is>
      </c>
      <c r="C224" s="12" t="inlineStr">
        <is>
          <t>Power block</t>
        </is>
      </c>
      <c r="D224" s="12" t="inlineStr">
        <is>
          <t>Home run JB-GT1-SOL03 to the control / marshalling room</t>
        </is>
      </c>
      <c r="E224" s="12" t="inlineStr">
        <is>
          <t>R2A</t>
        </is>
      </c>
      <c r="F224" s="12" t="inlineStr">
        <is>
          <t>R2A: unit / HRSG electrical e-house (32 x 40 ft)</t>
        </is>
      </c>
      <c r="G224" s="12" t="inlineStr">
        <is>
          <t>JB-GT1-SOL03</t>
        </is>
      </c>
      <c r="H224" s="12" t="inlineStr">
        <is>
          <t>GT1: H-class gas turbine (60 Hz)</t>
        </is>
      </c>
      <c r="I224" s="12" t="inlineStr">
        <is>
          <t>Control</t>
        </is>
      </c>
      <c r="J224" s="12" t="inlineStr">
        <is>
          <t>ARMOR-X MC-HL 600 V control, Cu #14 AWG (Class I Div 2)</t>
        </is>
      </c>
      <c r="K224" s="12" t="inlineStr">
        <is>
          <t>CTAX|25/C|14</t>
        </is>
      </c>
      <c r="L224" s="12" t="inlineStr">
        <is>
          <t>25/C</t>
        </is>
      </c>
      <c r="M224" s="12" t="inlineStr">
        <is>
          <t>14</t>
        </is>
      </c>
      <c r="N224" s="12" t="n">
        <v>1</v>
      </c>
      <c r="O224" s="12" t="n">
        <v>1</v>
      </c>
      <c r="P224" s="12" t="n"/>
      <c r="Q224" s="12" t="n"/>
      <c r="R224" s="12" t="n"/>
      <c r="S224" s="12" t="inlineStr">
        <is>
          <t>Tray</t>
        </is>
      </c>
      <c r="T224" s="16" t="n">
        <v>154</v>
      </c>
      <c r="U224" s="16" t="n">
        <v>103</v>
      </c>
      <c r="V224" s="16">
        <f>ROUNDUP((T224+U224+2*'Read Me'!$B$13)*(1+'Read Me'!$B$12),-1)</f>
        <v/>
      </c>
      <c r="W224" s="16">
        <f>V224*N224*O224</f>
        <v/>
      </c>
      <c r="X224" s="12">
        <f>IF(LEFT(I224,2)="MV",2*N224*IF(L224="1/C",O224,1),0)</f>
        <v/>
      </c>
      <c r="Y224" s="12">
        <f>IF(OR(LEFT(K224,4)="LVAX",LEFT(K224,6)="MV15AX",LEFT(K224,4)="CTAX",LEFT(K224,2)="W|"),2*N224*O224,0)</f>
        <v/>
      </c>
      <c r="Z224" s="12" t="inlineStr"/>
      <c r="AA224" s="12">
        <f>N224*O224</f>
        <v/>
      </c>
    </row>
    <row r="225">
      <c r="A225" s="12" t="inlineStr">
        <is>
          <t>A-C-0213</t>
        </is>
      </c>
      <c r="B225" s="12" t="inlineStr">
        <is>
          <t>A</t>
        </is>
      </c>
      <c r="C225" s="12" t="inlineStr">
        <is>
          <t>Power block</t>
        </is>
      </c>
      <c r="D225" s="12" t="inlineStr">
        <is>
          <t>Motor 1 of 12: control / local station</t>
        </is>
      </c>
      <c r="E225" s="12" t="inlineStr">
        <is>
          <t>MCC-GT2</t>
        </is>
      </c>
      <c r="F225" s="12" t="inlineStr">
        <is>
          <t>R1 MCC-GT2</t>
        </is>
      </c>
      <c r="G225" s="12" t="inlineStr">
        <is>
          <t>GT2 aux</t>
        </is>
      </c>
      <c r="H225" s="12" t="inlineStr">
        <is>
          <t>GT2 aux: lube oil, hydraulics, enclosure fans</t>
        </is>
      </c>
      <c r="I225" s="12" t="inlineStr">
        <is>
          <t>Control</t>
        </is>
      </c>
      <c r="J225" s="12" t="inlineStr">
        <is>
          <t>ARMOR-X MC-HL 600 V control, Cu #14 AWG (Class I Div 2)</t>
        </is>
      </c>
      <c r="K225" s="12" t="inlineStr">
        <is>
          <t>CTAX|7/C|14</t>
        </is>
      </c>
      <c r="L225" s="12" t="inlineStr">
        <is>
          <t>7/C</t>
        </is>
      </c>
      <c r="M225" s="12" t="inlineStr">
        <is>
          <t>14</t>
        </is>
      </c>
      <c r="N225" s="12" t="n">
        <v>1</v>
      </c>
      <c r="O225" s="12" t="n">
        <v>1</v>
      </c>
      <c r="P225" s="12" t="n"/>
      <c r="Q225" s="12" t="n"/>
      <c r="R225" s="12" t="n"/>
      <c r="S225" s="12" t="inlineStr">
        <is>
          <t>Tray</t>
        </is>
      </c>
      <c r="T225" s="16" t="n">
        <v>482</v>
      </c>
      <c r="U225" s="16" t="n">
        <v>150</v>
      </c>
      <c r="V225" s="16">
        <f>ROUNDUP((T225+U225+2*'Read Me'!$B$13)*(1+'Read Me'!$B$12),-1)</f>
        <v/>
      </c>
      <c r="W225" s="16">
        <f>V225*N225*O225</f>
        <v/>
      </c>
      <c r="X225" s="12">
        <f>IF(LEFT(I225,2)="MV",2*N225*IF(L225="1/C",O225,1),0)</f>
        <v/>
      </c>
      <c r="Y225" s="12">
        <f>IF(OR(LEFT(K225,4)="LVAX",LEFT(K225,6)="MV15AX",LEFT(K225,4)="CTAX",LEFT(K225,2)="W|"),2*N225*O225,0)</f>
        <v/>
      </c>
      <c r="Z225" s="12" t="inlineStr"/>
      <c r="AA225" s="12">
        <f>N225*O225</f>
        <v/>
      </c>
    </row>
    <row r="226">
      <c r="A226" s="12" t="inlineStr">
        <is>
          <t>A-C-0214</t>
        </is>
      </c>
      <c r="B226" s="12" t="inlineStr">
        <is>
          <t>A</t>
        </is>
      </c>
      <c r="C226" s="12" t="inlineStr">
        <is>
          <t>Power block</t>
        </is>
      </c>
      <c r="D226" s="12" t="inlineStr">
        <is>
          <t>Motor 2 of 12: control / local station</t>
        </is>
      </c>
      <c r="E226" s="12" t="inlineStr">
        <is>
          <t>MCC-GT2</t>
        </is>
      </c>
      <c r="F226" s="12" t="inlineStr">
        <is>
          <t>R1 MCC-GT2</t>
        </is>
      </c>
      <c r="G226" s="12" t="inlineStr">
        <is>
          <t>GT2 aux</t>
        </is>
      </c>
      <c r="H226" s="12" t="inlineStr">
        <is>
          <t>GT2 aux: lube oil, hydraulics, enclosure fans</t>
        </is>
      </c>
      <c r="I226" s="12" t="inlineStr">
        <is>
          <t>Control</t>
        </is>
      </c>
      <c r="J226" s="12" t="inlineStr">
        <is>
          <t>ARMOR-X MC-HL 600 V control, Cu #14 AWG (Class I Div 2)</t>
        </is>
      </c>
      <c r="K226" s="12" t="inlineStr">
        <is>
          <t>CTAX|7/C|14</t>
        </is>
      </c>
      <c r="L226" s="12" t="inlineStr">
        <is>
          <t>7/C</t>
        </is>
      </c>
      <c r="M226" s="12" t="inlineStr">
        <is>
          <t>14</t>
        </is>
      </c>
      <c r="N226" s="12" t="n">
        <v>1</v>
      </c>
      <c r="O226" s="12" t="n">
        <v>1</v>
      </c>
      <c r="P226" s="12" t="n"/>
      <c r="Q226" s="12" t="n"/>
      <c r="R226" s="12" t="n"/>
      <c r="S226" s="12" t="inlineStr">
        <is>
          <t>Tray</t>
        </is>
      </c>
      <c r="T226" s="16" t="n">
        <v>482</v>
      </c>
      <c r="U226" s="16" t="n">
        <v>150</v>
      </c>
      <c r="V226" s="16">
        <f>ROUNDUP((T226+U226+2*'Read Me'!$B$13)*(1+'Read Me'!$B$12),-1)</f>
        <v/>
      </c>
      <c r="W226" s="16">
        <f>V226*N226*O226</f>
        <v/>
      </c>
      <c r="X226" s="12">
        <f>IF(LEFT(I226,2)="MV",2*N226*IF(L226="1/C",O226,1),0)</f>
        <v/>
      </c>
      <c r="Y226" s="12">
        <f>IF(OR(LEFT(K226,4)="LVAX",LEFT(K226,6)="MV15AX",LEFT(K226,4)="CTAX",LEFT(K226,2)="W|"),2*N226*O226,0)</f>
        <v/>
      </c>
      <c r="Z226" s="12" t="inlineStr"/>
      <c r="AA226" s="12">
        <f>N226*O226</f>
        <v/>
      </c>
    </row>
    <row r="227">
      <c r="A227" s="12" t="inlineStr">
        <is>
          <t>A-C-0215</t>
        </is>
      </c>
      <c r="B227" s="12" t="inlineStr">
        <is>
          <t>A</t>
        </is>
      </c>
      <c r="C227" s="12" t="inlineStr">
        <is>
          <t>Power block</t>
        </is>
      </c>
      <c r="D227" s="12" t="inlineStr">
        <is>
          <t>Motor 3 of 12: control / local station</t>
        </is>
      </c>
      <c r="E227" s="12" t="inlineStr">
        <is>
          <t>MCC-GT2</t>
        </is>
      </c>
      <c r="F227" s="12" t="inlineStr">
        <is>
          <t>R1 MCC-GT2</t>
        </is>
      </c>
      <c r="G227" s="12" t="inlineStr">
        <is>
          <t>GT2 aux</t>
        </is>
      </c>
      <c r="H227" s="12" t="inlineStr">
        <is>
          <t>GT2 aux: lube oil, hydraulics, enclosure fans</t>
        </is>
      </c>
      <c r="I227" s="12" t="inlineStr">
        <is>
          <t>Control</t>
        </is>
      </c>
      <c r="J227" s="12" t="inlineStr">
        <is>
          <t>ARMOR-X MC-HL 600 V control, Cu #14 AWG (Class I Div 2)</t>
        </is>
      </c>
      <c r="K227" s="12" t="inlineStr">
        <is>
          <t>CTAX|7/C|14</t>
        </is>
      </c>
      <c r="L227" s="12" t="inlineStr">
        <is>
          <t>7/C</t>
        </is>
      </c>
      <c r="M227" s="12" t="inlineStr">
        <is>
          <t>14</t>
        </is>
      </c>
      <c r="N227" s="12" t="n">
        <v>1</v>
      </c>
      <c r="O227" s="12" t="n">
        <v>1</v>
      </c>
      <c r="P227" s="12" t="n"/>
      <c r="Q227" s="12" t="n"/>
      <c r="R227" s="12" t="n"/>
      <c r="S227" s="12" t="inlineStr">
        <is>
          <t>Tray</t>
        </is>
      </c>
      <c r="T227" s="16" t="n">
        <v>482</v>
      </c>
      <c r="U227" s="16" t="n">
        <v>150</v>
      </c>
      <c r="V227" s="16">
        <f>ROUNDUP((T227+U227+2*'Read Me'!$B$13)*(1+'Read Me'!$B$12),-1)</f>
        <v/>
      </c>
      <c r="W227" s="16">
        <f>V227*N227*O227</f>
        <v/>
      </c>
      <c r="X227" s="12">
        <f>IF(LEFT(I227,2)="MV",2*N227*IF(L227="1/C",O227,1),0)</f>
        <v/>
      </c>
      <c r="Y227" s="12">
        <f>IF(OR(LEFT(K227,4)="LVAX",LEFT(K227,6)="MV15AX",LEFT(K227,4)="CTAX",LEFT(K227,2)="W|"),2*N227*O227,0)</f>
        <v/>
      </c>
      <c r="Z227" s="12" t="inlineStr"/>
      <c r="AA227" s="12">
        <f>N227*O227</f>
        <v/>
      </c>
    </row>
    <row r="228">
      <c r="A228" s="12" t="inlineStr">
        <is>
          <t>A-C-0216</t>
        </is>
      </c>
      <c r="B228" s="12" t="inlineStr">
        <is>
          <t>A</t>
        </is>
      </c>
      <c r="C228" s="12" t="inlineStr">
        <is>
          <t>Power block</t>
        </is>
      </c>
      <c r="D228" s="12" t="inlineStr">
        <is>
          <t>Motor 4 of 12: control / local station</t>
        </is>
      </c>
      <c r="E228" s="12" t="inlineStr">
        <is>
          <t>MCC-GT2</t>
        </is>
      </c>
      <c r="F228" s="12" t="inlineStr">
        <is>
          <t>R1 MCC-GT2</t>
        </is>
      </c>
      <c r="G228" s="12" t="inlineStr">
        <is>
          <t>GT2 aux</t>
        </is>
      </c>
      <c r="H228" s="12" t="inlineStr">
        <is>
          <t>GT2 aux: lube oil, hydraulics, enclosure fans</t>
        </is>
      </c>
      <c r="I228" s="12" t="inlineStr">
        <is>
          <t>Control</t>
        </is>
      </c>
      <c r="J228" s="12" t="inlineStr">
        <is>
          <t>ARMOR-X MC-HL 600 V control, Cu #14 AWG (Class I Div 2)</t>
        </is>
      </c>
      <c r="K228" s="12" t="inlineStr">
        <is>
          <t>CTAX|7/C|14</t>
        </is>
      </c>
      <c r="L228" s="12" t="inlineStr">
        <is>
          <t>7/C</t>
        </is>
      </c>
      <c r="M228" s="12" t="inlineStr">
        <is>
          <t>14</t>
        </is>
      </c>
      <c r="N228" s="12" t="n">
        <v>1</v>
      </c>
      <c r="O228" s="12" t="n">
        <v>1</v>
      </c>
      <c r="P228" s="12" t="n"/>
      <c r="Q228" s="12" t="n"/>
      <c r="R228" s="12" t="n"/>
      <c r="S228" s="12" t="inlineStr">
        <is>
          <t>Tray</t>
        </is>
      </c>
      <c r="T228" s="16" t="n">
        <v>482</v>
      </c>
      <c r="U228" s="16" t="n">
        <v>150</v>
      </c>
      <c r="V228" s="16">
        <f>ROUNDUP((T228+U228+2*'Read Me'!$B$13)*(1+'Read Me'!$B$12),-1)</f>
        <v/>
      </c>
      <c r="W228" s="16">
        <f>V228*N228*O228</f>
        <v/>
      </c>
      <c r="X228" s="12">
        <f>IF(LEFT(I228,2)="MV",2*N228*IF(L228="1/C",O228,1),0)</f>
        <v/>
      </c>
      <c r="Y228" s="12">
        <f>IF(OR(LEFT(K228,4)="LVAX",LEFT(K228,6)="MV15AX",LEFT(K228,4)="CTAX",LEFT(K228,2)="W|"),2*N228*O228,0)</f>
        <v/>
      </c>
      <c r="Z228" s="12" t="inlineStr"/>
      <c r="AA228" s="12">
        <f>N228*O228</f>
        <v/>
      </c>
    </row>
    <row r="229">
      <c r="A229" s="12" t="inlineStr">
        <is>
          <t>A-C-0217</t>
        </is>
      </c>
      <c r="B229" s="12" t="inlineStr">
        <is>
          <t>A</t>
        </is>
      </c>
      <c r="C229" s="12" t="inlineStr">
        <is>
          <t>Power block</t>
        </is>
      </c>
      <c r="D229" s="12" t="inlineStr">
        <is>
          <t>Motor 5 of 12: control / local station</t>
        </is>
      </c>
      <c r="E229" s="12" t="inlineStr">
        <is>
          <t>MCC-GT2</t>
        </is>
      </c>
      <c r="F229" s="12" t="inlineStr">
        <is>
          <t>R1 MCC-GT2</t>
        </is>
      </c>
      <c r="G229" s="12" t="inlineStr">
        <is>
          <t>GT2 aux</t>
        </is>
      </c>
      <c r="H229" s="12" t="inlineStr">
        <is>
          <t>GT2 aux: lube oil, hydraulics, enclosure fans</t>
        </is>
      </c>
      <c r="I229" s="12" t="inlineStr">
        <is>
          <t>Control</t>
        </is>
      </c>
      <c r="J229" s="12" t="inlineStr">
        <is>
          <t>ARMOR-X MC-HL 600 V control, Cu #14 AWG (Class I Div 2)</t>
        </is>
      </c>
      <c r="K229" s="12" t="inlineStr">
        <is>
          <t>CTAX|7/C|14</t>
        </is>
      </c>
      <c r="L229" s="12" t="inlineStr">
        <is>
          <t>7/C</t>
        </is>
      </c>
      <c r="M229" s="12" t="inlineStr">
        <is>
          <t>14</t>
        </is>
      </c>
      <c r="N229" s="12" t="n">
        <v>1</v>
      </c>
      <c r="O229" s="12" t="n">
        <v>1</v>
      </c>
      <c r="P229" s="12" t="n"/>
      <c r="Q229" s="12" t="n"/>
      <c r="R229" s="12" t="n"/>
      <c r="S229" s="12" t="inlineStr">
        <is>
          <t>Tray</t>
        </is>
      </c>
      <c r="T229" s="16" t="n">
        <v>482</v>
      </c>
      <c r="U229" s="16" t="n">
        <v>150</v>
      </c>
      <c r="V229" s="16">
        <f>ROUNDUP((T229+U229+2*'Read Me'!$B$13)*(1+'Read Me'!$B$12),-1)</f>
        <v/>
      </c>
      <c r="W229" s="16">
        <f>V229*N229*O229</f>
        <v/>
      </c>
      <c r="X229" s="12">
        <f>IF(LEFT(I229,2)="MV",2*N229*IF(L229="1/C",O229,1),0)</f>
        <v/>
      </c>
      <c r="Y229" s="12">
        <f>IF(OR(LEFT(K229,4)="LVAX",LEFT(K229,6)="MV15AX",LEFT(K229,4)="CTAX",LEFT(K229,2)="W|"),2*N229*O229,0)</f>
        <v/>
      </c>
      <c r="Z229" s="12" t="inlineStr"/>
      <c r="AA229" s="12">
        <f>N229*O229</f>
        <v/>
      </c>
    </row>
    <row r="230">
      <c r="A230" s="12" t="inlineStr">
        <is>
          <t>A-C-0218</t>
        </is>
      </c>
      <c r="B230" s="12" t="inlineStr">
        <is>
          <t>A</t>
        </is>
      </c>
      <c r="C230" s="12" t="inlineStr">
        <is>
          <t>Power block</t>
        </is>
      </c>
      <c r="D230" s="12" t="inlineStr">
        <is>
          <t>Motor 6 of 12: control / local station</t>
        </is>
      </c>
      <c r="E230" s="12" t="inlineStr">
        <is>
          <t>MCC-GT2</t>
        </is>
      </c>
      <c r="F230" s="12" t="inlineStr">
        <is>
          <t>R1 MCC-GT2</t>
        </is>
      </c>
      <c r="G230" s="12" t="inlineStr">
        <is>
          <t>GT2 aux</t>
        </is>
      </c>
      <c r="H230" s="12" t="inlineStr">
        <is>
          <t>GT2 aux: lube oil, hydraulics, enclosure fans</t>
        </is>
      </c>
      <c r="I230" s="12" t="inlineStr">
        <is>
          <t>Control</t>
        </is>
      </c>
      <c r="J230" s="12" t="inlineStr">
        <is>
          <t>ARMOR-X MC-HL 600 V control, Cu #14 AWG (Class I Div 2)</t>
        </is>
      </c>
      <c r="K230" s="12" t="inlineStr">
        <is>
          <t>CTAX|7/C|14</t>
        </is>
      </c>
      <c r="L230" s="12" t="inlineStr">
        <is>
          <t>7/C</t>
        </is>
      </c>
      <c r="M230" s="12" t="inlineStr">
        <is>
          <t>14</t>
        </is>
      </c>
      <c r="N230" s="12" t="n">
        <v>1</v>
      </c>
      <c r="O230" s="12" t="n">
        <v>1</v>
      </c>
      <c r="P230" s="12" t="n"/>
      <c r="Q230" s="12" t="n"/>
      <c r="R230" s="12" t="n"/>
      <c r="S230" s="12" t="inlineStr">
        <is>
          <t>Tray</t>
        </is>
      </c>
      <c r="T230" s="16" t="n">
        <v>482</v>
      </c>
      <c r="U230" s="16" t="n">
        <v>150</v>
      </c>
      <c r="V230" s="16">
        <f>ROUNDUP((T230+U230+2*'Read Me'!$B$13)*(1+'Read Me'!$B$12),-1)</f>
        <v/>
      </c>
      <c r="W230" s="16">
        <f>V230*N230*O230</f>
        <v/>
      </c>
      <c r="X230" s="12">
        <f>IF(LEFT(I230,2)="MV",2*N230*IF(L230="1/C",O230,1),0)</f>
        <v/>
      </c>
      <c r="Y230" s="12">
        <f>IF(OR(LEFT(K230,4)="LVAX",LEFT(K230,6)="MV15AX",LEFT(K230,4)="CTAX",LEFT(K230,2)="W|"),2*N230*O230,0)</f>
        <v/>
      </c>
      <c r="Z230" s="12" t="inlineStr"/>
      <c r="AA230" s="12">
        <f>N230*O230</f>
        <v/>
      </c>
    </row>
    <row r="231">
      <c r="A231" s="12" t="inlineStr">
        <is>
          <t>A-C-0219</t>
        </is>
      </c>
      <c r="B231" s="12" t="inlineStr">
        <is>
          <t>A</t>
        </is>
      </c>
      <c r="C231" s="12" t="inlineStr">
        <is>
          <t>Power block</t>
        </is>
      </c>
      <c r="D231" s="12" t="inlineStr">
        <is>
          <t>Motor 7 of 12: control / local station</t>
        </is>
      </c>
      <c r="E231" s="12" t="inlineStr">
        <is>
          <t>MCC-GT2</t>
        </is>
      </c>
      <c r="F231" s="12" t="inlineStr">
        <is>
          <t>R1 MCC-GT2</t>
        </is>
      </c>
      <c r="G231" s="12" t="inlineStr">
        <is>
          <t>GT2 aux</t>
        </is>
      </c>
      <c r="H231" s="12" t="inlineStr">
        <is>
          <t>GT2 aux: lube oil, hydraulics, enclosure fans</t>
        </is>
      </c>
      <c r="I231" s="12" t="inlineStr">
        <is>
          <t>Control</t>
        </is>
      </c>
      <c r="J231" s="12" t="inlineStr">
        <is>
          <t>ARMOR-X MC-HL 600 V control, Cu #14 AWG (Class I Div 2)</t>
        </is>
      </c>
      <c r="K231" s="12" t="inlineStr">
        <is>
          <t>CTAX|7/C|14</t>
        </is>
      </c>
      <c r="L231" s="12" t="inlineStr">
        <is>
          <t>7/C</t>
        </is>
      </c>
      <c r="M231" s="12" t="inlineStr">
        <is>
          <t>14</t>
        </is>
      </c>
      <c r="N231" s="12" t="n">
        <v>1</v>
      </c>
      <c r="O231" s="12" t="n">
        <v>1</v>
      </c>
      <c r="P231" s="12" t="n"/>
      <c r="Q231" s="12" t="n"/>
      <c r="R231" s="12" t="n"/>
      <c r="S231" s="12" t="inlineStr">
        <is>
          <t>Tray</t>
        </is>
      </c>
      <c r="T231" s="16" t="n">
        <v>482</v>
      </c>
      <c r="U231" s="16" t="n">
        <v>150</v>
      </c>
      <c r="V231" s="16">
        <f>ROUNDUP((T231+U231+2*'Read Me'!$B$13)*(1+'Read Me'!$B$12),-1)</f>
        <v/>
      </c>
      <c r="W231" s="16">
        <f>V231*N231*O231</f>
        <v/>
      </c>
      <c r="X231" s="12">
        <f>IF(LEFT(I231,2)="MV",2*N231*IF(L231="1/C",O231,1),0)</f>
        <v/>
      </c>
      <c r="Y231" s="12">
        <f>IF(OR(LEFT(K231,4)="LVAX",LEFT(K231,6)="MV15AX",LEFT(K231,4)="CTAX",LEFT(K231,2)="W|"),2*N231*O231,0)</f>
        <v/>
      </c>
      <c r="Z231" s="12" t="inlineStr"/>
      <c r="AA231" s="12">
        <f>N231*O231</f>
        <v/>
      </c>
    </row>
    <row r="232">
      <c r="A232" s="12" t="inlineStr">
        <is>
          <t>A-C-0220</t>
        </is>
      </c>
      <c r="B232" s="12" t="inlineStr">
        <is>
          <t>A</t>
        </is>
      </c>
      <c r="C232" s="12" t="inlineStr">
        <is>
          <t>Power block</t>
        </is>
      </c>
      <c r="D232" s="12" t="inlineStr">
        <is>
          <t>Motor 8 of 12: control / local station</t>
        </is>
      </c>
      <c r="E232" s="12" t="inlineStr">
        <is>
          <t>MCC-GT2</t>
        </is>
      </c>
      <c r="F232" s="12" t="inlineStr">
        <is>
          <t>R1 MCC-GT2</t>
        </is>
      </c>
      <c r="G232" s="12" t="inlineStr">
        <is>
          <t>GT2 aux</t>
        </is>
      </c>
      <c r="H232" s="12" t="inlineStr">
        <is>
          <t>GT2 aux: lube oil, hydraulics, enclosure fans</t>
        </is>
      </c>
      <c r="I232" s="12" t="inlineStr">
        <is>
          <t>Control</t>
        </is>
      </c>
      <c r="J232" s="12" t="inlineStr">
        <is>
          <t>ARMOR-X MC-HL 600 V control, Cu #14 AWG (Class I Div 2)</t>
        </is>
      </c>
      <c r="K232" s="12" t="inlineStr">
        <is>
          <t>CTAX|7/C|14</t>
        </is>
      </c>
      <c r="L232" s="12" t="inlineStr">
        <is>
          <t>7/C</t>
        </is>
      </c>
      <c r="M232" s="12" t="inlineStr">
        <is>
          <t>14</t>
        </is>
      </c>
      <c r="N232" s="12" t="n">
        <v>1</v>
      </c>
      <c r="O232" s="12" t="n">
        <v>1</v>
      </c>
      <c r="P232" s="12" t="n"/>
      <c r="Q232" s="12" t="n"/>
      <c r="R232" s="12" t="n"/>
      <c r="S232" s="12" t="inlineStr">
        <is>
          <t>Tray</t>
        </is>
      </c>
      <c r="T232" s="16" t="n">
        <v>482</v>
      </c>
      <c r="U232" s="16" t="n">
        <v>150</v>
      </c>
      <c r="V232" s="16">
        <f>ROUNDUP((T232+U232+2*'Read Me'!$B$13)*(1+'Read Me'!$B$12),-1)</f>
        <v/>
      </c>
      <c r="W232" s="16">
        <f>V232*N232*O232</f>
        <v/>
      </c>
      <c r="X232" s="12">
        <f>IF(LEFT(I232,2)="MV",2*N232*IF(L232="1/C",O232,1),0)</f>
        <v/>
      </c>
      <c r="Y232" s="12">
        <f>IF(OR(LEFT(K232,4)="LVAX",LEFT(K232,6)="MV15AX",LEFT(K232,4)="CTAX",LEFT(K232,2)="W|"),2*N232*O232,0)</f>
        <v/>
      </c>
      <c r="Z232" s="12" t="inlineStr"/>
      <c r="AA232" s="12">
        <f>N232*O232</f>
        <v/>
      </c>
    </row>
    <row r="233">
      <c r="A233" s="12" t="inlineStr">
        <is>
          <t>A-C-0221</t>
        </is>
      </c>
      <c r="B233" s="12" t="inlineStr">
        <is>
          <t>A</t>
        </is>
      </c>
      <c r="C233" s="12" t="inlineStr">
        <is>
          <t>Power block</t>
        </is>
      </c>
      <c r="D233" s="12" t="inlineStr">
        <is>
          <t>Motor 9 of 12: control / local station</t>
        </is>
      </c>
      <c r="E233" s="12" t="inlineStr">
        <is>
          <t>MCC-GT2</t>
        </is>
      </c>
      <c r="F233" s="12" t="inlineStr">
        <is>
          <t>R1 MCC-GT2</t>
        </is>
      </c>
      <c r="G233" s="12" t="inlineStr">
        <is>
          <t>GT2 aux</t>
        </is>
      </c>
      <c r="H233" s="12" t="inlineStr">
        <is>
          <t>GT2 aux: lube oil, hydraulics, enclosure fans</t>
        </is>
      </c>
      <c r="I233" s="12" t="inlineStr">
        <is>
          <t>Control</t>
        </is>
      </c>
      <c r="J233" s="12" t="inlineStr">
        <is>
          <t>ARMOR-X MC-HL 600 V control, Cu #14 AWG (Class I Div 2)</t>
        </is>
      </c>
      <c r="K233" s="12" t="inlineStr">
        <is>
          <t>CTAX|7/C|14</t>
        </is>
      </c>
      <c r="L233" s="12" t="inlineStr">
        <is>
          <t>7/C</t>
        </is>
      </c>
      <c r="M233" s="12" t="inlineStr">
        <is>
          <t>14</t>
        </is>
      </c>
      <c r="N233" s="12" t="n">
        <v>1</v>
      </c>
      <c r="O233" s="12" t="n">
        <v>1</v>
      </c>
      <c r="P233" s="12" t="n"/>
      <c r="Q233" s="12" t="n"/>
      <c r="R233" s="12" t="n"/>
      <c r="S233" s="12" t="inlineStr">
        <is>
          <t>Tray</t>
        </is>
      </c>
      <c r="T233" s="16" t="n">
        <v>482</v>
      </c>
      <c r="U233" s="16" t="n">
        <v>150</v>
      </c>
      <c r="V233" s="16">
        <f>ROUNDUP((T233+U233+2*'Read Me'!$B$13)*(1+'Read Me'!$B$12),-1)</f>
        <v/>
      </c>
      <c r="W233" s="16">
        <f>V233*N233*O233</f>
        <v/>
      </c>
      <c r="X233" s="12">
        <f>IF(LEFT(I233,2)="MV",2*N233*IF(L233="1/C",O233,1),0)</f>
        <v/>
      </c>
      <c r="Y233" s="12">
        <f>IF(OR(LEFT(K233,4)="LVAX",LEFT(K233,6)="MV15AX",LEFT(K233,4)="CTAX",LEFT(K233,2)="W|"),2*N233*O233,0)</f>
        <v/>
      </c>
      <c r="Z233" s="12" t="inlineStr"/>
      <c r="AA233" s="12">
        <f>N233*O233</f>
        <v/>
      </c>
    </row>
    <row r="234">
      <c r="A234" s="12" t="inlineStr">
        <is>
          <t>A-C-0222</t>
        </is>
      </c>
      <c r="B234" s="12" t="inlineStr">
        <is>
          <t>A</t>
        </is>
      </c>
      <c r="C234" s="12" t="inlineStr">
        <is>
          <t>Power block</t>
        </is>
      </c>
      <c r="D234" s="12" t="inlineStr">
        <is>
          <t>Motor 10 of 12: control / local station</t>
        </is>
      </c>
      <c r="E234" s="12" t="inlineStr">
        <is>
          <t>MCC-GT2</t>
        </is>
      </c>
      <c r="F234" s="12" t="inlineStr">
        <is>
          <t>R1 MCC-GT2</t>
        </is>
      </c>
      <c r="G234" s="12" t="inlineStr">
        <is>
          <t>GT2 aux</t>
        </is>
      </c>
      <c r="H234" s="12" t="inlineStr">
        <is>
          <t>GT2 aux: lube oil, hydraulics, enclosure fans</t>
        </is>
      </c>
      <c r="I234" s="12" t="inlineStr">
        <is>
          <t>Control</t>
        </is>
      </c>
      <c r="J234" s="12" t="inlineStr">
        <is>
          <t>ARMOR-X MC-HL 600 V control, Cu #14 AWG (Class I Div 2)</t>
        </is>
      </c>
      <c r="K234" s="12" t="inlineStr">
        <is>
          <t>CTAX|7/C|14</t>
        </is>
      </c>
      <c r="L234" s="12" t="inlineStr">
        <is>
          <t>7/C</t>
        </is>
      </c>
      <c r="M234" s="12" t="inlineStr">
        <is>
          <t>14</t>
        </is>
      </c>
      <c r="N234" s="12" t="n">
        <v>1</v>
      </c>
      <c r="O234" s="12" t="n">
        <v>1</v>
      </c>
      <c r="P234" s="12" t="n"/>
      <c r="Q234" s="12" t="n"/>
      <c r="R234" s="12" t="n"/>
      <c r="S234" s="12" t="inlineStr">
        <is>
          <t>Tray</t>
        </is>
      </c>
      <c r="T234" s="16" t="n">
        <v>482</v>
      </c>
      <c r="U234" s="16" t="n">
        <v>150</v>
      </c>
      <c r="V234" s="16">
        <f>ROUNDUP((T234+U234+2*'Read Me'!$B$13)*(1+'Read Me'!$B$12),-1)</f>
        <v/>
      </c>
      <c r="W234" s="16">
        <f>V234*N234*O234</f>
        <v/>
      </c>
      <c r="X234" s="12">
        <f>IF(LEFT(I234,2)="MV",2*N234*IF(L234="1/C",O234,1),0)</f>
        <v/>
      </c>
      <c r="Y234" s="12">
        <f>IF(OR(LEFT(K234,4)="LVAX",LEFT(K234,6)="MV15AX",LEFT(K234,4)="CTAX",LEFT(K234,2)="W|"),2*N234*O234,0)</f>
        <v/>
      </c>
      <c r="Z234" s="12" t="inlineStr"/>
      <c r="AA234" s="12">
        <f>N234*O234</f>
        <v/>
      </c>
    </row>
    <row r="235">
      <c r="A235" s="12" t="inlineStr">
        <is>
          <t>A-C-0223</t>
        </is>
      </c>
      <c r="B235" s="12" t="inlineStr">
        <is>
          <t>A</t>
        </is>
      </c>
      <c r="C235" s="12" t="inlineStr">
        <is>
          <t>Power block</t>
        </is>
      </c>
      <c r="D235" s="12" t="inlineStr">
        <is>
          <t>Motor 11 of 12: control / local station</t>
        </is>
      </c>
      <c r="E235" s="12" t="inlineStr">
        <is>
          <t>MCC-GT2</t>
        </is>
      </c>
      <c r="F235" s="12" t="inlineStr">
        <is>
          <t>R1 MCC-GT2</t>
        </is>
      </c>
      <c r="G235" s="12" t="inlineStr">
        <is>
          <t>GT2 aux</t>
        </is>
      </c>
      <c r="H235" s="12" t="inlineStr">
        <is>
          <t>GT2 aux: lube oil, hydraulics, enclosure fans</t>
        </is>
      </c>
      <c r="I235" s="12" t="inlineStr">
        <is>
          <t>Control</t>
        </is>
      </c>
      <c r="J235" s="12" t="inlineStr">
        <is>
          <t>ARMOR-X MC-HL 600 V control, Cu #14 AWG (Class I Div 2)</t>
        </is>
      </c>
      <c r="K235" s="12" t="inlineStr">
        <is>
          <t>CTAX|7/C|14</t>
        </is>
      </c>
      <c r="L235" s="12" t="inlineStr">
        <is>
          <t>7/C</t>
        </is>
      </c>
      <c r="M235" s="12" t="inlineStr">
        <is>
          <t>14</t>
        </is>
      </c>
      <c r="N235" s="12" t="n">
        <v>1</v>
      </c>
      <c r="O235" s="12" t="n">
        <v>1</v>
      </c>
      <c r="P235" s="12" t="n"/>
      <c r="Q235" s="12" t="n"/>
      <c r="R235" s="12" t="n"/>
      <c r="S235" s="12" t="inlineStr">
        <is>
          <t>Tray</t>
        </is>
      </c>
      <c r="T235" s="16" t="n">
        <v>482</v>
      </c>
      <c r="U235" s="16" t="n">
        <v>150</v>
      </c>
      <c r="V235" s="16">
        <f>ROUNDUP((T235+U235+2*'Read Me'!$B$13)*(1+'Read Me'!$B$12),-1)</f>
        <v/>
      </c>
      <c r="W235" s="16">
        <f>V235*N235*O235</f>
        <v/>
      </c>
      <c r="X235" s="12">
        <f>IF(LEFT(I235,2)="MV",2*N235*IF(L235="1/C",O235,1),0)</f>
        <v/>
      </c>
      <c r="Y235" s="12">
        <f>IF(OR(LEFT(K235,4)="LVAX",LEFT(K235,6)="MV15AX",LEFT(K235,4)="CTAX",LEFT(K235,2)="W|"),2*N235*O235,0)</f>
        <v/>
      </c>
      <c r="Z235" s="12" t="inlineStr"/>
      <c r="AA235" s="12">
        <f>N235*O235</f>
        <v/>
      </c>
    </row>
    <row r="236">
      <c r="A236" s="12" t="inlineStr">
        <is>
          <t>A-C-0224</t>
        </is>
      </c>
      <c r="B236" s="12" t="inlineStr">
        <is>
          <t>A</t>
        </is>
      </c>
      <c r="C236" s="12" t="inlineStr">
        <is>
          <t>Power block</t>
        </is>
      </c>
      <c r="D236" s="12" t="inlineStr">
        <is>
          <t>Motor 12 of 12: control / local station</t>
        </is>
      </c>
      <c r="E236" s="12" t="inlineStr">
        <is>
          <t>MCC-GT2</t>
        </is>
      </c>
      <c r="F236" s="12" t="inlineStr">
        <is>
          <t>R1 MCC-GT2</t>
        </is>
      </c>
      <c r="G236" s="12" t="inlineStr">
        <is>
          <t>GT2 aux</t>
        </is>
      </c>
      <c r="H236" s="12" t="inlineStr">
        <is>
          <t>GT2 aux: lube oil, hydraulics, enclosure fans</t>
        </is>
      </c>
      <c r="I236" s="12" t="inlineStr">
        <is>
          <t>Control</t>
        </is>
      </c>
      <c r="J236" s="12" t="inlineStr">
        <is>
          <t>ARMOR-X MC-HL 600 V control, Cu #14 AWG (Class I Div 2)</t>
        </is>
      </c>
      <c r="K236" s="12" t="inlineStr">
        <is>
          <t>CTAX|7/C|14</t>
        </is>
      </c>
      <c r="L236" s="12" t="inlineStr">
        <is>
          <t>7/C</t>
        </is>
      </c>
      <c r="M236" s="12" t="inlineStr">
        <is>
          <t>14</t>
        </is>
      </c>
      <c r="N236" s="12" t="n">
        <v>1</v>
      </c>
      <c r="O236" s="12" t="n">
        <v>1</v>
      </c>
      <c r="P236" s="12" t="n"/>
      <c r="Q236" s="12" t="n"/>
      <c r="R236" s="12" t="n"/>
      <c r="S236" s="12" t="inlineStr">
        <is>
          <t>Tray</t>
        </is>
      </c>
      <c r="T236" s="16" t="n">
        <v>482</v>
      </c>
      <c r="U236" s="16" t="n">
        <v>150</v>
      </c>
      <c r="V236" s="16">
        <f>ROUNDUP((T236+U236+2*'Read Me'!$B$13)*(1+'Read Me'!$B$12),-1)</f>
        <v/>
      </c>
      <c r="W236" s="16">
        <f>V236*N236*O236</f>
        <v/>
      </c>
      <c r="X236" s="12">
        <f>IF(LEFT(I236,2)="MV",2*N236*IF(L236="1/C",O236,1),0)</f>
        <v/>
      </c>
      <c r="Y236" s="12">
        <f>IF(OR(LEFT(K236,4)="LVAX",LEFT(K236,6)="MV15AX",LEFT(K236,4)="CTAX",LEFT(K236,2)="W|"),2*N236*O236,0)</f>
        <v/>
      </c>
      <c r="Z236" s="12" t="inlineStr"/>
      <c r="AA236" s="12">
        <f>N236*O236</f>
        <v/>
      </c>
    </row>
    <row r="237">
      <c r="A237" s="12" t="inlineStr">
        <is>
          <t>A-C-0225</t>
        </is>
      </c>
      <c r="B237" s="12" t="inlineStr">
        <is>
          <t>A</t>
        </is>
      </c>
      <c r="C237" s="12" t="inlineStr">
        <is>
          <t>Power block</t>
        </is>
      </c>
      <c r="D237" s="12" t="inlineStr">
        <is>
          <t>Solenoid to JB JB-GT2 aux-SOL01: 10 x 2/C (field cables)</t>
        </is>
      </c>
      <c r="E237" s="12" t="inlineStr">
        <is>
          <t>GT2 aux</t>
        </is>
      </c>
      <c r="F237" s="12" t="inlineStr">
        <is>
          <t>GT2 aux: lube oil, hydraulics, enclosure fans</t>
        </is>
      </c>
      <c r="G237" s="12" t="inlineStr">
        <is>
          <t>JB-GT2 aux-SOL01</t>
        </is>
      </c>
      <c r="H237" s="12" t="inlineStr">
        <is>
          <t>GT2 aux: lube oil, hydraulics, enclosure fans</t>
        </is>
      </c>
      <c r="I237" s="12" t="inlineStr">
        <is>
          <t>Control</t>
        </is>
      </c>
      <c r="J237" s="12" t="inlineStr">
        <is>
          <t>ARMOR-X MC-HL 600 V control, Cu #14 AWG (Class I Div 2)</t>
        </is>
      </c>
      <c r="K237" s="12" t="inlineStr">
        <is>
          <t>CTAX|2/C|14</t>
        </is>
      </c>
      <c r="L237" s="12" t="inlineStr">
        <is>
          <t>2/C</t>
        </is>
      </c>
      <c r="M237" s="12" t="inlineStr">
        <is>
          <t>14</t>
        </is>
      </c>
      <c r="N237" s="12" t="n">
        <v>10</v>
      </c>
      <c r="O237" s="12" t="n">
        <v>1</v>
      </c>
      <c r="P237" s="12" t="n"/>
      <c r="Q237" s="12" t="n"/>
      <c r="R237" s="12" t="n"/>
      <c r="S237" s="12" t="inlineStr">
        <is>
          <t>Tray / conduit</t>
        </is>
      </c>
      <c r="T237" s="16" t="n">
        <v>62</v>
      </c>
      <c r="U237" s="16" t="n">
        <v>10</v>
      </c>
      <c r="V237" s="16">
        <f>ROUNDUP((T237+U237+2*'Read Me'!$B$13)*(1+'Read Me'!$B$12),-1)</f>
        <v/>
      </c>
      <c r="W237" s="16">
        <f>V237*N237*O237</f>
        <v/>
      </c>
      <c r="X237" s="12">
        <f>IF(LEFT(I237,2)="MV",2*N237*IF(L237="1/C",O237,1),0)</f>
        <v/>
      </c>
      <c r="Y237" s="12">
        <f>IF(OR(LEFT(K237,4)="LVAX",LEFT(K237,6)="MV15AX",LEFT(K237,4)="CTAX",LEFT(K237,2)="W|"),2*N237*O237,0)</f>
        <v/>
      </c>
      <c r="Z237" s="12" t="inlineStr">
        <is>
          <t>device-to-JB field wiring, one cable per device</t>
        </is>
      </c>
      <c r="AA237" s="12">
        <f>N237*O237</f>
        <v/>
      </c>
    </row>
    <row r="238">
      <c r="A238" s="12" t="inlineStr">
        <is>
          <t>A-C-0226</t>
        </is>
      </c>
      <c r="B238" s="12" t="inlineStr">
        <is>
          <t>A</t>
        </is>
      </c>
      <c r="C238" s="12" t="inlineStr">
        <is>
          <t>Power block</t>
        </is>
      </c>
      <c r="D238" s="12" t="inlineStr">
        <is>
          <t>Home run JB-GT2 aux-SOL01 to the control / marshalling room</t>
        </is>
      </c>
      <c r="E238" s="12" t="inlineStr">
        <is>
          <t>R2B</t>
        </is>
      </c>
      <c r="F238" s="12" t="inlineStr">
        <is>
          <t>R2B: unit / HRSG electrical e-house (32 x 40 ft)</t>
        </is>
      </c>
      <c r="G238" s="12" t="inlineStr">
        <is>
          <t>JB-GT2 aux-SOL01</t>
        </is>
      </c>
      <c r="H238" s="12" t="inlineStr">
        <is>
          <t>GT2 aux: lube oil, hydraulics, enclosure fans</t>
        </is>
      </c>
      <c r="I238" s="12" t="inlineStr">
        <is>
          <t>Control</t>
        </is>
      </c>
      <c r="J238" s="12" t="inlineStr">
        <is>
          <t>ARMOR-X MC-HL 600 V control, Cu #14 AWG (Class I Div 2)</t>
        </is>
      </c>
      <c r="K238" s="12" t="inlineStr">
        <is>
          <t>CTAX|25/C|14</t>
        </is>
      </c>
      <c r="L238" s="12" t="inlineStr">
        <is>
          <t>25/C</t>
        </is>
      </c>
      <c r="M238" s="12" t="inlineStr">
        <is>
          <t>14</t>
        </is>
      </c>
      <c r="N238" s="12" t="n">
        <v>1</v>
      </c>
      <c r="O238" s="12" t="n">
        <v>1</v>
      </c>
      <c r="P238" s="12" t="n"/>
      <c r="Q238" s="12" t="n"/>
      <c r="R238" s="12" t="n"/>
      <c r="S238" s="12" t="inlineStr">
        <is>
          <t>Tray</t>
        </is>
      </c>
      <c r="T238" s="16" t="n">
        <v>1116</v>
      </c>
      <c r="U238" s="16" t="n">
        <v>213</v>
      </c>
      <c r="V238" s="16">
        <f>ROUNDUP((T238+U238+2*'Read Me'!$B$13)*(1+'Read Me'!$B$12),-1)</f>
        <v/>
      </c>
      <c r="W238" s="16">
        <f>V238*N238*O238</f>
        <v/>
      </c>
      <c r="X238" s="12">
        <f>IF(LEFT(I238,2)="MV",2*N238*IF(L238="1/C",O238,1),0)</f>
        <v/>
      </c>
      <c r="Y238" s="12">
        <f>IF(OR(LEFT(K238,4)="LVAX",LEFT(K238,6)="MV15AX",LEFT(K238,4)="CTAX",LEFT(K238,2)="W|"),2*N238*O238,0)</f>
        <v/>
      </c>
      <c r="Z238" s="12" t="inlineStr"/>
      <c r="AA238" s="12">
        <f>N238*O238</f>
        <v/>
      </c>
    </row>
    <row r="239">
      <c r="A239" s="12" t="inlineStr">
        <is>
          <t>A-C-0227</t>
        </is>
      </c>
      <c r="B239" s="12" t="inlineStr">
        <is>
          <t>A</t>
        </is>
      </c>
      <c r="C239" s="12" t="inlineStr">
        <is>
          <t>Power block</t>
        </is>
      </c>
      <c r="D239" s="12" t="inlineStr">
        <is>
          <t>Solenoid to JB JB-GT2-SOL01: 10 x 2/C (field cables)</t>
        </is>
      </c>
      <c r="E239" s="12" t="inlineStr">
        <is>
          <t>GT2</t>
        </is>
      </c>
      <c r="F239" s="12" t="inlineStr">
        <is>
          <t>GT2: H-class gas turbine (60 Hz)</t>
        </is>
      </c>
      <c r="G239" s="12" t="inlineStr">
        <is>
          <t>JB-GT2-SOL01</t>
        </is>
      </c>
      <c r="H239" s="12" t="inlineStr">
        <is>
          <t>GT2: H-class gas turbine (60 Hz)</t>
        </is>
      </c>
      <c r="I239" s="12" t="inlineStr">
        <is>
          <t>Control</t>
        </is>
      </c>
      <c r="J239" s="12" t="inlineStr">
        <is>
          <t>ARMOR-X MC-HL 600 V control, Cu #14 AWG (Class I Div 2)</t>
        </is>
      </c>
      <c r="K239" s="12" t="inlineStr">
        <is>
          <t>CTAX|2/C|14</t>
        </is>
      </c>
      <c r="L239" s="12" t="inlineStr">
        <is>
          <t>2/C</t>
        </is>
      </c>
      <c r="M239" s="12" t="inlineStr">
        <is>
          <t>14</t>
        </is>
      </c>
      <c r="N239" s="12" t="n">
        <v>10</v>
      </c>
      <c r="O239" s="12" t="n">
        <v>1</v>
      </c>
      <c r="P239" s="12" t="n"/>
      <c r="Q239" s="12" t="n"/>
      <c r="R239" s="12" t="n"/>
      <c r="S239" s="12" t="inlineStr">
        <is>
          <t>Tray / conduit</t>
        </is>
      </c>
      <c r="T239" s="16" t="n">
        <v>96</v>
      </c>
      <c r="U239" s="16" t="n">
        <v>10</v>
      </c>
      <c r="V239" s="16">
        <f>ROUNDUP((T239+U239+2*'Read Me'!$B$13)*(1+'Read Me'!$B$12),-1)</f>
        <v/>
      </c>
      <c r="W239" s="16">
        <f>V239*N239*O239</f>
        <v/>
      </c>
      <c r="X239" s="12">
        <f>IF(LEFT(I239,2)="MV",2*N239*IF(L239="1/C",O239,1),0)</f>
        <v/>
      </c>
      <c r="Y239" s="12">
        <f>IF(OR(LEFT(K239,4)="LVAX",LEFT(K239,6)="MV15AX",LEFT(K239,4)="CTAX",LEFT(K239,2)="W|"),2*N239*O239,0)</f>
        <v/>
      </c>
      <c r="Z239" s="12" t="inlineStr">
        <is>
          <t>device-to-JB field wiring, one cable per device</t>
        </is>
      </c>
      <c r="AA239" s="12">
        <f>N239*O239</f>
        <v/>
      </c>
    </row>
    <row r="240">
      <c r="A240" s="12" t="inlineStr">
        <is>
          <t>A-C-0228</t>
        </is>
      </c>
      <c r="B240" s="12" t="inlineStr">
        <is>
          <t>A</t>
        </is>
      </c>
      <c r="C240" s="12" t="inlineStr">
        <is>
          <t>Power block</t>
        </is>
      </c>
      <c r="D240" s="12" t="inlineStr">
        <is>
          <t>Home run JB-GT2-SOL01 to the control / marshalling room</t>
        </is>
      </c>
      <c r="E240" s="12" t="inlineStr">
        <is>
          <t>R2B</t>
        </is>
      </c>
      <c r="F240" s="12" t="inlineStr">
        <is>
          <t>R2B: unit / HRSG electrical e-house (32 x 40 ft)</t>
        </is>
      </c>
      <c r="G240" s="12" t="inlineStr">
        <is>
          <t>JB-GT2-SOL01</t>
        </is>
      </c>
      <c r="H240" s="12" t="inlineStr">
        <is>
          <t>GT2: H-class gas turbine (60 Hz)</t>
        </is>
      </c>
      <c r="I240" s="12" t="inlineStr">
        <is>
          <t>Control</t>
        </is>
      </c>
      <c r="J240" s="12" t="inlineStr">
        <is>
          <t>ARMOR-X MC-HL 600 V control, Cu #14 AWG (Class I Div 2)</t>
        </is>
      </c>
      <c r="K240" s="12" t="inlineStr">
        <is>
          <t>CTAX|25/C|14</t>
        </is>
      </c>
      <c r="L240" s="12" t="inlineStr">
        <is>
          <t>25/C</t>
        </is>
      </c>
      <c r="M240" s="12" t="inlineStr">
        <is>
          <t>14</t>
        </is>
      </c>
      <c r="N240" s="12" t="n">
        <v>1</v>
      </c>
      <c r="O240" s="12" t="n">
        <v>1</v>
      </c>
      <c r="P240" s="12" t="n"/>
      <c r="Q240" s="12" t="n"/>
      <c r="R240" s="12" t="n"/>
      <c r="S240" s="12" t="inlineStr">
        <is>
          <t>Tray</t>
        </is>
      </c>
      <c r="T240" s="16" t="n">
        <v>1046</v>
      </c>
      <c r="U240" s="16" t="n">
        <v>197</v>
      </c>
      <c r="V240" s="16">
        <f>ROUNDUP((T240+U240+2*'Read Me'!$B$13)*(1+'Read Me'!$B$12),-1)</f>
        <v/>
      </c>
      <c r="W240" s="16">
        <f>V240*N240*O240</f>
        <v/>
      </c>
      <c r="X240" s="12">
        <f>IF(LEFT(I240,2)="MV",2*N240*IF(L240="1/C",O240,1),0)</f>
        <v/>
      </c>
      <c r="Y240" s="12">
        <f>IF(OR(LEFT(K240,4)="LVAX",LEFT(K240,6)="MV15AX",LEFT(K240,4)="CTAX",LEFT(K240,2)="W|"),2*N240*O240,0)</f>
        <v/>
      </c>
      <c r="Z240" s="12" t="inlineStr"/>
      <c r="AA240" s="12">
        <f>N240*O240</f>
        <v/>
      </c>
    </row>
    <row r="241">
      <c r="A241" s="12" t="inlineStr">
        <is>
          <t>A-C-0229</t>
        </is>
      </c>
      <c r="B241" s="12" t="inlineStr">
        <is>
          <t>A</t>
        </is>
      </c>
      <c r="C241" s="12" t="inlineStr">
        <is>
          <t>Power block</t>
        </is>
      </c>
      <c r="D241" s="12" t="inlineStr">
        <is>
          <t>Solenoid to JB JB-GT2-SOL02: 10 x 2/C (field cables)</t>
        </is>
      </c>
      <c r="E241" s="12" t="inlineStr">
        <is>
          <t>GT2</t>
        </is>
      </c>
      <c r="F241" s="12" t="inlineStr">
        <is>
          <t>GT2: H-class gas turbine (60 Hz)</t>
        </is>
      </c>
      <c r="G241" s="12" t="inlineStr">
        <is>
          <t>JB-GT2-SOL02</t>
        </is>
      </c>
      <c r="H241" s="12" t="inlineStr">
        <is>
          <t>GT2: H-class gas turbine (60 Hz)</t>
        </is>
      </c>
      <c r="I241" s="12" t="inlineStr">
        <is>
          <t>Control</t>
        </is>
      </c>
      <c r="J241" s="12" t="inlineStr">
        <is>
          <t>ARMOR-X MC-HL 600 V control, Cu #14 AWG (Class I Div 2)</t>
        </is>
      </c>
      <c r="K241" s="12" t="inlineStr">
        <is>
          <t>CTAX|2/C|14</t>
        </is>
      </c>
      <c r="L241" s="12" t="inlineStr">
        <is>
          <t>2/C</t>
        </is>
      </c>
      <c r="M241" s="12" t="inlineStr">
        <is>
          <t>14</t>
        </is>
      </c>
      <c r="N241" s="12" t="n">
        <v>10</v>
      </c>
      <c r="O241" s="12" t="n">
        <v>1</v>
      </c>
      <c r="P241" s="12" t="n"/>
      <c r="Q241" s="12" t="n"/>
      <c r="R241" s="12" t="n"/>
      <c r="S241" s="12" t="inlineStr">
        <is>
          <t>Tray / conduit</t>
        </is>
      </c>
      <c r="T241" s="16" t="n">
        <v>96</v>
      </c>
      <c r="U241" s="16" t="n">
        <v>10</v>
      </c>
      <c r="V241" s="16">
        <f>ROUNDUP((T241+U241+2*'Read Me'!$B$13)*(1+'Read Me'!$B$12),-1)</f>
        <v/>
      </c>
      <c r="W241" s="16">
        <f>V241*N241*O241</f>
        <v/>
      </c>
      <c r="X241" s="12">
        <f>IF(LEFT(I241,2)="MV",2*N241*IF(L241="1/C",O241,1),0)</f>
        <v/>
      </c>
      <c r="Y241" s="12">
        <f>IF(OR(LEFT(K241,4)="LVAX",LEFT(K241,6)="MV15AX",LEFT(K241,4)="CTAX",LEFT(K241,2)="W|"),2*N241*O241,0)</f>
        <v/>
      </c>
      <c r="Z241" s="12" t="inlineStr">
        <is>
          <t>device-to-JB field wiring, one cable per device</t>
        </is>
      </c>
      <c r="AA241" s="12">
        <f>N241*O241</f>
        <v/>
      </c>
    </row>
    <row r="242">
      <c r="A242" s="12" t="inlineStr">
        <is>
          <t>A-C-0230</t>
        </is>
      </c>
      <c r="B242" s="12" t="inlineStr">
        <is>
          <t>A</t>
        </is>
      </c>
      <c r="C242" s="12" t="inlineStr">
        <is>
          <t>Power block</t>
        </is>
      </c>
      <c r="D242" s="12" t="inlineStr">
        <is>
          <t>Home run JB-GT2-SOL02 to the control / marshalling room</t>
        </is>
      </c>
      <c r="E242" s="12" t="inlineStr">
        <is>
          <t>R2B</t>
        </is>
      </c>
      <c r="F242" s="12" t="inlineStr">
        <is>
          <t>R2B: unit / HRSG electrical e-house (32 x 40 ft)</t>
        </is>
      </c>
      <c r="G242" s="12" t="inlineStr">
        <is>
          <t>JB-GT2-SOL02</t>
        </is>
      </c>
      <c r="H242" s="12" t="inlineStr">
        <is>
          <t>GT2: H-class gas turbine (60 Hz)</t>
        </is>
      </c>
      <c r="I242" s="12" t="inlineStr">
        <is>
          <t>Control</t>
        </is>
      </c>
      <c r="J242" s="12" t="inlineStr">
        <is>
          <t>ARMOR-X MC-HL 600 V control, Cu #14 AWG (Class I Div 2)</t>
        </is>
      </c>
      <c r="K242" s="12" t="inlineStr">
        <is>
          <t>CTAX|25/C|14</t>
        </is>
      </c>
      <c r="L242" s="12" t="inlineStr">
        <is>
          <t>25/C</t>
        </is>
      </c>
      <c r="M242" s="12" t="inlineStr">
        <is>
          <t>14</t>
        </is>
      </c>
      <c r="N242" s="12" t="n">
        <v>1</v>
      </c>
      <c r="O242" s="12" t="n">
        <v>1</v>
      </c>
      <c r="P242" s="12" t="n"/>
      <c r="Q242" s="12" t="n"/>
      <c r="R242" s="12" t="n"/>
      <c r="S242" s="12" t="inlineStr">
        <is>
          <t>Tray</t>
        </is>
      </c>
      <c r="T242" s="16" t="n">
        <v>1046</v>
      </c>
      <c r="U242" s="16" t="n">
        <v>197</v>
      </c>
      <c r="V242" s="16">
        <f>ROUNDUP((T242+U242+2*'Read Me'!$B$13)*(1+'Read Me'!$B$12),-1)</f>
        <v/>
      </c>
      <c r="W242" s="16">
        <f>V242*N242*O242</f>
        <v/>
      </c>
      <c r="X242" s="12">
        <f>IF(LEFT(I242,2)="MV",2*N242*IF(L242="1/C",O242,1),0)</f>
        <v/>
      </c>
      <c r="Y242" s="12">
        <f>IF(OR(LEFT(K242,4)="LVAX",LEFT(K242,6)="MV15AX",LEFT(K242,4)="CTAX",LEFT(K242,2)="W|"),2*N242*O242,0)</f>
        <v/>
      </c>
      <c r="Z242" s="12" t="inlineStr"/>
      <c r="AA242" s="12">
        <f>N242*O242</f>
        <v/>
      </c>
    </row>
    <row r="243">
      <c r="A243" s="12" t="inlineStr">
        <is>
          <t>A-C-0231</t>
        </is>
      </c>
      <c r="B243" s="12" t="inlineStr">
        <is>
          <t>A</t>
        </is>
      </c>
      <c r="C243" s="12" t="inlineStr">
        <is>
          <t>Power block</t>
        </is>
      </c>
      <c r="D243" s="12" t="inlineStr">
        <is>
          <t>Solenoid to JB JB-GT2-SOL03: 10 x 2/C (field cables)</t>
        </is>
      </c>
      <c r="E243" s="12" t="inlineStr">
        <is>
          <t>GT2</t>
        </is>
      </c>
      <c r="F243" s="12" t="inlineStr">
        <is>
          <t>GT2: H-class gas turbine (60 Hz)</t>
        </is>
      </c>
      <c r="G243" s="12" t="inlineStr">
        <is>
          <t>JB-GT2-SOL03</t>
        </is>
      </c>
      <c r="H243" s="12" t="inlineStr">
        <is>
          <t>GT2: H-class gas turbine (60 Hz)</t>
        </is>
      </c>
      <c r="I243" s="12" t="inlineStr">
        <is>
          <t>Control</t>
        </is>
      </c>
      <c r="J243" s="12" t="inlineStr">
        <is>
          <t>ARMOR-X MC-HL 600 V control, Cu #14 AWG (Class I Div 2)</t>
        </is>
      </c>
      <c r="K243" s="12" t="inlineStr">
        <is>
          <t>CTAX|2/C|14</t>
        </is>
      </c>
      <c r="L243" s="12" t="inlineStr">
        <is>
          <t>2/C</t>
        </is>
      </c>
      <c r="M243" s="12" t="inlineStr">
        <is>
          <t>14</t>
        </is>
      </c>
      <c r="N243" s="12" t="n">
        <v>10</v>
      </c>
      <c r="O243" s="12" t="n">
        <v>1</v>
      </c>
      <c r="P243" s="12" t="n"/>
      <c r="Q243" s="12" t="n"/>
      <c r="R243" s="12" t="n"/>
      <c r="S243" s="12" t="inlineStr">
        <is>
          <t>Tray / conduit</t>
        </is>
      </c>
      <c r="T243" s="16" t="n">
        <v>96</v>
      </c>
      <c r="U243" s="16" t="n">
        <v>10</v>
      </c>
      <c r="V243" s="16">
        <f>ROUNDUP((T243+U243+2*'Read Me'!$B$13)*(1+'Read Me'!$B$12),-1)</f>
        <v/>
      </c>
      <c r="W243" s="16">
        <f>V243*N243*O243</f>
        <v/>
      </c>
      <c r="X243" s="12">
        <f>IF(LEFT(I243,2)="MV",2*N243*IF(L243="1/C",O243,1),0)</f>
        <v/>
      </c>
      <c r="Y243" s="12">
        <f>IF(OR(LEFT(K243,4)="LVAX",LEFT(K243,6)="MV15AX",LEFT(K243,4)="CTAX",LEFT(K243,2)="W|"),2*N243*O243,0)</f>
        <v/>
      </c>
      <c r="Z243" s="12" t="inlineStr">
        <is>
          <t>device-to-JB field wiring, one cable per device</t>
        </is>
      </c>
      <c r="AA243" s="12">
        <f>N243*O243</f>
        <v/>
      </c>
    </row>
    <row r="244">
      <c r="A244" s="12" t="inlineStr">
        <is>
          <t>A-C-0232</t>
        </is>
      </c>
      <c r="B244" s="12" t="inlineStr">
        <is>
          <t>A</t>
        </is>
      </c>
      <c r="C244" s="12" t="inlineStr">
        <is>
          <t>Power block</t>
        </is>
      </c>
      <c r="D244" s="12" t="inlineStr">
        <is>
          <t>Home run JB-GT2-SOL03 to the control / marshalling room</t>
        </is>
      </c>
      <c r="E244" s="12" t="inlineStr">
        <is>
          <t>R2B</t>
        </is>
      </c>
      <c r="F244" s="12" t="inlineStr">
        <is>
          <t>R2B: unit / HRSG electrical e-house (32 x 40 ft)</t>
        </is>
      </c>
      <c r="G244" s="12" t="inlineStr">
        <is>
          <t>JB-GT2-SOL03</t>
        </is>
      </c>
      <c r="H244" s="12" t="inlineStr">
        <is>
          <t>GT2: H-class gas turbine (60 Hz)</t>
        </is>
      </c>
      <c r="I244" s="12" t="inlineStr">
        <is>
          <t>Control</t>
        </is>
      </c>
      <c r="J244" s="12" t="inlineStr">
        <is>
          <t>ARMOR-X MC-HL 600 V control, Cu #14 AWG (Class I Div 2)</t>
        </is>
      </c>
      <c r="K244" s="12" t="inlineStr">
        <is>
          <t>CTAX|25/C|14</t>
        </is>
      </c>
      <c r="L244" s="12" t="inlineStr">
        <is>
          <t>25/C</t>
        </is>
      </c>
      <c r="M244" s="12" t="inlineStr">
        <is>
          <t>14</t>
        </is>
      </c>
      <c r="N244" s="12" t="n">
        <v>1</v>
      </c>
      <c r="O244" s="12" t="n">
        <v>1</v>
      </c>
      <c r="P244" s="12" t="n"/>
      <c r="Q244" s="12" t="n"/>
      <c r="R244" s="12" t="n"/>
      <c r="S244" s="12" t="inlineStr">
        <is>
          <t>Tray</t>
        </is>
      </c>
      <c r="T244" s="16" t="n">
        <v>1046</v>
      </c>
      <c r="U244" s="16" t="n">
        <v>197</v>
      </c>
      <c r="V244" s="16">
        <f>ROUNDUP((T244+U244+2*'Read Me'!$B$13)*(1+'Read Me'!$B$12),-1)</f>
        <v/>
      </c>
      <c r="W244" s="16">
        <f>V244*N244*O244</f>
        <v/>
      </c>
      <c r="X244" s="12">
        <f>IF(LEFT(I244,2)="MV",2*N244*IF(L244="1/C",O244,1),0)</f>
        <v/>
      </c>
      <c r="Y244" s="12">
        <f>IF(OR(LEFT(K244,4)="LVAX",LEFT(K244,6)="MV15AX",LEFT(K244,4)="CTAX",LEFT(K244,2)="W|"),2*N244*O244,0)</f>
        <v/>
      </c>
      <c r="Z244" s="12" t="inlineStr"/>
      <c r="AA244" s="12">
        <f>N244*O244</f>
        <v/>
      </c>
    </row>
    <row r="245">
      <c r="A245" s="12" t="inlineStr">
        <is>
          <t>A-C-0233</t>
        </is>
      </c>
      <c r="B245" s="12" t="inlineStr">
        <is>
          <t>A</t>
        </is>
      </c>
      <c r="C245" s="12" t="inlineStr">
        <is>
          <t>Power block</t>
        </is>
      </c>
      <c r="D245" s="12" t="inlineStr">
        <is>
          <t>Motor 1 of 12: control / local station</t>
        </is>
      </c>
      <c r="E245" s="12" t="inlineStr">
        <is>
          <t>MCC-GT3</t>
        </is>
      </c>
      <c r="F245" s="12" t="inlineStr">
        <is>
          <t>R1 MCC-GT3</t>
        </is>
      </c>
      <c r="G245" s="12" t="inlineStr">
        <is>
          <t>GT3 aux</t>
        </is>
      </c>
      <c r="H245" s="12" t="inlineStr">
        <is>
          <t>GT3 aux: lube oil, hydraulics, enclosure fans</t>
        </is>
      </c>
      <c r="I245" s="12" t="inlineStr">
        <is>
          <t>Control</t>
        </is>
      </c>
      <c r="J245" s="12" t="inlineStr">
        <is>
          <t>ARMOR-X MC-HL 600 V control, Cu #14 AWG (Class I Div 2)</t>
        </is>
      </c>
      <c r="K245" s="12" t="inlineStr">
        <is>
          <t>CTAX|7/C|14</t>
        </is>
      </c>
      <c r="L245" s="12" t="inlineStr">
        <is>
          <t>7/C</t>
        </is>
      </c>
      <c r="M245" s="12" t="inlineStr">
        <is>
          <t>14</t>
        </is>
      </c>
      <c r="N245" s="12" t="n">
        <v>1</v>
      </c>
      <c r="O245" s="12" t="n">
        <v>1</v>
      </c>
      <c r="P245" s="12" t="n"/>
      <c r="Q245" s="12" t="n"/>
      <c r="R245" s="12" t="n"/>
      <c r="S245" s="12" t="inlineStr">
        <is>
          <t>Tray</t>
        </is>
      </c>
      <c r="T245" s="16" t="n">
        <v>693</v>
      </c>
      <c r="U245" s="16" t="n">
        <v>149</v>
      </c>
      <c r="V245" s="16">
        <f>ROUNDUP((T245+U245+2*'Read Me'!$B$13)*(1+'Read Me'!$B$12),-1)</f>
        <v/>
      </c>
      <c r="W245" s="16">
        <f>V245*N245*O245</f>
        <v/>
      </c>
      <c r="X245" s="12">
        <f>IF(LEFT(I245,2)="MV",2*N245*IF(L245="1/C",O245,1),0)</f>
        <v/>
      </c>
      <c r="Y245" s="12">
        <f>IF(OR(LEFT(K245,4)="LVAX",LEFT(K245,6)="MV15AX",LEFT(K245,4)="CTAX",LEFT(K245,2)="W|"),2*N245*O245,0)</f>
        <v/>
      </c>
      <c r="Z245" s="12" t="inlineStr"/>
      <c r="AA245" s="12">
        <f>N245*O245</f>
        <v/>
      </c>
    </row>
    <row r="246">
      <c r="A246" s="12" t="inlineStr">
        <is>
          <t>A-C-0234</t>
        </is>
      </c>
      <c r="B246" s="12" t="inlineStr">
        <is>
          <t>A</t>
        </is>
      </c>
      <c r="C246" s="12" t="inlineStr">
        <is>
          <t>Power block</t>
        </is>
      </c>
      <c r="D246" s="12" t="inlineStr">
        <is>
          <t>Motor 2 of 12: control / local station</t>
        </is>
      </c>
      <c r="E246" s="12" t="inlineStr">
        <is>
          <t>MCC-GT3</t>
        </is>
      </c>
      <c r="F246" s="12" t="inlineStr">
        <is>
          <t>R1 MCC-GT3</t>
        </is>
      </c>
      <c r="G246" s="12" t="inlineStr">
        <is>
          <t>GT3 aux</t>
        </is>
      </c>
      <c r="H246" s="12" t="inlineStr">
        <is>
          <t>GT3 aux: lube oil, hydraulics, enclosure fans</t>
        </is>
      </c>
      <c r="I246" s="12" t="inlineStr">
        <is>
          <t>Control</t>
        </is>
      </c>
      <c r="J246" s="12" t="inlineStr">
        <is>
          <t>ARMOR-X MC-HL 600 V control, Cu #14 AWG (Class I Div 2)</t>
        </is>
      </c>
      <c r="K246" s="12" t="inlineStr">
        <is>
          <t>CTAX|7/C|14</t>
        </is>
      </c>
      <c r="L246" s="12" t="inlineStr">
        <is>
          <t>7/C</t>
        </is>
      </c>
      <c r="M246" s="12" t="inlineStr">
        <is>
          <t>14</t>
        </is>
      </c>
      <c r="N246" s="12" t="n">
        <v>1</v>
      </c>
      <c r="O246" s="12" t="n">
        <v>1</v>
      </c>
      <c r="P246" s="12" t="n"/>
      <c r="Q246" s="12" t="n"/>
      <c r="R246" s="12" t="n"/>
      <c r="S246" s="12" t="inlineStr">
        <is>
          <t>Tray</t>
        </is>
      </c>
      <c r="T246" s="16" t="n">
        <v>693</v>
      </c>
      <c r="U246" s="16" t="n">
        <v>149</v>
      </c>
      <c r="V246" s="16">
        <f>ROUNDUP((T246+U246+2*'Read Me'!$B$13)*(1+'Read Me'!$B$12),-1)</f>
        <v/>
      </c>
      <c r="W246" s="16">
        <f>V246*N246*O246</f>
        <v/>
      </c>
      <c r="X246" s="12">
        <f>IF(LEFT(I246,2)="MV",2*N246*IF(L246="1/C",O246,1),0)</f>
        <v/>
      </c>
      <c r="Y246" s="12">
        <f>IF(OR(LEFT(K246,4)="LVAX",LEFT(K246,6)="MV15AX",LEFT(K246,4)="CTAX",LEFT(K246,2)="W|"),2*N246*O246,0)</f>
        <v/>
      </c>
      <c r="Z246" s="12" t="inlineStr"/>
      <c r="AA246" s="12">
        <f>N246*O246</f>
        <v/>
      </c>
    </row>
    <row r="247">
      <c r="A247" s="12" t="inlineStr">
        <is>
          <t>A-C-0235</t>
        </is>
      </c>
      <c r="B247" s="12" t="inlineStr">
        <is>
          <t>A</t>
        </is>
      </c>
      <c r="C247" s="12" t="inlineStr">
        <is>
          <t>Power block</t>
        </is>
      </c>
      <c r="D247" s="12" t="inlineStr">
        <is>
          <t>Motor 3 of 12: control / local station</t>
        </is>
      </c>
      <c r="E247" s="12" t="inlineStr">
        <is>
          <t>MCC-GT3</t>
        </is>
      </c>
      <c r="F247" s="12" t="inlineStr">
        <is>
          <t>R1 MCC-GT3</t>
        </is>
      </c>
      <c r="G247" s="12" t="inlineStr">
        <is>
          <t>GT3 aux</t>
        </is>
      </c>
      <c r="H247" s="12" t="inlineStr">
        <is>
          <t>GT3 aux: lube oil, hydraulics, enclosure fans</t>
        </is>
      </c>
      <c r="I247" s="12" t="inlineStr">
        <is>
          <t>Control</t>
        </is>
      </c>
      <c r="J247" s="12" t="inlineStr">
        <is>
          <t>ARMOR-X MC-HL 600 V control, Cu #14 AWG (Class I Div 2)</t>
        </is>
      </c>
      <c r="K247" s="12" t="inlineStr">
        <is>
          <t>CTAX|7/C|14</t>
        </is>
      </c>
      <c r="L247" s="12" t="inlineStr">
        <is>
          <t>7/C</t>
        </is>
      </c>
      <c r="M247" s="12" t="inlineStr">
        <is>
          <t>14</t>
        </is>
      </c>
      <c r="N247" s="12" t="n">
        <v>1</v>
      </c>
      <c r="O247" s="12" t="n">
        <v>1</v>
      </c>
      <c r="P247" s="12" t="n"/>
      <c r="Q247" s="12" t="n"/>
      <c r="R247" s="12" t="n"/>
      <c r="S247" s="12" t="inlineStr">
        <is>
          <t>Tray</t>
        </is>
      </c>
      <c r="T247" s="16" t="n">
        <v>693</v>
      </c>
      <c r="U247" s="16" t="n">
        <v>149</v>
      </c>
      <c r="V247" s="16">
        <f>ROUNDUP((T247+U247+2*'Read Me'!$B$13)*(1+'Read Me'!$B$12),-1)</f>
        <v/>
      </c>
      <c r="W247" s="16">
        <f>V247*N247*O247</f>
        <v/>
      </c>
      <c r="X247" s="12">
        <f>IF(LEFT(I247,2)="MV",2*N247*IF(L247="1/C",O247,1),0)</f>
        <v/>
      </c>
      <c r="Y247" s="12">
        <f>IF(OR(LEFT(K247,4)="LVAX",LEFT(K247,6)="MV15AX",LEFT(K247,4)="CTAX",LEFT(K247,2)="W|"),2*N247*O247,0)</f>
        <v/>
      </c>
      <c r="Z247" s="12" t="inlineStr"/>
      <c r="AA247" s="12">
        <f>N247*O247</f>
        <v/>
      </c>
    </row>
    <row r="248">
      <c r="A248" s="12" t="inlineStr">
        <is>
          <t>A-C-0236</t>
        </is>
      </c>
      <c r="B248" s="12" t="inlineStr">
        <is>
          <t>A</t>
        </is>
      </c>
      <c r="C248" s="12" t="inlineStr">
        <is>
          <t>Power block</t>
        </is>
      </c>
      <c r="D248" s="12" t="inlineStr">
        <is>
          <t>Motor 4 of 12: control / local station</t>
        </is>
      </c>
      <c r="E248" s="12" t="inlineStr">
        <is>
          <t>MCC-GT3</t>
        </is>
      </c>
      <c r="F248" s="12" t="inlineStr">
        <is>
          <t>R1 MCC-GT3</t>
        </is>
      </c>
      <c r="G248" s="12" t="inlineStr">
        <is>
          <t>GT3 aux</t>
        </is>
      </c>
      <c r="H248" s="12" t="inlineStr">
        <is>
          <t>GT3 aux: lube oil, hydraulics, enclosure fans</t>
        </is>
      </c>
      <c r="I248" s="12" t="inlineStr">
        <is>
          <t>Control</t>
        </is>
      </c>
      <c r="J248" s="12" t="inlineStr">
        <is>
          <t>ARMOR-X MC-HL 600 V control, Cu #14 AWG (Class I Div 2)</t>
        </is>
      </c>
      <c r="K248" s="12" t="inlineStr">
        <is>
          <t>CTAX|7/C|14</t>
        </is>
      </c>
      <c r="L248" s="12" t="inlineStr">
        <is>
          <t>7/C</t>
        </is>
      </c>
      <c r="M248" s="12" t="inlineStr">
        <is>
          <t>14</t>
        </is>
      </c>
      <c r="N248" s="12" t="n">
        <v>1</v>
      </c>
      <c r="O248" s="12" t="n">
        <v>1</v>
      </c>
      <c r="P248" s="12" t="n"/>
      <c r="Q248" s="12" t="n"/>
      <c r="R248" s="12" t="n"/>
      <c r="S248" s="12" t="inlineStr">
        <is>
          <t>Tray</t>
        </is>
      </c>
      <c r="T248" s="16" t="n">
        <v>693</v>
      </c>
      <c r="U248" s="16" t="n">
        <v>149</v>
      </c>
      <c r="V248" s="16">
        <f>ROUNDUP((T248+U248+2*'Read Me'!$B$13)*(1+'Read Me'!$B$12),-1)</f>
        <v/>
      </c>
      <c r="W248" s="16">
        <f>V248*N248*O248</f>
        <v/>
      </c>
      <c r="X248" s="12">
        <f>IF(LEFT(I248,2)="MV",2*N248*IF(L248="1/C",O248,1),0)</f>
        <v/>
      </c>
      <c r="Y248" s="12">
        <f>IF(OR(LEFT(K248,4)="LVAX",LEFT(K248,6)="MV15AX",LEFT(K248,4)="CTAX",LEFT(K248,2)="W|"),2*N248*O248,0)</f>
        <v/>
      </c>
      <c r="Z248" s="12" t="inlineStr"/>
      <c r="AA248" s="12">
        <f>N248*O248</f>
        <v/>
      </c>
    </row>
    <row r="249">
      <c r="A249" s="12" t="inlineStr">
        <is>
          <t>A-C-0237</t>
        </is>
      </c>
      <c r="B249" s="12" t="inlineStr">
        <is>
          <t>A</t>
        </is>
      </c>
      <c r="C249" s="12" t="inlineStr">
        <is>
          <t>Power block</t>
        </is>
      </c>
      <c r="D249" s="12" t="inlineStr">
        <is>
          <t>Motor 5 of 12: control / local station</t>
        </is>
      </c>
      <c r="E249" s="12" t="inlineStr">
        <is>
          <t>MCC-GT3</t>
        </is>
      </c>
      <c r="F249" s="12" t="inlineStr">
        <is>
          <t>R1 MCC-GT3</t>
        </is>
      </c>
      <c r="G249" s="12" t="inlineStr">
        <is>
          <t>GT3 aux</t>
        </is>
      </c>
      <c r="H249" s="12" t="inlineStr">
        <is>
          <t>GT3 aux: lube oil, hydraulics, enclosure fans</t>
        </is>
      </c>
      <c r="I249" s="12" t="inlineStr">
        <is>
          <t>Control</t>
        </is>
      </c>
      <c r="J249" s="12" t="inlineStr">
        <is>
          <t>ARMOR-X MC-HL 600 V control, Cu #14 AWG (Class I Div 2)</t>
        </is>
      </c>
      <c r="K249" s="12" t="inlineStr">
        <is>
          <t>CTAX|7/C|14</t>
        </is>
      </c>
      <c r="L249" s="12" t="inlineStr">
        <is>
          <t>7/C</t>
        </is>
      </c>
      <c r="M249" s="12" t="inlineStr">
        <is>
          <t>14</t>
        </is>
      </c>
      <c r="N249" s="12" t="n">
        <v>1</v>
      </c>
      <c r="O249" s="12" t="n">
        <v>1</v>
      </c>
      <c r="P249" s="12" t="n"/>
      <c r="Q249" s="12" t="n"/>
      <c r="R249" s="12" t="n"/>
      <c r="S249" s="12" t="inlineStr">
        <is>
          <t>Tray</t>
        </is>
      </c>
      <c r="T249" s="16" t="n">
        <v>693</v>
      </c>
      <c r="U249" s="16" t="n">
        <v>149</v>
      </c>
      <c r="V249" s="16">
        <f>ROUNDUP((T249+U249+2*'Read Me'!$B$13)*(1+'Read Me'!$B$12),-1)</f>
        <v/>
      </c>
      <c r="W249" s="16">
        <f>V249*N249*O249</f>
        <v/>
      </c>
      <c r="X249" s="12">
        <f>IF(LEFT(I249,2)="MV",2*N249*IF(L249="1/C",O249,1),0)</f>
        <v/>
      </c>
      <c r="Y249" s="12">
        <f>IF(OR(LEFT(K249,4)="LVAX",LEFT(K249,6)="MV15AX",LEFT(K249,4)="CTAX",LEFT(K249,2)="W|"),2*N249*O249,0)</f>
        <v/>
      </c>
      <c r="Z249" s="12" t="inlineStr"/>
      <c r="AA249" s="12">
        <f>N249*O249</f>
        <v/>
      </c>
    </row>
    <row r="250">
      <c r="A250" s="12" t="inlineStr">
        <is>
          <t>A-C-0238</t>
        </is>
      </c>
      <c r="B250" s="12" t="inlineStr">
        <is>
          <t>A</t>
        </is>
      </c>
      <c r="C250" s="12" t="inlineStr">
        <is>
          <t>Power block</t>
        </is>
      </c>
      <c r="D250" s="12" t="inlineStr">
        <is>
          <t>Motor 6 of 12: control / local station</t>
        </is>
      </c>
      <c r="E250" s="12" t="inlineStr">
        <is>
          <t>MCC-GT3</t>
        </is>
      </c>
      <c r="F250" s="12" t="inlineStr">
        <is>
          <t>R1 MCC-GT3</t>
        </is>
      </c>
      <c r="G250" s="12" t="inlineStr">
        <is>
          <t>GT3 aux</t>
        </is>
      </c>
      <c r="H250" s="12" t="inlineStr">
        <is>
          <t>GT3 aux: lube oil, hydraulics, enclosure fans</t>
        </is>
      </c>
      <c r="I250" s="12" t="inlineStr">
        <is>
          <t>Control</t>
        </is>
      </c>
      <c r="J250" s="12" t="inlineStr">
        <is>
          <t>ARMOR-X MC-HL 600 V control, Cu #14 AWG (Class I Div 2)</t>
        </is>
      </c>
      <c r="K250" s="12" t="inlineStr">
        <is>
          <t>CTAX|7/C|14</t>
        </is>
      </c>
      <c r="L250" s="12" t="inlineStr">
        <is>
          <t>7/C</t>
        </is>
      </c>
      <c r="M250" s="12" t="inlineStr">
        <is>
          <t>14</t>
        </is>
      </c>
      <c r="N250" s="12" t="n">
        <v>1</v>
      </c>
      <c r="O250" s="12" t="n">
        <v>1</v>
      </c>
      <c r="P250" s="12" t="n"/>
      <c r="Q250" s="12" t="n"/>
      <c r="R250" s="12" t="n"/>
      <c r="S250" s="12" t="inlineStr">
        <is>
          <t>Tray</t>
        </is>
      </c>
      <c r="T250" s="16" t="n">
        <v>693</v>
      </c>
      <c r="U250" s="16" t="n">
        <v>149</v>
      </c>
      <c r="V250" s="16">
        <f>ROUNDUP((T250+U250+2*'Read Me'!$B$13)*(1+'Read Me'!$B$12),-1)</f>
        <v/>
      </c>
      <c r="W250" s="16">
        <f>V250*N250*O250</f>
        <v/>
      </c>
      <c r="X250" s="12">
        <f>IF(LEFT(I250,2)="MV",2*N250*IF(L250="1/C",O250,1),0)</f>
        <v/>
      </c>
      <c r="Y250" s="12">
        <f>IF(OR(LEFT(K250,4)="LVAX",LEFT(K250,6)="MV15AX",LEFT(K250,4)="CTAX",LEFT(K250,2)="W|"),2*N250*O250,0)</f>
        <v/>
      </c>
      <c r="Z250" s="12" t="inlineStr"/>
      <c r="AA250" s="12">
        <f>N250*O250</f>
        <v/>
      </c>
    </row>
    <row r="251">
      <c r="A251" s="12" t="inlineStr">
        <is>
          <t>A-C-0239</t>
        </is>
      </c>
      <c r="B251" s="12" t="inlineStr">
        <is>
          <t>A</t>
        </is>
      </c>
      <c r="C251" s="12" t="inlineStr">
        <is>
          <t>Power block</t>
        </is>
      </c>
      <c r="D251" s="12" t="inlineStr">
        <is>
          <t>Motor 7 of 12: control / local station</t>
        </is>
      </c>
      <c r="E251" s="12" t="inlineStr">
        <is>
          <t>MCC-GT3</t>
        </is>
      </c>
      <c r="F251" s="12" t="inlineStr">
        <is>
          <t>R1 MCC-GT3</t>
        </is>
      </c>
      <c r="G251" s="12" t="inlineStr">
        <is>
          <t>GT3 aux</t>
        </is>
      </c>
      <c r="H251" s="12" t="inlineStr">
        <is>
          <t>GT3 aux: lube oil, hydraulics, enclosure fans</t>
        </is>
      </c>
      <c r="I251" s="12" t="inlineStr">
        <is>
          <t>Control</t>
        </is>
      </c>
      <c r="J251" s="12" t="inlineStr">
        <is>
          <t>ARMOR-X MC-HL 600 V control, Cu #14 AWG (Class I Div 2)</t>
        </is>
      </c>
      <c r="K251" s="12" t="inlineStr">
        <is>
          <t>CTAX|7/C|14</t>
        </is>
      </c>
      <c r="L251" s="12" t="inlineStr">
        <is>
          <t>7/C</t>
        </is>
      </c>
      <c r="M251" s="12" t="inlineStr">
        <is>
          <t>14</t>
        </is>
      </c>
      <c r="N251" s="12" t="n">
        <v>1</v>
      </c>
      <c r="O251" s="12" t="n">
        <v>1</v>
      </c>
      <c r="P251" s="12" t="n"/>
      <c r="Q251" s="12" t="n"/>
      <c r="R251" s="12" t="n"/>
      <c r="S251" s="12" t="inlineStr">
        <is>
          <t>Tray</t>
        </is>
      </c>
      <c r="T251" s="16" t="n">
        <v>693</v>
      </c>
      <c r="U251" s="16" t="n">
        <v>149</v>
      </c>
      <c r="V251" s="16">
        <f>ROUNDUP((T251+U251+2*'Read Me'!$B$13)*(1+'Read Me'!$B$12),-1)</f>
        <v/>
      </c>
      <c r="W251" s="16">
        <f>V251*N251*O251</f>
        <v/>
      </c>
      <c r="X251" s="12">
        <f>IF(LEFT(I251,2)="MV",2*N251*IF(L251="1/C",O251,1),0)</f>
        <v/>
      </c>
      <c r="Y251" s="12">
        <f>IF(OR(LEFT(K251,4)="LVAX",LEFT(K251,6)="MV15AX",LEFT(K251,4)="CTAX",LEFT(K251,2)="W|"),2*N251*O251,0)</f>
        <v/>
      </c>
      <c r="Z251" s="12" t="inlineStr"/>
      <c r="AA251" s="12">
        <f>N251*O251</f>
        <v/>
      </c>
    </row>
    <row r="252">
      <c r="A252" s="12" t="inlineStr">
        <is>
          <t>A-C-0240</t>
        </is>
      </c>
      <c r="B252" s="12" t="inlineStr">
        <is>
          <t>A</t>
        </is>
      </c>
      <c r="C252" s="12" t="inlineStr">
        <is>
          <t>Power block</t>
        </is>
      </c>
      <c r="D252" s="12" t="inlineStr">
        <is>
          <t>Motor 8 of 12: control / local station</t>
        </is>
      </c>
      <c r="E252" s="12" t="inlineStr">
        <is>
          <t>MCC-GT3</t>
        </is>
      </c>
      <c r="F252" s="12" t="inlineStr">
        <is>
          <t>R1 MCC-GT3</t>
        </is>
      </c>
      <c r="G252" s="12" t="inlineStr">
        <is>
          <t>GT3 aux</t>
        </is>
      </c>
      <c r="H252" s="12" t="inlineStr">
        <is>
          <t>GT3 aux: lube oil, hydraulics, enclosure fans</t>
        </is>
      </c>
      <c r="I252" s="12" t="inlineStr">
        <is>
          <t>Control</t>
        </is>
      </c>
      <c r="J252" s="12" t="inlineStr">
        <is>
          <t>ARMOR-X MC-HL 600 V control, Cu #14 AWG (Class I Div 2)</t>
        </is>
      </c>
      <c r="K252" s="12" t="inlineStr">
        <is>
          <t>CTAX|7/C|14</t>
        </is>
      </c>
      <c r="L252" s="12" t="inlineStr">
        <is>
          <t>7/C</t>
        </is>
      </c>
      <c r="M252" s="12" t="inlineStr">
        <is>
          <t>14</t>
        </is>
      </c>
      <c r="N252" s="12" t="n">
        <v>1</v>
      </c>
      <c r="O252" s="12" t="n">
        <v>1</v>
      </c>
      <c r="P252" s="12" t="n"/>
      <c r="Q252" s="12" t="n"/>
      <c r="R252" s="12" t="n"/>
      <c r="S252" s="12" t="inlineStr">
        <is>
          <t>Tray</t>
        </is>
      </c>
      <c r="T252" s="16" t="n">
        <v>693</v>
      </c>
      <c r="U252" s="16" t="n">
        <v>149</v>
      </c>
      <c r="V252" s="16">
        <f>ROUNDUP((T252+U252+2*'Read Me'!$B$13)*(1+'Read Me'!$B$12),-1)</f>
        <v/>
      </c>
      <c r="W252" s="16">
        <f>V252*N252*O252</f>
        <v/>
      </c>
      <c r="X252" s="12">
        <f>IF(LEFT(I252,2)="MV",2*N252*IF(L252="1/C",O252,1),0)</f>
        <v/>
      </c>
      <c r="Y252" s="12">
        <f>IF(OR(LEFT(K252,4)="LVAX",LEFT(K252,6)="MV15AX",LEFT(K252,4)="CTAX",LEFT(K252,2)="W|"),2*N252*O252,0)</f>
        <v/>
      </c>
      <c r="Z252" s="12" t="inlineStr"/>
      <c r="AA252" s="12">
        <f>N252*O252</f>
        <v/>
      </c>
    </row>
    <row r="253">
      <c r="A253" s="12" t="inlineStr">
        <is>
          <t>A-C-0241</t>
        </is>
      </c>
      <c r="B253" s="12" t="inlineStr">
        <is>
          <t>A</t>
        </is>
      </c>
      <c r="C253" s="12" t="inlineStr">
        <is>
          <t>Power block</t>
        </is>
      </c>
      <c r="D253" s="12" t="inlineStr">
        <is>
          <t>Motor 9 of 12: control / local station</t>
        </is>
      </c>
      <c r="E253" s="12" t="inlineStr">
        <is>
          <t>MCC-GT3</t>
        </is>
      </c>
      <c r="F253" s="12" t="inlineStr">
        <is>
          <t>R1 MCC-GT3</t>
        </is>
      </c>
      <c r="G253" s="12" t="inlineStr">
        <is>
          <t>GT3 aux</t>
        </is>
      </c>
      <c r="H253" s="12" t="inlineStr">
        <is>
          <t>GT3 aux: lube oil, hydraulics, enclosure fans</t>
        </is>
      </c>
      <c r="I253" s="12" t="inlineStr">
        <is>
          <t>Control</t>
        </is>
      </c>
      <c r="J253" s="12" t="inlineStr">
        <is>
          <t>ARMOR-X MC-HL 600 V control, Cu #14 AWG (Class I Div 2)</t>
        </is>
      </c>
      <c r="K253" s="12" t="inlineStr">
        <is>
          <t>CTAX|7/C|14</t>
        </is>
      </c>
      <c r="L253" s="12" t="inlineStr">
        <is>
          <t>7/C</t>
        </is>
      </c>
      <c r="M253" s="12" t="inlineStr">
        <is>
          <t>14</t>
        </is>
      </c>
      <c r="N253" s="12" t="n">
        <v>1</v>
      </c>
      <c r="O253" s="12" t="n">
        <v>1</v>
      </c>
      <c r="P253" s="12" t="n"/>
      <c r="Q253" s="12" t="n"/>
      <c r="R253" s="12" t="n"/>
      <c r="S253" s="12" t="inlineStr">
        <is>
          <t>Tray</t>
        </is>
      </c>
      <c r="T253" s="16" t="n">
        <v>693</v>
      </c>
      <c r="U253" s="16" t="n">
        <v>149</v>
      </c>
      <c r="V253" s="16">
        <f>ROUNDUP((T253+U253+2*'Read Me'!$B$13)*(1+'Read Me'!$B$12),-1)</f>
        <v/>
      </c>
      <c r="W253" s="16">
        <f>V253*N253*O253</f>
        <v/>
      </c>
      <c r="X253" s="12">
        <f>IF(LEFT(I253,2)="MV",2*N253*IF(L253="1/C",O253,1),0)</f>
        <v/>
      </c>
      <c r="Y253" s="12">
        <f>IF(OR(LEFT(K253,4)="LVAX",LEFT(K253,6)="MV15AX",LEFT(K253,4)="CTAX",LEFT(K253,2)="W|"),2*N253*O253,0)</f>
        <v/>
      </c>
      <c r="Z253" s="12" t="inlineStr"/>
      <c r="AA253" s="12">
        <f>N253*O253</f>
        <v/>
      </c>
    </row>
    <row r="254">
      <c r="A254" s="12" t="inlineStr">
        <is>
          <t>A-C-0242</t>
        </is>
      </c>
      <c r="B254" s="12" t="inlineStr">
        <is>
          <t>A</t>
        </is>
      </c>
      <c r="C254" s="12" t="inlineStr">
        <is>
          <t>Power block</t>
        </is>
      </c>
      <c r="D254" s="12" t="inlineStr">
        <is>
          <t>Motor 10 of 12: control / local station</t>
        </is>
      </c>
      <c r="E254" s="12" t="inlineStr">
        <is>
          <t>MCC-GT3</t>
        </is>
      </c>
      <c r="F254" s="12" t="inlineStr">
        <is>
          <t>R1 MCC-GT3</t>
        </is>
      </c>
      <c r="G254" s="12" t="inlineStr">
        <is>
          <t>GT3 aux</t>
        </is>
      </c>
      <c r="H254" s="12" t="inlineStr">
        <is>
          <t>GT3 aux: lube oil, hydraulics, enclosure fans</t>
        </is>
      </c>
      <c r="I254" s="12" t="inlineStr">
        <is>
          <t>Control</t>
        </is>
      </c>
      <c r="J254" s="12" t="inlineStr">
        <is>
          <t>ARMOR-X MC-HL 600 V control, Cu #14 AWG (Class I Div 2)</t>
        </is>
      </c>
      <c r="K254" s="12" t="inlineStr">
        <is>
          <t>CTAX|7/C|14</t>
        </is>
      </c>
      <c r="L254" s="12" t="inlineStr">
        <is>
          <t>7/C</t>
        </is>
      </c>
      <c r="M254" s="12" t="inlineStr">
        <is>
          <t>14</t>
        </is>
      </c>
      <c r="N254" s="12" t="n">
        <v>1</v>
      </c>
      <c r="O254" s="12" t="n">
        <v>1</v>
      </c>
      <c r="P254" s="12" t="n"/>
      <c r="Q254" s="12" t="n"/>
      <c r="R254" s="12" t="n"/>
      <c r="S254" s="12" t="inlineStr">
        <is>
          <t>Tray</t>
        </is>
      </c>
      <c r="T254" s="16" t="n">
        <v>693</v>
      </c>
      <c r="U254" s="16" t="n">
        <v>149</v>
      </c>
      <c r="V254" s="16">
        <f>ROUNDUP((T254+U254+2*'Read Me'!$B$13)*(1+'Read Me'!$B$12),-1)</f>
        <v/>
      </c>
      <c r="W254" s="16">
        <f>V254*N254*O254</f>
        <v/>
      </c>
      <c r="X254" s="12">
        <f>IF(LEFT(I254,2)="MV",2*N254*IF(L254="1/C",O254,1),0)</f>
        <v/>
      </c>
      <c r="Y254" s="12">
        <f>IF(OR(LEFT(K254,4)="LVAX",LEFT(K254,6)="MV15AX",LEFT(K254,4)="CTAX",LEFT(K254,2)="W|"),2*N254*O254,0)</f>
        <v/>
      </c>
      <c r="Z254" s="12" t="inlineStr"/>
      <c r="AA254" s="12">
        <f>N254*O254</f>
        <v/>
      </c>
    </row>
    <row r="255">
      <c r="A255" s="12" t="inlineStr">
        <is>
          <t>A-C-0243</t>
        </is>
      </c>
      <c r="B255" s="12" t="inlineStr">
        <is>
          <t>A</t>
        </is>
      </c>
      <c r="C255" s="12" t="inlineStr">
        <is>
          <t>Power block</t>
        </is>
      </c>
      <c r="D255" s="12" t="inlineStr">
        <is>
          <t>Motor 11 of 12: control / local station</t>
        </is>
      </c>
      <c r="E255" s="12" t="inlineStr">
        <is>
          <t>MCC-GT3</t>
        </is>
      </c>
      <c r="F255" s="12" t="inlineStr">
        <is>
          <t>R1 MCC-GT3</t>
        </is>
      </c>
      <c r="G255" s="12" t="inlineStr">
        <is>
          <t>GT3 aux</t>
        </is>
      </c>
      <c r="H255" s="12" t="inlineStr">
        <is>
          <t>GT3 aux: lube oil, hydraulics, enclosure fans</t>
        </is>
      </c>
      <c r="I255" s="12" t="inlineStr">
        <is>
          <t>Control</t>
        </is>
      </c>
      <c r="J255" s="12" t="inlineStr">
        <is>
          <t>ARMOR-X MC-HL 600 V control, Cu #14 AWG (Class I Div 2)</t>
        </is>
      </c>
      <c r="K255" s="12" t="inlineStr">
        <is>
          <t>CTAX|7/C|14</t>
        </is>
      </c>
      <c r="L255" s="12" t="inlineStr">
        <is>
          <t>7/C</t>
        </is>
      </c>
      <c r="M255" s="12" t="inlineStr">
        <is>
          <t>14</t>
        </is>
      </c>
      <c r="N255" s="12" t="n">
        <v>1</v>
      </c>
      <c r="O255" s="12" t="n">
        <v>1</v>
      </c>
      <c r="P255" s="12" t="n"/>
      <c r="Q255" s="12" t="n"/>
      <c r="R255" s="12" t="n"/>
      <c r="S255" s="12" t="inlineStr">
        <is>
          <t>Tray</t>
        </is>
      </c>
      <c r="T255" s="16" t="n">
        <v>693</v>
      </c>
      <c r="U255" s="16" t="n">
        <v>149</v>
      </c>
      <c r="V255" s="16">
        <f>ROUNDUP((T255+U255+2*'Read Me'!$B$13)*(1+'Read Me'!$B$12),-1)</f>
        <v/>
      </c>
      <c r="W255" s="16">
        <f>V255*N255*O255</f>
        <v/>
      </c>
      <c r="X255" s="12">
        <f>IF(LEFT(I255,2)="MV",2*N255*IF(L255="1/C",O255,1),0)</f>
        <v/>
      </c>
      <c r="Y255" s="12">
        <f>IF(OR(LEFT(K255,4)="LVAX",LEFT(K255,6)="MV15AX",LEFT(K255,4)="CTAX",LEFT(K255,2)="W|"),2*N255*O255,0)</f>
        <v/>
      </c>
      <c r="Z255" s="12" t="inlineStr"/>
      <c r="AA255" s="12">
        <f>N255*O255</f>
        <v/>
      </c>
    </row>
    <row r="256">
      <c r="A256" s="12" t="inlineStr">
        <is>
          <t>A-C-0244</t>
        </is>
      </c>
      <c r="B256" s="12" t="inlineStr">
        <is>
          <t>A</t>
        </is>
      </c>
      <c r="C256" s="12" t="inlineStr">
        <is>
          <t>Power block</t>
        </is>
      </c>
      <c r="D256" s="12" t="inlineStr">
        <is>
          <t>Motor 12 of 12: control / local station</t>
        </is>
      </c>
      <c r="E256" s="12" t="inlineStr">
        <is>
          <t>MCC-GT3</t>
        </is>
      </c>
      <c r="F256" s="12" t="inlineStr">
        <is>
          <t>R1 MCC-GT3</t>
        </is>
      </c>
      <c r="G256" s="12" t="inlineStr">
        <is>
          <t>GT3 aux</t>
        </is>
      </c>
      <c r="H256" s="12" t="inlineStr">
        <is>
          <t>GT3 aux: lube oil, hydraulics, enclosure fans</t>
        </is>
      </c>
      <c r="I256" s="12" t="inlineStr">
        <is>
          <t>Control</t>
        </is>
      </c>
      <c r="J256" s="12" t="inlineStr">
        <is>
          <t>ARMOR-X MC-HL 600 V control, Cu #14 AWG (Class I Div 2)</t>
        </is>
      </c>
      <c r="K256" s="12" t="inlineStr">
        <is>
          <t>CTAX|7/C|14</t>
        </is>
      </c>
      <c r="L256" s="12" t="inlineStr">
        <is>
          <t>7/C</t>
        </is>
      </c>
      <c r="M256" s="12" t="inlineStr">
        <is>
          <t>14</t>
        </is>
      </c>
      <c r="N256" s="12" t="n">
        <v>1</v>
      </c>
      <c r="O256" s="12" t="n">
        <v>1</v>
      </c>
      <c r="P256" s="12" t="n"/>
      <c r="Q256" s="12" t="n"/>
      <c r="R256" s="12" t="n"/>
      <c r="S256" s="12" t="inlineStr">
        <is>
          <t>Tray</t>
        </is>
      </c>
      <c r="T256" s="16" t="n">
        <v>693</v>
      </c>
      <c r="U256" s="16" t="n">
        <v>149</v>
      </c>
      <c r="V256" s="16">
        <f>ROUNDUP((T256+U256+2*'Read Me'!$B$13)*(1+'Read Me'!$B$12),-1)</f>
        <v/>
      </c>
      <c r="W256" s="16">
        <f>V256*N256*O256</f>
        <v/>
      </c>
      <c r="X256" s="12">
        <f>IF(LEFT(I256,2)="MV",2*N256*IF(L256="1/C",O256,1),0)</f>
        <v/>
      </c>
      <c r="Y256" s="12">
        <f>IF(OR(LEFT(K256,4)="LVAX",LEFT(K256,6)="MV15AX",LEFT(K256,4)="CTAX",LEFT(K256,2)="W|"),2*N256*O256,0)</f>
        <v/>
      </c>
      <c r="Z256" s="12" t="inlineStr"/>
      <c r="AA256" s="12">
        <f>N256*O256</f>
        <v/>
      </c>
    </row>
    <row r="257">
      <c r="A257" s="12" t="inlineStr">
        <is>
          <t>A-C-0245</t>
        </is>
      </c>
      <c r="B257" s="12" t="inlineStr">
        <is>
          <t>A</t>
        </is>
      </c>
      <c r="C257" s="12" t="inlineStr">
        <is>
          <t>Power block</t>
        </is>
      </c>
      <c r="D257" s="12" t="inlineStr">
        <is>
          <t>Solenoid to JB JB-GT3 aux-SOL01: 10 x 2/C (field cables)</t>
        </is>
      </c>
      <c r="E257" s="12" t="inlineStr">
        <is>
          <t>GT3 aux</t>
        </is>
      </c>
      <c r="F257" s="12" t="inlineStr">
        <is>
          <t>GT3 aux: lube oil, hydraulics, enclosure fans</t>
        </is>
      </c>
      <c r="G257" s="12" t="inlineStr">
        <is>
          <t>JB-GT3 aux-SOL01</t>
        </is>
      </c>
      <c r="H257" s="12" t="inlineStr">
        <is>
          <t>GT3 aux: lube oil, hydraulics, enclosure fans</t>
        </is>
      </c>
      <c r="I257" s="12" t="inlineStr">
        <is>
          <t>Control</t>
        </is>
      </c>
      <c r="J257" s="12" t="inlineStr">
        <is>
          <t>ARMOR-X MC-HL 600 V control, Cu #14 AWG (Class I Div 2)</t>
        </is>
      </c>
      <c r="K257" s="12" t="inlineStr">
        <is>
          <t>CTAX|2/C|14</t>
        </is>
      </c>
      <c r="L257" s="12" t="inlineStr">
        <is>
          <t>2/C</t>
        </is>
      </c>
      <c r="M257" s="12" t="inlineStr">
        <is>
          <t>14</t>
        </is>
      </c>
      <c r="N257" s="12" t="n">
        <v>10</v>
      </c>
      <c r="O257" s="12" t="n">
        <v>1</v>
      </c>
      <c r="P257" s="12" t="n"/>
      <c r="Q257" s="12" t="n"/>
      <c r="R257" s="12" t="n"/>
      <c r="S257" s="12" t="inlineStr">
        <is>
          <t>Tray / conduit</t>
        </is>
      </c>
      <c r="T257" s="16" t="n">
        <v>62</v>
      </c>
      <c r="U257" s="16" t="n">
        <v>10</v>
      </c>
      <c r="V257" s="16">
        <f>ROUNDUP((T257+U257+2*'Read Me'!$B$13)*(1+'Read Me'!$B$12),-1)</f>
        <v/>
      </c>
      <c r="W257" s="16">
        <f>V257*N257*O257</f>
        <v/>
      </c>
      <c r="X257" s="12">
        <f>IF(LEFT(I257,2)="MV",2*N257*IF(L257="1/C",O257,1),0)</f>
        <v/>
      </c>
      <c r="Y257" s="12">
        <f>IF(OR(LEFT(K257,4)="LVAX",LEFT(K257,6)="MV15AX",LEFT(K257,4)="CTAX",LEFT(K257,2)="W|"),2*N257*O257,0)</f>
        <v/>
      </c>
      <c r="Z257" s="12" t="inlineStr">
        <is>
          <t>device-to-JB field wiring, one cable per device</t>
        </is>
      </c>
      <c r="AA257" s="12">
        <f>N257*O257</f>
        <v/>
      </c>
    </row>
    <row r="258">
      <c r="A258" s="12" t="inlineStr">
        <is>
          <t>A-C-0246</t>
        </is>
      </c>
      <c r="B258" s="12" t="inlineStr">
        <is>
          <t>A</t>
        </is>
      </c>
      <c r="C258" s="12" t="inlineStr">
        <is>
          <t>Power block</t>
        </is>
      </c>
      <c r="D258" s="12" t="inlineStr">
        <is>
          <t>Home run JB-GT3 aux-SOL01 to the control / marshalling room</t>
        </is>
      </c>
      <c r="E258" s="12" t="inlineStr">
        <is>
          <t>R2C</t>
        </is>
      </c>
      <c r="F258" s="12" t="inlineStr">
        <is>
          <t>R2C: unit / HRSG electrical e-house (32 x 40 ft)</t>
        </is>
      </c>
      <c r="G258" s="12" t="inlineStr">
        <is>
          <t>JB-GT3 aux-SOL01</t>
        </is>
      </c>
      <c r="H258" s="12" t="inlineStr">
        <is>
          <t>GT3 aux: lube oil, hydraulics, enclosure fans</t>
        </is>
      </c>
      <c r="I258" s="12" t="inlineStr">
        <is>
          <t>Control</t>
        </is>
      </c>
      <c r="J258" s="12" t="inlineStr">
        <is>
          <t>ARMOR-X MC-HL 600 V control, Cu #14 AWG (Class I Div 2)</t>
        </is>
      </c>
      <c r="K258" s="12" t="inlineStr">
        <is>
          <t>CTAX|25/C|14</t>
        </is>
      </c>
      <c r="L258" s="12" t="inlineStr">
        <is>
          <t>25/C</t>
        </is>
      </c>
      <c r="M258" s="12" t="inlineStr">
        <is>
          <t>14</t>
        </is>
      </c>
      <c r="N258" s="12" t="n">
        <v>1</v>
      </c>
      <c r="O258" s="12" t="n">
        <v>1</v>
      </c>
      <c r="P258" s="12" t="n"/>
      <c r="Q258" s="12" t="n"/>
      <c r="R258" s="12" t="n"/>
      <c r="S258" s="12" t="inlineStr">
        <is>
          <t>Tray</t>
        </is>
      </c>
      <c r="T258" s="16" t="n">
        <v>926</v>
      </c>
      <c r="U258" s="16" t="n">
        <v>248</v>
      </c>
      <c r="V258" s="16">
        <f>ROUNDUP((T258+U258+2*'Read Me'!$B$13)*(1+'Read Me'!$B$12),-1)</f>
        <v/>
      </c>
      <c r="W258" s="16">
        <f>V258*N258*O258</f>
        <v/>
      </c>
      <c r="X258" s="12">
        <f>IF(LEFT(I258,2)="MV",2*N258*IF(L258="1/C",O258,1),0)</f>
        <v/>
      </c>
      <c r="Y258" s="12">
        <f>IF(OR(LEFT(K258,4)="LVAX",LEFT(K258,6)="MV15AX",LEFT(K258,4)="CTAX",LEFT(K258,2)="W|"),2*N258*O258,0)</f>
        <v/>
      </c>
      <c r="Z258" s="12" t="inlineStr"/>
      <c r="AA258" s="12">
        <f>N258*O258</f>
        <v/>
      </c>
    </row>
    <row r="259">
      <c r="A259" s="12" t="inlineStr">
        <is>
          <t>A-C-0247</t>
        </is>
      </c>
      <c r="B259" s="12" t="inlineStr">
        <is>
          <t>A</t>
        </is>
      </c>
      <c r="C259" s="12" t="inlineStr">
        <is>
          <t>Power block</t>
        </is>
      </c>
      <c r="D259" s="12" t="inlineStr">
        <is>
          <t>Solenoid to JB JB-GT3-SOL01: 10 x 2/C (field cables)</t>
        </is>
      </c>
      <c r="E259" s="12" t="inlineStr">
        <is>
          <t>GT3</t>
        </is>
      </c>
      <c r="F259" s="12" t="inlineStr">
        <is>
          <t>GT3: H-class gas turbine (60 Hz)</t>
        </is>
      </c>
      <c r="G259" s="12" t="inlineStr">
        <is>
          <t>JB-GT3-SOL01</t>
        </is>
      </c>
      <c r="H259" s="12" t="inlineStr">
        <is>
          <t>GT3: H-class gas turbine (60 Hz)</t>
        </is>
      </c>
      <c r="I259" s="12" t="inlineStr">
        <is>
          <t>Control</t>
        </is>
      </c>
      <c r="J259" s="12" t="inlineStr">
        <is>
          <t>ARMOR-X MC-HL 600 V control, Cu #14 AWG (Class I Div 2)</t>
        </is>
      </c>
      <c r="K259" s="12" t="inlineStr">
        <is>
          <t>CTAX|2/C|14</t>
        </is>
      </c>
      <c r="L259" s="12" t="inlineStr">
        <is>
          <t>2/C</t>
        </is>
      </c>
      <c r="M259" s="12" t="inlineStr">
        <is>
          <t>14</t>
        </is>
      </c>
      <c r="N259" s="12" t="n">
        <v>10</v>
      </c>
      <c r="O259" s="12" t="n">
        <v>1</v>
      </c>
      <c r="P259" s="12" t="n"/>
      <c r="Q259" s="12" t="n"/>
      <c r="R259" s="12" t="n"/>
      <c r="S259" s="12" t="inlineStr">
        <is>
          <t>Tray / conduit</t>
        </is>
      </c>
      <c r="T259" s="16" t="n">
        <v>96</v>
      </c>
      <c r="U259" s="16" t="n">
        <v>10</v>
      </c>
      <c r="V259" s="16">
        <f>ROUNDUP((T259+U259+2*'Read Me'!$B$13)*(1+'Read Me'!$B$12),-1)</f>
        <v/>
      </c>
      <c r="W259" s="16">
        <f>V259*N259*O259</f>
        <v/>
      </c>
      <c r="X259" s="12">
        <f>IF(LEFT(I259,2)="MV",2*N259*IF(L259="1/C",O259,1),0)</f>
        <v/>
      </c>
      <c r="Y259" s="12">
        <f>IF(OR(LEFT(K259,4)="LVAX",LEFT(K259,6)="MV15AX",LEFT(K259,4)="CTAX",LEFT(K259,2)="W|"),2*N259*O259,0)</f>
        <v/>
      </c>
      <c r="Z259" s="12" t="inlineStr">
        <is>
          <t>device-to-JB field wiring, one cable per device</t>
        </is>
      </c>
      <c r="AA259" s="12">
        <f>N259*O259</f>
        <v/>
      </c>
    </row>
    <row r="260">
      <c r="A260" s="12" t="inlineStr">
        <is>
          <t>A-C-0248</t>
        </is>
      </c>
      <c r="B260" s="12" t="inlineStr">
        <is>
          <t>A</t>
        </is>
      </c>
      <c r="C260" s="12" t="inlineStr">
        <is>
          <t>Power block</t>
        </is>
      </c>
      <c r="D260" s="12" t="inlineStr">
        <is>
          <t>Home run JB-GT3-SOL01 to the control / marshalling room</t>
        </is>
      </c>
      <c r="E260" s="12" t="inlineStr">
        <is>
          <t>R2C</t>
        </is>
      </c>
      <c r="F260" s="12" t="inlineStr">
        <is>
          <t>R2C: unit / HRSG electrical e-house (32 x 40 ft)</t>
        </is>
      </c>
      <c r="G260" s="12" t="inlineStr">
        <is>
          <t>JB-GT3-SOL01</t>
        </is>
      </c>
      <c r="H260" s="12" t="inlineStr">
        <is>
          <t>GT3: H-class gas turbine (60 Hz)</t>
        </is>
      </c>
      <c r="I260" s="12" t="inlineStr">
        <is>
          <t>Control</t>
        </is>
      </c>
      <c r="J260" s="12" t="inlineStr">
        <is>
          <t>ARMOR-X MC-HL 600 V control, Cu #14 AWG (Class I Div 2)</t>
        </is>
      </c>
      <c r="K260" s="12" t="inlineStr">
        <is>
          <t>CTAX|25/C|14</t>
        </is>
      </c>
      <c r="L260" s="12" t="inlineStr">
        <is>
          <t>25/C</t>
        </is>
      </c>
      <c r="M260" s="12" t="inlineStr">
        <is>
          <t>14</t>
        </is>
      </c>
      <c r="N260" s="12" t="n">
        <v>1</v>
      </c>
      <c r="O260" s="12" t="n">
        <v>1</v>
      </c>
      <c r="P260" s="12" t="n"/>
      <c r="Q260" s="12" t="n"/>
      <c r="R260" s="12" t="n"/>
      <c r="S260" s="12" t="inlineStr">
        <is>
          <t>Tray</t>
        </is>
      </c>
      <c r="T260" s="16" t="n">
        <v>986</v>
      </c>
      <c r="U260" s="16" t="n">
        <v>249</v>
      </c>
      <c r="V260" s="16">
        <f>ROUNDUP((T260+U260+2*'Read Me'!$B$13)*(1+'Read Me'!$B$12),-1)</f>
        <v/>
      </c>
      <c r="W260" s="16">
        <f>V260*N260*O260</f>
        <v/>
      </c>
      <c r="X260" s="12">
        <f>IF(LEFT(I260,2)="MV",2*N260*IF(L260="1/C",O260,1),0)</f>
        <v/>
      </c>
      <c r="Y260" s="12">
        <f>IF(OR(LEFT(K260,4)="LVAX",LEFT(K260,6)="MV15AX",LEFT(K260,4)="CTAX",LEFT(K260,2)="W|"),2*N260*O260,0)</f>
        <v/>
      </c>
      <c r="Z260" s="12" t="inlineStr"/>
      <c r="AA260" s="12">
        <f>N260*O260</f>
        <v/>
      </c>
    </row>
    <row r="261">
      <c r="A261" s="12" t="inlineStr">
        <is>
          <t>A-C-0249</t>
        </is>
      </c>
      <c r="B261" s="12" t="inlineStr">
        <is>
          <t>A</t>
        </is>
      </c>
      <c r="C261" s="12" t="inlineStr">
        <is>
          <t>Power block</t>
        </is>
      </c>
      <c r="D261" s="12" t="inlineStr">
        <is>
          <t>Solenoid to JB JB-GT3-SOL02: 10 x 2/C (field cables)</t>
        </is>
      </c>
      <c r="E261" s="12" t="inlineStr">
        <is>
          <t>GT3</t>
        </is>
      </c>
      <c r="F261" s="12" t="inlineStr">
        <is>
          <t>GT3: H-class gas turbine (60 Hz)</t>
        </is>
      </c>
      <c r="G261" s="12" t="inlineStr">
        <is>
          <t>JB-GT3-SOL02</t>
        </is>
      </c>
      <c r="H261" s="12" t="inlineStr">
        <is>
          <t>GT3: H-class gas turbine (60 Hz)</t>
        </is>
      </c>
      <c r="I261" s="12" t="inlineStr">
        <is>
          <t>Control</t>
        </is>
      </c>
      <c r="J261" s="12" t="inlineStr">
        <is>
          <t>ARMOR-X MC-HL 600 V control, Cu #14 AWG (Class I Div 2)</t>
        </is>
      </c>
      <c r="K261" s="12" t="inlineStr">
        <is>
          <t>CTAX|2/C|14</t>
        </is>
      </c>
      <c r="L261" s="12" t="inlineStr">
        <is>
          <t>2/C</t>
        </is>
      </c>
      <c r="M261" s="12" t="inlineStr">
        <is>
          <t>14</t>
        </is>
      </c>
      <c r="N261" s="12" t="n">
        <v>10</v>
      </c>
      <c r="O261" s="12" t="n">
        <v>1</v>
      </c>
      <c r="P261" s="12" t="n"/>
      <c r="Q261" s="12" t="n"/>
      <c r="R261" s="12" t="n"/>
      <c r="S261" s="12" t="inlineStr">
        <is>
          <t>Tray / conduit</t>
        </is>
      </c>
      <c r="T261" s="16" t="n">
        <v>96</v>
      </c>
      <c r="U261" s="16" t="n">
        <v>10</v>
      </c>
      <c r="V261" s="16">
        <f>ROUNDUP((T261+U261+2*'Read Me'!$B$13)*(1+'Read Me'!$B$12),-1)</f>
        <v/>
      </c>
      <c r="W261" s="16">
        <f>V261*N261*O261</f>
        <v/>
      </c>
      <c r="X261" s="12">
        <f>IF(LEFT(I261,2)="MV",2*N261*IF(L261="1/C",O261,1),0)</f>
        <v/>
      </c>
      <c r="Y261" s="12">
        <f>IF(OR(LEFT(K261,4)="LVAX",LEFT(K261,6)="MV15AX",LEFT(K261,4)="CTAX",LEFT(K261,2)="W|"),2*N261*O261,0)</f>
        <v/>
      </c>
      <c r="Z261" s="12" t="inlineStr">
        <is>
          <t>device-to-JB field wiring, one cable per device</t>
        </is>
      </c>
      <c r="AA261" s="12">
        <f>N261*O261</f>
        <v/>
      </c>
    </row>
    <row r="262">
      <c r="A262" s="12" t="inlineStr">
        <is>
          <t>A-C-0250</t>
        </is>
      </c>
      <c r="B262" s="12" t="inlineStr">
        <is>
          <t>A</t>
        </is>
      </c>
      <c r="C262" s="12" t="inlineStr">
        <is>
          <t>Power block</t>
        </is>
      </c>
      <c r="D262" s="12" t="inlineStr">
        <is>
          <t>Home run JB-GT3-SOL02 to the control / marshalling room</t>
        </is>
      </c>
      <c r="E262" s="12" t="inlineStr">
        <is>
          <t>R2C</t>
        </is>
      </c>
      <c r="F262" s="12" t="inlineStr">
        <is>
          <t>R2C: unit / HRSG electrical e-house (32 x 40 ft)</t>
        </is>
      </c>
      <c r="G262" s="12" t="inlineStr">
        <is>
          <t>JB-GT3-SOL02</t>
        </is>
      </c>
      <c r="H262" s="12" t="inlineStr">
        <is>
          <t>GT3: H-class gas turbine (60 Hz)</t>
        </is>
      </c>
      <c r="I262" s="12" t="inlineStr">
        <is>
          <t>Control</t>
        </is>
      </c>
      <c r="J262" s="12" t="inlineStr">
        <is>
          <t>ARMOR-X MC-HL 600 V control, Cu #14 AWG (Class I Div 2)</t>
        </is>
      </c>
      <c r="K262" s="12" t="inlineStr">
        <is>
          <t>CTAX|25/C|14</t>
        </is>
      </c>
      <c r="L262" s="12" t="inlineStr">
        <is>
          <t>25/C</t>
        </is>
      </c>
      <c r="M262" s="12" t="inlineStr">
        <is>
          <t>14</t>
        </is>
      </c>
      <c r="N262" s="12" t="n">
        <v>1</v>
      </c>
      <c r="O262" s="12" t="n">
        <v>1</v>
      </c>
      <c r="P262" s="12" t="n"/>
      <c r="Q262" s="12" t="n"/>
      <c r="R262" s="12" t="n"/>
      <c r="S262" s="12" t="inlineStr">
        <is>
          <t>Tray</t>
        </is>
      </c>
      <c r="T262" s="16" t="n">
        <v>986</v>
      </c>
      <c r="U262" s="16" t="n">
        <v>249</v>
      </c>
      <c r="V262" s="16">
        <f>ROUNDUP((T262+U262+2*'Read Me'!$B$13)*(1+'Read Me'!$B$12),-1)</f>
        <v/>
      </c>
      <c r="W262" s="16">
        <f>V262*N262*O262</f>
        <v/>
      </c>
      <c r="X262" s="12">
        <f>IF(LEFT(I262,2)="MV",2*N262*IF(L262="1/C",O262,1),0)</f>
        <v/>
      </c>
      <c r="Y262" s="12">
        <f>IF(OR(LEFT(K262,4)="LVAX",LEFT(K262,6)="MV15AX",LEFT(K262,4)="CTAX",LEFT(K262,2)="W|"),2*N262*O262,0)</f>
        <v/>
      </c>
      <c r="Z262" s="12" t="inlineStr"/>
      <c r="AA262" s="12">
        <f>N262*O262</f>
        <v/>
      </c>
    </row>
    <row r="263">
      <c r="A263" s="12" t="inlineStr">
        <is>
          <t>A-C-0251</t>
        </is>
      </c>
      <c r="B263" s="12" t="inlineStr">
        <is>
          <t>A</t>
        </is>
      </c>
      <c r="C263" s="12" t="inlineStr">
        <is>
          <t>Power block</t>
        </is>
      </c>
      <c r="D263" s="12" t="inlineStr">
        <is>
          <t>Solenoid to JB JB-GT3-SOL03: 10 x 2/C (field cables)</t>
        </is>
      </c>
      <c r="E263" s="12" t="inlineStr">
        <is>
          <t>GT3</t>
        </is>
      </c>
      <c r="F263" s="12" t="inlineStr">
        <is>
          <t>GT3: H-class gas turbine (60 Hz)</t>
        </is>
      </c>
      <c r="G263" s="12" t="inlineStr">
        <is>
          <t>JB-GT3-SOL03</t>
        </is>
      </c>
      <c r="H263" s="12" t="inlineStr">
        <is>
          <t>GT3: H-class gas turbine (60 Hz)</t>
        </is>
      </c>
      <c r="I263" s="12" t="inlineStr">
        <is>
          <t>Control</t>
        </is>
      </c>
      <c r="J263" s="12" t="inlineStr">
        <is>
          <t>ARMOR-X MC-HL 600 V control, Cu #14 AWG (Class I Div 2)</t>
        </is>
      </c>
      <c r="K263" s="12" t="inlineStr">
        <is>
          <t>CTAX|2/C|14</t>
        </is>
      </c>
      <c r="L263" s="12" t="inlineStr">
        <is>
          <t>2/C</t>
        </is>
      </c>
      <c r="M263" s="12" t="inlineStr">
        <is>
          <t>14</t>
        </is>
      </c>
      <c r="N263" s="12" t="n">
        <v>10</v>
      </c>
      <c r="O263" s="12" t="n">
        <v>1</v>
      </c>
      <c r="P263" s="12" t="n"/>
      <c r="Q263" s="12" t="n"/>
      <c r="R263" s="12" t="n"/>
      <c r="S263" s="12" t="inlineStr">
        <is>
          <t>Tray / conduit</t>
        </is>
      </c>
      <c r="T263" s="16" t="n">
        <v>96</v>
      </c>
      <c r="U263" s="16" t="n">
        <v>10</v>
      </c>
      <c r="V263" s="16">
        <f>ROUNDUP((T263+U263+2*'Read Me'!$B$13)*(1+'Read Me'!$B$12),-1)</f>
        <v/>
      </c>
      <c r="W263" s="16">
        <f>V263*N263*O263</f>
        <v/>
      </c>
      <c r="X263" s="12">
        <f>IF(LEFT(I263,2)="MV",2*N263*IF(L263="1/C",O263,1),0)</f>
        <v/>
      </c>
      <c r="Y263" s="12">
        <f>IF(OR(LEFT(K263,4)="LVAX",LEFT(K263,6)="MV15AX",LEFT(K263,4)="CTAX",LEFT(K263,2)="W|"),2*N263*O263,0)</f>
        <v/>
      </c>
      <c r="Z263" s="12" t="inlineStr">
        <is>
          <t>device-to-JB field wiring, one cable per device</t>
        </is>
      </c>
      <c r="AA263" s="12">
        <f>N263*O263</f>
        <v/>
      </c>
    </row>
    <row r="264">
      <c r="A264" s="12" t="inlineStr">
        <is>
          <t>A-C-0252</t>
        </is>
      </c>
      <c r="B264" s="12" t="inlineStr">
        <is>
          <t>A</t>
        </is>
      </c>
      <c r="C264" s="12" t="inlineStr">
        <is>
          <t>Power block</t>
        </is>
      </c>
      <c r="D264" s="12" t="inlineStr">
        <is>
          <t>Home run JB-GT3-SOL03 to the control / marshalling room</t>
        </is>
      </c>
      <c r="E264" s="12" t="inlineStr">
        <is>
          <t>R2C</t>
        </is>
      </c>
      <c r="F264" s="12" t="inlineStr">
        <is>
          <t>R2C: unit / HRSG electrical e-house (32 x 40 ft)</t>
        </is>
      </c>
      <c r="G264" s="12" t="inlineStr">
        <is>
          <t>JB-GT3-SOL03</t>
        </is>
      </c>
      <c r="H264" s="12" t="inlineStr">
        <is>
          <t>GT3: H-class gas turbine (60 Hz)</t>
        </is>
      </c>
      <c r="I264" s="12" t="inlineStr">
        <is>
          <t>Control</t>
        </is>
      </c>
      <c r="J264" s="12" t="inlineStr">
        <is>
          <t>ARMOR-X MC-HL 600 V control, Cu #14 AWG (Class I Div 2)</t>
        </is>
      </c>
      <c r="K264" s="12" t="inlineStr">
        <is>
          <t>CTAX|25/C|14</t>
        </is>
      </c>
      <c r="L264" s="12" t="inlineStr">
        <is>
          <t>25/C</t>
        </is>
      </c>
      <c r="M264" s="12" t="inlineStr">
        <is>
          <t>14</t>
        </is>
      </c>
      <c r="N264" s="12" t="n">
        <v>1</v>
      </c>
      <c r="O264" s="12" t="n">
        <v>1</v>
      </c>
      <c r="P264" s="12" t="n"/>
      <c r="Q264" s="12" t="n"/>
      <c r="R264" s="12" t="n"/>
      <c r="S264" s="12" t="inlineStr">
        <is>
          <t>Tray</t>
        </is>
      </c>
      <c r="T264" s="16" t="n">
        <v>986</v>
      </c>
      <c r="U264" s="16" t="n">
        <v>249</v>
      </c>
      <c r="V264" s="16">
        <f>ROUNDUP((T264+U264+2*'Read Me'!$B$13)*(1+'Read Me'!$B$12),-1)</f>
        <v/>
      </c>
      <c r="W264" s="16">
        <f>V264*N264*O264</f>
        <v/>
      </c>
      <c r="X264" s="12">
        <f>IF(LEFT(I264,2)="MV",2*N264*IF(L264="1/C",O264,1),0)</f>
        <v/>
      </c>
      <c r="Y264" s="12">
        <f>IF(OR(LEFT(K264,4)="LVAX",LEFT(K264,6)="MV15AX",LEFT(K264,4)="CTAX",LEFT(K264,2)="W|"),2*N264*O264,0)</f>
        <v/>
      </c>
      <c r="Z264" s="12" t="inlineStr"/>
      <c r="AA264" s="12">
        <f>N264*O264</f>
        <v/>
      </c>
    </row>
    <row r="265">
      <c r="A265" s="12" t="inlineStr">
        <is>
          <t>A-C-0253</t>
        </is>
      </c>
      <c r="B265" s="12" t="inlineStr">
        <is>
          <t>A</t>
        </is>
      </c>
      <c r="C265" s="12" t="inlineStr">
        <is>
          <t>Power block</t>
        </is>
      </c>
      <c r="D265" s="12" t="inlineStr">
        <is>
          <t>Motor 1 of 4: control / local station</t>
        </is>
      </c>
      <c r="E265" s="12" t="inlineStr">
        <is>
          <t>MCC-GT1</t>
        </is>
      </c>
      <c r="F265" s="12" t="inlineStr">
        <is>
          <t>R1 MCC-GT1</t>
        </is>
      </c>
      <c r="G265" s="12" t="inlineStr">
        <is>
          <t>GTG-1</t>
        </is>
      </c>
      <c r="H265" s="12" t="inlineStr">
        <is>
          <t>GTG-1: GT generator</t>
        </is>
      </c>
      <c r="I265" s="12" t="inlineStr">
        <is>
          <t>Control</t>
        </is>
      </c>
      <c r="J265" s="12" t="inlineStr">
        <is>
          <t>Control cable 600 V Type TC-ER, Cu #14 AWG, PVC jacket</t>
        </is>
      </c>
      <c r="K265" s="12" t="inlineStr">
        <is>
          <t>CT|7/C|14</t>
        </is>
      </c>
      <c r="L265" s="12" t="inlineStr">
        <is>
          <t>7/C</t>
        </is>
      </c>
      <c r="M265" s="12" t="inlineStr">
        <is>
          <t>14</t>
        </is>
      </c>
      <c r="N265" s="12" t="n">
        <v>1</v>
      </c>
      <c r="O265" s="12" t="n">
        <v>1</v>
      </c>
      <c r="P265" s="12" t="n"/>
      <c r="Q265" s="12" t="n"/>
      <c r="R265" s="12" t="n"/>
      <c r="S265" s="12" t="inlineStr">
        <is>
          <t>Tray</t>
        </is>
      </c>
      <c r="T265" s="16" t="n">
        <v>445</v>
      </c>
      <c r="U265" s="16" t="n">
        <v>178</v>
      </c>
      <c r="V265" s="16">
        <f>ROUNDUP((T265+U265+2*'Read Me'!$B$13)*(1+'Read Me'!$B$12),-1)</f>
        <v/>
      </c>
      <c r="W265" s="16">
        <f>V265*N265*O265</f>
        <v/>
      </c>
      <c r="X265" s="12">
        <f>IF(LEFT(I265,2)="MV",2*N265*IF(L265="1/C",O265,1),0)</f>
        <v/>
      </c>
      <c r="Y265" s="12">
        <f>IF(OR(LEFT(K265,4)="LVAX",LEFT(K265,6)="MV15AX",LEFT(K265,4)="CTAX",LEFT(K265,2)="W|"),2*N265*O265,0)</f>
        <v/>
      </c>
      <c r="Z265" s="12" t="inlineStr"/>
      <c r="AA265" s="12">
        <f>N265*O265</f>
        <v/>
      </c>
    </row>
    <row r="266">
      <c r="A266" s="12" t="inlineStr">
        <is>
          <t>A-C-0254</t>
        </is>
      </c>
      <c r="B266" s="12" t="inlineStr">
        <is>
          <t>A</t>
        </is>
      </c>
      <c r="C266" s="12" t="inlineStr">
        <is>
          <t>Power block</t>
        </is>
      </c>
      <c r="D266" s="12" t="inlineStr">
        <is>
          <t>Motor 2 of 4: control / local station</t>
        </is>
      </c>
      <c r="E266" s="12" t="inlineStr">
        <is>
          <t>MCC-GT1</t>
        </is>
      </c>
      <c r="F266" s="12" t="inlineStr">
        <is>
          <t>R1 MCC-GT1</t>
        </is>
      </c>
      <c r="G266" s="12" t="inlineStr">
        <is>
          <t>GTG-1</t>
        </is>
      </c>
      <c r="H266" s="12" t="inlineStr">
        <is>
          <t>GTG-1: GT generator</t>
        </is>
      </c>
      <c r="I266" s="12" t="inlineStr">
        <is>
          <t>Control</t>
        </is>
      </c>
      <c r="J266" s="12" t="inlineStr">
        <is>
          <t>Control cable 600 V Type TC-ER, Cu #14 AWG, PVC jacket</t>
        </is>
      </c>
      <c r="K266" s="12" t="inlineStr">
        <is>
          <t>CT|7/C|14</t>
        </is>
      </c>
      <c r="L266" s="12" t="inlineStr">
        <is>
          <t>7/C</t>
        </is>
      </c>
      <c r="M266" s="12" t="inlineStr">
        <is>
          <t>14</t>
        </is>
      </c>
      <c r="N266" s="12" t="n">
        <v>1</v>
      </c>
      <c r="O266" s="12" t="n">
        <v>1</v>
      </c>
      <c r="P266" s="12" t="n"/>
      <c r="Q266" s="12" t="n"/>
      <c r="R266" s="12" t="n"/>
      <c r="S266" s="12" t="inlineStr">
        <is>
          <t>Tray</t>
        </is>
      </c>
      <c r="T266" s="16" t="n">
        <v>445</v>
      </c>
      <c r="U266" s="16" t="n">
        <v>178</v>
      </c>
      <c r="V266" s="16">
        <f>ROUNDUP((T266+U266+2*'Read Me'!$B$13)*(1+'Read Me'!$B$12),-1)</f>
        <v/>
      </c>
      <c r="W266" s="16">
        <f>V266*N266*O266</f>
        <v/>
      </c>
      <c r="X266" s="12">
        <f>IF(LEFT(I266,2)="MV",2*N266*IF(L266="1/C",O266,1),0)</f>
        <v/>
      </c>
      <c r="Y266" s="12">
        <f>IF(OR(LEFT(K266,4)="LVAX",LEFT(K266,6)="MV15AX",LEFT(K266,4)="CTAX",LEFT(K266,2)="W|"),2*N266*O266,0)</f>
        <v/>
      </c>
      <c r="Z266" s="12" t="inlineStr"/>
      <c r="AA266" s="12">
        <f>N266*O266</f>
        <v/>
      </c>
    </row>
    <row r="267">
      <c r="A267" s="12" t="inlineStr">
        <is>
          <t>A-C-0255</t>
        </is>
      </c>
      <c r="B267" s="12" t="inlineStr">
        <is>
          <t>A</t>
        </is>
      </c>
      <c r="C267" s="12" t="inlineStr">
        <is>
          <t>Power block</t>
        </is>
      </c>
      <c r="D267" s="12" t="inlineStr">
        <is>
          <t>Motor 3 of 4: control / local station</t>
        </is>
      </c>
      <c r="E267" s="12" t="inlineStr">
        <is>
          <t>MCC-GT1</t>
        </is>
      </c>
      <c r="F267" s="12" t="inlineStr">
        <is>
          <t>R1 MCC-GT1</t>
        </is>
      </c>
      <c r="G267" s="12" t="inlineStr">
        <is>
          <t>GTG-1</t>
        </is>
      </c>
      <c r="H267" s="12" t="inlineStr">
        <is>
          <t>GTG-1: GT generator</t>
        </is>
      </c>
      <c r="I267" s="12" t="inlineStr">
        <is>
          <t>Control</t>
        </is>
      </c>
      <c r="J267" s="12" t="inlineStr">
        <is>
          <t>Control cable 600 V Type TC-ER, Cu #14 AWG, PVC jacket</t>
        </is>
      </c>
      <c r="K267" s="12" t="inlineStr">
        <is>
          <t>CT|7/C|14</t>
        </is>
      </c>
      <c r="L267" s="12" t="inlineStr">
        <is>
          <t>7/C</t>
        </is>
      </c>
      <c r="M267" s="12" t="inlineStr">
        <is>
          <t>14</t>
        </is>
      </c>
      <c r="N267" s="12" t="n">
        <v>1</v>
      </c>
      <c r="O267" s="12" t="n">
        <v>1</v>
      </c>
      <c r="P267" s="12" t="n"/>
      <c r="Q267" s="12" t="n"/>
      <c r="R267" s="12" t="n"/>
      <c r="S267" s="12" t="inlineStr">
        <is>
          <t>Tray</t>
        </is>
      </c>
      <c r="T267" s="16" t="n">
        <v>445</v>
      </c>
      <c r="U267" s="16" t="n">
        <v>178</v>
      </c>
      <c r="V267" s="16">
        <f>ROUNDUP((T267+U267+2*'Read Me'!$B$13)*(1+'Read Me'!$B$12),-1)</f>
        <v/>
      </c>
      <c r="W267" s="16">
        <f>V267*N267*O267</f>
        <v/>
      </c>
      <c r="X267" s="12">
        <f>IF(LEFT(I267,2)="MV",2*N267*IF(L267="1/C",O267,1),0)</f>
        <v/>
      </c>
      <c r="Y267" s="12">
        <f>IF(OR(LEFT(K267,4)="LVAX",LEFT(K267,6)="MV15AX",LEFT(K267,4)="CTAX",LEFT(K267,2)="W|"),2*N267*O267,0)</f>
        <v/>
      </c>
      <c r="Z267" s="12" t="inlineStr"/>
      <c r="AA267" s="12">
        <f>N267*O267</f>
        <v/>
      </c>
    </row>
    <row r="268">
      <c r="A268" s="12" t="inlineStr">
        <is>
          <t>A-C-0256</t>
        </is>
      </c>
      <c r="B268" s="12" t="inlineStr">
        <is>
          <t>A</t>
        </is>
      </c>
      <c r="C268" s="12" t="inlineStr">
        <is>
          <t>Power block</t>
        </is>
      </c>
      <c r="D268" s="12" t="inlineStr">
        <is>
          <t>Motor 4 of 4: control / local station</t>
        </is>
      </c>
      <c r="E268" s="12" t="inlineStr">
        <is>
          <t>MCC-GT1</t>
        </is>
      </c>
      <c r="F268" s="12" t="inlineStr">
        <is>
          <t>R1 MCC-GT1</t>
        </is>
      </c>
      <c r="G268" s="12" t="inlineStr">
        <is>
          <t>GTG-1</t>
        </is>
      </c>
      <c r="H268" s="12" t="inlineStr">
        <is>
          <t>GTG-1: GT generator</t>
        </is>
      </c>
      <c r="I268" s="12" t="inlineStr">
        <is>
          <t>Control</t>
        </is>
      </c>
      <c r="J268" s="12" t="inlineStr">
        <is>
          <t>Control cable 600 V Type TC-ER, Cu #14 AWG, PVC jacket</t>
        </is>
      </c>
      <c r="K268" s="12" t="inlineStr">
        <is>
          <t>CT|7/C|14</t>
        </is>
      </c>
      <c r="L268" s="12" t="inlineStr">
        <is>
          <t>7/C</t>
        </is>
      </c>
      <c r="M268" s="12" t="inlineStr">
        <is>
          <t>14</t>
        </is>
      </c>
      <c r="N268" s="12" t="n">
        <v>1</v>
      </c>
      <c r="O268" s="12" t="n">
        <v>1</v>
      </c>
      <c r="P268" s="12" t="n"/>
      <c r="Q268" s="12" t="n"/>
      <c r="R268" s="12" t="n"/>
      <c r="S268" s="12" t="inlineStr">
        <is>
          <t>Tray</t>
        </is>
      </c>
      <c r="T268" s="16" t="n">
        <v>445</v>
      </c>
      <c r="U268" s="16" t="n">
        <v>178</v>
      </c>
      <c r="V268" s="16">
        <f>ROUNDUP((T268+U268+2*'Read Me'!$B$13)*(1+'Read Me'!$B$12),-1)</f>
        <v/>
      </c>
      <c r="W268" s="16">
        <f>V268*N268*O268</f>
        <v/>
      </c>
      <c r="X268" s="12">
        <f>IF(LEFT(I268,2)="MV",2*N268*IF(L268="1/C",O268,1),0)</f>
        <v/>
      </c>
      <c r="Y268" s="12">
        <f>IF(OR(LEFT(K268,4)="LVAX",LEFT(K268,6)="MV15AX",LEFT(K268,4)="CTAX",LEFT(K268,2)="W|"),2*N268*O268,0)</f>
        <v/>
      </c>
      <c r="Z268" s="12" t="inlineStr"/>
      <c r="AA268" s="12">
        <f>N268*O268</f>
        <v/>
      </c>
    </row>
    <row r="269">
      <c r="A269" s="12" t="inlineStr">
        <is>
          <t>A-C-0257</t>
        </is>
      </c>
      <c r="B269" s="12" t="inlineStr">
        <is>
          <t>A</t>
        </is>
      </c>
      <c r="C269" s="12" t="inlineStr">
        <is>
          <t>Power block</t>
        </is>
      </c>
      <c r="D269" s="12" t="inlineStr">
        <is>
          <t>Motor 1 of 4: control / local station</t>
        </is>
      </c>
      <c r="E269" s="12" t="inlineStr">
        <is>
          <t>MCC-GT2</t>
        </is>
      </c>
      <c r="F269" s="12" t="inlineStr">
        <is>
          <t>R1 MCC-GT2</t>
        </is>
      </c>
      <c r="G269" s="12" t="inlineStr">
        <is>
          <t>GTG-2</t>
        </is>
      </c>
      <c r="H269" s="12" t="inlineStr">
        <is>
          <t>GTG-2: GT generator</t>
        </is>
      </c>
      <c r="I269" s="12" t="inlineStr">
        <is>
          <t>Control</t>
        </is>
      </c>
      <c r="J269" s="12" t="inlineStr">
        <is>
          <t>Control cable 600 V Type TC-ER, Cu #14 AWG, PVC jacket</t>
        </is>
      </c>
      <c r="K269" s="12" t="inlineStr">
        <is>
          <t>CT|7/C|14</t>
        </is>
      </c>
      <c r="L269" s="12" t="inlineStr">
        <is>
          <t>7/C</t>
        </is>
      </c>
      <c r="M269" s="12" t="inlineStr">
        <is>
          <t>14</t>
        </is>
      </c>
      <c r="N269" s="12" t="n">
        <v>1</v>
      </c>
      <c r="O269" s="12" t="n">
        <v>1</v>
      </c>
      <c r="P269" s="12" t="n"/>
      <c r="Q269" s="12" t="n"/>
      <c r="R269" s="12" t="n"/>
      <c r="S269" s="12" t="inlineStr">
        <is>
          <t>Tray</t>
        </is>
      </c>
      <c r="T269" s="16" t="n">
        <v>625</v>
      </c>
      <c r="U269" s="16" t="n">
        <v>158</v>
      </c>
      <c r="V269" s="16">
        <f>ROUNDUP((T269+U269+2*'Read Me'!$B$13)*(1+'Read Me'!$B$12),-1)</f>
        <v/>
      </c>
      <c r="W269" s="16">
        <f>V269*N269*O269</f>
        <v/>
      </c>
      <c r="X269" s="12">
        <f>IF(LEFT(I269,2)="MV",2*N269*IF(L269="1/C",O269,1),0)</f>
        <v/>
      </c>
      <c r="Y269" s="12">
        <f>IF(OR(LEFT(K269,4)="LVAX",LEFT(K269,6)="MV15AX",LEFT(K269,4)="CTAX",LEFT(K269,2)="W|"),2*N269*O269,0)</f>
        <v/>
      </c>
      <c r="Z269" s="12" t="inlineStr"/>
      <c r="AA269" s="12">
        <f>N269*O269</f>
        <v/>
      </c>
    </row>
    <row r="270">
      <c r="A270" s="12" t="inlineStr">
        <is>
          <t>A-C-0258</t>
        </is>
      </c>
      <c r="B270" s="12" t="inlineStr">
        <is>
          <t>A</t>
        </is>
      </c>
      <c r="C270" s="12" t="inlineStr">
        <is>
          <t>Power block</t>
        </is>
      </c>
      <c r="D270" s="12" t="inlineStr">
        <is>
          <t>Motor 2 of 4: control / local station</t>
        </is>
      </c>
      <c r="E270" s="12" t="inlineStr">
        <is>
          <t>MCC-GT2</t>
        </is>
      </c>
      <c r="F270" s="12" t="inlineStr">
        <is>
          <t>R1 MCC-GT2</t>
        </is>
      </c>
      <c r="G270" s="12" t="inlineStr">
        <is>
          <t>GTG-2</t>
        </is>
      </c>
      <c r="H270" s="12" t="inlineStr">
        <is>
          <t>GTG-2: GT generator</t>
        </is>
      </c>
      <c r="I270" s="12" t="inlineStr">
        <is>
          <t>Control</t>
        </is>
      </c>
      <c r="J270" s="12" t="inlineStr">
        <is>
          <t>Control cable 600 V Type TC-ER, Cu #14 AWG, PVC jacket</t>
        </is>
      </c>
      <c r="K270" s="12" t="inlineStr">
        <is>
          <t>CT|7/C|14</t>
        </is>
      </c>
      <c r="L270" s="12" t="inlineStr">
        <is>
          <t>7/C</t>
        </is>
      </c>
      <c r="M270" s="12" t="inlineStr">
        <is>
          <t>14</t>
        </is>
      </c>
      <c r="N270" s="12" t="n">
        <v>1</v>
      </c>
      <c r="O270" s="12" t="n">
        <v>1</v>
      </c>
      <c r="P270" s="12" t="n"/>
      <c r="Q270" s="12" t="n"/>
      <c r="R270" s="12" t="n"/>
      <c r="S270" s="12" t="inlineStr">
        <is>
          <t>Tray</t>
        </is>
      </c>
      <c r="T270" s="16" t="n">
        <v>625</v>
      </c>
      <c r="U270" s="16" t="n">
        <v>158</v>
      </c>
      <c r="V270" s="16">
        <f>ROUNDUP((T270+U270+2*'Read Me'!$B$13)*(1+'Read Me'!$B$12),-1)</f>
        <v/>
      </c>
      <c r="W270" s="16">
        <f>V270*N270*O270</f>
        <v/>
      </c>
      <c r="X270" s="12">
        <f>IF(LEFT(I270,2)="MV",2*N270*IF(L270="1/C",O270,1),0)</f>
        <v/>
      </c>
      <c r="Y270" s="12">
        <f>IF(OR(LEFT(K270,4)="LVAX",LEFT(K270,6)="MV15AX",LEFT(K270,4)="CTAX",LEFT(K270,2)="W|"),2*N270*O270,0)</f>
        <v/>
      </c>
      <c r="Z270" s="12" t="inlineStr"/>
      <c r="AA270" s="12">
        <f>N270*O270</f>
        <v/>
      </c>
    </row>
    <row r="271">
      <c r="A271" s="12" t="inlineStr">
        <is>
          <t>A-C-0259</t>
        </is>
      </c>
      <c r="B271" s="12" t="inlineStr">
        <is>
          <t>A</t>
        </is>
      </c>
      <c r="C271" s="12" t="inlineStr">
        <is>
          <t>Power block</t>
        </is>
      </c>
      <c r="D271" s="12" t="inlineStr">
        <is>
          <t>Motor 3 of 4: control / local station</t>
        </is>
      </c>
      <c r="E271" s="12" t="inlineStr">
        <is>
          <t>MCC-GT2</t>
        </is>
      </c>
      <c r="F271" s="12" t="inlineStr">
        <is>
          <t>R1 MCC-GT2</t>
        </is>
      </c>
      <c r="G271" s="12" t="inlineStr">
        <is>
          <t>GTG-2</t>
        </is>
      </c>
      <c r="H271" s="12" t="inlineStr">
        <is>
          <t>GTG-2: GT generator</t>
        </is>
      </c>
      <c r="I271" s="12" t="inlineStr">
        <is>
          <t>Control</t>
        </is>
      </c>
      <c r="J271" s="12" t="inlineStr">
        <is>
          <t>Control cable 600 V Type TC-ER, Cu #14 AWG, PVC jacket</t>
        </is>
      </c>
      <c r="K271" s="12" t="inlineStr">
        <is>
          <t>CT|7/C|14</t>
        </is>
      </c>
      <c r="L271" s="12" t="inlineStr">
        <is>
          <t>7/C</t>
        </is>
      </c>
      <c r="M271" s="12" t="inlineStr">
        <is>
          <t>14</t>
        </is>
      </c>
      <c r="N271" s="12" t="n">
        <v>1</v>
      </c>
      <c r="O271" s="12" t="n">
        <v>1</v>
      </c>
      <c r="P271" s="12" t="n"/>
      <c r="Q271" s="12" t="n"/>
      <c r="R271" s="12" t="n"/>
      <c r="S271" s="12" t="inlineStr">
        <is>
          <t>Tray</t>
        </is>
      </c>
      <c r="T271" s="16" t="n">
        <v>625</v>
      </c>
      <c r="U271" s="16" t="n">
        <v>158</v>
      </c>
      <c r="V271" s="16">
        <f>ROUNDUP((T271+U271+2*'Read Me'!$B$13)*(1+'Read Me'!$B$12),-1)</f>
        <v/>
      </c>
      <c r="W271" s="16">
        <f>V271*N271*O271</f>
        <v/>
      </c>
      <c r="X271" s="12">
        <f>IF(LEFT(I271,2)="MV",2*N271*IF(L271="1/C",O271,1),0)</f>
        <v/>
      </c>
      <c r="Y271" s="12">
        <f>IF(OR(LEFT(K271,4)="LVAX",LEFT(K271,6)="MV15AX",LEFT(K271,4)="CTAX",LEFT(K271,2)="W|"),2*N271*O271,0)</f>
        <v/>
      </c>
      <c r="Z271" s="12" t="inlineStr"/>
      <c r="AA271" s="12">
        <f>N271*O271</f>
        <v/>
      </c>
    </row>
    <row r="272">
      <c r="A272" s="12" t="inlineStr">
        <is>
          <t>A-C-0260</t>
        </is>
      </c>
      <c r="B272" s="12" t="inlineStr">
        <is>
          <t>A</t>
        </is>
      </c>
      <c r="C272" s="12" t="inlineStr">
        <is>
          <t>Power block</t>
        </is>
      </c>
      <c r="D272" s="12" t="inlineStr">
        <is>
          <t>Motor 4 of 4: control / local station</t>
        </is>
      </c>
      <c r="E272" s="12" t="inlineStr">
        <is>
          <t>MCC-GT2</t>
        </is>
      </c>
      <c r="F272" s="12" t="inlineStr">
        <is>
          <t>R1 MCC-GT2</t>
        </is>
      </c>
      <c r="G272" s="12" t="inlineStr">
        <is>
          <t>GTG-2</t>
        </is>
      </c>
      <c r="H272" s="12" t="inlineStr">
        <is>
          <t>GTG-2: GT generator</t>
        </is>
      </c>
      <c r="I272" s="12" t="inlineStr">
        <is>
          <t>Control</t>
        </is>
      </c>
      <c r="J272" s="12" t="inlineStr">
        <is>
          <t>Control cable 600 V Type TC-ER, Cu #14 AWG, PVC jacket</t>
        </is>
      </c>
      <c r="K272" s="12" t="inlineStr">
        <is>
          <t>CT|7/C|14</t>
        </is>
      </c>
      <c r="L272" s="12" t="inlineStr">
        <is>
          <t>7/C</t>
        </is>
      </c>
      <c r="M272" s="12" t="inlineStr">
        <is>
          <t>14</t>
        </is>
      </c>
      <c r="N272" s="12" t="n">
        <v>1</v>
      </c>
      <c r="O272" s="12" t="n">
        <v>1</v>
      </c>
      <c r="P272" s="12" t="n"/>
      <c r="Q272" s="12" t="n"/>
      <c r="R272" s="12" t="n"/>
      <c r="S272" s="12" t="inlineStr">
        <is>
          <t>Tray</t>
        </is>
      </c>
      <c r="T272" s="16" t="n">
        <v>625</v>
      </c>
      <c r="U272" s="16" t="n">
        <v>158</v>
      </c>
      <c r="V272" s="16">
        <f>ROUNDUP((T272+U272+2*'Read Me'!$B$13)*(1+'Read Me'!$B$12),-1)</f>
        <v/>
      </c>
      <c r="W272" s="16">
        <f>V272*N272*O272</f>
        <v/>
      </c>
      <c r="X272" s="12">
        <f>IF(LEFT(I272,2)="MV",2*N272*IF(L272="1/C",O272,1),0)</f>
        <v/>
      </c>
      <c r="Y272" s="12">
        <f>IF(OR(LEFT(K272,4)="LVAX",LEFT(K272,6)="MV15AX",LEFT(K272,4)="CTAX",LEFT(K272,2)="W|"),2*N272*O272,0)</f>
        <v/>
      </c>
      <c r="Z272" s="12" t="inlineStr"/>
      <c r="AA272" s="12">
        <f>N272*O272</f>
        <v/>
      </c>
    </row>
    <row r="273">
      <c r="A273" s="12" t="inlineStr">
        <is>
          <t>A-C-0261</t>
        </is>
      </c>
      <c r="B273" s="12" t="inlineStr">
        <is>
          <t>A</t>
        </is>
      </c>
      <c r="C273" s="12" t="inlineStr">
        <is>
          <t>Power block</t>
        </is>
      </c>
      <c r="D273" s="12" t="inlineStr">
        <is>
          <t>Motor 1 of 4: control / local station</t>
        </is>
      </c>
      <c r="E273" s="12" t="inlineStr">
        <is>
          <t>MCC-GT3</t>
        </is>
      </c>
      <c r="F273" s="12" t="inlineStr">
        <is>
          <t>R1 MCC-GT3</t>
        </is>
      </c>
      <c r="G273" s="12" t="inlineStr">
        <is>
          <t>GTG-3</t>
        </is>
      </c>
      <c r="H273" s="12" t="inlineStr">
        <is>
          <t>GTG-3: GT generator</t>
        </is>
      </c>
      <c r="I273" s="12" t="inlineStr">
        <is>
          <t>Control</t>
        </is>
      </c>
      <c r="J273" s="12" t="inlineStr">
        <is>
          <t>Control cable 600 V Type TC-ER, Cu #14 AWG, PVC jacket</t>
        </is>
      </c>
      <c r="K273" s="12" t="inlineStr">
        <is>
          <t>CT|7/C|14</t>
        </is>
      </c>
      <c r="L273" s="12" t="inlineStr">
        <is>
          <t>7/C</t>
        </is>
      </c>
      <c r="M273" s="12" t="inlineStr">
        <is>
          <t>14</t>
        </is>
      </c>
      <c r="N273" s="12" t="n">
        <v>1</v>
      </c>
      <c r="O273" s="12" t="n">
        <v>1</v>
      </c>
      <c r="P273" s="12" t="n"/>
      <c r="Q273" s="12" t="n"/>
      <c r="R273" s="12" t="n"/>
      <c r="S273" s="12" t="inlineStr">
        <is>
          <t>Tray</t>
        </is>
      </c>
      <c r="T273" s="16" t="n">
        <v>793</v>
      </c>
      <c r="U273" s="16" t="n">
        <v>166</v>
      </c>
      <c r="V273" s="16">
        <f>ROUNDUP((T273+U273+2*'Read Me'!$B$13)*(1+'Read Me'!$B$12),-1)</f>
        <v/>
      </c>
      <c r="W273" s="16">
        <f>V273*N273*O273</f>
        <v/>
      </c>
      <c r="X273" s="12">
        <f>IF(LEFT(I273,2)="MV",2*N273*IF(L273="1/C",O273,1),0)</f>
        <v/>
      </c>
      <c r="Y273" s="12">
        <f>IF(OR(LEFT(K273,4)="LVAX",LEFT(K273,6)="MV15AX",LEFT(K273,4)="CTAX",LEFT(K273,2)="W|"),2*N273*O273,0)</f>
        <v/>
      </c>
      <c r="Z273" s="12" t="inlineStr"/>
      <c r="AA273" s="12">
        <f>N273*O273</f>
        <v/>
      </c>
    </row>
    <row r="274">
      <c r="A274" s="12" t="inlineStr">
        <is>
          <t>A-C-0262</t>
        </is>
      </c>
      <c r="B274" s="12" t="inlineStr">
        <is>
          <t>A</t>
        </is>
      </c>
      <c r="C274" s="12" t="inlineStr">
        <is>
          <t>Power block</t>
        </is>
      </c>
      <c r="D274" s="12" t="inlineStr">
        <is>
          <t>Motor 2 of 4: control / local station</t>
        </is>
      </c>
      <c r="E274" s="12" t="inlineStr">
        <is>
          <t>MCC-GT3</t>
        </is>
      </c>
      <c r="F274" s="12" t="inlineStr">
        <is>
          <t>R1 MCC-GT3</t>
        </is>
      </c>
      <c r="G274" s="12" t="inlineStr">
        <is>
          <t>GTG-3</t>
        </is>
      </c>
      <c r="H274" s="12" t="inlineStr">
        <is>
          <t>GTG-3: GT generator</t>
        </is>
      </c>
      <c r="I274" s="12" t="inlineStr">
        <is>
          <t>Control</t>
        </is>
      </c>
      <c r="J274" s="12" t="inlineStr">
        <is>
          <t>Control cable 600 V Type TC-ER, Cu #14 AWG, PVC jacket</t>
        </is>
      </c>
      <c r="K274" s="12" t="inlineStr">
        <is>
          <t>CT|7/C|14</t>
        </is>
      </c>
      <c r="L274" s="12" t="inlineStr">
        <is>
          <t>7/C</t>
        </is>
      </c>
      <c r="M274" s="12" t="inlineStr">
        <is>
          <t>14</t>
        </is>
      </c>
      <c r="N274" s="12" t="n">
        <v>1</v>
      </c>
      <c r="O274" s="12" t="n">
        <v>1</v>
      </c>
      <c r="P274" s="12" t="n"/>
      <c r="Q274" s="12" t="n"/>
      <c r="R274" s="12" t="n"/>
      <c r="S274" s="12" t="inlineStr">
        <is>
          <t>Tray</t>
        </is>
      </c>
      <c r="T274" s="16" t="n">
        <v>793</v>
      </c>
      <c r="U274" s="16" t="n">
        <v>166</v>
      </c>
      <c r="V274" s="16">
        <f>ROUNDUP((T274+U274+2*'Read Me'!$B$13)*(1+'Read Me'!$B$12),-1)</f>
        <v/>
      </c>
      <c r="W274" s="16">
        <f>V274*N274*O274</f>
        <v/>
      </c>
      <c r="X274" s="12">
        <f>IF(LEFT(I274,2)="MV",2*N274*IF(L274="1/C",O274,1),0)</f>
        <v/>
      </c>
      <c r="Y274" s="12">
        <f>IF(OR(LEFT(K274,4)="LVAX",LEFT(K274,6)="MV15AX",LEFT(K274,4)="CTAX",LEFT(K274,2)="W|"),2*N274*O274,0)</f>
        <v/>
      </c>
      <c r="Z274" s="12" t="inlineStr"/>
      <c r="AA274" s="12">
        <f>N274*O274</f>
        <v/>
      </c>
    </row>
    <row r="275">
      <c r="A275" s="12" t="inlineStr">
        <is>
          <t>A-C-0263</t>
        </is>
      </c>
      <c r="B275" s="12" t="inlineStr">
        <is>
          <t>A</t>
        </is>
      </c>
      <c r="C275" s="12" t="inlineStr">
        <is>
          <t>Power block</t>
        </is>
      </c>
      <c r="D275" s="12" t="inlineStr">
        <is>
          <t>Motor 3 of 4: control / local station</t>
        </is>
      </c>
      <c r="E275" s="12" t="inlineStr">
        <is>
          <t>MCC-GT3</t>
        </is>
      </c>
      <c r="F275" s="12" t="inlineStr">
        <is>
          <t>R1 MCC-GT3</t>
        </is>
      </c>
      <c r="G275" s="12" t="inlineStr">
        <is>
          <t>GTG-3</t>
        </is>
      </c>
      <c r="H275" s="12" t="inlineStr">
        <is>
          <t>GTG-3: GT generator</t>
        </is>
      </c>
      <c r="I275" s="12" t="inlineStr">
        <is>
          <t>Control</t>
        </is>
      </c>
      <c r="J275" s="12" t="inlineStr">
        <is>
          <t>Control cable 600 V Type TC-ER, Cu #14 AWG, PVC jacket</t>
        </is>
      </c>
      <c r="K275" s="12" t="inlineStr">
        <is>
          <t>CT|7/C|14</t>
        </is>
      </c>
      <c r="L275" s="12" t="inlineStr">
        <is>
          <t>7/C</t>
        </is>
      </c>
      <c r="M275" s="12" t="inlineStr">
        <is>
          <t>14</t>
        </is>
      </c>
      <c r="N275" s="12" t="n">
        <v>1</v>
      </c>
      <c r="O275" s="12" t="n">
        <v>1</v>
      </c>
      <c r="P275" s="12" t="n"/>
      <c r="Q275" s="12" t="n"/>
      <c r="R275" s="12" t="n"/>
      <c r="S275" s="12" t="inlineStr">
        <is>
          <t>Tray</t>
        </is>
      </c>
      <c r="T275" s="16" t="n">
        <v>793</v>
      </c>
      <c r="U275" s="16" t="n">
        <v>166</v>
      </c>
      <c r="V275" s="16">
        <f>ROUNDUP((T275+U275+2*'Read Me'!$B$13)*(1+'Read Me'!$B$12),-1)</f>
        <v/>
      </c>
      <c r="W275" s="16">
        <f>V275*N275*O275</f>
        <v/>
      </c>
      <c r="X275" s="12">
        <f>IF(LEFT(I275,2)="MV",2*N275*IF(L275="1/C",O275,1),0)</f>
        <v/>
      </c>
      <c r="Y275" s="12">
        <f>IF(OR(LEFT(K275,4)="LVAX",LEFT(K275,6)="MV15AX",LEFT(K275,4)="CTAX",LEFT(K275,2)="W|"),2*N275*O275,0)</f>
        <v/>
      </c>
      <c r="Z275" s="12" t="inlineStr"/>
      <c r="AA275" s="12">
        <f>N275*O275</f>
        <v/>
      </c>
    </row>
    <row r="276">
      <c r="A276" s="12" t="inlineStr">
        <is>
          <t>A-C-0264</t>
        </is>
      </c>
      <c r="B276" s="12" t="inlineStr">
        <is>
          <t>A</t>
        </is>
      </c>
      <c r="C276" s="12" t="inlineStr">
        <is>
          <t>Power block</t>
        </is>
      </c>
      <c r="D276" s="12" t="inlineStr">
        <is>
          <t>Motor 4 of 4: control / local station</t>
        </is>
      </c>
      <c r="E276" s="12" t="inlineStr">
        <is>
          <t>MCC-GT3</t>
        </is>
      </c>
      <c r="F276" s="12" t="inlineStr">
        <is>
          <t>R1 MCC-GT3</t>
        </is>
      </c>
      <c r="G276" s="12" t="inlineStr">
        <is>
          <t>GTG-3</t>
        </is>
      </c>
      <c r="H276" s="12" t="inlineStr">
        <is>
          <t>GTG-3: GT generator</t>
        </is>
      </c>
      <c r="I276" s="12" t="inlineStr">
        <is>
          <t>Control</t>
        </is>
      </c>
      <c r="J276" s="12" t="inlineStr">
        <is>
          <t>Control cable 600 V Type TC-ER, Cu #14 AWG, PVC jacket</t>
        </is>
      </c>
      <c r="K276" s="12" t="inlineStr">
        <is>
          <t>CT|7/C|14</t>
        </is>
      </c>
      <c r="L276" s="12" t="inlineStr">
        <is>
          <t>7/C</t>
        </is>
      </c>
      <c r="M276" s="12" t="inlineStr">
        <is>
          <t>14</t>
        </is>
      </c>
      <c r="N276" s="12" t="n">
        <v>1</v>
      </c>
      <c r="O276" s="12" t="n">
        <v>1</v>
      </c>
      <c r="P276" s="12" t="n"/>
      <c r="Q276" s="12" t="n"/>
      <c r="R276" s="12" t="n"/>
      <c r="S276" s="12" t="inlineStr">
        <is>
          <t>Tray</t>
        </is>
      </c>
      <c r="T276" s="16" t="n">
        <v>793</v>
      </c>
      <c r="U276" s="16" t="n">
        <v>166</v>
      </c>
      <c r="V276" s="16">
        <f>ROUNDUP((T276+U276+2*'Read Me'!$B$13)*(1+'Read Me'!$B$12),-1)</f>
        <v/>
      </c>
      <c r="W276" s="16">
        <f>V276*N276*O276</f>
        <v/>
      </c>
      <c r="X276" s="12">
        <f>IF(LEFT(I276,2)="MV",2*N276*IF(L276="1/C",O276,1),0)</f>
        <v/>
      </c>
      <c r="Y276" s="12">
        <f>IF(OR(LEFT(K276,4)="LVAX",LEFT(K276,6)="MV15AX",LEFT(K276,4)="CTAX",LEFT(K276,2)="W|"),2*N276*O276,0)</f>
        <v/>
      </c>
      <c r="Z276" s="12" t="inlineStr"/>
      <c r="AA276" s="12">
        <f>N276*O276</f>
        <v/>
      </c>
    </row>
    <row r="277">
      <c r="A277" s="12" t="inlineStr">
        <is>
          <t>A-C-0265</t>
        </is>
      </c>
      <c r="B277" s="12" t="inlineStr">
        <is>
          <t>A</t>
        </is>
      </c>
      <c r="C277" s="12" t="inlineStr">
        <is>
          <t>Power block</t>
        </is>
      </c>
      <c r="D277" s="12" t="inlineStr">
        <is>
          <t>Motor 1 of 4: control / local station</t>
        </is>
      </c>
      <c r="E277" s="12" t="inlineStr">
        <is>
          <t>R2A</t>
        </is>
      </c>
      <c r="F277" s="12" t="inlineStr">
        <is>
          <t>R2A: unit / HRSG electrical e-house (32 x 40 ft)</t>
        </is>
      </c>
      <c r="G277" s="12" t="inlineStr">
        <is>
          <t>HRSG-1</t>
        </is>
      </c>
      <c r="H277" s="12" t="inlineStr">
        <is>
          <t>HRSG 1 + SCR (3P reheat, horizontal)</t>
        </is>
      </c>
      <c r="I277" s="12" t="inlineStr">
        <is>
          <t>Control</t>
        </is>
      </c>
      <c r="J277" s="12" t="inlineStr">
        <is>
          <t>Control cable 600 V Type TC-ER, Cu #14 AWG, PVC jacket</t>
        </is>
      </c>
      <c r="K277" s="12" t="inlineStr">
        <is>
          <t>CT|7/C|14</t>
        </is>
      </c>
      <c r="L277" s="12" t="inlineStr">
        <is>
          <t>7/C</t>
        </is>
      </c>
      <c r="M277" s="12" t="inlineStr">
        <is>
          <t>14</t>
        </is>
      </c>
      <c r="N277" s="12" t="n">
        <v>1</v>
      </c>
      <c r="O277" s="12" t="n">
        <v>1</v>
      </c>
      <c r="P277" s="12" t="n"/>
      <c r="Q277" s="12" t="n"/>
      <c r="R277" s="12" t="n"/>
      <c r="S277" s="12" t="inlineStr">
        <is>
          <t>Tray</t>
        </is>
      </c>
      <c r="T277" s="16" t="n">
        <v>0</v>
      </c>
      <c r="U277" s="16" t="n">
        <v>87</v>
      </c>
      <c r="V277" s="16">
        <f>ROUNDUP((T277+U277+2*'Read Me'!$B$13)*(1+'Read Me'!$B$12),-1)</f>
        <v/>
      </c>
      <c r="W277" s="16">
        <f>V277*N277*O277</f>
        <v/>
      </c>
      <c r="X277" s="12">
        <f>IF(LEFT(I277,2)="MV",2*N277*IF(L277="1/C",O277,1),0)</f>
        <v/>
      </c>
      <c r="Y277" s="12">
        <f>IF(OR(LEFT(K277,4)="LVAX",LEFT(K277,6)="MV15AX",LEFT(K277,4)="CTAX",LEFT(K277,2)="W|"),2*N277*O277,0)</f>
        <v/>
      </c>
      <c r="Z277" s="12" t="inlineStr"/>
      <c r="AA277" s="12">
        <f>N277*O277</f>
        <v/>
      </c>
    </row>
    <row r="278">
      <c r="A278" s="12" t="inlineStr">
        <is>
          <t>A-C-0266</t>
        </is>
      </c>
      <c r="B278" s="12" t="inlineStr">
        <is>
          <t>A</t>
        </is>
      </c>
      <c r="C278" s="12" t="inlineStr">
        <is>
          <t>Power block</t>
        </is>
      </c>
      <c r="D278" s="12" t="inlineStr">
        <is>
          <t>Motor 2 of 4: control / local station</t>
        </is>
      </c>
      <c r="E278" s="12" t="inlineStr">
        <is>
          <t>R2A</t>
        </is>
      </c>
      <c r="F278" s="12" t="inlineStr">
        <is>
          <t>R2A: unit / HRSG electrical e-house (32 x 40 ft)</t>
        </is>
      </c>
      <c r="G278" s="12" t="inlineStr">
        <is>
          <t>HRSG-1</t>
        </is>
      </c>
      <c r="H278" s="12" t="inlineStr">
        <is>
          <t>HRSG 1 + SCR (3P reheat, horizontal)</t>
        </is>
      </c>
      <c r="I278" s="12" t="inlineStr">
        <is>
          <t>Control</t>
        </is>
      </c>
      <c r="J278" s="12" t="inlineStr">
        <is>
          <t>Control cable 600 V Type TC-ER, Cu #14 AWG, PVC jacket</t>
        </is>
      </c>
      <c r="K278" s="12" t="inlineStr">
        <is>
          <t>CT|7/C|14</t>
        </is>
      </c>
      <c r="L278" s="12" t="inlineStr">
        <is>
          <t>7/C</t>
        </is>
      </c>
      <c r="M278" s="12" t="inlineStr">
        <is>
          <t>14</t>
        </is>
      </c>
      <c r="N278" s="12" t="n">
        <v>1</v>
      </c>
      <c r="O278" s="12" t="n">
        <v>1</v>
      </c>
      <c r="P278" s="12" t="n"/>
      <c r="Q278" s="12" t="n"/>
      <c r="R278" s="12" t="n"/>
      <c r="S278" s="12" t="inlineStr">
        <is>
          <t>Tray</t>
        </is>
      </c>
      <c r="T278" s="16" t="n">
        <v>0</v>
      </c>
      <c r="U278" s="16" t="n">
        <v>87</v>
      </c>
      <c r="V278" s="16">
        <f>ROUNDUP((T278+U278+2*'Read Me'!$B$13)*(1+'Read Me'!$B$12),-1)</f>
        <v/>
      </c>
      <c r="W278" s="16">
        <f>V278*N278*O278</f>
        <v/>
      </c>
      <c r="X278" s="12">
        <f>IF(LEFT(I278,2)="MV",2*N278*IF(L278="1/C",O278,1),0)</f>
        <v/>
      </c>
      <c r="Y278" s="12">
        <f>IF(OR(LEFT(K278,4)="LVAX",LEFT(K278,6)="MV15AX",LEFT(K278,4)="CTAX",LEFT(K278,2)="W|"),2*N278*O278,0)</f>
        <v/>
      </c>
      <c r="Z278" s="12" t="inlineStr"/>
      <c r="AA278" s="12">
        <f>N278*O278</f>
        <v/>
      </c>
    </row>
    <row r="279">
      <c r="A279" s="12" t="inlineStr">
        <is>
          <t>A-C-0267</t>
        </is>
      </c>
      <c r="B279" s="12" t="inlineStr">
        <is>
          <t>A</t>
        </is>
      </c>
      <c r="C279" s="12" t="inlineStr">
        <is>
          <t>Power block</t>
        </is>
      </c>
      <c r="D279" s="12" t="inlineStr">
        <is>
          <t>Motor 3 of 4: control / local station</t>
        </is>
      </c>
      <c r="E279" s="12" t="inlineStr">
        <is>
          <t>R2A</t>
        </is>
      </c>
      <c r="F279" s="12" t="inlineStr">
        <is>
          <t>R2A: unit / HRSG electrical e-house (32 x 40 ft)</t>
        </is>
      </c>
      <c r="G279" s="12" t="inlineStr">
        <is>
          <t>HRSG-1</t>
        </is>
      </c>
      <c r="H279" s="12" t="inlineStr">
        <is>
          <t>HRSG 1 + SCR (3P reheat, horizontal)</t>
        </is>
      </c>
      <c r="I279" s="12" t="inlineStr">
        <is>
          <t>Control</t>
        </is>
      </c>
      <c r="J279" s="12" t="inlineStr">
        <is>
          <t>Control cable 600 V Type TC-ER, Cu #14 AWG, PVC jacket</t>
        </is>
      </c>
      <c r="K279" s="12" t="inlineStr">
        <is>
          <t>CT|7/C|14</t>
        </is>
      </c>
      <c r="L279" s="12" t="inlineStr">
        <is>
          <t>7/C</t>
        </is>
      </c>
      <c r="M279" s="12" t="inlineStr">
        <is>
          <t>14</t>
        </is>
      </c>
      <c r="N279" s="12" t="n">
        <v>1</v>
      </c>
      <c r="O279" s="12" t="n">
        <v>1</v>
      </c>
      <c r="P279" s="12" t="n"/>
      <c r="Q279" s="12" t="n"/>
      <c r="R279" s="12" t="n"/>
      <c r="S279" s="12" t="inlineStr">
        <is>
          <t>Tray</t>
        </is>
      </c>
      <c r="T279" s="16" t="n">
        <v>0</v>
      </c>
      <c r="U279" s="16" t="n">
        <v>87</v>
      </c>
      <c r="V279" s="16">
        <f>ROUNDUP((T279+U279+2*'Read Me'!$B$13)*(1+'Read Me'!$B$12),-1)</f>
        <v/>
      </c>
      <c r="W279" s="16">
        <f>V279*N279*O279</f>
        <v/>
      </c>
      <c r="X279" s="12">
        <f>IF(LEFT(I279,2)="MV",2*N279*IF(L279="1/C",O279,1),0)</f>
        <v/>
      </c>
      <c r="Y279" s="12">
        <f>IF(OR(LEFT(K279,4)="LVAX",LEFT(K279,6)="MV15AX",LEFT(K279,4)="CTAX",LEFT(K279,2)="W|"),2*N279*O279,0)</f>
        <v/>
      </c>
      <c r="Z279" s="12" t="inlineStr"/>
      <c r="AA279" s="12">
        <f>N279*O279</f>
        <v/>
      </c>
    </row>
    <row r="280">
      <c r="A280" s="12" t="inlineStr">
        <is>
          <t>A-C-0268</t>
        </is>
      </c>
      <c r="B280" s="12" t="inlineStr">
        <is>
          <t>A</t>
        </is>
      </c>
      <c r="C280" s="12" t="inlineStr">
        <is>
          <t>Power block</t>
        </is>
      </c>
      <c r="D280" s="12" t="inlineStr">
        <is>
          <t>Motor 4 of 4: control / local station</t>
        </is>
      </c>
      <c r="E280" s="12" t="inlineStr">
        <is>
          <t>R2A</t>
        </is>
      </c>
      <c r="F280" s="12" t="inlineStr">
        <is>
          <t>R2A: unit / HRSG electrical e-house (32 x 40 ft)</t>
        </is>
      </c>
      <c r="G280" s="12" t="inlineStr">
        <is>
          <t>HRSG-1</t>
        </is>
      </c>
      <c r="H280" s="12" t="inlineStr">
        <is>
          <t>HRSG 1 + SCR (3P reheat, horizontal)</t>
        </is>
      </c>
      <c r="I280" s="12" t="inlineStr">
        <is>
          <t>Control</t>
        </is>
      </c>
      <c r="J280" s="12" t="inlineStr">
        <is>
          <t>Control cable 600 V Type TC-ER, Cu #14 AWG, PVC jacket</t>
        </is>
      </c>
      <c r="K280" s="12" t="inlineStr">
        <is>
          <t>CT|7/C|14</t>
        </is>
      </c>
      <c r="L280" s="12" t="inlineStr">
        <is>
          <t>7/C</t>
        </is>
      </c>
      <c r="M280" s="12" t="inlineStr">
        <is>
          <t>14</t>
        </is>
      </c>
      <c r="N280" s="12" t="n">
        <v>1</v>
      </c>
      <c r="O280" s="12" t="n">
        <v>1</v>
      </c>
      <c r="P280" s="12" t="n"/>
      <c r="Q280" s="12" t="n"/>
      <c r="R280" s="12" t="n"/>
      <c r="S280" s="12" t="inlineStr">
        <is>
          <t>Tray</t>
        </is>
      </c>
      <c r="T280" s="16" t="n">
        <v>0</v>
      </c>
      <c r="U280" s="16" t="n">
        <v>87</v>
      </c>
      <c r="V280" s="16">
        <f>ROUNDUP((T280+U280+2*'Read Me'!$B$13)*(1+'Read Me'!$B$12),-1)</f>
        <v/>
      </c>
      <c r="W280" s="16">
        <f>V280*N280*O280</f>
        <v/>
      </c>
      <c r="X280" s="12">
        <f>IF(LEFT(I280,2)="MV",2*N280*IF(L280="1/C",O280,1),0)</f>
        <v/>
      </c>
      <c r="Y280" s="12">
        <f>IF(OR(LEFT(K280,4)="LVAX",LEFT(K280,6)="MV15AX",LEFT(K280,4)="CTAX",LEFT(K280,2)="W|"),2*N280*O280,0)</f>
        <v/>
      </c>
      <c r="Z280" s="12" t="inlineStr"/>
      <c r="AA280" s="12">
        <f>N280*O280</f>
        <v/>
      </c>
    </row>
    <row r="281">
      <c r="A281" s="12" t="inlineStr">
        <is>
          <t>A-C-0269</t>
        </is>
      </c>
      <c r="B281" s="12" t="inlineStr">
        <is>
          <t>A</t>
        </is>
      </c>
      <c r="C281" s="12" t="inlineStr">
        <is>
          <t>Power block</t>
        </is>
      </c>
      <c r="D281" s="12" t="inlineStr">
        <is>
          <t>MOV 1: control</t>
        </is>
      </c>
      <c r="E281" s="12" t="inlineStr">
        <is>
          <t>R2A</t>
        </is>
      </c>
      <c r="F281" s="12" t="inlineStr">
        <is>
          <t>R2A: unit / HRSG electrical e-house (32 x 40 ft)</t>
        </is>
      </c>
      <c r="G281" s="12" t="inlineStr">
        <is>
          <t>HRSG-1</t>
        </is>
      </c>
      <c r="H281" s="12" t="inlineStr">
        <is>
          <t>HRSG 1 + SCR (3P reheat, horizontal)</t>
        </is>
      </c>
      <c r="I281" s="12" t="inlineStr">
        <is>
          <t>Control</t>
        </is>
      </c>
      <c r="J281" s="12" t="inlineStr">
        <is>
          <t>Control cable 600 V Type TC-ER, Cu #14 AWG, PVC jacket</t>
        </is>
      </c>
      <c r="K281" s="12" t="inlineStr">
        <is>
          <t>CT|12/C|14</t>
        </is>
      </c>
      <c r="L281" s="12" t="inlineStr">
        <is>
          <t>12/C</t>
        </is>
      </c>
      <c r="M281" s="12" t="inlineStr">
        <is>
          <t>14</t>
        </is>
      </c>
      <c r="N281" s="12" t="n">
        <v>1</v>
      </c>
      <c r="O281" s="12" t="n">
        <v>1</v>
      </c>
      <c r="P281" s="12" t="n"/>
      <c r="Q281" s="12" t="n"/>
      <c r="R281" s="12" t="n"/>
      <c r="S281" s="12" t="inlineStr">
        <is>
          <t>Tray</t>
        </is>
      </c>
      <c r="T281" s="16" t="n">
        <v>0</v>
      </c>
      <c r="U281" s="16" t="n">
        <v>87</v>
      </c>
      <c r="V281" s="16">
        <f>ROUNDUP((T281+U281+2*'Read Me'!$B$13)*(1+'Read Me'!$B$12),-1)</f>
        <v/>
      </c>
      <c r="W281" s="16">
        <f>V281*N281*O281</f>
        <v/>
      </c>
      <c r="X281" s="12">
        <f>IF(LEFT(I281,2)="MV",2*N281*IF(L281="1/C",O281,1),0)</f>
        <v/>
      </c>
      <c r="Y281" s="12">
        <f>IF(OR(LEFT(K281,4)="LVAX",LEFT(K281,6)="MV15AX",LEFT(K281,4)="CTAX",LEFT(K281,2)="W|"),2*N281*O281,0)</f>
        <v/>
      </c>
      <c r="Z281" s="12" t="inlineStr"/>
      <c r="AA281" s="12">
        <f>N281*O281</f>
        <v/>
      </c>
    </row>
    <row r="282">
      <c r="A282" s="12" t="inlineStr">
        <is>
          <t>A-C-0270</t>
        </is>
      </c>
      <c r="B282" s="12" t="inlineStr">
        <is>
          <t>A</t>
        </is>
      </c>
      <c r="C282" s="12" t="inlineStr">
        <is>
          <t>Power block</t>
        </is>
      </c>
      <c r="D282" s="12" t="inlineStr">
        <is>
          <t>MOV 2: control</t>
        </is>
      </c>
      <c r="E282" s="12" t="inlineStr">
        <is>
          <t>R2A</t>
        </is>
      </c>
      <c r="F282" s="12" t="inlineStr">
        <is>
          <t>R2A: unit / HRSG electrical e-house (32 x 40 ft)</t>
        </is>
      </c>
      <c r="G282" s="12" t="inlineStr">
        <is>
          <t>HRSG-1</t>
        </is>
      </c>
      <c r="H282" s="12" t="inlineStr">
        <is>
          <t>HRSG 1 + SCR (3P reheat, horizontal)</t>
        </is>
      </c>
      <c r="I282" s="12" t="inlineStr">
        <is>
          <t>Control</t>
        </is>
      </c>
      <c r="J282" s="12" t="inlineStr">
        <is>
          <t>Control cable 600 V Type TC-ER, Cu #14 AWG, PVC jacket</t>
        </is>
      </c>
      <c r="K282" s="12" t="inlineStr">
        <is>
          <t>CT|12/C|14</t>
        </is>
      </c>
      <c r="L282" s="12" t="inlineStr">
        <is>
          <t>12/C</t>
        </is>
      </c>
      <c r="M282" s="12" t="inlineStr">
        <is>
          <t>14</t>
        </is>
      </c>
      <c r="N282" s="12" t="n">
        <v>1</v>
      </c>
      <c r="O282" s="12" t="n">
        <v>1</v>
      </c>
      <c r="P282" s="12" t="n"/>
      <c r="Q282" s="12" t="n"/>
      <c r="R282" s="12" t="n"/>
      <c r="S282" s="12" t="inlineStr">
        <is>
          <t>Tray</t>
        </is>
      </c>
      <c r="T282" s="16" t="n">
        <v>0</v>
      </c>
      <c r="U282" s="16" t="n">
        <v>87</v>
      </c>
      <c r="V282" s="16">
        <f>ROUNDUP((T282+U282+2*'Read Me'!$B$13)*(1+'Read Me'!$B$12),-1)</f>
        <v/>
      </c>
      <c r="W282" s="16">
        <f>V282*N282*O282</f>
        <v/>
      </c>
      <c r="X282" s="12">
        <f>IF(LEFT(I282,2)="MV",2*N282*IF(L282="1/C",O282,1),0)</f>
        <v/>
      </c>
      <c r="Y282" s="12">
        <f>IF(OR(LEFT(K282,4)="LVAX",LEFT(K282,6)="MV15AX",LEFT(K282,4)="CTAX",LEFT(K282,2)="W|"),2*N282*O282,0)</f>
        <v/>
      </c>
      <c r="Z282" s="12" t="inlineStr"/>
      <c r="AA282" s="12">
        <f>N282*O282</f>
        <v/>
      </c>
    </row>
    <row r="283">
      <c r="A283" s="12" t="inlineStr">
        <is>
          <t>A-C-0271</t>
        </is>
      </c>
      <c r="B283" s="12" t="inlineStr">
        <is>
          <t>A</t>
        </is>
      </c>
      <c r="C283" s="12" t="inlineStr">
        <is>
          <t>Power block</t>
        </is>
      </c>
      <c r="D283" s="12" t="inlineStr">
        <is>
          <t>MOV 3: control</t>
        </is>
      </c>
      <c r="E283" s="12" t="inlineStr">
        <is>
          <t>R2A</t>
        </is>
      </c>
      <c r="F283" s="12" t="inlineStr">
        <is>
          <t>R2A: unit / HRSG electrical e-house (32 x 40 ft)</t>
        </is>
      </c>
      <c r="G283" s="12" t="inlineStr">
        <is>
          <t>HRSG-1</t>
        </is>
      </c>
      <c r="H283" s="12" t="inlineStr">
        <is>
          <t>HRSG 1 + SCR (3P reheat, horizontal)</t>
        </is>
      </c>
      <c r="I283" s="12" t="inlineStr">
        <is>
          <t>Control</t>
        </is>
      </c>
      <c r="J283" s="12" t="inlineStr">
        <is>
          <t>Control cable 600 V Type TC-ER, Cu #14 AWG, PVC jacket</t>
        </is>
      </c>
      <c r="K283" s="12" t="inlineStr">
        <is>
          <t>CT|12/C|14</t>
        </is>
      </c>
      <c r="L283" s="12" t="inlineStr">
        <is>
          <t>12/C</t>
        </is>
      </c>
      <c r="M283" s="12" t="inlineStr">
        <is>
          <t>14</t>
        </is>
      </c>
      <c r="N283" s="12" t="n">
        <v>1</v>
      </c>
      <c r="O283" s="12" t="n">
        <v>1</v>
      </c>
      <c r="P283" s="12" t="n"/>
      <c r="Q283" s="12" t="n"/>
      <c r="R283" s="12" t="n"/>
      <c r="S283" s="12" t="inlineStr">
        <is>
          <t>Tray</t>
        </is>
      </c>
      <c r="T283" s="16" t="n">
        <v>0</v>
      </c>
      <c r="U283" s="16" t="n">
        <v>87</v>
      </c>
      <c r="V283" s="16">
        <f>ROUNDUP((T283+U283+2*'Read Me'!$B$13)*(1+'Read Me'!$B$12),-1)</f>
        <v/>
      </c>
      <c r="W283" s="16">
        <f>V283*N283*O283</f>
        <v/>
      </c>
      <c r="X283" s="12">
        <f>IF(LEFT(I283,2)="MV",2*N283*IF(L283="1/C",O283,1),0)</f>
        <v/>
      </c>
      <c r="Y283" s="12">
        <f>IF(OR(LEFT(K283,4)="LVAX",LEFT(K283,6)="MV15AX",LEFT(K283,4)="CTAX",LEFT(K283,2)="W|"),2*N283*O283,0)</f>
        <v/>
      </c>
      <c r="Z283" s="12" t="inlineStr"/>
      <c r="AA283" s="12">
        <f>N283*O283</f>
        <v/>
      </c>
    </row>
    <row r="284">
      <c r="A284" s="12" t="inlineStr">
        <is>
          <t>A-C-0272</t>
        </is>
      </c>
      <c r="B284" s="12" t="inlineStr">
        <is>
          <t>A</t>
        </is>
      </c>
      <c r="C284" s="12" t="inlineStr">
        <is>
          <t>Power block</t>
        </is>
      </c>
      <c r="D284" s="12" t="inlineStr">
        <is>
          <t>MOV 4: control</t>
        </is>
      </c>
      <c r="E284" s="12" t="inlineStr">
        <is>
          <t>R2A</t>
        </is>
      </c>
      <c r="F284" s="12" t="inlineStr">
        <is>
          <t>R2A: unit / HRSG electrical e-house (32 x 40 ft)</t>
        </is>
      </c>
      <c r="G284" s="12" t="inlineStr">
        <is>
          <t>HRSG-1</t>
        </is>
      </c>
      <c r="H284" s="12" t="inlineStr">
        <is>
          <t>HRSG 1 + SCR (3P reheat, horizontal)</t>
        </is>
      </c>
      <c r="I284" s="12" t="inlineStr">
        <is>
          <t>Control</t>
        </is>
      </c>
      <c r="J284" s="12" t="inlineStr">
        <is>
          <t>Control cable 600 V Type TC-ER, Cu #14 AWG, PVC jacket</t>
        </is>
      </c>
      <c r="K284" s="12" t="inlineStr">
        <is>
          <t>CT|12/C|14</t>
        </is>
      </c>
      <c r="L284" s="12" t="inlineStr">
        <is>
          <t>12/C</t>
        </is>
      </c>
      <c r="M284" s="12" t="inlineStr">
        <is>
          <t>14</t>
        </is>
      </c>
      <c r="N284" s="12" t="n">
        <v>1</v>
      </c>
      <c r="O284" s="12" t="n">
        <v>1</v>
      </c>
      <c r="P284" s="12" t="n"/>
      <c r="Q284" s="12" t="n"/>
      <c r="R284" s="12" t="n"/>
      <c r="S284" s="12" t="inlineStr">
        <is>
          <t>Tray</t>
        </is>
      </c>
      <c r="T284" s="16" t="n">
        <v>0</v>
      </c>
      <c r="U284" s="16" t="n">
        <v>87</v>
      </c>
      <c r="V284" s="16">
        <f>ROUNDUP((T284+U284+2*'Read Me'!$B$13)*(1+'Read Me'!$B$12),-1)</f>
        <v/>
      </c>
      <c r="W284" s="16">
        <f>V284*N284*O284</f>
        <v/>
      </c>
      <c r="X284" s="12">
        <f>IF(LEFT(I284,2)="MV",2*N284*IF(L284="1/C",O284,1),0)</f>
        <v/>
      </c>
      <c r="Y284" s="12">
        <f>IF(OR(LEFT(K284,4)="LVAX",LEFT(K284,6)="MV15AX",LEFT(K284,4)="CTAX",LEFT(K284,2)="W|"),2*N284*O284,0)</f>
        <v/>
      </c>
      <c r="Z284" s="12" t="inlineStr"/>
      <c r="AA284" s="12">
        <f>N284*O284</f>
        <v/>
      </c>
    </row>
    <row r="285">
      <c r="A285" s="12" t="inlineStr">
        <is>
          <t>A-C-0273</t>
        </is>
      </c>
      <c r="B285" s="12" t="inlineStr">
        <is>
          <t>A</t>
        </is>
      </c>
      <c r="C285" s="12" t="inlineStr">
        <is>
          <t>Power block</t>
        </is>
      </c>
      <c r="D285" s="12" t="inlineStr">
        <is>
          <t>MOV 5: control</t>
        </is>
      </c>
      <c r="E285" s="12" t="inlineStr">
        <is>
          <t>R2A</t>
        </is>
      </c>
      <c r="F285" s="12" t="inlineStr">
        <is>
          <t>R2A: unit / HRSG electrical e-house (32 x 40 ft)</t>
        </is>
      </c>
      <c r="G285" s="12" t="inlineStr">
        <is>
          <t>HRSG-1</t>
        </is>
      </c>
      <c r="H285" s="12" t="inlineStr">
        <is>
          <t>HRSG 1 + SCR (3P reheat, horizontal)</t>
        </is>
      </c>
      <c r="I285" s="12" t="inlineStr">
        <is>
          <t>Control</t>
        </is>
      </c>
      <c r="J285" s="12" t="inlineStr">
        <is>
          <t>Control cable 600 V Type TC-ER, Cu #14 AWG, PVC jacket</t>
        </is>
      </c>
      <c r="K285" s="12" t="inlineStr">
        <is>
          <t>CT|12/C|14</t>
        </is>
      </c>
      <c r="L285" s="12" t="inlineStr">
        <is>
          <t>12/C</t>
        </is>
      </c>
      <c r="M285" s="12" t="inlineStr">
        <is>
          <t>14</t>
        </is>
      </c>
      <c r="N285" s="12" t="n">
        <v>1</v>
      </c>
      <c r="O285" s="12" t="n">
        <v>1</v>
      </c>
      <c r="P285" s="12" t="n"/>
      <c r="Q285" s="12" t="n"/>
      <c r="R285" s="12" t="n"/>
      <c r="S285" s="12" t="inlineStr">
        <is>
          <t>Tray</t>
        </is>
      </c>
      <c r="T285" s="16" t="n">
        <v>0</v>
      </c>
      <c r="U285" s="16" t="n">
        <v>87</v>
      </c>
      <c r="V285" s="16">
        <f>ROUNDUP((T285+U285+2*'Read Me'!$B$13)*(1+'Read Me'!$B$12),-1)</f>
        <v/>
      </c>
      <c r="W285" s="16">
        <f>V285*N285*O285</f>
        <v/>
      </c>
      <c r="X285" s="12">
        <f>IF(LEFT(I285,2)="MV",2*N285*IF(L285="1/C",O285,1),0)</f>
        <v/>
      </c>
      <c r="Y285" s="12">
        <f>IF(OR(LEFT(K285,4)="LVAX",LEFT(K285,6)="MV15AX",LEFT(K285,4)="CTAX",LEFT(K285,2)="W|"),2*N285*O285,0)</f>
        <v/>
      </c>
      <c r="Z285" s="12" t="inlineStr"/>
      <c r="AA285" s="12">
        <f>N285*O285</f>
        <v/>
      </c>
    </row>
    <row r="286">
      <c r="A286" s="12" t="inlineStr">
        <is>
          <t>A-C-0274</t>
        </is>
      </c>
      <c r="B286" s="12" t="inlineStr">
        <is>
          <t>A</t>
        </is>
      </c>
      <c r="C286" s="12" t="inlineStr">
        <is>
          <t>Power block</t>
        </is>
      </c>
      <c r="D286" s="12" t="inlineStr">
        <is>
          <t>MOV 6: control</t>
        </is>
      </c>
      <c r="E286" s="12" t="inlineStr">
        <is>
          <t>R2A</t>
        </is>
      </c>
      <c r="F286" s="12" t="inlineStr">
        <is>
          <t>R2A: unit / HRSG electrical e-house (32 x 40 ft)</t>
        </is>
      </c>
      <c r="G286" s="12" t="inlineStr">
        <is>
          <t>HRSG-1</t>
        </is>
      </c>
      <c r="H286" s="12" t="inlineStr">
        <is>
          <t>HRSG 1 + SCR (3P reheat, horizontal)</t>
        </is>
      </c>
      <c r="I286" s="12" t="inlineStr">
        <is>
          <t>Control</t>
        </is>
      </c>
      <c r="J286" s="12" t="inlineStr">
        <is>
          <t>Control cable 600 V Type TC-ER, Cu #14 AWG, PVC jacket</t>
        </is>
      </c>
      <c r="K286" s="12" t="inlineStr">
        <is>
          <t>CT|12/C|14</t>
        </is>
      </c>
      <c r="L286" s="12" t="inlineStr">
        <is>
          <t>12/C</t>
        </is>
      </c>
      <c r="M286" s="12" t="inlineStr">
        <is>
          <t>14</t>
        </is>
      </c>
      <c r="N286" s="12" t="n">
        <v>1</v>
      </c>
      <c r="O286" s="12" t="n">
        <v>1</v>
      </c>
      <c r="P286" s="12" t="n"/>
      <c r="Q286" s="12" t="n"/>
      <c r="R286" s="12" t="n"/>
      <c r="S286" s="12" t="inlineStr">
        <is>
          <t>Tray</t>
        </is>
      </c>
      <c r="T286" s="16" t="n">
        <v>0</v>
      </c>
      <c r="U286" s="16" t="n">
        <v>87</v>
      </c>
      <c r="V286" s="16">
        <f>ROUNDUP((T286+U286+2*'Read Me'!$B$13)*(1+'Read Me'!$B$12),-1)</f>
        <v/>
      </c>
      <c r="W286" s="16">
        <f>V286*N286*O286</f>
        <v/>
      </c>
      <c r="X286" s="12">
        <f>IF(LEFT(I286,2)="MV",2*N286*IF(L286="1/C",O286,1),0)</f>
        <v/>
      </c>
      <c r="Y286" s="12">
        <f>IF(OR(LEFT(K286,4)="LVAX",LEFT(K286,6)="MV15AX",LEFT(K286,4)="CTAX",LEFT(K286,2)="W|"),2*N286*O286,0)</f>
        <v/>
      </c>
      <c r="Z286" s="12" t="inlineStr"/>
      <c r="AA286" s="12">
        <f>N286*O286</f>
        <v/>
      </c>
    </row>
    <row r="287">
      <c r="A287" s="12" t="inlineStr">
        <is>
          <t>A-C-0275</t>
        </is>
      </c>
      <c r="B287" s="12" t="inlineStr">
        <is>
          <t>A</t>
        </is>
      </c>
      <c r="C287" s="12" t="inlineStr">
        <is>
          <t>Power block</t>
        </is>
      </c>
      <c r="D287" s="12" t="inlineStr">
        <is>
          <t>MOV 7: control</t>
        </is>
      </c>
      <c r="E287" s="12" t="inlineStr">
        <is>
          <t>R2A</t>
        </is>
      </c>
      <c r="F287" s="12" t="inlineStr">
        <is>
          <t>R2A: unit / HRSG electrical e-house (32 x 40 ft)</t>
        </is>
      </c>
      <c r="G287" s="12" t="inlineStr">
        <is>
          <t>HRSG-1</t>
        </is>
      </c>
      <c r="H287" s="12" t="inlineStr">
        <is>
          <t>HRSG 1 + SCR (3P reheat, horizontal)</t>
        </is>
      </c>
      <c r="I287" s="12" t="inlineStr">
        <is>
          <t>Control</t>
        </is>
      </c>
      <c r="J287" s="12" t="inlineStr">
        <is>
          <t>Control cable 600 V Type TC-ER, Cu #14 AWG, PVC jacket</t>
        </is>
      </c>
      <c r="K287" s="12" t="inlineStr">
        <is>
          <t>CT|12/C|14</t>
        </is>
      </c>
      <c r="L287" s="12" t="inlineStr">
        <is>
          <t>12/C</t>
        </is>
      </c>
      <c r="M287" s="12" t="inlineStr">
        <is>
          <t>14</t>
        </is>
      </c>
      <c r="N287" s="12" t="n">
        <v>1</v>
      </c>
      <c r="O287" s="12" t="n">
        <v>1</v>
      </c>
      <c r="P287" s="12" t="n"/>
      <c r="Q287" s="12" t="n"/>
      <c r="R287" s="12" t="n"/>
      <c r="S287" s="12" t="inlineStr">
        <is>
          <t>Tray</t>
        </is>
      </c>
      <c r="T287" s="16" t="n">
        <v>0</v>
      </c>
      <c r="U287" s="16" t="n">
        <v>87</v>
      </c>
      <c r="V287" s="16">
        <f>ROUNDUP((T287+U287+2*'Read Me'!$B$13)*(1+'Read Me'!$B$12),-1)</f>
        <v/>
      </c>
      <c r="W287" s="16">
        <f>V287*N287*O287</f>
        <v/>
      </c>
      <c r="X287" s="12">
        <f>IF(LEFT(I287,2)="MV",2*N287*IF(L287="1/C",O287,1),0)</f>
        <v/>
      </c>
      <c r="Y287" s="12">
        <f>IF(OR(LEFT(K287,4)="LVAX",LEFT(K287,6)="MV15AX",LEFT(K287,4)="CTAX",LEFT(K287,2)="W|"),2*N287*O287,0)</f>
        <v/>
      </c>
      <c r="Z287" s="12" t="inlineStr"/>
      <c r="AA287" s="12">
        <f>N287*O287</f>
        <v/>
      </c>
    </row>
    <row r="288">
      <c r="A288" s="12" t="inlineStr">
        <is>
          <t>A-C-0276</t>
        </is>
      </c>
      <c r="B288" s="12" t="inlineStr">
        <is>
          <t>A</t>
        </is>
      </c>
      <c r="C288" s="12" t="inlineStr">
        <is>
          <t>Power block</t>
        </is>
      </c>
      <c r="D288" s="12" t="inlineStr">
        <is>
          <t>MOV 8: control</t>
        </is>
      </c>
      <c r="E288" s="12" t="inlineStr">
        <is>
          <t>R2A</t>
        </is>
      </c>
      <c r="F288" s="12" t="inlineStr">
        <is>
          <t>R2A: unit / HRSG electrical e-house (32 x 40 ft)</t>
        </is>
      </c>
      <c r="G288" s="12" t="inlineStr">
        <is>
          <t>HRSG-1</t>
        </is>
      </c>
      <c r="H288" s="12" t="inlineStr">
        <is>
          <t>HRSG 1 + SCR (3P reheat, horizontal)</t>
        </is>
      </c>
      <c r="I288" s="12" t="inlineStr">
        <is>
          <t>Control</t>
        </is>
      </c>
      <c r="J288" s="12" t="inlineStr">
        <is>
          <t>Control cable 600 V Type TC-ER, Cu #14 AWG, PVC jacket</t>
        </is>
      </c>
      <c r="K288" s="12" t="inlineStr">
        <is>
          <t>CT|12/C|14</t>
        </is>
      </c>
      <c r="L288" s="12" t="inlineStr">
        <is>
          <t>12/C</t>
        </is>
      </c>
      <c r="M288" s="12" t="inlineStr">
        <is>
          <t>14</t>
        </is>
      </c>
      <c r="N288" s="12" t="n">
        <v>1</v>
      </c>
      <c r="O288" s="12" t="n">
        <v>1</v>
      </c>
      <c r="P288" s="12" t="n"/>
      <c r="Q288" s="12" t="n"/>
      <c r="R288" s="12" t="n"/>
      <c r="S288" s="12" t="inlineStr">
        <is>
          <t>Tray</t>
        </is>
      </c>
      <c r="T288" s="16" t="n">
        <v>0</v>
      </c>
      <c r="U288" s="16" t="n">
        <v>87</v>
      </c>
      <c r="V288" s="16">
        <f>ROUNDUP((T288+U288+2*'Read Me'!$B$13)*(1+'Read Me'!$B$12),-1)</f>
        <v/>
      </c>
      <c r="W288" s="16">
        <f>V288*N288*O288</f>
        <v/>
      </c>
      <c r="X288" s="12">
        <f>IF(LEFT(I288,2)="MV",2*N288*IF(L288="1/C",O288,1),0)</f>
        <v/>
      </c>
      <c r="Y288" s="12">
        <f>IF(OR(LEFT(K288,4)="LVAX",LEFT(K288,6)="MV15AX",LEFT(K288,4)="CTAX",LEFT(K288,2)="W|"),2*N288*O288,0)</f>
        <v/>
      </c>
      <c r="Z288" s="12" t="inlineStr"/>
      <c r="AA288" s="12">
        <f>N288*O288</f>
        <v/>
      </c>
    </row>
    <row r="289">
      <c r="A289" s="12" t="inlineStr">
        <is>
          <t>A-C-0277</t>
        </is>
      </c>
      <c r="B289" s="12" t="inlineStr">
        <is>
          <t>A</t>
        </is>
      </c>
      <c r="C289" s="12" t="inlineStr">
        <is>
          <t>Power block</t>
        </is>
      </c>
      <c r="D289" s="12" t="inlineStr">
        <is>
          <t>MOV 9: control</t>
        </is>
      </c>
      <c r="E289" s="12" t="inlineStr">
        <is>
          <t>R2A</t>
        </is>
      </c>
      <c r="F289" s="12" t="inlineStr">
        <is>
          <t>R2A: unit / HRSG electrical e-house (32 x 40 ft)</t>
        </is>
      </c>
      <c r="G289" s="12" t="inlineStr">
        <is>
          <t>HRSG-1</t>
        </is>
      </c>
      <c r="H289" s="12" t="inlineStr">
        <is>
          <t>HRSG 1 + SCR (3P reheat, horizontal)</t>
        </is>
      </c>
      <c r="I289" s="12" t="inlineStr">
        <is>
          <t>Control</t>
        </is>
      </c>
      <c r="J289" s="12" t="inlineStr">
        <is>
          <t>Control cable 600 V Type TC-ER, Cu #14 AWG, PVC jacket</t>
        </is>
      </c>
      <c r="K289" s="12" t="inlineStr">
        <is>
          <t>CT|12/C|14</t>
        </is>
      </c>
      <c r="L289" s="12" t="inlineStr">
        <is>
          <t>12/C</t>
        </is>
      </c>
      <c r="M289" s="12" t="inlineStr">
        <is>
          <t>14</t>
        </is>
      </c>
      <c r="N289" s="12" t="n">
        <v>1</v>
      </c>
      <c r="O289" s="12" t="n">
        <v>1</v>
      </c>
      <c r="P289" s="12" t="n"/>
      <c r="Q289" s="12" t="n"/>
      <c r="R289" s="12" t="n"/>
      <c r="S289" s="12" t="inlineStr">
        <is>
          <t>Tray</t>
        </is>
      </c>
      <c r="T289" s="16" t="n">
        <v>0</v>
      </c>
      <c r="U289" s="16" t="n">
        <v>87</v>
      </c>
      <c r="V289" s="16">
        <f>ROUNDUP((T289+U289+2*'Read Me'!$B$13)*(1+'Read Me'!$B$12),-1)</f>
        <v/>
      </c>
      <c r="W289" s="16">
        <f>V289*N289*O289</f>
        <v/>
      </c>
      <c r="X289" s="12">
        <f>IF(LEFT(I289,2)="MV",2*N289*IF(L289="1/C",O289,1),0)</f>
        <v/>
      </c>
      <c r="Y289" s="12">
        <f>IF(OR(LEFT(K289,4)="LVAX",LEFT(K289,6)="MV15AX",LEFT(K289,4)="CTAX",LEFT(K289,2)="W|"),2*N289*O289,0)</f>
        <v/>
      </c>
      <c r="Z289" s="12" t="inlineStr"/>
      <c r="AA289" s="12">
        <f>N289*O289</f>
        <v/>
      </c>
    </row>
    <row r="290">
      <c r="A290" s="12" t="inlineStr">
        <is>
          <t>A-C-0278</t>
        </is>
      </c>
      <c r="B290" s="12" t="inlineStr">
        <is>
          <t>A</t>
        </is>
      </c>
      <c r="C290" s="12" t="inlineStr">
        <is>
          <t>Power block</t>
        </is>
      </c>
      <c r="D290" s="12" t="inlineStr">
        <is>
          <t>MOV 10: control</t>
        </is>
      </c>
      <c r="E290" s="12" t="inlineStr">
        <is>
          <t>R2A</t>
        </is>
      </c>
      <c r="F290" s="12" t="inlineStr">
        <is>
          <t>R2A: unit / HRSG electrical e-house (32 x 40 ft)</t>
        </is>
      </c>
      <c r="G290" s="12" t="inlineStr">
        <is>
          <t>HRSG-1</t>
        </is>
      </c>
      <c r="H290" s="12" t="inlineStr">
        <is>
          <t>HRSG 1 + SCR (3P reheat, horizontal)</t>
        </is>
      </c>
      <c r="I290" s="12" t="inlineStr">
        <is>
          <t>Control</t>
        </is>
      </c>
      <c r="J290" s="12" t="inlineStr">
        <is>
          <t>Control cable 600 V Type TC-ER, Cu #14 AWG, PVC jacket</t>
        </is>
      </c>
      <c r="K290" s="12" t="inlineStr">
        <is>
          <t>CT|12/C|14</t>
        </is>
      </c>
      <c r="L290" s="12" t="inlineStr">
        <is>
          <t>12/C</t>
        </is>
      </c>
      <c r="M290" s="12" t="inlineStr">
        <is>
          <t>14</t>
        </is>
      </c>
      <c r="N290" s="12" t="n">
        <v>1</v>
      </c>
      <c r="O290" s="12" t="n">
        <v>1</v>
      </c>
      <c r="P290" s="12" t="n"/>
      <c r="Q290" s="12" t="n"/>
      <c r="R290" s="12" t="n"/>
      <c r="S290" s="12" t="inlineStr">
        <is>
          <t>Tray</t>
        </is>
      </c>
      <c r="T290" s="16" t="n">
        <v>0</v>
      </c>
      <c r="U290" s="16" t="n">
        <v>87</v>
      </c>
      <c r="V290" s="16">
        <f>ROUNDUP((T290+U290+2*'Read Me'!$B$13)*(1+'Read Me'!$B$12),-1)</f>
        <v/>
      </c>
      <c r="W290" s="16">
        <f>V290*N290*O290</f>
        <v/>
      </c>
      <c r="X290" s="12">
        <f>IF(LEFT(I290,2)="MV",2*N290*IF(L290="1/C",O290,1),0)</f>
        <v/>
      </c>
      <c r="Y290" s="12">
        <f>IF(OR(LEFT(K290,4)="LVAX",LEFT(K290,6)="MV15AX",LEFT(K290,4)="CTAX",LEFT(K290,2)="W|"),2*N290*O290,0)</f>
        <v/>
      </c>
      <c r="Z290" s="12" t="inlineStr"/>
      <c r="AA290" s="12">
        <f>N290*O290</f>
        <v/>
      </c>
    </row>
    <row r="291">
      <c r="A291" s="12" t="inlineStr">
        <is>
          <t>A-C-0279</t>
        </is>
      </c>
      <c r="B291" s="12" t="inlineStr">
        <is>
          <t>A</t>
        </is>
      </c>
      <c r="C291" s="12" t="inlineStr">
        <is>
          <t>Power block</t>
        </is>
      </c>
      <c r="D291" s="12" t="inlineStr">
        <is>
          <t>MOV 11: control</t>
        </is>
      </c>
      <c r="E291" s="12" t="inlineStr">
        <is>
          <t>R2A</t>
        </is>
      </c>
      <c r="F291" s="12" t="inlineStr">
        <is>
          <t>R2A: unit / HRSG electrical e-house (32 x 40 ft)</t>
        </is>
      </c>
      <c r="G291" s="12" t="inlineStr">
        <is>
          <t>HRSG-1</t>
        </is>
      </c>
      <c r="H291" s="12" t="inlineStr">
        <is>
          <t>HRSG 1 + SCR (3P reheat, horizontal)</t>
        </is>
      </c>
      <c r="I291" s="12" t="inlineStr">
        <is>
          <t>Control</t>
        </is>
      </c>
      <c r="J291" s="12" t="inlineStr">
        <is>
          <t>Control cable 600 V Type TC-ER, Cu #14 AWG, PVC jacket</t>
        </is>
      </c>
      <c r="K291" s="12" t="inlineStr">
        <is>
          <t>CT|12/C|14</t>
        </is>
      </c>
      <c r="L291" s="12" t="inlineStr">
        <is>
          <t>12/C</t>
        </is>
      </c>
      <c r="M291" s="12" t="inlineStr">
        <is>
          <t>14</t>
        </is>
      </c>
      <c r="N291" s="12" t="n">
        <v>1</v>
      </c>
      <c r="O291" s="12" t="n">
        <v>1</v>
      </c>
      <c r="P291" s="12" t="n"/>
      <c r="Q291" s="12" t="n"/>
      <c r="R291" s="12" t="n"/>
      <c r="S291" s="12" t="inlineStr">
        <is>
          <t>Tray</t>
        </is>
      </c>
      <c r="T291" s="16" t="n">
        <v>0</v>
      </c>
      <c r="U291" s="16" t="n">
        <v>87</v>
      </c>
      <c r="V291" s="16">
        <f>ROUNDUP((T291+U291+2*'Read Me'!$B$13)*(1+'Read Me'!$B$12),-1)</f>
        <v/>
      </c>
      <c r="W291" s="16">
        <f>V291*N291*O291</f>
        <v/>
      </c>
      <c r="X291" s="12">
        <f>IF(LEFT(I291,2)="MV",2*N291*IF(L291="1/C",O291,1),0)</f>
        <v/>
      </c>
      <c r="Y291" s="12">
        <f>IF(OR(LEFT(K291,4)="LVAX",LEFT(K291,6)="MV15AX",LEFT(K291,4)="CTAX",LEFT(K291,2)="W|"),2*N291*O291,0)</f>
        <v/>
      </c>
      <c r="Z291" s="12" t="inlineStr"/>
      <c r="AA291" s="12">
        <f>N291*O291</f>
        <v/>
      </c>
    </row>
    <row r="292">
      <c r="A292" s="12" t="inlineStr">
        <is>
          <t>A-C-0280</t>
        </is>
      </c>
      <c r="B292" s="12" t="inlineStr">
        <is>
          <t>A</t>
        </is>
      </c>
      <c r="C292" s="12" t="inlineStr">
        <is>
          <t>Power block</t>
        </is>
      </c>
      <c r="D292" s="12" t="inlineStr">
        <is>
          <t>MOV 12: control</t>
        </is>
      </c>
      <c r="E292" s="12" t="inlineStr">
        <is>
          <t>R2A</t>
        </is>
      </c>
      <c r="F292" s="12" t="inlineStr">
        <is>
          <t>R2A: unit / HRSG electrical e-house (32 x 40 ft)</t>
        </is>
      </c>
      <c r="G292" s="12" t="inlineStr">
        <is>
          <t>HRSG-1</t>
        </is>
      </c>
      <c r="H292" s="12" t="inlineStr">
        <is>
          <t>HRSG 1 + SCR (3P reheat, horizontal)</t>
        </is>
      </c>
      <c r="I292" s="12" t="inlineStr">
        <is>
          <t>Control</t>
        </is>
      </c>
      <c r="J292" s="12" t="inlineStr">
        <is>
          <t>Control cable 600 V Type TC-ER, Cu #14 AWG, PVC jacket</t>
        </is>
      </c>
      <c r="K292" s="12" t="inlineStr">
        <is>
          <t>CT|12/C|14</t>
        </is>
      </c>
      <c r="L292" s="12" t="inlineStr">
        <is>
          <t>12/C</t>
        </is>
      </c>
      <c r="M292" s="12" t="inlineStr">
        <is>
          <t>14</t>
        </is>
      </c>
      <c r="N292" s="12" t="n">
        <v>1</v>
      </c>
      <c r="O292" s="12" t="n">
        <v>1</v>
      </c>
      <c r="P292" s="12" t="n"/>
      <c r="Q292" s="12" t="n"/>
      <c r="R292" s="12" t="n"/>
      <c r="S292" s="12" t="inlineStr">
        <is>
          <t>Tray</t>
        </is>
      </c>
      <c r="T292" s="16" t="n">
        <v>0</v>
      </c>
      <c r="U292" s="16" t="n">
        <v>87</v>
      </c>
      <c r="V292" s="16">
        <f>ROUNDUP((T292+U292+2*'Read Me'!$B$13)*(1+'Read Me'!$B$12),-1)</f>
        <v/>
      </c>
      <c r="W292" s="16">
        <f>V292*N292*O292</f>
        <v/>
      </c>
      <c r="X292" s="12">
        <f>IF(LEFT(I292,2)="MV",2*N292*IF(L292="1/C",O292,1),0)</f>
        <v/>
      </c>
      <c r="Y292" s="12">
        <f>IF(OR(LEFT(K292,4)="LVAX",LEFT(K292,6)="MV15AX",LEFT(K292,4)="CTAX",LEFT(K292,2)="W|"),2*N292*O292,0)</f>
        <v/>
      </c>
      <c r="Z292" s="12" t="inlineStr"/>
      <c r="AA292" s="12">
        <f>N292*O292</f>
        <v/>
      </c>
    </row>
    <row r="293">
      <c r="A293" s="12" t="inlineStr">
        <is>
          <t>A-C-0281</t>
        </is>
      </c>
      <c r="B293" s="12" t="inlineStr">
        <is>
          <t>A</t>
        </is>
      </c>
      <c r="C293" s="12" t="inlineStr">
        <is>
          <t>Power block</t>
        </is>
      </c>
      <c r="D293" s="12" t="inlineStr">
        <is>
          <t>MOV 13: control</t>
        </is>
      </c>
      <c r="E293" s="12" t="inlineStr">
        <is>
          <t>R2A</t>
        </is>
      </c>
      <c r="F293" s="12" t="inlineStr">
        <is>
          <t>R2A: unit / HRSG electrical e-house (32 x 40 ft)</t>
        </is>
      </c>
      <c r="G293" s="12" t="inlineStr">
        <is>
          <t>HRSG-1</t>
        </is>
      </c>
      <c r="H293" s="12" t="inlineStr">
        <is>
          <t>HRSG 1 + SCR (3P reheat, horizontal)</t>
        </is>
      </c>
      <c r="I293" s="12" t="inlineStr">
        <is>
          <t>Control</t>
        </is>
      </c>
      <c r="J293" s="12" t="inlineStr">
        <is>
          <t>Control cable 600 V Type TC-ER, Cu #14 AWG, PVC jacket</t>
        </is>
      </c>
      <c r="K293" s="12" t="inlineStr">
        <is>
          <t>CT|12/C|14</t>
        </is>
      </c>
      <c r="L293" s="12" t="inlineStr">
        <is>
          <t>12/C</t>
        </is>
      </c>
      <c r="M293" s="12" t="inlineStr">
        <is>
          <t>14</t>
        </is>
      </c>
      <c r="N293" s="12" t="n">
        <v>1</v>
      </c>
      <c r="O293" s="12" t="n">
        <v>1</v>
      </c>
      <c r="P293" s="12" t="n"/>
      <c r="Q293" s="12" t="n"/>
      <c r="R293" s="12" t="n"/>
      <c r="S293" s="12" t="inlineStr">
        <is>
          <t>Tray</t>
        </is>
      </c>
      <c r="T293" s="16" t="n">
        <v>0</v>
      </c>
      <c r="U293" s="16" t="n">
        <v>87</v>
      </c>
      <c r="V293" s="16">
        <f>ROUNDUP((T293+U293+2*'Read Me'!$B$13)*(1+'Read Me'!$B$12),-1)</f>
        <v/>
      </c>
      <c r="W293" s="16">
        <f>V293*N293*O293</f>
        <v/>
      </c>
      <c r="X293" s="12">
        <f>IF(LEFT(I293,2)="MV",2*N293*IF(L293="1/C",O293,1),0)</f>
        <v/>
      </c>
      <c r="Y293" s="12">
        <f>IF(OR(LEFT(K293,4)="LVAX",LEFT(K293,6)="MV15AX",LEFT(K293,4)="CTAX",LEFT(K293,2)="W|"),2*N293*O293,0)</f>
        <v/>
      </c>
      <c r="Z293" s="12" t="inlineStr"/>
      <c r="AA293" s="12">
        <f>N293*O293</f>
        <v/>
      </c>
    </row>
    <row r="294">
      <c r="A294" s="12" t="inlineStr">
        <is>
          <t>A-C-0282</t>
        </is>
      </c>
      <c r="B294" s="12" t="inlineStr">
        <is>
          <t>A</t>
        </is>
      </c>
      <c r="C294" s="12" t="inlineStr">
        <is>
          <t>Power block</t>
        </is>
      </c>
      <c r="D294" s="12" t="inlineStr">
        <is>
          <t>MOV 14: control</t>
        </is>
      </c>
      <c r="E294" s="12" t="inlineStr">
        <is>
          <t>R2A</t>
        </is>
      </c>
      <c r="F294" s="12" t="inlineStr">
        <is>
          <t>R2A: unit / HRSG electrical e-house (32 x 40 ft)</t>
        </is>
      </c>
      <c r="G294" s="12" t="inlineStr">
        <is>
          <t>HRSG-1</t>
        </is>
      </c>
      <c r="H294" s="12" t="inlineStr">
        <is>
          <t>HRSG 1 + SCR (3P reheat, horizontal)</t>
        </is>
      </c>
      <c r="I294" s="12" t="inlineStr">
        <is>
          <t>Control</t>
        </is>
      </c>
      <c r="J294" s="12" t="inlineStr">
        <is>
          <t>Control cable 600 V Type TC-ER, Cu #14 AWG, PVC jacket</t>
        </is>
      </c>
      <c r="K294" s="12" t="inlineStr">
        <is>
          <t>CT|12/C|14</t>
        </is>
      </c>
      <c r="L294" s="12" t="inlineStr">
        <is>
          <t>12/C</t>
        </is>
      </c>
      <c r="M294" s="12" t="inlineStr">
        <is>
          <t>14</t>
        </is>
      </c>
      <c r="N294" s="12" t="n">
        <v>1</v>
      </c>
      <c r="O294" s="12" t="n">
        <v>1</v>
      </c>
      <c r="P294" s="12" t="n"/>
      <c r="Q294" s="12" t="n"/>
      <c r="R294" s="12" t="n"/>
      <c r="S294" s="12" t="inlineStr">
        <is>
          <t>Tray</t>
        </is>
      </c>
      <c r="T294" s="16" t="n">
        <v>0</v>
      </c>
      <c r="U294" s="16" t="n">
        <v>87</v>
      </c>
      <c r="V294" s="16">
        <f>ROUNDUP((T294+U294+2*'Read Me'!$B$13)*(1+'Read Me'!$B$12),-1)</f>
        <v/>
      </c>
      <c r="W294" s="16">
        <f>V294*N294*O294</f>
        <v/>
      </c>
      <c r="X294" s="12">
        <f>IF(LEFT(I294,2)="MV",2*N294*IF(L294="1/C",O294,1),0)</f>
        <v/>
      </c>
      <c r="Y294" s="12">
        <f>IF(OR(LEFT(K294,4)="LVAX",LEFT(K294,6)="MV15AX",LEFT(K294,4)="CTAX",LEFT(K294,2)="W|"),2*N294*O294,0)</f>
        <v/>
      </c>
      <c r="Z294" s="12" t="inlineStr"/>
      <c r="AA294" s="12">
        <f>N294*O294</f>
        <v/>
      </c>
    </row>
    <row r="295">
      <c r="A295" s="12" t="inlineStr">
        <is>
          <t>A-C-0283</t>
        </is>
      </c>
      <c r="B295" s="12" t="inlineStr">
        <is>
          <t>A</t>
        </is>
      </c>
      <c r="C295" s="12" t="inlineStr">
        <is>
          <t>Power block</t>
        </is>
      </c>
      <c r="D295" s="12" t="inlineStr">
        <is>
          <t>MOV 15: control</t>
        </is>
      </c>
      <c r="E295" s="12" t="inlineStr">
        <is>
          <t>R2A</t>
        </is>
      </c>
      <c r="F295" s="12" t="inlineStr">
        <is>
          <t>R2A: unit / HRSG electrical e-house (32 x 40 ft)</t>
        </is>
      </c>
      <c r="G295" s="12" t="inlineStr">
        <is>
          <t>HRSG-1</t>
        </is>
      </c>
      <c r="H295" s="12" t="inlineStr">
        <is>
          <t>HRSG 1 + SCR (3P reheat, horizontal)</t>
        </is>
      </c>
      <c r="I295" s="12" t="inlineStr">
        <is>
          <t>Control</t>
        </is>
      </c>
      <c r="J295" s="12" t="inlineStr">
        <is>
          <t>Control cable 600 V Type TC-ER, Cu #14 AWG, PVC jacket</t>
        </is>
      </c>
      <c r="K295" s="12" t="inlineStr">
        <is>
          <t>CT|12/C|14</t>
        </is>
      </c>
      <c r="L295" s="12" t="inlineStr">
        <is>
          <t>12/C</t>
        </is>
      </c>
      <c r="M295" s="12" t="inlineStr">
        <is>
          <t>14</t>
        </is>
      </c>
      <c r="N295" s="12" t="n">
        <v>1</v>
      </c>
      <c r="O295" s="12" t="n">
        <v>1</v>
      </c>
      <c r="P295" s="12" t="n"/>
      <c r="Q295" s="12" t="n"/>
      <c r="R295" s="12" t="n"/>
      <c r="S295" s="12" t="inlineStr">
        <is>
          <t>Tray</t>
        </is>
      </c>
      <c r="T295" s="16" t="n">
        <v>0</v>
      </c>
      <c r="U295" s="16" t="n">
        <v>87</v>
      </c>
      <c r="V295" s="16">
        <f>ROUNDUP((T295+U295+2*'Read Me'!$B$13)*(1+'Read Me'!$B$12),-1)</f>
        <v/>
      </c>
      <c r="W295" s="16">
        <f>V295*N295*O295</f>
        <v/>
      </c>
      <c r="X295" s="12">
        <f>IF(LEFT(I295,2)="MV",2*N295*IF(L295="1/C",O295,1),0)</f>
        <v/>
      </c>
      <c r="Y295" s="12">
        <f>IF(OR(LEFT(K295,4)="LVAX",LEFT(K295,6)="MV15AX",LEFT(K295,4)="CTAX",LEFT(K295,2)="W|"),2*N295*O295,0)</f>
        <v/>
      </c>
      <c r="Z295" s="12" t="inlineStr"/>
      <c r="AA295" s="12">
        <f>N295*O295</f>
        <v/>
      </c>
    </row>
    <row r="296">
      <c r="A296" s="12" t="inlineStr">
        <is>
          <t>A-C-0284</t>
        </is>
      </c>
      <c r="B296" s="12" t="inlineStr">
        <is>
          <t>A</t>
        </is>
      </c>
      <c r="C296" s="12" t="inlineStr">
        <is>
          <t>Power block</t>
        </is>
      </c>
      <c r="D296" s="12" t="inlineStr">
        <is>
          <t>MOV 16: control</t>
        </is>
      </c>
      <c r="E296" s="12" t="inlineStr">
        <is>
          <t>R2A</t>
        </is>
      </c>
      <c r="F296" s="12" t="inlineStr">
        <is>
          <t>R2A: unit / HRSG electrical e-house (32 x 40 ft)</t>
        </is>
      </c>
      <c r="G296" s="12" t="inlineStr">
        <is>
          <t>HRSG-1</t>
        </is>
      </c>
      <c r="H296" s="12" t="inlineStr">
        <is>
          <t>HRSG 1 + SCR (3P reheat, horizontal)</t>
        </is>
      </c>
      <c r="I296" s="12" t="inlineStr">
        <is>
          <t>Control</t>
        </is>
      </c>
      <c r="J296" s="12" t="inlineStr">
        <is>
          <t>Control cable 600 V Type TC-ER, Cu #14 AWG, PVC jacket</t>
        </is>
      </c>
      <c r="K296" s="12" t="inlineStr">
        <is>
          <t>CT|12/C|14</t>
        </is>
      </c>
      <c r="L296" s="12" t="inlineStr">
        <is>
          <t>12/C</t>
        </is>
      </c>
      <c r="M296" s="12" t="inlineStr">
        <is>
          <t>14</t>
        </is>
      </c>
      <c r="N296" s="12" t="n">
        <v>1</v>
      </c>
      <c r="O296" s="12" t="n">
        <v>1</v>
      </c>
      <c r="P296" s="12" t="n"/>
      <c r="Q296" s="12" t="n"/>
      <c r="R296" s="12" t="n"/>
      <c r="S296" s="12" t="inlineStr">
        <is>
          <t>Tray</t>
        </is>
      </c>
      <c r="T296" s="16" t="n">
        <v>0</v>
      </c>
      <c r="U296" s="16" t="n">
        <v>87</v>
      </c>
      <c r="V296" s="16">
        <f>ROUNDUP((T296+U296+2*'Read Me'!$B$13)*(1+'Read Me'!$B$12),-1)</f>
        <v/>
      </c>
      <c r="W296" s="16">
        <f>V296*N296*O296</f>
        <v/>
      </c>
      <c r="X296" s="12">
        <f>IF(LEFT(I296,2)="MV",2*N296*IF(L296="1/C",O296,1),0)</f>
        <v/>
      </c>
      <c r="Y296" s="12">
        <f>IF(OR(LEFT(K296,4)="LVAX",LEFT(K296,6)="MV15AX",LEFT(K296,4)="CTAX",LEFT(K296,2)="W|"),2*N296*O296,0)</f>
        <v/>
      </c>
      <c r="Z296" s="12" t="inlineStr"/>
      <c r="AA296" s="12">
        <f>N296*O296</f>
        <v/>
      </c>
    </row>
    <row r="297">
      <c r="A297" s="12" t="inlineStr">
        <is>
          <t>A-C-0285</t>
        </is>
      </c>
      <c r="B297" s="12" t="inlineStr">
        <is>
          <t>A</t>
        </is>
      </c>
      <c r="C297" s="12" t="inlineStr">
        <is>
          <t>Power block</t>
        </is>
      </c>
      <c r="D297" s="12" t="inlineStr">
        <is>
          <t>MOV 17: control</t>
        </is>
      </c>
      <c r="E297" s="12" t="inlineStr">
        <is>
          <t>R2A</t>
        </is>
      </c>
      <c r="F297" s="12" t="inlineStr">
        <is>
          <t>R2A: unit / HRSG electrical e-house (32 x 40 ft)</t>
        </is>
      </c>
      <c r="G297" s="12" t="inlineStr">
        <is>
          <t>HRSG-1</t>
        </is>
      </c>
      <c r="H297" s="12" t="inlineStr">
        <is>
          <t>HRSG 1 + SCR (3P reheat, horizontal)</t>
        </is>
      </c>
      <c r="I297" s="12" t="inlineStr">
        <is>
          <t>Control</t>
        </is>
      </c>
      <c r="J297" s="12" t="inlineStr">
        <is>
          <t>Control cable 600 V Type TC-ER, Cu #14 AWG, PVC jacket</t>
        </is>
      </c>
      <c r="K297" s="12" t="inlineStr">
        <is>
          <t>CT|12/C|14</t>
        </is>
      </c>
      <c r="L297" s="12" t="inlineStr">
        <is>
          <t>12/C</t>
        </is>
      </c>
      <c r="M297" s="12" t="inlineStr">
        <is>
          <t>14</t>
        </is>
      </c>
      <c r="N297" s="12" t="n">
        <v>1</v>
      </c>
      <c r="O297" s="12" t="n">
        <v>1</v>
      </c>
      <c r="P297" s="12" t="n"/>
      <c r="Q297" s="12" t="n"/>
      <c r="R297" s="12" t="n"/>
      <c r="S297" s="12" t="inlineStr">
        <is>
          <t>Tray</t>
        </is>
      </c>
      <c r="T297" s="16" t="n">
        <v>0</v>
      </c>
      <c r="U297" s="16" t="n">
        <v>87</v>
      </c>
      <c r="V297" s="16">
        <f>ROUNDUP((T297+U297+2*'Read Me'!$B$13)*(1+'Read Me'!$B$12),-1)</f>
        <v/>
      </c>
      <c r="W297" s="16">
        <f>V297*N297*O297</f>
        <v/>
      </c>
      <c r="X297" s="12">
        <f>IF(LEFT(I297,2)="MV",2*N297*IF(L297="1/C",O297,1),0)</f>
        <v/>
      </c>
      <c r="Y297" s="12">
        <f>IF(OR(LEFT(K297,4)="LVAX",LEFT(K297,6)="MV15AX",LEFT(K297,4)="CTAX",LEFT(K297,2)="W|"),2*N297*O297,0)</f>
        <v/>
      </c>
      <c r="Z297" s="12" t="inlineStr"/>
      <c r="AA297" s="12">
        <f>N297*O297</f>
        <v/>
      </c>
    </row>
    <row r="298">
      <c r="A298" s="12" t="inlineStr">
        <is>
          <t>A-C-0286</t>
        </is>
      </c>
      <c r="B298" s="12" t="inlineStr">
        <is>
          <t>A</t>
        </is>
      </c>
      <c r="C298" s="12" t="inlineStr">
        <is>
          <t>Power block</t>
        </is>
      </c>
      <c r="D298" s="12" t="inlineStr">
        <is>
          <t>MOV 18: control</t>
        </is>
      </c>
      <c r="E298" s="12" t="inlineStr">
        <is>
          <t>R2A</t>
        </is>
      </c>
      <c r="F298" s="12" t="inlineStr">
        <is>
          <t>R2A: unit / HRSG electrical e-house (32 x 40 ft)</t>
        </is>
      </c>
      <c r="G298" s="12" t="inlineStr">
        <is>
          <t>HRSG-1</t>
        </is>
      </c>
      <c r="H298" s="12" t="inlineStr">
        <is>
          <t>HRSG 1 + SCR (3P reheat, horizontal)</t>
        </is>
      </c>
      <c r="I298" s="12" t="inlineStr">
        <is>
          <t>Control</t>
        </is>
      </c>
      <c r="J298" s="12" t="inlineStr">
        <is>
          <t>Control cable 600 V Type TC-ER, Cu #14 AWG, PVC jacket</t>
        </is>
      </c>
      <c r="K298" s="12" t="inlineStr">
        <is>
          <t>CT|12/C|14</t>
        </is>
      </c>
      <c r="L298" s="12" t="inlineStr">
        <is>
          <t>12/C</t>
        </is>
      </c>
      <c r="M298" s="12" t="inlineStr">
        <is>
          <t>14</t>
        </is>
      </c>
      <c r="N298" s="12" t="n">
        <v>1</v>
      </c>
      <c r="O298" s="12" t="n">
        <v>1</v>
      </c>
      <c r="P298" s="12" t="n"/>
      <c r="Q298" s="12" t="n"/>
      <c r="R298" s="12" t="n"/>
      <c r="S298" s="12" t="inlineStr">
        <is>
          <t>Tray</t>
        </is>
      </c>
      <c r="T298" s="16" t="n">
        <v>0</v>
      </c>
      <c r="U298" s="16" t="n">
        <v>87</v>
      </c>
      <c r="V298" s="16">
        <f>ROUNDUP((T298+U298+2*'Read Me'!$B$13)*(1+'Read Me'!$B$12),-1)</f>
        <v/>
      </c>
      <c r="W298" s="16">
        <f>V298*N298*O298</f>
        <v/>
      </c>
      <c r="X298" s="12">
        <f>IF(LEFT(I298,2)="MV",2*N298*IF(L298="1/C",O298,1),0)</f>
        <v/>
      </c>
      <c r="Y298" s="12">
        <f>IF(OR(LEFT(K298,4)="LVAX",LEFT(K298,6)="MV15AX",LEFT(K298,4)="CTAX",LEFT(K298,2)="W|"),2*N298*O298,0)</f>
        <v/>
      </c>
      <c r="Z298" s="12" t="inlineStr"/>
      <c r="AA298" s="12">
        <f>N298*O298</f>
        <v/>
      </c>
    </row>
    <row r="299">
      <c r="A299" s="12" t="inlineStr">
        <is>
          <t>A-C-0287</t>
        </is>
      </c>
      <c r="B299" s="12" t="inlineStr">
        <is>
          <t>A</t>
        </is>
      </c>
      <c r="C299" s="12" t="inlineStr">
        <is>
          <t>Power block</t>
        </is>
      </c>
      <c r="D299" s="12" t="inlineStr">
        <is>
          <t>MOV 19: control</t>
        </is>
      </c>
      <c r="E299" s="12" t="inlineStr">
        <is>
          <t>R2A</t>
        </is>
      </c>
      <c r="F299" s="12" t="inlineStr">
        <is>
          <t>R2A: unit / HRSG electrical e-house (32 x 40 ft)</t>
        </is>
      </c>
      <c r="G299" s="12" t="inlineStr">
        <is>
          <t>HRSG-1</t>
        </is>
      </c>
      <c r="H299" s="12" t="inlineStr">
        <is>
          <t>HRSG 1 + SCR (3P reheat, horizontal)</t>
        </is>
      </c>
      <c r="I299" s="12" t="inlineStr">
        <is>
          <t>Control</t>
        </is>
      </c>
      <c r="J299" s="12" t="inlineStr">
        <is>
          <t>Control cable 600 V Type TC-ER, Cu #14 AWG, PVC jacket</t>
        </is>
      </c>
      <c r="K299" s="12" t="inlineStr">
        <is>
          <t>CT|12/C|14</t>
        </is>
      </c>
      <c r="L299" s="12" t="inlineStr">
        <is>
          <t>12/C</t>
        </is>
      </c>
      <c r="M299" s="12" t="inlineStr">
        <is>
          <t>14</t>
        </is>
      </c>
      <c r="N299" s="12" t="n">
        <v>1</v>
      </c>
      <c r="O299" s="12" t="n">
        <v>1</v>
      </c>
      <c r="P299" s="12" t="n"/>
      <c r="Q299" s="12" t="n"/>
      <c r="R299" s="12" t="n"/>
      <c r="S299" s="12" t="inlineStr">
        <is>
          <t>Tray</t>
        </is>
      </c>
      <c r="T299" s="16" t="n">
        <v>0</v>
      </c>
      <c r="U299" s="16" t="n">
        <v>87</v>
      </c>
      <c r="V299" s="16">
        <f>ROUNDUP((T299+U299+2*'Read Me'!$B$13)*(1+'Read Me'!$B$12),-1)</f>
        <v/>
      </c>
      <c r="W299" s="16">
        <f>V299*N299*O299</f>
        <v/>
      </c>
      <c r="X299" s="12">
        <f>IF(LEFT(I299,2)="MV",2*N299*IF(L299="1/C",O299,1),0)</f>
        <v/>
      </c>
      <c r="Y299" s="12">
        <f>IF(OR(LEFT(K299,4)="LVAX",LEFT(K299,6)="MV15AX",LEFT(K299,4)="CTAX",LEFT(K299,2)="W|"),2*N299*O299,0)</f>
        <v/>
      </c>
      <c r="Z299" s="12" t="inlineStr"/>
      <c r="AA299" s="12">
        <f>N299*O299</f>
        <v/>
      </c>
    </row>
    <row r="300">
      <c r="A300" s="12" t="inlineStr">
        <is>
          <t>A-C-0288</t>
        </is>
      </c>
      <c r="B300" s="12" t="inlineStr">
        <is>
          <t>A</t>
        </is>
      </c>
      <c r="C300" s="12" t="inlineStr">
        <is>
          <t>Power block</t>
        </is>
      </c>
      <c r="D300" s="12" t="inlineStr">
        <is>
          <t>MOV 20: control</t>
        </is>
      </c>
      <c r="E300" s="12" t="inlineStr">
        <is>
          <t>R2A</t>
        </is>
      </c>
      <c r="F300" s="12" t="inlineStr">
        <is>
          <t>R2A: unit / HRSG electrical e-house (32 x 40 ft)</t>
        </is>
      </c>
      <c r="G300" s="12" t="inlineStr">
        <is>
          <t>HRSG-1</t>
        </is>
      </c>
      <c r="H300" s="12" t="inlineStr">
        <is>
          <t>HRSG 1 + SCR (3P reheat, horizontal)</t>
        </is>
      </c>
      <c r="I300" s="12" t="inlineStr">
        <is>
          <t>Control</t>
        </is>
      </c>
      <c r="J300" s="12" t="inlineStr">
        <is>
          <t>Control cable 600 V Type TC-ER, Cu #14 AWG, PVC jacket</t>
        </is>
      </c>
      <c r="K300" s="12" t="inlineStr">
        <is>
          <t>CT|12/C|14</t>
        </is>
      </c>
      <c r="L300" s="12" t="inlineStr">
        <is>
          <t>12/C</t>
        </is>
      </c>
      <c r="M300" s="12" t="inlineStr">
        <is>
          <t>14</t>
        </is>
      </c>
      <c r="N300" s="12" t="n">
        <v>1</v>
      </c>
      <c r="O300" s="12" t="n">
        <v>1</v>
      </c>
      <c r="P300" s="12" t="n"/>
      <c r="Q300" s="12" t="n"/>
      <c r="R300" s="12" t="n"/>
      <c r="S300" s="12" t="inlineStr">
        <is>
          <t>Tray</t>
        </is>
      </c>
      <c r="T300" s="16" t="n">
        <v>0</v>
      </c>
      <c r="U300" s="16" t="n">
        <v>87</v>
      </c>
      <c r="V300" s="16">
        <f>ROUNDUP((T300+U300+2*'Read Me'!$B$13)*(1+'Read Me'!$B$12),-1)</f>
        <v/>
      </c>
      <c r="W300" s="16">
        <f>V300*N300*O300</f>
        <v/>
      </c>
      <c r="X300" s="12">
        <f>IF(LEFT(I300,2)="MV",2*N300*IF(L300="1/C",O300,1),0)</f>
        <v/>
      </c>
      <c r="Y300" s="12">
        <f>IF(OR(LEFT(K300,4)="LVAX",LEFT(K300,6)="MV15AX",LEFT(K300,4)="CTAX",LEFT(K300,2)="W|"),2*N300*O300,0)</f>
        <v/>
      </c>
      <c r="Z300" s="12" t="inlineStr"/>
      <c r="AA300" s="12">
        <f>N300*O300</f>
        <v/>
      </c>
    </row>
    <row r="301">
      <c r="A301" s="12" t="inlineStr">
        <is>
          <t>A-C-0289</t>
        </is>
      </c>
      <c r="B301" s="12" t="inlineStr">
        <is>
          <t>A</t>
        </is>
      </c>
      <c r="C301" s="12" t="inlineStr">
        <is>
          <t>Power block</t>
        </is>
      </c>
      <c r="D301" s="12" t="inlineStr">
        <is>
          <t>MOV 21: control</t>
        </is>
      </c>
      <c r="E301" s="12" t="inlineStr">
        <is>
          <t>R2A</t>
        </is>
      </c>
      <c r="F301" s="12" t="inlineStr">
        <is>
          <t>R2A: unit / HRSG electrical e-house (32 x 40 ft)</t>
        </is>
      </c>
      <c r="G301" s="12" t="inlineStr">
        <is>
          <t>HRSG-1</t>
        </is>
      </c>
      <c r="H301" s="12" t="inlineStr">
        <is>
          <t>HRSG 1 + SCR (3P reheat, horizontal)</t>
        </is>
      </c>
      <c r="I301" s="12" t="inlineStr">
        <is>
          <t>Control</t>
        </is>
      </c>
      <c r="J301" s="12" t="inlineStr">
        <is>
          <t>Control cable 600 V Type TC-ER, Cu #14 AWG, PVC jacket</t>
        </is>
      </c>
      <c r="K301" s="12" t="inlineStr">
        <is>
          <t>CT|12/C|14</t>
        </is>
      </c>
      <c r="L301" s="12" t="inlineStr">
        <is>
          <t>12/C</t>
        </is>
      </c>
      <c r="M301" s="12" t="inlineStr">
        <is>
          <t>14</t>
        </is>
      </c>
      <c r="N301" s="12" t="n">
        <v>1</v>
      </c>
      <c r="O301" s="12" t="n">
        <v>1</v>
      </c>
      <c r="P301" s="12" t="n"/>
      <c r="Q301" s="12" t="n"/>
      <c r="R301" s="12" t="n"/>
      <c r="S301" s="12" t="inlineStr">
        <is>
          <t>Tray</t>
        </is>
      </c>
      <c r="T301" s="16" t="n">
        <v>0</v>
      </c>
      <c r="U301" s="16" t="n">
        <v>87</v>
      </c>
      <c r="V301" s="16">
        <f>ROUNDUP((T301+U301+2*'Read Me'!$B$13)*(1+'Read Me'!$B$12),-1)</f>
        <v/>
      </c>
      <c r="W301" s="16">
        <f>V301*N301*O301</f>
        <v/>
      </c>
      <c r="X301" s="12">
        <f>IF(LEFT(I301,2)="MV",2*N301*IF(L301="1/C",O301,1),0)</f>
        <v/>
      </c>
      <c r="Y301" s="12">
        <f>IF(OR(LEFT(K301,4)="LVAX",LEFT(K301,6)="MV15AX",LEFT(K301,4)="CTAX",LEFT(K301,2)="W|"),2*N301*O301,0)</f>
        <v/>
      </c>
      <c r="Z301" s="12" t="inlineStr"/>
      <c r="AA301" s="12">
        <f>N301*O301</f>
        <v/>
      </c>
    </row>
    <row r="302">
      <c r="A302" s="12" t="inlineStr">
        <is>
          <t>A-C-0290</t>
        </is>
      </c>
      <c r="B302" s="12" t="inlineStr">
        <is>
          <t>A</t>
        </is>
      </c>
      <c r="C302" s="12" t="inlineStr">
        <is>
          <t>Power block</t>
        </is>
      </c>
      <c r="D302" s="12" t="inlineStr">
        <is>
          <t>MOV 22: control</t>
        </is>
      </c>
      <c r="E302" s="12" t="inlineStr">
        <is>
          <t>R2A</t>
        </is>
      </c>
      <c r="F302" s="12" t="inlineStr">
        <is>
          <t>R2A: unit / HRSG electrical e-house (32 x 40 ft)</t>
        </is>
      </c>
      <c r="G302" s="12" t="inlineStr">
        <is>
          <t>HRSG-1</t>
        </is>
      </c>
      <c r="H302" s="12" t="inlineStr">
        <is>
          <t>HRSG 1 + SCR (3P reheat, horizontal)</t>
        </is>
      </c>
      <c r="I302" s="12" t="inlineStr">
        <is>
          <t>Control</t>
        </is>
      </c>
      <c r="J302" s="12" t="inlineStr">
        <is>
          <t>Control cable 600 V Type TC-ER, Cu #14 AWG, PVC jacket</t>
        </is>
      </c>
      <c r="K302" s="12" t="inlineStr">
        <is>
          <t>CT|12/C|14</t>
        </is>
      </c>
      <c r="L302" s="12" t="inlineStr">
        <is>
          <t>12/C</t>
        </is>
      </c>
      <c r="M302" s="12" t="inlineStr">
        <is>
          <t>14</t>
        </is>
      </c>
      <c r="N302" s="12" t="n">
        <v>1</v>
      </c>
      <c r="O302" s="12" t="n">
        <v>1</v>
      </c>
      <c r="P302" s="12" t="n"/>
      <c r="Q302" s="12" t="n"/>
      <c r="R302" s="12" t="n"/>
      <c r="S302" s="12" t="inlineStr">
        <is>
          <t>Tray</t>
        </is>
      </c>
      <c r="T302" s="16" t="n">
        <v>0</v>
      </c>
      <c r="U302" s="16" t="n">
        <v>87</v>
      </c>
      <c r="V302" s="16">
        <f>ROUNDUP((T302+U302+2*'Read Me'!$B$13)*(1+'Read Me'!$B$12),-1)</f>
        <v/>
      </c>
      <c r="W302" s="16">
        <f>V302*N302*O302</f>
        <v/>
      </c>
      <c r="X302" s="12">
        <f>IF(LEFT(I302,2)="MV",2*N302*IF(L302="1/C",O302,1),0)</f>
        <v/>
      </c>
      <c r="Y302" s="12">
        <f>IF(OR(LEFT(K302,4)="LVAX",LEFT(K302,6)="MV15AX",LEFT(K302,4)="CTAX",LEFT(K302,2)="W|"),2*N302*O302,0)</f>
        <v/>
      </c>
      <c r="Z302" s="12" t="inlineStr"/>
      <c r="AA302" s="12">
        <f>N302*O302</f>
        <v/>
      </c>
    </row>
    <row r="303">
      <c r="A303" s="12" t="inlineStr">
        <is>
          <t>A-C-0291</t>
        </is>
      </c>
      <c r="B303" s="12" t="inlineStr">
        <is>
          <t>A</t>
        </is>
      </c>
      <c r="C303" s="12" t="inlineStr">
        <is>
          <t>Power block</t>
        </is>
      </c>
      <c r="D303" s="12" t="inlineStr">
        <is>
          <t>MOV 23: control</t>
        </is>
      </c>
      <c r="E303" s="12" t="inlineStr">
        <is>
          <t>R2A</t>
        </is>
      </c>
      <c r="F303" s="12" t="inlineStr">
        <is>
          <t>R2A: unit / HRSG electrical e-house (32 x 40 ft)</t>
        </is>
      </c>
      <c r="G303" s="12" t="inlineStr">
        <is>
          <t>HRSG-1</t>
        </is>
      </c>
      <c r="H303" s="12" t="inlineStr">
        <is>
          <t>HRSG 1 + SCR (3P reheat, horizontal)</t>
        </is>
      </c>
      <c r="I303" s="12" t="inlineStr">
        <is>
          <t>Control</t>
        </is>
      </c>
      <c r="J303" s="12" t="inlineStr">
        <is>
          <t>Control cable 600 V Type TC-ER, Cu #14 AWG, PVC jacket</t>
        </is>
      </c>
      <c r="K303" s="12" t="inlineStr">
        <is>
          <t>CT|12/C|14</t>
        </is>
      </c>
      <c r="L303" s="12" t="inlineStr">
        <is>
          <t>12/C</t>
        </is>
      </c>
      <c r="M303" s="12" t="inlineStr">
        <is>
          <t>14</t>
        </is>
      </c>
      <c r="N303" s="12" t="n">
        <v>1</v>
      </c>
      <c r="O303" s="12" t="n">
        <v>1</v>
      </c>
      <c r="P303" s="12" t="n"/>
      <c r="Q303" s="12" t="n"/>
      <c r="R303" s="12" t="n"/>
      <c r="S303" s="12" t="inlineStr">
        <is>
          <t>Tray</t>
        </is>
      </c>
      <c r="T303" s="16" t="n">
        <v>0</v>
      </c>
      <c r="U303" s="16" t="n">
        <v>87</v>
      </c>
      <c r="V303" s="16">
        <f>ROUNDUP((T303+U303+2*'Read Me'!$B$13)*(1+'Read Me'!$B$12),-1)</f>
        <v/>
      </c>
      <c r="W303" s="16">
        <f>V303*N303*O303</f>
        <v/>
      </c>
      <c r="X303" s="12">
        <f>IF(LEFT(I303,2)="MV",2*N303*IF(L303="1/C",O303,1),0)</f>
        <v/>
      </c>
      <c r="Y303" s="12">
        <f>IF(OR(LEFT(K303,4)="LVAX",LEFT(K303,6)="MV15AX",LEFT(K303,4)="CTAX",LEFT(K303,2)="W|"),2*N303*O303,0)</f>
        <v/>
      </c>
      <c r="Z303" s="12" t="inlineStr"/>
      <c r="AA303" s="12">
        <f>N303*O303</f>
        <v/>
      </c>
    </row>
    <row r="304">
      <c r="A304" s="12" t="inlineStr">
        <is>
          <t>A-C-0292</t>
        </is>
      </c>
      <c r="B304" s="12" t="inlineStr">
        <is>
          <t>A</t>
        </is>
      </c>
      <c r="C304" s="12" t="inlineStr">
        <is>
          <t>Power block</t>
        </is>
      </c>
      <c r="D304" s="12" t="inlineStr">
        <is>
          <t>MOV 24: control</t>
        </is>
      </c>
      <c r="E304" s="12" t="inlineStr">
        <is>
          <t>R2A</t>
        </is>
      </c>
      <c r="F304" s="12" t="inlineStr">
        <is>
          <t>R2A: unit / HRSG electrical e-house (32 x 40 ft)</t>
        </is>
      </c>
      <c r="G304" s="12" t="inlineStr">
        <is>
          <t>HRSG-1</t>
        </is>
      </c>
      <c r="H304" s="12" t="inlineStr">
        <is>
          <t>HRSG 1 + SCR (3P reheat, horizontal)</t>
        </is>
      </c>
      <c r="I304" s="12" t="inlineStr">
        <is>
          <t>Control</t>
        </is>
      </c>
      <c r="J304" s="12" t="inlineStr">
        <is>
          <t>Control cable 600 V Type TC-ER, Cu #14 AWG, PVC jacket</t>
        </is>
      </c>
      <c r="K304" s="12" t="inlineStr">
        <is>
          <t>CT|12/C|14</t>
        </is>
      </c>
      <c r="L304" s="12" t="inlineStr">
        <is>
          <t>12/C</t>
        </is>
      </c>
      <c r="M304" s="12" t="inlineStr">
        <is>
          <t>14</t>
        </is>
      </c>
      <c r="N304" s="12" t="n">
        <v>1</v>
      </c>
      <c r="O304" s="12" t="n">
        <v>1</v>
      </c>
      <c r="P304" s="12" t="n"/>
      <c r="Q304" s="12" t="n"/>
      <c r="R304" s="12" t="n"/>
      <c r="S304" s="12" t="inlineStr">
        <is>
          <t>Tray</t>
        </is>
      </c>
      <c r="T304" s="16" t="n">
        <v>0</v>
      </c>
      <c r="U304" s="16" t="n">
        <v>87</v>
      </c>
      <c r="V304" s="16">
        <f>ROUNDUP((T304+U304+2*'Read Me'!$B$13)*(1+'Read Me'!$B$12),-1)</f>
        <v/>
      </c>
      <c r="W304" s="16">
        <f>V304*N304*O304</f>
        <v/>
      </c>
      <c r="X304" s="12">
        <f>IF(LEFT(I304,2)="MV",2*N304*IF(L304="1/C",O304,1),0)</f>
        <v/>
      </c>
      <c r="Y304" s="12">
        <f>IF(OR(LEFT(K304,4)="LVAX",LEFT(K304,6)="MV15AX",LEFT(K304,4)="CTAX",LEFT(K304,2)="W|"),2*N304*O304,0)</f>
        <v/>
      </c>
      <c r="Z304" s="12" t="inlineStr"/>
      <c r="AA304" s="12">
        <f>N304*O304</f>
        <v/>
      </c>
    </row>
    <row r="305">
      <c r="A305" s="12" t="inlineStr">
        <is>
          <t>A-C-0293</t>
        </is>
      </c>
      <c r="B305" s="12" t="inlineStr">
        <is>
          <t>A</t>
        </is>
      </c>
      <c r="C305" s="12" t="inlineStr">
        <is>
          <t>Power block</t>
        </is>
      </c>
      <c r="D305" s="12" t="inlineStr">
        <is>
          <t>MOV 25: control</t>
        </is>
      </c>
      <c r="E305" s="12" t="inlineStr">
        <is>
          <t>R2A</t>
        </is>
      </c>
      <c r="F305" s="12" t="inlineStr">
        <is>
          <t>R2A: unit / HRSG electrical e-house (32 x 40 ft)</t>
        </is>
      </c>
      <c r="G305" s="12" t="inlineStr">
        <is>
          <t>HRSG-1</t>
        </is>
      </c>
      <c r="H305" s="12" t="inlineStr">
        <is>
          <t>HRSG 1 + SCR (3P reheat, horizontal)</t>
        </is>
      </c>
      <c r="I305" s="12" t="inlineStr">
        <is>
          <t>Control</t>
        </is>
      </c>
      <c r="J305" s="12" t="inlineStr">
        <is>
          <t>Control cable 600 V Type TC-ER, Cu #14 AWG, PVC jacket</t>
        </is>
      </c>
      <c r="K305" s="12" t="inlineStr">
        <is>
          <t>CT|12/C|14</t>
        </is>
      </c>
      <c r="L305" s="12" t="inlineStr">
        <is>
          <t>12/C</t>
        </is>
      </c>
      <c r="M305" s="12" t="inlineStr">
        <is>
          <t>14</t>
        </is>
      </c>
      <c r="N305" s="12" t="n">
        <v>1</v>
      </c>
      <c r="O305" s="12" t="n">
        <v>1</v>
      </c>
      <c r="P305" s="12" t="n"/>
      <c r="Q305" s="12" t="n"/>
      <c r="R305" s="12" t="n"/>
      <c r="S305" s="12" t="inlineStr">
        <is>
          <t>Tray</t>
        </is>
      </c>
      <c r="T305" s="16" t="n">
        <v>0</v>
      </c>
      <c r="U305" s="16" t="n">
        <v>87</v>
      </c>
      <c r="V305" s="16">
        <f>ROUNDUP((T305+U305+2*'Read Me'!$B$13)*(1+'Read Me'!$B$12),-1)</f>
        <v/>
      </c>
      <c r="W305" s="16">
        <f>V305*N305*O305</f>
        <v/>
      </c>
      <c r="X305" s="12">
        <f>IF(LEFT(I305,2)="MV",2*N305*IF(L305="1/C",O305,1),0)</f>
        <v/>
      </c>
      <c r="Y305" s="12">
        <f>IF(OR(LEFT(K305,4)="LVAX",LEFT(K305,6)="MV15AX",LEFT(K305,4)="CTAX",LEFT(K305,2)="W|"),2*N305*O305,0)</f>
        <v/>
      </c>
      <c r="Z305" s="12" t="inlineStr"/>
      <c r="AA305" s="12">
        <f>N305*O305</f>
        <v/>
      </c>
    </row>
    <row r="306">
      <c r="A306" s="12" t="inlineStr">
        <is>
          <t>A-C-0294</t>
        </is>
      </c>
      <c r="B306" s="12" t="inlineStr">
        <is>
          <t>A</t>
        </is>
      </c>
      <c r="C306" s="12" t="inlineStr">
        <is>
          <t>Power block</t>
        </is>
      </c>
      <c r="D306" s="12" t="inlineStr">
        <is>
          <t>MOV 26: control</t>
        </is>
      </c>
      <c r="E306" s="12" t="inlineStr">
        <is>
          <t>R2A</t>
        </is>
      </c>
      <c r="F306" s="12" t="inlineStr">
        <is>
          <t>R2A: unit / HRSG electrical e-house (32 x 40 ft)</t>
        </is>
      </c>
      <c r="G306" s="12" t="inlineStr">
        <is>
          <t>HRSG-1</t>
        </is>
      </c>
      <c r="H306" s="12" t="inlineStr">
        <is>
          <t>HRSG 1 + SCR (3P reheat, horizontal)</t>
        </is>
      </c>
      <c r="I306" s="12" t="inlineStr">
        <is>
          <t>Control</t>
        </is>
      </c>
      <c r="J306" s="12" t="inlineStr">
        <is>
          <t>Control cable 600 V Type TC-ER, Cu #14 AWG, PVC jacket</t>
        </is>
      </c>
      <c r="K306" s="12" t="inlineStr">
        <is>
          <t>CT|12/C|14</t>
        </is>
      </c>
      <c r="L306" s="12" t="inlineStr">
        <is>
          <t>12/C</t>
        </is>
      </c>
      <c r="M306" s="12" t="inlineStr">
        <is>
          <t>14</t>
        </is>
      </c>
      <c r="N306" s="12" t="n">
        <v>1</v>
      </c>
      <c r="O306" s="12" t="n">
        <v>1</v>
      </c>
      <c r="P306" s="12" t="n"/>
      <c r="Q306" s="12" t="n"/>
      <c r="R306" s="12" t="n"/>
      <c r="S306" s="12" t="inlineStr">
        <is>
          <t>Tray</t>
        </is>
      </c>
      <c r="T306" s="16" t="n">
        <v>0</v>
      </c>
      <c r="U306" s="16" t="n">
        <v>87</v>
      </c>
      <c r="V306" s="16">
        <f>ROUNDUP((T306+U306+2*'Read Me'!$B$13)*(1+'Read Me'!$B$12),-1)</f>
        <v/>
      </c>
      <c r="W306" s="16">
        <f>V306*N306*O306</f>
        <v/>
      </c>
      <c r="X306" s="12">
        <f>IF(LEFT(I306,2)="MV",2*N306*IF(L306="1/C",O306,1),0)</f>
        <v/>
      </c>
      <c r="Y306" s="12">
        <f>IF(OR(LEFT(K306,4)="LVAX",LEFT(K306,6)="MV15AX",LEFT(K306,4)="CTAX",LEFT(K306,2)="W|"),2*N306*O306,0)</f>
        <v/>
      </c>
      <c r="Z306" s="12" t="inlineStr"/>
      <c r="AA306" s="12">
        <f>N306*O306</f>
        <v/>
      </c>
    </row>
    <row r="307">
      <c r="A307" s="12" t="inlineStr">
        <is>
          <t>A-C-0295</t>
        </is>
      </c>
      <c r="B307" s="12" t="inlineStr">
        <is>
          <t>A</t>
        </is>
      </c>
      <c r="C307" s="12" t="inlineStr">
        <is>
          <t>Power block</t>
        </is>
      </c>
      <c r="D307" s="12" t="inlineStr">
        <is>
          <t>MOV 27: control</t>
        </is>
      </c>
      <c r="E307" s="12" t="inlineStr">
        <is>
          <t>R2A</t>
        </is>
      </c>
      <c r="F307" s="12" t="inlineStr">
        <is>
          <t>R2A: unit / HRSG electrical e-house (32 x 40 ft)</t>
        </is>
      </c>
      <c r="G307" s="12" t="inlineStr">
        <is>
          <t>HRSG-1</t>
        </is>
      </c>
      <c r="H307" s="12" t="inlineStr">
        <is>
          <t>HRSG 1 + SCR (3P reheat, horizontal)</t>
        </is>
      </c>
      <c r="I307" s="12" t="inlineStr">
        <is>
          <t>Control</t>
        </is>
      </c>
      <c r="J307" s="12" t="inlineStr">
        <is>
          <t>Control cable 600 V Type TC-ER, Cu #14 AWG, PVC jacket</t>
        </is>
      </c>
      <c r="K307" s="12" t="inlineStr">
        <is>
          <t>CT|12/C|14</t>
        </is>
      </c>
      <c r="L307" s="12" t="inlineStr">
        <is>
          <t>12/C</t>
        </is>
      </c>
      <c r="M307" s="12" t="inlineStr">
        <is>
          <t>14</t>
        </is>
      </c>
      <c r="N307" s="12" t="n">
        <v>1</v>
      </c>
      <c r="O307" s="12" t="n">
        <v>1</v>
      </c>
      <c r="P307" s="12" t="n"/>
      <c r="Q307" s="12" t="n"/>
      <c r="R307" s="12" t="n"/>
      <c r="S307" s="12" t="inlineStr">
        <is>
          <t>Tray</t>
        </is>
      </c>
      <c r="T307" s="16" t="n">
        <v>0</v>
      </c>
      <c r="U307" s="16" t="n">
        <v>87</v>
      </c>
      <c r="V307" s="16">
        <f>ROUNDUP((T307+U307+2*'Read Me'!$B$13)*(1+'Read Me'!$B$12),-1)</f>
        <v/>
      </c>
      <c r="W307" s="16">
        <f>V307*N307*O307</f>
        <v/>
      </c>
      <c r="X307" s="12">
        <f>IF(LEFT(I307,2)="MV",2*N307*IF(L307="1/C",O307,1),0)</f>
        <v/>
      </c>
      <c r="Y307" s="12">
        <f>IF(OR(LEFT(K307,4)="LVAX",LEFT(K307,6)="MV15AX",LEFT(K307,4)="CTAX",LEFT(K307,2)="W|"),2*N307*O307,0)</f>
        <v/>
      </c>
      <c r="Z307" s="12" t="inlineStr"/>
      <c r="AA307" s="12">
        <f>N307*O307</f>
        <v/>
      </c>
    </row>
    <row r="308">
      <c r="A308" s="12" t="inlineStr">
        <is>
          <t>A-C-0296</t>
        </is>
      </c>
      <c r="B308" s="12" t="inlineStr">
        <is>
          <t>A</t>
        </is>
      </c>
      <c r="C308" s="12" t="inlineStr">
        <is>
          <t>Power block</t>
        </is>
      </c>
      <c r="D308" s="12" t="inlineStr">
        <is>
          <t>MOV 28: control</t>
        </is>
      </c>
      <c r="E308" s="12" t="inlineStr">
        <is>
          <t>R2A</t>
        </is>
      </c>
      <c r="F308" s="12" t="inlineStr">
        <is>
          <t>R2A: unit / HRSG electrical e-house (32 x 40 ft)</t>
        </is>
      </c>
      <c r="G308" s="12" t="inlineStr">
        <is>
          <t>HRSG-1</t>
        </is>
      </c>
      <c r="H308" s="12" t="inlineStr">
        <is>
          <t>HRSG 1 + SCR (3P reheat, horizontal)</t>
        </is>
      </c>
      <c r="I308" s="12" t="inlineStr">
        <is>
          <t>Control</t>
        </is>
      </c>
      <c r="J308" s="12" t="inlineStr">
        <is>
          <t>Control cable 600 V Type TC-ER, Cu #14 AWG, PVC jacket</t>
        </is>
      </c>
      <c r="K308" s="12" t="inlineStr">
        <is>
          <t>CT|12/C|14</t>
        </is>
      </c>
      <c r="L308" s="12" t="inlineStr">
        <is>
          <t>12/C</t>
        </is>
      </c>
      <c r="M308" s="12" t="inlineStr">
        <is>
          <t>14</t>
        </is>
      </c>
      <c r="N308" s="12" t="n">
        <v>1</v>
      </c>
      <c r="O308" s="12" t="n">
        <v>1</v>
      </c>
      <c r="P308" s="12" t="n"/>
      <c r="Q308" s="12" t="n"/>
      <c r="R308" s="12" t="n"/>
      <c r="S308" s="12" t="inlineStr">
        <is>
          <t>Tray</t>
        </is>
      </c>
      <c r="T308" s="16" t="n">
        <v>0</v>
      </c>
      <c r="U308" s="16" t="n">
        <v>87</v>
      </c>
      <c r="V308" s="16">
        <f>ROUNDUP((T308+U308+2*'Read Me'!$B$13)*(1+'Read Me'!$B$12),-1)</f>
        <v/>
      </c>
      <c r="W308" s="16">
        <f>V308*N308*O308</f>
        <v/>
      </c>
      <c r="X308" s="12">
        <f>IF(LEFT(I308,2)="MV",2*N308*IF(L308="1/C",O308,1),0)</f>
        <v/>
      </c>
      <c r="Y308" s="12">
        <f>IF(OR(LEFT(K308,4)="LVAX",LEFT(K308,6)="MV15AX",LEFT(K308,4)="CTAX",LEFT(K308,2)="W|"),2*N308*O308,0)</f>
        <v/>
      </c>
      <c r="Z308" s="12" t="inlineStr"/>
      <c r="AA308" s="12">
        <f>N308*O308</f>
        <v/>
      </c>
    </row>
    <row r="309">
      <c r="A309" s="12" t="inlineStr">
        <is>
          <t>A-C-0297</t>
        </is>
      </c>
      <c r="B309" s="12" t="inlineStr">
        <is>
          <t>A</t>
        </is>
      </c>
      <c r="C309" s="12" t="inlineStr">
        <is>
          <t>Power block</t>
        </is>
      </c>
      <c r="D309" s="12" t="inlineStr">
        <is>
          <t>MOV 29: control</t>
        </is>
      </c>
      <c r="E309" s="12" t="inlineStr">
        <is>
          <t>R2A</t>
        </is>
      </c>
      <c r="F309" s="12" t="inlineStr">
        <is>
          <t>R2A: unit / HRSG electrical e-house (32 x 40 ft)</t>
        </is>
      </c>
      <c r="G309" s="12" t="inlineStr">
        <is>
          <t>HRSG-1</t>
        </is>
      </c>
      <c r="H309" s="12" t="inlineStr">
        <is>
          <t>HRSG 1 + SCR (3P reheat, horizontal)</t>
        </is>
      </c>
      <c r="I309" s="12" t="inlineStr">
        <is>
          <t>Control</t>
        </is>
      </c>
      <c r="J309" s="12" t="inlineStr">
        <is>
          <t>Control cable 600 V Type TC-ER, Cu #14 AWG, PVC jacket</t>
        </is>
      </c>
      <c r="K309" s="12" t="inlineStr">
        <is>
          <t>CT|12/C|14</t>
        </is>
      </c>
      <c r="L309" s="12" t="inlineStr">
        <is>
          <t>12/C</t>
        </is>
      </c>
      <c r="M309" s="12" t="inlineStr">
        <is>
          <t>14</t>
        </is>
      </c>
      <c r="N309" s="12" t="n">
        <v>1</v>
      </c>
      <c r="O309" s="12" t="n">
        <v>1</v>
      </c>
      <c r="P309" s="12" t="n"/>
      <c r="Q309" s="12" t="n"/>
      <c r="R309" s="12" t="n"/>
      <c r="S309" s="12" t="inlineStr">
        <is>
          <t>Tray</t>
        </is>
      </c>
      <c r="T309" s="16" t="n">
        <v>0</v>
      </c>
      <c r="U309" s="16" t="n">
        <v>87</v>
      </c>
      <c r="V309" s="16">
        <f>ROUNDUP((T309+U309+2*'Read Me'!$B$13)*(1+'Read Me'!$B$12),-1)</f>
        <v/>
      </c>
      <c r="W309" s="16">
        <f>V309*N309*O309</f>
        <v/>
      </c>
      <c r="X309" s="12">
        <f>IF(LEFT(I309,2)="MV",2*N309*IF(L309="1/C",O309,1),0)</f>
        <v/>
      </c>
      <c r="Y309" s="12">
        <f>IF(OR(LEFT(K309,4)="LVAX",LEFT(K309,6)="MV15AX",LEFT(K309,4)="CTAX",LEFT(K309,2)="W|"),2*N309*O309,0)</f>
        <v/>
      </c>
      <c r="Z309" s="12" t="inlineStr"/>
      <c r="AA309" s="12">
        <f>N309*O309</f>
        <v/>
      </c>
    </row>
    <row r="310">
      <c r="A310" s="12" t="inlineStr">
        <is>
          <t>A-C-0298</t>
        </is>
      </c>
      <c r="B310" s="12" t="inlineStr">
        <is>
          <t>A</t>
        </is>
      </c>
      <c r="C310" s="12" t="inlineStr">
        <is>
          <t>Power block</t>
        </is>
      </c>
      <c r="D310" s="12" t="inlineStr">
        <is>
          <t>MOV 30: control</t>
        </is>
      </c>
      <c r="E310" s="12" t="inlineStr">
        <is>
          <t>R2A</t>
        </is>
      </c>
      <c r="F310" s="12" t="inlineStr">
        <is>
          <t>R2A: unit / HRSG electrical e-house (32 x 40 ft)</t>
        </is>
      </c>
      <c r="G310" s="12" t="inlineStr">
        <is>
          <t>HRSG-1</t>
        </is>
      </c>
      <c r="H310" s="12" t="inlineStr">
        <is>
          <t>HRSG 1 + SCR (3P reheat, horizontal)</t>
        </is>
      </c>
      <c r="I310" s="12" t="inlineStr">
        <is>
          <t>Control</t>
        </is>
      </c>
      <c r="J310" s="12" t="inlineStr">
        <is>
          <t>Control cable 600 V Type TC-ER, Cu #14 AWG, PVC jacket</t>
        </is>
      </c>
      <c r="K310" s="12" t="inlineStr">
        <is>
          <t>CT|12/C|14</t>
        </is>
      </c>
      <c r="L310" s="12" t="inlineStr">
        <is>
          <t>12/C</t>
        </is>
      </c>
      <c r="M310" s="12" t="inlineStr">
        <is>
          <t>14</t>
        </is>
      </c>
      <c r="N310" s="12" t="n">
        <v>1</v>
      </c>
      <c r="O310" s="12" t="n">
        <v>1</v>
      </c>
      <c r="P310" s="12" t="n"/>
      <c r="Q310" s="12" t="n"/>
      <c r="R310" s="12" t="n"/>
      <c r="S310" s="12" t="inlineStr">
        <is>
          <t>Tray</t>
        </is>
      </c>
      <c r="T310" s="16" t="n">
        <v>0</v>
      </c>
      <c r="U310" s="16" t="n">
        <v>87</v>
      </c>
      <c r="V310" s="16">
        <f>ROUNDUP((T310+U310+2*'Read Me'!$B$13)*(1+'Read Me'!$B$12),-1)</f>
        <v/>
      </c>
      <c r="W310" s="16">
        <f>V310*N310*O310</f>
        <v/>
      </c>
      <c r="X310" s="12">
        <f>IF(LEFT(I310,2)="MV",2*N310*IF(L310="1/C",O310,1),0)</f>
        <v/>
      </c>
      <c r="Y310" s="12">
        <f>IF(OR(LEFT(K310,4)="LVAX",LEFT(K310,6)="MV15AX",LEFT(K310,4)="CTAX",LEFT(K310,2)="W|"),2*N310*O310,0)</f>
        <v/>
      </c>
      <c r="Z310" s="12" t="inlineStr"/>
      <c r="AA310" s="12">
        <f>N310*O310</f>
        <v/>
      </c>
    </row>
    <row r="311">
      <c r="A311" s="12" t="inlineStr">
        <is>
          <t>A-C-0299</t>
        </is>
      </c>
      <c r="B311" s="12" t="inlineStr">
        <is>
          <t>A</t>
        </is>
      </c>
      <c r="C311" s="12" t="inlineStr">
        <is>
          <t>Power block</t>
        </is>
      </c>
      <c r="D311" s="12" t="inlineStr">
        <is>
          <t>MOV 31: control</t>
        </is>
      </c>
      <c r="E311" s="12" t="inlineStr">
        <is>
          <t>R2A</t>
        </is>
      </c>
      <c r="F311" s="12" t="inlineStr">
        <is>
          <t>R2A: unit / HRSG electrical e-house (32 x 40 ft)</t>
        </is>
      </c>
      <c r="G311" s="12" t="inlineStr">
        <is>
          <t>HRSG-1</t>
        </is>
      </c>
      <c r="H311" s="12" t="inlineStr">
        <is>
          <t>HRSG 1 + SCR (3P reheat, horizontal)</t>
        </is>
      </c>
      <c r="I311" s="12" t="inlineStr">
        <is>
          <t>Control</t>
        </is>
      </c>
      <c r="J311" s="12" t="inlineStr">
        <is>
          <t>Control cable 600 V Type TC-ER, Cu #14 AWG, PVC jacket</t>
        </is>
      </c>
      <c r="K311" s="12" t="inlineStr">
        <is>
          <t>CT|12/C|14</t>
        </is>
      </c>
      <c r="L311" s="12" t="inlineStr">
        <is>
          <t>12/C</t>
        </is>
      </c>
      <c r="M311" s="12" t="inlineStr">
        <is>
          <t>14</t>
        </is>
      </c>
      <c r="N311" s="12" t="n">
        <v>1</v>
      </c>
      <c r="O311" s="12" t="n">
        <v>1</v>
      </c>
      <c r="P311" s="12" t="n"/>
      <c r="Q311" s="12" t="n"/>
      <c r="R311" s="12" t="n"/>
      <c r="S311" s="12" t="inlineStr">
        <is>
          <t>Tray</t>
        </is>
      </c>
      <c r="T311" s="16" t="n">
        <v>0</v>
      </c>
      <c r="U311" s="16" t="n">
        <v>87</v>
      </c>
      <c r="V311" s="16">
        <f>ROUNDUP((T311+U311+2*'Read Me'!$B$13)*(1+'Read Me'!$B$12),-1)</f>
        <v/>
      </c>
      <c r="W311" s="16">
        <f>V311*N311*O311</f>
        <v/>
      </c>
      <c r="X311" s="12">
        <f>IF(LEFT(I311,2)="MV",2*N311*IF(L311="1/C",O311,1),0)</f>
        <v/>
      </c>
      <c r="Y311" s="12">
        <f>IF(OR(LEFT(K311,4)="LVAX",LEFT(K311,6)="MV15AX",LEFT(K311,4)="CTAX",LEFT(K311,2)="W|"),2*N311*O311,0)</f>
        <v/>
      </c>
      <c r="Z311" s="12" t="inlineStr"/>
      <c r="AA311" s="12">
        <f>N311*O311</f>
        <v/>
      </c>
    </row>
    <row r="312">
      <c r="A312" s="12" t="inlineStr">
        <is>
          <t>A-C-0300</t>
        </is>
      </c>
      <c r="B312" s="12" t="inlineStr">
        <is>
          <t>A</t>
        </is>
      </c>
      <c r="C312" s="12" t="inlineStr">
        <is>
          <t>Power block</t>
        </is>
      </c>
      <c r="D312" s="12" t="inlineStr">
        <is>
          <t>MOV 32: control</t>
        </is>
      </c>
      <c r="E312" s="12" t="inlineStr">
        <is>
          <t>R2A</t>
        </is>
      </c>
      <c r="F312" s="12" t="inlineStr">
        <is>
          <t>R2A: unit / HRSG electrical e-house (32 x 40 ft)</t>
        </is>
      </c>
      <c r="G312" s="12" t="inlineStr">
        <is>
          <t>HRSG-1</t>
        </is>
      </c>
      <c r="H312" s="12" t="inlineStr">
        <is>
          <t>HRSG 1 + SCR (3P reheat, horizontal)</t>
        </is>
      </c>
      <c r="I312" s="12" t="inlineStr">
        <is>
          <t>Control</t>
        </is>
      </c>
      <c r="J312" s="12" t="inlineStr">
        <is>
          <t>Control cable 600 V Type TC-ER, Cu #14 AWG, PVC jacket</t>
        </is>
      </c>
      <c r="K312" s="12" t="inlineStr">
        <is>
          <t>CT|12/C|14</t>
        </is>
      </c>
      <c r="L312" s="12" t="inlineStr">
        <is>
          <t>12/C</t>
        </is>
      </c>
      <c r="M312" s="12" t="inlineStr">
        <is>
          <t>14</t>
        </is>
      </c>
      <c r="N312" s="12" t="n">
        <v>1</v>
      </c>
      <c r="O312" s="12" t="n">
        <v>1</v>
      </c>
      <c r="P312" s="12" t="n"/>
      <c r="Q312" s="12" t="n"/>
      <c r="R312" s="12" t="n"/>
      <c r="S312" s="12" t="inlineStr">
        <is>
          <t>Tray</t>
        </is>
      </c>
      <c r="T312" s="16" t="n">
        <v>0</v>
      </c>
      <c r="U312" s="16" t="n">
        <v>87</v>
      </c>
      <c r="V312" s="16">
        <f>ROUNDUP((T312+U312+2*'Read Me'!$B$13)*(1+'Read Me'!$B$12),-1)</f>
        <v/>
      </c>
      <c r="W312" s="16">
        <f>V312*N312*O312</f>
        <v/>
      </c>
      <c r="X312" s="12">
        <f>IF(LEFT(I312,2)="MV",2*N312*IF(L312="1/C",O312,1),0)</f>
        <v/>
      </c>
      <c r="Y312" s="12">
        <f>IF(OR(LEFT(K312,4)="LVAX",LEFT(K312,6)="MV15AX",LEFT(K312,4)="CTAX",LEFT(K312,2)="W|"),2*N312*O312,0)</f>
        <v/>
      </c>
      <c r="Z312" s="12" t="inlineStr"/>
      <c r="AA312" s="12">
        <f>N312*O312</f>
        <v/>
      </c>
    </row>
    <row r="313">
      <c r="A313" s="12" t="inlineStr">
        <is>
          <t>A-C-0301</t>
        </is>
      </c>
      <c r="B313" s="12" t="inlineStr">
        <is>
          <t>A</t>
        </is>
      </c>
      <c r="C313" s="12" t="inlineStr">
        <is>
          <t>Power block</t>
        </is>
      </c>
      <c r="D313" s="12" t="inlineStr">
        <is>
          <t>MOV 33: control</t>
        </is>
      </c>
      <c r="E313" s="12" t="inlineStr">
        <is>
          <t>R2A</t>
        </is>
      </c>
      <c r="F313" s="12" t="inlineStr">
        <is>
          <t>R2A: unit / HRSG electrical e-house (32 x 40 ft)</t>
        </is>
      </c>
      <c r="G313" s="12" t="inlineStr">
        <is>
          <t>HRSG-1</t>
        </is>
      </c>
      <c r="H313" s="12" t="inlineStr">
        <is>
          <t>HRSG 1 + SCR (3P reheat, horizontal)</t>
        </is>
      </c>
      <c r="I313" s="12" t="inlineStr">
        <is>
          <t>Control</t>
        </is>
      </c>
      <c r="J313" s="12" t="inlineStr">
        <is>
          <t>Control cable 600 V Type TC-ER, Cu #14 AWG, PVC jacket</t>
        </is>
      </c>
      <c r="K313" s="12" t="inlineStr">
        <is>
          <t>CT|12/C|14</t>
        </is>
      </c>
      <c r="L313" s="12" t="inlineStr">
        <is>
          <t>12/C</t>
        </is>
      </c>
      <c r="M313" s="12" t="inlineStr">
        <is>
          <t>14</t>
        </is>
      </c>
      <c r="N313" s="12" t="n">
        <v>1</v>
      </c>
      <c r="O313" s="12" t="n">
        <v>1</v>
      </c>
      <c r="P313" s="12" t="n"/>
      <c r="Q313" s="12" t="n"/>
      <c r="R313" s="12" t="n"/>
      <c r="S313" s="12" t="inlineStr">
        <is>
          <t>Tray</t>
        </is>
      </c>
      <c r="T313" s="16" t="n">
        <v>0</v>
      </c>
      <c r="U313" s="16" t="n">
        <v>87</v>
      </c>
      <c r="V313" s="16">
        <f>ROUNDUP((T313+U313+2*'Read Me'!$B$13)*(1+'Read Me'!$B$12),-1)</f>
        <v/>
      </c>
      <c r="W313" s="16">
        <f>V313*N313*O313</f>
        <v/>
      </c>
      <c r="X313" s="12">
        <f>IF(LEFT(I313,2)="MV",2*N313*IF(L313="1/C",O313,1),0)</f>
        <v/>
      </c>
      <c r="Y313" s="12">
        <f>IF(OR(LEFT(K313,4)="LVAX",LEFT(K313,6)="MV15AX",LEFT(K313,4)="CTAX",LEFT(K313,2)="W|"),2*N313*O313,0)</f>
        <v/>
      </c>
      <c r="Z313" s="12" t="inlineStr"/>
      <c r="AA313" s="12">
        <f>N313*O313</f>
        <v/>
      </c>
    </row>
    <row r="314">
      <c r="A314" s="12" t="inlineStr">
        <is>
          <t>A-C-0302</t>
        </is>
      </c>
      <c r="B314" s="12" t="inlineStr">
        <is>
          <t>A</t>
        </is>
      </c>
      <c r="C314" s="12" t="inlineStr">
        <is>
          <t>Power block</t>
        </is>
      </c>
      <c r="D314" s="12" t="inlineStr">
        <is>
          <t>MOV 34: control</t>
        </is>
      </c>
      <c r="E314" s="12" t="inlineStr">
        <is>
          <t>R2A</t>
        </is>
      </c>
      <c r="F314" s="12" t="inlineStr">
        <is>
          <t>R2A: unit / HRSG electrical e-house (32 x 40 ft)</t>
        </is>
      </c>
      <c r="G314" s="12" t="inlineStr">
        <is>
          <t>HRSG-1</t>
        </is>
      </c>
      <c r="H314" s="12" t="inlineStr">
        <is>
          <t>HRSG 1 + SCR (3P reheat, horizontal)</t>
        </is>
      </c>
      <c r="I314" s="12" t="inlineStr">
        <is>
          <t>Control</t>
        </is>
      </c>
      <c r="J314" s="12" t="inlineStr">
        <is>
          <t>Control cable 600 V Type TC-ER, Cu #14 AWG, PVC jacket</t>
        </is>
      </c>
      <c r="K314" s="12" t="inlineStr">
        <is>
          <t>CT|12/C|14</t>
        </is>
      </c>
      <c r="L314" s="12" t="inlineStr">
        <is>
          <t>12/C</t>
        </is>
      </c>
      <c r="M314" s="12" t="inlineStr">
        <is>
          <t>14</t>
        </is>
      </c>
      <c r="N314" s="12" t="n">
        <v>1</v>
      </c>
      <c r="O314" s="12" t="n">
        <v>1</v>
      </c>
      <c r="P314" s="12" t="n"/>
      <c r="Q314" s="12" t="n"/>
      <c r="R314" s="12" t="n"/>
      <c r="S314" s="12" t="inlineStr">
        <is>
          <t>Tray</t>
        </is>
      </c>
      <c r="T314" s="16" t="n">
        <v>0</v>
      </c>
      <c r="U314" s="16" t="n">
        <v>87</v>
      </c>
      <c r="V314" s="16">
        <f>ROUNDUP((T314+U314+2*'Read Me'!$B$13)*(1+'Read Me'!$B$12),-1)</f>
        <v/>
      </c>
      <c r="W314" s="16">
        <f>V314*N314*O314</f>
        <v/>
      </c>
      <c r="X314" s="12">
        <f>IF(LEFT(I314,2)="MV",2*N314*IF(L314="1/C",O314,1),0)</f>
        <v/>
      </c>
      <c r="Y314" s="12">
        <f>IF(OR(LEFT(K314,4)="LVAX",LEFT(K314,6)="MV15AX",LEFT(K314,4)="CTAX",LEFT(K314,2)="W|"),2*N314*O314,0)</f>
        <v/>
      </c>
      <c r="Z314" s="12" t="inlineStr"/>
      <c r="AA314" s="12">
        <f>N314*O314</f>
        <v/>
      </c>
    </row>
    <row r="315">
      <c r="A315" s="12" t="inlineStr">
        <is>
          <t>A-C-0303</t>
        </is>
      </c>
      <c r="B315" s="12" t="inlineStr">
        <is>
          <t>A</t>
        </is>
      </c>
      <c r="C315" s="12" t="inlineStr">
        <is>
          <t>Power block</t>
        </is>
      </c>
      <c r="D315" s="12" t="inlineStr">
        <is>
          <t>MOV 35: control</t>
        </is>
      </c>
      <c r="E315" s="12" t="inlineStr">
        <is>
          <t>R2A</t>
        </is>
      </c>
      <c r="F315" s="12" t="inlineStr">
        <is>
          <t>R2A: unit / HRSG electrical e-house (32 x 40 ft)</t>
        </is>
      </c>
      <c r="G315" s="12" t="inlineStr">
        <is>
          <t>HRSG-1</t>
        </is>
      </c>
      <c r="H315" s="12" t="inlineStr">
        <is>
          <t>HRSG 1 + SCR (3P reheat, horizontal)</t>
        </is>
      </c>
      <c r="I315" s="12" t="inlineStr">
        <is>
          <t>Control</t>
        </is>
      </c>
      <c r="J315" s="12" t="inlineStr">
        <is>
          <t>Control cable 600 V Type TC-ER, Cu #14 AWG, PVC jacket</t>
        </is>
      </c>
      <c r="K315" s="12" t="inlineStr">
        <is>
          <t>CT|12/C|14</t>
        </is>
      </c>
      <c r="L315" s="12" t="inlineStr">
        <is>
          <t>12/C</t>
        </is>
      </c>
      <c r="M315" s="12" t="inlineStr">
        <is>
          <t>14</t>
        </is>
      </c>
      <c r="N315" s="12" t="n">
        <v>1</v>
      </c>
      <c r="O315" s="12" t="n">
        <v>1</v>
      </c>
      <c r="P315" s="12" t="n"/>
      <c r="Q315" s="12" t="n"/>
      <c r="R315" s="12" t="n"/>
      <c r="S315" s="12" t="inlineStr">
        <is>
          <t>Tray</t>
        </is>
      </c>
      <c r="T315" s="16" t="n">
        <v>0</v>
      </c>
      <c r="U315" s="16" t="n">
        <v>87</v>
      </c>
      <c r="V315" s="16">
        <f>ROUNDUP((T315+U315+2*'Read Me'!$B$13)*(1+'Read Me'!$B$12),-1)</f>
        <v/>
      </c>
      <c r="W315" s="16">
        <f>V315*N315*O315</f>
        <v/>
      </c>
      <c r="X315" s="12">
        <f>IF(LEFT(I315,2)="MV",2*N315*IF(L315="1/C",O315,1),0)</f>
        <v/>
      </c>
      <c r="Y315" s="12">
        <f>IF(OR(LEFT(K315,4)="LVAX",LEFT(K315,6)="MV15AX",LEFT(K315,4)="CTAX",LEFT(K315,2)="W|"),2*N315*O315,0)</f>
        <v/>
      </c>
      <c r="Z315" s="12" t="inlineStr"/>
      <c r="AA315" s="12">
        <f>N315*O315</f>
        <v/>
      </c>
    </row>
    <row r="316">
      <c r="A316" s="12" t="inlineStr">
        <is>
          <t>A-C-0304</t>
        </is>
      </c>
      <c r="B316" s="12" t="inlineStr">
        <is>
          <t>A</t>
        </is>
      </c>
      <c r="C316" s="12" t="inlineStr">
        <is>
          <t>Power block</t>
        </is>
      </c>
      <c r="D316" s="12" t="inlineStr">
        <is>
          <t>MOV 36: control</t>
        </is>
      </c>
      <c r="E316" s="12" t="inlineStr">
        <is>
          <t>R2A</t>
        </is>
      </c>
      <c r="F316" s="12" t="inlineStr">
        <is>
          <t>R2A: unit / HRSG electrical e-house (32 x 40 ft)</t>
        </is>
      </c>
      <c r="G316" s="12" t="inlineStr">
        <is>
          <t>HRSG-1</t>
        </is>
      </c>
      <c r="H316" s="12" t="inlineStr">
        <is>
          <t>HRSG 1 + SCR (3P reheat, horizontal)</t>
        </is>
      </c>
      <c r="I316" s="12" t="inlineStr">
        <is>
          <t>Control</t>
        </is>
      </c>
      <c r="J316" s="12" t="inlineStr">
        <is>
          <t>Control cable 600 V Type TC-ER, Cu #14 AWG, PVC jacket</t>
        </is>
      </c>
      <c r="K316" s="12" t="inlineStr">
        <is>
          <t>CT|12/C|14</t>
        </is>
      </c>
      <c r="L316" s="12" t="inlineStr">
        <is>
          <t>12/C</t>
        </is>
      </c>
      <c r="M316" s="12" t="inlineStr">
        <is>
          <t>14</t>
        </is>
      </c>
      <c r="N316" s="12" t="n">
        <v>1</v>
      </c>
      <c r="O316" s="12" t="n">
        <v>1</v>
      </c>
      <c r="P316" s="12" t="n"/>
      <c r="Q316" s="12" t="n"/>
      <c r="R316" s="12" t="n"/>
      <c r="S316" s="12" t="inlineStr">
        <is>
          <t>Tray</t>
        </is>
      </c>
      <c r="T316" s="16" t="n">
        <v>0</v>
      </c>
      <c r="U316" s="16" t="n">
        <v>87</v>
      </c>
      <c r="V316" s="16">
        <f>ROUNDUP((T316+U316+2*'Read Me'!$B$13)*(1+'Read Me'!$B$12),-1)</f>
        <v/>
      </c>
      <c r="W316" s="16">
        <f>V316*N316*O316</f>
        <v/>
      </c>
      <c r="X316" s="12">
        <f>IF(LEFT(I316,2)="MV",2*N316*IF(L316="1/C",O316,1),0)</f>
        <v/>
      </c>
      <c r="Y316" s="12">
        <f>IF(OR(LEFT(K316,4)="LVAX",LEFT(K316,6)="MV15AX",LEFT(K316,4)="CTAX",LEFT(K316,2)="W|"),2*N316*O316,0)</f>
        <v/>
      </c>
      <c r="Z316" s="12" t="inlineStr"/>
      <c r="AA316" s="12">
        <f>N316*O316</f>
        <v/>
      </c>
    </row>
    <row r="317">
      <c r="A317" s="12" t="inlineStr">
        <is>
          <t>A-C-0305</t>
        </is>
      </c>
      <c r="B317" s="12" t="inlineStr">
        <is>
          <t>A</t>
        </is>
      </c>
      <c r="C317" s="12" t="inlineStr">
        <is>
          <t>Power block</t>
        </is>
      </c>
      <c r="D317" s="12" t="inlineStr">
        <is>
          <t>MOV 37: control</t>
        </is>
      </c>
      <c r="E317" s="12" t="inlineStr">
        <is>
          <t>R2A</t>
        </is>
      </c>
      <c r="F317" s="12" t="inlineStr">
        <is>
          <t>R2A: unit / HRSG electrical e-house (32 x 40 ft)</t>
        </is>
      </c>
      <c r="G317" s="12" t="inlineStr">
        <is>
          <t>HRSG-1</t>
        </is>
      </c>
      <c r="H317" s="12" t="inlineStr">
        <is>
          <t>HRSG 1 + SCR (3P reheat, horizontal)</t>
        </is>
      </c>
      <c r="I317" s="12" t="inlineStr">
        <is>
          <t>Control</t>
        </is>
      </c>
      <c r="J317" s="12" t="inlineStr">
        <is>
          <t>Control cable 600 V Type TC-ER, Cu #14 AWG, PVC jacket</t>
        </is>
      </c>
      <c r="K317" s="12" t="inlineStr">
        <is>
          <t>CT|12/C|14</t>
        </is>
      </c>
      <c r="L317" s="12" t="inlineStr">
        <is>
          <t>12/C</t>
        </is>
      </c>
      <c r="M317" s="12" t="inlineStr">
        <is>
          <t>14</t>
        </is>
      </c>
      <c r="N317" s="12" t="n">
        <v>1</v>
      </c>
      <c r="O317" s="12" t="n">
        <v>1</v>
      </c>
      <c r="P317" s="12" t="n"/>
      <c r="Q317" s="12" t="n"/>
      <c r="R317" s="12" t="n"/>
      <c r="S317" s="12" t="inlineStr">
        <is>
          <t>Tray</t>
        </is>
      </c>
      <c r="T317" s="16" t="n">
        <v>0</v>
      </c>
      <c r="U317" s="16" t="n">
        <v>87</v>
      </c>
      <c r="V317" s="16">
        <f>ROUNDUP((T317+U317+2*'Read Me'!$B$13)*(1+'Read Me'!$B$12),-1)</f>
        <v/>
      </c>
      <c r="W317" s="16">
        <f>V317*N317*O317</f>
        <v/>
      </c>
      <c r="X317" s="12">
        <f>IF(LEFT(I317,2)="MV",2*N317*IF(L317="1/C",O317,1),0)</f>
        <v/>
      </c>
      <c r="Y317" s="12">
        <f>IF(OR(LEFT(K317,4)="LVAX",LEFT(K317,6)="MV15AX",LEFT(K317,4)="CTAX",LEFT(K317,2)="W|"),2*N317*O317,0)</f>
        <v/>
      </c>
      <c r="Z317" s="12" t="inlineStr"/>
      <c r="AA317" s="12">
        <f>N317*O317</f>
        <v/>
      </c>
    </row>
    <row r="318">
      <c r="A318" s="12" t="inlineStr">
        <is>
          <t>A-C-0306</t>
        </is>
      </c>
      <c r="B318" s="12" t="inlineStr">
        <is>
          <t>A</t>
        </is>
      </c>
      <c r="C318" s="12" t="inlineStr">
        <is>
          <t>Power block</t>
        </is>
      </c>
      <c r="D318" s="12" t="inlineStr">
        <is>
          <t>MOV 38: control</t>
        </is>
      </c>
      <c r="E318" s="12" t="inlineStr">
        <is>
          <t>R2A</t>
        </is>
      </c>
      <c r="F318" s="12" t="inlineStr">
        <is>
          <t>R2A: unit / HRSG electrical e-house (32 x 40 ft)</t>
        </is>
      </c>
      <c r="G318" s="12" t="inlineStr">
        <is>
          <t>HRSG-1</t>
        </is>
      </c>
      <c r="H318" s="12" t="inlineStr">
        <is>
          <t>HRSG 1 + SCR (3P reheat, horizontal)</t>
        </is>
      </c>
      <c r="I318" s="12" t="inlineStr">
        <is>
          <t>Control</t>
        </is>
      </c>
      <c r="J318" s="12" t="inlineStr">
        <is>
          <t>Control cable 600 V Type TC-ER, Cu #14 AWG, PVC jacket</t>
        </is>
      </c>
      <c r="K318" s="12" t="inlineStr">
        <is>
          <t>CT|12/C|14</t>
        </is>
      </c>
      <c r="L318" s="12" t="inlineStr">
        <is>
          <t>12/C</t>
        </is>
      </c>
      <c r="M318" s="12" t="inlineStr">
        <is>
          <t>14</t>
        </is>
      </c>
      <c r="N318" s="12" t="n">
        <v>1</v>
      </c>
      <c r="O318" s="12" t="n">
        <v>1</v>
      </c>
      <c r="P318" s="12" t="n"/>
      <c r="Q318" s="12" t="n"/>
      <c r="R318" s="12" t="n"/>
      <c r="S318" s="12" t="inlineStr">
        <is>
          <t>Tray</t>
        </is>
      </c>
      <c r="T318" s="16" t="n">
        <v>0</v>
      </c>
      <c r="U318" s="16" t="n">
        <v>87</v>
      </c>
      <c r="V318" s="16">
        <f>ROUNDUP((T318+U318+2*'Read Me'!$B$13)*(1+'Read Me'!$B$12),-1)</f>
        <v/>
      </c>
      <c r="W318" s="16">
        <f>V318*N318*O318</f>
        <v/>
      </c>
      <c r="X318" s="12">
        <f>IF(LEFT(I318,2)="MV",2*N318*IF(L318="1/C",O318,1),0)</f>
        <v/>
      </c>
      <c r="Y318" s="12">
        <f>IF(OR(LEFT(K318,4)="LVAX",LEFT(K318,6)="MV15AX",LEFT(K318,4)="CTAX",LEFT(K318,2)="W|"),2*N318*O318,0)</f>
        <v/>
      </c>
      <c r="Z318" s="12" t="inlineStr"/>
      <c r="AA318" s="12">
        <f>N318*O318</f>
        <v/>
      </c>
    </row>
    <row r="319">
      <c r="A319" s="12" t="inlineStr">
        <is>
          <t>A-C-0307</t>
        </is>
      </c>
      <c r="B319" s="12" t="inlineStr">
        <is>
          <t>A</t>
        </is>
      </c>
      <c r="C319" s="12" t="inlineStr">
        <is>
          <t>Power block</t>
        </is>
      </c>
      <c r="D319" s="12" t="inlineStr">
        <is>
          <t>MOV 39: control</t>
        </is>
      </c>
      <c r="E319" s="12" t="inlineStr">
        <is>
          <t>R2A</t>
        </is>
      </c>
      <c r="F319" s="12" t="inlineStr">
        <is>
          <t>R2A: unit / HRSG electrical e-house (32 x 40 ft)</t>
        </is>
      </c>
      <c r="G319" s="12" t="inlineStr">
        <is>
          <t>HRSG-1</t>
        </is>
      </c>
      <c r="H319" s="12" t="inlineStr">
        <is>
          <t>HRSG 1 + SCR (3P reheat, horizontal)</t>
        </is>
      </c>
      <c r="I319" s="12" t="inlineStr">
        <is>
          <t>Control</t>
        </is>
      </c>
      <c r="J319" s="12" t="inlineStr">
        <is>
          <t>Control cable 600 V Type TC-ER, Cu #14 AWG, PVC jacket</t>
        </is>
      </c>
      <c r="K319" s="12" t="inlineStr">
        <is>
          <t>CT|12/C|14</t>
        </is>
      </c>
      <c r="L319" s="12" t="inlineStr">
        <is>
          <t>12/C</t>
        </is>
      </c>
      <c r="M319" s="12" t="inlineStr">
        <is>
          <t>14</t>
        </is>
      </c>
      <c r="N319" s="12" t="n">
        <v>1</v>
      </c>
      <c r="O319" s="12" t="n">
        <v>1</v>
      </c>
      <c r="P319" s="12" t="n"/>
      <c r="Q319" s="12" t="n"/>
      <c r="R319" s="12" t="n"/>
      <c r="S319" s="12" t="inlineStr">
        <is>
          <t>Tray</t>
        </is>
      </c>
      <c r="T319" s="16" t="n">
        <v>0</v>
      </c>
      <c r="U319" s="16" t="n">
        <v>87</v>
      </c>
      <c r="V319" s="16">
        <f>ROUNDUP((T319+U319+2*'Read Me'!$B$13)*(1+'Read Me'!$B$12),-1)</f>
        <v/>
      </c>
      <c r="W319" s="16">
        <f>V319*N319*O319</f>
        <v/>
      </c>
      <c r="X319" s="12">
        <f>IF(LEFT(I319,2)="MV",2*N319*IF(L319="1/C",O319,1),0)</f>
        <v/>
      </c>
      <c r="Y319" s="12">
        <f>IF(OR(LEFT(K319,4)="LVAX",LEFT(K319,6)="MV15AX",LEFT(K319,4)="CTAX",LEFT(K319,2)="W|"),2*N319*O319,0)</f>
        <v/>
      </c>
      <c r="Z319" s="12" t="inlineStr"/>
      <c r="AA319" s="12">
        <f>N319*O319</f>
        <v/>
      </c>
    </row>
    <row r="320">
      <c r="A320" s="12" t="inlineStr">
        <is>
          <t>A-C-0308</t>
        </is>
      </c>
      <c r="B320" s="12" t="inlineStr">
        <is>
          <t>A</t>
        </is>
      </c>
      <c r="C320" s="12" t="inlineStr">
        <is>
          <t>Power block</t>
        </is>
      </c>
      <c r="D320" s="12" t="inlineStr">
        <is>
          <t>MOV 40: control</t>
        </is>
      </c>
      <c r="E320" s="12" t="inlineStr">
        <is>
          <t>R2A</t>
        </is>
      </c>
      <c r="F320" s="12" t="inlineStr">
        <is>
          <t>R2A: unit / HRSG electrical e-house (32 x 40 ft)</t>
        </is>
      </c>
      <c r="G320" s="12" t="inlineStr">
        <is>
          <t>HRSG-1</t>
        </is>
      </c>
      <c r="H320" s="12" t="inlineStr">
        <is>
          <t>HRSG 1 + SCR (3P reheat, horizontal)</t>
        </is>
      </c>
      <c r="I320" s="12" t="inlineStr">
        <is>
          <t>Control</t>
        </is>
      </c>
      <c r="J320" s="12" t="inlineStr">
        <is>
          <t>Control cable 600 V Type TC-ER, Cu #14 AWG, PVC jacket</t>
        </is>
      </c>
      <c r="K320" s="12" t="inlineStr">
        <is>
          <t>CT|12/C|14</t>
        </is>
      </c>
      <c r="L320" s="12" t="inlineStr">
        <is>
          <t>12/C</t>
        </is>
      </c>
      <c r="M320" s="12" t="inlineStr">
        <is>
          <t>14</t>
        </is>
      </c>
      <c r="N320" s="12" t="n">
        <v>1</v>
      </c>
      <c r="O320" s="12" t="n">
        <v>1</v>
      </c>
      <c r="P320" s="12" t="n"/>
      <c r="Q320" s="12" t="n"/>
      <c r="R320" s="12" t="n"/>
      <c r="S320" s="12" t="inlineStr">
        <is>
          <t>Tray</t>
        </is>
      </c>
      <c r="T320" s="16" t="n">
        <v>0</v>
      </c>
      <c r="U320" s="16" t="n">
        <v>87</v>
      </c>
      <c r="V320" s="16">
        <f>ROUNDUP((T320+U320+2*'Read Me'!$B$13)*(1+'Read Me'!$B$12),-1)</f>
        <v/>
      </c>
      <c r="W320" s="16">
        <f>V320*N320*O320</f>
        <v/>
      </c>
      <c r="X320" s="12">
        <f>IF(LEFT(I320,2)="MV",2*N320*IF(L320="1/C",O320,1),0)</f>
        <v/>
      </c>
      <c r="Y320" s="12">
        <f>IF(OR(LEFT(K320,4)="LVAX",LEFT(K320,6)="MV15AX",LEFT(K320,4)="CTAX",LEFT(K320,2)="W|"),2*N320*O320,0)</f>
        <v/>
      </c>
      <c r="Z320" s="12" t="inlineStr"/>
      <c r="AA320" s="12">
        <f>N320*O320</f>
        <v/>
      </c>
    </row>
    <row r="321">
      <c r="A321" s="12" t="inlineStr">
        <is>
          <t>A-C-0309</t>
        </is>
      </c>
      <c r="B321" s="12" t="inlineStr">
        <is>
          <t>A</t>
        </is>
      </c>
      <c r="C321" s="12" t="inlineStr">
        <is>
          <t>Power block</t>
        </is>
      </c>
      <c r="D321" s="12" t="inlineStr">
        <is>
          <t>MOV 41: control</t>
        </is>
      </c>
      <c r="E321" s="12" t="inlineStr">
        <is>
          <t>R2A</t>
        </is>
      </c>
      <c r="F321" s="12" t="inlineStr">
        <is>
          <t>R2A: unit / HRSG electrical e-house (32 x 40 ft)</t>
        </is>
      </c>
      <c r="G321" s="12" t="inlineStr">
        <is>
          <t>HRSG-1</t>
        </is>
      </c>
      <c r="H321" s="12" t="inlineStr">
        <is>
          <t>HRSG 1 + SCR (3P reheat, horizontal)</t>
        </is>
      </c>
      <c r="I321" s="12" t="inlineStr">
        <is>
          <t>Control</t>
        </is>
      </c>
      <c r="J321" s="12" t="inlineStr">
        <is>
          <t>Control cable 600 V Type TC-ER, Cu #14 AWG, PVC jacket</t>
        </is>
      </c>
      <c r="K321" s="12" t="inlineStr">
        <is>
          <t>CT|12/C|14</t>
        </is>
      </c>
      <c r="L321" s="12" t="inlineStr">
        <is>
          <t>12/C</t>
        </is>
      </c>
      <c r="M321" s="12" t="inlineStr">
        <is>
          <t>14</t>
        </is>
      </c>
      <c r="N321" s="12" t="n">
        <v>1</v>
      </c>
      <c r="O321" s="12" t="n">
        <v>1</v>
      </c>
      <c r="P321" s="12" t="n"/>
      <c r="Q321" s="12" t="n"/>
      <c r="R321" s="12" t="n"/>
      <c r="S321" s="12" t="inlineStr">
        <is>
          <t>Tray</t>
        </is>
      </c>
      <c r="T321" s="16" t="n">
        <v>0</v>
      </c>
      <c r="U321" s="16" t="n">
        <v>87</v>
      </c>
      <c r="V321" s="16">
        <f>ROUNDUP((T321+U321+2*'Read Me'!$B$13)*(1+'Read Me'!$B$12),-1)</f>
        <v/>
      </c>
      <c r="W321" s="16">
        <f>V321*N321*O321</f>
        <v/>
      </c>
      <c r="X321" s="12">
        <f>IF(LEFT(I321,2)="MV",2*N321*IF(L321="1/C",O321,1),0)</f>
        <v/>
      </c>
      <c r="Y321" s="12">
        <f>IF(OR(LEFT(K321,4)="LVAX",LEFT(K321,6)="MV15AX",LEFT(K321,4)="CTAX",LEFT(K321,2)="W|"),2*N321*O321,0)</f>
        <v/>
      </c>
      <c r="Z321" s="12" t="inlineStr"/>
      <c r="AA321" s="12">
        <f>N321*O321</f>
        <v/>
      </c>
    </row>
    <row r="322">
      <c r="A322" s="12" t="inlineStr">
        <is>
          <t>A-C-0310</t>
        </is>
      </c>
      <c r="B322" s="12" t="inlineStr">
        <is>
          <t>A</t>
        </is>
      </c>
      <c r="C322" s="12" t="inlineStr">
        <is>
          <t>Power block</t>
        </is>
      </c>
      <c r="D322" s="12" t="inlineStr">
        <is>
          <t>MOV 42: control</t>
        </is>
      </c>
      <c r="E322" s="12" t="inlineStr">
        <is>
          <t>R2A</t>
        </is>
      </c>
      <c r="F322" s="12" t="inlineStr">
        <is>
          <t>R2A: unit / HRSG electrical e-house (32 x 40 ft)</t>
        </is>
      </c>
      <c r="G322" s="12" t="inlineStr">
        <is>
          <t>HRSG-1</t>
        </is>
      </c>
      <c r="H322" s="12" t="inlineStr">
        <is>
          <t>HRSG 1 + SCR (3P reheat, horizontal)</t>
        </is>
      </c>
      <c r="I322" s="12" t="inlineStr">
        <is>
          <t>Control</t>
        </is>
      </c>
      <c r="J322" s="12" t="inlineStr">
        <is>
          <t>Control cable 600 V Type TC-ER, Cu #14 AWG, PVC jacket</t>
        </is>
      </c>
      <c r="K322" s="12" t="inlineStr">
        <is>
          <t>CT|12/C|14</t>
        </is>
      </c>
      <c r="L322" s="12" t="inlineStr">
        <is>
          <t>12/C</t>
        </is>
      </c>
      <c r="M322" s="12" t="inlineStr">
        <is>
          <t>14</t>
        </is>
      </c>
      <c r="N322" s="12" t="n">
        <v>1</v>
      </c>
      <c r="O322" s="12" t="n">
        <v>1</v>
      </c>
      <c r="P322" s="12" t="n"/>
      <c r="Q322" s="12" t="n"/>
      <c r="R322" s="12" t="n"/>
      <c r="S322" s="12" t="inlineStr">
        <is>
          <t>Tray</t>
        </is>
      </c>
      <c r="T322" s="16" t="n">
        <v>0</v>
      </c>
      <c r="U322" s="16" t="n">
        <v>87</v>
      </c>
      <c r="V322" s="16">
        <f>ROUNDUP((T322+U322+2*'Read Me'!$B$13)*(1+'Read Me'!$B$12),-1)</f>
        <v/>
      </c>
      <c r="W322" s="16">
        <f>V322*N322*O322</f>
        <v/>
      </c>
      <c r="X322" s="12">
        <f>IF(LEFT(I322,2)="MV",2*N322*IF(L322="1/C",O322,1),0)</f>
        <v/>
      </c>
      <c r="Y322" s="12">
        <f>IF(OR(LEFT(K322,4)="LVAX",LEFT(K322,6)="MV15AX",LEFT(K322,4)="CTAX",LEFT(K322,2)="W|"),2*N322*O322,0)</f>
        <v/>
      </c>
      <c r="Z322" s="12" t="inlineStr"/>
      <c r="AA322" s="12">
        <f>N322*O322</f>
        <v/>
      </c>
    </row>
    <row r="323">
      <c r="A323" s="12" t="inlineStr">
        <is>
          <t>A-C-0311</t>
        </is>
      </c>
      <c r="B323" s="12" t="inlineStr">
        <is>
          <t>A</t>
        </is>
      </c>
      <c r="C323" s="12" t="inlineStr">
        <is>
          <t>Power block</t>
        </is>
      </c>
      <c r="D323" s="12" t="inlineStr">
        <is>
          <t>MOV 43: control</t>
        </is>
      </c>
      <c r="E323" s="12" t="inlineStr">
        <is>
          <t>R2A</t>
        </is>
      </c>
      <c r="F323" s="12" t="inlineStr">
        <is>
          <t>R2A: unit / HRSG electrical e-house (32 x 40 ft)</t>
        </is>
      </c>
      <c r="G323" s="12" t="inlineStr">
        <is>
          <t>HRSG-1</t>
        </is>
      </c>
      <c r="H323" s="12" t="inlineStr">
        <is>
          <t>HRSG 1 + SCR (3P reheat, horizontal)</t>
        </is>
      </c>
      <c r="I323" s="12" t="inlineStr">
        <is>
          <t>Control</t>
        </is>
      </c>
      <c r="J323" s="12" t="inlineStr">
        <is>
          <t>Control cable 600 V Type TC-ER, Cu #14 AWG, PVC jacket</t>
        </is>
      </c>
      <c r="K323" s="12" t="inlineStr">
        <is>
          <t>CT|12/C|14</t>
        </is>
      </c>
      <c r="L323" s="12" t="inlineStr">
        <is>
          <t>12/C</t>
        </is>
      </c>
      <c r="M323" s="12" t="inlineStr">
        <is>
          <t>14</t>
        </is>
      </c>
      <c r="N323" s="12" t="n">
        <v>1</v>
      </c>
      <c r="O323" s="12" t="n">
        <v>1</v>
      </c>
      <c r="P323" s="12" t="n"/>
      <c r="Q323" s="12" t="n"/>
      <c r="R323" s="12" t="n"/>
      <c r="S323" s="12" t="inlineStr">
        <is>
          <t>Tray</t>
        </is>
      </c>
      <c r="T323" s="16" t="n">
        <v>0</v>
      </c>
      <c r="U323" s="16" t="n">
        <v>87</v>
      </c>
      <c r="V323" s="16">
        <f>ROUNDUP((T323+U323+2*'Read Me'!$B$13)*(1+'Read Me'!$B$12),-1)</f>
        <v/>
      </c>
      <c r="W323" s="16">
        <f>V323*N323*O323</f>
        <v/>
      </c>
      <c r="X323" s="12">
        <f>IF(LEFT(I323,2)="MV",2*N323*IF(L323="1/C",O323,1),0)</f>
        <v/>
      </c>
      <c r="Y323" s="12">
        <f>IF(OR(LEFT(K323,4)="LVAX",LEFT(K323,6)="MV15AX",LEFT(K323,4)="CTAX",LEFT(K323,2)="W|"),2*N323*O323,0)</f>
        <v/>
      </c>
      <c r="Z323" s="12" t="inlineStr"/>
      <c r="AA323" s="12">
        <f>N323*O323</f>
        <v/>
      </c>
    </row>
    <row r="324">
      <c r="A324" s="12" t="inlineStr">
        <is>
          <t>A-C-0312</t>
        </is>
      </c>
      <c r="B324" s="12" t="inlineStr">
        <is>
          <t>A</t>
        </is>
      </c>
      <c r="C324" s="12" t="inlineStr">
        <is>
          <t>Power block</t>
        </is>
      </c>
      <c r="D324" s="12" t="inlineStr">
        <is>
          <t>MOV 44: control</t>
        </is>
      </c>
      <c r="E324" s="12" t="inlineStr">
        <is>
          <t>R2A</t>
        </is>
      </c>
      <c r="F324" s="12" t="inlineStr">
        <is>
          <t>R2A: unit / HRSG electrical e-house (32 x 40 ft)</t>
        </is>
      </c>
      <c r="G324" s="12" t="inlineStr">
        <is>
          <t>HRSG-1</t>
        </is>
      </c>
      <c r="H324" s="12" t="inlineStr">
        <is>
          <t>HRSG 1 + SCR (3P reheat, horizontal)</t>
        </is>
      </c>
      <c r="I324" s="12" t="inlineStr">
        <is>
          <t>Control</t>
        </is>
      </c>
      <c r="J324" s="12" t="inlineStr">
        <is>
          <t>Control cable 600 V Type TC-ER, Cu #14 AWG, PVC jacket</t>
        </is>
      </c>
      <c r="K324" s="12" t="inlineStr">
        <is>
          <t>CT|12/C|14</t>
        </is>
      </c>
      <c r="L324" s="12" t="inlineStr">
        <is>
          <t>12/C</t>
        </is>
      </c>
      <c r="M324" s="12" t="inlineStr">
        <is>
          <t>14</t>
        </is>
      </c>
      <c r="N324" s="12" t="n">
        <v>1</v>
      </c>
      <c r="O324" s="12" t="n">
        <v>1</v>
      </c>
      <c r="P324" s="12" t="n"/>
      <c r="Q324" s="12" t="n"/>
      <c r="R324" s="12" t="n"/>
      <c r="S324" s="12" t="inlineStr">
        <is>
          <t>Tray</t>
        </is>
      </c>
      <c r="T324" s="16" t="n">
        <v>0</v>
      </c>
      <c r="U324" s="16" t="n">
        <v>87</v>
      </c>
      <c r="V324" s="16">
        <f>ROUNDUP((T324+U324+2*'Read Me'!$B$13)*(1+'Read Me'!$B$12),-1)</f>
        <v/>
      </c>
      <c r="W324" s="16">
        <f>V324*N324*O324</f>
        <v/>
      </c>
      <c r="X324" s="12">
        <f>IF(LEFT(I324,2)="MV",2*N324*IF(L324="1/C",O324,1),0)</f>
        <v/>
      </c>
      <c r="Y324" s="12">
        <f>IF(OR(LEFT(K324,4)="LVAX",LEFT(K324,6)="MV15AX",LEFT(K324,4)="CTAX",LEFT(K324,2)="W|"),2*N324*O324,0)</f>
        <v/>
      </c>
      <c r="Z324" s="12" t="inlineStr"/>
      <c r="AA324" s="12">
        <f>N324*O324</f>
        <v/>
      </c>
    </row>
    <row r="325">
      <c r="A325" s="12" t="inlineStr">
        <is>
          <t>A-C-0313</t>
        </is>
      </c>
      <c r="B325" s="12" t="inlineStr">
        <is>
          <t>A</t>
        </is>
      </c>
      <c r="C325" s="12" t="inlineStr">
        <is>
          <t>Power block</t>
        </is>
      </c>
      <c r="D325" s="12" t="inlineStr">
        <is>
          <t>MOV 45: control</t>
        </is>
      </c>
      <c r="E325" s="12" t="inlineStr">
        <is>
          <t>R2A</t>
        </is>
      </c>
      <c r="F325" s="12" t="inlineStr">
        <is>
          <t>R2A: unit / HRSG electrical e-house (32 x 40 ft)</t>
        </is>
      </c>
      <c r="G325" s="12" t="inlineStr">
        <is>
          <t>HRSG-1</t>
        </is>
      </c>
      <c r="H325" s="12" t="inlineStr">
        <is>
          <t>HRSG 1 + SCR (3P reheat, horizontal)</t>
        </is>
      </c>
      <c r="I325" s="12" t="inlineStr">
        <is>
          <t>Control</t>
        </is>
      </c>
      <c r="J325" s="12" t="inlineStr">
        <is>
          <t>Control cable 600 V Type TC-ER, Cu #14 AWG, PVC jacket</t>
        </is>
      </c>
      <c r="K325" s="12" t="inlineStr">
        <is>
          <t>CT|12/C|14</t>
        </is>
      </c>
      <c r="L325" s="12" t="inlineStr">
        <is>
          <t>12/C</t>
        </is>
      </c>
      <c r="M325" s="12" t="inlineStr">
        <is>
          <t>14</t>
        </is>
      </c>
      <c r="N325" s="12" t="n">
        <v>1</v>
      </c>
      <c r="O325" s="12" t="n">
        <v>1</v>
      </c>
      <c r="P325" s="12" t="n"/>
      <c r="Q325" s="12" t="n"/>
      <c r="R325" s="12" t="n"/>
      <c r="S325" s="12" t="inlineStr">
        <is>
          <t>Tray</t>
        </is>
      </c>
      <c r="T325" s="16" t="n">
        <v>0</v>
      </c>
      <c r="U325" s="16" t="n">
        <v>87</v>
      </c>
      <c r="V325" s="16">
        <f>ROUNDUP((T325+U325+2*'Read Me'!$B$13)*(1+'Read Me'!$B$12),-1)</f>
        <v/>
      </c>
      <c r="W325" s="16">
        <f>V325*N325*O325</f>
        <v/>
      </c>
      <c r="X325" s="12">
        <f>IF(LEFT(I325,2)="MV",2*N325*IF(L325="1/C",O325,1),0)</f>
        <v/>
      </c>
      <c r="Y325" s="12">
        <f>IF(OR(LEFT(K325,4)="LVAX",LEFT(K325,6)="MV15AX",LEFT(K325,4)="CTAX",LEFT(K325,2)="W|"),2*N325*O325,0)</f>
        <v/>
      </c>
      <c r="Z325" s="12" t="inlineStr"/>
      <c r="AA325" s="12">
        <f>N325*O325</f>
        <v/>
      </c>
    </row>
    <row r="326">
      <c r="A326" s="12" t="inlineStr">
        <is>
          <t>A-C-0314</t>
        </is>
      </c>
      <c r="B326" s="12" t="inlineStr">
        <is>
          <t>A</t>
        </is>
      </c>
      <c r="C326" s="12" t="inlineStr">
        <is>
          <t>Power block</t>
        </is>
      </c>
      <c r="D326" s="12" t="inlineStr">
        <is>
          <t>Solenoid to JB JB-HRSG-1-SOL01: 10 x 2/C (field cables)</t>
        </is>
      </c>
      <c r="E326" s="12" t="inlineStr">
        <is>
          <t>HRSG-1</t>
        </is>
      </c>
      <c r="F326" s="12" t="inlineStr">
        <is>
          <t>HRSG 1 + SCR (3P reheat, horizontal)</t>
        </is>
      </c>
      <c r="G326" s="12" t="inlineStr">
        <is>
          <t>JB-HRSG-1-SOL01</t>
        </is>
      </c>
      <c r="H326" s="12" t="inlineStr">
        <is>
          <t>HRSG 1 + SCR (3P reheat, horizontal)</t>
        </is>
      </c>
      <c r="I326" s="12" t="inlineStr">
        <is>
          <t>Control</t>
        </is>
      </c>
      <c r="J326" s="12" t="inlineStr">
        <is>
          <t>Control cable 600 V Type TC-ER, Cu #14 AWG, PVC jacket</t>
        </is>
      </c>
      <c r="K326" s="12" t="inlineStr">
        <is>
          <t>CT|2/C|14</t>
        </is>
      </c>
      <c r="L326" s="12" t="inlineStr">
        <is>
          <t>2/C</t>
        </is>
      </c>
      <c r="M326" s="12" t="inlineStr">
        <is>
          <t>14</t>
        </is>
      </c>
      <c r="N326" s="12" t="n">
        <v>10</v>
      </c>
      <c r="O326" s="12" t="n">
        <v>1</v>
      </c>
      <c r="P326" s="12" t="n"/>
      <c r="Q326" s="12" t="n"/>
      <c r="R326" s="12" t="n"/>
      <c r="S326" s="12" t="inlineStr">
        <is>
          <t>Tray / conduit</t>
        </is>
      </c>
      <c r="T326" s="16" t="n">
        <v>180</v>
      </c>
      <c r="U326" s="16" t="n">
        <v>10</v>
      </c>
      <c r="V326" s="16">
        <f>ROUNDUP((T326+U326+2*'Read Me'!$B$13)*(1+'Read Me'!$B$12),-1)</f>
        <v/>
      </c>
      <c r="W326" s="16">
        <f>V326*N326*O326</f>
        <v/>
      </c>
      <c r="X326" s="12">
        <f>IF(LEFT(I326,2)="MV",2*N326*IF(L326="1/C",O326,1),0)</f>
        <v/>
      </c>
      <c r="Y326" s="12">
        <f>IF(OR(LEFT(K326,4)="LVAX",LEFT(K326,6)="MV15AX",LEFT(K326,4)="CTAX",LEFT(K326,2)="W|"),2*N326*O326,0)</f>
        <v/>
      </c>
      <c r="Z326" s="12" t="inlineStr">
        <is>
          <t>device-to-JB field wiring, one cable per device</t>
        </is>
      </c>
      <c r="AA326" s="12">
        <f>N326*O326</f>
        <v/>
      </c>
    </row>
    <row r="327">
      <c r="A327" s="12" t="inlineStr">
        <is>
          <t>A-C-0315</t>
        </is>
      </c>
      <c r="B327" s="12" t="inlineStr">
        <is>
          <t>A</t>
        </is>
      </c>
      <c r="C327" s="12" t="inlineStr">
        <is>
          <t>Power block</t>
        </is>
      </c>
      <c r="D327" s="12" t="inlineStr">
        <is>
          <t>Home run JB-HRSG-1-SOL01 to the control / marshalling room</t>
        </is>
      </c>
      <c r="E327" s="12" t="inlineStr">
        <is>
          <t>R2A</t>
        </is>
      </c>
      <c r="F327" s="12" t="inlineStr">
        <is>
          <t>R2A: unit / HRSG electrical e-house (32 x 40 ft)</t>
        </is>
      </c>
      <c r="G327" s="12" t="inlineStr">
        <is>
          <t>JB-HRSG-1-SOL01</t>
        </is>
      </c>
      <c r="H327" s="12" t="inlineStr">
        <is>
          <t>HRSG 1 + SCR (3P reheat, horizontal)</t>
        </is>
      </c>
      <c r="I327" s="12" t="inlineStr">
        <is>
          <t>Control</t>
        </is>
      </c>
      <c r="J327" s="12" t="inlineStr">
        <is>
          <t>Control cable 600 V Type TC-ER, Cu #14 AWG, PVC jacket</t>
        </is>
      </c>
      <c r="K327" s="12" t="inlineStr">
        <is>
          <t>CT|25/C|14</t>
        </is>
      </c>
      <c r="L327" s="12" t="inlineStr">
        <is>
          <t>25/C</t>
        </is>
      </c>
      <c r="M327" s="12" t="inlineStr">
        <is>
          <t>14</t>
        </is>
      </c>
      <c r="N327" s="12" t="n">
        <v>1</v>
      </c>
      <c r="O327" s="12" t="n">
        <v>1</v>
      </c>
      <c r="P327" s="12" t="n"/>
      <c r="Q327" s="12" t="n"/>
      <c r="R327" s="12" t="n"/>
      <c r="S327" s="12" t="inlineStr">
        <is>
          <t>Tray</t>
        </is>
      </c>
      <c r="T327" s="16" t="n">
        <v>0</v>
      </c>
      <c r="U327" s="16" t="n">
        <v>87</v>
      </c>
      <c r="V327" s="16">
        <f>ROUNDUP((T327+U327+2*'Read Me'!$B$13)*(1+'Read Me'!$B$12),-1)</f>
        <v/>
      </c>
      <c r="W327" s="16">
        <f>V327*N327*O327</f>
        <v/>
      </c>
      <c r="X327" s="12">
        <f>IF(LEFT(I327,2)="MV",2*N327*IF(L327="1/C",O327,1),0)</f>
        <v/>
      </c>
      <c r="Y327" s="12">
        <f>IF(OR(LEFT(K327,4)="LVAX",LEFT(K327,6)="MV15AX",LEFT(K327,4)="CTAX",LEFT(K327,2)="W|"),2*N327*O327,0)</f>
        <v/>
      </c>
      <c r="Z327" s="12" t="inlineStr"/>
      <c r="AA327" s="12">
        <f>N327*O327</f>
        <v/>
      </c>
    </row>
    <row r="328">
      <c r="A328" s="12" t="inlineStr">
        <is>
          <t>A-C-0316</t>
        </is>
      </c>
      <c r="B328" s="12" t="inlineStr">
        <is>
          <t>A</t>
        </is>
      </c>
      <c r="C328" s="12" t="inlineStr">
        <is>
          <t>Power block</t>
        </is>
      </c>
      <c r="D328" s="12" t="inlineStr">
        <is>
          <t>Solenoid to JB JB-HRSG-1-SOL02: 10 x 2/C (field cables)</t>
        </is>
      </c>
      <c r="E328" s="12" t="inlineStr">
        <is>
          <t>HRSG-1</t>
        </is>
      </c>
      <c r="F328" s="12" t="inlineStr">
        <is>
          <t>HRSG 1 + SCR (3P reheat, horizontal)</t>
        </is>
      </c>
      <c r="G328" s="12" t="inlineStr">
        <is>
          <t>JB-HRSG-1-SOL02</t>
        </is>
      </c>
      <c r="H328" s="12" t="inlineStr">
        <is>
          <t>HRSG 1 + SCR (3P reheat, horizontal)</t>
        </is>
      </c>
      <c r="I328" s="12" t="inlineStr">
        <is>
          <t>Control</t>
        </is>
      </c>
      <c r="J328" s="12" t="inlineStr">
        <is>
          <t>Control cable 600 V Type TC-ER, Cu #14 AWG, PVC jacket</t>
        </is>
      </c>
      <c r="K328" s="12" t="inlineStr">
        <is>
          <t>CT|2/C|14</t>
        </is>
      </c>
      <c r="L328" s="12" t="inlineStr">
        <is>
          <t>2/C</t>
        </is>
      </c>
      <c r="M328" s="12" t="inlineStr">
        <is>
          <t>14</t>
        </is>
      </c>
      <c r="N328" s="12" t="n">
        <v>10</v>
      </c>
      <c r="O328" s="12" t="n">
        <v>1</v>
      </c>
      <c r="P328" s="12" t="n"/>
      <c r="Q328" s="12" t="n"/>
      <c r="R328" s="12" t="n"/>
      <c r="S328" s="12" t="inlineStr">
        <is>
          <t>Tray / conduit</t>
        </is>
      </c>
      <c r="T328" s="16" t="n">
        <v>180</v>
      </c>
      <c r="U328" s="16" t="n">
        <v>10</v>
      </c>
      <c r="V328" s="16">
        <f>ROUNDUP((T328+U328+2*'Read Me'!$B$13)*(1+'Read Me'!$B$12),-1)</f>
        <v/>
      </c>
      <c r="W328" s="16">
        <f>V328*N328*O328</f>
        <v/>
      </c>
      <c r="X328" s="12">
        <f>IF(LEFT(I328,2)="MV",2*N328*IF(L328="1/C",O328,1),0)</f>
        <v/>
      </c>
      <c r="Y328" s="12">
        <f>IF(OR(LEFT(K328,4)="LVAX",LEFT(K328,6)="MV15AX",LEFT(K328,4)="CTAX",LEFT(K328,2)="W|"),2*N328*O328,0)</f>
        <v/>
      </c>
      <c r="Z328" s="12" t="inlineStr">
        <is>
          <t>device-to-JB field wiring, one cable per device</t>
        </is>
      </c>
      <c r="AA328" s="12">
        <f>N328*O328</f>
        <v/>
      </c>
    </row>
    <row r="329">
      <c r="A329" s="12" t="inlineStr">
        <is>
          <t>A-C-0317</t>
        </is>
      </c>
      <c r="B329" s="12" t="inlineStr">
        <is>
          <t>A</t>
        </is>
      </c>
      <c r="C329" s="12" t="inlineStr">
        <is>
          <t>Power block</t>
        </is>
      </c>
      <c r="D329" s="12" t="inlineStr">
        <is>
          <t>Home run JB-HRSG-1-SOL02 to the control / marshalling room</t>
        </is>
      </c>
      <c r="E329" s="12" t="inlineStr">
        <is>
          <t>R2A</t>
        </is>
      </c>
      <c r="F329" s="12" t="inlineStr">
        <is>
          <t>R2A: unit / HRSG electrical e-house (32 x 40 ft)</t>
        </is>
      </c>
      <c r="G329" s="12" t="inlineStr">
        <is>
          <t>JB-HRSG-1-SOL02</t>
        </is>
      </c>
      <c r="H329" s="12" t="inlineStr">
        <is>
          <t>HRSG 1 + SCR (3P reheat, horizontal)</t>
        </is>
      </c>
      <c r="I329" s="12" t="inlineStr">
        <is>
          <t>Control</t>
        </is>
      </c>
      <c r="J329" s="12" t="inlineStr">
        <is>
          <t>Control cable 600 V Type TC-ER, Cu #14 AWG, PVC jacket</t>
        </is>
      </c>
      <c r="K329" s="12" t="inlineStr">
        <is>
          <t>CT|25/C|14</t>
        </is>
      </c>
      <c r="L329" s="12" t="inlineStr">
        <is>
          <t>25/C</t>
        </is>
      </c>
      <c r="M329" s="12" t="inlineStr">
        <is>
          <t>14</t>
        </is>
      </c>
      <c r="N329" s="12" t="n">
        <v>1</v>
      </c>
      <c r="O329" s="12" t="n">
        <v>1</v>
      </c>
      <c r="P329" s="12" t="n"/>
      <c r="Q329" s="12" t="n"/>
      <c r="R329" s="12" t="n"/>
      <c r="S329" s="12" t="inlineStr">
        <is>
          <t>Tray</t>
        </is>
      </c>
      <c r="T329" s="16" t="n">
        <v>0</v>
      </c>
      <c r="U329" s="16" t="n">
        <v>87</v>
      </c>
      <c r="V329" s="16">
        <f>ROUNDUP((T329+U329+2*'Read Me'!$B$13)*(1+'Read Me'!$B$12),-1)</f>
        <v/>
      </c>
      <c r="W329" s="16">
        <f>V329*N329*O329</f>
        <v/>
      </c>
      <c r="X329" s="12">
        <f>IF(LEFT(I329,2)="MV",2*N329*IF(L329="1/C",O329,1),0)</f>
        <v/>
      </c>
      <c r="Y329" s="12">
        <f>IF(OR(LEFT(K329,4)="LVAX",LEFT(K329,6)="MV15AX",LEFT(K329,4)="CTAX",LEFT(K329,2)="W|"),2*N329*O329,0)</f>
        <v/>
      </c>
      <c r="Z329" s="12" t="inlineStr"/>
      <c r="AA329" s="12">
        <f>N329*O329</f>
        <v/>
      </c>
    </row>
    <row r="330">
      <c r="A330" s="12" t="inlineStr">
        <is>
          <t>A-C-0318</t>
        </is>
      </c>
      <c r="B330" s="12" t="inlineStr">
        <is>
          <t>A</t>
        </is>
      </c>
      <c r="C330" s="12" t="inlineStr">
        <is>
          <t>Power block</t>
        </is>
      </c>
      <c r="D330" s="12" t="inlineStr">
        <is>
          <t>MOV 1: control</t>
        </is>
      </c>
      <c r="E330" s="12" t="inlineStr">
        <is>
          <t>R2A</t>
        </is>
      </c>
      <c r="F330" s="12" t="inlineStr">
        <is>
          <t>R2A: unit / HRSG electrical e-house (32 x 40 ft)</t>
        </is>
      </c>
      <c r="G330" s="12" t="inlineStr"/>
      <c r="H330" s="12" t="inlineStr">
        <is>
          <t>HRSG 1 blowdown tank (continuous / intermittent)</t>
        </is>
      </c>
      <c r="I330" s="12" t="inlineStr">
        <is>
          <t>Control</t>
        </is>
      </c>
      <c r="J330" s="12" t="inlineStr">
        <is>
          <t>Control cable 600 V Type TC-ER, Cu #14 AWG, PVC jacket</t>
        </is>
      </c>
      <c r="K330" s="12" t="inlineStr">
        <is>
          <t>CT|12/C|14</t>
        </is>
      </c>
      <c r="L330" s="12" t="inlineStr">
        <is>
          <t>12/C</t>
        </is>
      </c>
      <c r="M330" s="12" t="inlineStr">
        <is>
          <t>14</t>
        </is>
      </c>
      <c r="N330" s="12" t="n">
        <v>1</v>
      </c>
      <c r="O330" s="12" t="n">
        <v>1</v>
      </c>
      <c r="P330" s="12" t="n"/>
      <c r="Q330" s="12" t="n"/>
      <c r="R330" s="12" t="n"/>
      <c r="S330" s="12" t="inlineStr">
        <is>
          <t>Tray</t>
        </is>
      </c>
      <c r="T330" s="16" t="n">
        <v>38</v>
      </c>
      <c r="U330" s="16" t="n">
        <v>86</v>
      </c>
      <c r="V330" s="16">
        <f>ROUNDUP((T330+U330+2*'Read Me'!$B$13)*(1+'Read Me'!$B$12),-1)</f>
        <v/>
      </c>
      <c r="W330" s="16">
        <f>V330*N330*O330</f>
        <v/>
      </c>
      <c r="X330" s="12">
        <f>IF(LEFT(I330,2)="MV",2*N330*IF(L330="1/C",O330,1),0)</f>
        <v/>
      </c>
      <c r="Y330" s="12">
        <f>IF(OR(LEFT(K330,4)="LVAX",LEFT(K330,6)="MV15AX",LEFT(K330,4)="CTAX",LEFT(K330,2)="W|"),2*N330*O330,0)</f>
        <v/>
      </c>
      <c r="Z330" s="12" t="inlineStr"/>
      <c r="AA330" s="12">
        <f>N330*O330</f>
        <v/>
      </c>
    </row>
    <row r="331">
      <c r="A331" s="12" t="inlineStr">
        <is>
          <t>A-C-0319</t>
        </is>
      </c>
      <c r="B331" s="12" t="inlineStr">
        <is>
          <t>A</t>
        </is>
      </c>
      <c r="C331" s="12" t="inlineStr">
        <is>
          <t>Power block</t>
        </is>
      </c>
      <c r="D331" s="12" t="inlineStr">
        <is>
          <t>MOV 2: control</t>
        </is>
      </c>
      <c r="E331" s="12" t="inlineStr">
        <is>
          <t>R2A</t>
        </is>
      </c>
      <c r="F331" s="12" t="inlineStr">
        <is>
          <t>R2A: unit / HRSG electrical e-house (32 x 40 ft)</t>
        </is>
      </c>
      <c r="G331" s="12" t="inlineStr"/>
      <c r="H331" s="12" t="inlineStr">
        <is>
          <t>HRSG 1 blowdown tank (continuous / intermittent)</t>
        </is>
      </c>
      <c r="I331" s="12" t="inlineStr">
        <is>
          <t>Control</t>
        </is>
      </c>
      <c r="J331" s="12" t="inlineStr">
        <is>
          <t>Control cable 600 V Type TC-ER, Cu #14 AWG, PVC jacket</t>
        </is>
      </c>
      <c r="K331" s="12" t="inlineStr">
        <is>
          <t>CT|12/C|14</t>
        </is>
      </c>
      <c r="L331" s="12" t="inlineStr">
        <is>
          <t>12/C</t>
        </is>
      </c>
      <c r="M331" s="12" t="inlineStr">
        <is>
          <t>14</t>
        </is>
      </c>
      <c r="N331" s="12" t="n">
        <v>1</v>
      </c>
      <c r="O331" s="12" t="n">
        <v>1</v>
      </c>
      <c r="P331" s="12" t="n"/>
      <c r="Q331" s="12" t="n"/>
      <c r="R331" s="12" t="n"/>
      <c r="S331" s="12" t="inlineStr">
        <is>
          <t>Tray</t>
        </is>
      </c>
      <c r="T331" s="16" t="n">
        <v>38</v>
      </c>
      <c r="U331" s="16" t="n">
        <v>86</v>
      </c>
      <c r="V331" s="16">
        <f>ROUNDUP((T331+U331+2*'Read Me'!$B$13)*(1+'Read Me'!$B$12),-1)</f>
        <v/>
      </c>
      <c r="W331" s="16">
        <f>V331*N331*O331</f>
        <v/>
      </c>
      <c r="X331" s="12">
        <f>IF(LEFT(I331,2)="MV",2*N331*IF(L331="1/C",O331,1),0)</f>
        <v/>
      </c>
      <c r="Y331" s="12">
        <f>IF(OR(LEFT(K331,4)="LVAX",LEFT(K331,6)="MV15AX",LEFT(K331,4)="CTAX",LEFT(K331,2)="W|"),2*N331*O331,0)</f>
        <v/>
      </c>
      <c r="Z331" s="12" t="inlineStr"/>
      <c r="AA331" s="12">
        <f>N331*O331</f>
        <v/>
      </c>
    </row>
    <row r="332">
      <c r="A332" s="12" t="inlineStr">
        <is>
          <t>A-C-0320</t>
        </is>
      </c>
      <c r="B332" s="12" t="inlineStr">
        <is>
          <t>A</t>
        </is>
      </c>
      <c r="C332" s="12" t="inlineStr">
        <is>
          <t>Power block</t>
        </is>
      </c>
      <c r="D332" s="12" t="inlineStr">
        <is>
          <t>MOV 3: control</t>
        </is>
      </c>
      <c r="E332" s="12" t="inlineStr">
        <is>
          <t>R2A</t>
        </is>
      </c>
      <c r="F332" s="12" t="inlineStr">
        <is>
          <t>R2A: unit / HRSG electrical e-house (32 x 40 ft)</t>
        </is>
      </c>
      <c r="G332" s="12" t="inlineStr"/>
      <c r="H332" s="12" t="inlineStr">
        <is>
          <t>HRSG 1 blowdown tank (continuous / intermittent)</t>
        </is>
      </c>
      <c r="I332" s="12" t="inlineStr">
        <is>
          <t>Control</t>
        </is>
      </c>
      <c r="J332" s="12" t="inlineStr">
        <is>
          <t>Control cable 600 V Type TC-ER, Cu #14 AWG, PVC jacket</t>
        </is>
      </c>
      <c r="K332" s="12" t="inlineStr">
        <is>
          <t>CT|12/C|14</t>
        </is>
      </c>
      <c r="L332" s="12" t="inlineStr">
        <is>
          <t>12/C</t>
        </is>
      </c>
      <c r="M332" s="12" t="inlineStr">
        <is>
          <t>14</t>
        </is>
      </c>
      <c r="N332" s="12" t="n">
        <v>1</v>
      </c>
      <c r="O332" s="12" t="n">
        <v>1</v>
      </c>
      <c r="P332" s="12" t="n"/>
      <c r="Q332" s="12" t="n"/>
      <c r="R332" s="12" t="n"/>
      <c r="S332" s="12" t="inlineStr">
        <is>
          <t>Tray</t>
        </is>
      </c>
      <c r="T332" s="16" t="n">
        <v>38</v>
      </c>
      <c r="U332" s="16" t="n">
        <v>86</v>
      </c>
      <c r="V332" s="16">
        <f>ROUNDUP((T332+U332+2*'Read Me'!$B$13)*(1+'Read Me'!$B$12),-1)</f>
        <v/>
      </c>
      <c r="W332" s="16">
        <f>V332*N332*O332</f>
        <v/>
      </c>
      <c r="X332" s="12">
        <f>IF(LEFT(I332,2)="MV",2*N332*IF(L332="1/C",O332,1),0)</f>
        <v/>
      </c>
      <c r="Y332" s="12">
        <f>IF(OR(LEFT(K332,4)="LVAX",LEFT(K332,6)="MV15AX",LEFT(K332,4)="CTAX",LEFT(K332,2)="W|"),2*N332*O332,0)</f>
        <v/>
      </c>
      <c r="Z332" s="12" t="inlineStr"/>
      <c r="AA332" s="12">
        <f>N332*O332</f>
        <v/>
      </c>
    </row>
    <row r="333">
      <c r="A333" s="12" t="inlineStr">
        <is>
          <t>A-C-0321</t>
        </is>
      </c>
      <c r="B333" s="12" t="inlineStr">
        <is>
          <t>A</t>
        </is>
      </c>
      <c r="C333" s="12" t="inlineStr">
        <is>
          <t>Power block</t>
        </is>
      </c>
      <c r="D333" s="12" t="inlineStr">
        <is>
          <t>MOV 4: control</t>
        </is>
      </c>
      <c r="E333" s="12" t="inlineStr">
        <is>
          <t>R2A</t>
        </is>
      </c>
      <c r="F333" s="12" t="inlineStr">
        <is>
          <t>R2A: unit / HRSG electrical e-house (32 x 40 ft)</t>
        </is>
      </c>
      <c r="G333" s="12" t="inlineStr"/>
      <c r="H333" s="12" t="inlineStr">
        <is>
          <t>HRSG 1 blowdown tank (continuous / intermittent)</t>
        </is>
      </c>
      <c r="I333" s="12" t="inlineStr">
        <is>
          <t>Control</t>
        </is>
      </c>
      <c r="J333" s="12" t="inlineStr">
        <is>
          <t>Control cable 600 V Type TC-ER, Cu #14 AWG, PVC jacket</t>
        </is>
      </c>
      <c r="K333" s="12" t="inlineStr">
        <is>
          <t>CT|12/C|14</t>
        </is>
      </c>
      <c r="L333" s="12" t="inlineStr">
        <is>
          <t>12/C</t>
        </is>
      </c>
      <c r="M333" s="12" t="inlineStr">
        <is>
          <t>14</t>
        </is>
      </c>
      <c r="N333" s="12" t="n">
        <v>1</v>
      </c>
      <c r="O333" s="12" t="n">
        <v>1</v>
      </c>
      <c r="P333" s="12" t="n"/>
      <c r="Q333" s="12" t="n"/>
      <c r="R333" s="12" t="n"/>
      <c r="S333" s="12" t="inlineStr">
        <is>
          <t>Tray</t>
        </is>
      </c>
      <c r="T333" s="16" t="n">
        <v>38</v>
      </c>
      <c r="U333" s="16" t="n">
        <v>86</v>
      </c>
      <c r="V333" s="16">
        <f>ROUNDUP((T333+U333+2*'Read Me'!$B$13)*(1+'Read Me'!$B$12),-1)</f>
        <v/>
      </c>
      <c r="W333" s="16">
        <f>V333*N333*O333</f>
        <v/>
      </c>
      <c r="X333" s="12">
        <f>IF(LEFT(I333,2)="MV",2*N333*IF(L333="1/C",O333,1),0)</f>
        <v/>
      </c>
      <c r="Y333" s="12">
        <f>IF(OR(LEFT(K333,4)="LVAX",LEFT(K333,6)="MV15AX",LEFT(K333,4)="CTAX",LEFT(K333,2)="W|"),2*N333*O333,0)</f>
        <v/>
      </c>
      <c r="Z333" s="12" t="inlineStr"/>
      <c r="AA333" s="12">
        <f>N333*O333</f>
        <v/>
      </c>
    </row>
    <row r="334">
      <c r="A334" s="12" t="inlineStr">
        <is>
          <t>A-C-0322</t>
        </is>
      </c>
      <c r="B334" s="12" t="inlineStr">
        <is>
          <t>A</t>
        </is>
      </c>
      <c r="C334" s="12" t="inlineStr">
        <is>
          <t>Power block</t>
        </is>
      </c>
      <c r="D334" s="12" t="inlineStr">
        <is>
          <t>Motor 1 of 6: control / local station</t>
        </is>
      </c>
      <c r="E334" s="12" t="inlineStr">
        <is>
          <t>R2A</t>
        </is>
      </c>
      <c r="F334" s="12" t="inlineStr">
        <is>
          <t>R2A: unit / HRSG electrical e-house (32 x 40 ft)</t>
        </is>
      </c>
      <c r="G334" s="12" t="inlineStr"/>
      <c r="H334" s="12" t="inlineStr">
        <is>
          <t>HRSG 1 chemical feed skid (phosphate / amine)</t>
        </is>
      </c>
      <c r="I334" s="12" t="inlineStr">
        <is>
          <t>Control</t>
        </is>
      </c>
      <c r="J334" s="12" t="inlineStr">
        <is>
          <t>Control cable 600 V Type TC-ER, Cu #14 AWG, PVC jacket</t>
        </is>
      </c>
      <c r="K334" s="12" t="inlineStr">
        <is>
          <t>CT|7/C|14</t>
        </is>
      </c>
      <c r="L334" s="12" t="inlineStr">
        <is>
          <t>7/C</t>
        </is>
      </c>
      <c r="M334" s="12" t="inlineStr">
        <is>
          <t>14</t>
        </is>
      </c>
      <c r="N334" s="12" t="n">
        <v>1</v>
      </c>
      <c r="O334" s="12" t="n">
        <v>1</v>
      </c>
      <c r="P334" s="12" t="n"/>
      <c r="Q334" s="12" t="n"/>
      <c r="R334" s="12" t="n"/>
      <c r="S334" s="12" t="inlineStr">
        <is>
          <t>Tray</t>
        </is>
      </c>
      <c r="T334" s="16" t="n">
        <v>404</v>
      </c>
      <c r="U334" s="16" t="n">
        <v>108</v>
      </c>
      <c r="V334" s="16">
        <f>ROUNDUP((T334+U334+2*'Read Me'!$B$13)*(1+'Read Me'!$B$12),-1)</f>
        <v/>
      </c>
      <c r="W334" s="16">
        <f>V334*N334*O334</f>
        <v/>
      </c>
      <c r="X334" s="12">
        <f>IF(LEFT(I334,2)="MV",2*N334*IF(L334="1/C",O334,1),0)</f>
        <v/>
      </c>
      <c r="Y334" s="12">
        <f>IF(OR(LEFT(K334,4)="LVAX",LEFT(K334,6)="MV15AX",LEFT(K334,4)="CTAX",LEFT(K334,2)="W|"),2*N334*O334,0)</f>
        <v/>
      </c>
      <c r="Z334" s="12" t="inlineStr"/>
      <c r="AA334" s="12">
        <f>N334*O334</f>
        <v/>
      </c>
    </row>
    <row r="335">
      <c r="A335" s="12" t="inlineStr">
        <is>
          <t>A-C-0323</t>
        </is>
      </c>
      <c r="B335" s="12" t="inlineStr">
        <is>
          <t>A</t>
        </is>
      </c>
      <c r="C335" s="12" t="inlineStr">
        <is>
          <t>Power block</t>
        </is>
      </c>
      <c r="D335" s="12" t="inlineStr">
        <is>
          <t>Motor 2 of 6: control / local station</t>
        </is>
      </c>
      <c r="E335" s="12" t="inlineStr">
        <is>
          <t>R2A</t>
        </is>
      </c>
      <c r="F335" s="12" t="inlineStr">
        <is>
          <t>R2A: unit / HRSG electrical e-house (32 x 40 ft)</t>
        </is>
      </c>
      <c r="G335" s="12" t="inlineStr"/>
      <c r="H335" s="12" t="inlineStr">
        <is>
          <t>HRSG 1 chemical feed skid (phosphate / amine)</t>
        </is>
      </c>
      <c r="I335" s="12" t="inlineStr">
        <is>
          <t>Control</t>
        </is>
      </c>
      <c r="J335" s="12" t="inlineStr">
        <is>
          <t>Control cable 600 V Type TC-ER, Cu #14 AWG, PVC jacket</t>
        </is>
      </c>
      <c r="K335" s="12" t="inlineStr">
        <is>
          <t>CT|7/C|14</t>
        </is>
      </c>
      <c r="L335" s="12" t="inlineStr">
        <is>
          <t>7/C</t>
        </is>
      </c>
      <c r="M335" s="12" t="inlineStr">
        <is>
          <t>14</t>
        </is>
      </c>
      <c r="N335" s="12" t="n">
        <v>1</v>
      </c>
      <c r="O335" s="12" t="n">
        <v>1</v>
      </c>
      <c r="P335" s="12" t="n"/>
      <c r="Q335" s="12" t="n"/>
      <c r="R335" s="12" t="n"/>
      <c r="S335" s="12" t="inlineStr">
        <is>
          <t>Tray</t>
        </is>
      </c>
      <c r="T335" s="16" t="n">
        <v>404</v>
      </c>
      <c r="U335" s="16" t="n">
        <v>108</v>
      </c>
      <c r="V335" s="16">
        <f>ROUNDUP((T335+U335+2*'Read Me'!$B$13)*(1+'Read Me'!$B$12),-1)</f>
        <v/>
      </c>
      <c r="W335" s="16">
        <f>V335*N335*O335</f>
        <v/>
      </c>
      <c r="X335" s="12">
        <f>IF(LEFT(I335,2)="MV",2*N335*IF(L335="1/C",O335,1),0)</f>
        <v/>
      </c>
      <c r="Y335" s="12">
        <f>IF(OR(LEFT(K335,4)="LVAX",LEFT(K335,6)="MV15AX",LEFT(K335,4)="CTAX",LEFT(K335,2)="W|"),2*N335*O335,0)</f>
        <v/>
      </c>
      <c r="Z335" s="12" t="inlineStr"/>
      <c r="AA335" s="12">
        <f>N335*O335</f>
        <v/>
      </c>
    </row>
    <row r="336">
      <c r="A336" s="12" t="inlineStr">
        <is>
          <t>A-C-0324</t>
        </is>
      </c>
      <c r="B336" s="12" t="inlineStr">
        <is>
          <t>A</t>
        </is>
      </c>
      <c r="C336" s="12" t="inlineStr">
        <is>
          <t>Power block</t>
        </is>
      </c>
      <c r="D336" s="12" t="inlineStr">
        <is>
          <t>Motor 3 of 6: control / local station</t>
        </is>
      </c>
      <c r="E336" s="12" t="inlineStr">
        <is>
          <t>R2A</t>
        </is>
      </c>
      <c r="F336" s="12" t="inlineStr">
        <is>
          <t>R2A: unit / HRSG electrical e-house (32 x 40 ft)</t>
        </is>
      </c>
      <c r="G336" s="12" t="inlineStr"/>
      <c r="H336" s="12" t="inlineStr">
        <is>
          <t>HRSG 1 chemical feed skid (phosphate / amine)</t>
        </is>
      </c>
      <c r="I336" s="12" t="inlineStr">
        <is>
          <t>Control</t>
        </is>
      </c>
      <c r="J336" s="12" t="inlineStr">
        <is>
          <t>Control cable 600 V Type TC-ER, Cu #14 AWG, PVC jacket</t>
        </is>
      </c>
      <c r="K336" s="12" t="inlineStr">
        <is>
          <t>CT|7/C|14</t>
        </is>
      </c>
      <c r="L336" s="12" t="inlineStr">
        <is>
          <t>7/C</t>
        </is>
      </c>
      <c r="M336" s="12" t="inlineStr">
        <is>
          <t>14</t>
        </is>
      </c>
      <c r="N336" s="12" t="n">
        <v>1</v>
      </c>
      <c r="O336" s="12" t="n">
        <v>1</v>
      </c>
      <c r="P336" s="12" t="n"/>
      <c r="Q336" s="12" t="n"/>
      <c r="R336" s="12" t="n"/>
      <c r="S336" s="12" t="inlineStr">
        <is>
          <t>Tray</t>
        </is>
      </c>
      <c r="T336" s="16" t="n">
        <v>404</v>
      </c>
      <c r="U336" s="16" t="n">
        <v>108</v>
      </c>
      <c r="V336" s="16">
        <f>ROUNDUP((T336+U336+2*'Read Me'!$B$13)*(1+'Read Me'!$B$12),-1)</f>
        <v/>
      </c>
      <c r="W336" s="16">
        <f>V336*N336*O336</f>
        <v/>
      </c>
      <c r="X336" s="12">
        <f>IF(LEFT(I336,2)="MV",2*N336*IF(L336="1/C",O336,1),0)</f>
        <v/>
      </c>
      <c r="Y336" s="12">
        <f>IF(OR(LEFT(K336,4)="LVAX",LEFT(K336,6)="MV15AX",LEFT(K336,4)="CTAX",LEFT(K336,2)="W|"),2*N336*O336,0)</f>
        <v/>
      </c>
      <c r="Z336" s="12" t="inlineStr"/>
      <c r="AA336" s="12">
        <f>N336*O336</f>
        <v/>
      </c>
    </row>
    <row r="337">
      <c r="A337" s="12" t="inlineStr">
        <is>
          <t>A-C-0325</t>
        </is>
      </c>
      <c r="B337" s="12" t="inlineStr">
        <is>
          <t>A</t>
        </is>
      </c>
      <c r="C337" s="12" t="inlineStr">
        <is>
          <t>Power block</t>
        </is>
      </c>
      <c r="D337" s="12" t="inlineStr">
        <is>
          <t>Motor 4 of 6: control / local station</t>
        </is>
      </c>
      <c r="E337" s="12" t="inlineStr">
        <is>
          <t>R2A</t>
        </is>
      </c>
      <c r="F337" s="12" t="inlineStr">
        <is>
          <t>R2A: unit / HRSG electrical e-house (32 x 40 ft)</t>
        </is>
      </c>
      <c r="G337" s="12" t="inlineStr"/>
      <c r="H337" s="12" t="inlineStr">
        <is>
          <t>HRSG 1 chemical feed skid (phosphate / amine)</t>
        </is>
      </c>
      <c r="I337" s="12" t="inlineStr">
        <is>
          <t>Control</t>
        </is>
      </c>
      <c r="J337" s="12" t="inlineStr">
        <is>
          <t>Control cable 600 V Type TC-ER, Cu #14 AWG, PVC jacket</t>
        </is>
      </c>
      <c r="K337" s="12" t="inlineStr">
        <is>
          <t>CT|7/C|14</t>
        </is>
      </c>
      <c r="L337" s="12" t="inlineStr">
        <is>
          <t>7/C</t>
        </is>
      </c>
      <c r="M337" s="12" t="inlineStr">
        <is>
          <t>14</t>
        </is>
      </c>
      <c r="N337" s="12" t="n">
        <v>1</v>
      </c>
      <c r="O337" s="12" t="n">
        <v>1</v>
      </c>
      <c r="P337" s="12" t="n"/>
      <c r="Q337" s="12" t="n"/>
      <c r="R337" s="12" t="n"/>
      <c r="S337" s="12" t="inlineStr">
        <is>
          <t>Tray</t>
        </is>
      </c>
      <c r="T337" s="16" t="n">
        <v>404</v>
      </c>
      <c r="U337" s="16" t="n">
        <v>108</v>
      </c>
      <c r="V337" s="16">
        <f>ROUNDUP((T337+U337+2*'Read Me'!$B$13)*(1+'Read Me'!$B$12),-1)</f>
        <v/>
      </c>
      <c r="W337" s="16">
        <f>V337*N337*O337</f>
        <v/>
      </c>
      <c r="X337" s="12">
        <f>IF(LEFT(I337,2)="MV",2*N337*IF(L337="1/C",O337,1),0)</f>
        <v/>
      </c>
      <c r="Y337" s="12">
        <f>IF(OR(LEFT(K337,4)="LVAX",LEFT(K337,6)="MV15AX",LEFT(K337,4)="CTAX",LEFT(K337,2)="W|"),2*N337*O337,0)</f>
        <v/>
      </c>
      <c r="Z337" s="12" t="inlineStr"/>
      <c r="AA337" s="12">
        <f>N337*O337</f>
        <v/>
      </c>
    </row>
    <row r="338">
      <c r="A338" s="12" t="inlineStr">
        <is>
          <t>A-C-0326</t>
        </is>
      </c>
      <c r="B338" s="12" t="inlineStr">
        <is>
          <t>A</t>
        </is>
      </c>
      <c r="C338" s="12" t="inlineStr">
        <is>
          <t>Power block</t>
        </is>
      </c>
      <c r="D338" s="12" t="inlineStr">
        <is>
          <t>Motor 5 of 6: control / local station</t>
        </is>
      </c>
      <c r="E338" s="12" t="inlineStr">
        <is>
          <t>R2A</t>
        </is>
      </c>
      <c r="F338" s="12" t="inlineStr">
        <is>
          <t>R2A: unit / HRSG electrical e-house (32 x 40 ft)</t>
        </is>
      </c>
      <c r="G338" s="12" t="inlineStr"/>
      <c r="H338" s="12" t="inlineStr">
        <is>
          <t>HRSG 1 chemical feed skid (phosphate / amine)</t>
        </is>
      </c>
      <c r="I338" s="12" t="inlineStr">
        <is>
          <t>Control</t>
        </is>
      </c>
      <c r="J338" s="12" t="inlineStr">
        <is>
          <t>Control cable 600 V Type TC-ER, Cu #14 AWG, PVC jacket</t>
        </is>
      </c>
      <c r="K338" s="12" t="inlineStr">
        <is>
          <t>CT|7/C|14</t>
        </is>
      </c>
      <c r="L338" s="12" t="inlineStr">
        <is>
          <t>7/C</t>
        </is>
      </c>
      <c r="M338" s="12" t="inlineStr">
        <is>
          <t>14</t>
        </is>
      </c>
      <c r="N338" s="12" t="n">
        <v>1</v>
      </c>
      <c r="O338" s="12" t="n">
        <v>1</v>
      </c>
      <c r="P338" s="12" t="n"/>
      <c r="Q338" s="12" t="n"/>
      <c r="R338" s="12" t="n"/>
      <c r="S338" s="12" t="inlineStr">
        <is>
          <t>Tray</t>
        </is>
      </c>
      <c r="T338" s="16" t="n">
        <v>404</v>
      </c>
      <c r="U338" s="16" t="n">
        <v>108</v>
      </c>
      <c r="V338" s="16">
        <f>ROUNDUP((T338+U338+2*'Read Me'!$B$13)*(1+'Read Me'!$B$12),-1)</f>
        <v/>
      </c>
      <c r="W338" s="16">
        <f>V338*N338*O338</f>
        <v/>
      </c>
      <c r="X338" s="12">
        <f>IF(LEFT(I338,2)="MV",2*N338*IF(L338="1/C",O338,1),0)</f>
        <v/>
      </c>
      <c r="Y338" s="12">
        <f>IF(OR(LEFT(K338,4)="LVAX",LEFT(K338,6)="MV15AX",LEFT(K338,4)="CTAX",LEFT(K338,2)="W|"),2*N338*O338,0)</f>
        <v/>
      </c>
      <c r="Z338" s="12" t="inlineStr"/>
      <c r="AA338" s="12">
        <f>N338*O338</f>
        <v/>
      </c>
    </row>
    <row r="339">
      <c r="A339" s="12" t="inlineStr">
        <is>
          <t>A-C-0327</t>
        </is>
      </c>
      <c r="B339" s="12" t="inlineStr">
        <is>
          <t>A</t>
        </is>
      </c>
      <c r="C339" s="12" t="inlineStr">
        <is>
          <t>Power block</t>
        </is>
      </c>
      <c r="D339" s="12" t="inlineStr">
        <is>
          <t>Motor 6 of 6: control / local station</t>
        </is>
      </c>
      <c r="E339" s="12" t="inlineStr">
        <is>
          <t>R2A</t>
        </is>
      </c>
      <c r="F339" s="12" t="inlineStr">
        <is>
          <t>R2A: unit / HRSG electrical e-house (32 x 40 ft)</t>
        </is>
      </c>
      <c r="G339" s="12" t="inlineStr"/>
      <c r="H339" s="12" t="inlineStr">
        <is>
          <t>HRSG 1 chemical feed skid (phosphate / amine)</t>
        </is>
      </c>
      <c r="I339" s="12" t="inlineStr">
        <is>
          <t>Control</t>
        </is>
      </c>
      <c r="J339" s="12" t="inlineStr">
        <is>
          <t>Control cable 600 V Type TC-ER, Cu #14 AWG, PVC jacket</t>
        </is>
      </c>
      <c r="K339" s="12" t="inlineStr">
        <is>
          <t>CT|7/C|14</t>
        </is>
      </c>
      <c r="L339" s="12" t="inlineStr">
        <is>
          <t>7/C</t>
        </is>
      </c>
      <c r="M339" s="12" t="inlineStr">
        <is>
          <t>14</t>
        </is>
      </c>
      <c r="N339" s="12" t="n">
        <v>1</v>
      </c>
      <c r="O339" s="12" t="n">
        <v>1</v>
      </c>
      <c r="P339" s="12" t="n"/>
      <c r="Q339" s="12" t="n"/>
      <c r="R339" s="12" t="n"/>
      <c r="S339" s="12" t="inlineStr">
        <is>
          <t>Tray</t>
        </is>
      </c>
      <c r="T339" s="16" t="n">
        <v>404</v>
      </c>
      <c r="U339" s="16" t="n">
        <v>108</v>
      </c>
      <c r="V339" s="16">
        <f>ROUNDUP((T339+U339+2*'Read Me'!$B$13)*(1+'Read Me'!$B$12),-1)</f>
        <v/>
      </c>
      <c r="W339" s="16">
        <f>V339*N339*O339</f>
        <v/>
      </c>
      <c r="X339" s="12">
        <f>IF(LEFT(I339,2)="MV",2*N339*IF(L339="1/C",O339,1),0)</f>
        <v/>
      </c>
      <c r="Y339" s="12">
        <f>IF(OR(LEFT(K339,4)="LVAX",LEFT(K339,6)="MV15AX",LEFT(K339,4)="CTAX",LEFT(K339,2)="W|"),2*N339*O339,0)</f>
        <v/>
      </c>
      <c r="Z339" s="12" t="inlineStr"/>
      <c r="AA339" s="12">
        <f>N339*O339</f>
        <v/>
      </c>
    </row>
    <row r="340">
      <c r="A340" s="12" t="inlineStr">
        <is>
          <t>A-C-0328</t>
        </is>
      </c>
      <c r="B340" s="12" t="inlineStr">
        <is>
          <t>A</t>
        </is>
      </c>
      <c r="C340" s="12" t="inlineStr">
        <is>
          <t>Power block</t>
        </is>
      </c>
      <c r="D340" s="12" t="inlineStr">
        <is>
          <t>Motor 1 of 4: control / local station</t>
        </is>
      </c>
      <c r="E340" s="12" t="inlineStr">
        <is>
          <t>R2B</t>
        </is>
      </c>
      <c r="F340" s="12" t="inlineStr">
        <is>
          <t>R2B: unit / HRSG electrical e-house (32 x 40 ft)</t>
        </is>
      </c>
      <c r="G340" s="12" t="inlineStr">
        <is>
          <t>HRSG-2</t>
        </is>
      </c>
      <c r="H340" s="12" t="inlineStr">
        <is>
          <t>HRSG 2 + SCR (3P reheat, horizontal)</t>
        </is>
      </c>
      <c r="I340" s="12" t="inlineStr">
        <is>
          <t>Control</t>
        </is>
      </c>
      <c r="J340" s="12" t="inlineStr">
        <is>
          <t>Control cable 600 V Type TC-ER, Cu #14 AWG, PVC jacket</t>
        </is>
      </c>
      <c r="K340" s="12" t="inlineStr">
        <is>
          <t>CT|7/C|14</t>
        </is>
      </c>
      <c r="L340" s="12" t="inlineStr">
        <is>
          <t>7/C</t>
        </is>
      </c>
      <c r="M340" s="12" t="inlineStr">
        <is>
          <t>14</t>
        </is>
      </c>
      <c r="N340" s="12" t="n">
        <v>1</v>
      </c>
      <c r="O340" s="12" t="n">
        <v>1</v>
      </c>
      <c r="P340" s="12" t="n"/>
      <c r="Q340" s="12" t="n"/>
      <c r="R340" s="12" t="n"/>
      <c r="S340" s="12" t="inlineStr">
        <is>
          <t>Tray</t>
        </is>
      </c>
      <c r="T340" s="16" t="n">
        <v>53</v>
      </c>
      <c r="U340" s="16" t="n">
        <v>96</v>
      </c>
      <c r="V340" s="16">
        <f>ROUNDUP((T340+U340+2*'Read Me'!$B$13)*(1+'Read Me'!$B$12),-1)</f>
        <v/>
      </c>
      <c r="W340" s="16">
        <f>V340*N340*O340</f>
        <v/>
      </c>
      <c r="X340" s="12">
        <f>IF(LEFT(I340,2)="MV",2*N340*IF(L340="1/C",O340,1),0)</f>
        <v/>
      </c>
      <c r="Y340" s="12">
        <f>IF(OR(LEFT(K340,4)="LVAX",LEFT(K340,6)="MV15AX",LEFT(K340,4)="CTAX",LEFT(K340,2)="W|"),2*N340*O340,0)</f>
        <v/>
      </c>
      <c r="Z340" s="12" t="inlineStr"/>
      <c r="AA340" s="12">
        <f>N340*O340</f>
        <v/>
      </c>
    </row>
    <row r="341">
      <c r="A341" s="12" t="inlineStr">
        <is>
          <t>A-C-0329</t>
        </is>
      </c>
      <c r="B341" s="12" t="inlineStr">
        <is>
          <t>A</t>
        </is>
      </c>
      <c r="C341" s="12" t="inlineStr">
        <is>
          <t>Power block</t>
        </is>
      </c>
      <c r="D341" s="12" t="inlineStr">
        <is>
          <t>Motor 2 of 4: control / local station</t>
        </is>
      </c>
      <c r="E341" s="12" t="inlineStr">
        <is>
          <t>R2B</t>
        </is>
      </c>
      <c r="F341" s="12" t="inlineStr">
        <is>
          <t>R2B: unit / HRSG electrical e-house (32 x 40 ft)</t>
        </is>
      </c>
      <c r="G341" s="12" t="inlineStr">
        <is>
          <t>HRSG-2</t>
        </is>
      </c>
      <c r="H341" s="12" t="inlineStr">
        <is>
          <t>HRSG 2 + SCR (3P reheat, horizontal)</t>
        </is>
      </c>
      <c r="I341" s="12" t="inlineStr">
        <is>
          <t>Control</t>
        </is>
      </c>
      <c r="J341" s="12" t="inlineStr">
        <is>
          <t>Control cable 600 V Type TC-ER, Cu #14 AWG, PVC jacket</t>
        </is>
      </c>
      <c r="K341" s="12" t="inlineStr">
        <is>
          <t>CT|7/C|14</t>
        </is>
      </c>
      <c r="L341" s="12" t="inlineStr">
        <is>
          <t>7/C</t>
        </is>
      </c>
      <c r="M341" s="12" t="inlineStr">
        <is>
          <t>14</t>
        </is>
      </c>
      <c r="N341" s="12" t="n">
        <v>1</v>
      </c>
      <c r="O341" s="12" t="n">
        <v>1</v>
      </c>
      <c r="P341" s="12" t="n"/>
      <c r="Q341" s="12" t="n"/>
      <c r="R341" s="12" t="n"/>
      <c r="S341" s="12" t="inlineStr">
        <is>
          <t>Tray</t>
        </is>
      </c>
      <c r="T341" s="16" t="n">
        <v>53</v>
      </c>
      <c r="U341" s="16" t="n">
        <v>96</v>
      </c>
      <c r="V341" s="16">
        <f>ROUNDUP((T341+U341+2*'Read Me'!$B$13)*(1+'Read Me'!$B$12),-1)</f>
        <v/>
      </c>
      <c r="W341" s="16">
        <f>V341*N341*O341</f>
        <v/>
      </c>
      <c r="X341" s="12">
        <f>IF(LEFT(I341,2)="MV",2*N341*IF(L341="1/C",O341,1),0)</f>
        <v/>
      </c>
      <c r="Y341" s="12">
        <f>IF(OR(LEFT(K341,4)="LVAX",LEFT(K341,6)="MV15AX",LEFT(K341,4)="CTAX",LEFT(K341,2)="W|"),2*N341*O341,0)</f>
        <v/>
      </c>
      <c r="Z341" s="12" t="inlineStr"/>
      <c r="AA341" s="12">
        <f>N341*O341</f>
        <v/>
      </c>
    </row>
    <row r="342">
      <c r="A342" s="12" t="inlineStr">
        <is>
          <t>A-C-0330</t>
        </is>
      </c>
      <c r="B342" s="12" t="inlineStr">
        <is>
          <t>A</t>
        </is>
      </c>
      <c r="C342" s="12" t="inlineStr">
        <is>
          <t>Power block</t>
        </is>
      </c>
      <c r="D342" s="12" t="inlineStr">
        <is>
          <t>Motor 3 of 4: control / local station</t>
        </is>
      </c>
      <c r="E342" s="12" t="inlineStr">
        <is>
          <t>R2B</t>
        </is>
      </c>
      <c r="F342" s="12" t="inlineStr">
        <is>
          <t>R2B: unit / HRSG electrical e-house (32 x 40 ft)</t>
        </is>
      </c>
      <c r="G342" s="12" t="inlineStr">
        <is>
          <t>HRSG-2</t>
        </is>
      </c>
      <c r="H342" s="12" t="inlineStr">
        <is>
          <t>HRSG 2 + SCR (3P reheat, horizontal)</t>
        </is>
      </c>
      <c r="I342" s="12" t="inlineStr">
        <is>
          <t>Control</t>
        </is>
      </c>
      <c r="J342" s="12" t="inlineStr">
        <is>
          <t>Control cable 600 V Type TC-ER, Cu #14 AWG, PVC jacket</t>
        </is>
      </c>
      <c r="K342" s="12" t="inlineStr">
        <is>
          <t>CT|7/C|14</t>
        </is>
      </c>
      <c r="L342" s="12" t="inlineStr">
        <is>
          <t>7/C</t>
        </is>
      </c>
      <c r="M342" s="12" t="inlineStr">
        <is>
          <t>14</t>
        </is>
      </c>
      <c r="N342" s="12" t="n">
        <v>1</v>
      </c>
      <c r="O342" s="12" t="n">
        <v>1</v>
      </c>
      <c r="P342" s="12" t="n"/>
      <c r="Q342" s="12" t="n"/>
      <c r="R342" s="12" t="n"/>
      <c r="S342" s="12" t="inlineStr">
        <is>
          <t>Tray</t>
        </is>
      </c>
      <c r="T342" s="16" t="n">
        <v>53</v>
      </c>
      <c r="U342" s="16" t="n">
        <v>96</v>
      </c>
      <c r="V342" s="16">
        <f>ROUNDUP((T342+U342+2*'Read Me'!$B$13)*(1+'Read Me'!$B$12),-1)</f>
        <v/>
      </c>
      <c r="W342" s="16">
        <f>V342*N342*O342</f>
        <v/>
      </c>
      <c r="X342" s="12">
        <f>IF(LEFT(I342,2)="MV",2*N342*IF(L342="1/C",O342,1),0)</f>
        <v/>
      </c>
      <c r="Y342" s="12">
        <f>IF(OR(LEFT(K342,4)="LVAX",LEFT(K342,6)="MV15AX",LEFT(K342,4)="CTAX",LEFT(K342,2)="W|"),2*N342*O342,0)</f>
        <v/>
      </c>
      <c r="Z342" s="12" t="inlineStr"/>
      <c r="AA342" s="12">
        <f>N342*O342</f>
        <v/>
      </c>
    </row>
    <row r="343">
      <c r="A343" s="12" t="inlineStr">
        <is>
          <t>A-C-0331</t>
        </is>
      </c>
      <c r="B343" s="12" t="inlineStr">
        <is>
          <t>A</t>
        </is>
      </c>
      <c r="C343" s="12" t="inlineStr">
        <is>
          <t>Power block</t>
        </is>
      </c>
      <c r="D343" s="12" t="inlineStr">
        <is>
          <t>Motor 4 of 4: control / local station</t>
        </is>
      </c>
      <c r="E343" s="12" t="inlineStr">
        <is>
          <t>R2B</t>
        </is>
      </c>
      <c r="F343" s="12" t="inlineStr">
        <is>
          <t>R2B: unit / HRSG electrical e-house (32 x 40 ft)</t>
        </is>
      </c>
      <c r="G343" s="12" t="inlineStr">
        <is>
          <t>HRSG-2</t>
        </is>
      </c>
      <c r="H343" s="12" t="inlineStr">
        <is>
          <t>HRSG 2 + SCR (3P reheat, horizontal)</t>
        </is>
      </c>
      <c r="I343" s="12" t="inlineStr">
        <is>
          <t>Control</t>
        </is>
      </c>
      <c r="J343" s="12" t="inlineStr">
        <is>
          <t>Control cable 600 V Type TC-ER, Cu #14 AWG, PVC jacket</t>
        </is>
      </c>
      <c r="K343" s="12" t="inlineStr">
        <is>
          <t>CT|7/C|14</t>
        </is>
      </c>
      <c r="L343" s="12" t="inlineStr">
        <is>
          <t>7/C</t>
        </is>
      </c>
      <c r="M343" s="12" t="inlineStr">
        <is>
          <t>14</t>
        </is>
      </c>
      <c r="N343" s="12" t="n">
        <v>1</v>
      </c>
      <c r="O343" s="12" t="n">
        <v>1</v>
      </c>
      <c r="P343" s="12" t="n"/>
      <c r="Q343" s="12" t="n"/>
      <c r="R343" s="12" t="n"/>
      <c r="S343" s="12" t="inlineStr">
        <is>
          <t>Tray</t>
        </is>
      </c>
      <c r="T343" s="16" t="n">
        <v>53</v>
      </c>
      <c r="U343" s="16" t="n">
        <v>96</v>
      </c>
      <c r="V343" s="16">
        <f>ROUNDUP((T343+U343+2*'Read Me'!$B$13)*(1+'Read Me'!$B$12),-1)</f>
        <v/>
      </c>
      <c r="W343" s="16">
        <f>V343*N343*O343</f>
        <v/>
      </c>
      <c r="X343" s="12">
        <f>IF(LEFT(I343,2)="MV",2*N343*IF(L343="1/C",O343,1),0)</f>
        <v/>
      </c>
      <c r="Y343" s="12">
        <f>IF(OR(LEFT(K343,4)="LVAX",LEFT(K343,6)="MV15AX",LEFT(K343,4)="CTAX",LEFT(K343,2)="W|"),2*N343*O343,0)</f>
        <v/>
      </c>
      <c r="Z343" s="12" t="inlineStr"/>
      <c r="AA343" s="12">
        <f>N343*O343</f>
        <v/>
      </c>
    </row>
    <row r="344">
      <c r="A344" s="12" t="inlineStr">
        <is>
          <t>A-C-0332</t>
        </is>
      </c>
      <c r="B344" s="12" t="inlineStr">
        <is>
          <t>A</t>
        </is>
      </c>
      <c r="C344" s="12" t="inlineStr">
        <is>
          <t>Power block</t>
        </is>
      </c>
      <c r="D344" s="12" t="inlineStr">
        <is>
          <t>MOV 1: control</t>
        </is>
      </c>
      <c r="E344" s="12" t="inlineStr">
        <is>
          <t>R2B</t>
        </is>
      </c>
      <c r="F344" s="12" t="inlineStr">
        <is>
          <t>R2B: unit / HRSG electrical e-house (32 x 40 ft)</t>
        </is>
      </c>
      <c r="G344" s="12" t="inlineStr">
        <is>
          <t>HRSG-2</t>
        </is>
      </c>
      <c r="H344" s="12" t="inlineStr">
        <is>
          <t>HRSG 2 + SCR (3P reheat, horizontal)</t>
        </is>
      </c>
      <c r="I344" s="12" t="inlineStr">
        <is>
          <t>Control</t>
        </is>
      </c>
      <c r="J344" s="12" t="inlineStr">
        <is>
          <t>Control cable 600 V Type TC-ER, Cu #14 AWG, PVC jacket</t>
        </is>
      </c>
      <c r="K344" s="12" t="inlineStr">
        <is>
          <t>CT|12/C|14</t>
        </is>
      </c>
      <c r="L344" s="12" t="inlineStr">
        <is>
          <t>12/C</t>
        </is>
      </c>
      <c r="M344" s="12" t="inlineStr">
        <is>
          <t>14</t>
        </is>
      </c>
      <c r="N344" s="12" t="n">
        <v>1</v>
      </c>
      <c r="O344" s="12" t="n">
        <v>1</v>
      </c>
      <c r="P344" s="12" t="n"/>
      <c r="Q344" s="12" t="n"/>
      <c r="R344" s="12" t="n"/>
      <c r="S344" s="12" t="inlineStr">
        <is>
          <t>Tray</t>
        </is>
      </c>
      <c r="T344" s="16" t="n">
        <v>53</v>
      </c>
      <c r="U344" s="16" t="n">
        <v>96</v>
      </c>
      <c r="V344" s="16">
        <f>ROUNDUP((T344+U344+2*'Read Me'!$B$13)*(1+'Read Me'!$B$12),-1)</f>
        <v/>
      </c>
      <c r="W344" s="16">
        <f>V344*N344*O344</f>
        <v/>
      </c>
      <c r="X344" s="12">
        <f>IF(LEFT(I344,2)="MV",2*N344*IF(L344="1/C",O344,1),0)</f>
        <v/>
      </c>
      <c r="Y344" s="12">
        <f>IF(OR(LEFT(K344,4)="LVAX",LEFT(K344,6)="MV15AX",LEFT(K344,4)="CTAX",LEFT(K344,2)="W|"),2*N344*O344,0)</f>
        <v/>
      </c>
      <c r="Z344" s="12" t="inlineStr"/>
      <c r="AA344" s="12">
        <f>N344*O344</f>
        <v/>
      </c>
    </row>
    <row r="345">
      <c r="A345" s="12" t="inlineStr">
        <is>
          <t>A-C-0333</t>
        </is>
      </c>
      <c r="B345" s="12" t="inlineStr">
        <is>
          <t>A</t>
        </is>
      </c>
      <c r="C345" s="12" t="inlineStr">
        <is>
          <t>Power block</t>
        </is>
      </c>
      <c r="D345" s="12" t="inlineStr">
        <is>
          <t>MOV 2: control</t>
        </is>
      </c>
      <c r="E345" s="12" t="inlineStr">
        <is>
          <t>R2B</t>
        </is>
      </c>
      <c r="F345" s="12" t="inlineStr">
        <is>
          <t>R2B: unit / HRSG electrical e-house (32 x 40 ft)</t>
        </is>
      </c>
      <c r="G345" s="12" t="inlineStr">
        <is>
          <t>HRSG-2</t>
        </is>
      </c>
      <c r="H345" s="12" t="inlineStr">
        <is>
          <t>HRSG 2 + SCR (3P reheat, horizontal)</t>
        </is>
      </c>
      <c r="I345" s="12" t="inlineStr">
        <is>
          <t>Control</t>
        </is>
      </c>
      <c r="J345" s="12" t="inlineStr">
        <is>
          <t>Control cable 600 V Type TC-ER, Cu #14 AWG, PVC jacket</t>
        </is>
      </c>
      <c r="K345" s="12" t="inlineStr">
        <is>
          <t>CT|12/C|14</t>
        </is>
      </c>
      <c r="L345" s="12" t="inlineStr">
        <is>
          <t>12/C</t>
        </is>
      </c>
      <c r="M345" s="12" t="inlineStr">
        <is>
          <t>14</t>
        </is>
      </c>
      <c r="N345" s="12" t="n">
        <v>1</v>
      </c>
      <c r="O345" s="12" t="n">
        <v>1</v>
      </c>
      <c r="P345" s="12" t="n"/>
      <c r="Q345" s="12" t="n"/>
      <c r="R345" s="12" t="n"/>
      <c r="S345" s="12" t="inlineStr">
        <is>
          <t>Tray</t>
        </is>
      </c>
      <c r="T345" s="16" t="n">
        <v>53</v>
      </c>
      <c r="U345" s="16" t="n">
        <v>96</v>
      </c>
      <c r="V345" s="16">
        <f>ROUNDUP((T345+U345+2*'Read Me'!$B$13)*(1+'Read Me'!$B$12),-1)</f>
        <v/>
      </c>
      <c r="W345" s="16">
        <f>V345*N345*O345</f>
        <v/>
      </c>
      <c r="X345" s="12">
        <f>IF(LEFT(I345,2)="MV",2*N345*IF(L345="1/C",O345,1),0)</f>
        <v/>
      </c>
      <c r="Y345" s="12">
        <f>IF(OR(LEFT(K345,4)="LVAX",LEFT(K345,6)="MV15AX",LEFT(K345,4)="CTAX",LEFT(K345,2)="W|"),2*N345*O345,0)</f>
        <v/>
      </c>
      <c r="Z345" s="12" t="inlineStr"/>
      <c r="AA345" s="12">
        <f>N345*O345</f>
        <v/>
      </c>
    </row>
    <row r="346">
      <c r="A346" s="12" t="inlineStr">
        <is>
          <t>A-C-0334</t>
        </is>
      </c>
      <c r="B346" s="12" t="inlineStr">
        <is>
          <t>A</t>
        </is>
      </c>
      <c r="C346" s="12" t="inlineStr">
        <is>
          <t>Power block</t>
        </is>
      </c>
      <c r="D346" s="12" t="inlineStr">
        <is>
          <t>MOV 3: control</t>
        </is>
      </c>
      <c r="E346" s="12" t="inlineStr">
        <is>
          <t>R2B</t>
        </is>
      </c>
      <c r="F346" s="12" t="inlineStr">
        <is>
          <t>R2B: unit / HRSG electrical e-house (32 x 40 ft)</t>
        </is>
      </c>
      <c r="G346" s="12" t="inlineStr">
        <is>
          <t>HRSG-2</t>
        </is>
      </c>
      <c r="H346" s="12" t="inlineStr">
        <is>
          <t>HRSG 2 + SCR (3P reheat, horizontal)</t>
        </is>
      </c>
      <c r="I346" s="12" t="inlineStr">
        <is>
          <t>Control</t>
        </is>
      </c>
      <c r="J346" s="12" t="inlineStr">
        <is>
          <t>Control cable 600 V Type TC-ER, Cu #14 AWG, PVC jacket</t>
        </is>
      </c>
      <c r="K346" s="12" t="inlineStr">
        <is>
          <t>CT|12/C|14</t>
        </is>
      </c>
      <c r="L346" s="12" t="inlineStr">
        <is>
          <t>12/C</t>
        </is>
      </c>
      <c r="M346" s="12" t="inlineStr">
        <is>
          <t>14</t>
        </is>
      </c>
      <c r="N346" s="12" t="n">
        <v>1</v>
      </c>
      <c r="O346" s="12" t="n">
        <v>1</v>
      </c>
      <c r="P346" s="12" t="n"/>
      <c r="Q346" s="12" t="n"/>
      <c r="R346" s="12" t="n"/>
      <c r="S346" s="12" t="inlineStr">
        <is>
          <t>Tray</t>
        </is>
      </c>
      <c r="T346" s="16" t="n">
        <v>53</v>
      </c>
      <c r="U346" s="16" t="n">
        <v>96</v>
      </c>
      <c r="V346" s="16">
        <f>ROUNDUP((T346+U346+2*'Read Me'!$B$13)*(1+'Read Me'!$B$12),-1)</f>
        <v/>
      </c>
      <c r="W346" s="16">
        <f>V346*N346*O346</f>
        <v/>
      </c>
      <c r="X346" s="12">
        <f>IF(LEFT(I346,2)="MV",2*N346*IF(L346="1/C",O346,1),0)</f>
        <v/>
      </c>
      <c r="Y346" s="12">
        <f>IF(OR(LEFT(K346,4)="LVAX",LEFT(K346,6)="MV15AX",LEFT(K346,4)="CTAX",LEFT(K346,2)="W|"),2*N346*O346,0)</f>
        <v/>
      </c>
      <c r="Z346" s="12" t="inlineStr"/>
      <c r="AA346" s="12">
        <f>N346*O346</f>
        <v/>
      </c>
    </row>
    <row r="347">
      <c r="A347" s="12" t="inlineStr">
        <is>
          <t>A-C-0335</t>
        </is>
      </c>
      <c r="B347" s="12" t="inlineStr">
        <is>
          <t>A</t>
        </is>
      </c>
      <c r="C347" s="12" t="inlineStr">
        <is>
          <t>Power block</t>
        </is>
      </c>
      <c r="D347" s="12" t="inlineStr">
        <is>
          <t>MOV 4: control</t>
        </is>
      </c>
      <c r="E347" s="12" t="inlineStr">
        <is>
          <t>R2B</t>
        </is>
      </c>
      <c r="F347" s="12" t="inlineStr">
        <is>
          <t>R2B: unit / HRSG electrical e-house (32 x 40 ft)</t>
        </is>
      </c>
      <c r="G347" s="12" t="inlineStr">
        <is>
          <t>HRSG-2</t>
        </is>
      </c>
      <c r="H347" s="12" t="inlineStr">
        <is>
          <t>HRSG 2 + SCR (3P reheat, horizontal)</t>
        </is>
      </c>
      <c r="I347" s="12" t="inlineStr">
        <is>
          <t>Control</t>
        </is>
      </c>
      <c r="J347" s="12" t="inlineStr">
        <is>
          <t>Control cable 600 V Type TC-ER, Cu #14 AWG, PVC jacket</t>
        </is>
      </c>
      <c r="K347" s="12" t="inlineStr">
        <is>
          <t>CT|12/C|14</t>
        </is>
      </c>
      <c r="L347" s="12" t="inlineStr">
        <is>
          <t>12/C</t>
        </is>
      </c>
      <c r="M347" s="12" t="inlineStr">
        <is>
          <t>14</t>
        </is>
      </c>
      <c r="N347" s="12" t="n">
        <v>1</v>
      </c>
      <c r="O347" s="12" t="n">
        <v>1</v>
      </c>
      <c r="P347" s="12" t="n"/>
      <c r="Q347" s="12" t="n"/>
      <c r="R347" s="12" t="n"/>
      <c r="S347" s="12" t="inlineStr">
        <is>
          <t>Tray</t>
        </is>
      </c>
      <c r="T347" s="16" t="n">
        <v>53</v>
      </c>
      <c r="U347" s="16" t="n">
        <v>96</v>
      </c>
      <c r="V347" s="16">
        <f>ROUNDUP((T347+U347+2*'Read Me'!$B$13)*(1+'Read Me'!$B$12),-1)</f>
        <v/>
      </c>
      <c r="W347" s="16">
        <f>V347*N347*O347</f>
        <v/>
      </c>
      <c r="X347" s="12">
        <f>IF(LEFT(I347,2)="MV",2*N347*IF(L347="1/C",O347,1),0)</f>
        <v/>
      </c>
      <c r="Y347" s="12">
        <f>IF(OR(LEFT(K347,4)="LVAX",LEFT(K347,6)="MV15AX",LEFT(K347,4)="CTAX",LEFT(K347,2)="W|"),2*N347*O347,0)</f>
        <v/>
      </c>
      <c r="Z347" s="12" t="inlineStr"/>
      <c r="AA347" s="12">
        <f>N347*O347</f>
        <v/>
      </c>
    </row>
    <row r="348">
      <c r="A348" s="12" t="inlineStr">
        <is>
          <t>A-C-0336</t>
        </is>
      </c>
      <c r="B348" s="12" t="inlineStr">
        <is>
          <t>A</t>
        </is>
      </c>
      <c r="C348" s="12" t="inlineStr">
        <is>
          <t>Power block</t>
        </is>
      </c>
      <c r="D348" s="12" t="inlineStr">
        <is>
          <t>MOV 5: control</t>
        </is>
      </c>
      <c r="E348" s="12" t="inlineStr">
        <is>
          <t>R2B</t>
        </is>
      </c>
      <c r="F348" s="12" t="inlineStr">
        <is>
          <t>R2B: unit / HRSG electrical e-house (32 x 40 ft)</t>
        </is>
      </c>
      <c r="G348" s="12" t="inlineStr">
        <is>
          <t>HRSG-2</t>
        </is>
      </c>
      <c r="H348" s="12" t="inlineStr">
        <is>
          <t>HRSG 2 + SCR (3P reheat, horizontal)</t>
        </is>
      </c>
      <c r="I348" s="12" t="inlineStr">
        <is>
          <t>Control</t>
        </is>
      </c>
      <c r="J348" s="12" t="inlineStr">
        <is>
          <t>Control cable 600 V Type TC-ER, Cu #14 AWG, PVC jacket</t>
        </is>
      </c>
      <c r="K348" s="12" t="inlineStr">
        <is>
          <t>CT|12/C|14</t>
        </is>
      </c>
      <c r="L348" s="12" t="inlineStr">
        <is>
          <t>12/C</t>
        </is>
      </c>
      <c r="M348" s="12" t="inlineStr">
        <is>
          <t>14</t>
        </is>
      </c>
      <c r="N348" s="12" t="n">
        <v>1</v>
      </c>
      <c r="O348" s="12" t="n">
        <v>1</v>
      </c>
      <c r="P348" s="12" t="n"/>
      <c r="Q348" s="12" t="n"/>
      <c r="R348" s="12" t="n"/>
      <c r="S348" s="12" t="inlineStr">
        <is>
          <t>Tray</t>
        </is>
      </c>
      <c r="T348" s="16" t="n">
        <v>53</v>
      </c>
      <c r="U348" s="16" t="n">
        <v>96</v>
      </c>
      <c r="V348" s="16">
        <f>ROUNDUP((T348+U348+2*'Read Me'!$B$13)*(1+'Read Me'!$B$12),-1)</f>
        <v/>
      </c>
      <c r="W348" s="16">
        <f>V348*N348*O348</f>
        <v/>
      </c>
      <c r="X348" s="12">
        <f>IF(LEFT(I348,2)="MV",2*N348*IF(L348="1/C",O348,1),0)</f>
        <v/>
      </c>
      <c r="Y348" s="12">
        <f>IF(OR(LEFT(K348,4)="LVAX",LEFT(K348,6)="MV15AX",LEFT(K348,4)="CTAX",LEFT(K348,2)="W|"),2*N348*O348,0)</f>
        <v/>
      </c>
      <c r="Z348" s="12" t="inlineStr"/>
      <c r="AA348" s="12">
        <f>N348*O348</f>
        <v/>
      </c>
    </row>
    <row r="349">
      <c r="A349" s="12" t="inlineStr">
        <is>
          <t>A-C-0337</t>
        </is>
      </c>
      <c r="B349" s="12" t="inlineStr">
        <is>
          <t>A</t>
        </is>
      </c>
      <c r="C349" s="12" t="inlineStr">
        <is>
          <t>Power block</t>
        </is>
      </c>
      <c r="D349" s="12" t="inlineStr">
        <is>
          <t>MOV 6: control</t>
        </is>
      </c>
      <c r="E349" s="12" t="inlineStr">
        <is>
          <t>R2B</t>
        </is>
      </c>
      <c r="F349" s="12" t="inlineStr">
        <is>
          <t>R2B: unit / HRSG electrical e-house (32 x 40 ft)</t>
        </is>
      </c>
      <c r="G349" s="12" t="inlineStr">
        <is>
          <t>HRSG-2</t>
        </is>
      </c>
      <c r="H349" s="12" t="inlineStr">
        <is>
          <t>HRSG 2 + SCR (3P reheat, horizontal)</t>
        </is>
      </c>
      <c r="I349" s="12" t="inlineStr">
        <is>
          <t>Control</t>
        </is>
      </c>
      <c r="J349" s="12" t="inlineStr">
        <is>
          <t>Control cable 600 V Type TC-ER, Cu #14 AWG, PVC jacket</t>
        </is>
      </c>
      <c r="K349" s="12" t="inlineStr">
        <is>
          <t>CT|12/C|14</t>
        </is>
      </c>
      <c r="L349" s="12" t="inlineStr">
        <is>
          <t>12/C</t>
        </is>
      </c>
      <c r="M349" s="12" t="inlineStr">
        <is>
          <t>14</t>
        </is>
      </c>
      <c r="N349" s="12" t="n">
        <v>1</v>
      </c>
      <c r="O349" s="12" t="n">
        <v>1</v>
      </c>
      <c r="P349" s="12" t="n"/>
      <c r="Q349" s="12" t="n"/>
      <c r="R349" s="12" t="n"/>
      <c r="S349" s="12" t="inlineStr">
        <is>
          <t>Tray</t>
        </is>
      </c>
      <c r="T349" s="16" t="n">
        <v>53</v>
      </c>
      <c r="U349" s="16" t="n">
        <v>96</v>
      </c>
      <c r="V349" s="16">
        <f>ROUNDUP((T349+U349+2*'Read Me'!$B$13)*(1+'Read Me'!$B$12),-1)</f>
        <v/>
      </c>
      <c r="W349" s="16">
        <f>V349*N349*O349</f>
        <v/>
      </c>
      <c r="X349" s="12">
        <f>IF(LEFT(I349,2)="MV",2*N349*IF(L349="1/C",O349,1),0)</f>
        <v/>
      </c>
      <c r="Y349" s="12">
        <f>IF(OR(LEFT(K349,4)="LVAX",LEFT(K349,6)="MV15AX",LEFT(K349,4)="CTAX",LEFT(K349,2)="W|"),2*N349*O349,0)</f>
        <v/>
      </c>
      <c r="Z349" s="12" t="inlineStr"/>
      <c r="AA349" s="12">
        <f>N349*O349</f>
        <v/>
      </c>
    </row>
    <row r="350">
      <c r="A350" s="12" t="inlineStr">
        <is>
          <t>A-C-0338</t>
        </is>
      </c>
      <c r="B350" s="12" t="inlineStr">
        <is>
          <t>A</t>
        </is>
      </c>
      <c r="C350" s="12" t="inlineStr">
        <is>
          <t>Power block</t>
        </is>
      </c>
      <c r="D350" s="12" t="inlineStr">
        <is>
          <t>MOV 7: control</t>
        </is>
      </c>
      <c r="E350" s="12" t="inlineStr">
        <is>
          <t>R2B</t>
        </is>
      </c>
      <c r="F350" s="12" t="inlineStr">
        <is>
          <t>R2B: unit / HRSG electrical e-house (32 x 40 ft)</t>
        </is>
      </c>
      <c r="G350" s="12" t="inlineStr">
        <is>
          <t>HRSG-2</t>
        </is>
      </c>
      <c r="H350" s="12" t="inlineStr">
        <is>
          <t>HRSG 2 + SCR (3P reheat, horizontal)</t>
        </is>
      </c>
      <c r="I350" s="12" t="inlineStr">
        <is>
          <t>Control</t>
        </is>
      </c>
      <c r="J350" s="12" t="inlineStr">
        <is>
          <t>Control cable 600 V Type TC-ER, Cu #14 AWG, PVC jacket</t>
        </is>
      </c>
      <c r="K350" s="12" t="inlineStr">
        <is>
          <t>CT|12/C|14</t>
        </is>
      </c>
      <c r="L350" s="12" t="inlineStr">
        <is>
          <t>12/C</t>
        </is>
      </c>
      <c r="M350" s="12" t="inlineStr">
        <is>
          <t>14</t>
        </is>
      </c>
      <c r="N350" s="12" t="n">
        <v>1</v>
      </c>
      <c r="O350" s="12" t="n">
        <v>1</v>
      </c>
      <c r="P350" s="12" t="n"/>
      <c r="Q350" s="12" t="n"/>
      <c r="R350" s="12" t="n"/>
      <c r="S350" s="12" t="inlineStr">
        <is>
          <t>Tray</t>
        </is>
      </c>
      <c r="T350" s="16" t="n">
        <v>53</v>
      </c>
      <c r="U350" s="16" t="n">
        <v>96</v>
      </c>
      <c r="V350" s="16">
        <f>ROUNDUP((T350+U350+2*'Read Me'!$B$13)*(1+'Read Me'!$B$12),-1)</f>
        <v/>
      </c>
      <c r="W350" s="16">
        <f>V350*N350*O350</f>
        <v/>
      </c>
      <c r="X350" s="12">
        <f>IF(LEFT(I350,2)="MV",2*N350*IF(L350="1/C",O350,1),0)</f>
        <v/>
      </c>
      <c r="Y350" s="12">
        <f>IF(OR(LEFT(K350,4)="LVAX",LEFT(K350,6)="MV15AX",LEFT(K350,4)="CTAX",LEFT(K350,2)="W|"),2*N350*O350,0)</f>
        <v/>
      </c>
      <c r="Z350" s="12" t="inlineStr"/>
      <c r="AA350" s="12">
        <f>N350*O350</f>
        <v/>
      </c>
    </row>
    <row r="351">
      <c r="A351" s="12" t="inlineStr">
        <is>
          <t>A-C-0339</t>
        </is>
      </c>
      <c r="B351" s="12" t="inlineStr">
        <is>
          <t>A</t>
        </is>
      </c>
      <c r="C351" s="12" t="inlineStr">
        <is>
          <t>Power block</t>
        </is>
      </c>
      <c r="D351" s="12" t="inlineStr">
        <is>
          <t>MOV 8: control</t>
        </is>
      </c>
      <c r="E351" s="12" t="inlineStr">
        <is>
          <t>R2B</t>
        </is>
      </c>
      <c r="F351" s="12" t="inlineStr">
        <is>
          <t>R2B: unit / HRSG electrical e-house (32 x 40 ft)</t>
        </is>
      </c>
      <c r="G351" s="12" t="inlineStr">
        <is>
          <t>HRSG-2</t>
        </is>
      </c>
      <c r="H351" s="12" t="inlineStr">
        <is>
          <t>HRSG 2 + SCR (3P reheat, horizontal)</t>
        </is>
      </c>
      <c r="I351" s="12" t="inlineStr">
        <is>
          <t>Control</t>
        </is>
      </c>
      <c r="J351" s="12" t="inlineStr">
        <is>
          <t>Control cable 600 V Type TC-ER, Cu #14 AWG, PVC jacket</t>
        </is>
      </c>
      <c r="K351" s="12" t="inlineStr">
        <is>
          <t>CT|12/C|14</t>
        </is>
      </c>
      <c r="L351" s="12" t="inlineStr">
        <is>
          <t>12/C</t>
        </is>
      </c>
      <c r="M351" s="12" t="inlineStr">
        <is>
          <t>14</t>
        </is>
      </c>
      <c r="N351" s="12" t="n">
        <v>1</v>
      </c>
      <c r="O351" s="12" t="n">
        <v>1</v>
      </c>
      <c r="P351" s="12" t="n"/>
      <c r="Q351" s="12" t="n"/>
      <c r="R351" s="12" t="n"/>
      <c r="S351" s="12" t="inlineStr">
        <is>
          <t>Tray</t>
        </is>
      </c>
      <c r="T351" s="16" t="n">
        <v>53</v>
      </c>
      <c r="U351" s="16" t="n">
        <v>96</v>
      </c>
      <c r="V351" s="16">
        <f>ROUNDUP((T351+U351+2*'Read Me'!$B$13)*(1+'Read Me'!$B$12),-1)</f>
        <v/>
      </c>
      <c r="W351" s="16">
        <f>V351*N351*O351</f>
        <v/>
      </c>
      <c r="X351" s="12">
        <f>IF(LEFT(I351,2)="MV",2*N351*IF(L351="1/C",O351,1),0)</f>
        <v/>
      </c>
      <c r="Y351" s="12">
        <f>IF(OR(LEFT(K351,4)="LVAX",LEFT(K351,6)="MV15AX",LEFT(K351,4)="CTAX",LEFT(K351,2)="W|"),2*N351*O351,0)</f>
        <v/>
      </c>
      <c r="Z351" s="12" t="inlineStr"/>
      <c r="AA351" s="12">
        <f>N351*O351</f>
        <v/>
      </c>
    </row>
    <row r="352">
      <c r="A352" s="12" t="inlineStr">
        <is>
          <t>A-C-0340</t>
        </is>
      </c>
      <c r="B352" s="12" t="inlineStr">
        <is>
          <t>A</t>
        </is>
      </c>
      <c r="C352" s="12" t="inlineStr">
        <is>
          <t>Power block</t>
        </is>
      </c>
      <c r="D352" s="12" t="inlineStr">
        <is>
          <t>MOV 9: control</t>
        </is>
      </c>
      <c r="E352" s="12" t="inlineStr">
        <is>
          <t>R2B</t>
        </is>
      </c>
      <c r="F352" s="12" t="inlineStr">
        <is>
          <t>R2B: unit / HRSG electrical e-house (32 x 40 ft)</t>
        </is>
      </c>
      <c r="G352" s="12" t="inlineStr">
        <is>
          <t>HRSG-2</t>
        </is>
      </c>
      <c r="H352" s="12" t="inlineStr">
        <is>
          <t>HRSG 2 + SCR (3P reheat, horizontal)</t>
        </is>
      </c>
      <c r="I352" s="12" t="inlineStr">
        <is>
          <t>Control</t>
        </is>
      </c>
      <c r="J352" s="12" t="inlineStr">
        <is>
          <t>Control cable 600 V Type TC-ER, Cu #14 AWG, PVC jacket</t>
        </is>
      </c>
      <c r="K352" s="12" t="inlineStr">
        <is>
          <t>CT|12/C|14</t>
        </is>
      </c>
      <c r="L352" s="12" t="inlineStr">
        <is>
          <t>12/C</t>
        </is>
      </c>
      <c r="M352" s="12" t="inlineStr">
        <is>
          <t>14</t>
        </is>
      </c>
      <c r="N352" s="12" t="n">
        <v>1</v>
      </c>
      <c r="O352" s="12" t="n">
        <v>1</v>
      </c>
      <c r="P352" s="12" t="n"/>
      <c r="Q352" s="12" t="n"/>
      <c r="R352" s="12" t="n"/>
      <c r="S352" s="12" t="inlineStr">
        <is>
          <t>Tray</t>
        </is>
      </c>
      <c r="T352" s="16" t="n">
        <v>53</v>
      </c>
      <c r="U352" s="16" t="n">
        <v>96</v>
      </c>
      <c r="V352" s="16">
        <f>ROUNDUP((T352+U352+2*'Read Me'!$B$13)*(1+'Read Me'!$B$12),-1)</f>
        <v/>
      </c>
      <c r="W352" s="16">
        <f>V352*N352*O352</f>
        <v/>
      </c>
      <c r="X352" s="12">
        <f>IF(LEFT(I352,2)="MV",2*N352*IF(L352="1/C",O352,1),0)</f>
        <v/>
      </c>
      <c r="Y352" s="12">
        <f>IF(OR(LEFT(K352,4)="LVAX",LEFT(K352,6)="MV15AX",LEFT(K352,4)="CTAX",LEFT(K352,2)="W|"),2*N352*O352,0)</f>
        <v/>
      </c>
      <c r="Z352" s="12" t="inlineStr"/>
      <c r="AA352" s="12">
        <f>N352*O352</f>
        <v/>
      </c>
    </row>
    <row r="353">
      <c r="A353" s="12" t="inlineStr">
        <is>
          <t>A-C-0341</t>
        </is>
      </c>
      <c r="B353" s="12" t="inlineStr">
        <is>
          <t>A</t>
        </is>
      </c>
      <c r="C353" s="12" t="inlineStr">
        <is>
          <t>Power block</t>
        </is>
      </c>
      <c r="D353" s="12" t="inlineStr">
        <is>
          <t>MOV 10: control</t>
        </is>
      </c>
      <c r="E353" s="12" t="inlineStr">
        <is>
          <t>R2B</t>
        </is>
      </c>
      <c r="F353" s="12" t="inlineStr">
        <is>
          <t>R2B: unit / HRSG electrical e-house (32 x 40 ft)</t>
        </is>
      </c>
      <c r="G353" s="12" t="inlineStr">
        <is>
          <t>HRSG-2</t>
        </is>
      </c>
      <c r="H353" s="12" t="inlineStr">
        <is>
          <t>HRSG 2 + SCR (3P reheat, horizontal)</t>
        </is>
      </c>
      <c r="I353" s="12" t="inlineStr">
        <is>
          <t>Control</t>
        </is>
      </c>
      <c r="J353" s="12" t="inlineStr">
        <is>
          <t>Control cable 600 V Type TC-ER, Cu #14 AWG, PVC jacket</t>
        </is>
      </c>
      <c r="K353" s="12" t="inlineStr">
        <is>
          <t>CT|12/C|14</t>
        </is>
      </c>
      <c r="L353" s="12" t="inlineStr">
        <is>
          <t>12/C</t>
        </is>
      </c>
      <c r="M353" s="12" t="inlineStr">
        <is>
          <t>14</t>
        </is>
      </c>
      <c r="N353" s="12" t="n">
        <v>1</v>
      </c>
      <c r="O353" s="12" t="n">
        <v>1</v>
      </c>
      <c r="P353" s="12" t="n"/>
      <c r="Q353" s="12" t="n"/>
      <c r="R353" s="12" t="n"/>
      <c r="S353" s="12" t="inlineStr">
        <is>
          <t>Tray</t>
        </is>
      </c>
      <c r="T353" s="16" t="n">
        <v>53</v>
      </c>
      <c r="U353" s="16" t="n">
        <v>96</v>
      </c>
      <c r="V353" s="16">
        <f>ROUNDUP((T353+U353+2*'Read Me'!$B$13)*(1+'Read Me'!$B$12),-1)</f>
        <v/>
      </c>
      <c r="W353" s="16">
        <f>V353*N353*O353</f>
        <v/>
      </c>
      <c r="X353" s="12">
        <f>IF(LEFT(I353,2)="MV",2*N353*IF(L353="1/C",O353,1),0)</f>
        <v/>
      </c>
      <c r="Y353" s="12">
        <f>IF(OR(LEFT(K353,4)="LVAX",LEFT(K353,6)="MV15AX",LEFT(K353,4)="CTAX",LEFT(K353,2)="W|"),2*N353*O353,0)</f>
        <v/>
      </c>
      <c r="Z353" s="12" t="inlineStr"/>
      <c r="AA353" s="12">
        <f>N353*O353</f>
        <v/>
      </c>
    </row>
    <row r="354">
      <c r="A354" s="12" t="inlineStr">
        <is>
          <t>A-C-0342</t>
        </is>
      </c>
      <c r="B354" s="12" t="inlineStr">
        <is>
          <t>A</t>
        </is>
      </c>
      <c r="C354" s="12" t="inlineStr">
        <is>
          <t>Power block</t>
        </is>
      </c>
      <c r="D354" s="12" t="inlineStr">
        <is>
          <t>MOV 11: control</t>
        </is>
      </c>
      <c r="E354" s="12" t="inlineStr">
        <is>
          <t>R2B</t>
        </is>
      </c>
      <c r="F354" s="12" t="inlineStr">
        <is>
          <t>R2B: unit / HRSG electrical e-house (32 x 40 ft)</t>
        </is>
      </c>
      <c r="G354" s="12" t="inlineStr">
        <is>
          <t>HRSG-2</t>
        </is>
      </c>
      <c r="H354" s="12" t="inlineStr">
        <is>
          <t>HRSG 2 + SCR (3P reheat, horizontal)</t>
        </is>
      </c>
      <c r="I354" s="12" t="inlineStr">
        <is>
          <t>Control</t>
        </is>
      </c>
      <c r="J354" s="12" t="inlineStr">
        <is>
          <t>Control cable 600 V Type TC-ER, Cu #14 AWG, PVC jacket</t>
        </is>
      </c>
      <c r="K354" s="12" t="inlineStr">
        <is>
          <t>CT|12/C|14</t>
        </is>
      </c>
      <c r="L354" s="12" t="inlineStr">
        <is>
          <t>12/C</t>
        </is>
      </c>
      <c r="M354" s="12" t="inlineStr">
        <is>
          <t>14</t>
        </is>
      </c>
      <c r="N354" s="12" t="n">
        <v>1</v>
      </c>
      <c r="O354" s="12" t="n">
        <v>1</v>
      </c>
      <c r="P354" s="12" t="n"/>
      <c r="Q354" s="12" t="n"/>
      <c r="R354" s="12" t="n"/>
      <c r="S354" s="12" t="inlineStr">
        <is>
          <t>Tray</t>
        </is>
      </c>
      <c r="T354" s="16" t="n">
        <v>53</v>
      </c>
      <c r="U354" s="16" t="n">
        <v>96</v>
      </c>
      <c r="V354" s="16">
        <f>ROUNDUP((T354+U354+2*'Read Me'!$B$13)*(1+'Read Me'!$B$12),-1)</f>
        <v/>
      </c>
      <c r="W354" s="16">
        <f>V354*N354*O354</f>
        <v/>
      </c>
      <c r="X354" s="12">
        <f>IF(LEFT(I354,2)="MV",2*N354*IF(L354="1/C",O354,1),0)</f>
        <v/>
      </c>
      <c r="Y354" s="12">
        <f>IF(OR(LEFT(K354,4)="LVAX",LEFT(K354,6)="MV15AX",LEFT(K354,4)="CTAX",LEFT(K354,2)="W|"),2*N354*O354,0)</f>
        <v/>
      </c>
      <c r="Z354" s="12" t="inlineStr"/>
      <c r="AA354" s="12">
        <f>N354*O354</f>
        <v/>
      </c>
    </row>
    <row r="355">
      <c r="A355" s="12" t="inlineStr">
        <is>
          <t>A-C-0343</t>
        </is>
      </c>
      <c r="B355" s="12" t="inlineStr">
        <is>
          <t>A</t>
        </is>
      </c>
      <c r="C355" s="12" t="inlineStr">
        <is>
          <t>Power block</t>
        </is>
      </c>
      <c r="D355" s="12" t="inlineStr">
        <is>
          <t>MOV 12: control</t>
        </is>
      </c>
      <c r="E355" s="12" t="inlineStr">
        <is>
          <t>R2B</t>
        </is>
      </c>
      <c r="F355" s="12" t="inlineStr">
        <is>
          <t>R2B: unit / HRSG electrical e-house (32 x 40 ft)</t>
        </is>
      </c>
      <c r="G355" s="12" t="inlineStr">
        <is>
          <t>HRSG-2</t>
        </is>
      </c>
      <c r="H355" s="12" t="inlineStr">
        <is>
          <t>HRSG 2 + SCR (3P reheat, horizontal)</t>
        </is>
      </c>
      <c r="I355" s="12" t="inlineStr">
        <is>
          <t>Control</t>
        </is>
      </c>
      <c r="J355" s="12" t="inlineStr">
        <is>
          <t>Control cable 600 V Type TC-ER, Cu #14 AWG, PVC jacket</t>
        </is>
      </c>
      <c r="K355" s="12" t="inlineStr">
        <is>
          <t>CT|12/C|14</t>
        </is>
      </c>
      <c r="L355" s="12" t="inlineStr">
        <is>
          <t>12/C</t>
        </is>
      </c>
      <c r="M355" s="12" t="inlineStr">
        <is>
          <t>14</t>
        </is>
      </c>
      <c r="N355" s="12" t="n">
        <v>1</v>
      </c>
      <c r="O355" s="12" t="n">
        <v>1</v>
      </c>
      <c r="P355" s="12" t="n"/>
      <c r="Q355" s="12" t="n"/>
      <c r="R355" s="12" t="n"/>
      <c r="S355" s="12" t="inlineStr">
        <is>
          <t>Tray</t>
        </is>
      </c>
      <c r="T355" s="16" t="n">
        <v>53</v>
      </c>
      <c r="U355" s="16" t="n">
        <v>96</v>
      </c>
      <c r="V355" s="16">
        <f>ROUNDUP((T355+U355+2*'Read Me'!$B$13)*(1+'Read Me'!$B$12),-1)</f>
        <v/>
      </c>
      <c r="W355" s="16">
        <f>V355*N355*O355</f>
        <v/>
      </c>
      <c r="X355" s="12">
        <f>IF(LEFT(I355,2)="MV",2*N355*IF(L355="1/C",O355,1),0)</f>
        <v/>
      </c>
      <c r="Y355" s="12">
        <f>IF(OR(LEFT(K355,4)="LVAX",LEFT(K355,6)="MV15AX",LEFT(K355,4)="CTAX",LEFT(K355,2)="W|"),2*N355*O355,0)</f>
        <v/>
      </c>
      <c r="Z355" s="12" t="inlineStr"/>
      <c r="AA355" s="12">
        <f>N355*O355</f>
        <v/>
      </c>
    </row>
    <row r="356">
      <c r="A356" s="12" t="inlineStr">
        <is>
          <t>A-C-0344</t>
        </is>
      </c>
      <c r="B356" s="12" t="inlineStr">
        <is>
          <t>A</t>
        </is>
      </c>
      <c r="C356" s="12" t="inlineStr">
        <is>
          <t>Power block</t>
        </is>
      </c>
      <c r="D356" s="12" t="inlineStr">
        <is>
          <t>MOV 13: control</t>
        </is>
      </c>
      <c r="E356" s="12" t="inlineStr">
        <is>
          <t>R2B</t>
        </is>
      </c>
      <c r="F356" s="12" t="inlineStr">
        <is>
          <t>R2B: unit / HRSG electrical e-house (32 x 40 ft)</t>
        </is>
      </c>
      <c r="G356" s="12" t="inlineStr">
        <is>
          <t>HRSG-2</t>
        </is>
      </c>
      <c r="H356" s="12" t="inlineStr">
        <is>
          <t>HRSG 2 + SCR (3P reheat, horizontal)</t>
        </is>
      </c>
      <c r="I356" s="12" t="inlineStr">
        <is>
          <t>Control</t>
        </is>
      </c>
      <c r="J356" s="12" t="inlineStr">
        <is>
          <t>Control cable 600 V Type TC-ER, Cu #14 AWG, PVC jacket</t>
        </is>
      </c>
      <c r="K356" s="12" t="inlineStr">
        <is>
          <t>CT|12/C|14</t>
        </is>
      </c>
      <c r="L356" s="12" t="inlineStr">
        <is>
          <t>12/C</t>
        </is>
      </c>
      <c r="M356" s="12" t="inlineStr">
        <is>
          <t>14</t>
        </is>
      </c>
      <c r="N356" s="12" t="n">
        <v>1</v>
      </c>
      <c r="O356" s="12" t="n">
        <v>1</v>
      </c>
      <c r="P356" s="12" t="n"/>
      <c r="Q356" s="12" t="n"/>
      <c r="R356" s="12" t="n"/>
      <c r="S356" s="12" t="inlineStr">
        <is>
          <t>Tray</t>
        </is>
      </c>
      <c r="T356" s="16" t="n">
        <v>53</v>
      </c>
      <c r="U356" s="16" t="n">
        <v>96</v>
      </c>
      <c r="V356" s="16">
        <f>ROUNDUP((T356+U356+2*'Read Me'!$B$13)*(1+'Read Me'!$B$12),-1)</f>
        <v/>
      </c>
      <c r="W356" s="16">
        <f>V356*N356*O356</f>
        <v/>
      </c>
      <c r="X356" s="12">
        <f>IF(LEFT(I356,2)="MV",2*N356*IF(L356="1/C",O356,1),0)</f>
        <v/>
      </c>
      <c r="Y356" s="12">
        <f>IF(OR(LEFT(K356,4)="LVAX",LEFT(K356,6)="MV15AX",LEFT(K356,4)="CTAX",LEFT(K356,2)="W|"),2*N356*O356,0)</f>
        <v/>
      </c>
      <c r="Z356" s="12" t="inlineStr"/>
      <c r="AA356" s="12">
        <f>N356*O356</f>
        <v/>
      </c>
    </row>
    <row r="357">
      <c r="A357" s="12" t="inlineStr">
        <is>
          <t>A-C-0345</t>
        </is>
      </c>
      <c r="B357" s="12" t="inlineStr">
        <is>
          <t>A</t>
        </is>
      </c>
      <c r="C357" s="12" t="inlineStr">
        <is>
          <t>Power block</t>
        </is>
      </c>
      <c r="D357" s="12" t="inlineStr">
        <is>
          <t>MOV 14: control</t>
        </is>
      </c>
      <c r="E357" s="12" t="inlineStr">
        <is>
          <t>R2B</t>
        </is>
      </c>
      <c r="F357" s="12" t="inlineStr">
        <is>
          <t>R2B: unit / HRSG electrical e-house (32 x 40 ft)</t>
        </is>
      </c>
      <c r="G357" s="12" t="inlineStr">
        <is>
          <t>HRSG-2</t>
        </is>
      </c>
      <c r="H357" s="12" t="inlineStr">
        <is>
          <t>HRSG 2 + SCR (3P reheat, horizontal)</t>
        </is>
      </c>
      <c r="I357" s="12" t="inlineStr">
        <is>
          <t>Control</t>
        </is>
      </c>
      <c r="J357" s="12" t="inlineStr">
        <is>
          <t>Control cable 600 V Type TC-ER, Cu #14 AWG, PVC jacket</t>
        </is>
      </c>
      <c r="K357" s="12" t="inlineStr">
        <is>
          <t>CT|12/C|14</t>
        </is>
      </c>
      <c r="L357" s="12" t="inlineStr">
        <is>
          <t>12/C</t>
        </is>
      </c>
      <c r="M357" s="12" t="inlineStr">
        <is>
          <t>14</t>
        </is>
      </c>
      <c r="N357" s="12" t="n">
        <v>1</v>
      </c>
      <c r="O357" s="12" t="n">
        <v>1</v>
      </c>
      <c r="P357" s="12" t="n"/>
      <c r="Q357" s="12" t="n"/>
      <c r="R357" s="12" t="n"/>
      <c r="S357" s="12" t="inlineStr">
        <is>
          <t>Tray</t>
        </is>
      </c>
      <c r="T357" s="16" t="n">
        <v>53</v>
      </c>
      <c r="U357" s="16" t="n">
        <v>96</v>
      </c>
      <c r="V357" s="16">
        <f>ROUNDUP((T357+U357+2*'Read Me'!$B$13)*(1+'Read Me'!$B$12),-1)</f>
        <v/>
      </c>
      <c r="W357" s="16">
        <f>V357*N357*O357</f>
        <v/>
      </c>
      <c r="X357" s="12">
        <f>IF(LEFT(I357,2)="MV",2*N357*IF(L357="1/C",O357,1),0)</f>
        <v/>
      </c>
      <c r="Y357" s="12">
        <f>IF(OR(LEFT(K357,4)="LVAX",LEFT(K357,6)="MV15AX",LEFT(K357,4)="CTAX",LEFT(K357,2)="W|"),2*N357*O357,0)</f>
        <v/>
      </c>
      <c r="Z357" s="12" t="inlineStr"/>
      <c r="AA357" s="12">
        <f>N357*O357</f>
        <v/>
      </c>
    </row>
    <row r="358">
      <c r="A358" s="12" t="inlineStr">
        <is>
          <t>A-C-0346</t>
        </is>
      </c>
      <c r="B358" s="12" t="inlineStr">
        <is>
          <t>A</t>
        </is>
      </c>
      <c r="C358" s="12" t="inlineStr">
        <is>
          <t>Power block</t>
        </is>
      </c>
      <c r="D358" s="12" t="inlineStr">
        <is>
          <t>MOV 15: control</t>
        </is>
      </c>
      <c r="E358" s="12" t="inlineStr">
        <is>
          <t>R2B</t>
        </is>
      </c>
      <c r="F358" s="12" t="inlineStr">
        <is>
          <t>R2B: unit / HRSG electrical e-house (32 x 40 ft)</t>
        </is>
      </c>
      <c r="G358" s="12" t="inlineStr">
        <is>
          <t>HRSG-2</t>
        </is>
      </c>
      <c r="H358" s="12" t="inlineStr">
        <is>
          <t>HRSG 2 + SCR (3P reheat, horizontal)</t>
        </is>
      </c>
      <c r="I358" s="12" t="inlineStr">
        <is>
          <t>Control</t>
        </is>
      </c>
      <c r="J358" s="12" t="inlineStr">
        <is>
          <t>Control cable 600 V Type TC-ER, Cu #14 AWG, PVC jacket</t>
        </is>
      </c>
      <c r="K358" s="12" t="inlineStr">
        <is>
          <t>CT|12/C|14</t>
        </is>
      </c>
      <c r="L358" s="12" t="inlineStr">
        <is>
          <t>12/C</t>
        </is>
      </c>
      <c r="M358" s="12" t="inlineStr">
        <is>
          <t>14</t>
        </is>
      </c>
      <c r="N358" s="12" t="n">
        <v>1</v>
      </c>
      <c r="O358" s="12" t="n">
        <v>1</v>
      </c>
      <c r="P358" s="12" t="n"/>
      <c r="Q358" s="12" t="n"/>
      <c r="R358" s="12" t="n"/>
      <c r="S358" s="12" t="inlineStr">
        <is>
          <t>Tray</t>
        </is>
      </c>
      <c r="T358" s="16" t="n">
        <v>53</v>
      </c>
      <c r="U358" s="16" t="n">
        <v>96</v>
      </c>
      <c r="V358" s="16">
        <f>ROUNDUP((T358+U358+2*'Read Me'!$B$13)*(1+'Read Me'!$B$12),-1)</f>
        <v/>
      </c>
      <c r="W358" s="16">
        <f>V358*N358*O358</f>
        <v/>
      </c>
      <c r="X358" s="12">
        <f>IF(LEFT(I358,2)="MV",2*N358*IF(L358="1/C",O358,1),0)</f>
        <v/>
      </c>
      <c r="Y358" s="12">
        <f>IF(OR(LEFT(K358,4)="LVAX",LEFT(K358,6)="MV15AX",LEFT(K358,4)="CTAX",LEFT(K358,2)="W|"),2*N358*O358,0)</f>
        <v/>
      </c>
      <c r="Z358" s="12" t="inlineStr"/>
      <c r="AA358" s="12">
        <f>N358*O358</f>
        <v/>
      </c>
    </row>
    <row r="359">
      <c r="A359" s="12" t="inlineStr">
        <is>
          <t>A-C-0347</t>
        </is>
      </c>
      <c r="B359" s="12" t="inlineStr">
        <is>
          <t>A</t>
        </is>
      </c>
      <c r="C359" s="12" t="inlineStr">
        <is>
          <t>Power block</t>
        </is>
      </c>
      <c r="D359" s="12" t="inlineStr">
        <is>
          <t>MOV 16: control</t>
        </is>
      </c>
      <c r="E359" s="12" t="inlineStr">
        <is>
          <t>R2B</t>
        </is>
      </c>
      <c r="F359" s="12" t="inlineStr">
        <is>
          <t>R2B: unit / HRSG electrical e-house (32 x 40 ft)</t>
        </is>
      </c>
      <c r="G359" s="12" t="inlineStr">
        <is>
          <t>HRSG-2</t>
        </is>
      </c>
      <c r="H359" s="12" t="inlineStr">
        <is>
          <t>HRSG 2 + SCR (3P reheat, horizontal)</t>
        </is>
      </c>
      <c r="I359" s="12" t="inlineStr">
        <is>
          <t>Control</t>
        </is>
      </c>
      <c r="J359" s="12" t="inlineStr">
        <is>
          <t>Control cable 600 V Type TC-ER, Cu #14 AWG, PVC jacket</t>
        </is>
      </c>
      <c r="K359" s="12" t="inlineStr">
        <is>
          <t>CT|12/C|14</t>
        </is>
      </c>
      <c r="L359" s="12" t="inlineStr">
        <is>
          <t>12/C</t>
        </is>
      </c>
      <c r="M359" s="12" t="inlineStr">
        <is>
          <t>14</t>
        </is>
      </c>
      <c r="N359" s="12" t="n">
        <v>1</v>
      </c>
      <c r="O359" s="12" t="n">
        <v>1</v>
      </c>
      <c r="P359" s="12" t="n"/>
      <c r="Q359" s="12" t="n"/>
      <c r="R359" s="12" t="n"/>
      <c r="S359" s="12" t="inlineStr">
        <is>
          <t>Tray</t>
        </is>
      </c>
      <c r="T359" s="16" t="n">
        <v>53</v>
      </c>
      <c r="U359" s="16" t="n">
        <v>96</v>
      </c>
      <c r="V359" s="16">
        <f>ROUNDUP((T359+U359+2*'Read Me'!$B$13)*(1+'Read Me'!$B$12),-1)</f>
        <v/>
      </c>
      <c r="W359" s="16">
        <f>V359*N359*O359</f>
        <v/>
      </c>
      <c r="X359" s="12">
        <f>IF(LEFT(I359,2)="MV",2*N359*IF(L359="1/C",O359,1),0)</f>
        <v/>
      </c>
      <c r="Y359" s="12">
        <f>IF(OR(LEFT(K359,4)="LVAX",LEFT(K359,6)="MV15AX",LEFT(K359,4)="CTAX",LEFT(K359,2)="W|"),2*N359*O359,0)</f>
        <v/>
      </c>
      <c r="Z359" s="12" t="inlineStr"/>
      <c r="AA359" s="12">
        <f>N359*O359</f>
        <v/>
      </c>
    </row>
    <row r="360">
      <c r="A360" s="12" t="inlineStr">
        <is>
          <t>A-C-0348</t>
        </is>
      </c>
      <c r="B360" s="12" t="inlineStr">
        <is>
          <t>A</t>
        </is>
      </c>
      <c r="C360" s="12" t="inlineStr">
        <is>
          <t>Power block</t>
        </is>
      </c>
      <c r="D360" s="12" t="inlineStr">
        <is>
          <t>MOV 17: control</t>
        </is>
      </c>
      <c r="E360" s="12" t="inlineStr">
        <is>
          <t>R2B</t>
        </is>
      </c>
      <c r="F360" s="12" t="inlineStr">
        <is>
          <t>R2B: unit / HRSG electrical e-house (32 x 40 ft)</t>
        </is>
      </c>
      <c r="G360" s="12" t="inlineStr">
        <is>
          <t>HRSG-2</t>
        </is>
      </c>
      <c r="H360" s="12" t="inlineStr">
        <is>
          <t>HRSG 2 + SCR (3P reheat, horizontal)</t>
        </is>
      </c>
      <c r="I360" s="12" t="inlineStr">
        <is>
          <t>Control</t>
        </is>
      </c>
      <c r="J360" s="12" t="inlineStr">
        <is>
          <t>Control cable 600 V Type TC-ER, Cu #14 AWG, PVC jacket</t>
        </is>
      </c>
      <c r="K360" s="12" t="inlineStr">
        <is>
          <t>CT|12/C|14</t>
        </is>
      </c>
      <c r="L360" s="12" t="inlineStr">
        <is>
          <t>12/C</t>
        </is>
      </c>
      <c r="M360" s="12" t="inlineStr">
        <is>
          <t>14</t>
        </is>
      </c>
      <c r="N360" s="12" t="n">
        <v>1</v>
      </c>
      <c r="O360" s="12" t="n">
        <v>1</v>
      </c>
      <c r="P360" s="12" t="n"/>
      <c r="Q360" s="12" t="n"/>
      <c r="R360" s="12" t="n"/>
      <c r="S360" s="12" t="inlineStr">
        <is>
          <t>Tray</t>
        </is>
      </c>
      <c r="T360" s="16" t="n">
        <v>53</v>
      </c>
      <c r="U360" s="16" t="n">
        <v>96</v>
      </c>
      <c r="V360" s="16">
        <f>ROUNDUP((T360+U360+2*'Read Me'!$B$13)*(1+'Read Me'!$B$12),-1)</f>
        <v/>
      </c>
      <c r="W360" s="16">
        <f>V360*N360*O360</f>
        <v/>
      </c>
      <c r="X360" s="12">
        <f>IF(LEFT(I360,2)="MV",2*N360*IF(L360="1/C",O360,1),0)</f>
        <v/>
      </c>
      <c r="Y360" s="12">
        <f>IF(OR(LEFT(K360,4)="LVAX",LEFT(K360,6)="MV15AX",LEFT(K360,4)="CTAX",LEFT(K360,2)="W|"),2*N360*O360,0)</f>
        <v/>
      </c>
      <c r="Z360" s="12" t="inlineStr"/>
      <c r="AA360" s="12">
        <f>N360*O360</f>
        <v/>
      </c>
    </row>
    <row r="361">
      <c r="A361" s="12" t="inlineStr">
        <is>
          <t>A-C-0349</t>
        </is>
      </c>
      <c r="B361" s="12" t="inlineStr">
        <is>
          <t>A</t>
        </is>
      </c>
      <c r="C361" s="12" t="inlineStr">
        <is>
          <t>Power block</t>
        </is>
      </c>
      <c r="D361" s="12" t="inlineStr">
        <is>
          <t>MOV 18: control</t>
        </is>
      </c>
      <c r="E361" s="12" t="inlineStr">
        <is>
          <t>R2B</t>
        </is>
      </c>
      <c r="F361" s="12" t="inlineStr">
        <is>
          <t>R2B: unit / HRSG electrical e-house (32 x 40 ft)</t>
        </is>
      </c>
      <c r="G361" s="12" t="inlineStr">
        <is>
          <t>HRSG-2</t>
        </is>
      </c>
      <c r="H361" s="12" t="inlineStr">
        <is>
          <t>HRSG 2 + SCR (3P reheat, horizontal)</t>
        </is>
      </c>
      <c r="I361" s="12" t="inlineStr">
        <is>
          <t>Control</t>
        </is>
      </c>
      <c r="J361" s="12" t="inlineStr">
        <is>
          <t>Control cable 600 V Type TC-ER, Cu #14 AWG, PVC jacket</t>
        </is>
      </c>
      <c r="K361" s="12" t="inlineStr">
        <is>
          <t>CT|12/C|14</t>
        </is>
      </c>
      <c r="L361" s="12" t="inlineStr">
        <is>
          <t>12/C</t>
        </is>
      </c>
      <c r="M361" s="12" t="inlineStr">
        <is>
          <t>14</t>
        </is>
      </c>
      <c r="N361" s="12" t="n">
        <v>1</v>
      </c>
      <c r="O361" s="12" t="n">
        <v>1</v>
      </c>
      <c r="P361" s="12" t="n"/>
      <c r="Q361" s="12" t="n"/>
      <c r="R361" s="12" t="n"/>
      <c r="S361" s="12" t="inlineStr">
        <is>
          <t>Tray</t>
        </is>
      </c>
      <c r="T361" s="16" t="n">
        <v>53</v>
      </c>
      <c r="U361" s="16" t="n">
        <v>96</v>
      </c>
      <c r="V361" s="16">
        <f>ROUNDUP((T361+U361+2*'Read Me'!$B$13)*(1+'Read Me'!$B$12),-1)</f>
        <v/>
      </c>
      <c r="W361" s="16">
        <f>V361*N361*O361</f>
        <v/>
      </c>
      <c r="X361" s="12">
        <f>IF(LEFT(I361,2)="MV",2*N361*IF(L361="1/C",O361,1),0)</f>
        <v/>
      </c>
      <c r="Y361" s="12">
        <f>IF(OR(LEFT(K361,4)="LVAX",LEFT(K361,6)="MV15AX",LEFT(K361,4)="CTAX",LEFT(K361,2)="W|"),2*N361*O361,0)</f>
        <v/>
      </c>
      <c r="Z361" s="12" t="inlineStr"/>
      <c r="AA361" s="12">
        <f>N361*O361</f>
        <v/>
      </c>
    </row>
    <row r="362">
      <c r="A362" s="12" t="inlineStr">
        <is>
          <t>A-C-0350</t>
        </is>
      </c>
      <c r="B362" s="12" t="inlineStr">
        <is>
          <t>A</t>
        </is>
      </c>
      <c r="C362" s="12" t="inlineStr">
        <is>
          <t>Power block</t>
        </is>
      </c>
      <c r="D362" s="12" t="inlineStr">
        <is>
          <t>MOV 19: control</t>
        </is>
      </c>
      <c r="E362" s="12" t="inlineStr">
        <is>
          <t>R2B</t>
        </is>
      </c>
      <c r="F362" s="12" t="inlineStr">
        <is>
          <t>R2B: unit / HRSG electrical e-house (32 x 40 ft)</t>
        </is>
      </c>
      <c r="G362" s="12" t="inlineStr">
        <is>
          <t>HRSG-2</t>
        </is>
      </c>
      <c r="H362" s="12" t="inlineStr">
        <is>
          <t>HRSG 2 + SCR (3P reheat, horizontal)</t>
        </is>
      </c>
      <c r="I362" s="12" t="inlineStr">
        <is>
          <t>Control</t>
        </is>
      </c>
      <c r="J362" s="12" t="inlineStr">
        <is>
          <t>Control cable 600 V Type TC-ER, Cu #14 AWG, PVC jacket</t>
        </is>
      </c>
      <c r="K362" s="12" t="inlineStr">
        <is>
          <t>CT|12/C|14</t>
        </is>
      </c>
      <c r="L362" s="12" t="inlineStr">
        <is>
          <t>12/C</t>
        </is>
      </c>
      <c r="M362" s="12" t="inlineStr">
        <is>
          <t>14</t>
        </is>
      </c>
      <c r="N362" s="12" t="n">
        <v>1</v>
      </c>
      <c r="O362" s="12" t="n">
        <v>1</v>
      </c>
      <c r="P362" s="12" t="n"/>
      <c r="Q362" s="12" t="n"/>
      <c r="R362" s="12" t="n"/>
      <c r="S362" s="12" t="inlineStr">
        <is>
          <t>Tray</t>
        </is>
      </c>
      <c r="T362" s="16" t="n">
        <v>53</v>
      </c>
      <c r="U362" s="16" t="n">
        <v>96</v>
      </c>
      <c r="V362" s="16">
        <f>ROUNDUP((T362+U362+2*'Read Me'!$B$13)*(1+'Read Me'!$B$12),-1)</f>
        <v/>
      </c>
      <c r="W362" s="16">
        <f>V362*N362*O362</f>
        <v/>
      </c>
      <c r="X362" s="12">
        <f>IF(LEFT(I362,2)="MV",2*N362*IF(L362="1/C",O362,1),0)</f>
        <v/>
      </c>
      <c r="Y362" s="12">
        <f>IF(OR(LEFT(K362,4)="LVAX",LEFT(K362,6)="MV15AX",LEFT(K362,4)="CTAX",LEFT(K362,2)="W|"),2*N362*O362,0)</f>
        <v/>
      </c>
      <c r="Z362" s="12" t="inlineStr"/>
      <c r="AA362" s="12">
        <f>N362*O362</f>
        <v/>
      </c>
    </row>
    <row r="363">
      <c r="A363" s="12" t="inlineStr">
        <is>
          <t>A-C-0351</t>
        </is>
      </c>
      <c r="B363" s="12" t="inlineStr">
        <is>
          <t>A</t>
        </is>
      </c>
      <c r="C363" s="12" t="inlineStr">
        <is>
          <t>Power block</t>
        </is>
      </c>
      <c r="D363" s="12" t="inlineStr">
        <is>
          <t>MOV 20: control</t>
        </is>
      </c>
      <c r="E363" s="12" t="inlineStr">
        <is>
          <t>R2B</t>
        </is>
      </c>
      <c r="F363" s="12" t="inlineStr">
        <is>
          <t>R2B: unit / HRSG electrical e-house (32 x 40 ft)</t>
        </is>
      </c>
      <c r="G363" s="12" t="inlineStr">
        <is>
          <t>HRSG-2</t>
        </is>
      </c>
      <c r="H363" s="12" t="inlineStr">
        <is>
          <t>HRSG 2 + SCR (3P reheat, horizontal)</t>
        </is>
      </c>
      <c r="I363" s="12" t="inlineStr">
        <is>
          <t>Control</t>
        </is>
      </c>
      <c r="J363" s="12" t="inlineStr">
        <is>
          <t>Control cable 600 V Type TC-ER, Cu #14 AWG, PVC jacket</t>
        </is>
      </c>
      <c r="K363" s="12" t="inlineStr">
        <is>
          <t>CT|12/C|14</t>
        </is>
      </c>
      <c r="L363" s="12" t="inlineStr">
        <is>
          <t>12/C</t>
        </is>
      </c>
      <c r="M363" s="12" t="inlineStr">
        <is>
          <t>14</t>
        </is>
      </c>
      <c r="N363" s="12" t="n">
        <v>1</v>
      </c>
      <c r="O363" s="12" t="n">
        <v>1</v>
      </c>
      <c r="P363" s="12" t="n"/>
      <c r="Q363" s="12" t="n"/>
      <c r="R363" s="12" t="n"/>
      <c r="S363" s="12" t="inlineStr">
        <is>
          <t>Tray</t>
        </is>
      </c>
      <c r="T363" s="16" t="n">
        <v>53</v>
      </c>
      <c r="U363" s="16" t="n">
        <v>96</v>
      </c>
      <c r="V363" s="16">
        <f>ROUNDUP((T363+U363+2*'Read Me'!$B$13)*(1+'Read Me'!$B$12),-1)</f>
        <v/>
      </c>
      <c r="W363" s="16">
        <f>V363*N363*O363</f>
        <v/>
      </c>
      <c r="X363" s="12">
        <f>IF(LEFT(I363,2)="MV",2*N363*IF(L363="1/C",O363,1),0)</f>
        <v/>
      </c>
      <c r="Y363" s="12">
        <f>IF(OR(LEFT(K363,4)="LVAX",LEFT(K363,6)="MV15AX",LEFT(K363,4)="CTAX",LEFT(K363,2)="W|"),2*N363*O363,0)</f>
        <v/>
      </c>
      <c r="Z363" s="12" t="inlineStr"/>
      <c r="AA363" s="12">
        <f>N363*O363</f>
        <v/>
      </c>
    </row>
    <row r="364">
      <c r="A364" s="12" t="inlineStr">
        <is>
          <t>A-C-0352</t>
        </is>
      </c>
      <c r="B364" s="12" t="inlineStr">
        <is>
          <t>A</t>
        </is>
      </c>
      <c r="C364" s="12" t="inlineStr">
        <is>
          <t>Power block</t>
        </is>
      </c>
      <c r="D364" s="12" t="inlineStr">
        <is>
          <t>MOV 21: control</t>
        </is>
      </c>
      <c r="E364" s="12" t="inlineStr">
        <is>
          <t>R2B</t>
        </is>
      </c>
      <c r="F364" s="12" t="inlineStr">
        <is>
          <t>R2B: unit / HRSG electrical e-house (32 x 40 ft)</t>
        </is>
      </c>
      <c r="G364" s="12" t="inlineStr">
        <is>
          <t>HRSG-2</t>
        </is>
      </c>
      <c r="H364" s="12" t="inlineStr">
        <is>
          <t>HRSG 2 + SCR (3P reheat, horizontal)</t>
        </is>
      </c>
      <c r="I364" s="12" t="inlineStr">
        <is>
          <t>Control</t>
        </is>
      </c>
      <c r="J364" s="12" t="inlineStr">
        <is>
          <t>Control cable 600 V Type TC-ER, Cu #14 AWG, PVC jacket</t>
        </is>
      </c>
      <c r="K364" s="12" t="inlineStr">
        <is>
          <t>CT|12/C|14</t>
        </is>
      </c>
      <c r="L364" s="12" t="inlineStr">
        <is>
          <t>12/C</t>
        </is>
      </c>
      <c r="M364" s="12" t="inlineStr">
        <is>
          <t>14</t>
        </is>
      </c>
      <c r="N364" s="12" t="n">
        <v>1</v>
      </c>
      <c r="O364" s="12" t="n">
        <v>1</v>
      </c>
      <c r="P364" s="12" t="n"/>
      <c r="Q364" s="12" t="n"/>
      <c r="R364" s="12" t="n"/>
      <c r="S364" s="12" t="inlineStr">
        <is>
          <t>Tray</t>
        </is>
      </c>
      <c r="T364" s="16" t="n">
        <v>53</v>
      </c>
      <c r="U364" s="16" t="n">
        <v>96</v>
      </c>
      <c r="V364" s="16">
        <f>ROUNDUP((T364+U364+2*'Read Me'!$B$13)*(1+'Read Me'!$B$12),-1)</f>
        <v/>
      </c>
      <c r="W364" s="16">
        <f>V364*N364*O364</f>
        <v/>
      </c>
      <c r="X364" s="12">
        <f>IF(LEFT(I364,2)="MV",2*N364*IF(L364="1/C",O364,1),0)</f>
        <v/>
      </c>
      <c r="Y364" s="12">
        <f>IF(OR(LEFT(K364,4)="LVAX",LEFT(K364,6)="MV15AX",LEFT(K364,4)="CTAX",LEFT(K364,2)="W|"),2*N364*O364,0)</f>
        <v/>
      </c>
      <c r="Z364" s="12" t="inlineStr"/>
      <c r="AA364" s="12">
        <f>N364*O364</f>
        <v/>
      </c>
    </row>
    <row r="365">
      <c r="A365" s="12" t="inlineStr">
        <is>
          <t>A-C-0353</t>
        </is>
      </c>
      <c r="B365" s="12" t="inlineStr">
        <is>
          <t>A</t>
        </is>
      </c>
      <c r="C365" s="12" t="inlineStr">
        <is>
          <t>Power block</t>
        </is>
      </c>
      <c r="D365" s="12" t="inlineStr">
        <is>
          <t>MOV 22: control</t>
        </is>
      </c>
      <c r="E365" s="12" t="inlineStr">
        <is>
          <t>R2B</t>
        </is>
      </c>
      <c r="F365" s="12" t="inlineStr">
        <is>
          <t>R2B: unit / HRSG electrical e-house (32 x 40 ft)</t>
        </is>
      </c>
      <c r="G365" s="12" t="inlineStr">
        <is>
          <t>HRSG-2</t>
        </is>
      </c>
      <c r="H365" s="12" t="inlineStr">
        <is>
          <t>HRSG 2 + SCR (3P reheat, horizontal)</t>
        </is>
      </c>
      <c r="I365" s="12" t="inlineStr">
        <is>
          <t>Control</t>
        </is>
      </c>
      <c r="J365" s="12" t="inlineStr">
        <is>
          <t>Control cable 600 V Type TC-ER, Cu #14 AWG, PVC jacket</t>
        </is>
      </c>
      <c r="K365" s="12" t="inlineStr">
        <is>
          <t>CT|12/C|14</t>
        </is>
      </c>
      <c r="L365" s="12" t="inlineStr">
        <is>
          <t>12/C</t>
        </is>
      </c>
      <c r="M365" s="12" t="inlineStr">
        <is>
          <t>14</t>
        </is>
      </c>
      <c r="N365" s="12" t="n">
        <v>1</v>
      </c>
      <c r="O365" s="12" t="n">
        <v>1</v>
      </c>
      <c r="P365" s="12" t="n"/>
      <c r="Q365" s="12" t="n"/>
      <c r="R365" s="12" t="n"/>
      <c r="S365" s="12" t="inlineStr">
        <is>
          <t>Tray</t>
        </is>
      </c>
      <c r="T365" s="16" t="n">
        <v>53</v>
      </c>
      <c r="U365" s="16" t="n">
        <v>96</v>
      </c>
      <c r="V365" s="16">
        <f>ROUNDUP((T365+U365+2*'Read Me'!$B$13)*(1+'Read Me'!$B$12),-1)</f>
        <v/>
      </c>
      <c r="W365" s="16">
        <f>V365*N365*O365</f>
        <v/>
      </c>
      <c r="X365" s="12">
        <f>IF(LEFT(I365,2)="MV",2*N365*IF(L365="1/C",O365,1),0)</f>
        <v/>
      </c>
      <c r="Y365" s="12">
        <f>IF(OR(LEFT(K365,4)="LVAX",LEFT(K365,6)="MV15AX",LEFT(K365,4)="CTAX",LEFT(K365,2)="W|"),2*N365*O365,0)</f>
        <v/>
      </c>
      <c r="Z365" s="12" t="inlineStr"/>
      <c r="AA365" s="12">
        <f>N365*O365</f>
        <v/>
      </c>
    </row>
    <row r="366">
      <c r="A366" s="12" t="inlineStr">
        <is>
          <t>A-C-0354</t>
        </is>
      </c>
      <c r="B366" s="12" t="inlineStr">
        <is>
          <t>A</t>
        </is>
      </c>
      <c r="C366" s="12" t="inlineStr">
        <is>
          <t>Power block</t>
        </is>
      </c>
      <c r="D366" s="12" t="inlineStr">
        <is>
          <t>MOV 23: control</t>
        </is>
      </c>
      <c r="E366" s="12" t="inlineStr">
        <is>
          <t>R2B</t>
        </is>
      </c>
      <c r="F366" s="12" t="inlineStr">
        <is>
          <t>R2B: unit / HRSG electrical e-house (32 x 40 ft)</t>
        </is>
      </c>
      <c r="G366" s="12" t="inlineStr">
        <is>
          <t>HRSG-2</t>
        </is>
      </c>
      <c r="H366" s="12" t="inlineStr">
        <is>
          <t>HRSG 2 + SCR (3P reheat, horizontal)</t>
        </is>
      </c>
      <c r="I366" s="12" t="inlineStr">
        <is>
          <t>Control</t>
        </is>
      </c>
      <c r="J366" s="12" t="inlineStr">
        <is>
          <t>Control cable 600 V Type TC-ER, Cu #14 AWG, PVC jacket</t>
        </is>
      </c>
      <c r="K366" s="12" t="inlineStr">
        <is>
          <t>CT|12/C|14</t>
        </is>
      </c>
      <c r="L366" s="12" t="inlineStr">
        <is>
          <t>12/C</t>
        </is>
      </c>
      <c r="M366" s="12" t="inlineStr">
        <is>
          <t>14</t>
        </is>
      </c>
      <c r="N366" s="12" t="n">
        <v>1</v>
      </c>
      <c r="O366" s="12" t="n">
        <v>1</v>
      </c>
      <c r="P366" s="12" t="n"/>
      <c r="Q366" s="12" t="n"/>
      <c r="R366" s="12" t="n"/>
      <c r="S366" s="12" t="inlineStr">
        <is>
          <t>Tray</t>
        </is>
      </c>
      <c r="T366" s="16" t="n">
        <v>53</v>
      </c>
      <c r="U366" s="16" t="n">
        <v>96</v>
      </c>
      <c r="V366" s="16">
        <f>ROUNDUP((T366+U366+2*'Read Me'!$B$13)*(1+'Read Me'!$B$12),-1)</f>
        <v/>
      </c>
      <c r="W366" s="16">
        <f>V366*N366*O366</f>
        <v/>
      </c>
      <c r="X366" s="12">
        <f>IF(LEFT(I366,2)="MV",2*N366*IF(L366="1/C",O366,1),0)</f>
        <v/>
      </c>
      <c r="Y366" s="12">
        <f>IF(OR(LEFT(K366,4)="LVAX",LEFT(K366,6)="MV15AX",LEFT(K366,4)="CTAX",LEFT(K366,2)="W|"),2*N366*O366,0)</f>
        <v/>
      </c>
      <c r="Z366" s="12" t="inlineStr"/>
      <c r="AA366" s="12">
        <f>N366*O366</f>
        <v/>
      </c>
    </row>
    <row r="367">
      <c r="A367" s="12" t="inlineStr">
        <is>
          <t>A-C-0355</t>
        </is>
      </c>
      <c r="B367" s="12" t="inlineStr">
        <is>
          <t>A</t>
        </is>
      </c>
      <c r="C367" s="12" t="inlineStr">
        <is>
          <t>Power block</t>
        </is>
      </c>
      <c r="D367" s="12" t="inlineStr">
        <is>
          <t>MOV 24: control</t>
        </is>
      </c>
      <c r="E367" s="12" t="inlineStr">
        <is>
          <t>R2B</t>
        </is>
      </c>
      <c r="F367" s="12" t="inlineStr">
        <is>
          <t>R2B: unit / HRSG electrical e-house (32 x 40 ft)</t>
        </is>
      </c>
      <c r="G367" s="12" t="inlineStr">
        <is>
          <t>HRSG-2</t>
        </is>
      </c>
      <c r="H367" s="12" t="inlineStr">
        <is>
          <t>HRSG 2 + SCR (3P reheat, horizontal)</t>
        </is>
      </c>
      <c r="I367" s="12" t="inlineStr">
        <is>
          <t>Control</t>
        </is>
      </c>
      <c r="J367" s="12" t="inlineStr">
        <is>
          <t>Control cable 600 V Type TC-ER, Cu #14 AWG, PVC jacket</t>
        </is>
      </c>
      <c r="K367" s="12" t="inlineStr">
        <is>
          <t>CT|12/C|14</t>
        </is>
      </c>
      <c r="L367" s="12" t="inlineStr">
        <is>
          <t>12/C</t>
        </is>
      </c>
      <c r="M367" s="12" t="inlineStr">
        <is>
          <t>14</t>
        </is>
      </c>
      <c r="N367" s="12" t="n">
        <v>1</v>
      </c>
      <c r="O367" s="12" t="n">
        <v>1</v>
      </c>
      <c r="P367" s="12" t="n"/>
      <c r="Q367" s="12" t="n"/>
      <c r="R367" s="12" t="n"/>
      <c r="S367" s="12" t="inlineStr">
        <is>
          <t>Tray</t>
        </is>
      </c>
      <c r="T367" s="16" t="n">
        <v>53</v>
      </c>
      <c r="U367" s="16" t="n">
        <v>96</v>
      </c>
      <c r="V367" s="16">
        <f>ROUNDUP((T367+U367+2*'Read Me'!$B$13)*(1+'Read Me'!$B$12),-1)</f>
        <v/>
      </c>
      <c r="W367" s="16">
        <f>V367*N367*O367</f>
        <v/>
      </c>
      <c r="X367" s="12">
        <f>IF(LEFT(I367,2)="MV",2*N367*IF(L367="1/C",O367,1),0)</f>
        <v/>
      </c>
      <c r="Y367" s="12">
        <f>IF(OR(LEFT(K367,4)="LVAX",LEFT(K367,6)="MV15AX",LEFT(K367,4)="CTAX",LEFT(K367,2)="W|"),2*N367*O367,0)</f>
        <v/>
      </c>
      <c r="Z367" s="12" t="inlineStr"/>
      <c r="AA367" s="12">
        <f>N367*O367</f>
        <v/>
      </c>
    </row>
    <row r="368">
      <c r="A368" s="12" t="inlineStr">
        <is>
          <t>A-C-0356</t>
        </is>
      </c>
      <c r="B368" s="12" t="inlineStr">
        <is>
          <t>A</t>
        </is>
      </c>
      <c r="C368" s="12" t="inlineStr">
        <is>
          <t>Power block</t>
        </is>
      </c>
      <c r="D368" s="12" t="inlineStr">
        <is>
          <t>MOV 25: control</t>
        </is>
      </c>
      <c r="E368" s="12" t="inlineStr">
        <is>
          <t>R2B</t>
        </is>
      </c>
      <c r="F368" s="12" t="inlineStr">
        <is>
          <t>R2B: unit / HRSG electrical e-house (32 x 40 ft)</t>
        </is>
      </c>
      <c r="G368" s="12" t="inlineStr">
        <is>
          <t>HRSG-2</t>
        </is>
      </c>
      <c r="H368" s="12" t="inlineStr">
        <is>
          <t>HRSG 2 + SCR (3P reheat, horizontal)</t>
        </is>
      </c>
      <c r="I368" s="12" t="inlineStr">
        <is>
          <t>Control</t>
        </is>
      </c>
      <c r="J368" s="12" t="inlineStr">
        <is>
          <t>Control cable 600 V Type TC-ER, Cu #14 AWG, PVC jacket</t>
        </is>
      </c>
      <c r="K368" s="12" t="inlineStr">
        <is>
          <t>CT|12/C|14</t>
        </is>
      </c>
      <c r="L368" s="12" t="inlineStr">
        <is>
          <t>12/C</t>
        </is>
      </c>
      <c r="M368" s="12" t="inlineStr">
        <is>
          <t>14</t>
        </is>
      </c>
      <c r="N368" s="12" t="n">
        <v>1</v>
      </c>
      <c r="O368" s="12" t="n">
        <v>1</v>
      </c>
      <c r="P368" s="12" t="n"/>
      <c r="Q368" s="12" t="n"/>
      <c r="R368" s="12" t="n"/>
      <c r="S368" s="12" t="inlineStr">
        <is>
          <t>Tray</t>
        </is>
      </c>
      <c r="T368" s="16" t="n">
        <v>53</v>
      </c>
      <c r="U368" s="16" t="n">
        <v>96</v>
      </c>
      <c r="V368" s="16">
        <f>ROUNDUP((T368+U368+2*'Read Me'!$B$13)*(1+'Read Me'!$B$12),-1)</f>
        <v/>
      </c>
      <c r="W368" s="16">
        <f>V368*N368*O368</f>
        <v/>
      </c>
      <c r="X368" s="12">
        <f>IF(LEFT(I368,2)="MV",2*N368*IF(L368="1/C",O368,1),0)</f>
        <v/>
      </c>
      <c r="Y368" s="12">
        <f>IF(OR(LEFT(K368,4)="LVAX",LEFT(K368,6)="MV15AX",LEFT(K368,4)="CTAX",LEFT(K368,2)="W|"),2*N368*O368,0)</f>
        <v/>
      </c>
      <c r="Z368" s="12" t="inlineStr"/>
      <c r="AA368" s="12">
        <f>N368*O368</f>
        <v/>
      </c>
    </row>
    <row r="369">
      <c r="A369" s="12" t="inlineStr">
        <is>
          <t>A-C-0357</t>
        </is>
      </c>
      <c r="B369" s="12" t="inlineStr">
        <is>
          <t>A</t>
        </is>
      </c>
      <c r="C369" s="12" t="inlineStr">
        <is>
          <t>Power block</t>
        </is>
      </c>
      <c r="D369" s="12" t="inlineStr">
        <is>
          <t>MOV 26: control</t>
        </is>
      </c>
      <c r="E369" s="12" t="inlineStr">
        <is>
          <t>R2B</t>
        </is>
      </c>
      <c r="F369" s="12" t="inlineStr">
        <is>
          <t>R2B: unit / HRSG electrical e-house (32 x 40 ft)</t>
        </is>
      </c>
      <c r="G369" s="12" t="inlineStr">
        <is>
          <t>HRSG-2</t>
        </is>
      </c>
      <c r="H369" s="12" t="inlineStr">
        <is>
          <t>HRSG 2 + SCR (3P reheat, horizontal)</t>
        </is>
      </c>
      <c r="I369" s="12" t="inlineStr">
        <is>
          <t>Control</t>
        </is>
      </c>
      <c r="J369" s="12" t="inlineStr">
        <is>
          <t>Control cable 600 V Type TC-ER, Cu #14 AWG, PVC jacket</t>
        </is>
      </c>
      <c r="K369" s="12" t="inlineStr">
        <is>
          <t>CT|12/C|14</t>
        </is>
      </c>
      <c r="L369" s="12" t="inlineStr">
        <is>
          <t>12/C</t>
        </is>
      </c>
      <c r="M369" s="12" t="inlineStr">
        <is>
          <t>14</t>
        </is>
      </c>
      <c r="N369" s="12" t="n">
        <v>1</v>
      </c>
      <c r="O369" s="12" t="n">
        <v>1</v>
      </c>
      <c r="P369" s="12" t="n"/>
      <c r="Q369" s="12" t="n"/>
      <c r="R369" s="12" t="n"/>
      <c r="S369" s="12" t="inlineStr">
        <is>
          <t>Tray</t>
        </is>
      </c>
      <c r="T369" s="16" t="n">
        <v>53</v>
      </c>
      <c r="U369" s="16" t="n">
        <v>96</v>
      </c>
      <c r="V369" s="16">
        <f>ROUNDUP((T369+U369+2*'Read Me'!$B$13)*(1+'Read Me'!$B$12),-1)</f>
        <v/>
      </c>
      <c r="W369" s="16">
        <f>V369*N369*O369</f>
        <v/>
      </c>
      <c r="X369" s="12">
        <f>IF(LEFT(I369,2)="MV",2*N369*IF(L369="1/C",O369,1),0)</f>
        <v/>
      </c>
      <c r="Y369" s="12">
        <f>IF(OR(LEFT(K369,4)="LVAX",LEFT(K369,6)="MV15AX",LEFT(K369,4)="CTAX",LEFT(K369,2)="W|"),2*N369*O369,0)</f>
        <v/>
      </c>
      <c r="Z369" s="12" t="inlineStr"/>
      <c r="AA369" s="12">
        <f>N369*O369</f>
        <v/>
      </c>
    </row>
    <row r="370">
      <c r="A370" s="12" t="inlineStr">
        <is>
          <t>A-C-0358</t>
        </is>
      </c>
      <c r="B370" s="12" t="inlineStr">
        <is>
          <t>A</t>
        </is>
      </c>
      <c r="C370" s="12" t="inlineStr">
        <is>
          <t>Power block</t>
        </is>
      </c>
      <c r="D370" s="12" t="inlineStr">
        <is>
          <t>MOV 27: control</t>
        </is>
      </c>
      <c r="E370" s="12" t="inlineStr">
        <is>
          <t>R2B</t>
        </is>
      </c>
      <c r="F370" s="12" t="inlineStr">
        <is>
          <t>R2B: unit / HRSG electrical e-house (32 x 40 ft)</t>
        </is>
      </c>
      <c r="G370" s="12" t="inlineStr">
        <is>
          <t>HRSG-2</t>
        </is>
      </c>
      <c r="H370" s="12" t="inlineStr">
        <is>
          <t>HRSG 2 + SCR (3P reheat, horizontal)</t>
        </is>
      </c>
      <c r="I370" s="12" t="inlineStr">
        <is>
          <t>Control</t>
        </is>
      </c>
      <c r="J370" s="12" t="inlineStr">
        <is>
          <t>Control cable 600 V Type TC-ER, Cu #14 AWG, PVC jacket</t>
        </is>
      </c>
      <c r="K370" s="12" t="inlineStr">
        <is>
          <t>CT|12/C|14</t>
        </is>
      </c>
      <c r="L370" s="12" t="inlineStr">
        <is>
          <t>12/C</t>
        </is>
      </c>
      <c r="M370" s="12" t="inlineStr">
        <is>
          <t>14</t>
        </is>
      </c>
      <c r="N370" s="12" t="n">
        <v>1</v>
      </c>
      <c r="O370" s="12" t="n">
        <v>1</v>
      </c>
      <c r="P370" s="12" t="n"/>
      <c r="Q370" s="12" t="n"/>
      <c r="R370" s="12" t="n"/>
      <c r="S370" s="12" t="inlineStr">
        <is>
          <t>Tray</t>
        </is>
      </c>
      <c r="T370" s="16" t="n">
        <v>53</v>
      </c>
      <c r="U370" s="16" t="n">
        <v>96</v>
      </c>
      <c r="V370" s="16">
        <f>ROUNDUP((T370+U370+2*'Read Me'!$B$13)*(1+'Read Me'!$B$12),-1)</f>
        <v/>
      </c>
      <c r="W370" s="16">
        <f>V370*N370*O370</f>
        <v/>
      </c>
      <c r="X370" s="12">
        <f>IF(LEFT(I370,2)="MV",2*N370*IF(L370="1/C",O370,1),0)</f>
        <v/>
      </c>
      <c r="Y370" s="12">
        <f>IF(OR(LEFT(K370,4)="LVAX",LEFT(K370,6)="MV15AX",LEFT(K370,4)="CTAX",LEFT(K370,2)="W|"),2*N370*O370,0)</f>
        <v/>
      </c>
      <c r="Z370" s="12" t="inlineStr"/>
      <c r="AA370" s="12">
        <f>N370*O370</f>
        <v/>
      </c>
    </row>
    <row r="371">
      <c r="A371" s="12" t="inlineStr">
        <is>
          <t>A-C-0359</t>
        </is>
      </c>
      <c r="B371" s="12" t="inlineStr">
        <is>
          <t>A</t>
        </is>
      </c>
      <c r="C371" s="12" t="inlineStr">
        <is>
          <t>Power block</t>
        </is>
      </c>
      <c r="D371" s="12" t="inlineStr">
        <is>
          <t>MOV 28: control</t>
        </is>
      </c>
      <c r="E371" s="12" t="inlineStr">
        <is>
          <t>R2B</t>
        </is>
      </c>
      <c r="F371" s="12" t="inlineStr">
        <is>
          <t>R2B: unit / HRSG electrical e-house (32 x 40 ft)</t>
        </is>
      </c>
      <c r="G371" s="12" t="inlineStr">
        <is>
          <t>HRSG-2</t>
        </is>
      </c>
      <c r="H371" s="12" t="inlineStr">
        <is>
          <t>HRSG 2 + SCR (3P reheat, horizontal)</t>
        </is>
      </c>
      <c r="I371" s="12" t="inlineStr">
        <is>
          <t>Control</t>
        </is>
      </c>
      <c r="J371" s="12" t="inlineStr">
        <is>
          <t>Control cable 600 V Type TC-ER, Cu #14 AWG, PVC jacket</t>
        </is>
      </c>
      <c r="K371" s="12" t="inlineStr">
        <is>
          <t>CT|12/C|14</t>
        </is>
      </c>
      <c r="L371" s="12" t="inlineStr">
        <is>
          <t>12/C</t>
        </is>
      </c>
      <c r="M371" s="12" t="inlineStr">
        <is>
          <t>14</t>
        </is>
      </c>
      <c r="N371" s="12" t="n">
        <v>1</v>
      </c>
      <c r="O371" s="12" t="n">
        <v>1</v>
      </c>
      <c r="P371" s="12" t="n"/>
      <c r="Q371" s="12" t="n"/>
      <c r="R371" s="12" t="n"/>
      <c r="S371" s="12" t="inlineStr">
        <is>
          <t>Tray</t>
        </is>
      </c>
      <c r="T371" s="16" t="n">
        <v>53</v>
      </c>
      <c r="U371" s="16" t="n">
        <v>96</v>
      </c>
      <c r="V371" s="16">
        <f>ROUNDUP((T371+U371+2*'Read Me'!$B$13)*(1+'Read Me'!$B$12),-1)</f>
        <v/>
      </c>
      <c r="W371" s="16">
        <f>V371*N371*O371</f>
        <v/>
      </c>
      <c r="X371" s="12">
        <f>IF(LEFT(I371,2)="MV",2*N371*IF(L371="1/C",O371,1),0)</f>
        <v/>
      </c>
      <c r="Y371" s="12">
        <f>IF(OR(LEFT(K371,4)="LVAX",LEFT(K371,6)="MV15AX",LEFT(K371,4)="CTAX",LEFT(K371,2)="W|"),2*N371*O371,0)</f>
        <v/>
      </c>
      <c r="Z371" s="12" t="inlineStr"/>
      <c r="AA371" s="12">
        <f>N371*O371</f>
        <v/>
      </c>
    </row>
    <row r="372">
      <c r="A372" s="12" t="inlineStr">
        <is>
          <t>A-C-0360</t>
        </is>
      </c>
      <c r="B372" s="12" t="inlineStr">
        <is>
          <t>A</t>
        </is>
      </c>
      <c r="C372" s="12" t="inlineStr">
        <is>
          <t>Power block</t>
        </is>
      </c>
      <c r="D372" s="12" t="inlineStr">
        <is>
          <t>MOV 29: control</t>
        </is>
      </c>
      <c r="E372" s="12" t="inlineStr">
        <is>
          <t>R2B</t>
        </is>
      </c>
      <c r="F372" s="12" t="inlineStr">
        <is>
          <t>R2B: unit / HRSG electrical e-house (32 x 40 ft)</t>
        </is>
      </c>
      <c r="G372" s="12" t="inlineStr">
        <is>
          <t>HRSG-2</t>
        </is>
      </c>
      <c r="H372" s="12" t="inlineStr">
        <is>
          <t>HRSG 2 + SCR (3P reheat, horizontal)</t>
        </is>
      </c>
      <c r="I372" s="12" t="inlineStr">
        <is>
          <t>Control</t>
        </is>
      </c>
      <c r="J372" s="12" t="inlineStr">
        <is>
          <t>Control cable 600 V Type TC-ER, Cu #14 AWG, PVC jacket</t>
        </is>
      </c>
      <c r="K372" s="12" t="inlineStr">
        <is>
          <t>CT|12/C|14</t>
        </is>
      </c>
      <c r="L372" s="12" t="inlineStr">
        <is>
          <t>12/C</t>
        </is>
      </c>
      <c r="M372" s="12" t="inlineStr">
        <is>
          <t>14</t>
        </is>
      </c>
      <c r="N372" s="12" t="n">
        <v>1</v>
      </c>
      <c r="O372" s="12" t="n">
        <v>1</v>
      </c>
      <c r="P372" s="12" t="n"/>
      <c r="Q372" s="12" t="n"/>
      <c r="R372" s="12" t="n"/>
      <c r="S372" s="12" t="inlineStr">
        <is>
          <t>Tray</t>
        </is>
      </c>
      <c r="T372" s="16" t="n">
        <v>53</v>
      </c>
      <c r="U372" s="16" t="n">
        <v>96</v>
      </c>
      <c r="V372" s="16">
        <f>ROUNDUP((T372+U372+2*'Read Me'!$B$13)*(1+'Read Me'!$B$12),-1)</f>
        <v/>
      </c>
      <c r="W372" s="16">
        <f>V372*N372*O372</f>
        <v/>
      </c>
      <c r="X372" s="12">
        <f>IF(LEFT(I372,2)="MV",2*N372*IF(L372="1/C",O372,1),0)</f>
        <v/>
      </c>
      <c r="Y372" s="12">
        <f>IF(OR(LEFT(K372,4)="LVAX",LEFT(K372,6)="MV15AX",LEFT(K372,4)="CTAX",LEFT(K372,2)="W|"),2*N372*O372,0)</f>
        <v/>
      </c>
      <c r="Z372" s="12" t="inlineStr"/>
      <c r="AA372" s="12">
        <f>N372*O372</f>
        <v/>
      </c>
    </row>
    <row r="373">
      <c r="A373" s="12" t="inlineStr">
        <is>
          <t>A-C-0361</t>
        </is>
      </c>
      <c r="B373" s="12" t="inlineStr">
        <is>
          <t>A</t>
        </is>
      </c>
      <c r="C373" s="12" t="inlineStr">
        <is>
          <t>Power block</t>
        </is>
      </c>
      <c r="D373" s="12" t="inlineStr">
        <is>
          <t>MOV 30: control</t>
        </is>
      </c>
      <c r="E373" s="12" t="inlineStr">
        <is>
          <t>R2B</t>
        </is>
      </c>
      <c r="F373" s="12" t="inlineStr">
        <is>
          <t>R2B: unit / HRSG electrical e-house (32 x 40 ft)</t>
        </is>
      </c>
      <c r="G373" s="12" t="inlineStr">
        <is>
          <t>HRSG-2</t>
        </is>
      </c>
      <c r="H373" s="12" t="inlineStr">
        <is>
          <t>HRSG 2 + SCR (3P reheat, horizontal)</t>
        </is>
      </c>
      <c r="I373" s="12" t="inlineStr">
        <is>
          <t>Control</t>
        </is>
      </c>
      <c r="J373" s="12" t="inlineStr">
        <is>
          <t>Control cable 600 V Type TC-ER, Cu #14 AWG, PVC jacket</t>
        </is>
      </c>
      <c r="K373" s="12" t="inlineStr">
        <is>
          <t>CT|12/C|14</t>
        </is>
      </c>
      <c r="L373" s="12" t="inlineStr">
        <is>
          <t>12/C</t>
        </is>
      </c>
      <c r="M373" s="12" t="inlineStr">
        <is>
          <t>14</t>
        </is>
      </c>
      <c r="N373" s="12" t="n">
        <v>1</v>
      </c>
      <c r="O373" s="12" t="n">
        <v>1</v>
      </c>
      <c r="P373" s="12" t="n"/>
      <c r="Q373" s="12" t="n"/>
      <c r="R373" s="12" t="n"/>
      <c r="S373" s="12" t="inlineStr">
        <is>
          <t>Tray</t>
        </is>
      </c>
      <c r="T373" s="16" t="n">
        <v>53</v>
      </c>
      <c r="U373" s="16" t="n">
        <v>96</v>
      </c>
      <c r="V373" s="16">
        <f>ROUNDUP((T373+U373+2*'Read Me'!$B$13)*(1+'Read Me'!$B$12),-1)</f>
        <v/>
      </c>
      <c r="W373" s="16">
        <f>V373*N373*O373</f>
        <v/>
      </c>
      <c r="X373" s="12">
        <f>IF(LEFT(I373,2)="MV",2*N373*IF(L373="1/C",O373,1),0)</f>
        <v/>
      </c>
      <c r="Y373" s="12">
        <f>IF(OR(LEFT(K373,4)="LVAX",LEFT(K373,6)="MV15AX",LEFT(K373,4)="CTAX",LEFT(K373,2)="W|"),2*N373*O373,0)</f>
        <v/>
      </c>
      <c r="Z373" s="12" t="inlineStr"/>
      <c r="AA373" s="12">
        <f>N373*O373</f>
        <v/>
      </c>
    </row>
    <row r="374">
      <c r="A374" s="12" t="inlineStr">
        <is>
          <t>A-C-0362</t>
        </is>
      </c>
      <c r="B374" s="12" t="inlineStr">
        <is>
          <t>A</t>
        </is>
      </c>
      <c r="C374" s="12" t="inlineStr">
        <is>
          <t>Power block</t>
        </is>
      </c>
      <c r="D374" s="12" t="inlineStr">
        <is>
          <t>MOV 31: control</t>
        </is>
      </c>
      <c r="E374" s="12" t="inlineStr">
        <is>
          <t>R2B</t>
        </is>
      </c>
      <c r="F374" s="12" t="inlineStr">
        <is>
          <t>R2B: unit / HRSG electrical e-house (32 x 40 ft)</t>
        </is>
      </c>
      <c r="G374" s="12" t="inlineStr">
        <is>
          <t>HRSG-2</t>
        </is>
      </c>
      <c r="H374" s="12" t="inlineStr">
        <is>
          <t>HRSG 2 + SCR (3P reheat, horizontal)</t>
        </is>
      </c>
      <c r="I374" s="12" t="inlineStr">
        <is>
          <t>Control</t>
        </is>
      </c>
      <c r="J374" s="12" t="inlineStr">
        <is>
          <t>Control cable 600 V Type TC-ER, Cu #14 AWG, PVC jacket</t>
        </is>
      </c>
      <c r="K374" s="12" t="inlineStr">
        <is>
          <t>CT|12/C|14</t>
        </is>
      </c>
      <c r="L374" s="12" t="inlineStr">
        <is>
          <t>12/C</t>
        </is>
      </c>
      <c r="M374" s="12" t="inlineStr">
        <is>
          <t>14</t>
        </is>
      </c>
      <c r="N374" s="12" t="n">
        <v>1</v>
      </c>
      <c r="O374" s="12" t="n">
        <v>1</v>
      </c>
      <c r="P374" s="12" t="n"/>
      <c r="Q374" s="12" t="n"/>
      <c r="R374" s="12" t="n"/>
      <c r="S374" s="12" t="inlineStr">
        <is>
          <t>Tray</t>
        </is>
      </c>
      <c r="T374" s="16" t="n">
        <v>53</v>
      </c>
      <c r="U374" s="16" t="n">
        <v>96</v>
      </c>
      <c r="V374" s="16">
        <f>ROUNDUP((T374+U374+2*'Read Me'!$B$13)*(1+'Read Me'!$B$12),-1)</f>
        <v/>
      </c>
      <c r="W374" s="16">
        <f>V374*N374*O374</f>
        <v/>
      </c>
      <c r="X374" s="12">
        <f>IF(LEFT(I374,2)="MV",2*N374*IF(L374="1/C",O374,1),0)</f>
        <v/>
      </c>
      <c r="Y374" s="12">
        <f>IF(OR(LEFT(K374,4)="LVAX",LEFT(K374,6)="MV15AX",LEFT(K374,4)="CTAX",LEFT(K374,2)="W|"),2*N374*O374,0)</f>
        <v/>
      </c>
      <c r="Z374" s="12" t="inlineStr"/>
      <c r="AA374" s="12">
        <f>N374*O374</f>
        <v/>
      </c>
    </row>
    <row r="375">
      <c r="A375" s="12" t="inlineStr">
        <is>
          <t>A-C-0363</t>
        </is>
      </c>
      <c r="B375" s="12" t="inlineStr">
        <is>
          <t>A</t>
        </is>
      </c>
      <c r="C375" s="12" t="inlineStr">
        <is>
          <t>Power block</t>
        </is>
      </c>
      <c r="D375" s="12" t="inlineStr">
        <is>
          <t>MOV 32: control</t>
        </is>
      </c>
      <c r="E375" s="12" t="inlineStr">
        <is>
          <t>R2B</t>
        </is>
      </c>
      <c r="F375" s="12" t="inlineStr">
        <is>
          <t>R2B: unit / HRSG electrical e-house (32 x 40 ft)</t>
        </is>
      </c>
      <c r="G375" s="12" t="inlineStr">
        <is>
          <t>HRSG-2</t>
        </is>
      </c>
      <c r="H375" s="12" t="inlineStr">
        <is>
          <t>HRSG 2 + SCR (3P reheat, horizontal)</t>
        </is>
      </c>
      <c r="I375" s="12" t="inlineStr">
        <is>
          <t>Control</t>
        </is>
      </c>
      <c r="J375" s="12" t="inlineStr">
        <is>
          <t>Control cable 600 V Type TC-ER, Cu #14 AWG, PVC jacket</t>
        </is>
      </c>
      <c r="K375" s="12" t="inlineStr">
        <is>
          <t>CT|12/C|14</t>
        </is>
      </c>
      <c r="L375" s="12" t="inlineStr">
        <is>
          <t>12/C</t>
        </is>
      </c>
      <c r="M375" s="12" t="inlineStr">
        <is>
          <t>14</t>
        </is>
      </c>
      <c r="N375" s="12" t="n">
        <v>1</v>
      </c>
      <c r="O375" s="12" t="n">
        <v>1</v>
      </c>
      <c r="P375" s="12" t="n"/>
      <c r="Q375" s="12" t="n"/>
      <c r="R375" s="12" t="n"/>
      <c r="S375" s="12" t="inlineStr">
        <is>
          <t>Tray</t>
        </is>
      </c>
      <c r="T375" s="16" t="n">
        <v>53</v>
      </c>
      <c r="U375" s="16" t="n">
        <v>96</v>
      </c>
      <c r="V375" s="16">
        <f>ROUNDUP((T375+U375+2*'Read Me'!$B$13)*(1+'Read Me'!$B$12),-1)</f>
        <v/>
      </c>
      <c r="W375" s="16">
        <f>V375*N375*O375</f>
        <v/>
      </c>
      <c r="X375" s="12">
        <f>IF(LEFT(I375,2)="MV",2*N375*IF(L375="1/C",O375,1),0)</f>
        <v/>
      </c>
      <c r="Y375" s="12">
        <f>IF(OR(LEFT(K375,4)="LVAX",LEFT(K375,6)="MV15AX",LEFT(K375,4)="CTAX",LEFT(K375,2)="W|"),2*N375*O375,0)</f>
        <v/>
      </c>
      <c r="Z375" s="12" t="inlineStr"/>
      <c r="AA375" s="12">
        <f>N375*O375</f>
        <v/>
      </c>
    </row>
    <row r="376">
      <c r="A376" s="12" t="inlineStr">
        <is>
          <t>A-C-0364</t>
        </is>
      </c>
      <c r="B376" s="12" t="inlineStr">
        <is>
          <t>A</t>
        </is>
      </c>
      <c r="C376" s="12" t="inlineStr">
        <is>
          <t>Power block</t>
        </is>
      </c>
      <c r="D376" s="12" t="inlineStr">
        <is>
          <t>MOV 33: control</t>
        </is>
      </c>
      <c r="E376" s="12" t="inlineStr">
        <is>
          <t>R2B</t>
        </is>
      </c>
      <c r="F376" s="12" t="inlineStr">
        <is>
          <t>R2B: unit / HRSG electrical e-house (32 x 40 ft)</t>
        </is>
      </c>
      <c r="G376" s="12" t="inlineStr">
        <is>
          <t>HRSG-2</t>
        </is>
      </c>
      <c r="H376" s="12" t="inlineStr">
        <is>
          <t>HRSG 2 + SCR (3P reheat, horizontal)</t>
        </is>
      </c>
      <c r="I376" s="12" t="inlineStr">
        <is>
          <t>Control</t>
        </is>
      </c>
      <c r="J376" s="12" t="inlineStr">
        <is>
          <t>Control cable 600 V Type TC-ER, Cu #14 AWG, PVC jacket</t>
        </is>
      </c>
      <c r="K376" s="12" t="inlineStr">
        <is>
          <t>CT|12/C|14</t>
        </is>
      </c>
      <c r="L376" s="12" t="inlineStr">
        <is>
          <t>12/C</t>
        </is>
      </c>
      <c r="M376" s="12" t="inlineStr">
        <is>
          <t>14</t>
        </is>
      </c>
      <c r="N376" s="12" t="n">
        <v>1</v>
      </c>
      <c r="O376" s="12" t="n">
        <v>1</v>
      </c>
      <c r="P376" s="12" t="n"/>
      <c r="Q376" s="12" t="n"/>
      <c r="R376" s="12" t="n"/>
      <c r="S376" s="12" t="inlineStr">
        <is>
          <t>Tray</t>
        </is>
      </c>
      <c r="T376" s="16" t="n">
        <v>53</v>
      </c>
      <c r="U376" s="16" t="n">
        <v>96</v>
      </c>
      <c r="V376" s="16">
        <f>ROUNDUP((T376+U376+2*'Read Me'!$B$13)*(1+'Read Me'!$B$12),-1)</f>
        <v/>
      </c>
      <c r="W376" s="16">
        <f>V376*N376*O376</f>
        <v/>
      </c>
      <c r="X376" s="12">
        <f>IF(LEFT(I376,2)="MV",2*N376*IF(L376="1/C",O376,1),0)</f>
        <v/>
      </c>
      <c r="Y376" s="12">
        <f>IF(OR(LEFT(K376,4)="LVAX",LEFT(K376,6)="MV15AX",LEFT(K376,4)="CTAX",LEFT(K376,2)="W|"),2*N376*O376,0)</f>
        <v/>
      </c>
      <c r="Z376" s="12" t="inlineStr"/>
      <c r="AA376" s="12">
        <f>N376*O376</f>
        <v/>
      </c>
    </row>
    <row r="377">
      <c r="A377" s="12" t="inlineStr">
        <is>
          <t>A-C-0365</t>
        </is>
      </c>
      <c r="B377" s="12" t="inlineStr">
        <is>
          <t>A</t>
        </is>
      </c>
      <c r="C377" s="12" t="inlineStr">
        <is>
          <t>Power block</t>
        </is>
      </c>
      <c r="D377" s="12" t="inlineStr">
        <is>
          <t>MOV 34: control</t>
        </is>
      </c>
      <c r="E377" s="12" t="inlineStr">
        <is>
          <t>R2B</t>
        </is>
      </c>
      <c r="F377" s="12" t="inlineStr">
        <is>
          <t>R2B: unit / HRSG electrical e-house (32 x 40 ft)</t>
        </is>
      </c>
      <c r="G377" s="12" t="inlineStr">
        <is>
          <t>HRSG-2</t>
        </is>
      </c>
      <c r="H377" s="12" t="inlineStr">
        <is>
          <t>HRSG 2 + SCR (3P reheat, horizontal)</t>
        </is>
      </c>
      <c r="I377" s="12" t="inlineStr">
        <is>
          <t>Control</t>
        </is>
      </c>
      <c r="J377" s="12" t="inlineStr">
        <is>
          <t>Control cable 600 V Type TC-ER, Cu #14 AWG, PVC jacket</t>
        </is>
      </c>
      <c r="K377" s="12" t="inlineStr">
        <is>
          <t>CT|12/C|14</t>
        </is>
      </c>
      <c r="L377" s="12" t="inlineStr">
        <is>
          <t>12/C</t>
        </is>
      </c>
      <c r="M377" s="12" t="inlineStr">
        <is>
          <t>14</t>
        </is>
      </c>
      <c r="N377" s="12" t="n">
        <v>1</v>
      </c>
      <c r="O377" s="12" t="n">
        <v>1</v>
      </c>
      <c r="P377" s="12" t="n"/>
      <c r="Q377" s="12" t="n"/>
      <c r="R377" s="12" t="n"/>
      <c r="S377" s="12" t="inlineStr">
        <is>
          <t>Tray</t>
        </is>
      </c>
      <c r="T377" s="16" t="n">
        <v>53</v>
      </c>
      <c r="U377" s="16" t="n">
        <v>96</v>
      </c>
      <c r="V377" s="16">
        <f>ROUNDUP((T377+U377+2*'Read Me'!$B$13)*(1+'Read Me'!$B$12),-1)</f>
        <v/>
      </c>
      <c r="W377" s="16">
        <f>V377*N377*O377</f>
        <v/>
      </c>
      <c r="X377" s="12">
        <f>IF(LEFT(I377,2)="MV",2*N377*IF(L377="1/C",O377,1),0)</f>
        <v/>
      </c>
      <c r="Y377" s="12">
        <f>IF(OR(LEFT(K377,4)="LVAX",LEFT(K377,6)="MV15AX",LEFT(K377,4)="CTAX",LEFT(K377,2)="W|"),2*N377*O377,0)</f>
        <v/>
      </c>
      <c r="Z377" s="12" t="inlineStr"/>
      <c r="AA377" s="12">
        <f>N377*O377</f>
        <v/>
      </c>
    </row>
    <row r="378">
      <c r="A378" s="12" t="inlineStr">
        <is>
          <t>A-C-0366</t>
        </is>
      </c>
      <c r="B378" s="12" t="inlineStr">
        <is>
          <t>A</t>
        </is>
      </c>
      <c r="C378" s="12" t="inlineStr">
        <is>
          <t>Power block</t>
        </is>
      </c>
      <c r="D378" s="12" t="inlineStr">
        <is>
          <t>MOV 35: control</t>
        </is>
      </c>
      <c r="E378" s="12" t="inlineStr">
        <is>
          <t>R2B</t>
        </is>
      </c>
      <c r="F378" s="12" t="inlineStr">
        <is>
          <t>R2B: unit / HRSG electrical e-house (32 x 40 ft)</t>
        </is>
      </c>
      <c r="G378" s="12" t="inlineStr">
        <is>
          <t>HRSG-2</t>
        </is>
      </c>
      <c r="H378" s="12" t="inlineStr">
        <is>
          <t>HRSG 2 + SCR (3P reheat, horizontal)</t>
        </is>
      </c>
      <c r="I378" s="12" t="inlineStr">
        <is>
          <t>Control</t>
        </is>
      </c>
      <c r="J378" s="12" t="inlineStr">
        <is>
          <t>Control cable 600 V Type TC-ER, Cu #14 AWG, PVC jacket</t>
        </is>
      </c>
      <c r="K378" s="12" t="inlineStr">
        <is>
          <t>CT|12/C|14</t>
        </is>
      </c>
      <c r="L378" s="12" t="inlineStr">
        <is>
          <t>12/C</t>
        </is>
      </c>
      <c r="M378" s="12" t="inlineStr">
        <is>
          <t>14</t>
        </is>
      </c>
      <c r="N378" s="12" t="n">
        <v>1</v>
      </c>
      <c r="O378" s="12" t="n">
        <v>1</v>
      </c>
      <c r="P378" s="12" t="n"/>
      <c r="Q378" s="12" t="n"/>
      <c r="R378" s="12" t="n"/>
      <c r="S378" s="12" t="inlineStr">
        <is>
          <t>Tray</t>
        </is>
      </c>
      <c r="T378" s="16" t="n">
        <v>53</v>
      </c>
      <c r="U378" s="16" t="n">
        <v>96</v>
      </c>
      <c r="V378" s="16">
        <f>ROUNDUP((T378+U378+2*'Read Me'!$B$13)*(1+'Read Me'!$B$12),-1)</f>
        <v/>
      </c>
      <c r="W378" s="16">
        <f>V378*N378*O378</f>
        <v/>
      </c>
      <c r="X378" s="12">
        <f>IF(LEFT(I378,2)="MV",2*N378*IF(L378="1/C",O378,1),0)</f>
        <v/>
      </c>
      <c r="Y378" s="12">
        <f>IF(OR(LEFT(K378,4)="LVAX",LEFT(K378,6)="MV15AX",LEFT(K378,4)="CTAX",LEFT(K378,2)="W|"),2*N378*O378,0)</f>
        <v/>
      </c>
      <c r="Z378" s="12" t="inlineStr"/>
      <c r="AA378" s="12">
        <f>N378*O378</f>
        <v/>
      </c>
    </row>
    <row r="379">
      <c r="A379" s="12" t="inlineStr">
        <is>
          <t>A-C-0367</t>
        </is>
      </c>
      <c r="B379" s="12" t="inlineStr">
        <is>
          <t>A</t>
        </is>
      </c>
      <c r="C379" s="12" t="inlineStr">
        <is>
          <t>Power block</t>
        </is>
      </c>
      <c r="D379" s="12" t="inlineStr">
        <is>
          <t>MOV 36: control</t>
        </is>
      </c>
      <c r="E379" s="12" t="inlineStr">
        <is>
          <t>R2B</t>
        </is>
      </c>
      <c r="F379" s="12" t="inlineStr">
        <is>
          <t>R2B: unit / HRSG electrical e-house (32 x 40 ft)</t>
        </is>
      </c>
      <c r="G379" s="12" t="inlineStr">
        <is>
          <t>HRSG-2</t>
        </is>
      </c>
      <c r="H379" s="12" t="inlineStr">
        <is>
          <t>HRSG 2 + SCR (3P reheat, horizontal)</t>
        </is>
      </c>
      <c r="I379" s="12" t="inlineStr">
        <is>
          <t>Control</t>
        </is>
      </c>
      <c r="J379" s="12" t="inlineStr">
        <is>
          <t>Control cable 600 V Type TC-ER, Cu #14 AWG, PVC jacket</t>
        </is>
      </c>
      <c r="K379" s="12" t="inlineStr">
        <is>
          <t>CT|12/C|14</t>
        </is>
      </c>
      <c r="L379" s="12" t="inlineStr">
        <is>
          <t>12/C</t>
        </is>
      </c>
      <c r="M379" s="12" t="inlineStr">
        <is>
          <t>14</t>
        </is>
      </c>
      <c r="N379" s="12" t="n">
        <v>1</v>
      </c>
      <c r="O379" s="12" t="n">
        <v>1</v>
      </c>
      <c r="P379" s="12" t="n"/>
      <c r="Q379" s="12" t="n"/>
      <c r="R379" s="12" t="n"/>
      <c r="S379" s="12" t="inlineStr">
        <is>
          <t>Tray</t>
        </is>
      </c>
      <c r="T379" s="16" t="n">
        <v>53</v>
      </c>
      <c r="U379" s="16" t="n">
        <v>96</v>
      </c>
      <c r="V379" s="16">
        <f>ROUNDUP((T379+U379+2*'Read Me'!$B$13)*(1+'Read Me'!$B$12),-1)</f>
        <v/>
      </c>
      <c r="W379" s="16">
        <f>V379*N379*O379</f>
        <v/>
      </c>
      <c r="X379" s="12">
        <f>IF(LEFT(I379,2)="MV",2*N379*IF(L379="1/C",O379,1),0)</f>
        <v/>
      </c>
      <c r="Y379" s="12">
        <f>IF(OR(LEFT(K379,4)="LVAX",LEFT(K379,6)="MV15AX",LEFT(K379,4)="CTAX",LEFT(K379,2)="W|"),2*N379*O379,0)</f>
        <v/>
      </c>
      <c r="Z379" s="12" t="inlineStr"/>
      <c r="AA379" s="12">
        <f>N379*O379</f>
        <v/>
      </c>
    </row>
    <row r="380">
      <c r="A380" s="12" t="inlineStr">
        <is>
          <t>A-C-0368</t>
        </is>
      </c>
      <c r="B380" s="12" t="inlineStr">
        <is>
          <t>A</t>
        </is>
      </c>
      <c r="C380" s="12" t="inlineStr">
        <is>
          <t>Power block</t>
        </is>
      </c>
      <c r="D380" s="12" t="inlineStr">
        <is>
          <t>MOV 37: control</t>
        </is>
      </c>
      <c r="E380" s="12" t="inlineStr">
        <is>
          <t>R2B</t>
        </is>
      </c>
      <c r="F380" s="12" t="inlineStr">
        <is>
          <t>R2B: unit / HRSG electrical e-house (32 x 40 ft)</t>
        </is>
      </c>
      <c r="G380" s="12" t="inlineStr">
        <is>
          <t>HRSG-2</t>
        </is>
      </c>
      <c r="H380" s="12" t="inlineStr">
        <is>
          <t>HRSG 2 + SCR (3P reheat, horizontal)</t>
        </is>
      </c>
      <c r="I380" s="12" t="inlineStr">
        <is>
          <t>Control</t>
        </is>
      </c>
      <c r="J380" s="12" t="inlineStr">
        <is>
          <t>Control cable 600 V Type TC-ER, Cu #14 AWG, PVC jacket</t>
        </is>
      </c>
      <c r="K380" s="12" t="inlineStr">
        <is>
          <t>CT|12/C|14</t>
        </is>
      </c>
      <c r="L380" s="12" t="inlineStr">
        <is>
          <t>12/C</t>
        </is>
      </c>
      <c r="M380" s="12" t="inlineStr">
        <is>
          <t>14</t>
        </is>
      </c>
      <c r="N380" s="12" t="n">
        <v>1</v>
      </c>
      <c r="O380" s="12" t="n">
        <v>1</v>
      </c>
      <c r="P380" s="12" t="n"/>
      <c r="Q380" s="12" t="n"/>
      <c r="R380" s="12" t="n"/>
      <c r="S380" s="12" t="inlineStr">
        <is>
          <t>Tray</t>
        </is>
      </c>
      <c r="T380" s="16" t="n">
        <v>53</v>
      </c>
      <c r="U380" s="16" t="n">
        <v>96</v>
      </c>
      <c r="V380" s="16">
        <f>ROUNDUP((T380+U380+2*'Read Me'!$B$13)*(1+'Read Me'!$B$12),-1)</f>
        <v/>
      </c>
      <c r="W380" s="16">
        <f>V380*N380*O380</f>
        <v/>
      </c>
      <c r="X380" s="12">
        <f>IF(LEFT(I380,2)="MV",2*N380*IF(L380="1/C",O380,1),0)</f>
        <v/>
      </c>
      <c r="Y380" s="12">
        <f>IF(OR(LEFT(K380,4)="LVAX",LEFT(K380,6)="MV15AX",LEFT(K380,4)="CTAX",LEFT(K380,2)="W|"),2*N380*O380,0)</f>
        <v/>
      </c>
      <c r="Z380" s="12" t="inlineStr"/>
      <c r="AA380" s="12">
        <f>N380*O380</f>
        <v/>
      </c>
    </row>
    <row r="381">
      <c r="A381" s="12" t="inlineStr">
        <is>
          <t>A-C-0369</t>
        </is>
      </c>
      <c r="B381" s="12" t="inlineStr">
        <is>
          <t>A</t>
        </is>
      </c>
      <c r="C381" s="12" t="inlineStr">
        <is>
          <t>Power block</t>
        </is>
      </c>
      <c r="D381" s="12" t="inlineStr">
        <is>
          <t>MOV 38: control</t>
        </is>
      </c>
      <c r="E381" s="12" t="inlineStr">
        <is>
          <t>R2B</t>
        </is>
      </c>
      <c r="F381" s="12" t="inlineStr">
        <is>
          <t>R2B: unit / HRSG electrical e-house (32 x 40 ft)</t>
        </is>
      </c>
      <c r="G381" s="12" t="inlineStr">
        <is>
          <t>HRSG-2</t>
        </is>
      </c>
      <c r="H381" s="12" t="inlineStr">
        <is>
          <t>HRSG 2 + SCR (3P reheat, horizontal)</t>
        </is>
      </c>
      <c r="I381" s="12" t="inlineStr">
        <is>
          <t>Control</t>
        </is>
      </c>
      <c r="J381" s="12" t="inlineStr">
        <is>
          <t>Control cable 600 V Type TC-ER, Cu #14 AWG, PVC jacket</t>
        </is>
      </c>
      <c r="K381" s="12" t="inlineStr">
        <is>
          <t>CT|12/C|14</t>
        </is>
      </c>
      <c r="L381" s="12" t="inlineStr">
        <is>
          <t>12/C</t>
        </is>
      </c>
      <c r="M381" s="12" t="inlineStr">
        <is>
          <t>14</t>
        </is>
      </c>
      <c r="N381" s="12" t="n">
        <v>1</v>
      </c>
      <c r="O381" s="12" t="n">
        <v>1</v>
      </c>
      <c r="P381" s="12" t="n"/>
      <c r="Q381" s="12" t="n"/>
      <c r="R381" s="12" t="n"/>
      <c r="S381" s="12" t="inlineStr">
        <is>
          <t>Tray</t>
        </is>
      </c>
      <c r="T381" s="16" t="n">
        <v>53</v>
      </c>
      <c r="U381" s="16" t="n">
        <v>96</v>
      </c>
      <c r="V381" s="16">
        <f>ROUNDUP((T381+U381+2*'Read Me'!$B$13)*(1+'Read Me'!$B$12),-1)</f>
        <v/>
      </c>
      <c r="W381" s="16">
        <f>V381*N381*O381</f>
        <v/>
      </c>
      <c r="X381" s="12">
        <f>IF(LEFT(I381,2)="MV",2*N381*IF(L381="1/C",O381,1),0)</f>
        <v/>
      </c>
      <c r="Y381" s="12">
        <f>IF(OR(LEFT(K381,4)="LVAX",LEFT(K381,6)="MV15AX",LEFT(K381,4)="CTAX",LEFT(K381,2)="W|"),2*N381*O381,0)</f>
        <v/>
      </c>
      <c r="Z381" s="12" t="inlineStr"/>
      <c r="AA381" s="12">
        <f>N381*O381</f>
        <v/>
      </c>
    </row>
    <row r="382">
      <c r="A382" s="12" t="inlineStr">
        <is>
          <t>A-C-0370</t>
        </is>
      </c>
      <c r="B382" s="12" t="inlineStr">
        <is>
          <t>A</t>
        </is>
      </c>
      <c r="C382" s="12" t="inlineStr">
        <is>
          <t>Power block</t>
        </is>
      </c>
      <c r="D382" s="12" t="inlineStr">
        <is>
          <t>MOV 39: control</t>
        </is>
      </c>
      <c r="E382" s="12" t="inlineStr">
        <is>
          <t>R2B</t>
        </is>
      </c>
      <c r="F382" s="12" t="inlineStr">
        <is>
          <t>R2B: unit / HRSG electrical e-house (32 x 40 ft)</t>
        </is>
      </c>
      <c r="G382" s="12" t="inlineStr">
        <is>
          <t>HRSG-2</t>
        </is>
      </c>
      <c r="H382" s="12" t="inlineStr">
        <is>
          <t>HRSG 2 + SCR (3P reheat, horizontal)</t>
        </is>
      </c>
      <c r="I382" s="12" t="inlineStr">
        <is>
          <t>Control</t>
        </is>
      </c>
      <c r="J382" s="12" t="inlineStr">
        <is>
          <t>Control cable 600 V Type TC-ER, Cu #14 AWG, PVC jacket</t>
        </is>
      </c>
      <c r="K382" s="12" t="inlineStr">
        <is>
          <t>CT|12/C|14</t>
        </is>
      </c>
      <c r="L382" s="12" t="inlineStr">
        <is>
          <t>12/C</t>
        </is>
      </c>
      <c r="M382" s="12" t="inlineStr">
        <is>
          <t>14</t>
        </is>
      </c>
      <c r="N382" s="12" t="n">
        <v>1</v>
      </c>
      <c r="O382" s="12" t="n">
        <v>1</v>
      </c>
      <c r="P382" s="12" t="n"/>
      <c r="Q382" s="12" t="n"/>
      <c r="R382" s="12" t="n"/>
      <c r="S382" s="12" t="inlineStr">
        <is>
          <t>Tray</t>
        </is>
      </c>
      <c r="T382" s="16" t="n">
        <v>53</v>
      </c>
      <c r="U382" s="16" t="n">
        <v>96</v>
      </c>
      <c r="V382" s="16">
        <f>ROUNDUP((T382+U382+2*'Read Me'!$B$13)*(1+'Read Me'!$B$12),-1)</f>
        <v/>
      </c>
      <c r="W382" s="16">
        <f>V382*N382*O382</f>
        <v/>
      </c>
      <c r="X382" s="12">
        <f>IF(LEFT(I382,2)="MV",2*N382*IF(L382="1/C",O382,1),0)</f>
        <v/>
      </c>
      <c r="Y382" s="12">
        <f>IF(OR(LEFT(K382,4)="LVAX",LEFT(K382,6)="MV15AX",LEFT(K382,4)="CTAX",LEFT(K382,2)="W|"),2*N382*O382,0)</f>
        <v/>
      </c>
      <c r="Z382" s="12" t="inlineStr"/>
      <c r="AA382" s="12">
        <f>N382*O382</f>
        <v/>
      </c>
    </row>
    <row r="383">
      <c r="A383" s="12" t="inlineStr">
        <is>
          <t>A-C-0371</t>
        </is>
      </c>
      <c r="B383" s="12" t="inlineStr">
        <is>
          <t>A</t>
        </is>
      </c>
      <c r="C383" s="12" t="inlineStr">
        <is>
          <t>Power block</t>
        </is>
      </c>
      <c r="D383" s="12" t="inlineStr">
        <is>
          <t>MOV 40: control</t>
        </is>
      </c>
      <c r="E383" s="12" t="inlineStr">
        <is>
          <t>R2B</t>
        </is>
      </c>
      <c r="F383" s="12" t="inlineStr">
        <is>
          <t>R2B: unit / HRSG electrical e-house (32 x 40 ft)</t>
        </is>
      </c>
      <c r="G383" s="12" t="inlineStr">
        <is>
          <t>HRSG-2</t>
        </is>
      </c>
      <c r="H383" s="12" t="inlineStr">
        <is>
          <t>HRSG 2 + SCR (3P reheat, horizontal)</t>
        </is>
      </c>
      <c r="I383" s="12" t="inlineStr">
        <is>
          <t>Control</t>
        </is>
      </c>
      <c r="J383" s="12" t="inlineStr">
        <is>
          <t>Control cable 600 V Type TC-ER, Cu #14 AWG, PVC jacket</t>
        </is>
      </c>
      <c r="K383" s="12" t="inlineStr">
        <is>
          <t>CT|12/C|14</t>
        </is>
      </c>
      <c r="L383" s="12" t="inlineStr">
        <is>
          <t>12/C</t>
        </is>
      </c>
      <c r="M383" s="12" t="inlineStr">
        <is>
          <t>14</t>
        </is>
      </c>
      <c r="N383" s="12" t="n">
        <v>1</v>
      </c>
      <c r="O383" s="12" t="n">
        <v>1</v>
      </c>
      <c r="P383" s="12" t="n"/>
      <c r="Q383" s="12" t="n"/>
      <c r="R383" s="12" t="n"/>
      <c r="S383" s="12" t="inlineStr">
        <is>
          <t>Tray</t>
        </is>
      </c>
      <c r="T383" s="16" t="n">
        <v>53</v>
      </c>
      <c r="U383" s="16" t="n">
        <v>96</v>
      </c>
      <c r="V383" s="16">
        <f>ROUNDUP((T383+U383+2*'Read Me'!$B$13)*(1+'Read Me'!$B$12),-1)</f>
        <v/>
      </c>
      <c r="W383" s="16">
        <f>V383*N383*O383</f>
        <v/>
      </c>
      <c r="X383" s="12">
        <f>IF(LEFT(I383,2)="MV",2*N383*IF(L383="1/C",O383,1),0)</f>
        <v/>
      </c>
      <c r="Y383" s="12">
        <f>IF(OR(LEFT(K383,4)="LVAX",LEFT(K383,6)="MV15AX",LEFT(K383,4)="CTAX",LEFT(K383,2)="W|"),2*N383*O383,0)</f>
        <v/>
      </c>
      <c r="Z383" s="12" t="inlineStr"/>
      <c r="AA383" s="12">
        <f>N383*O383</f>
        <v/>
      </c>
    </row>
    <row r="384">
      <c r="A384" s="12" t="inlineStr">
        <is>
          <t>A-C-0372</t>
        </is>
      </c>
      <c r="B384" s="12" t="inlineStr">
        <is>
          <t>A</t>
        </is>
      </c>
      <c r="C384" s="12" t="inlineStr">
        <is>
          <t>Power block</t>
        </is>
      </c>
      <c r="D384" s="12" t="inlineStr">
        <is>
          <t>MOV 41: control</t>
        </is>
      </c>
      <c r="E384" s="12" t="inlineStr">
        <is>
          <t>R2B</t>
        </is>
      </c>
      <c r="F384" s="12" t="inlineStr">
        <is>
          <t>R2B: unit / HRSG electrical e-house (32 x 40 ft)</t>
        </is>
      </c>
      <c r="G384" s="12" t="inlineStr">
        <is>
          <t>HRSG-2</t>
        </is>
      </c>
      <c r="H384" s="12" t="inlineStr">
        <is>
          <t>HRSG 2 + SCR (3P reheat, horizontal)</t>
        </is>
      </c>
      <c r="I384" s="12" t="inlineStr">
        <is>
          <t>Control</t>
        </is>
      </c>
      <c r="J384" s="12" t="inlineStr">
        <is>
          <t>Control cable 600 V Type TC-ER, Cu #14 AWG, PVC jacket</t>
        </is>
      </c>
      <c r="K384" s="12" t="inlineStr">
        <is>
          <t>CT|12/C|14</t>
        </is>
      </c>
      <c r="L384" s="12" t="inlineStr">
        <is>
          <t>12/C</t>
        </is>
      </c>
      <c r="M384" s="12" t="inlineStr">
        <is>
          <t>14</t>
        </is>
      </c>
      <c r="N384" s="12" t="n">
        <v>1</v>
      </c>
      <c r="O384" s="12" t="n">
        <v>1</v>
      </c>
      <c r="P384" s="12" t="n"/>
      <c r="Q384" s="12" t="n"/>
      <c r="R384" s="12" t="n"/>
      <c r="S384" s="12" t="inlineStr">
        <is>
          <t>Tray</t>
        </is>
      </c>
      <c r="T384" s="16" t="n">
        <v>53</v>
      </c>
      <c r="U384" s="16" t="n">
        <v>96</v>
      </c>
      <c r="V384" s="16">
        <f>ROUNDUP((T384+U384+2*'Read Me'!$B$13)*(1+'Read Me'!$B$12),-1)</f>
        <v/>
      </c>
      <c r="W384" s="16">
        <f>V384*N384*O384</f>
        <v/>
      </c>
      <c r="X384" s="12">
        <f>IF(LEFT(I384,2)="MV",2*N384*IF(L384="1/C",O384,1),0)</f>
        <v/>
      </c>
      <c r="Y384" s="12">
        <f>IF(OR(LEFT(K384,4)="LVAX",LEFT(K384,6)="MV15AX",LEFT(K384,4)="CTAX",LEFT(K384,2)="W|"),2*N384*O384,0)</f>
        <v/>
      </c>
      <c r="Z384" s="12" t="inlineStr"/>
      <c r="AA384" s="12">
        <f>N384*O384</f>
        <v/>
      </c>
    </row>
    <row r="385">
      <c r="A385" s="12" t="inlineStr">
        <is>
          <t>A-C-0373</t>
        </is>
      </c>
      <c r="B385" s="12" t="inlineStr">
        <is>
          <t>A</t>
        </is>
      </c>
      <c r="C385" s="12" t="inlineStr">
        <is>
          <t>Power block</t>
        </is>
      </c>
      <c r="D385" s="12" t="inlineStr">
        <is>
          <t>MOV 42: control</t>
        </is>
      </c>
      <c r="E385" s="12" t="inlineStr">
        <is>
          <t>R2B</t>
        </is>
      </c>
      <c r="F385" s="12" t="inlineStr">
        <is>
          <t>R2B: unit / HRSG electrical e-house (32 x 40 ft)</t>
        </is>
      </c>
      <c r="G385" s="12" t="inlineStr">
        <is>
          <t>HRSG-2</t>
        </is>
      </c>
      <c r="H385" s="12" t="inlineStr">
        <is>
          <t>HRSG 2 + SCR (3P reheat, horizontal)</t>
        </is>
      </c>
      <c r="I385" s="12" t="inlineStr">
        <is>
          <t>Control</t>
        </is>
      </c>
      <c r="J385" s="12" t="inlineStr">
        <is>
          <t>Control cable 600 V Type TC-ER, Cu #14 AWG, PVC jacket</t>
        </is>
      </c>
      <c r="K385" s="12" t="inlineStr">
        <is>
          <t>CT|12/C|14</t>
        </is>
      </c>
      <c r="L385" s="12" t="inlineStr">
        <is>
          <t>12/C</t>
        </is>
      </c>
      <c r="M385" s="12" t="inlineStr">
        <is>
          <t>14</t>
        </is>
      </c>
      <c r="N385" s="12" t="n">
        <v>1</v>
      </c>
      <c r="O385" s="12" t="n">
        <v>1</v>
      </c>
      <c r="P385" s="12" t="n"/>
      <c r="Q385" s="12" t="n"/>
      <c r="R385" s="12" t="n"/>
      <c r="S385" s="12" t="inlineStr">
        <is>
          <t>Tray</t>
        </is>
      </c>
      <c r="T385" s="16" t="n">
        <v>53</v>
      </c>
      <c r="U385" s="16" t="n">
        <v>96</v>
      </c>
      <c r="V385" s="16">
        <f>ROUNDUP((T385+U385+2*'Read Me'!$B$13)*(1+'Read Me'!$B$12),-1)</f>
        <v/>
      </c>
      <c r="W385" s="16">
        <f>V385*N385*O385</f>
        <v/>
      </c>
      <c r="X385" s="12">
        <f>IF(LEFT(I385,2)="MV",2*N385*IF(L385="1/C",O385,1),0)</f>
        <v/>
      </c>
      <c r="Y385" s="12">
        <f>IF(OR(LEFT(K385,4)="LVAX",LEFT(K385,6)="MV15AX",LEFT(K385,4)="CTAX",LEFT(K385,2)="W|"),2*N385*O385,0)</f>
        <v/>
      </c>
      <c r="Z385" s="12" t="inlineStr"/>
      <c r="AA385" s="12">
        <f>N385*O385</f>
        <v/>
      </c>
    </row>
    <row r="386">
      <c r="A386" s="12" t="inlineStr">
        <is>
          <t>A-C-0374</t>
        </is>
      </c>
      <c r="B386" s="12" t="inlineStr">
        <is>
          <t>A</t>
        </is>
      </c>
      <c r="C386" s="12" t="inlineStr">
        <is>
          <t>Power block</t>
        </is>
      </c>
      <c r="D386" s="12" t="inlineStr">
        <is>
          <t>MOV 43: control</t>
        </is>
      </c>
      <c r="E386" s="12" t="inlineStr">
        <is>
          <t>R2B</t>
        </is>
      </c>
      <c r="F386" s="12" t="inlineStr">
        <is>
          <t>R2B: unit / HRSG electrical e-house (32 x 40 ft)</t>
        </is>
      </c>
      <c r="G386" s="12" t="inlineStr">
        <is>
          <t>HRSG-2</t>
        </is>
      </c>
      <c r="H386" s="12" t="inlineStr">
        <is>
          <t>HRSG 2 + SCR (3P reheat, horizontal)</t>
        </is>
      </c>
      <c r="I386" s="12" t="inlineStr">
        <is>
          <t>Control</t>
        </is>
      </c>
      <c r="J386" s="12" t="inlineStr">
        <is>
          <t>Control cable 600 V Type TC-ER, Cu #14 AWG, PVC jacket</t>
        </is>
      </c>
      <c r="K386" s="12" t="inlineStr">
        <is>
          <t>CT|12/C|14</t>
        </is>
      </c>
      <c r="L386" s="12" t="inlineStr">
        <is>
          <t>12/C</t>
        </is>
      </c>
      <c r="M386" s="12" t="inlineStr">
        <is>
          <t>14</t>
        </is>
      </c>
      <c r="N386" s="12" t="n">
        <v>1</v>
      </c>
      <c r="O386" s="12" t="n">
        <v>1</v>
      </c>
      <c r="P386" s="12" t="n"/>
      <c r="Q386" s="12" t="n"/>
      <c r="R386" s="12" t="n"/>
      <c r="S386" s="12" t="inlineStr">
        <is>
          <t>Tray</t>
        </is>
      </c>
      <c r="T386" s="16" t="n">
        <v>53</v>
      </c>
      <c r="U386" s="16" t="n">
        <v>96</v>
      </c>
      <c r="V386" s="16">
        <f>ROUNDUP((T386+U386+2*'Read Me'!$B$13)*(1+'Read Me'!$B$12),-1)</f>
        <v/>
      </c>
      <c r="W386" s="16">
        <f>V386*N386*O386</f>
        <v/>
      </c>
      <c r="X386" s="12">
        <f>IF(LEFT(I386,2)="MV",2*N386*IF(L386="1/C",O386,1),0)</f>
        <v/>
      </c>
      <c r="Y386" s="12">
        <f>IF(OR(LEFT(K386,4)="LVAX",LEFT(K386,6)="MV15AX",LEFT(K386,4)="CTAX",LEFT(K386,2)="W|"),2*N386*O386,0)</f>
        <v/>
      </c>
      <c r="Z386" s="12" t="inlineStr"/>
      <c r="AA386" s="12">
        <f>N386*O386</f>
        <v/>
      </c>
    </row>
    <row r="387">
      <c r="A387" s="12" t="inlineStr">
        <is>
          <t>A-C-0375</t>
        </is>
      </c>
      <c r="B387" s="12" t="inlineStr">
        <is>
          <t>A</t>
        </is>
      </c>
      <c r="C387" s="12" t="inlineStr">
        <is>
          <t>Power block</t>
        </is>
      </c>
      <c r="D387" s="12" t="inlineStr">
        <is>
          <t>MOV 44: control</t>
        </is>
      </c>
      <c r="E387" s="12" t="inlineStr">
        <is>
          <t>R2B</t>
        </is>
      </c>
      <c r="F387" s="12" t="inlineStr">
        <is>
          <t>R2B: unit / HRSG electrical e-house (32 x 40 ft)</t>
        </is>
      </c>
      <c r="G387" s="12" t="inlineStr">
        <is>
          <t>HRSG-2</t>
        </is>
      </c>
      <c r="H387" s="12" t="inlineStr">
        <is>
          <t>HRSG 2 + SCR (3P reheat, horizontal)</t>
        </is>
      </c>
      <c r="I387" s="12" t="inlineStr">
        <is>
          <t>Control</t>
        </is>
      </c>
      <c r="J387" s="12" t="inlineStr">
        <is>
          <t>Control cable 600 V Type TC-ER, Cu #14 AWG, PVC jacket</t>
        </is>
      </c>
      <c r="K387" s="12" t="inlineStr">
        <is>
          <t>CT|12/C|14</t>
        </is>
      </c>
      <c r="L387" s="12" t="inlineStr">
        <is>
          <t>12/C</t>
        </is>
      </c>
      <c r="M387" s="12" t="inlineStr">
        <is>
          <t>14</t>
        </is>
      </c>
      <c r="N387" s="12" t="n">
        <v>1</v>
      </c>
      <c r="O387" s="12" t="n">
        <v>1</v>
      </c>
      <c r="P387" s="12" t="n"/>
      <c r="Q387" s="12" t="n"/>
      <c r="R387" s="12" t="n"/>
      <c r="S387" s="12" t="inlineStr">
        <is>
          <t>Tray</t>
        </is>
      </c>
      <c r="T387" s="16" t="n">
        <v>53</v>
      </c>
      <c r="U387" s="16" t="n">
        <v>96</v>
      </c>
      <c r="V387" s="16">
        <f>ROUNDUP((T387+U387+2*'Read Me'!$B$13)*(1+'Read Me'!$B$12),-1)</f>
        <v/>
      </c>
      <c r="W387" s="16">
        <f>V387*N387*O387</f>
        <v/>
      </c>
      <c r="X387" s="12">
        <f>IF(LEFT(I387,2)="MV",2*N387*IF(L387="1/C",O387,1),0)</f>
        <v/>
      </c>
      <c r="Y387" s="12">
        <f>IF(OR(LEFT(K387,4)="LVAX",LEFT(K387,6)="MV15AX",LEFT(K387,4)="CTAX",LEFT(K387,2)="W|"),2*N387*O387,0)</f>
        <v/>
      </c>
      <c r="Z387" s="12" t="inlineStr"/>
      <c r="AA387" s="12">
        <f>N387*O387</f>
        <v/>
      </c>
    </row>
    <row r="388">
      <c r="A388" s="12" t="inlineStr">
        <is>
          <t>A-C-0376</t>
        </is>
      </c>
      <c r="B388" s="12" t="inlineStr">
        <is>
          <t>A</t>
        </is>
      </c>
      <c r="C388" s="12" t="inlineStr">
        <is>
          <t>Power block</t>
        </is>
      </c>
      <c r="D388" s="12" t="inlineStr">
        <is>
          <t>MOV 45: control</t>
        </is>
      </c>
      <c r="E388" s="12" t="inlineStr">
        <is>
          <t>R2B</t>
        </is>
      </c>
      <c r="F388" s="12" t="inlineStr">
        <is>
          <t>R2B: unit / HRSG electrical e-house (32 x 40 ft)</t>
        </is>
      </c>
      <c r="G388" s="12" t="inlineStr">
        <is>
          <t>HRSG-2</t>
        </is>
      </c>
      <c r="H388" s="12" t="inlineStr">
        <is>
          <t>HRSG 2 + SCR (3P reheat, horizontal)</t>
        </is>
      </c>
      <c r="I388" s="12" t="inlineStr">
        <is>
          <t>Control</t>
        </is>
      </c>
      <c r="J388" s="12" t="inlineStr">
        <is>
          <t>Control cable 600 V Type TC-ER, Cu #14 AWG, PVC jacket</t>
        </is>
      </c>
      <c r="K388" s="12" t="inlineStr">
        <is>
          <t>CT|12/C|14</t>
        </is>
      </c>
      <c r="L388" s="12" t="inlineStr">
        <is>
          <t>12/C</t>
        </is>
      </c>
      <c r="M388" s="12" t="inlineStr">
        <is>
          <t>14</t>
        </is>
      </c>
      <c r="N388" s="12" t="n">
        <v>1</v>
      </c>
      <c r="O388" s="12" t="n">
        <v>1</v>
      </c>
      <c r="P388" s="12" t="n"/>
      <c r="Q388" s="12" t="n"/>
      <c r="R388" s="12" t="n"/>
      <c r="S388" s="12" t="inlineStr">
        <is>
          <t>Tray</t>
        </is>
      </c>
      <c r="T388" s="16" t="n">
        <v>53</v>
      </c>
      <c r="U388" s="16" t="n">
        <v>96</v>
      </c>
      <c r="V388" s="16">
        <f>ROUNDUP((T388+U388+2*'Read Me'!$B$13)*(1+'Read Me'!$B$12),-1)</f>
        <v/>
      </c>
      <c r="W388" s="16">
        <f>V388*N388*O388</f>
        <v/>
      </c>
      <c r="X388" s="12">
        <f>IF(LEFT(I388,2)="MV",2*N388*IF(L388="1/C",O388,1),0)</f>
        <v/>
      </c>
      <c r="Y388" s="12">
        <f>IF(OR(LEFT(K388,4)="LVAX",LEFT(K388,6)="MV15AX",LEFT(K388,4)="CTAX",LEFT(K388,2)="W|"),2*N388*O388,0)</f>
        <v/>
      </c>
      <c r="Z388" s="12" t="inlineStr"/>
      <c r="AA388" s="12">
        <f>N388*O388</f>
        <v/>
      </c>
    </row>
    <row r="389">
      <c r="A389" s="12" t="inlineStr">
        <is>
          <t>A-C-0377</t>
        </is>
      </c>
      <c r="B389" s="12" t="inlineStr">
        <is>
          <t>A</t>
        </is>
      </c>
      <c r="C389" s="12" t="inlineStr">
        <is>
          <t>Power block</t>
        </is>
      </c>
      <c r="D389" s="12" t="inlineStr">
        <is>
          <t>Solenoid to JB JB-HRSG-2-SOL01: 10 x 2/C (field cables)</t>
        </is>
      </c>
      <c r="E389" s="12" t="inlineStr">
        <is>
          <t>HRSG-2</t>
        </is>
      </c>
      <c r="F389" s="12" t="inlineStr">
        <is>
          <t>HRSG 2 + SCR (3P reheat, horizontal)</t>
        </is>
      </c>
      <c r="G389" s="12" t="inlineStr">
        <is>
          <t>JB-HRSG-2-SOL01</t>
        </is>
      </c>
      <c r="H389" s="12" t="inlineStr">
        <is>
          <t>HRSG 2 + SCR (3P reheat, horizontal)</t>
        </is>
      </c>
      <c r="I389" s="12" t="inlineStr">
        <is>
          <t>Control</t>
        </is>
      </c>
      <c r="J389" s="12" t="inlineStr">
        <is>
          <t>Control cable 600 V Type TC-ER, Cu #14 AWG, PVC jacket</t>
        </is>
      </c>
      <c r="K389" s="12" t="inlineStr">
        <is>
          <t>CT|2/C|14</t>
        </is>
      </c>
      <c r="L389" s="12" t="inlineStr">
        <is>
          <t>2/C</t>
        </is>
      </c>
      <c r="M389" s="12" t="inlineStr">
        <is>
          <t>14</t>
        </is>
      </c>
      <c r="N389" s="12" t="n">
        <v>10</v>
      </c>
      <c r="O389" s="12" t="n">
        <v>1</v>
      </c>
      <c r="P389" s="12" t="n"/>
      <c r="Q389" s="12" t="n"/>
      <c r="R389" s="12" t="n"/>
      <c r="S389" s="12" t="inlineStr">
        <is>
          <t>Tray / conduit</t>
        </is>
      </c>
      <c r="T389" s="16" t="n">
        <v>180</v>
      </c>
      <c r="U389" s="16" t="n">
        <v>10</v>
      </c>
      <c r="V389" s="16">
        <f>ROUNDUP((T389+U389+2*'Read Me'!$B$13)*(1+'Read Me'!$B$12),-1)</f>
        <v/>
      </c>
      <c r="W389" s="16">
        <f>V389*N389*O389</f>
        <v/>
      </c>
      <c r="X389" s="12">
        <f>IF(LEFT(I389,2)="MV",2*N389*IF(L389="1/C",O389,1),0)</f>
        <v/>
      </c>
      <c r="Y389" s="12">
        <f>IF(OR(LEFT(K389,4)="LVAX",LEFT(K389,6)="MV15AX",LEFT(K389,4)="CTAX",LEFT(K389,2)="W|"),2*N389*O389,0)</f>
        <v/>
      </c>
      <c r="Z389" s="12" t="inlineStr">
        <is>
          <t>device-to-JB field wiring, one cable per device</t>
        </is>
      </c>
      <c r="AA389" s="12">
        <f>N389*O389</f>
        <v/>
      </c>
    </row>
    <row r="390">
      <c r="A390" s="12" t="inlineStr">
        <is>
          <t>A-C-0378</t>
        </is>
      </c>
      <c r="B390" s="12" t="inlineStr">
        <is>
          <t>A</t>
        </is>
      </c>
      <c r="C390" s="12" t="inlineStr">
        <is>
          <t>Power block</t>
        </is>
      </c>
      <c r="D390" s="12" t="inlineStr">
        <is>
          <t>Home run JB-HRSG-2-SOL01 to the control / marshalling room</t>
        </is>
      </c>
      <c r="E390" s="12" t="inlineStr">
        <is>
          <t>R2B</t>
        </is>
      </c>
      <c r="F390" s="12" t="inlineStr">
        <is>
          <t>R2B: unit / HRSG electrical e-house (32 x 40 ft)</t>
        </is>
      </c>
      <c r="G390" s="12" t="inlineStr">
        <is>
          <t>JB-HRSG-2-SOL01</t>
        </is>
      </c>
      <c r="H390" s="12" t="inlineStr">
        <is>
          <t>HRSG 2 + SCR (3P reheat, horizontal)</t>
        </is>
      </c>
      <c r="I390" s="12" t="inlineStr">
        <is>
          <t>Control</t>
        </is>
      </c>
      <c r="J390" s="12" t="inlineStr">
        <is>
          <t>Control cable 600 V Type TC-ER, Cu #14 AWG, PVC jacket</t>
        </is>
      </c>
      <c r="K390" s="12" t="inlineStr">
        <is>
          <t>CT|25/C|14</t>
        </is>
      </c>
      <c r="L390" s="12" t="inlineStr">
        <is>
          <t>25/C</t>
        </is>
      </c>
      <c r="M390" s="12" t="inlineStr">
        <is>
          <t>14</t>
        </is>
      </c>
      <c r="N390" s="12" t="n">
        <v>1</v>
      </c>
      <c r="O390" s="12" t="n">
        <v>1</v>
      </c>
      <c r="P390" s="12" t="n"/>
      <c r="Q390" s="12" t="n"/>
      <c r="R390" s="12" t="n"/>
      <c r="S390" s="12" t="inlineStr">
        <is>
          <t>Tray</t>
        </is>
      </c>
      <c r="T390" s="16" t="n">
        <v>53</v>
      </c>
      <c r="U390" s="16" t="n">
        <v>96</v>
      </c>
      <c r="V390" s="16">
        <f>ROUNDUP((T390+U390+2*'Read Me'!$B$13)*(1+'Read Me'!$B$12),-1)</f>
        <v/>
      </c>
      <c r="W390" s="16">
        <f>V390*N390*O390</f>
        <v/>
      </c>
      <c r="X390" s="12">
        <f>IF(LEFT(I390,2)="MV",2*N390*IF(L390="1/C",O390,1),0)</f>
        <v/>
      </c>
      <c r="Y390" s="12">
        <f>IF(OR(LEFT(K390,4)="LVAX",LEFT(K390,6)="MV15AX",LEFT(K390,4)="CTAX",LEFT(K390,2)="W|"),2*N390*O390,0)</f>
        <v/>
      </c>
      <c r="Z390" s="12" t="inlineStr"/>
      <c r="AA390" s="12">
        <f>N390*O390</f>
        <v/>
      </c>
    </row>
    <row r="391">
      <c r="A391" s="12" t="inlineStr">
        <is>
          <t>A-C-0379</t>
        </is>
      </c>
      <c r="B391" s="12" t="inlineStr">
        <is>
          <t>A</t>
        </is>
      </c>
      <c r="C391" s="12" t="inlineStr">
        <is>
          <t>Power block</t>
        </is>
      </c>
      <c r="D391" s="12" t="inlineStr">
        <is>
          <t>Solenoid to JB JB-HRSG-2-SOL02: 10 x 2/C (field cables)</t>
        </is>
      </c>
      <c r="E391" s="12" t="inlineStr">
        <is>
          <t>HRSG-2</t>
        </is>
      </c>
      <c r="F391" s="12" t="inlineStr">
        <is>
          <t>HRSG 2 + SCR (3P reheat, horizontal)</t>
        </is>
      </c>
      <c r="G391" s="12" t="inlineStr">
        <is>
          <t>JB-HRSG-2-SOL02</t>
        </is>
      </c>
      <c r="H391" s="12" t="inlineStr">
        <is>
          <t>HRSG 2 + SCR (3P reheat, horizontal)</t>
        </is>
      </c>
      <c r="I391" s="12" t="inlineStr">
        <is>
          <t>Control</t>
        </is>
      </c>
      <c r="J391" s="12" t="inlineStr">
        <is>
          <t>Control cable 600 V Type TC-ER, Cu #14 AWG, PVC jacket</t>
        </is>
      </c>
      <c r="K391" s="12" t="inlineStr">
        <is>
          <t>CT|2/C|14</t>
        </is>
      </c>
      <c r="L391" s="12" t="inlineStr">
        <is>
          <t>2/C</t>
        </is>
      </c>
      <c r="M391" s="12" t="inlineStr">
        <is>
          <t>14</t>
        </is>
      </c>
      <c r="N391" s="12" t="n">
        <v>10</v>
      </c>
      <c r="O391" s="12" t="n">
        <v>1</v>
      </c>
      <c r="P391" s="12" t="n"/>
      <c r="Q391" s="12" t="n"/>
      <c r="R391" s="12" t="n"/>
      <c r="S391" s="12" t="inlineStr">
        <is>
          <t>Tray / conduit</t>
        </is>
      </c>
      <c r="T391" s="16" t="n">
        <v>180</v>
      </c>
      <c r="U391" s="16" t="n">
        <v>10</v>
      </c>
      <c r="V391" s="16">
        <f>ROUNDUP((T391+U391+2*'Read Me'!$B$13)*(1+'Read Me'!$B$12),-1)</f>
        <v/>
      </c>
      <c r="W391" s="16">
        <f>V391*N391*O391</f>
        <v/>
      </c>
      <c r="X391" s="12">
        <f>IF(LEFT(I391,2)="MV",2*N391*IF(L391="1/C",O391,1),0)</f>
        <v/>
      </c>
      <c r="Y391" s="12">
        <f>IF(OR(LEFT(K391,4)="LVAX",LEFT(K391,6)="MV15AX",LEFT(K391,4)="CTAX",LEFT(K391,2)="W|"),2*N391*O391,0)</f>
        <v/>
      </c>
      <c r="Z391" s="12" t="inlineStr">
        <is>
          <t>device-to-JB field wiring, one cable per device</t>
        </is>
      </c>
      <c r="AA391" s="12">
        <f>N391*O391</f>
        <v/>
      </c>
    </row>
    <row r="392">
      <c r="A392" s="12" t="inlineStr">
        <is>
          <t>A-C-0380</t>
        </is>
      </c>
      <c r="B392" s="12" t="inlineStr">
        <is>
          <t>A</t>
        </is>
      </c>
      <c r="C392" s="12" t="inlineStr">
        <is>
          <t>Power block</t>
        </is>
      </c>
      <c r="D392" s="12" t="inlineStr">
        <is>
          <t>Home run JB-HRSG-2-SOL02 to the control / marshalling room</t>
        </is>
      </c>
      <c r="E392" s="12" t="inlineStr">
        <is>
          <t>R2B</t>
        </is>
      </c>
      <c r="F392" s="12" t="inlineStr">
        <is>
          <t>R2B: unit / HRSG electrical e-house (32 x 40 ft)</t>
        </is>
      </c>
      <c r="G392" s="12" t="inlineStr">
        <is>
          <t>JB-HRSG-2-SOL02</t>
        </is>
      </c>
      <c r="H392" s="12" t="inlineStr">
        <is>
          <t>HRSG 2 + SCR (3P reheat, horizontal)</t>
        </is>
      </c>
      <c r="I392" s="12" t="inlineStr">
        <is>
          <t>Control</t>
        </is>
      </c>
      <c r="J392" s="12" t="inlineStr">
        <is>
          <t>Control cable 600 V Type TC-ER, Cu #14 AWG, PVC jacket</t>
        </is>
      </c>
      <c r="K392" s="12" t="inlineStr">
        <is>
          <t>CT|25/C|14</t>
        </is>
      </c>
      <c r="L392" s="12" t="inlineStr">
        <is>
          <t>25/C</t>
        </is>
      </c>
      <c r="M392" s="12" t="inlineStr">
        <is>
          <t>14</t>
        </is>
      </c>
      <c r="N392" s="12" t="n">
        <v>1</v>
      </c>
      <c r="O392" s="12" t="n">
        <v>1</v>
      </c>
      <c r="P392" s="12" t="n"/>
      <c r="Q392" s="12" t="n"/>
      <c r="R392" s="12" t="n"/>
      <c r="S392" s="12" t="inlineStr">
        <is>
          <t>Tray</t>
        </is>
      </c>
      <c r="T392" s="16" t="n">
        <v>53</v>
      </c>
      <c r="U392" s="16" t="n">
        <v>96</v>
      </c>
      <c r="V392" s="16">
        <f>ROUNDUP((T392+U392+2*'Read Me'!$B$13)*(1+'Read Me'!$B$12),-1)</f>
        <v/>
      </c>
      <c r="W392" s="16">
        <f>V392*N392*O392</f>
        <v/>
      </c>
      <c r="X392" s="12">
        <f>IF(LEFT(I392,2)="MV",2*N392*IF(L392="1/C",O392,1),0)</f>
        <v/>
      </c>
      <c r="Y392" s="12">
        <f>IF(OR(LEFT(K392,4)="LVAX",LEFT(K392,6)="MV15AX",LEFT(K392,4)="CTAX",LEFT(K392,2)="W|"),2*N392*O392,0)</f>
        <v/>
      </c>
      <c r="Z392" s="12" t="inlineStr"/>
      <c r="AA392" s="12">
        <f>N392*O392</f>
        <v/>
      </c>
    </row>
    <row r="393">
      <c r="A393" s="12" t="inlineStr">
        <is>
          <t>A-C-0381</t>
        </is>
      </c>
      <c r="B393" s="12" t="inlineStr">
        <is>
          <t>A</t>
        </is>
      </c>
      <c r="C393" s="12" t="inlineStr">
        <is>
          <t>Power block</t>
        </is>
      </c>
      <c r="D393" s="12" t="inlineStr">
        <is>
          <t>MOV 1: control</t>
        </is>
      </c>
      <c r="E393" s="12" t="inlineStr">
        <is>
          <t>R2B</t>
        </is>
      </c>
      <c r="F393" s="12" t="inlineStr">
        <is>
          <t>R2B: unit / HRSG electrical e-house (32 x 40 ft)</t>
        </is>
      </c>
      <c r="G393" s="12" t="inlineStr"/>
      <c r="H393" s="12" t="inlineStr">
        <is>
          <t>HRSG 2 blowdown tank (continuous / intermittent)</t>
        </is>
      </c>
      <c r="I393" s="12" t="inlineStr">
        <is>
          <t>Control</t>
        </is>
      </c>
      <c r="J393" s="12" t="inlineStr">
        <is>
          <t>Control cable 600 V Type TC-ER, Cu #14 AWG, PVC jacket</t>
        </is>
      </c>
      <c r="K393" s="12" t="inlineStr">
        <is>
          <t>CT|12/C|14</t>
        </is>
      </c>
      <c r="L393" s="12" t="inlineStr">
        <is>
          <t>12/C</t>
        </is>
      </c>
      <c r="M393" s="12" t="inlineStr">
        <is>
          <t>14</t>
        </is>
      </c>
      <c r="N393" s="12" t="n">
        <v>1</v>
      </c>
      <c r="O393" s="12" t="n">
        <v>1</v>
      </c>
      <c r="P393" s="12" t="n"/>
      <c r="Q393" s="12" t="n"/>
      <c r="R393" s="12" t="n"/>
      <c r="S393" s="12" t="inlineStr">
        <is>
          <t>Tray</t>
        </is>
      </c>
      <c r="T393" s="16" t="n">
        <v>38</v>
      </c>
      <c r="U393" s="16" t="n">
        <v>86</v>
      </c>
      <c r="V393" s="16">
        <f>ROUNDUP((T393+U393+2*'Read Me'!$B$13)*(1+'Read Me'!$B$12),-1)</f>
        <v/>
      </c>
      <c r="W393" s="16">
        <f>V393*N393*O393</f>
        <v/>
      </c>
      <c r="X393" s="12">
        <f>IF(LEFT(I393,2)="MV",2*N393*IF(L393="1/C",O393,1),0)</f>
        <v/>
      </c>
      <c r="Y393" s="12">
        <f>IF(OR(LEFT(K393,4)="LVAX",LEFT(K393,6)="MV15AX",LEFT(K393,4)="CTAX",LEFT(K393,2)="W|"),2*N393*O393,0)</f>
        <v/>
      </c>
      <c r="Z393" s="12" t="inlineStr"/>
      <c r="AA393" s="12">
        <f>N393*O393</f>
        <v/>
      </c>
    </row>
    <row r="394">
      <c r="A394" s="12" t="inlineStr">
        <is>
          <t>A-C-0382</t>
        </is>
      </c>
      <c r="B394" s="12" t="inlineStr">
        <is>
          <t>A</t>
        </is>
      </c>
      <c r="C394" s="12" t="inlineStr">
        <is>
          <t>Power block</t>
        </is>
      </c>
      <c r="D394" s="12" t="inlineStr">
        <is>
          <t>MOV 2: control</t>
        </is>
      </c>
      <c r="E394" s="12" t="inlineStr">
        <is>
          <t>R2B</t>
        </is>
      </c>
      <c r="F394" s="12" t="inlineStr">
        <is>
          <t>R2B: unit / HRSG electrical e-house (32 x 40 ft)</t>
        </is>
      </c>
      <c r="G394" s="12" t="inlineStr"/>
      <c r="H394" s="12" t="inlineStr">
        <is>
          <t>HRSG 2 blowdown tank (continuous / intermittent)</t>
        </is>
      </c>
      <c r="I394" s="12" t="inlineStr">
        <is>
          <t>Control</t>
        </is>
      </c>
      <c r="J394" s="12" t="inlineStr">
        <is>
          <t>Control cable 600 V Type TC-ER, Cu #14 AWG, PVC jacket</t>
        </is>
      </c>
      <c r="K394" s="12" t="inlineStr">
        <is>
          <t>CT|12/C|14</t>
        </is>
      </c>
      <c r="L394" s="12" t="inlineStr">
        <is>
          <t>12/C</t>
        </is>
      </c>
      <c r="M394" s="12" t="inlineStr">
        <is>
          <t>14</t>
        </is>
      </c>
      <c r="N394" s="12" t="n">
        <v>1</v>
      </c>
      <c r="O394" s="12" t="n">
        <v>1</v>
      </c>
      <c r="P394" s="12" t="n"/>
      <c r="Q394" s="12" t="n"/>
      <c r="R394" s="12" t="n"/>
      <c r="S394" s="12" t="inlineStr">
        <is>
          <t>Tray</t>
        </is>
      </c>
      <c r="T394" s="16" t="n">
        <v>38</v>
      </c>
      <c r="U394" s="16" t="n">
        <v>86</v>
      </c>
      <c r="V394" s="16">
        <f>ROUNDUP((T394+U394+2*'Read Me'!$B$13)*(1+'Read Me'!$B$12),-1)</f>
        <v/>
      </c>
      <c r="W394" s="16">
        <f>V394*N394*O394</f>
        <v/>
      </c>
      <c r="X394" s="12">
        <f>IF(LEFT(I394,2)="MV",2*N394*IF(L394="1/C",O394,1),0)</f>
        <v/>
      </c>
      <c r="Y394" s="12">
        <f>IF(OR(LEFT(K394,4)="LVAX",LEFT(K394,6)="MV15AX",LEFT(K394,4)="CTAX",LEFT(K394,2)="W|"),2*N394*O394,0)</f>
        <v/>
      </c>
      <c r="Z394" s="12" t="inlineStr"/>
      <c r="AA394" s="12">
        <f>N394*O394</f>
        <v/>
      </c>
    </row>
    <row r="395">
      <c r="A395" s="12" t="inlineStr">
        <is>
          <t>A-C-0383</t>
        </is>
      </c>
      <c r="B395" s="12" t="inlineStr">
        <is>
          <t>A</t>
        </is>
      </c>
      <c r="C395" s="12" t="inlineStr">
        <is>
          <t>Power block</t>
        </is>
      </c>
      <c r="D395" s="12" t="inlineStr">
        <is>
          <t>MOV 3: control</t>
        </is>
      </c>
      <c r="E395" s="12" t="inlineStr">
        <is>
          <t>R2B</t>
        </is>
      </c>
      <c r="F395" s="12" t="inlineStr">
        <is>
          <t>R2B: unit / HRSG electrical e-house (32 x 40 ft)</t>
        </is>
      </c>
      <c r="G395" s="12" t="inlineStr"/>
      <c r="H395" s="12" t="inlineStr">
        <is>
          <t>HRSG 2 blowdown tank (continuous / intermittent)</t>
        </is>
      </c>
      <c r="I395" s="12" t="inlineStr">
        <is>
          <t>Control</t>
        </is>
      </c>
      <c r="J395" s="12" t="inlineStr">
        <is>
          <t>Control cable 600 V Type TC-ER, Cu #14 AWG, PVC jacket</t>
        </is>
      </c>
      <c r="K395" s="12" t="inlineStr">
        <is>
          <t>CT|12/C|14</t>
        </is>
      </c>
      <c r="L395" s="12" t="inlineStr">
        <is>
          <t>12/C</t>
        </is>
      </c>
      <c r="M395" s="12" t="inlineStr">
        <is>
          <t>14</t>
        </is>
      </c>
      <c r="N395" s="12" t="n">
        <v>1</v>
      </c>
      <c r="O395" s="12" t="n">
        <v>1</v>
      </c>
      <c r="P395" s="12" t="n"/>
      <c r="Q395" s="12" t="n"/>
      <c r="R395" s="12" t="n"/>
      <c r="S395" s="12" t="inlineStr">
        <is>
          <t>Tray</t>
        </is>
      </c>
      <c r="T395" s="16" t="n">
        <v>38</v>
      </c>
      <c r="U395" s="16" t="n">
        <v>86</v>
      </c>
      <c r="V395" s="16">
        <f>ROUNDUP((T395+U395+2*'Read Me'!$B$13)*(1+'Read Me'!$B$12),-1)</f>
        <v/>
      </c>
      <c r="W395" s="16">
        <f>V395*N395*O395</f>
        <v/>
      </c>
      <c r="X395" s="12">
        <f>IF(LEFT(I395,2)="MV",2*N395*IF(L395="1/C",O395,1),0)</f>
        <v/>
      </c>
      <c r="Y395" s="12">
        <f>IF(OR(LEFT(K395,4)="LVAX",LEFT(K395,6)="MV15AX",LEFT(K395,4)="CTAX",LEFT(K395,2)="W|"),2*N395*O395,0)</f>
        <v/>
      </c>
      <c r="Z395" s="12" t="inlineStr"/>
      <c r="AA395" s="12">
        <f>N395*O395</f>
        <v/>
      </c>
    </row>
    <row r="396">
      <c r="A396" s="12" t="inlineStr">
        <is>
          <t>A-C-0384</t>
        </is>
      </c>
      <c r="B396" s="12" t="inlineStr">
        <is>
          <t>A</t>
        </is>
      </c>
      <c r="C396" s="12" t="inlineStr">
        <is>
          <t>Power block</t>
        </is>
      </c>
      <c r="D396" s="12" t="inlineStr">
        <is>
          <t>MOV 4: control</t>
        </is>
      </c>
      <c r="E396" s="12" t="inlineStr">
        <is>
          <t>R2B</t>
        </is>
      </c>
      <c r="F396" s="12" t="inlineStr">
        <is>
          <t>R2B: unit / HRSG electrical e-house (32 x 40 ft)</t>
        </is>
      </c>
      <c r="G396" s="12" t="inlineStr"/>
      <c r="H396" s="12" t="inlineStr">
        <is>
          <t>HRSG 2 blowdown tank (continuous / intermittent)</t>
        </is>
      </c>
      <c r="I396" s="12" t="inlineStr">
        <is>
          <t>Control</t>
        </is>
      </c>
      <c r="J396" s="12" t="inlineStr">
        <is>
          <t>Control cable 600 V Type TC-ER, Cu #14 AWG, PVC jacket</t>
        </is>
      </c>
      <c r="K396" s="12" t="inlineStr">
        <is>
          <t>CT|12/C|14</t>
        </is>
      </c>
      <c r="L396" s="12" t="inlineStr">
        <is>
          <t>12/C</t>
        </is>
      </c>
      <c r="M396" s="12" t="inlineStr">
        <is>
          <t>14</t>
        </is>
      </c>
      <c r="N396" s="12" t="n">
        <v>1</v>
      </c>
      <c r="O396" s="12" t="n">
        <v>1</v>
      </c>
      <c r="P396" s="12" t="n"/>
      <c r="Q396" s="12" t="n"/>
      <c r="R396" s="12" t="n"/>
      <c r="S396" s="12" t="inlineStr">
        <is>
          <t>Tray</t>
        </is>
      </c>
      <c r="T396" s="16" t="n">
        <v>38</v>
      </c>
      <c r="U396" s="16" t="n">
        <v>86</v>
      </c>
      <c r="V396" s="16">
        <f>ROUNDUP((T396+U396+2*'Read Me'!$B$13)*(1+'Read Me'!$B$12),-1)</f>
        <v/>
      </c>
      <c r="W396" s="16">
        <f>V396*N396*O396</f>
        <v/>
      </c>
      <c r="X396" s="12">
        <f>IF(LEFT(I396,2)="MV",2*N396*IF(L396="1/C",O396,1),0)</f>
        <v/>
      </c>
      <c r="Y396" s="12">
        <f>IF(OR(LEFT(K396,4)="LVAX",LEFT(K396,6)="MV15AX",LEFT(K396,4)="CTAX",LEFT(K396,2)="W|"),2*N396*O396,0)</f>
        <v/>
      </c>
      <c r="Z396" s="12" t="inlineStr"/>
      <c r="AA396" s="12">
        <f>N396*O396</f>
        <v/>
      </c>
    </row>
    <row r="397">
      <c r="A397" s="12" t="inlineStr">
        <is>
          <t>A-C-0385</t>
        </is>
      </c>
      <c r="B397" s="12" t="inlineStr">
        <is>
          <t>A</t>
        </is>
      </c>
      <c r="C397" s="12" t="inlineStr">
        <is>
          <t>Power block</t>
        </is>
      </c>
      <c r="D397" s="12" t="inlineStr">
        <is>
          <t>Motor 1 of 6: control / local station</t>
        </is>
      </c>
      <c r="E397" s="12" t="inlineStr">
        <is>
          <t>R2B</t>
        </is>
      </c>
      <c r="F397" s="12" t="inlineStr">
        <is>
          <t>R2B: unit / HRSG electrical e-house (32 x 40 ft)</t>
        </is>
      </c>
      <c r="G397" s="12" t="inlineStr"/>
      <c r="H397" s="12" t="inlineStr">
        <is>
          <t>HRSG 2 chemical feed skid (phosphate / amine)</t>
        </is>
      </c>
      <c r="I397" s="12" t="inlineStr">
        <is>
          <t>Control</t>
        </is>
      </c>
      <c r="J397" s="12" t="inlineStr">
        <is>
          <t>Control cable 600 V Type TC-ER, Cu #14 AWG, PVC jacket</t>
        </is>
      </c>
      <c r="K397" s="12" t="inlineStr">
        <is>
          <t>CT|7/C|14</t>
        </is>
      </c>
      <c r="L397" s="12" t="inlineStr">
        <is>
          <t>7/C</t>
        </is>
      </c>
      <c r="M397" s="12" t="inlineStr">
        <is>
          <t>14</t>
        </is>
      </c>
      <c r="N397" s="12" t="n">
        <v>1</v>
      </c>
      <c r="O397" s="12" t="n">
        <v>1</v>
      </c>
      <c r="P397" s="12" t="n"/>
      <c r="Q397" s="12" t="n"/>
      <c r="R397" s="12" t="n"/>
      <c r="S397" s="12" t="inlineStr">
        <is>
          <t>Tray</t>
        </is>
      </c>
      <c r="T397" s="16" t="n">
        <v>404</v>
      </c>
      <c r="U397" s="16" t="n">
        <v>108</v>
      </c>
      <c r="V397" s="16">
        <f>ROUNDUP((T397+U397+2*'Read Me'!$B$13)*(1+'Read Me'!$B$12),-1)</f>
        <v/>
      </c>
      <c r="W397" s="16">
        <f>V397*N397*O397</f>
        <v/>
      </c>
      <c r="X397" s="12">
        <f>IF(LEFT(I397,2)="MV",2*N397*IF(L397="1/C",O397,1),0)</f>
        <v/>
      </c>
      <c r="Y397" s="12">
        <f>IF(OR(LEFT(K397,4)="LVAX",LEFT(K397,6)="MV15AX",LEFT(K397,4)="CTAX",LEFT(K397,2)="W|"),2*N397*O397,0)</f>
        <v/>
      </c>
      <c r="Z397" s="12" t="inlineStr"/>
      <c r="AA397" s="12">
        <f>N397*O397</f>
        <v/>
      </c>
    </row>
    <row r="398">
      <c r="A398" s="12" t="inlineStr">
        <is>
          <t>A-C-0386</t>
        </is>
      </c>
      <c r="B398" s="12" t="inlineStr">
        <is>
          <t>A</t>
        </is>
      </c>
      <c r="C398" s="12" t="inlineStr">
        <is>
          <t>Power block</t>
        </is>
      </c>
      <c r="D398" s="12" t="inlineStr">
        <is>
          <t>Motor 2 of 6: control / local station</t>
        </is>
      </c>
      <c r="E398" s="12" t="inlineStr">
        <is>
          <t>R2B</t>
        </is>
      </c>
      <c r="F398" s="12" t="inlineStr">
        <is>
          <t>R2B: unit / HRSG electrical e-house (32 x 40 ft)</t>
        </is>
      </c>
      <c r="G398" s="12" t="inlineStr"/>
      <c r="H398" s="12" t="inlineStr">
        <is>
          <t>HRSG 2 chemical feed skid (phosphate / amine)</t>
        </is>
      </c>
      <c r="I398" s="12" t="inlineStr">
        <is>
          <t>Control</t>
        </is>
      </c>
      <c r="J398" s="12" t="inlineStr">
        <is>
          <t>Control cable 600 V Type TC-ER, Cu #14 AWG, PVC jacket</t>
        </is>
      </c>
      <c r="K398" s="12" t="inlineStr">
        <is>
          <t>CT|7/C|14</t>
        </is>
      </c>
      <c r="L398" s="12" t="inlineStr">
        <is>
          <t>7/C</t>
        </is>
      </c>
      <c r="M398" s="12" t="inlineStr">
        <is>
          <t>14</t>
        </is>
      </c>
      <c r="N398" s="12" t="n">
        <v>1</v>
      </c>
      <c r="O398" s="12" t="n">
        <v>1</v>
      </c>
      <c r="P398" s="12" t="n"/>
      <c r="Q398" s="12" t="n"/>
      <c r="R398" s="12" t="n"/>
      <c r="S398" s="12" t="inlineStr">
        <is>
          <t>Tray</t>
        </is>
      </c>
      <c r="T398" s="16" t="n">
        <v>404</v>
      </c>
      <c r="U398" s="16" t="n">
        <v>108</v>
      </c>
      <c r="V398" s="16">
        <f>ROUNDUP((T398+U398+2*'Read Me'!$B$13)*(1+'Read Me'!$B$12),-1)</f>
        <v/>
      </c>
      <c r="W398" s="16">
        <f>V398*N398*O398</f>
        <v/>
      </c>
      <c r="X398" s="12">
        <f>IF(LEFT(I398,2)="MV",2*N398*IF(L398="1/C",O398,1),0)</f>
        <v/>
      </c>
      <c r="Y398" s="12">
        <f>IF(OR(LEFT(K398,4)="LVAX",LEFT(K398,6)="MV15AX",LEFT(K398,4)="CTAX",LEFT(K398,2)="W|"),2*N398*O398,0)</f>
        <v/>
      </c>
      <c r="Z398" s="12" t="inlineStr"/>
      <c r="AA398" s="12">
        <f>N398*O398</f>
        <v/>
      </c>
    </row>
    <row r="399">
      <c r="A399" s="12" t="inlineStr">
        <is>
          <t>A-C-0387</t>
        </is>
      </c>
      <c r="B399" s="12" t="inlineStr">
        <is>
          <t>A</t>
        </is>
      </c>
      <c r="C399" s="12" t="inlineStr">
        <is>
          <t>Power block</t>
        </is>
      </c>
      <c r="D399" s="12" t="inlineStr">
        <is>
          <t>Motor 3 of 6: control / local station</t>
        </is>
      </c>
      <c r="E399" s="12" t="inlineStr">
        <is>
          <t>R2B</t>
        </is>
      </c>
      <c r="F399" s="12" t="inlineStr">
        <is>
          <t>R2B: unit / HRSG electrical e-house (32 x 40 ft)</t>
        </is>
      </c>
      <c r="G399" s="12" t="inlineStr"/>
      <c r="H399" s="12" t="inlineStr">
        <is>
          <t>HRSG 2 chemical feed skid (phosphate / amine)</t>
        </is>
      </c>
      <c r="I399" s="12" t="inlineStr">
        <is>
          <t>Control</t>
        </is>
      </c>
      <c r="J399" s="12" t="inlineStr">
        <is>
          <t>Control cable 600 V Type TC-ER, Cu #14 AWG, PVC jacket</t>
        </is>
      </c>
      <c r="K399" s="12" t="inlineStr">
        <is>
          <t>CT|7/C|14</t>
        </is>
      </c>
      <c r="L399" s="12" t="inlineStr">
        <is>
          <t>7/C</t>
        </is>
      </c>
      <c r="M399" s="12" t="inlineStr">
        <is>
          <t>14</t>
        </is>
      </c>
      <c r="N399" s="12" t="n">
        <v>1</v>
      </c>
      <c r="O399" s="12" t="n">
        <v>1</v>
      </c>
      <c r="P399" s="12" t="n"/>
      <c r="Q399" s="12" t="n"/>
      <c r="R399" s="12" t="n"/>
      <c r="S399" s="12" t="inlineStr">
        <is>
          <t>Tray</t>
        </is>
      </c>
      <c r="T399" s="16" t="n">
        <v>404</v>
      </c>
      <c r="U399" s="16" t="n">
        <v>108</v>
      </c>
      <c r="V399" s="16">
        <f>ROUNDUP((T399+U399+2*'Read Me'!$B$13)*(1+'Read Me'!$B$12),-1)</f>
        <v/>
      </c>
      <c r="W399" s="16">
        <f>V399*N399*O399</f>
        <v/>
      </c>
      <c r="X399" s="12">
        <f>IF(LEFT(I399,2)="MV",2*N399*IF(L399="1/C",O399,1),0)</f>
        <v/>
      </c>
      <c r="Y399" s="12">
        <f>IF(OR(LEFT(K399,4)="LVAX",LEFT(K399,6)="MV15AX",LEFT(K399,4)="CTAX",LEFT(K399,2)="W|"),2*N399*O399,0)</f>
        <v/>
      </c>
      <c r="Z399" s="12" t="inlineStr"/>
      <c r="AA399" s="12">
        <f>N399*O399</f>
        <v/>
      </c>
    </row>
    <row r="400">
      <c r="A400" s="12" t="inlineStr">
        <is>
          <t>A-C-0388</t>
        </is>
      </c>
      <c r="B400" s="12" t="inlineStr">
        <is>
          <t>A</t>
        </is>
      </c>
      <c r="C400" s="12" t="inlineStr">
        <is>
          <t>Power block</t>
        </is>
      </c>
      <c r="D400" s="12" t="inlineStr">
        <is>
          <t>Motor 4 of 6: control / local station</t>
        </is>
      </c>
      <c r="E400" s="12" t="inlineStr">
        <is>
          <t>R2B</t>
        </is>
      </c>
      <c r="F400" s="12" t="inlineStr">
        <is>
          <t>R2B: unit / HRSG electrical e-house (32 x 40 ft)</t>
        </is>
      </c>
      <c r="G400" s="12" t="inlineStr"/>
      <c r="H400" s="12" t="inlineStr">
        <is>
          <t>HRSG 2 chemical feed skid (phosphate / amine)</t>
        </is>
      </c>
      <c r="I400" s="12" t="inlineStr">
        <is>
          <t>Control</t>
        </is>
      </c>
      <c r="J400" s="12" t="inlineStr">
        <is>
          <t>Control cable 600 V Type TC-ER, Cu #14 AWG, PVC jacket</t>
        </is>
      </c>
      <c r="K400" s="12" t="inlineStr">
        <is>
          <t>CT|7/C|14</t>
        </is>
      </c>
      <c r="L400" s="12" t="inlineStr">
        <is>
          <t>7/C</t>
        </is>
      </c>
      <c r="M400" s="12" t="inlineStr">
        <is>
          <t>14</t>
        </is>
      </c>
      <c r="N400" s="12" t="n">
        <v>1</v>
      </c>
      <c r="O400" s="12" t="n">
        <v>1</v>
      </c>
      <c r="P400" s="12" t="n"/>
      <c r="Q400" s="12" t="n"/>
      <c r="R400" s="12" t="n"/>
      <c r="S400" s="12" t="inlineStr">
        <is>
          <t>Tray</t>
        </is>
      </c>
      <c r="T400" s="16" t="n">
        <v>404</v>
      </c>
      <c r="U400" s="16" t="n">
        <v>108</v>
      </c>
      <c r="V400" s="16">
        <f>ROUNDUP((T400+U400+2*'Read Me'!$B$13)*(1+'Read Me'!$B$12),-1)</f>
        <v/>
      </c>
      <c r="W400" s="16">
        <f>V400*N400*O400</f>
        <v/>
      </c>
      <c r="X400" s="12">
        <f>IF(LEFT(I400,2)="MV",2*N400*IF(L400="1/C",O400,1),0)</f>
        <v/>
      </c>
      <c r="Y400" s="12">
        <f>IF(OR(LEFT(K400,4)="LVAX",LEFT(K400,6)="MV15AX",LEFT(K400,4)="CTAX",LEFT(K400,2)="W|"),2*N400*O400,0)</f>
        <v/>
      </c>
      <c r="Z400" s="12" t="inlineStr"/>
      <c r="AA400" s="12">
        <f>N400*O400</f>
        <v/>
      </c>
    </row>
    <row r="401">
      <c r="A401" s="12" t="inlineStr">
        <is>
          <t>A-C-0389</t>
        </is>
      </c>
      <c r="B401" s="12" t="inlineStr">
        <is>
          <t>A</t>
        </is>
      </c>
      <c r="C401" s="12" t="inlineStr">
        <is>
          <t>Power block</t>
        </is>
      </c>
      <c r="D401" s="12" t="inlineStr">
        <is>
          <t>Motor 5 of 6: control / local station</t>
        </is>
      </c>
      <c r="E401" s="12" t="inlineStr">
        <is>
          <t>R2B</t>
        </is>
      </c>
      <c r="F401" s="12" t="inlineStr">
        <is>
          <t>R2B: unit / HRSG electrical e-house (32 x 40 ft)</t>
        </is>
      </c>
      <c r="G401" s="12" t="inlineStr"/>
      <c r="H401" s="12" t="inlineStr">
        <is>
          <t>HRSG 2 chemical feed skid (phosphate / amine)</t>
        </is>
      </c>
      <c r="I401" s="12" t="inlineStr">
        <is>
          <t>Control</t>
        </is>
      </c>
      <c r="J401" s="12" t="inlineStr">
        <is>
          <t>Control cable 600 V Type TC-ER, Cu #14 AWG, PVC jacket</t>
        </is>
      </c>
      <c r="K401" s="12" t="inlineStr">
        <is>
          <t>CT|7/C|14</t>
        </is>
      </c>
      <c r="L401" s="12" t="inlineStr">
        <is>
          <t>7/C</t>
        </is>
      </c>
      <c r="M401" s="12" t="inlineStr">
        <is>
          <t>14</t>
        </is>
      </c>
      <c r="N401" s="12" t="n">
        <v>1</v>
      </c>
      <c r="O401" s="12" t="n">
        <v>1</v>
      </c>
      <c r="P401" s="12" t="n"/>
      <c r="Q401" s="12" t="n"/>
      <c r="R401" s="12" t="n"/>
      <c r="S401" s="12" t="inlineStr">
        <is>
          <t>Tray</t>
        </is>
      </c>
      <c r="T401" s="16" t="n">
        <v>404</v>
      </c>
      <c r="U401" s="16" t="n">
        <v>108</v>
      </c>
      <c r="V401" s="16">
        <f>ROUNDUP((T401+U401+2*'Read Me'!$B$13)*(1+'Read Me'!$B$12),-1)</f>
        <v/>
      </c>
      <c r="W401" s="16">
        <f>V401*N401*O401</f>
        <v/>
      </c>
      <c r="X401" s="12">
        <f>IF(LEFT(I401,2)="MV",2*N401*IF(L401="1/C",O401,1),0)</f>
        <v/>
      </c>
      <c r="Y401" s="12">
        <f>IF(OR(LEFT(K401,4)="LVAX",LEFT(K401,6)="MV15AX",LEFT(K401,4)="CTAX",LEFT(K401,2)="W|"),2*N401*O401,0)</f>
        <v/>
      </c>
      <c r="Z401" s="12" t="inlineStr"/>
      <c r="AA401" s="12">
        <f>N401*O401</f>
        <v/>
      </c>
    </row>
    <row r="402">
      <c r="A402" s="12" t="inlineStr">
        <is>
          <t>A-C-0390</t>
        </is>
      </c>
      <c r="B402" s="12" t="inlineStr">
        <is>
          <t>A</t>
        </is>
      </c>
      <c r="C402" s="12" t="inlineStr">
        <is>
          <t>Power block</t>
        </is>
      </c>
      <c r="D402" s="12" t="inlineStr">
        <is>
          <t>Motor 6 of 6: control / local station</t>
        </is>
      </c>
      <c r="E402" s="12" t="inlineStr">
        <is>
          <t>R2B</t>
        </is>
      </c>
      <c r="F402" s="12" t="inlineStr">
        <is>
          <t>R2B: unit / HRSG electrical e-house (32 x 40 ft)</t>
        </is>
      </c>
      <c r="G402" s="12" t="inlineStr"/>
      <c r="H402" s="12" t="inlineStr">
        <is>
          <t>HRSG 2 chemical feed skid (phosphate / amine)</t>
        </is>
      </c>
      <c r="I402" s="12" t="inlineStr">
        <is>
          <t>Control</t>
        </is>
      </c>
      <c r="J402" s="12" t="inlineStr">
        <is>
          <t>Control cable 600 V Type TC-ER, Cu #14 AWG, PVC jacket</t>
        </is>
      </c>
      <c r="K402" s="12" t="inlineStr">
        <is>
          <t>CT|7/C|14</t>
        </is>
      </c>
      <c r="L402" s="12" t="inlineStr">
        <is>
          <t>7/C</t>
        </is>
      </c>
      <c r="M402" s="12" t="inlineStr">
        <is>
          <t>14</t>
        </is>
      </c>
      <c r="N402" s="12" t="n">
        <v>1</v>
      </c>
      <c r="O402" s="12" t="n">
        <v>1</v>
      </c>
      <c r="P402" s="12" t="n"/>
      <c r="Q402" s="12" t="n"/>
      <c r="R402" s="12" t="n"/>
      <c r="S402" s="12" t="inlineStr">
        <is>
          <t>Tray</t>
        </is>
      </c>
      <c r="T402" s="16" t="n">
        <v>404</v>
      </c>
      <c r="U402" s="16" t="n">
        <v>108</v>
      </c>
      <c r="V402" s="16">
        <f>ROUNDUP((T402+U402+2*'Read Me'!$B$13)*(1+'Read Me'!$B$12),-1)</f>
        <v/>
      </c>
      <c r="W402" s="16">
        <f>V402*N402*O402</f>
        <v/>
      </c>
      <c r="X402" s="12">
        <f>IF(LEFT(I402,2)="MV",2*N402*IF(L402="1/C",O402,1),0)</f>
        <v/>
      </c>
      <c r="Y402" s="12">
        <f>IF(OR(LEFT(K402,4)="LVAX",LEFT(K402,6)="MV15AX",LEFT(K402,4)="CTAX",LEFT(K402,2)="W|"),2*N402*O402,0)</f>
        <v/>
      </c>
      <c r="Z402" s="12" t="inlineStr"/>
      <c r="AA402" s="12">
        <f>N402*O402</f>
        <v/>
      </c>
    </row>
    <row r="403">
      <c r="A403" s="12" t="inlineStr">
        <is>
          <t>A-C-0391</t>
        </is>
      </c>
      <c r="B403" s="12" t="inlineStr">
        <is>
          <t>A</t>
        </is>
      </c>
      <c r="C403" s="12" t="inlineStr">
        <is>
          <t>Power block</t>
        </is>
      </c>
      <c r="D403" s="12" t="inlineStr">
        <is>
          <t>Motor 1 of 4: control / local station</t>
        </is>
      </c>
      <c r="E403" s="12" t="inlineStr">
        <is>
          <t>R2C</t>
        </is>
      </c>
      <c r="F403" s="12" t="inlineStr">
        <is>
          <t>R2C: unit / HRSG electrical e-house (32 x 40 ft)</t>
        </is>
      </c>
      <c r="G403" s="12" t="inlineStr">
        <is>
          <t>HRSG-3</t>
        </is>
      </c>
      <c r="H403" s="12" t="inlineStr">
        <is>
          <t>HRSG 3 + SCR (3P reheat, horizontal)</t>
        </is>
      </c>
      <c r="I403" s="12" t="inlineStr">
        <is>
          <t>Control</t>
        </is>
      </c>
      <c r="J403" s="12" t="inlineStr">
        <is>
          <t>Control cable 600 V Type TC-ER, Cu #14 AWG, PVC jacket</t>
        </is>
      </c>
      <c r="K403" s="12" t="inlineStr">
        <is>
          <t>CT|7/C|14</t>
        </is>
      </c>
      <c r="L403" s="12" t="inlineStr">
        <is>
          <t>7/C</t>
        </is>
      </c>
      <c r="M403" s="12" t="inlineStr">
        <is>
          <t>14</t>
        </is>
      </c>
      <c r="N403" s="12" t="n">
        <v>1</v>
      </c>
      <c r="O403" s="12" t="n">
        <v>1</v>
      </c>
      <c r="P403" s="12" t="n"/>
      <c r="Q403" s="12" t="n"/>
      <c r="R403" s="12" t="n"/>
      <c r="S403" s="12" t="inlineStr">
        <is>
          <t>Tray</t>
        </is>
      </c>
      <c r="T403" s="16" t="n">
        <v>0</v>
      </c>
      <c r="U403" s="16" t="n">
        <v>87</v>
      </c>
      <c r="V403" s="16">
        <f>ROUNDUP((T403+U403+2*'Read Me'!$B$13)*(1+'Read Me'!$B$12),-1)</f>
        <v/>
      </c>
      <c r="W403" s="16">
        <f>V403*N403*O403</f>
        <v/>
      </c>
      <c r="X403" s="12">
        <f>IF(LEFT(I403,2)="MV",2*N403*IF(L403="1/C",O403,1),0)</f>
        <v/>
      </c>
      <c r="Y403" s="12">
        <f>IF(OR(LEFT(K403,4)="LVAX",LEFT(K403,6)="MV15AX",LEFT(K403,4)="CTAX",LEFT(K403,2)="W|"),2*N403*O403,0)</f>
        <v/>
      </c>
      <c r="Z403" s="12" t="inlineStr"/>
      <c r="AA403" s="12">
        <f>N403*O403</f>
        <v/>
      </c>
    </row>
    <row r="404">
      <c r="A404" s="12" t="inlineStr">
        <is>
          <t>A-C-0392</t>
        </is>
      </c>
      <c r="B404" s="12" t="inlineStr">
        <is>
          <t>A</t>
        </is>
      </c>
      <c r="C404" s="12" t="inlineStr">
        <is>
          <t>Power block</t>
        </is>
      </c>
      <c r="D404" s="12" t="inlineStr">
        <is>
          <t>Motor 2 of 4: control / local station</t>
        </is>
      </c>
      <c r="E404" s="12" t="inlineStr">
        <is>
          <t>R2C</t>
        </is>
      </c>
      <c r="F404" s="12" t="inlineStr">
        <is>
          <t>R2C: unit / HRSG electrical e-house (32 x 40 ft)</t>
        </is>
      </c>
      <c r="G404" s="12" t="inlineStr">
        <is>
          <t>HRSG-3</t>
        </is>
      </c>
      <c r="H404" s="12" t="inlineStr">
        <is>
          <t>HRSG 3 + SCR (3P reheat, horizontal)</t>
        </is>
      </c>
      <c r="I404" s="12" t="inlineStr">
        <is>
          <t>Control</t>
        </is>
      </c>
      <c r="J404" s="12" t="inlineStr">
        <is>
          <t>Control cable 600 V Type TC-ER, Cu #14 AWG, PVC jacket</t>
        </is>
      </c>
      <c r="K404" s="12" t="inlineStr">
        <is>
          <t>CT|7/C|14</t>
        </is>
      </c>
      <c r="L404" s="12" t="inlineStr">
        <is>
          <t>7/C</t>
        </is>
      </c>
      <c r="M404" s="12" t="inlineStr">
        <is>
          <t>14</t>
        </is>
      </c>
      <c r="N404" s="12" t="n">
        <v>1</v>
      </c>
      <c r="O404" s="12" t="n">
        <v>1</v>
      </c>
      <c r="P404" s="12" t="n"/>
      <c r="Q404" s="12" t="n"/>
      <c r="R404" s="12" t="n"/>
      <c r="S404" s="12" t="inlineStr">
        <is>
          <t>Tray</t>
        </is>
      </c>
      <c r="T404" s="16" t="n">
        <v>0</v>
      </c>
      <c r="U404" s="16" t="n">
        <v>87</v>
      </c>
      <c r="V404" s="16">
        <f>ROUNDUP((T404+U404+2*'Read Me'!$B$13)*(1+'Read Me'!$B$12),-1)</f>
        <v/>
      </c>
      <c r="W404" s="16">
        <f>V404*N404*O404</f>
        <v/>
      </c>
      <c r="X404" s="12">
        <f>IF(LEFT(I404,2)="MV",2*N404*IF(L404="1/C",O404,1),0)</f>
        <v/>
      </c>
      <c r="Y404" s="12">
        <f>IF(OR(LEFT(K404,4)="LVAX",LEFT(K404,6)="MV15AX",LEFT(K404,4)="CTAX",LEFT(K404,2)="W|"),2*N404*O404,0)</f>
        <v/>
      </c>
      <c r="Z404" s="12" t="inlineStr"/>
      <c r="AA404" s="12">
        <f>N404*O404</f>
        <v/>
      </c>
    </row>
    <row r="405">
      <c r="A405" s="12" t="inlineStr">
        <is>
          <t>A-C-0393</t>
        </is>
      </c>
      <c r="B405" s="12" t="inlineStr">
        <is>
          <t>A</t>
        </is>
      </c>
      <c r="C405" s="12" t="inlineStr">
        <is>
          <t>Power block</t>
        </is>
      </c>
      <c r="D405" s="12" t="inlineStr">
        <is>
          <t>Motor 3 of 4: control / local station</t>
        </is>
      </c>
      <c r="E405" s="12" t="inlineStr">
        <is>
          <t>R2C</t>
        </is>
      </c>
      <c r="F405" s="12" t="inlineStr">
        <is>
          <t>R2C: unit / HRSG electrical e-house (32 x 40 ft)</t>
        </is>
      </c>
      <c r="G405" s="12" t="inlineStr">
        <is>
          <t>HRSG-3</t>
        </is>
      </c>
      <c r="H405" s="12" t="inlineStr">
        <is>
          <t>HRSG 3 + SCR (3P reheat, horizontal)</t>
        </is>
      </c>
      <c r="I405" s="12" t="inlineStr">
        <is>
          <t>Control</t>
        </is>
      </c>
      <c r="J405" s="12" t="inlineStr">
        <is>
          <t>Control cable 600 V Type TC-ER, Cu #14 AWG, PVC jacket</t>
        </is>
      </c>
      <c r="K405" s="12" t="inlineStr">
        <is>
          <t>CT|7/C|14</t>
        </is>
      </c>
      <c r="L405" s="12" t="inlineStr">
        <is>
          <t>7/C</t>
        </is>
      </c>
      <c r="M405" s="12" t="inlineStr">
        <is>
          <t>14</t>
        </is>
      </c>
      <c r="N405" s="12" t="n">
        <v>1</v>
      </c>
      <c r="O405" s="12" t="n">
        <v>1</v>
      </c>
      <c r="P405" s="12" t="n"/>
      <c r="Q405" s="12" t="n"/>
      <c r="R405" s="12" t="n"/>
      <c r="S405" s="12" t="inlineStr">
        <is>
          <t>Tray</t>
        </is>
      </c>
      <c r="T405" s="16" t="n">
        <v>0</v>
      </c>
      <c r="U405" s="16" t="n">
        <v>87</v>
      </c>
      <c r="V405" s="16">
        <f>ROUNDUP((T405+U405+2*'Read Me'!$B$13)*(1+'Read Me'!$B$12),-1)</f>
        <v/>
      </c>
      <c r="W405" s="16">
        <f>V405*N405*O405</f>
        <v/>
      </c>
      <c r="X405" s="12">
        <f>IF(LEFT(I405,2)="MV",2*N405*IF(L405="1/C",O405,1),0)</f>
        <v/>
      </c>
      <c r="Y405" s="12">
        <f>IF(OR(LEFT(K405,4)="LVAX",LEFT(K405,6)="MV15AX",LEFT(K405,4)="CTAX",LEFT(K405,2)="W|"),2*N405*O405,0)</f>
        <v/>
      </c>
      <c r="Z405" s="12" t="inlineStr"/>
      <c r="AA405" s="12">
        <f>N405*O405</f>
        <v/>
      </c>
    </row>
    <row r="406">
      <c r="A406" s="12" t="inlineStr">
        <is>
          <t>A-C-0394</t>
        </is>
      </c>
      <c r="B406" s="12" t="inlineStr">
        <is>
          <t>A</t>
        </is>
      </c>
      <c r="C406" s="12" t="inlineStr">
        <is>
          <t>Power block</t>
        </is>
      </c>
      <c r="D406" s="12" t="inlineStr">
        <is>
          <t>Motor 4 of 4: control / local station</t>
        </is>
      </c>
      <c r="E406" s="12" t="inlineStr">
        <is>
          <t>R2C</t>
        </is>
      </c>
      <c r="F406" s="12" t="inlineStr">
        <is>
          <t>R2C: unit / HRSG electrical e-house (32 x 40 ft)</t>
        </is>
      </c>
      <c r="G406" s="12" t="inlineStr">
        <is>
          <t>HRSG-3</t>
        </is>
      </c>
      <c r="H406" s="12" t="inlineStr">
        <is>
          <t>HRSG 3 + SCR (3P reheat, horizontal)</t>
        </is>
      </c>
      <c r="I406" s="12" t="inlineStr">
        <is>
          <t>Control</t>
        </is>
      </c>
      <c r="J406" s="12" t="inlineStr">
        <is>
          <t>Control cable 600 V Type TC-ER, Cu #14 AWG, PVC jacket</t>
        </is>
      </c>
      <c r="K406" s="12" t="inlineStr">
        <is>
          <t>CT|7/C|14</t>
        </is>
      </c>
      <c r="L406" s="12" t="inlineStr">
        <is>
          <t>7/C</t>
        </is>
      </c>
      <c r="M406" s="12" t="inlineStr">
        <is>
          <t>14</t>
        </is>
      </c>
      <c r="N406" s="12" t="n">
        <v>1</v>
      </c>
      <c r="O406" s="12" t="n">
        <v>1</v>
      </c>
      <c r="P406" s="12" t="n"/>
      <c r="Q406" s="12" t="n"/>
      <c r="R406" s="12" t="n"/>
      <c r="S406" s="12" t="inlineStr">
        <is>
          <t>Tray</t>
        </is>
      </c>
      <c r="T406" s="16" t="n">
        <v>0</v>
      </c>
      <c r="U406" s="16" t="n">
        <v>87</v>
      </c>
      <c r="V406" s="16">
        <f>ROUNDUP((T406+U406+2*'Read Me'!$B$13)*(1+'Read Me'!$B$12),-1)</f>
        <v/>
      </c>
      <c r="W406" s="16">
        <f>V406*N406*O406</f>
        <v/>
      </c>
      <c r="X406" s="12">
        <f>IF(LEFT(I406,2)="MV",2*N406*IF(L406="1/C",O406,1),0)</f>
        <v/>
      </c>
      <c r="Y406" s="12">
        <f>IF(OR(LEFT(K406,4)="LVAX",LEFT(K406,6)="MV15AX",LEFT(K406,4)="CTAX",LEFT(K406,2)="W|"),2*N406*O406,0)</f>
        <v/>
      </c>
      <c r="Z406" s="12" t="inlineStr"/>
      <c r="AA406" s="12">
        <f>N406*O406</f>
        <v/>
      </c>
    </row>
    <row r="407">
      <c r="A407" s="12" t="inlineStr">
        <is>
          <t>A-C-0395</t>
        </is>
      </c>
      <c r="B407" s="12" t="inlineStr">
        <is>
          <t>A</t>
        </is>
      </c>
      <c r="C407" s="12" t="inlineStr">
        <is>
          <t>Power block</t>
        </is>
      </c>
      <c r="D407" s="12" t="inlineStr">
        <is>
          <t>MOV 1: control</t>
        </is>
      </c>
      <c r="E407" s="12" t="inlineStr">
        <is>
          <t>R2C</t>
        </is>
      </c>
      <c r="F407" s="12" t="inlineStr">
        <is>
          <t>R2C: unit / HRSG electrical e-house (32 x 40 ft)</t>
        </is>
      </c>
      <c r="G407" s="12" t="inlineStr">
        <is>
          <t>HRSG-3</t>
        </is>
      </c>
      <c r="H407" s="12" t="inlineStr">
        <is>
          <t>HRSG 3 + SCR (3P reheat, horizontal)</t>
        </is>
      </c>
      <c r="I407" s="12" t="inlineStr">
        <is>
          <t>Control</t>
        </is>
      </c>
      <c r="J407" s="12" t="inlineStr">
        <is>
          <t>Control cable 600 V Type TC-ER, Cu #14 AWG, PVC jacket</t>
        </is>
      </c>
      <c r="K407" s="12" t="inlineStr">
        <is>
          <t>CT|12/C|14</t>
        </is>
      </c>
      <c r="L407" s="12" t="inlineStr">
        <is>
          <t>12/C</t>
        </is>
      </c>
      <c r="M407" s="12" t="inlineStr">
        <is>
          <t>14</t>
        </is>
      </c>
      <c r="N407" s="12" t="n">
        <v>1</v>
      </c>
      <c r="O407" s="12" t="n">
        <v>1</v>
      </c>
      <c r="P407" s="12" t="n"/>
      <c r="Q407" s="12" t="n"/>
      <c r="R407" s="12" t="n"/>
      <c r="S407" s="12" t="inlineStr">
        <is>
          <t>Tray</t>
        </is>
      </c>
      <c r="T407" s="16" t="n">
        <v>0</v>
      </c>
      <c r="U407" s="16" t="n">
        <v>87</v>
      </c>
      <c r="V407" s="16">
        <f>ROUNDUP((T407+U407+2*'Read Me'!$B$13)*(1+'Read Me'!$B$12),-1)</f>
        <v/>
      </c>
      <c r="W407" s="16">
        <f>V407*N407*O407</f>
        <v/>
      </c>
      <c r="X407" s="12">
        <f>IF(LEFT(I407,2)="MV",2*N407*IF(L407="1/C",O407,1),0)</f>
        <v/>
      </c>
      <c r="Y407" s="12">
        <f>IF(OR(LEFT(K407,4)="LVAX",LEFT(K407,6)="MV15AX",LEFT(K407,4)="CTAX",LEFT(K407,2)="W|"),2*N407*O407,0)</f>
        <v/>
      </c>
      <c r="Z407" s="12" t="inlineStr"/>
      <c r="AA407" s="12">
        <f>N407*O407</f>
        <v/>
      </c>
    </row>
    <row r="408">
      <c r="A408" s="12" t="inlineStr">
        <is>
          <t>A-C-0396</t>
        </is>
      </c>
      <c r="B408" s="12" t="inlineStr">
        <is>
          <t>A</t>
        </is>
      </c>
      <c r="C408" s="12" t="inlineStr">
        <is>
          <t>Power block</t>
        </is>
      </c>
      <c r="D408" s="12" t="inlineStr">
        <is>
          <t>MOV 2: control</t>
        </is>
      </c>
      <c r="E408" s="12" t="inlineStr">
        <is>
          <t>R2C</t>
        </is>
      </c>
      <c r="F408" s="12" t="inlineStr">
        <is>
          <t>R2C: unit / HRSG electrical e-house (32 x 40 ft)</t>
        </is>
      </c>
      <c r="G408" s="12" t="inlineStr">
        <is>
          <t>HRSG-3</t>
        </is>
      </c>
      <c r="H408" s="12" t="inlineStr">
        <is>
          <t>HRSG 3 + SCR (3P reheat, horizontal)</t>
        </is>
      </c>
      <c r="I408" s="12" t="inlineStr">
        <is>
          <t>Control</t>
        </is>
      </c>
      <c r="J408" s="12" t="inlineStr">
        <is>
          <t>Control cable 600 V Type TC-ER, Cu #14 AWG, PVC jacket</t>
        </is>
      </c>
      <c r="K408" s="12" t="inlineStr">
        <is>
          <t>CT|12/C|14</t>
        </is>
      </c>
      <c r="L408" s="12" t="inlineStr">
        <is>
          <t>12/C</t>
        </is>
      </c>
      <c r="M408" s="12" t="inlineStr">
        <is>
          <t>14</t>
        </is>
      </c>
      <c r="N408" s="12" t="n">
        <v>1</v>
      </c>
      <c r="O408" s="12" t="n">
        <v>1</v>
      </c>
      <c r="P408" s="12" t="n"/>
      <c r="Q408" s="12" t="n"/>
      <c r="R408" s="12" t="n"/>
      <c r="S408" s="12" t="inlineStr">
        <is>
          <t>Tray</t>
        </is>
      </c>
      <c r="T408" s="16" t="n">
        <v>0</v>
      </c>
      <c r="U408" s="16" t="n">
        <v>87</v>
      </c>
      <c r="V408" s="16">
        <f>ROUNDUP((T408+U408+2*'Read Me'!$B$13)*(1+'Read Me'!$B$12),-1)</f>
        <v/>
      </c>
      <c r="W408" s="16">
        <f>V408*N408*O408</f>
        <v/>
      </c>
      <c r="X408" s="12">
        <f>IF(LEFT(I408,2)="MV",2*N408*IF(L408="1/C",O408,1),0)</f>
        <v/>
      </c>
      <c r="Y408" s="12">
        <f>IF(OR(LEFT(K408,4)="LVAX",LEFT(K408,6)="MV15AX",LEFT(K408,4)="CTAX",LEFT(K408,2)="W|"),2*N408*O408,0)</f>
        <v/>
      </c>
      <c r="Z408" s="12" t="inlineStr"/>
      <c r="AA408" s="12">
        <f>N408*O408</f>
        <v/>
      </c>
    </row>
    <row r="409">
      <c r="A409" s="12" t="inlineStr">
        <is>
          <t>A-C-0397</t>
        </is>
      </c>
      <c r="B409" s="12" t="inlineStr">
        <is>
          <t>A</t>
        </is>
      </c>
      <c r="C409" s="12" t="inlineStr">
        <is>
          <t>Power block</t>
        </is>
      </c>
      <c r="D409" s="12" t="inlineStr">
        <is>
          <t>MOV 3: control</t>
        </is>
      </c>
      <c r="E409" s="12" t="inlineStr">
        <is>
          <t>R2C</t>
        </is>
      </c>
      <c r="F409" s="12" t="inlineStr">
        <is>
          <t>R2C: unit / HRSG electrical e-house (32 x 40 ft)</t>
        </is>
      </c>
      <c r="G409" s="12" t="inlineStr">
        <is>
          <t>HRSG-3</t>
        </is>
      </c>
      <c r="H409" s="12" t="inlineStr">
        <is>
          <t>HRSG 3 + SCR (3P reheat, horizontal)</t>
        </is>
      </c>
      <c r="I409" s="12" t="inlineStr">
        <is>
          <t>Control</t>
        </is>
      </c>
      <c r="J409" s="12" t="inlineStr">
        <is>
          <t>Control cable 600 V Type TC-ER, Cu #14 AWG, PVC jacket</t>
        </is>
      </c>
      <c r="K409" s="12" t="inlineStr">
        <is>
          <t>CT|12/C|14</t>
        </is>
      </c>
      <c r="L409" s="12" t="inlineStr">
        <is>
          <t>12/C</t>
        </is>
      </c>
      <c r="M409" s="12" t="inlineStr">
        <is>
          <t>14</t>
        </is>
      </c>
      <c r="N409" s="12" t="n">
        <v>1</v>
      </c>
      <c r="O409" s="12" t="n">
        <v>1</v>
      </c>
      <c r="P409" s="12" t="n"/>
      <c r="Q409" s="12" t="n"/>
      <c r="R409" s="12" t="n"/>
      <c r="S409" s="12" t="inlineStr">
        <is>
          <t>Tray</t>
        </is>
      </c>
      <c r="T409" s="16" t="n">
        <v>0</v>
      </c>
      <c r="U409" s="16" t="n">
        <v>87</v>
      </c>
      <c r="V409" s="16">
        <f>ROUNDUP((T409+U409+2*'Read Me'!$B$13)*(1+'Read Me'!$B$12),-1)</f>
        <v/>
      </c>
      <c r="W409" s="16">
        <f>V409*N409*O409</f>
        <v/>
      </c>
      <c r="X409" s="12">
        <f>IF(LEFT(I409,2)="MV",2*N409*IF(L409="1/C",O409,1),0)</f>
        <v/>
      </c>
      <c r="Y409" s="12">
        <f>IF(OR(LEFT(K409,4)="LVAX",LEFT(K409,6)="MV15AX",LEFT(K409,4)="CTAX",LEFT(K409,2)="W|"),2*N409*O409,0)</f>
        <v/>
      </c>
      <c r="Z409" s="12" t="inlineStr"/>
      <c r="AA409" s="12">
        <f>N409*O409</f>
        <v/>
      </c>
    </row>
    <row r="410">
      <c r="A410" s="12" t="inlineStr">
        <is>
          <t>A-C-0398</t>
        </is>
      </c>
      <c r="B410" s="12" t="inlineStr">
        <is>
          <t>A</t>
        </is>
      </c>
      <c r="C410" s="12" t="inlineStr">
        <is>
          <t>Power block</t>
        </is>
      </c>
      <c r="D410" s="12" t="inlineStr">
        <is>
          <t>MOV 4: control</t>
        </is>
      </c>
      <c r="E410" s="12" t="inlineStr">
        <is>
          <t>R2C</t>
        </is>
      </c>
      <c r="F410" s="12" t="inlineStr">
        <is>
          <t>R2C: unit / HRSG electrical e-house (32 x 40 ft)</t>
        </is>
      </c>
      <c r="G410" s="12" t="inlineStr">
        <is>
          <t>HRSG-3</t>
        </is>
      </c>
      <c r="H410" s="12" t="inlineStr">
        <is>
          <t>HRSG 3 + SCR (3P reheat, horizontal)</t>
        </is>
      </c>
      <c r="I410" s="12" t="inlineStr">
        <is>
          <t>Control</t>
        </is>
      </c>
      <c r="J410" s="12" t="inlineStr">
        <is>
          <t>Control cable 600 V Type TC-ER, Cu #14 AWG, PVC jacket</t>
        </is>
      </c>
      <c r="K410" s="12" t="inlineStr">
        <is>
          <t>CT|12/C|14</t>
        </is>
      </c>
      <c r="L410" s="12" t="inlineStr">
        <is>
          <t>12/C</t>
        </is>
      </c>
      <c r="M410" s="12" t="inlineStr">
        <is>
          <t>14</t>
        </is>
      </c>
      <c r="N410" s="12" t="n">
        <v>1</v>
      </c>
      <c r="O410" s="12" t="n">
        <v>1</v>
      </c>
      <c r="P410" s="12" t="n"/>
      <c r="Q410" s="12" t="n"/>
      <c r="R410" s="12" t="n"/>
      <c r="S410" s="12" t="inlineStr">
        <is>
          <t>Tray</t>
        </is>
      </c>
      <c r="T410" s="16" t="n">
        <v>0</v>
      </c>
      <c r="U410" s="16" t="n">
        <v>87</v>
      </c>
      <c r="V410" s="16">
        <f>ROUNDUP((T410+U410+2*'Read Me'!$B$13)*(1+'Read Me'!$B$12),-1)</f>
        <v/>
      </c>
      <c r="W410" s="16">
        <f>V410*N410*O410</f>
        <v/>
      </c>
      <c r="X410" s="12">
        <f>IF(LEFT(I410,2)="MV",2*N410*IF(L410="1/C",O410,1),0)</f>
        <v/>
      </c>
      <c r="Y410" s="12">
        <f>IF(OR(LEFT(K410,4)="LVAX",LEFT(K410,6)="MV15AX",LEFT(K410,4)="CTAX",LEFT(K410,2)="W|"),2*N410*O410,0)</f>
        <v/>
      </c>
      <c r="Z410" s="12" t="inlineStr"/>
      <c r="AA410" s="12">
        <f>N410*O410</f>
        <v/>
      </c>
    </row>
    <row r="411">
      <c r="A411" s="12" t="inlineStr">
        <is>
          <t>A-C-0399</t>
        </is>
      </c>
      <c r="B411" s="12" t="inlineStr">
        <is>
          <t>A</t>
        </is>
      </c>
      <c r="C411" s="12" t="inlineStr">
        <is>
          <t>Power block</t>
        </is>
      </c>
      <c r="D411" s="12" t="inlineStr">
        <is>
          <t>MOV 5: control</t>
        </is>
      </c>
      <c r="E411" s="12" t="inlineStr">
        <is>
          <t>R2C</t>
        </is>
      </c>
      <c r="F411" s="12" t="inlineStr">
        <is>
          <t>R2C: unit / HRSG electrical e-house (32 x 40 ft)</t>
        </is>
      </c>
      <c r="G411" s="12" t="inlineStr">
        <is>
          <t>HRSG-3</t>
        </is>
      </c>
      <c r="H411" s="12" t="inlineStr">
        <is>
          <t>HRSG 3 + SCR (3P reheat, horizontal)</t>
        </is>
      </c>
      <c r="I411" s="12" t="inlineStr">
        <is>
          <t>Control</t>
        </is>
      </c>
      <c r="J411" s="12" t="inlineStr">
        <is>
          <t>Control cable 600 V Type TC-ER, Cu #14 AWG, PVC jacket</t>
        </is>
      </c>
      <c r="K411" s="12" t="inlineStr">
        <is>
          <t>CT|12/C|14</t>
        </is>
      </c>
      <c r="L411" s="12" t="inlineStr">
        <is>
          <t>12/C</t>
        </is>
      </c>
      <c r="M411" s="12" t="inlineStr">
        <is>
          <t>14</t>
        </is>
      </c>
      <c r="N411" s="12" t="n">
        <v>1</v>
      </c>
      <c r="O411" s="12" t="n">
        <v>1</v>
      </c>
      <c r="P411" s="12" t="n"/>
      <c r="Q411" s="12" t="n"/>
      <c r="R411" s="12" t="n"/>
      <c r="S411" s="12" t="inlineStr">
        <is>
          <t>Tray</t>
        </is>
      </c>
      <c r="T411" s="16" t="n">
        <v>0</v>
      </c>
      <c r="U411" s="16" t="n">
        <v>87</v>
      </c>
      <c r="V411" s="16">
        <f>ROUNDUP((T411+U411+2*'Read Me'!$B$13)*(1+'Read Me'!$B$12),-1)</f>
        <v/>
      </c>
      <c r="W411" s="16">
        <f>V411*N411*O411</f>
        <v/>
      </c>
      <c r="X411" s="12">
        <f>IF(LEFT(I411,2)="MV",2*N411*IF(L411="1/C",O411,1),0)</f>
        <v/>
      </c>
      <c r="Y411" s="12">
        <f>IF(OR(LEFT(K411,4)="LVAX",LEFT(K411,6)="MV15AX",LEFT(K411,4)="CTAX",LEFT(K411,2)="W|"),2*N411*O411,0)</f>
        <v/>
      </c>
      <c r="Z411" s="12" t="inlineStr"/>
      <c r="AA411" s="12">
        <f>N411*O411</f>
        <v/>
      </c>
    </row>
    <row r="412">
      <c r="A412" s="12" t="inlineStr">
        <is>
          <t>A-C-0400</t>
        </is>
      </c>
      <c r="B412" s="12" t="inlineStr">
        <is>
          <t>A</t>
        </is>
      </c>
      <c r="C412" s="12" t="inlineStr">
        <is>
          <t>Power block</t>
        </is>
      </c>
      <c r="D412" s="12" t="inlineStr">
        <is>
          <t>MOV 6: control</t>
        </is>
      </c>
      <c r="E412" s="12" t="inlineStr">
        <is>
          <t>R2C</t>
        </is>
      </c>
      <c r="F412" s="12" t="inlineStr">
        <is>
          <t>R2C: unit / HRSG electrical e-house (32 x 40 ft)</t>
        </is>
      </c>
      <c r="G412" s="12" t="inlineStr">
        <is>
          <t>HRSG-3</t>
        </is>
      </c>
      <c r="H412" s="12" t="inlineStr">
        <is>
          <t>HRSG 3 + SCR (3P reheat, horizontal)</t>
        </is>
      </c>
      <c r="I412" s="12" t="inlineStr">
        <is>
          <t>Control</t>
        </is>
      </c>
      <c r="J412" s="12" t="inlineStr">
        <is>
          <t>Control cable 600 V Type TC-ER, Cu #14 AWG, PVC jacket</t>
        </is>
      </c>
      <c r="K412" s="12" t="inlineStr">
        <is>
          <t>CT|12/C|14</t>
        </is>
      </c>
      <c r="L412" s="12" t="inlineStr">
        <is>
          <t>12/C</t>
        </is>
      </c>
      <c r="M412" s="12" t="inlineStr">
        <is>
          <t>14</t>
        </is>
      </c>
      <c r="N412" s="12" t="n">
        <v>1</v>
      </c>
      <c r="O412" s="12" t="n">
        <v>1</v>
      </c>
      <c r="P412" s="12" t="n"/>
      <c r="Q412" s="12" t="n"/>
      <c r="R412" s="12" t="n"/>
      <c r="S412" s="12" t="inlineStr">
        <is>
          <t>Tray</t>
        </is>
      </c>
      <c r="T412" s="16" t="n">
        <v>0</v>
      </c>
      <c r="U412" s="16" t="n">
        <v>87</v>
      </c>
      <c r="V412" s="16">
        <f>ROUNDUP((T412+U412+2*'Read Me'!$B$13)*(1+'Read Me'!$B$12),-1)</f>
        <v/>
      </c>
      <c r="W412" s="16">
        <f>V412*N412*O412</f>
        <v/>
      </c>
      <c r="X412" s="12">
        <f>IF(LEFT(I412,2)="MV",2*N412*IF(L412="1/C",O412,1),0)</f>
        <v/>
      </c>
      <c r="Y412" s="12">
        <f>IF(OR(LEFT(K412,4)="LVAX",LEFT(K412,6)="MV15AX",LEFT(K412,4)="CTAX",LEFT(K412,2)="W|"),2*N412*O412,0)</f>
        <v/>
      </c>
      <c r="Z412" s="12" t="inlineStr"/>
      <c r="AA412" s="12">
        <f>N412*O412</f>
        <v/>
      </c>
    </row>
    <row r="413">
      <c r="A413" s="12" t="inlineStr">
        <is>
          <t>A-C-0401</t>
        </is>
      </c>
      <c r="B413" s="12" t="inlineStr">
        <is>
          <t>A</t>
        </is>
      </c>
      <c r="C413" s="12" t="inlineStr">
        <is>
          <t>Power block</t>
        </is>
      </c>
      <c r="D413" s="12" t="inlineStr">
        <is>
          <t>MOV 7: control</t>
        </is>
      </c>
      <c r="E413" s="12" t="inlineStr">
        <is>
          <t>R2C</t>
        </is>
      </c>
      <c r="F413" s="12" t="inlineStr">
        <is>
          <t>R2C: unit / HRSG electrical e-house (32 x 40 ft)</t>
        </is>
      </c>
      <c r="G413" s="12" t="inlineStr">
        <is>
          <t>HRSG-3</t>
        </is>
      </c>
      <c r="H413" s="12" t="inlineStr">
        <is>
          <t>HRSG 3 + SCR (3P reheat, horizontal)</t>
        </is>
      </c>
      <c r="I413" s="12" t="inlineStr">
        <is>
          <t>Control</t>
        </is>
      </c>
      <c r="J413" s="12" t="inlineStr">
        <is>
          <t>Control cable 600 V Type TC-ER, Cu #14 AWG, PVC jacket</t>
        </is>
      </c>
      <c r="K413" s="12" t="inlineStr">
        <is>
          <t>CT|12/C|14</t>
        </is>
      </c>
      <c r="L413" s="12" t="inlineStr">
        <is>
          <t>12/C</t>
        </is>
      </c>
      <c r="M413" s="12" t="inlineStr">
        <is>
          <t>14</t>
        </is>
      </c>
      <c r="N413" s="12" t="n">
        <v>1</v>
      </c>
      <c r="O413" s="12" t="n">
        <v>1</v>
      </c>
      <c r="P413" s="12" t="n"/>
      <c r="Q413" s="12" t="n"/>
      <c r="R413" s="12" t="n"/>
      <c r="S413" s="12" t="inlineStr">
        <is>
          <t>Tray</t>
        </is>
      </c>
      <c r="T413" s="16" t="n">
        <v>0</v>
      </c>
      <c r="U413" s="16" t="n">
        <v>87</v>
      </c>
      <c r="V413" s="16">
        <f>ROUNDUP((T413+U413+2*'Read Me'!$B$13)*(1+'Read Me'!$B$12),-1)</f>
        <v/>
      </c>
      <c r="W413" s="16">
        <f>V413*N413*O413</f>
        <v/>
      </c>
      <c r="X413" s="12">
        <f>IF(LEFT(I413,2)="MV",2*N413*IF(L413="1/C",O413,1),0)</f>
        <v/>
      </c>
      <c r="Y413" s="12">
        <f>IF(OR(LEFT(K413,4)="LVAX",LEFT(K413,6)="MV15AX",LEFT(K413,4)="CTAX",LEFT(K413,2)="W|"),2*N413*O413,0)</f>
        <v/>
      </c>
      <c r="Z413" s="12" t="inlineStr"/>
      <c r="AA413" s="12">
        <f>N413*O413</f>
        <v/>
      </c>
    </row>
    <row r="414">
      <c r="A414" s="12" t="inlineStr">
        <is>
          <t>A-C-0402</t>
        </is>
      </c>
      <c r="B414" s="12" t="inlineStr">
        <is>
          <t>A</t>
        </is>
      </c>
      <c r="C414" s="12" t="inlineStr">
        <is>
          <t>Power block</t>
        </is>
      </c>
      <c r="D414" s="12" t="inlineStr">
        <is>
          <t>MOV 8: control</t>
        </is>
      </c>
      <c r="E414" s="12" t="inlineStr">
        <is>
          <t>R2C</t>
        </is>
      </c>
      <c r="F414" s="12" t="inlineStr">
        <is>
          <t>R2C: unit / HRSG electrical e-house (32 x 40 ft)</t>
        </is>
      </c>
      <c r="G414" s="12" t="inlineStr">
        <is>
          <t>HRSG-3</t>
        </is>
      </c>
      <c r="H414" s="12" t="inlineStr">
        <is>
          <t>HRSG 3 + SCR (3P reheat, horizontal)</t>
        </is>
      </c>
      <c r="I414" s="12" t="inlineStr">
        <is>
          <t>Control</t>
        </is>
      </c>
      <c r="J414" s="12" t="inlineStr">
        <is>
          <t>Control cable 600 V Type TC-ER, Cu #14 AWG, PVC jacket</t>
        </is>
      </c>
      <c r="K414" s="12" t="inlineStr">
        <is>
          <t>CT|12/C|14</t>
        </is>
      </c>
      <c r="L414" s="12" t="inlineStr">
        <is>
          <t>12/C</t>
        </is>
      </c>
      <c r="M414" s="12" t="inlineStr">
        <is>
          <t>14</t>
        </is>
      </c>
      <c r="N414" s="12" t="n">
        <v>1</v>
      </c>
      <c r="O414" s="12" t="n">
        <v>1</v>
      </c>
      <c r="P414" s="12" t="n"/>
      <c r="Q414" s="12" t="n"/>
      <c r="R414" s="12" t="n"/>
      <c r="S414" s="12" t="inlineStr">
        <is>
          <t>Tray</t>
        </is>
      </c>
      <c r="T414" s="16" t="n">
        <v>0</v>
      </c>
      <c r="U414" s="16" t="n">
        <v>87</v>
      </c>
      <c r="V414" s="16">
        <f>ROUNDUP((T414+U414+2*'Read Me'!$B$13)*(1+'Read Me'!$B$12),-1)</f>
        <v/>
      </c>
      <c r="W414" s="16">
        <f>V414*N414*O414</f>
        <v/>
      </c>
      <c r="X414" s="12">
        <f>IF(LEFT(I414,2)="MV",2*N414*IF(L414="1/C",O414,1),0)</f>
        <v/>
      </c>
      <c r="Y414" s="12">
        <f>IF(OR(LEFT(K414,4)="LVAX",LEFT(K414,6)="MV15AX",LEFT(K414,4)="CTAX",LEFT(K414,2)="W|"),2*N414*O414,0)</f>
        <v/>
      </c>
      <c r="Z414" s="12" t="inlineStr"/>
      <c r="AA414" s="12">
        <f>N414*O414</f>
        <v/>
      </c>
    </row>
    <row r="415">
      <c r="A415" s="12" t="inlineStr">
        <is>
          <t>A-C-0403</t>
        </is>
      </c>
      <c r="B415" s="12" t="inlineStr">
        <is>
          <t>A</t>
        </is>
      </c>
      <c r="C415" s="12" t="inlineStr">
        <is>
          <t>Power block</t>
        </is>
      </c>
      <c r="D415" s="12" t="inlineStr">
        <is>
          <t>MOV 9: control</t>
        </is>
      </c>
      <c r="E415" s="12" t="inlineStr">
        <is>
          <t>R2C</t>
        </is>
      </c>
      <c r="F415" s="12" t="inlineStr">
        <is>
          <t>R2C: unit / HRSG electrical e-house (32 x 40 ft)</t>
        </is>
      </c>
      <c r="G415" s="12" t="inlineStr">
        <is>
          <t>HRSG-3</t>
        </is>
      </c>
      <c r="H415" s="12" t="inlineStr">
        <is>
          <t>HRSG 3 + SCR (3P reheat, horizontal)</t>
        </is>
      </c>
      <c r="I415" s="12" t="inlineStr">
        <is>
          <t>Control</t>
        </is>
      </c>
      <c r="J415" s="12" t="inlineStr">
        <is>
          <t>Control cable 600 V Type TC-ER, Cu #14 AWG, PVC jacket</t>
        </is>
      </c>
      <c r="K415" s="12" t="inlineStr">
        <is>
          <t>CT|12/C|14</t>
        </is>
      </c>
      <c r="L415" s="12" t="inlineStr">
        <is>
          <t>12/C</t>
        </is>
      </c>
      <c r="M415" s="12" t="inlineStr">
        <is>
          <t>14</t>
        </is>
      </c>
      <c r="N415" s="12" t="n">
        <v>1</v>
      </c>
      <c r="O415" s="12" t="n">
        <v>1</v>
      </c>
      <c r="P415" s="12" t="n"/>
      <c r="Q415" s="12" t="n"/>
      <c r="R415" s="12" t="n"/>
      <c r="S415" s="12" t="inlineStr">
        <is>
          <t>Tray</t>
        </is>
      </c>
      <c r="T415" s="16" t="n">
        <v>0</v>
      </c>
      <c r="U415" s="16" t="n">
        <v>87</v>
      </c>
      <c r="V415" s="16">
        <f>ROUNDUP((T415+U415+2*'Read Me'!$B$13)*(1+'Read Me'!$B$12),-1)</f>
        <v/>
      </c>
      <c r="W415" s="16">
        <f>V415*N415*O415</f>
        <v/>
      </c>
      <c r="X415" s="12">
        <f>IF(LEFT(I415,2)="MV",2*N415*IF(L415="1/C",O415,1),0)</f>
        <v/>
      </c>
      <c r="Y415" s="12">
        <f>IF(OR(LEFT(K415,4)="LVAX",LEFT(K415,6)="MV15AX",LEFT(K415,4)="CTAX",LEFT(K415,2)="W|"),2*N415*O415,0)</f>
        <v/>
      </c>
      <c r="Z415" s="12" t="inlineStr"/>
      <c r="AA415" s="12">
        <f>N415*O415</f>
        <v/>
      </c>
    </row>
    <row r="416">
      <c r="A416" s="12" t="inlineStr">
        <is>
          <t>A-C-0404</t>
        </is>
      </c>
      <c r="B416" s="12" t="inlineStr">
        <is>
          <t>A</t>
        </is>
      </c>
      <c r="C416" s="12" t="inlineStr">
        <is>
          <t>Power block</t>
        </is>
      </c>
      <c r="D416" s="12" t="inlineStr">
        <is>
          <t>MOV 10: control</t>
        </is>
      </c>
      <c r="E416" s="12" t="inlineStr">
        <is>
          <t>R2C</t>
        </is>
      </c>
      <c r="F416" s="12" t="inlineStr">
        <is>
          <t>R2C: unit / HRSG electrical e-house (32 x 40 ft)</t>
        </is>
      </c>
      <c r="G416" s="12" t="inlineStr">
        <is>
          <t>HRSG-3</t>
        </is>
      </c>
      <c r="H416" s="12" t="inlineStr">
        <is>
          <t>HRSG 3 + SCR (3P reheat, horizontal)</t>
        </is>
      </c>
      <c r="I416" s="12" t="inlineStr">
        <is>
          <t>Control</t>
        </is>
      </c>
      <c r="J416" s="12" t="inlineStr">
        <is>
          <t>Control cable 600 V Type TC-ER, Cu #14 AWG, PVC jacket</t>
        </is>
      </c>
      <c r="K416" s="12" t="inlineStr">
        <is>
          <t>CT|12/C|14</t>
        </is>
      </c>
      <c r="L416" s="12" t="inlineStr">
        <is>
          <t>12/C</t>
        </is>
      </c>
      <c r="M416" s="12" t="inlineStr">
        <is>
          <t>14</t>
        </is>
      </c>
      <c r="N416" s="12" t="n">
        <v>1</v>
      </c>
      <c r="O416" s="12" t="n">
        <v>1</v>
      </c>
      <c r="P416" s="12" t="n"/>
      <c r="Q416" s="12" t="n"/>
      <c r="R416" s="12" t="n"/>
      <c r="S416" s="12" t="inlineStr">
        <is>
          <t>Tray</t>
        </is>
      </c>
      <c r="T416" s="16" t="n">
        <v>0</v>
      </c>
      <c r="U416" s="16" t="n">
        <v>87</v>
      </c>
      <c r="V416" s="16">
        <f>ROUNDUP((T416+U416+2*'Read Me'!$B$13)*(1+'Read Me'!$B$12),-1)</f>
        <v/>
      </c>
      <c r="W416" s="16">
        <f>V416*N416*O416</f>
        <v/>
      </c>
      <c r="X416" s="12">
        <f>IF(LEFT(I416,2)="MV",2*N416*IF(L416="1/C",O416,1),0)</f>
        <v/>
      </c>
      <c r="Y416" s="12">
        <f>IF(OR(LEFT(K416,4)="LVAX",LEFT(K416,6)="MV15AX",LEFT(K416,4)="CTAX",LEFT(K416,2)="W|"),2*N416*O416,0)</f>
        <v/>
      </c>
      <c r="Z416" s="12" t="inlineStr"/>
      <c r="AA416" s="12">
        <f>N416*O416</f>
        <v/>
      </c>
    </row>
    <row r="417">
      <c r="A417" s="12" t="inlineStr">
        <is>
          <t>A-C-0405</t>
        </is>
      </c>
      <c r="B417" s="12" t="inlineStr">
        <is>
          <t>A</t>
        </is>
      </c>
      <c r="C417" s="12" t="inlineStr">
        <is>
          <t>Power block</t>
        </is>
      </c>
      <c r="D417" s="12" t="inlineStr">
        <is>
          <t>MOV 11: control</t>
        </is>
      </c>
      <c r="E417" s="12" t="inlineStr">
        <is>
          <t>R2C</t>
        </is>
      </c>
      <c r="F417" s="12" t="inlineStr">
        <is>
          <t>R2C: unit / HRSG electrical e-house (32 x 40 ft)</t>
        </is>
      </c>
      <c r="G417" s="12" t="inlineStr">
        <is>
          <t>HRSG-3</t>
        </is>
      </c>
      <c r="H417" s="12" t="inlineStr">
        <is>
          <t>HRSG 3 + SCR (3P reheat, horizontal)</t>
        </is>
      </c>
      <c r="I417" s="12" t="inlineStr">
        <is>
          <t>Control</t>
        </is>
      </c>
      <c r="J417" s="12" t="inlineStr">
        <is>
          <t>Control cable 600 V Type TC-ER, Cu #14 AWG, PVC jacket</t>
        </is>
      </c>
      <c r="K417" s="12" t="inlineStr">
        <is>
          <t>CT|12/C|14</t>
        </is>
      </c>
      <c r="L417" s="12" t="inlineStr">
        <is>
          <t>12/C</t>
        </is>
      </c>
      <c r="M417" s="12" t="inlineStr">
        <is>
          <t>14</t>
        </is>
      </c>
      <c r="N417" s="12" t="n">
        <v>1</v>
      </c>
      <c r="O417" s="12" t="n">
        <v>1</v>
      </c>
      <c r="P417" s="12" t="n"/>
      <c r="Q417" s="12" t="n"/>
      <c r="R417" s="12" t="n"/>
      <c r="S417" s="12" t="inlineStr">
        <is>
          <t>Tray</t>
        </is>
      </c>
      <c r="T417" s="16" t="n">
        <v>0</v>
      </c>
      <c r="U417" s="16" t="n">
        <v>87</v>
      </c>
      <c r="V417" s="16">
        <f>ROUNDUP((T417+U417+2*'Read Me'!$B$13)*(1+'Read Me'!$B$12),-1)</f>
        <v/>
      </c>
      <c r="W417" s="16">
        <f>V417*N417*O417</f>
        <v/>
      </c>
      <c r="X417" s="12">
        <f>IF(LEFT(I417,2)="MV",2*N417*IF(L417="1/C",O417,1),0)</f>
        <v/>
      </c>
      <c r="Y417" s="12">
        <f>IF(OR(LEFT(K417,4)="LVAX",LEFT(K417,6)="MV15AX",LEFT(K417,4)="CTAX",LEFT(K417,2)="W|"),2*N417*O417,0)</f>
        <v/>
      </c>
      <c r="Z417" s="12" t="inlineStr"/>
      <c r="AA417" s="12">
        <f>N417*O417</f>
        <v/>
      </c>
    </row>
    <row r="418">
      <c r="A418" s="12" t="inlineStr">
        <is>
          <t>A-C-0406</t>
        </is>
      </c>
      <c r="B418" s="12" t="inlineStr">
        <is>
          <t>A</t>
        </is>
      </c>
      <c r="C418" s="12" t="inlineStr">
        <is>
          <t>Power block</t>
        </is>
      </c>
      <c r="D418" s="12" t="inlineStr">
        <is>
          <t>MOV 12: control</t>
        </is>
      </c>
      <c r="E418" s="12" t="inlineStr">
        <is>
          <t>R2C</t>
        </is>
      </c>
      <c r="F418" s="12" t="inlineStr">
        <is>
          <t>R2C: unit / HRSG electrical e-house (32 x 40 ft)</t>
        </is>
      </c>
      <c r="G418" s="12" t="inlineStr">
        <is>
          <t>HRSG-3</t>
        </is>
      </c>
      <c r="H418" s="12" t="inlineStr">
        <is>
          <t>HRSG 3 + SCR (3P reheat, horizontal)</t>
        </is>
      </c>
      <c r="I418" s="12" t="inlineStr">
        <is>
          <t>Control</t>
        </is>
      </c>
      <c r="J418" s="12" t="inlineStr">
        <is>
          <t>Control cable 600 V Type TC-ER, Cu #14 AWG, PVC jacket</t>
        </is>
      </c>
      <c r="K418" s="12" t="inlineStr">
        <is>
          <t>CT|12/C|14</t>
        </is>
      </c>
      <c r="L418" s="12" t="inlineStr">
        <is>
          <t>12/C</t>
        </is>
      </c>
      <c r="M418" s="12" t="inlineStr">
        <is>
          <t>14</t>
        </is>
      </c>
      <c r="N418" s="12" t="n">
        <v>1</v>
      </c>
      <c r="O418" s="12" t="n">
        <v>1</v>
      </c>
      <c r="P418" s="12" t="n"/>
      <c r="Q418" s="12" t="n"/>
      <c r="R418" s="12" t="n"/>
      <c r="S418" s="12" t="inlineStr">
        <is>
          <t>Tray</t>
        </is>
      </c>
      <c r="T418" s="16" t="n">
        <v>0</v>
      </c>
      <c r="U418" s="16" t="n">
        <v>87</v>
      </c>
      <c r="V418" s="16">
        <f>ROUNDUP((T418+U418+2*'Read Me'!$B$13)*(1+'Read Me'!$B$12),-1)</f>
        <v/>
      </c>
      <c r="W418" s="16">
        <f>V418*N418*O418</f>
        <v/>
      </c>
      <c r="X418" s="12">
        <f>IF(LEFT(I418,2)="MV",2*N418*IF(L418="1/C",O418,1),0)</f>
        <v/>
      </c>
      <c r="Y418" s="12">
        <f>IF(OR(LEFT(K418,4)="LVAX",LEFT(K418,6)="MV15AX",LEFT(K418,4)="CTAX",LEFT(K418,2)="W|"),2*N418*O418,0)</f>
        <v/>
      </c>
      <c r="Z418" s="12" t="inlineStr"/>
      <c r="AA418" s="12">
        <f>N418*O418</f>
        <v/>
      </c>
    </row>
    <row r="419">
      <c r="A419" s="12" t="inlineStr">
        <is>
          <t>A-C-0407</t>
        </is>
      </c>
      <c r="B419" s="12" t="inlineStr">
        <is>
          <t>A</t>
        </is>
      </c>
      <c r="C419" s="12" t="inlineStr">
        <is>
          <t>Power block</t>
        </is>
      </c>
      <c r="D419" s="12" t="inlineStr">
        <is>
          <t>MOV 13: control</t>
        </is>
      </c>
      <c r="E419" s="12" t="inlineStr">
        <is>
          <t>R2C</t>
        </is>
      </c>
      <c r="F419" s="12" t="inlineStr">
        <is>
          <t>R2C: unit / HRSG electrical e-house (32 x 40 ft)</t>
        </is>
      </c>
      <c r="G419" s="12" t="inlineStr">
        <is>
          <t>HRSG-3</t>
        </is>
      </c>
      <c r="H419" s="12" t="inlineStr">
        <is>
          <t>HRSG 3 + SCR (3P reheat, horizontal)</t>
        </is>
      </c>
      <c r="I419" s="12" t="inlineStr">
        <is>
          <t>Control</t>
        </is>
      </c>
      <c r="J419" s="12" t="inlineStr">
        <is>
          <t>Control cable 600 V Type TC-ER, Cu #14 AWG, PVC jacket</t>
        </is>
      </c>
      <c r="K419" s="12" t="inlineStr">
        <is>
          <t>CT|12/C|14</t>
        </is>
      </c>
      <c r="L419" s="12" t="inlineStr">
        <is>
          <t>12/C</t>
        </is>
      </c>
      <c r="M419" s="12" t="inlineStr">
        <is>
          <t>14</t>
        </is>
      </c>
      <c r="N419" s="12" t="n">
        <v>1</v>
      </c>
      <c r="O419" s="12" t="n">
        <v>1</v>
      </c>
      <c r="P419" s="12" t="n"/>
      <c r="Q419" s="12" t="n"/>
      <c r="R419" s="12" t="n"/>
      <c r="S419" s="12" t="inlineStr">
        <is>
          <t>Tray</t>
        </is>
      </c>
      <c r="T419" s="16" t="n">
        <v>0</v>
      </c>
      <c r="U419" s="16" t="n">
        <v>87</v>
      </c>
      <c r="V419" s="16">
        <f>ROUNDUP((T419+U419+2*'Read Me'!$B$13)*(1+'Read Me'!$B$12),-1)</f>
        <v/>
      </c>
      <c r="W419" s="16">
        <f>V419*N419*O419</f>
        <v/>
      </c>
      <c r="X419" s="12">
        <f>IF(LEFT(I419,2)="MV",2*N419*IF(L419="1/C",O419,1),0)</f>
        <v/>
      </c>
      <c r="Y419" s="12">
        <f>IF(OR(LEFT(K419,4)="LVAX",LEFT(K419,6)="MV15AX",LEFT(K419,4)="CTAX",LEFT(K419,2)="W|"),2*N419*O419,0)</f>
        <v/>
      </c>
      <c r="Z419" s="12" t="inlineStr"/>
      <c r="AA419" s="12">
        <f>N419*O419</f>
        <v/>
      </c>
    </row>
    <row r="420">
      <c r="A420" s="12" t="inlineStr">
        <is>
          <t>A-C-0408</t>
        </is>
      </c>
      <c r="B420" s="12" t="inlineStr">
        <is>
          <t>A</t>
        </is>
      </c>
      <c r="C420" s="12" t="inlineStr">
        <is>
          <t>Power block</t>
        </is>
      </c>
      <c r="D420" s="12" t="inlineStr">
        <is>
          <t>MOV 14: control</t>
        </is>
      </c>
      <c r="E420" s="12" t="inlineStr">
        <is>
          <t>R2C</t>
        </is>
      </c>
      <c r="F420" s="12" t="inlineStr">
        <is>
          <t>R2C: unit / HRSG electrical e-house (32 x 40 ft)</t>
        </is>
      </c>
      <c r="G420" s="12" t="inlineStr">
        <is>
          <t>HRSG-3</t>
        </is>
      </c>
      <c r="H420" s="12" t="inlineStr">
        <is>
          <t>HRSG 3 + SCR (3P reheat, horizontal)</t>
        </is>
      </c>
      <c r="I420" s="12" t="inlineStr">
        <is>
          <t>Control</t>
        </is>
      </c>
      <c r="J420" s="12" t="inlineStr">
        <is>
          <t>Control cable 600 V Type TC-ER, Cu #14 AWG, PVC jacket</t>
        </is>
      </c>
      <c r="K420" s="12" t="inlineStr">
        <is>
          <t>CT|12/C|14</t>
        </is>
      </c>
      <c r="L420" s="12" t="inlineStr">
        <is>
          <t>12/C</t>
        </is>
      </c>
      <c r="M420" s="12" t="inlineStr">
        <is>
          <t>14</t>
        </is>
      </c>
      <c r="N420" s="12" t="n">
        <v>1</v>
      </c>
      <c r="O420" s="12" t="n">
        <v>1</v>
      </c>
      <c r="P420" s="12" t="n"/>
      <c r="Q420" s="12" t="n"/>
      <c r="R420" s="12" t="n"/>
      <c r="S420" s="12" t="inlineStr">
        <is>
          <t>Tray</t>
        </is>
      </c>
      <c r="T420" s="16" t="n">
        <v>0</v>
      </c>
      <c r="U420" s="16" t="n">
        <v>87</v>
      </c>
      <c r="V420" s="16">
        <f>ROUNDUP((T420+U420+2*'Read Me'!$B$13)*(1+'Read Me'!$B$12),-1)</f>
        <v/>
      </c>
      <c r="W420" s="16">
        <f>V420*N420*O420</f>
        <v/>
      </c>
      <c r="X420" s="12">
        <f>IF(LEFT(I420,2)="MV",2*N420*IF(L420="1/C",O420,1),0)</f>
        <v/>
      </c>
      <c r="Y420" s="12">
        <f>IF(OR(LEFT(K420,4)="LVAX",LEFT(K420,6)="MV15AX",LEFT(K420,4)="CTAX",LEFT(K420,2)="W|"),2*N420*O420,0)</f>
        <v/>
      </c>
      <c r="Z420" s="12" t="inlineStr"/>
      <c r="AA420" s="12">
        <f>N420*O420</f>
        <v/>
      </c>
    </row>
    <row r="421">
      <c r="A421" s="12" t="inlineStr">
        <is>
          <t>A-C-0409</t>
        </is>
      </c>
      <c r="B421" s="12" t="inlineStr">
        <is>
          <t>A</t>
        </is>
      </c>
      <c r="C421" s="12" t="inlineStr">
        <is>
          <t>Power block</t>
        </is>
      </c>
      <c r="D421" s="12" t="inlineStr">
        <is>
          <t>MOV 15: control</t>
        </is>
      </c>
      <c r="E421" s="12" t="inlineStr">
        <is>
          <t>R2C</t>
        </is>
      </c>
      <c r="F421" s="12" t="inlineStr">
        <is>
          <t>R2C: unit / HRSG electrical e-house (32 x 40 ft)</t>
        </is>
      </c>
      <c r="G421" s="12" t="inlineStr">
        <is>
          <t>HRSG-3</t>
        </is>
      </c>
      <c r="H421" s="12" t="inlineStr">
        <is>
          <t>HRSG 3 + SCR (3P reheat, horizontal)</t>
        </is>
      </c>
      <c r="I421" s="12" t="inlineStr">
        <is>
          <t>Control</t>
        </is>
      </c>
      <c r="J421" s="12" t="inlineStr">
        <is>
          <t>Control cable 600 V Type TC-ER, Cu #14 AWG, PVC jacket</t>
        </is>
      </c>
      <c r="K421" s="12" t="inlineStr">
        <is>
          <t>CT|12/C|14</t>
        </is>
      </c>
      <c r="L421" s="12" t="inlineStr">
        <is>
          <t>12/C</t>
        </is>
      </c>
      <c r="M421" s="12" t="inlineStr">
        <is>
          <t>14</t>
        </is>
      </c>
      <c r="N421" s="12" t="n">
        <v>1</v>
      </c>
      <c r="O421" s="12" t="n">
        <v>1</v>
      </c>
      <c r="P421" s="12" t="n"/>
      <c r="Q421" s="12" t="n"/>
      <c r="R421" s="12" t="n"/>
      <c r="S421" s="12" t="inlineStr">
        <is>
          <t>Tray</t>
        </is>
      </c>
      <c r="T421" s="16" t="n">
        <v>0</v>
      </c>
      <c r="U421" s="16" t="n">
        <v>87</v>
      </c>
      <c r="V421" s="16">
        <f>ROUNDUP((T421+U421+2*'Read Me'!$B$13)*(1+'Read Me'!$B$12),-1)</f>
        <v/>
      </c>
      <c r="W421" s="16">
        <f>V421*N421*O421</f>
        <v/>
      </c>
      <c r="X421" s="12">
        <f>IF(LEFT(I421,2)="MV",2*N421*IF(L421="1/C",O421,1),0)</f>
        <v/>
      </c>
      <c r="Y421" s="12">
        <f>IF(OR(LEFT(K421,4)="LVAX",LEFT(K421,6)="MV15AX",LEFT(K421,4)="CTAX",LEFT(K421,2)="W|"),2*N421*O421,0)</f>
        <v/>
      </c>
      <c r="Z421" s="12" t="inlineStr"/>
      <c r="AA421" s="12">
        <f>N421*O421</f>
        <v/>
      </c>
    </row>
    <row r="422">
      <c r="A422" s="12" t="inlineStr">
        <is>
          <t>A-C-0410</t>
        </is>
      </c>
      <c r="B422" s="12" t="inlineStr">
        <is>
          <t>A</t>
        </is>
      </c>
      <c r="C422" s="12" t="inlineStr">
        <is>
          <t>Power block</t>
        </is>
      </c>
      <c r="D422" s="12" t="inlineStr">
        <is>
          <t>MOV 16: control</t>
        </is>
      </c>
      <c r="E422" s="12" t="inlineStr">
        <is>
          <t>R2C</t>
        </is>
      </c>
      <c r="F422" s="12" t="inlineStr">
        <is>
          <t>R2C: unit / HRSG electrical e-house (32 x 40 ft)</t>
        </is>
      </c>
      <c r="G422" s="12" t="inlineStr">
        <is>
          <t>HRSG-3</t>
        </is>
      </c>
      <c r="H422" s="12" t="inlineStr">
        <is>
          <t>HRSG 3 + SCR (3P reheat, horizontal)</t>
        </is>
      </c>
      <c r="I422" s="12" t="inlineStr">
        <is>
          <t>Control</t>
        </is>
      </c>
      <c r="J422" s="12" t="inlineStr">
        <is>
          <t>Control cable 600 V Type TC-ER, Cu #14 AWG, PVC jacket</t>
        </is>
      </c>
      <c r="K422" s="12" t="inlineStr">
        <is>
          <t>CT|12/C|14</t>
        </is>
      </c>
      <c r="L422" s="12" t="inlineStr">
        <is>
          <t>12/C</t>
        </is>
      </c>
      <c r="M422" s="12" t="inlineStr">
        <is>
          <t>14</t>
        </is>
      </c>
      <c r="N422" s="12" t="n">
        <v>1</v>
      </c>
      <c r="O422" s="12" t="n">
        <v>1</v>
      </c>
      <c r="P422" s="12" t="n"/>
      <c r="Q422" s="12" t="n"/>
      <c r="R422" s="12" t="n"/>
      <c r="S422" s="12" t="inlineStr">
        <is>
          <t>Tray</t>
        </is>
      </c>
      <c r="T422" s="16" t="n">
        <v>0</v>
      </c>
      <c r="U422" s="16" t="n">
        <v>87</v>
      </c>
      <c r="V422" s="16">
        <f>ROUNDUP((T422+U422+2*'Read Me'!$B$13)*(1+'Read Me'!$B$12),-1)</f>
        <v/>
      </c>
      <c r="W422" s="16">
        <f>V422*N422*O422</f>
        <v/>
      </c>
      <c r="X422" s="12">
        <f>IF(LEFT(I422,2)="MV",2*N422*IF(L422="1/C",O422,1),0)</f>
        <v/>
      </c>
      <c r="Y422" s="12">
        <f>IF(OR(LEFT(K422,4)="LVAX",LEFT(K422,6)="MV15AX",LEFT(K422,4)="CTAX",LEFT(K422,2)="W|"),2*N422*O422,0)</f>
        <v/>
      </c>
      <c r="Z422" s="12" t="inlineStr"/>
      <c r="AA422" s="12">
        <f>N422*O422</f>
        <v/>
      </c>
    </row>
    <row r="423">
      <c r="A423" s="12" t="inlineStr">
        <is>
          <t>A-C-0411</t>
        </is>
      </c>
      <c r="B423" s="12" t="inlineStr">
        <is>
          <t>A</t>
        </is>
      </c>
      <c r="C423" s="12" t="inlineStr">
        <is>
          <t>Power block</t>
        </is>
      </c>
      <c r="D423" s="12" t="inlineStr">
        <is>
          <t>MOV 17: control</t>
        </is>
      </c>
      <c r="E423" s="12" t="inlineStr">
        <is>
          <t>R2C</t>
        </is>
      </c>
      <c r="F423" s="12" t="inlineStr">
        <is>
          <t>R2C: unit / HRSG electrical e-house (32 x 40 ft)</t>
        </is>
      </c>
      <c r="G423" s="12" t="inlineStr">
        <is>
          <t>HRSG-3</t>
        </is>
      </c>
      <c r="H423" s="12" t="inlineStr">
        <is>
          <t>HRSG 3 + SCR (3P reheat, horizontal)</t>
        </is>
      </c>
      <c r="I423" s="12" t="inlineStr">
        <is>
          <t>Control</t>
        </is>
      </c>
      <c r="J423" s="12" t="inlineStr">
        <is>
          <t>Control cable 600 V Type TC-ER, Cu #14 AWG, PVC jacket</t>
        </is>
      </c>
      <c r="K423" s="12" t="inlineStr">
        <is>
          <t>CT|12/C|14</t>
        </is>
      </c>
      <c r="L423" s="12" t="inlineStr">
        <is>
          <t>12/C</t>
        </is>
      </c>
      <c r="M423" s="12" t="inlineStr">
        <is>
          <t>14</t>
        </is>
      </c>
      <c r="N423" s="12" t="n">
        <v>1</v>
      </c>
      <c r="O423" s="12" t="n">
        <v>1</v>
      </c>
      <c r="P423" s="12" t="n"/>
      <c r="Q423" s="12" t="n"/>
      <c r="R423" s="12" t="n"/>
      <c r="S423" s="12" t="inlineStr">
        <is>
          <t>Tray</t>
        </is>
      </c>
      <c r="T423" s="16" t="n">
        <v>0</v>
      </c>
      <c r="U423" s="16" t="n">
        <v>87</v>
      </c>
      <c r="V423" s="16">
        <f>ROUNDUP((T423+U423+2*'Read Me'!$B$13)*(1+'Read Me'!$B$12),-1)</f>
        <v/>
      </c>
      <c r="W423" s="16">
        <f>V423*N423*O423</f>
        <v/>
      </c>
      <c r="X423" s="12">
        <f>IF(LEFT(I423,2)="MV",2*N423*IF(L423="1/C",O423,1),0)</f>
        <v/>
      </c>
      <c r="Y423" s="12">
        <f>IF(OR(LEFT(K423,4)="LVAX",LEFT(K423,6)="MV15AX",LEFT(K423,4)="CTAX",LEFT(K423,2)="W|"),2*N423*O423,0)</f>
        <v/>
      </c>
      <c r="Z423" s="12" t="inlineStr"/>
      <c r="AA423" s="12">
        <f>N423*O423</f>
        <v/>
      </c>
    </row>
    <row r="424">
      <c r="A424" s="12" t="inlineStr">
        <is>
          <t>A-C-0412</t>
        </is>
      </c>
      <c r="B424" s="12" t="inlineStr">
        <is>
          <t>A</t>
        </is>
      </c>
      <c r="C424" s="12" t="inlineStr">
        <is>
          <t>Power block</t>
        </is>
      </c>
      <c r="D424" s="12" t="inlineStr">
        <is>
          <t>MOV 18: control</t>
        </is>
      </c>
      <c r="E424" s="12" t="inlineStr">
        <is>
          <t>R2C</t>
        </is>
      </c>
      <c r="F424" s="12" t="inlineStr">
        <is>
          <t>R2C: unit / HRSG electrical e-house (32 x 40 ft)</t>
        </is>
      </c>
      <c r="G424" s="12" t="inlineStr">
        <is>
          <t>HRSG-3</t>
        </is>
      </c>
      <c r="H424" s="12" t="inlineStr">
        <is>
          <t>HRSG 3 + SCR (3P reheat, horizontal)</t>
        </is>
      </c>
      <c r="I424" s="12" t="inlineStr">
        <is>
          <t>Control</t>
        </is>
      </c>
      <c r="J424" s="12" t="inlineStr">
        <is>
          <t>Control cable 600 V Type TC-ER, Cu #14 AWG, PVC jacket</t>
        </is>
      </c>
      <c r="K424" s="12" t="inlineStr">
        <is>
          <t>CT|12/C|14</t>
        </is>
      </c>
      <c r="L424" s="12" t="inlineStr">
        <is>
          <t>12/C</t>
        </is>
      </c>
      <c r="M424" s="12" t="inlineStr">
        <is>
          <t>14</t>
        </is>
      </c>
      <c r="N424" s="12" t="n">
        <v>1</v>
      </c>
      <c r="O424" s="12" t="n">
        <v>1</v>
      </c>
      <c r="P424" s="12" t="n"/>
      <c r="Q424" s="12" t="n"/>
      <c r="R424" s="12" t="n"/>
      <c r="S424" s="12" t="inlineStr">
        <is>
          <t>Tray</t>
        </is>
      </c>
      <c r="T424" s="16" t="n">
        <v>0</v>
      </c>
      <c r="U424" s="16" t="n">
        <v>87</v>
      </c>
      <c r="V424" s="16">
        <f>ROUNDUP((T424+U424+2*'Read Me'!$B$13)*(1+'Read Me'!$B$12),-1)</f>
        <v/>
      </c>
      <c r="W424" s="16">
        <f>V424*N424*O424</f>
        <v/>
      </c>
      <c r="X424" s="12">
        <f>IF(LEFT(I424,2)="MV",2*N424*IF(L424="1/C",O424,1),0)</f>
        <v/>
      </c>
      <c r="Y424" s="12">
        <f>IF(OR(LEFT(K424,4)="LVAX",LEFT(K424,6)="MV15AX",LEFT(K424,4)="CTAX",LEFT(K424,2)="W|"),2*N424*O424,0)</f>
        <v/>
      </c>
      <c r="Z424" s="12" t="inlineStr"/>
      <c r="AA424" s="12">
        <f>N424*O424</f>
        <v/>
      </c>
    </row>
    <row r="425">
      <c r="A425" s="12" t="inlineStr">
        <is>
          <t>A-C-0413</t>
        </is>
      </c>
      <c r="B425" s="12" t="inlineStr">
        <is>
          <t>A</t>
        </is>
      </c>
      <c r="C425" s="12" t="inlineStr">
        <is>
          <t>Power block</t>
        </is>
      </c>
      <c r="D425" s="12" t="inlineStr">
        <is>
          <t>MOV 19: control</t>
        </is>
      </c>
      <c r="E425" s="12" t="inlineStr">
        <is>
          <t>R2C</t>
        </is>
      </c>
      <c r="F425" s="12" t="inlineStr">
        <is>
          <t>R2C: unit / HRSG electrical e-house (32 x 40 ft)</t>
        </is>
      </c>
      <c r="G425" s="12" t="inlineStr">
        <is>
          <t>HRSG-3</t>
        </is>
      </c>
      <c r="H425" s="12" t="inlineStr">
        <is>
          <t>HRSG 3 + SCR (3P reheat, horizontal)</t>
        </is>
      </c>
      <c r="I425" s="12" t="inlineStr">
        <is>
          <t>Control</t>
        </is>
      </c>
      <c r="J425" s="12" t="inlineStr">
        <is>
          <t>Control cable 600 V Type TC-ER, Cu #14 AWG, PVC jacket</t>
        </is>
      </c>
      <c r="K425" s="12" t="inlineStr">
        <is>
          <t>CT|12/C|14</t>
        </is>
      </c>
      <c r="L425" s="12" t="inlineStr">
        <is>
          <t>12/C</t>
        </is>
      </c>
      <c r="M425" s="12" t="inlineStr">
        <is>
          <t>14</t>
        </is>
      </c>
      <c r="N425" s="12" t="n">
        <v>1</v>
      </c>
      <c r="O425" s="12" t="n">
        <v>1</v>
      </c>
      <c r="P425" s="12" t="n"/>
      <c r="Q425" s="12" t="n"/>
      <c r="R425" s="12" t="n"/>
      <c r="S425" s="12" t="inlineStr">
        <is>
          <t>Tray</t>
        </is>
      </c>
      <c r="T425" s="16" t="n">
        <v>0</v>
      </c>
      <c r="U425" s="16" t="n">
        <v>87</v>
      </c>
      <c r="V425" s="16">
        <f>ROUNDUP((T425+U425+2*'Read Me'!$B$13)*(1+'Read Me'!$B$12),-1)</f>
        <v/>
      </c>
      <c r="W425" s="16">
        <f>V425*N425*O425</f>
        <v/>
      </c>
      <c r="X425" s="12">
        <f>IF(LEFT(I425,2)="MV",2*N425*IF(L425="1/C",O425,1),0)</f>
        <v/>
      </c>
      <c r="Y425" s="12">
        <f>IF(OR(LEFT(K425,4)="LVAX",LEFT(K425,6)="MV15AX",LEFT(K425,4)="CTAX",LEFT(K425,2)="W|"),2*N425*O425,0)</f>
        <v/>
      </c>
      <c r="Z425" s="12" t="inlineStr"/>
      <c r="AA425" s="12">
        <f>N425*O425</f>
        <v/>
      </c>
    </row>
    <row r="426">
      <c r="A426" s="12" t="inlineStr">
        <is>
          <t>A-C-0414</t>
        </is>
      </c>
      <c r="B426" s="12" t="inlineStr">
        <is>
          <t>A</t>
        </is>
      </c>
      <c r="C426" s="12" t="inlineStr">
        <is>
          <t>Power block</t>
        </is>
      </c>
      <c r="D426" s="12" t="inlineStr">
        <is>
          <t>MOV 20: control</t>
        </is>
      </c>
      <c r="E426" s="12" t="inlineStr">
        <is>
          <t>R2C</t>
        </is>
      </c>
      <c r="F426" s="12" t="inlineStr">
        <is>
          <t>R2C: unit / HRSG electrical e-house (32 x 40 ft)</t>
        </is>
      </c>
      <c r="G426" s="12" t="inlineStr">
        <is>
          <t>HRSG-3</t>
        </is>
      </c>
      <c r="H426" s="12" t="inlineStr">
        <is>
          <t>HRSG 3 + SCR (3P reheat, horizontal)</t>
        </is>
      </c>
      <c r="I426" s="12" t="inlineStr">
        <is>
          <t>Control</t>
        </is>
      </c>
      <c r="J426" s="12" t="inlineStr">
        <is>
          <t>Control cable 600 V Type TC-ER, Cu #14 AWG, PVC jacket</t>
        </is>
      </c>
      <c r="K426" s="12" t="inlineStr">
        <is>
          <t>CT|12/C|14</t>
        </is>
      </c>
      <c r="L426" s="12" t="inlineStr">
        <is>
          <t>12/C</t>
        </is>
      </c>
      <c r="M426" s="12" t="inlineStr">
        <is>
          <t>14</t>
        </is>
      </c>
      <c r="N426" s="12" t="n">
        <v>1</v>
      </c>
      <c r="O426" s="12" t="n">
        <v>1</v>
      </c>
      <c r="P426" s="12" t="n"/>
      <c r="Q426" s="12" t="n"/>
      <c r="R426" s="12" t="n"/>
      <c r="S426" s="12" t="inlineStr">
        <is>
          <t>Tray</t>
        </is>
      </c>
      <c r="T426" s="16" t="n">
        <v>0</v>
      </c>
      <c r="U426" s="16" t="n">
        <v>87</v>
      </c>
      <c r="V426" s="16">
        <f>ROUNDUP((T426+U426+2*'Read Me'!$B$13)*(1+'Read Me'!$B$12),-1)</f>
        <v/>
      </c>
      <c r="W426" s="16">
        <f>V426*N426*O426</f>
        <v/>
      </c>
      <c r="X426" s="12">
        <f>IF(LEFT(I426,2)="MV",2*N426*IF(L426="1/C",O426,1),0)</f>
        <v/>
      </c>
      <c r="Y426" s="12">
        <f>IF(OR(LEFT(K426,4)="LVAX",LEFT(K426,6)="MV15AX",LEFT(K426,4)="CTAX",LEFT(K426,2)="W|"),2*N426*O426,0)</f>
        <v/>
      </c>
      <c r="Z426" s="12" t="inlineStr"/>
      <c r="AA426" s="12">
        <f>N426*O426</f>
        <v/>
      </c>
    </row>
    <row r="427">
      <c r="A427" s="12" t="inlineStr">
        <is>
          <t>A-C-0415</t>
        </is>
      </c>
      <c r="B427" s="12" t="inlineStr">
        <is>
          <t>A</t>
        </is>
      </c>
      <c r="C427" s="12" t="inlineStr">
        <is>
          <t>Power block</t>
        </is>
      </c>
      <c r="D427" s="12" t="inlineStr">
        <is>
          <t>MOV 21: control</t>
        </is>
      </c>
      <c r="E427" s="12" t="inlineStr">
        <is>
          <t>R2C</t>
        </is>
      </c>
      <c r="F427" s="12" t="inlineStr">
        <is>
          <t>R2C: unit / HRSG electrical e-house (32 x 40 ft)</t>
        </is>
      </c>
      <c r="G427" s="12" t="inlineStr">
        <is>
          <t>HRSG-3</t>
        </is>
      </c>
      <c r="H427" s="12" t="inlineStr">
        <is>
          <t>HRSG 3 + SCR (3P reheat, horizontal)</t>
        </is>
      </c>
      <c r="I427" s="12" t="inlineStr">
        <is>
          <t>Control</t>
        </is>
      </c>
      <c r="J427" s="12" t="inlineStr">
        <is>
          <t>Control cable 600 V Type TC-ER, Cu #14 AWG, PVC jacket</t>
        </is>
      </c>
      <c r="K427" s="12" t="inlineStr">
        <is>
          <t>CT|12/C|14</t>
        </is>
      </c>
      <c r="L427" s="12" t="inlineStr">
        <is>
          <t>12/C</t>
        </is>
      </c>
      <c r="M427" s="12" t="inlineStr">
        <is>
          <t>14</t>
        </is>
      </c>
      <c r="N427" s="12" t="n">
        <v>1</v>
      </c>
      <c r="O427" s="12" t="n">
        <v>1</v>
      </c>
      <c r="P427" s="12" t="n"/>
      <c r="Q427" s="12" t="n"/>
      <c r="R427" s="12" t="n"/>
      <c r="S427" s="12" t="inlineStr">
        <is>
          <t>Tray</t>
        </is>
      </c>
      <c r="T427" s="16" t="n">
        <v>0</v>
      </c>
      <c r="U427" s="16" t="n">
        <v>87</v>
      </c>
      <c r="V427" s="16">
        <f>ROUNDUP((T427+U427+2*'Read Me'!$B$13)*(1+'Read Me'!$B$12),-1)</f>
        <v/>
      </c>
      <c r="W427" s="16">
        <f>V427*N427*O427</f>
        <v/>
      </c>
      <c r="X427" s="12">
        <f>IF(LEFT(I427,2)="MV",2*N427*IF(L427="1/C",O427,1),0)</f>
        <v/>
      </c>
      <c r="Y427" s="12">
        <f>IF(OR(LEFT(K427,4)="LVAX",LEFT(K427,6)="MV15AX",LEFT(K427,4)="CTAX",LEFT(K427,2)="W|"),2*N427*O427,0)</f>
        <v/>
      </c>
      <c r="Z427" s="12" t="inlineStr"/>
      <c r="AA427" s="12">
        <f>N427*O427</f>
        <v/>
      </c>
    </row>
    <row r="428">
      <c r="A428" s="12" t="inlineStr">
        <is>
          <t>A-C-0416</t>
        </is>
      </c>
      <c r="B428" s="12" t="inlineStr">
        <is>
          <t>A</t>
        </is>
      </c>
      <c r="C428" s="12" t="inlineStr">
        <is>
          <t>Power block</t>
        </is>
      </c>
      <c r="D428" s="12" t="inlineStr">
        <is>
          <t>MOV 22: control</t>
        </is>
      </c>
      <c r="E428" s="12" t="inlineStr">
        <is>
          <t>R2C</t>
        </is>
      </c>
      <c r="F428" s="12" t="inlineStr">
        <is>
          <t>R2C: unit / HRSG electrical e-house (32 x 40 ft)</t>
        </is>
      </c>
      <c r="G428" s="12" t="inlineStr">
        <is>
          <t>HRSG-3</t>
        </is>
      </c>
      <c r="H428" s="12" t="inlineStr">
        <is>
          <t>HRSG 3 + SCR (3P reheat, horizontal)</t>
        </is>
      </c>
      <c r="I428" s="12" t="inlineStr">
        <is>
          <t>Control</t>
        </is>
      </c>
      <c r="J428" s="12" t="inlineStr">
        <is>
          <t>Control cable 600 V Type TC-ER, Cu #14 AWG, PVC jacket</t>
        </is>
      </c>
      <c r="K428" s="12" t="inlineStr">
        <is>
          <t>CT|12/C|14</t>
        </is>
      </c>
      <c r="L428" s="12" t="inlineStr">
        <is>
          <t>12/C</t>
        </is>
      </c>
      <c r="M428" s="12" t="inlineStr">
        <is>
          <t>14</t>
        </is>
      </c>
      <c r="N428" s="12" t="n">
        <v>1</v>
      </c>
      <c r="O428" s="12" t="n">
        <v>1</v>
      </c>
      <c r="P428" s="12" t="n"/>
      <c r="Q428" s="12" t="n"/>
      <c r="R428" s="12" t="n"/>
      <c r="S428" s="12" t="inlineStr">
        <is>
          <t>Tray</t>
        </is>
      </c>
      <c r="T428" s="16" t="n">
        <v>0</v>
      </c>
      <c r="U428" s="16" t="n">
        <v>87</v>
      </c>
      <c r="V428" s="16">
        <f>ROUNDUP((T428+U428+2*'Read Me'!$B$13)*(1+'Read Me'!$B$12),-1)</f>
        <v/>
      </c>
      <c r="W428" s="16">
        <f>V428*N428*O428</f>
        <v/>
      </c>
      <c r="X428" s="12">
        <f>IF(LEFT(I428,2)="MV",2*N428*IF(L428="1/C",O428,1),0)</f>
        <v/>
      </c>
      <c r="Y428" s="12">
        <f>IF(OR(LEFT(K428,4)="LVAX",LEFT(K428,6)="MV15AX",LEFT(K428,4)="CTAX",LEFT(K428,2)="W|"),2*N428*O428,0)</f>
        <v/>
      </c>
      <c r="Z428" s="12" t="inlineStr"/>
      <c r="AA428" s="12">
        <f>N428*O428</f>
        <v/>
      </c>
    </row>
    <row r="429">
      <c r="A429" s="12" t="inlineStr">
        <is>
          <t>A-C-0417</t>
        </is>
      </c>
      <c r="B429" s="12" t="inlineStr">
        <is>
          <t>A</t>
        </is>
      </c>
      <c r="C429" s="12" t="inlineStr">
        <is>
          <t>Power block</t>
        </is>
      </c>
      <c r="D429" s="12" t="inlineStr">
        <is>
          <t>MOV 23: control</t>
        </is>
      </c>
      <c r="E429" s="12" t="inlineStr">
        <is>
          <t>R2C</t>
        </is>
      </c>
      <c r="F429" s="12" t="inlineStr">
        <is>
          <t>R2C: unit / HRSG electrical e-house (32 x 40 ft)</t>
        </is>
      </c>
      <c r="G429" s="12" t="inlineStr">
        <is>
          <t>HRSG-3</t>
        </is>
      </c>
      <c r="H429" s="12" t="inlineStr">
        <is>
          <t>HRSG 3 + SCR (3P reheat, horizontal)</t>
        </is>
      </c>
      <c r="I429" s="12" t="inlineStr">
        <is>
          <t>Control</t>
        </is>
      </c>
      <c r="J429" s="12" t="inlineStr">
        <is>
          <t>Control cable 600 V Type TC-ER, Cu #14 AWG, PVC jacket</t>
        </is>
      </c>
      <c r="K429" s="12" t="inlineStr">
        <is>
          <t>CT|12/C|14</t>
        </is>
      </c>
      <c r="L429" s="12" t="inlineStr">
        <is>
          <t>12/C</t>
        </is>
      </c>
      <c r="M429" s="12" t="inlineStr">
        <is>
          <t>14</t>
        </is>
      </c>
      <c r="N429" s="12" t="n">
        <v>1</v>
      </c>
      <c r="O429" s="12" t="n">
        <v>1</v>
      </c>
      <c r="P429" s="12" t="n"/>
      <c r="Q429" s="12" t="n"/>
      <c r="R429" s="12" t="n"/>
      <c r="S429" s="12" t="inlineStr">
        <is>
          <t>Tray</t>
        </is>
      </c>
      <c r="T429" s="16" t="n">
        <v>0</v>
      </c>
      <c r="U429" s="16" t="n">
        <v>87</v>
      </c>
      <c r="V429" s="16">
        <f>ROUNDUP((T429+U429+2*'Read Me'!$B$13)*(1+'Read Me'!$B$12),-1)</f>
        <v/>
      </c>
      <c r="W429" s="16">
        <f>V429*N429*O429</f>
        <v/>
      </c>
      <c r="X429" s="12">
        <f>IF(LEFT(I429,2)="MV",2*N429*IF(L429="1/C",O429,1),0)</f>
        <v/>
      </c>
      <c r="Y429" s="12">
        <f>IF(OR(LEFT(K429,4)="LVAX",LEFT(K429,6)="MV15AX",LEFT(K429,4)="CTAX",LEFT(K429,2)="W|"),2*N429*O429,0)</f>
        <v/>
      </c>
      <c r="Z429" s="12" t="inlineStr"/>
      <c r="AA429" s="12">
        <f>N429*O429</f>
        <v/>
      </c>
    </row>
    <row r="430">
      <c r="A430" s="12" t="inlineStr">
        <is>
          <t>A-C-0418</t>
        </is>
      </c>
      <c r="B430" s="12" t="inlineStr">
        <is>
          <t>A</t>
        </is>
      </c>
      <c r="C430" s="12" t="inlineStr">
        <is>
          <t>Power block</t>
        </is>
      </c>
      <c r="D430" s="12" t="inlineStr">
        <is>
          <t>MOV 24: control</t>
        </is>
      </c>
      <c r="E430" s="12" t="inlineStr">
        <is>
          <t>R2C</t>
        </is>
      </c>
      <c r="F430" s="12" t="inlineStr">
        <is>
          <t>R2C: unit / HRSG electrical e-house (32 x 40 ft)</t>
        </is>
      </c>
      <c r="G430" s="12" t="inlineStr">
        <is>
          <t>HRSG-3</t>
        </is>
      </c>
      <c r="H430" s="12" t="inlineStr">
        <is>
          <t>HRSG 3 + SCR (3P reheat, horizontal)</t>
        </is>
      </c>
      <c r="I430" s="12" t="inlineStr">
        <is>
          <t>Control</t>
        </is>
      </c>
      <c r="J430" s="12" t="inlineStr">
        <is>
          <t>Control cable 600 V Type TC-ER, Cu #14 AWG, PVC jacket</t>
        </is>
      </c>
      <c r="K430" s="12" t="inlineStr">
        <is>
          <t>CT|12/C|14</t>
        </is>
      </c>
      <c r="L430" s="12" t="inlineStr">
        <is>
          <t>12/C</t>
        </is>
      </c>
      <c r="M430" s="12" t="inlineStr">
        <is>
          <t>14</t>
        </is>
      </c>
      <c r="N430" s="12" t="n">
        <v>1</v>
      </c>
      <c r="O430" s="12" t="n">
        <v>1</v>
      </c>
      <c r="P430" s="12" t="n"/>
      <c r="Q430" s="12" t="n"/>
      <c r="R430" s="12" t="n"/>
      <c r="S430" s="12" t="inlineStr">
        <is>
          <t>Tray</t>
        </is>
      </c>
      <c r="T430" s="16" t="n">
        <v>0</v>
      </c>
      <c r="U430" s="16" t="n">
        <v>87</v>
      </c>
      <c r="V430" s="16">
        <f>ROUNDUP((T430+U430+2*'Read Me'!$B$13)*(1+'Read Me'!$B$12),-1)</f>
        <v/>
      </c>
      <c r="W430" s="16">
        <f>V430*N430*O430</f>
        <v/>
      </c>
      <c r="X430" s="12">
        <f>IF(LEFT(I430,2)="MV",2*N430*IF(L430="1/C",O430,1),0)</f>
        <v/>
      </c>
      <c r="Y430" s="12">
        <f>IF(OR(LEFT(K430,4)="LVAX",LEFT(K430,6)="MV15AX",LEFT(K430,4)="CTAX",LEFT(K430,2)="W|"),2*N430*O430,0)</f>
        <v/>
      </c>
      <c r="Z430" s="12" t="inlineStr"/>
      <c r="AA430" s="12">
        <f>N430*O430</f>
        <v/>
      </c>
    </row>
    <row r="431">
      <c r="A431" s="12" t="inlineStr">
        <is>
          <t>A-C-0419</t>
        </is>
      </c>
      <c r="B431" s="12" t="inlineStr">
        <is>
          <t>A</t>
        </is>
      </c>
      <c r="C431" s="12" t="inlineStr">
        <is>
          <t>Power block</t>
        </is>
      </c>
      <c r="D431" s="12" t="inlineStr">
        <is>
          <t>MOV 25: control</t>
        </is>
      </c>
      <c r="E431" s="12" t="inlineStr">
        <is>
          <t>R2C</t>
        </is>
      </c>
      <c r="F431" s="12" t="inlineStr">
        <is>
          <t>R2C: unit / HRSG electrical e-house (32 x 40 ft)</t>
        </is>
      </c>
      <c r="G431" s="12" t="inlineStr">
        <is>
          <t>HRSG-3</t>
        </is>
      </c>
      <c r="H431" s="12" t="inlineStr">
        <is>
          <t>HRSG 3 + SCR (3P reheat, horizontal)</t>
        </is>
      </c>
      <c r="I431" s="12" t="inlineStr">
        <is>
          <t>Control</t>
        </is>
      </c>
      <c r="J431" s="12" t="inlineStr">
        <is>
          <t>Control cable 600 V Type TC-ER, Cu #14 AWG, PVC jacket</t>
        </is>
      </c>
      <c r="K431" s="12" t="inlineStr">
        <is>
          <t>CT|12/C|14</t>
        </is>
      </c>
      <c r="L431" s="12" t="inlineStr">
        <is>
          <t>12/C</t>
        </is>
      </c>
      <c r="M431" s="12" t="inlineStr">
        <is>
          <t>14</t>
        </is>
      </c>
      <c r="N431" s="12" t="n">
        <v>1</v>
      </c>
      <c r="O431" s="12" t="n">
        <v>1</v>
      </c>
      <c r="P431" s="12" t="n"/>
      <c r="Q431" s="12" t="n"/>
      <c r="R431" s="12" t="n"/>
      <c r="S431" s="12" t="inlineStr">
        <is>
          <t>Tray</t>
        </is>
      </c>
      <c r="T431" s="16" t="n">
        <v>0</v>
      </c>
      <c r="U431" s="16" t="n">
        <v>87</v>
      </c>
      <c r="V431" s="16">
        <f>ROUNDUP((T431+U431+2*'Read Me'!$B$13)*(1+'Read Me'!$B$12),-1)</f>
        <v/>
      </c>
      <c r="W431" s="16">
        <f>V431*N431*O431</f>
        <v/>
      </c>
      <c r="X431" s="12">
        <f>IF(LEFT(I431,2)="MV",2*N431*IF(L431="1/C",O431,1),0)</f>
        <v/>
      </c>
      <c r="Y431" s="12">
        <f>IF(OR(LEFT(K431,4)="LVAX",LEFT(K431,6)="MV15AX",LEFT(K431,4)="CTAX",LEFT(K431,2)="W|"),2*N431*O431,0)</f>
        <v/>
      </c>
      <c r="Z431" s="12" t="inlineStr"/>
      <c r="AA431" s="12">
        <f>N431*O431</f>
        <v/>
      </c>
    </row>
    <row r="432">
      <c r="A432" s="12" t="inlineStr">
        <is>
          <t>A-C-0420</t>
        </is>
      </c>
      <c r="B432" s="12" t="inlineStr">
        <is>
          <t>A</t>
        </is>
      </c>
      <c r="C432" s="12" t="inlineStr">
        <is>
          <t>Power block</t>
        </is>
      </c>
      <c r="D432" s="12" t="inlineStr">
        <is>
          <t>MOV 26: control</t>
        </is>
      </c>
      <c r="E432" s="12" t="inlineStr">
        <is>
          <t>R2C</t>
        </is>
      </c>
      <c r="F432" s="12" t="inlineStr">
        <is>
          <t>R2C: unit / HRSG electrical e-house (32 x 40 ft)</t>
        </is>
      </c>
      <c r="G432" s="12" t="inlineStr">
        <is>
          <t>HRSG-3</t>
        </is>
      </c>
      <c r="H432" s="12" t="inlineStr">
        <is>
          <t>HRSG 3 + SCR (3P reheat, horizontal)</t>
        </is>
      </c>
      <c r="I432" s="12" t="inlineStr">
        <is>
          <t>Control</t>
        </is>
      </c>
      <c r="J432" s="12" t="inlineStr">
        <is>
          <t>Control cable 600 V Type TC-ER, Cu #14 AWG, PVC jacket</t>
        </is>
      </c>
      <c r="K432" s="12" t="inlineStr">
        <is>
          <t>CT|12/C|14</t>
        </is>
      </c>
      <c r="L432" s="12" t="inlineStr">
        <is>
          <t>12/C</t>
        </is>
      </c>
      <c r="M432" s="12" t="inlineStr">
        <is>
          <t>14</t>
        </is>
      </c>
      <c r="N432" s="12" t="n">
        <v>1</v>
      </c>
      <c r="O432" s="12" t="n">
        <v>1</v>
      </c>
      <c r="P432" s="12" t="n"/>
      <c r="Q432" s="12" t="n"/>
      <c r="R432" s="12" t="n"/>
      <c r="S432" s="12" t="inlineStr">
        <is>
          <t>Tray</t>
        </is>
      </c>
      <c r="T432" s="16" t="n">
        <v>0</v>
      </c>
      <c r="U432" s="16" t="n">
        <v>87</v>
      </c>
      <c r="V432" s="16">
        <f>ROUNDUP((T432+U432+2*'Read Me'!$B$13)*(1+'Read Me'!$B$12),-1)</f>
        <v/>
      </c>
      <c r="W432" s="16">
        <f>V432*N432*O432</f>
        <v/>
      </c>
      <c r="X432" s="12">
        <f>IF(LEFT(I432,2)="MV",2*N432*IF(L432="1/C",O432,1),0)</f>
        <v/>
      </c>
      <c r="Y432" s="12">
        <f>IF(OR(LEFT(K432,4)="LVAX",LEFT(K432,6)="MV15AX",LEFT(K432,4)="CTAX",LEFT(K432,2)="W|"),2*N432*O432,0)</f>
        <v/>
      </c>
      <c r="Z432" s="12" t="inlineStr"/>
      <c r="AA432" s="12">
        <f>N432*O432</f>
        <v/>
      </c>
    </row>
    <row r="433">
      <c r="A433" s="12" t="inlineStr">
        <is>
          <t>A-C-0421</t>
        </is>
      </c>
      <c r="B433" s="12" t="inlineStr">
        <is>
          <t>A</t>
        </is>
      </c>
      <c r="C433" s="12" t="inlineStr">
        <is>
          <t>Power block</t>
        </is>
      </c>
      <c r="D433" s="12" t="inlineStr">
        <is>
          <t>MOV 27: control</t>
        </is>
      </c>
      <c r="E433" s="12" t="inlineStr">
        <is>
          <t>R2C</t>
        </is>
      </c>
      <c r="F433" s="12" t="inlineStr">
        <is>
          <t>R2C: unit / HRSG electrical e-house (32 x 40 ft)</t>
        </is>
      </c>
      <c r="G433" s="12" t="inlineStr">
        <is>
          <t>HRSG-3</t>
        </is>
      </c>
      <c r="H433" s="12" t="inlineStr">
        <is>
          <t>HRSG 3 + SCR (3P reheat, horizontal)</t>
        </is>
      </c>
      <c r="I433" s="12" t="inlineStr">
        <is>
          <t>Control</t>
        </is>
      </c>
      <c r="J433" s="12" t="inlineStr">
        <is>
          <t>Control cable 600 V Type TC-ER, Cu #14 AWG, PVC jacket</t>
        </is>
      </c>
      <c r="K433" s="12" t="inlineStr">
        <is>
          <t>CT|12/C|14</t>
        </is>
      </c>
      <c r="L433" s="12" t="inlineStr">
        <is>
          <t>12/C</t>
        </is>
      </c>
      <c r="M433" s="12" t="inlineStr">
        <is>
          <t>14</t>
        </is>
      </c>
      <c r="N433" s="12" t="n">
        <v>1</v>
      </c>
      <c r="O433" s="12" t="n">
        <v>1</v>
      </c>
      <c r="P433" s="12" t="n"/>
      <c r="Q433" s="12" t="n"/>
      <c r="R433" s="12" t="n"/>
      <c r="S433" s="12" t="inlineStr">
        <is>
          <t>Tray</t>
        </is>
      </c>
      <c r="T433" s="16" t="n">
        <v>0</v>
      </c>
      <c r="U433" s="16" t="n">
        <v>87</v>
      </c>
      <c r="V433" s="16">
        <f>ROUNDUP((T433+U433+2*'Read Me'!$B$13)*(1+'Read Me'!$B$12),-1)</f>
        <v/>
      </c>
      <c r="W433" s="16">
        <f>V433*N433*O433</f>
        <v/>
      </c>
      <c r="X433" s="12">
        <f>IF(LEFT(I433,2)="MV",2*N433*IF(L433="1/C",O433,1),0)</f>
        <v/>
      </c>
      <c r="Y433" s="12">
        <f>IF(OR(LEFT(K433,4)="LVAX",LEFT(K433,6)="MV15AX",LEFT(K433,4)="CTAX",LEFT(K433,2)="W|"),2*N433*O433,0)</f>
        <v/>
      </c>
      <c r="Z433" s="12" t="inlineStr"/>
      <c r="AA433" s="12">
        <f>N433*O433</f>
        <v/>
      </c>
    </row>
    <row r="434">
      <c r="A434" s="12" t="inlineStr">
        <is>
          <t>A-C-0422</t>
        </is>
      </c>
      <c r="B434" s="12" t="inlineStr">
        <is>
          <t>A</t>
        </is>
      </c>
      <c r="C434" s="12" t="inlineStr">
        <is>
          <t>Power block</t>
        </is>
      </c>
      <c r="D434" s="12" t="inlineStr">
        <is>
          <t>MOV 28: control</t>
        </is>
      </c>
      <c r="E434" s="12" t="inlineStr">
        <is>
          <t>R2C</t>
        </is>
      </c>
      <c r="F434" s="12" t="inlineStr">
        <is>
          <t>R2C: unit / HRSG electrical e-house (32 x 40 ft)</t>
        </is>
      </c>
      <c r="G434" s="12" t="inlineStr">
        <is>
          <t>HRSG-3</t>
        </is>
      </c>
      <c r="H434" s="12" t="inlineStr">
        <is>
          <t>HRSG 3 + SCR (3P reheat, horizontal)</t>
        </is>
      </c>
      <c r="I434" s="12" t="inlineStr">
        <is>
          <t>Control</t>
        </is>
      </c>
      <c r="J434" s="12" t="inlineStr">
        <is>
          <t>Control cable 600 V Type TC-ER, Cu #14 AWG, PVC jacket</t>
        </is>
      </c>
      <c r="K434" s="12" t="inlineStr">
        <is>
          <t>CT|12/C|14</t>
        </is>
      </c>
      <c r="L434" s="12" t="inlineStr">
        <is>
          <t>12/C</t>
        </is>
      </c>
      <c r="M434" s="12" t="inlineStr">
        <is>
          <t>14</t>
        </is>
      </c>
      <c r="N434" s="12" t="n">
        <v>1</v>
      </c>
      <c r="O434" s="12" t="n">
        <v>1</v>
      </c>
      <c r="P434" s="12" t="n"/>
      <c r="Q434" s="12" t="n"/>
      <c r="R434" s="12" t="n"/>
      <c r="S434" s="12" t="inlineStr">
        <is>
          <t>Tray</t>
        </is>
      </c>
      <c r="T434" s="16" t="n">
        <v>0</v>
      </c>
      <c r="U434" s="16" t="n">
        <v>87</v>
      </c>
      <c r="V434" s="16">
        <f>ROUNDUP((T434+U434+2*'Read Me'!$B$13)*(1+'Read Me'!$B$12),-1)</f>
        <v/>
      </c>
      <c r="W434" s="16">
        <f>V434*N434*O434</f>
        <v/>
      </c>
      <c r="X434" s="12">
        <f>IF(LEFT(I434,2)="MV",2*N434*IF(L434="1/C",O434,1),0)</f>
        <v/>
      </c>
      <c r="Y434" s="12">
        <f>IF(OR(LEFT(K434,4)="LVAX",LEFT(K434,6)="MV15AX",LEFT(K434,4)="CTAX",LEFT(K434,2)="W|"),2*N434*O434,0)</f>
        <v/>
      </c>
      <c r="Z434" s="12" t="inlineStr"/>
      <c r="AA434" s="12">
        <f>N434*O434</f>
        <v/>
      </c>
    </row>
    <row r="435">
      <c r="A435" s="12" t="inlineStr">
        <is>
          <t>A-C-0423</t>
        </is>
      </c>
      <c r="B435" s="12" t="inlineStr">
        <is>
          <t>A</t>
        </is>
      </c>
      <c r="C435" s="12" t="inlineStr">
        <is>
          <t>Power block</t>
        </is>
      </c>
      <c r="D435" s="12" t="inlineStr">
        <is>
          <t>MOV 29: control</t>
        </is>
      </c>
      <c r="E435" s="12" t="inlineStr">
        <is>
          <t>R2C</t>
        </is>
      </c>
      <c r="F435" s="12" t="inlineStr">
        <is>
          <t>R2C: unit / HRSG electrical e-house (32 x 40 ft)</t>
        </is>
      </c>
      <c r="G435" s="12" t="inlineStr">
        <is>
          <t>HRSG-3</t>
        </is>
      </c>
      <c r="H435" s="12" t="inlineStr">
        <is>
          <t>HRSG 3 + SCR (3P reheat, horizontal)</t>
        </is>
      </c>
      <c r="I435" s="12" t="inlineStr">
        <is>
          <t>Control</t>
        </is>
      </c>
      <c r="J435" s="12" t="inlineStr">
        <is>
          <t>Control cable 600 V Type TC-ER, Cu #14 AWG, PVC jacket</t>
        </is>
      </c>
      <c r="K435" s="12" t="inlineStr">
        <is>
          <t>CT|12/C|14</t>
        </is>
      </c>
      <c r="L435" s="12" t="inlineStr">
        <is>
          <t>12/C</t>
        </is>
      </c>
      <c r="M435" s="12" t="inlineStr">
        <is>
          <t>14</t>
        </is>
      </c>
      <c r="N435" s="12" t="n">
        <v>1</v>
      </c>
      <c r="O435" s="12" t="n">
        <v>1</v>
      </c>
      <c r="P435" s="12" t="n"/>
      <c r="Q435" s="12" t="n"/>
      <c r="R435" s="12" t="n"/>
      <c r="S435" s="12" t="inlineStr">
        <is>
          <t>Tray</t>
        </is>
      </c>
      <c r="T435" s="16" t="n">
        <v>0</v>
      </c>
      <c r="U435" s="16" t="n">
        <v>87</v>
      </c>
      <c r="V435" s="16">
        <f>ROUNDUP((T435+U435+2*'Read Me'!$B$13)*(1+'Read Me'!$B$12),-1)</f>
        <v/>
      </c>
      <c r="W435" s="16">
        <f>V435*N435*O435</f>
        <v/>
      </c>
      <c r="X435" s="12">
        <f>IF(LEFT(I435,2)="MV",2*N435*IF(L435="1/C",O435,1),0)</f>
        <v/>
      </c>
      <c r="Y435" s="12">
        <f>IF(OR(LEFT(K435,4)="LVAX",LEFT(K435,6)="MV15AX",LEFT(K435,4)="CTAX",LEFT(K435,2)="W|"),2*N435*O435,0)</f>
        <v/>
      </c>
      <c r="Z435" s="12" t="inlineStr"/>
      <c r="AA435" s="12">
        <f>N435*O435</f>
        <v/>
      </c>
    </row>
    <row r="436">
      <c r="A436" s="12" t="inlineStr">
        <is>
          <t>A-C-0424</t>
        </is>
      </c>
      <c r="B436" s="12" t="inlineStr">
        <is>
          <t>A</t>
        </is>
      </c>
      <c r="C436" s="12" t="inlineStr">
        <is>
          <t>Power block</t>
        </is>
      </c>
      <c r="D436" s="12" t="inlineStr">
        <is>
          <t>MOV 30: control</t>
        </is>
      </c>
      <c r="E436" s="12" t="inlineStr">
        <is>
          <t>R2C</t>
        </is>
      </c>
      <c r="F436" s="12" t="inlineStr">
        <is>
          <t>R2C: unit / HRSG electrical e-house (32 x 40 ft)</t>
        </is>
      </c>
      <c r="G436" s="12" t="inlineStr">
        <is>
          <t>HRSG-3</t>
        </is>
      </c>
      <c r="H436" s="12" t="inlineStr">
        <is>
          <t>HRSG 3 + SCR (3P reheat, horizontal)</t>
        </is>
      </c>
      <c r="I436" s="12" t="inlineStr">
        <is>
          <t>Control</t>
        </is>
      </c>
      <c r="J436" s="12" t="inlineStr">
        <is>
          <t>Control cable 600 V Type TC-ER, Cu #14 AWG, PVC jacket</t>
        </is>
      </c>
      <c r="K436" s="12" t="inlineStr">
        <is>
          <t>CT|12/C|14</t>
        </is>
      </c>
      <c r="L436" s="12" t="inlineStr">
        <is>
          <t>12/C</t>
        </is>
      </c>
      <c r="M436" s="12" t="inlineStr">
        <is>
          <t>14</t>
        </is>
      </c>
      <c r="N436" s="12" t="n">
        <v>1</v>
      </c>
      <c r="O436" s="12" t="n">
        <v>1</v>
      </c>
      <c r="P436" s="12" t="n"/>
      <c r="Q436" s="12" t="n"/>
      <c r="R436" s="12" t="n"/>
      <c r="S436" s="12" t="inlineStr">
        <is>
          <t>Tray</t>
        </is>
      </c>
      <c r="T436" s="16" t="n">
        <v>0</v>
      </c>
      <c r="U436" s="16" t="n">
        <v>87</v>
      </c>
      <c r="V436" s="16">
        <f>ROUNDUP((T436+U436+2*'Read Me'!$B$13)*(1+'Read Me'!$B$12),-1)</f>
        <v/>
      </c>
      <c r="W436" s="16">
        <f>V436*N436*O436</f>
        <v/>
      </c>
      <c r="X436" s="12">
        <f>IF(LEFT(I436,2)="MV",2*N436*IF(L436="1/C",O436,1),0)</f>
        <v/>
      </c>
      <c r="Y436" s="12">
        <f>IF(OR(LEFT(K436,4)="LVAX",LEFT(K436,6)="MV15AX",LEFT(K436,4)="CTAX",LEFT(K436,2)="W|"),2*N436*O436,0)</f>
        <v/>
      </c>
      <c r="Z436" s="12" t="inlineStr"/>
      <c r="AA436" s="12">
        <f>N436*O436</f>
        <v/>
      </c>
    </row>
    <row r="437">
      <c r="A437" s="12" t="inlineStr">
        <is>
          <t>A-C-0425</t>
        </is>
      </c>
      <c r="B437" s="12" t="inlineStr">
        <is>
          <t>A</t>
        </is>
      </c>
      <c r="C437" s="12" t="inlineStr">
        <is>
          <t>Power block</t>
        </is>
      </c>
      <c r="D437" s="12" t="inlineStr">
        <is>
          <t>MOV 31: control</t>
        </is>
      </c>
      <c r="E437" s="12" t="inlineStr">
        <is>
          <t>R2C</t>
        </is>
      </c>
      <c r="F437" s="12" t="inlineStr">
        <is>
          <t>R2C: unit / HRSG electrical e-house (32 x 40 ft)</t>
        </is>
      </c>
      <c r="G437" s="12" t="inlineStr">
        <is>
          <t>HRSG-3</t>
        </is>
      </c>
      <c r="H437" s="12" t="inlineStr">
        <is>
          <t>HRSG 3 + SCR (3P reheat, horizontal)</t>
        </is>
      </c>
      <c r="I437" s="12" t="inlineStr">
        <is>
          <t>Control</t>
        </is>
      </c>
      <c r="J437" s="12" t="inlineStr">
        <is>
          <t>Control cable 600 V Type TC-ER, Cu #14 AWG, PVC jacket</t>
        </is>
      </c>
      <c r="K437" s="12" t="inlineStr">
        <is>
          <t>CT|12/C|14</t>
        </is>
      </c>
      <c r="L437" s="12" t="inlineStr">
        <is>
          <t>12/C</t>
        </is>
      </c>
      <c r="M437" s="12" t="inlineStr">
        <is>
          <t>14</t>
        </is>
      </c>
      <c r="N437" s="12" t="n">
        <v>1</v>
      </c>
      <c r="O437" s="12" t="n">
        <v>1</v>
      </c>
      <c r="P437" s="12" t="n"/>
      <c r="Q437" s="12" t="n"/>
      <c r="R437" s="12" t="n"/>
      <c r="S437" s="12" t="inlineStr">
        <is>
          <t>Tray</t>
        </is>
      </c>
      <c r="T437" s="16" t="n">
        <v>0</v>
      </c>
      <c r="U437" s="16" t="n">
        <v>87</v>
      </c>
      <c r="V437" s="16">
        <f>ROUNDUP((T437+U437+2*'Read Me'!$B$13)*(1+'Read Me'!$B$12),-1)</f>
        <v/>
      </c>
      <c r="W437" s="16">
        <f>V437*N437*O437</f>
        <v/>
      </c>
      <c r="X437" s="12">
        <f>IF(LEFT(I437,2)="MV",2*N437*IF(L437="1/C",O437,1),0)</f>
        <v/>
      </c>
      <c r="Y437" s="12">
        <f>IF(OR(LEFT(K437,4)="LVAX",LEFT(K437,6)="MV15AX",LEFT(K437,4)="CTAX",LEFT(K437,2)="W|"),2*N437*O437,0)</f>
        <v/>
      </c>
      <c r="Z437" s="12" t="inlineStr"/>
      <c r="AA437" s="12">
        <f>N437*O437</f>
        <v/>
      </c>
    </row>
    <row r="438">
      <c r="A438" s="12" t="inlineStr">
        <is>
          <t>A-C-0426</t>
        </is>
      </c>
      <c r="B438" s="12" t="inlineStr">
        <is>
          <t>A</t>
        </is>
      </c>
      <c r="C438" s="12" t="inlineStr">
        <is>
          <t>Power block</t>
        </is>
      </c>
      <c r="D438" s="12" t="inlineStr">
        <is>
          <t>MOV 32: control</t>
        </is>
      </c>
      <c r="E438" s="12" t="inlineStr">
        <is>
          <t>R2C</t>
        </is>
      </c>
      <c r="F438" s="12" t="inlineStr">
        <is>
          <t>R2C: unit / HRSG electrical e-house (32 x 40 ft)</t>
        </is>
      </c>
      <c r="G438" s="12" t="inlineStr">
        <is>
          <t>HRSG-3</t>
        </is>
      </c>
      <c r="H438" s="12" t="inlineStr">
        <is>
          <t>HRSG 3 + SCR (3P reheat, horizontal)</t>
        </is>
      </c>
      <c r="I438" s="12" t="inlineStr">
        <is>
          <t>Control</t>
        </is>
      </c>
      <c r="J438" s="12" t="inlineStr">
        <is>
          <t>Control cable 600 V Type TC-ER, Cu #14 AWG, PVC jacket</t>
        </is>
      </c>
      <c r="K438" s="12" t="inlineStr">
        <is>
          <t>CT|12/C|14</t>
        </is>
      </c>
      <c r="L438" s="12" t="inlineStr">
        <is>
          <t>12/C</t>
        </is>
      </c>
      <c r="M438" s="12" t="inlineStr">
        <is>
          <t>14</t>
        </is>
      </c>
      <c r="N438" s="12" t="n">
        <v>1</v>
      </c>
      <c r="O438" s="12" t="n">
        <v>1</v>
      </c>
      <c r="P438" s="12" t="n"/>
      <c r="Q438" s="12" t="n"/>
      <c r="R438" s="12" t="n"/>
      <c r="S438" s="12" t="inlineStr">
        <is>
          <t>Tray</t>
        </is>
      </c>
      <c r="T438" s="16" t="n">
        <v>0</v>
      </c>
      <c r="U438" s="16" t="n">
        <v>87</v>
      </c>
      <c r="V438" s="16">
        <f>ROUNDUP((T438+U438+2*'Read Me'!$B$13)*(1+'Read Me'!$B$12),-1)</f>
        <v/>
      </c>
      <c r="W438" s="16">
        <f>V438*N438*O438</f>
        <v/>
      </c>
      <c r="X438" s="12">
        <f>IF(LEFT(I438,2)="MV",2*N438*IF(L438="1/C",O438,1),0)</f>
        <v/>
      </c>
      <c r="Y438" s="12">
        <f>IF(OR(LEFT(K438,4)="LVAX",LEFT(K438,6)="MV15AX",LEFT(K438,4)="CTAX",LEFT(K438,2)="W|"),2*N438*O438,0)</f>
        <v/>
      </c>
      <c r="Z438" s="12" t="inlineStr"/>
      <c r="AA438" s="12">
        <f>N438*O438</f>
        <v/>
      </c>
    </row>
    <row r="439">
      <c r="A439" s="12" t="inlineStr">
        <is>
          <t>A-C-0427</t>
        </is>
      </c>
      <c r="B439" s="12" t="inlineStr">
        <is>
          <t>A</t>
        </is>
      </c>
      <c r="C439" s="12" t="inlineStr">
        <is>
          <t>Power block</t>
        </is>
      </c>
      <c r="D439" s="12" t="inlineStr">
        <is>
          <t>MOV 33: control</t>
        </is>
      </c>
      <c r="E439" s="12" t="inlineStr">
        <is>
          <t>R2C</t>
        </is>
      </c>
      <c r="F439" s="12" t="inlineStr">
        <is>
          <t>R2C: unit / HRSG electrical e-house (32 x 40 ft)</t>
        </is>
      </c>
      <c r="G439" s="12" t="inlineStr">
        <is>
          <t>HRSG-3</t>
        </is>
      </c>
      <c r="H439" s="12" t="inlineStr">
        <is>
          <t>HRSG 3 + SCR (3P reheat, horizontal)</t>
        </is>
      </c>
      <c r="I439" s="12" t="inlineStr">
        <is>
          <t>Control</t>
        </is>
      </c>
      <c r="J439" s="12" t="inlineStr">
        <is>
          <t>Control cable 600 V Type TC-ER, Cu #14 AWG, PVC jacket</t>
        </is>
      </c>
      <c r="K439" s="12" t="inlineStr">
        <is>
          <t>CT|12/C|14</t>
        </is>
      </c>
      <c r="L439" s="12" t="inlineStr">
        <is>
          <t>12/C</t>
        </is>
      </c>
      <c r="M439" s="12" t="inlineStr">
        <is>
          <t>14</t>
        </is>
      </c>
      <c r="N439" s="12" t="n">
        <v>1</v>
      </c>
      <c r="O439" s="12" t="n">
        <v>1</v>
      </c>
      <c r="P439" s="12" t="n"/>
      <c r="Q439" s="12" t="n"/>
      <c r="R439" s="12" t="n"/>
      <c r="S439" s="12" t="inlineStr">
        <is>
          <t>Tray</t>
        </is>
      </c>
      <c r="T439" s="16" t="n">
        <v>0</v>
      </c>
      <c r="U439" s="16" t="n">
        <v>87</v>
      </c>
      <c r="V439" s="16">
        <f>ROUNDUP((T439+U439+2*'Read Me'!$B$13)*(1+'Read Me'!$B$12),-1)</f>
        <v/>
      </c>
      <c r="W439" s="16">
        <f>V439*N439*O439</f>
        <v/>
      </c>
      <c r="X439" s="12">
        <f>IF(LEFT(I439,2)="MV",2*N439*IF(L439="1/C",O439,1),0)</f>
        <v/>
      </c>
      <c r="Y439" s="12">
        <f>IF(OR(LEFT(K439,4)="LVAX",LEFT(K439,6)="MV15AX",LEFT(K439,4)="CTAX",LEFT(K439,2)="W|"),2*N439*O439,0)</f>
        <v/>
      </c>
      <c r="Z439" s="12" t="inlineStr"/>
      <c r="AA439" s="12">
        <f>N439*O439</f>
        <v/>
      </c>
    </row>
    <row r="440">
      <c r="A440" s="12" t="inlineStr">
        <is>
          <t>A-C-0428</t>
        </is>
      </c>
      <c r="B440" s="12" t="inlineStr">
        <is>
          <t>A</t>
        </is>
      </c>
      <c r="C440" s="12" t="inlineStr">
        <is>
          <t>Power block</t>
        </is>
      </c>
      <c r="D440" s="12" t="inlineStr">
        <is>
          <t>MOV 34: control</t>
        </is>
      </c>
      <c r="E440" s="12" t="inlineStr">
        <is>
          <t>R2C</t>
        </is>
      </c>
      <c r="F440" s="12" t="inlineStr">
        <is>
          <t>R2C: unit / HRSG electrical e-house (32 x 40 ft)</t>
        </is>
      </c>
      <c r="G440" s="12" t="inlineStr">
        <is>
          <t>HRSG-3</t>
        </is>
      </c>
      <c r="H440" s="12" t="inlineStr">
        <is>
          <t>HRSG 3 + SCR (3P reheat, horizontal)</t>
        </is>
      </c>
      <c r="I440" s="12" t="inlineStr">
        <is>
          <t>Control</t>
        </is>
      </c>
      <c r="J440" s="12" t="inlineStr">
        <is>
          <t>Control cable 600 V Type TC-ER, Cu #14 AWG, PVC jacket</t>
        </is>
      </c>
      <c r="K440" s="12" t="inlineStr">
        <is>
          <t>CT|12/C|14</t>
        </is>
      </c>
      <c r="L440" s="12" t="inlineStr">
        <is>
          <t>12/C</t>
        </is>
      </c>
      <c r="M440" s="12" t="inlineStr">
        <is>
          <t>14</t>
        </is>
      </c>
      <c r="N440" s="12" t="n">
        <v>1</v>
      </c>
      <c r="O440" s="12" t="n">
        <v>1</v>
      </c>
      <c r="P440" s="12" t="n"/>
      <c r="Q440" s="12" t="n"/>
      <c r="R440" s="12" t="n"/>
      <c r="S440" s="12" t="inlineStr">
        <is>
          <t>Tray</t>
        </is>
      </c>
      <c r="T440" s="16" t="n">
        <v>0</v>
      </c>
      <c r="U440" s="16" t="n">
        <v>87</v>
      </c>
      <c r="V440" s="16">
        <f>ROUNDUP((T440+U440+2*'Read Me'!$B$13)*(1+'Read Me'!$B$12),-1)</f>
        <v/>
      </c>
      <c r="W440" s="16">
        <f>V440*N440*O440</f>
        <v/>
      </c>
      <c r="X440" s="12">
        <f>IF(LEFT(I440,2)="MV",2*N440*IF(L440="1/C",O440,1),0)</f>
        <v/>
      </c>
      <c r="Y440" s="12">
        <f>IF(OR(LEFT(K440,4)="LVAX",LEFT(K440,6)="MV15AX",LEFT(K440,4)="CTAX",LEFT(K440,2)="W|"),2*N440*O440,0)</f>
        <v/>
      </c>
      <c r="Z440" s="12" t="inlineStr"/>
      <c r="AA440" s="12">
        <f>N440*O440</f>
        <v/>
      </c>
    </row>
    <row r="441">
      <c r="A441" s="12" t="inlineStr">
        <is>
          <t>A-C-0429</t>
        </is>
      </c>
      <c r="B441" s="12" t="inlineStr">
        <is>
          <t>A</t>
        </is>
      </c>
      <c r="C441" s="12" t="inlineStr">
        <is>
          <t>Power block</t>
        </is>
      </c>
      <c r="D441" s="12" t="inlineStr">
        <is>
          <t>MOV 35: control</t>
        </is>
      </c>
      <c r="E441" s="12" t="inlineStr">
        <is>
          <t>R2C</t>
        </is>
      </c>
      <c r="F441" s="12" t="inlineStr">
        <is>
          <t>R2C: unit / HRSG electrical e-house (32 x 40 ft)</t>
        </is>
      </c>
      <c r="G441" s="12" t="inlineStr">
        <is>
          <t>HRSG-3</t>
        </is>
      </c>
      <c r="H441" s="12" t="inlineStr">
        <is>
          <t>HRSG 3 + SCR (3P reheat, horizontal)</t>
        </is>
      </c>
      <c r="I441" s="12" t="inlineStr">
        <is>
          <t>Control</t>
        </is>
      </c>
      <c r="J441" s="12" t="inlineStr">
        <is>
          <t>Control cable 600 V Type TC-ER, Cu #14 AWG, PVC jacket</t>
        </is>
      </c>
      <c r="K441" s="12" t="inlineStr">
        <is>
          <t>CT|12/C|14</t>
        </is>
      </c>
      <c r="L441" s="12" t="inlineStr">
        <is>
          <t>12/C</t>
        </is>
      </c>
      <c r="M441" s="12" t="inlineStr">
        <is>
          <t>14</t>
        </is>
      </c>
      <c r="N441" s="12" t="n">
        <v>1</v>
      </c>
      <c r="O441" s="12" t="n">
        <v>1</v>
      </c>
      <c r="P441" s="12" t="n"/>
      <c r="Q441" s="12" t="n"/>
      <c r="R441" s="12" t="n"/>
      <c r="S441" s="12" t="inlineStr">
        <is>
          <t>Tray</t>
        </is>
      </c>
      <c r="T441" s="16" t="n">
        <v>0</v>
      </c>
      <c r="U441" s="16" t="n">
        <v>87</v>
      </c>
      <c r="V441" s="16">
        <f>ROUNDUP((T441+U441+2*'Read Me'!$B$13)*(1+'Read Me'!$B$12),-1)</f>
        <v/>
      </c>
      <c r="W441" s="16">
        <f>V441*N441*O441</f>
        <v/>
      </c>
      <c r="X441" s="12">
        <f>IF(LEFT(I441,2)="MV",2*N441*IF(L441="1/C",O441,1),0)</f>
        <v/>
      </c>
      <c r="Y441" s="12">
        <f>IF(OR(LEFT(K441,4)="LVAX",LEFT(K441,6)="MV15AX",LEFT(K441,4)="CTAX",LEFT(K441,2)="W|"),2*N441*O441,0)</f>
        <v/>
      </c>
      <c r="Z441" s="12" t="inlineStr"/>
      <c r="AA441" s="12">
        <f>N441*O441</f>
        <v/>
      </c>
    </row>
    <row r="442">
      <c r="A442" s="12" t="inlineStr">
        <is>
          <t>A-C-0430</t>
        </is>
      </c>
      <c r="B442" s="12" t="inlineStr">
        <is>
          <t>A</t>
        </is>
      </c>
      <c r="C442" s="12" t="inlineStr">
        <is>
          <t>Power block</t>
        </is>
      </c>
      <c r="D442" s="12" t="inlineStr">
        <is>
          <t>MOV 36: control</t>
        </is>
      </c>
      <c r="E442" s="12" t="inlineStr">
        <is>
          <t>R2C</t>
        </is>
      </c>
      <c r="F442" s="12" t="inlineStr">
        <is>
          <t>R2C: unit / HRSG electrical e-house (32 x 40 ft)</t>
        </is>
      </c>
      <c r="G442" s="12" t="inlineStr">
        <is>
          <t>HRSG-3</t>
        </is>
      </c>
      <c r="H442" s="12" t="inlineStr">
        <is>
          <t>HRSG 3 + SCR (3P reheat, horizontal)</t>
        </is>
      </c>
      <c r="I442" s="12" t="inlineStr">
        <is>
          <t>Control</t>
        </is>
      </c>
      <c r="J442" s="12" t="inlineStr">
        <is>
          <t>Control cable 600 V Type TC-ER, Cu #14 AWG, PVC jacket</t>
        </is>
      </c>
      <c r="K442" s="12" t="inlineStr">
        <is>
          <t>CT|12/C|14</t>
        </is>
      </c>
      <c r="L442" s="12" t="inlineStr">
        <is>
          <t>12/C</t>
        </is>
      </c>
      <c r="M442" s="12" t="inlineStr">
        <is>
          <t>14</t>
        </is>
      </c>
      <c r="N442" s="12" t="n">
        <v>1</v>
      </c>
      <c r="O442" s="12" t="n">
        <v>1</v>
      </c>
      <c r="P442" s="12" t="n"/>
      <c r="Q442" s="12" t="n"/>
      <c r="R442" s="12" t="n"/>
      <c r="S442" s="12" t="inlineStr">
        <is>
          <t>Tray</t>
        </is>
      </c>
      <c r="T442" s="16" t="n">
        <v>0</v>
      </c>
      <c r="U442" s="16" t="n">
        <v>87</v>
      </c>
      <c r="V442" s="16">
        <f>ROUNDUP((T442+U442+2*'Read Me'!$B$13)*(1+'Read Me'!$B$12),-1)</f>
        <v/>
      </c>
      <c r="W442" s="16">
        <f>V442*N442*O442</f>
        <v/>
      </c>
      <c r="X442" s="12">
        <f>IF(LEFT(I442,2)="MV",2*N442*IF(L442="1/C",O442,1),0)</f>
        <v/>
      </c>
      <c r="Y442" s="12">
        <f>IF(OR(LEFT(K442,4)="LVAX",LEFT(K442,6)="MV15AX",LEFT(K442,4)="CTAX",LEFT(K442,2)="W|"),2*N442*O442,0)</f>
        <v/>
      </c>
      <c r="Z442" s="12" t="inlineStr"/>
      <c r="AA442" s="12">
        <f>N442*O442</f>
        <v/>
      </c>
    </row>
    <row r="443">
      <c r="A443" s="12" t="inlineStr">
        <is>
          <t>A-C-0431</t>
        </is>
      </c>
      <c r="B443" s="12" t="inlineStr">
        <is>
          <t>A</t>
        </is>
      </c>
      <c r="C443" s="12" t="inlineStr">
        <is>
          <t>Power block</t>
        </is>
      </c>
      <c r="D443" s="12" t="inlineStr">
        <is>
          <t>MOV 37: control</t>
        </is>
      </c>
      <c r="E443" s="12" t="inlineStr">
        <is>
          <t>R2C</t>
        </is>
      </c>
      <c r="F443" s="12" t="inlineStr">
        <is>
          <t>R2C: unit / HRSG electrical e-house (32 x 40 ft)</t>
        </is>
      </c>
      <c r="G443" s="12" t="inlineStr">
        <is>
          <t>HRSG-3</t>
        </is>
      </c>
      <c r="H443" s="12" t="inlineStr">
        <is>
          <t>HRSG 3 + SCR (3P reheat, horizontal)</t>
        </is>
      </c>
      <c r="I443" s="12" t="inlineStr">
        <is>
          <t>Control</t>
        </is>
      </c>
      <c r="J443" s="12" t="inlineStr">
        <is>
          <t>Control cable 600 V Type TC-ER, Cu #14 AWG, PVC jacket</t>
        </is>
      </c>
      <c r="K443" s="12" t="inlineStr">
        <is>
          <t>CT|12/C|14</t>
        </is>
      </c>
      <c r="L443" s="12" t="inlineStr">
        <is>
          <t>12/C</t>
        </is>
      </c>
      <c r="M443" s="12" t="inlineStr">
        <is>
          <t>14</t>
        </is>
      </c>
      <c r="N443" s="12" t="n">
        <v>1</v>
      </c>
      <c r="O443" s="12" t="n">
        <v>1</v>
      </c>
      <c r="P443" s="12" t="n"/>
      <c r="Q443" s="12" t="n"/>
      <c r="R443" s="12" t="n"/>
      <c r="S443" s="12" t="inlineStr">
        <is>
          <t>Tray</t>
        </is>
      </c>
      <c r="T443" s="16" t="n">
        <v>0</v>
      </c>
      <c r="U443" s="16" t="n">
        <v>87</v>
      </c>
      <c r="V443" s="16">
        <f>ROUNDUP((T443+U443+2*'Read Me'!$B$13)*(1+'Read Me'!$B$12),-1)</f>
        <v/>
      </c>
      <c r="W443" s="16">
        <f>V443*N443*O443</f>
        <v/>
      </c>
      <c r="X443" s="12">
        <f>IF(LEFT(I443,2)="MV",2*N443*IF(L443="1/C",O443,1),0)</f>
        <v/>
      </c>
      <c r="Y443" s="12">
        <f>IF(OR(LEFT(K443,4)="LVAX",LEFT(K443,6)="MV15AX",LEFT(K443,4)="CTAX",LEFT(K443,2)="W|"),2*N443*O443,0)</f>
        <v/>
      </c>
      <c r="Z443" s="12" t="inlineStr"/>
      <c r="AA443" s="12">
        <f>N443*O443</f>
        <v/>
      </c>
    </row>
    <row r="444">
      <c r="A444" s="12" t="inlineStr">
        <is>
          <t>A-C-0432</t>
        </is>
      </c>
      <c r="B444" s="12" t="inlineStr">
        <is>
          <t>A</t>
        </is>
      </c>
      <c r="C444" s="12" t="inlineStr">
        <is>
          <t>Power block</t>
        </is>
      </c>
      <c r="D444" s="12" t="inlineStr">
        <is>
          <t>MOV 38: control</t>
        </is>
      </c>
      <c r="E444" s="12" t="inlineStr">
        <is>
          <t>R2C</t>
        </is>
      </c>
      <c r="F444" s="12" t="inlineStr">
        <is>
          <t>R2C: unit / HRSG electrical e-house (32 x 40 ft)</t>
        </is>
      </c>
      <c r="G444" s="12" t="inlineStr">
        <is>
          <t>HRSG-3</t>
        </is>
      </c>
      <c r="H444" s="12" t="inlineStr">
        <is>
          <t>HRSG 3 + SCR (3P reheat, horizontal)</t>
        </is>
      </c>
      <c r="I444" s="12" t="inlineStr">
        <is>
          <t>Control</t>
        </is>
      </c>
      <c r="J444" s="12" t="inlineStr">
        <is>
          <t>Control cable 600 V Type TC-ER, Cu #14 AWG, PVC jacket</t>
        </is>
      </c>
      <c r="K444" s="12" t="inlineStr">
        <is>
          <t>CT|12/C|14</t>
        </is>
      </c>
      <c r="L444" s="12" t="inlineStr">
        <is>
          <t>12/C</t>
        </is>
      </c>
      <c r="M444" s="12" t="inlineStr">
        <is>
          <t>14</t>
        </is>
      </c>
      <c r="N444" s="12" t="n">
        <v>1</v>
      </c>
      <c r="O444" s="12" t="n">
        <v>1</v>
      </c>
      <c r="P444" s="12" t="n"/>
      <c r="Q444" s="12" t="n"/>
      <c r="R444" s="12" t="n"/>
      <c r="S444" s="12" t="inlineStr">
        <is>
          <t>Tray</t>
        </is>
      </c>
      <c r="T444" s="16" t="n">
        <v>0</v>
      </c>
      <c r="U444" s="16" t="n">
        <v>87</v>
      </c>
      <c r="V444" s="16">
        <f>ROUNDUP((T444+U444+2*'Read Me'!$B$13)*(1+'Read Me'!$B$12),-1)</f>
        <v/>
      </c>
      <c r="W444" s="16">
        <f>V444*N444*O444</f>
        <v/>
      </c>
      <c r="X444" s="12">
        <f>IF(LEFT(I444,2)="MV",2*N444*IF(L444="1/C",O444,1),0)</f>
        <v/>
      </c>
      <c r="Y444" s="12">
        <f>IF(OR(LEFT(K444,4)="LVAX",LEFT(K444,6)="MV15AX",LEFT(K444,4)="CTAX",LEFT(K444,2)="W|"),2*N444*O444,0)</f>
        <v/>
      </c>
      <c r="Z444" s="12" t="inlineStr"/>
      <c r="AA444" s="12">
        <f>N444*O444</f>
        <v/>
      </c>
    </row>
    <row r="445">
      <c r="A445" s="12" t="inlineStr">
        <is>
          <t>A-C-0433</t>
        </is>
      </c>
      <c r="B445" s="12" t="inlineStr">
        <is>
          <t>A</t>
        </is>
      </c>
      <c r="C445" s="12" t="inlineStr">
        <is>
          <t>Power block</t>
        </is>
      </c>
      <c r="D445" s="12" t="inlineStr">
        <is>
          <t>MOV 39: control</t>
        </is>
      </c>
      <c r="E445" s="12" t="inlineStr">
        <is>
          <t>R2C</t>
        </is>
      </c>
      <c r="F445" s="12" t="inlineStr">
        <is>
          <t>R2C: unit / HRSG electrical e-house (32 x 40 ft)</t>
        </is>
      </c>
      <c r="G445" s="12" t="inlineStr">
        <is>
          <t>HRSG-3</t>
        </is>
      </c>
      <c r="H445" s="12" t="inlineStr">
        <is>
          <t>HRSG 3 + SCR (3P reheat, horizontal)</t>
        </is>
      </c>
      <c r="I445" s="12" t="inlineStr">
        <is>
          <t>Control</t>
        </is>
      </c>
      <c r="J445" s="12" t="inlineStr">
        <is>
          <t>Control cable 600 V Type TC-ER, Cu #14 AWG, PVC jacket</t>
        </is>
      </c>
      <c r="K445" s="12" t="inlineStr">
        <is>
          <t>CT|12/C|14</t>
        </is>
      </c>
      <c r="L445" s="12" t="inlineStr">
        <is>
          <t>12/C</t>
        </is>
      </c>
      <c r="M445" s="12" t="inlineStr">
        <is>
          <t>14</t>
        </is>
      </c>
      <c r="N445" s="12" t="n">
        <v>1</v>
      </c>
      <c r="O445" s="12" t="n">
        <v>1</v>
      </c>
      <c r="P445" s="12" t="n"/>
      <c r="Q445" s="12" t="n"/>
      <c r="R445" s="12" t="n"/>
      <c r="S445" s="12" t="inlineStr">
        <is>
          <t>Tray</t>
        </is>
      </c>
      <c r="T445" s="16" t="n">
        <v>0</v>
      </c>
      <c r="U445" s="16" t="n">
        <v>87</v>
      </c>
      <c r="V445" s="16">
        <f>ROUNDUP((T445+U445+2*'Read Me'!$B$13)*(1+'Read Me'!$B$12),-1)</f>
        <v/>
      </c>
      <c r="W445" s="16">
        <f>V445*N445*O445</f>
        <v/>
      </c>
      <c r="X445" s="12">
        <f>IF(LEFT(I445,2)="MV",2*N445*IF(L445="1/C",O445,1),0)</f>
        <v/>
      </c>
      <c r="Y445" s="12">
        <f>IF(OR(LEFT(K445,4)="LVAX",LEFT(K445,6)="MV15AX",LEFT(K445,4)="CTAX",LEFT(K445,2)="W|"),2*N445*O445,0)</f>
        <v/>
      </c>
      <c r="Z445" s="12" t="inlineStr"/>
      <c r="AA445" s="12">
        <f>N445*O445</f>
        <v/>
      </c>
    </row>
    <row r="446">
      <c r="A446" s="12" t="inlineStr">
        <is>
          <t>A-C-0434</t>
        </is>
      </c>
      <c r="B446" s="12" t="inlineStr">
        <is>
          <t>A</t>
        </is>
      </c>
      <c r="C446" s="12" t="inlineStr">
        <is>
          <t>Power block</t>
        </is>
      </c>
      <c r="D446" s="12" t="inlineStr">
        <is>
          <t>MOV 40: control</t>
        </is>
      </c>
      <c r="E446" s="12" t="inlineStr">
        <is>
          <t>R2C</t>
        </is>
      </c>
      <c r="F446" s="12" t="inlineStr">
        <is>
          <t>R2C: unit / HRSG electrical e-house (32 x 40 ft)</t>
        </is>
      </c>
      <c r="G446" s="12" t="inlineStr">
        <is>
          <t>HRSG-3</t>
        </is>
      </c>
      <c r="H446" s="12" t="inlineStr">
        <is>
          <t>HRSG 3 + SCR (3P reheat, horizontal)</t>
        </is>
      </c>
      <c r="I446" s="12" t="inlineStr">
        <is>
          <t>Control</t>
        </is>
      </c>
      <c r="J446" s="12" t="inlineStr">
        <is>
          <t>Control cable 600 V Type TC-ER, Cu #14 AWG, PVC jacket</t>
        </is>
      </c>
      <c r="K446" s="12" t="inlineStr">
        <is>
          <t>CT|12/C|14</t>
        </is>
      </c>
      <c r="L446" s="12" t="inlineStr">
        <is>
          <t>12/C</t>
        </is>
      </c>
      <c r="M446" s="12" t="inlineStr">
        <is>
          <t>14</t>
        </is>
      </c>
      <c r="N446" s="12" t="n">
        <v>1</v>
      </c>
      <c r="O446" s="12" t="n">
        <v>1</v>
      </c>
      <c r="P446" s="12" t="n"/>
      <c r="Q446" s="12" t="n"/>
      <c r="R446" s="12" t="n"/>
      <c r="S446" s="12" t="inlineStr">
        <is>
          <t>Tray</t>
        </is>
      </c>
      <c r="T446" s="16" t="n">
        <v>0</v>
      </c>
      <c r="U446" s="16" t="n">
        <v>87</v>
      </c>
      <c r="V446" s="16">
        <f>ROUNDUP((T446+U446+2*'Read Me'!$B$13)*(1+'Read Me'!$B$12),-1)</f>
        <v/>
      </c>
      <c r="W446" s="16">
        <f>V446*N446*O446</f>
        <v/>
      </c>
      <c r="X446" s="12">
        <f>IF(LEFT(I446,2)="MV",2*N446*IF(L446="1/C",O446,1),0)</f>
        <v/>
      </c>
      <c r="Y446" s="12">
        <f>IF(OR(LEFT(K446,4)="LVAX",LEFT(K446,6)="MV15AX",LEFT(K446,4)="CTAX",LEFT(K446,2)="W|"),2*N446*O446,0)</f>
        <v/>
      </c>
      <c r="Z446" s="12" t="inlineStr"/>
      <c r="AA446" s="12">
        <f>N446*O446</f>
        <v/>
      </c>
    </row>
    <row r="447">
      <c r="A447" s="12" t="inlineStr">
        <is>
          <t>A-C-0435</t>
        </is>
      </c>
      <c r="B447" s="12" t="inlineStr">
        <is>
          <t>A</t>
        </is>
      </c>
      <c r="C447" s="12" t="inlineStr">
        <is>
          <t>Power block</t>
        </is>
      </c>
      <c r="D447" s="12" t="inlineStr">
        <is>
          <t>MOV 41: control</t>
        </is>
      </c>
      <c r="E447" s="12" t="inlineStr">
        <is>
          <t>R2C</t>
        </is>
      </c>
      <c r="F447" s="12" t="inlineStr">
        <is>
          <t>R2C: unit / HRSG electrical e-house (32 x 40 ft)</t>
        </is>
      </c>
      <c r="G447" s="12" t="inlineStr">
        <is>
          <t>HRSG-3</t>
        </is>
      </c>
      <c r="H447" s="12" t="inlineStr">
        <is>
          <t>HRSG 3 + SCR (3P reheat, horizontal)</t>
        </is>
      </c>
      <c r="I447" s="12" t="inlineStr">
        <is>
          <t>Control</t>
        </is>
      </c>
      <c r="J447" s="12" t="inlineStr">
        <is>
          <t>Control cable 600 V Type TC-ER, Cu #14 AWG, PVC jacket</t>
        </is>
      </c>
      <c r="K447" s="12" t="inlineStr">
        <is>
          <t>CT|12/C|14</t>
        </is>
      </c>
      <c r="L447" s="12" t="inlineStr">
        <is>
          <t>12/C</t>
        </is>
      </c>
      <c r="M447" s="12" t="inlineStr">
        <is>
          <t>14</t>
        </is>
      </c>
      <c r="N447" s="12" t="n">
        <v>1</v>
      </c>
      <c r="O447" s="12" t="n">
        <v>1</v>
      </c>
      <c r="P447" s="12" t="n"/>
      <c r="Q447" s="12" t="n"/>
      <c r="R447" s="12" t="n"/>
      <c r="S447" s="12" t="inlineStr">
        <is>
          <t>Tray</t>
        </is>
      </c>
      <c r="T447" s="16" t="n">
        <v>0</v>
      </c>
      <c r="U447" s="16" t="n">
        <v>87</v>
      </c>
      <c r="V447" s="16">
        <f>ROUNDUP((T447+U447+2*'Read Me'!$B$13)*(1+'Read Me'!$B$12),-1)</f>
        <v/>
      </c>
      <c r="W447" s="16">
        <f>V447*N447*O447</f>
        <v/>
      </c>
      <c r="X447" s="12">
        <f>IF(LEFT(I447,2)="MV",2*N447*IF(L447="1/C",O447,1),0)</f>
        <v/>
      </c>
      <c r="Y447" s="12">
        <f>IF(OR(LEFT(K447,4)="LVAX",LEFT(K447,6)="MV15AX",LEFT(K447,4)="CTAX",LEFT(K447,2)="W|"),2*N447*O447,0)</f>
        <v/>
      </c>
      <c r="Z447" s="12" t="inlineStr"/>
      <c r="AA447" s="12">
        <f>N447*O447</f>
        <v/>
      </c>
    </row>
    <row r="448">
      <c r="A448" s="12" t="inlineStr">
        <is>
          <t>A-C-0436</t>
        </is>
      </c>
      <c r="B448" s="12" t="inlineStr">
        <is>
          <t>A</t>
        </is>
      </c>
      <c r="C448" s="12" t="inlineStr">
        <is>
          <t>Power block</t>
        </is>
      </c>
      <c r="D448" s="12" t="inlineStr">
        <is>
          <t>MOV 42: control</t>
        </is>
      </c>
      <c r="E448" s="12" t="inlineStr">
        <is>
          <t>R2C</t>
        </is>
      </c>
      <c r="F448" s="12" t="inlineStr">
        <is>
          <t>R2C: unit / HRSG electrical e-house (32 x 40 ft)</t>
        </is>
      </c>
      <c r="G448" s="12" t="inlineStr">
        <is>
          <t>HRSG-3</t>
        </is>
      </c>
      <c r="H448" s="12" t="inlineStr">
        <is>
          <t>HRSG 3 + SCR (3P reheat, horizontal)</t>
        </is>
      </c>
      <c r="I448" s="12" t="inlineStr">
        <is>
          <t>Control</t>
        </is>
      </c>
      <c r="J448" s="12" t="inlineStr">
        <is>
          <t>Control cable 600 V Type TC-ER, Cu #14 AWG, PVC jacket</t>
        </is>
      </c>
      <c r="K448" s="12" t="inlineStr">
        <is>
          <t>CT|12/C|14</t>
        </is>
      </c>
      <c r="L448" s="12" t="inlineStr">
        <is>
          <t>12/C</t>
        </is>
      </c>
      <c r="M448" s="12" t="inlineStr">
        <is>
          <t>14</t>
        </is>
      </c>
      <c r="N448" s="12" t="n">
        <v>1</v>
      </c>
      <c r="O448" s="12" t="n">
        <v>1</v>
      </c>
      <c r="P448" s="12" t="n"/>
      <c r="Q448" s="12" t="n"/>
      <c r="R448" s="12" t="n"/>
      <c r="S448" s="12" t="inlineStr">
        <is>
          <t>Tray</t>
        </is>
      </c>
      <c r="T448" s="16" t="n">
        <v>0</v>
      </c>
      <c r="U448" s="16" t="n">
        <v>87</v>
      </c>
      <c r="V448" s="16">
        <f>ROUNDUP((T448+U448+2*'Read Me'!$B$13)*(1+'Read Me'!$B$12),-1)</f>
        <v/>
      </c>
      <c r="W448" s="16">
        <f>V448*N448*O448</f>
        <v/>
      </c>
      <c r="X448" s="12">
        <f>IF(LEFT(I448,2)="MV",2*N448*IF(L448="1/C",O448,1),0)</f>
        <v/>
      </c>
      <c r="Y448" s="12">
        <f>IF(OR(LEFT(K448,4)="LVAX",LEFT(K448,6)="MV15AX",LEFT(K448,4)="CTAX",LEFT(K448,2)="W|"),2*N448*O448,0)</f>
        <v/>
      </c>
      <c r="Z448" s="12" t="inlineStr"/>
      <c r="AA448" s="12">
        <f>N448*O448</f>
        <v/>
      </c>
    </row>
    <row r="449">
      <c r="A449" s="12" t="inlineStr">
        <is>
          <t>A-C-0437</t>
        </is>
      </c>
      <c r="B449" s="12" t="inlineStr">
        <is>
          <t>A</t>
        </is>
      </c>
      <c r="C449" s="12" t="inlineStr">
        <is>
          <t>Power block</t>
        </is>
      </c>
      <c r="D449" s="12" t="inlineStr">
        <is>
          <t>MOV 43: control</t>
        </is>
      </c>
      <c r="E449" s="12" t="inlineStr">
        <is>
          <t>R2C</t>
        </is>
      </c>
      <c r="F449" s="12" t="inlineStr">
        <is>
          <t>R2C: unit / HRSG electrical e-house (32 x 40 ft)</t>
        </is>
      </c>
      <c r="G449" s="12" t="inlineStr">
        <is>
          <t>HRSG-3</t>
        </is>
      </c>
      <c r="H449" s="12" t="inlineStr">
        <is>
          <t>HRSG 3 + SCR (3P reheat, horizontal)</t>
        </is>
      </c>
      <c r="I449" s="12" t="inlineStr">
        <is>
          <t>Control</t>
        </is>
      </c>
      <c r="J449" s="12" t="inlineStr">
        <is>
          <t>Control cable 600 V Type TC-ER, Cu #14 AWG, PVC jacket</t>
        </is>
      </c>
      <c r="K449" s="12" t="inlineStr">
        <is>
          <t>CT|12/C|14</t>
        </is>
      </c>
      <c r="L449" s="12" t="inlineStr">
        <is>
          <t>12/C</t>
        </is>
      </c>
      <c r="M449" s="12" t="inlineStr">
        <is>
          <t>14</t>
        </is>
      </c>
      <c r="N449" s="12" t="n">
        <v>1</v>
      </c>
      <c r="O449" s="12" t="n">
        <v>1</v>
      </c>
      <c r="P449" s="12" t="n"/>
      <c r="Q449" s="12" t="n"/>
      <c r="R449" s="12" t="n"/>
      <c r="S449" s="12" t="inlineStr">
        <is>
          <t>Tray</t>
        </is>
      </c>
      <c r="T449" s="16" t="n">
        <v>0</v>
      </c>
      <c r="U449" s="16" t="n">
        <v>87</v>
      </c>
      <c r="V449" s="16">
        <f>ROUNDUP((T449+U449+2*'Read Me'!$B$13)*(1+'Read Me'!$B$12),-1)</f>
        <v/>
      </c>
      <c r="W449" s="16">
        <f>V449*N449*O449</f>
        <v/>
      </c>
      <c r="X449" s="12">
        <f>IF(LEFT(I449,2)="MV",2*N449*IF(L449="1/C",O449,1),0)</f>
        <v/>
      </c>
      <c r="Y449" s="12">
        <f>IF(OR(LEFT(K449,4)="LVAX",LEFT(K449,6)="MV15AX",LEFT(K449,4)="CTAX",LEFT(K449,2)="W|"),2*N449*O449,0)</f>
        <v/>
      </c>
      <c r="Z449" s="12" t="inlineStr"/>
      <c r="AA449" s="12">
        <f>N449*O449</f>
        <v/>
      </c>
    </row>
    <row r="450">
      <c r="A450" s="12" t="inlineStr">
        <is>
          <t>A-C-0438</t>
        </is>
      </c>
      <c r="B450" s="12" t="inlineStr">
        <is>
          <t>A</t>
        </is>
      </c>
      <c r="C450" s="12" t="inlineStr">
        <is>
          <t>Power block</t>
        </is>
      </c>
      <c r="D450" s="12" t="inlineStr">
        <is>
          <t>MOV 44: control</t>
        </is>
      </c>
      <c r="E450" s="12" t="inlineStr">
        <is>
          <t>R2C</t>
        </is>
      </c>
      <c r="F450" s="12" t="inlineStr">
        <is>
          <t>R2C: unit / HRSG electrical e-house (32 x 40 ft)</t>
        </is>
      </c>
      <c r="G450" s="12" t="inlineStr">
        <is>
          <t>HRSG-3</t>
        </is>
      </c>
      <c r="H450" s="12" t="inlineStr">
        <is>
          <t>HRSG 3 + SCR (3P reheat, horizontal)</t>
        </is>
      </c>
      <c r="I450" s="12" t="inlineStr">
        <is>
          <t>Control</t>
        </is>
      </c>
      <c r="J450" s="12" t="inlineStr">
        <is>
          <t>Control cable 600 V Type TC-ER, Cu #14 AWG, PVC jacket</t>
        </is>
      </c>
      <c r="K450" s="12" t="inlineStr">
        <is>
          <t>CT|12/C|14</t>
        </is>
      </c>
      <c r="L450" s="12" t="inlineStr">
        <is>
          <t>12/C</t>
        </is>
      </c>
      <c r="M450" s="12" t="inlineStr">
        <is>
          <t>14</t>
        </is>
      </c>
      <c r="N450" s="12" t="n">
        <v>1</v>
      </c>
      <c r="O450" s="12" t="n">
        <v>1</v>
      </c>
      <c r="P450" s="12" t="n"/>
      <c r="Q450" s="12" t="n"/>
      <c r="R450" s="12" t="n"/>
      <c r="S450" s="12" t="inlineStr">
        <is>
          <t>Tray</t>
        </is>
      </c>
      <c r="T450" s="16" t="n">
        <v>0</v>
      </c>
      <c r="U450" s="16" t="n">
        <v>87</v>
      </c>
      <c r="V450" s="16">
        <f>ROUNDUP((T450+U450+2*'Read Me'!$B$13)*(1+'Read Me'!$B$12),-1)</f>
        <v/>
      </c>
      <c r="W450" s="16">
        <f>V450*N450*O450</f>
        <v/>
      </c>
      <c r="X450" s="12">
        <f>IF(LEFT(I450,2)="MV",2*N450*IF(L450="1/C",O450,1),0)</f>
        <v/>
      </c>
      <c r="Y450" s="12">
        <f>IF(OR(LEFT(K450,4)="LVAX",LEFT(K450,6)="MV15AX",LEFT(K450,4)="CTAX",LEFT(K450,2)="W|"),2*N450*O450,0)</f>
        <v/>
      </c>
      <c r="Z450" s="12" t="inlineStr"/>
      <c r="AA450" s="12">
        <f>N450*O450</f>
        <v/>
      </c>
    </row>
    <row r="451">
      <c r="A451" s="12" t="inlineStr">
        <is>
          <t>A-C-0439</t>
        </is>
      </c>
      <c r="B451" s="12" t="inlineStr">
        <is>
          <t>A</t>
        </is>
      </c>
      <c r="C451" s="12" t="inlineStr">
        <is>
          <t>Power block</t>
        </is>
      </c>
      <c r="D451" s="12" t="inlineStr">
        <is>
          <t>MOV 45: control</t>
        </is>
      </c>
      <c r="E451" s="12" t="inlineStr">
        <is>
          <t>R2C</t>
        </is>
      </c>
      <c r="F451" s="12" t="inlineStr">
        <is>
          <t>R2C: unit / HRSG electrical e-house (32 x 40 ft)</t>
        </is>
      </c>
      <c r="G451" s="12" t="inlineStr">
        <is>
          <t>HRSG-3</t>
        </is>
      </c>
      <c r="H451" s="12" t="inlineStr">
        <is>
          <t>HRSG 3 + SCR (3P reheat, horizontal)</t>
        </is>
      </c>
      <c r="I451" s="12" t="inlineStr">
        <is>
          <t>Control</t>
        </is>
      </c>
      <c r="J451" s="12" t="inlineStr">
        <is>
          <t>Control cable 600 V Type TC-ER, Cu #14 AWG, PVC jacket</t>
        </is>
      </c>
      <c r="K451" s="12" t="inlineStr">
        <is>
          <t>CT|12/C|14</t>
        </is>
      </c>
      <c r="L451" s="12" t="inlineStr">
        <is>
          <t>12/C</t>
        </is>
      </c>
      <c r="M451" s="12" t="inlineStr">
        <is>
          <t>14</t>
        </is>
      </c>
      <c r="N451" s="12" t="n">
        <v>1</v>
      </c>
      <c r="O451" s="12" t="n">
        <v>1</v>
      </c>
      <c r="P451" s="12" t="n"/>
      <c r="Q451" s="12" t="n"/>
      <c r="R451" s="12" t="n"/>
      <c r="S451" s="12" t="inlineStr">
        <is>
          <t>Tray</t>
        </is>
      </c>
      <c r="T451" s="16" t="n">
        <v>0</v>
      </c>
      <c r="U451" s="16" t="n">
        <v>87</v>
      </c>
      <c r="V451" s="16">
        <f>ROUNDUP((T451+U451+2*'Read Me'!$B$13)*(1+'Read Me'!$B$12),-1)</f>
        <v/>
      </c>
      <c r="W451" s="16">
        <f>V451*N451*O451</f>
        <v/>
      </c>
      <c r="X451" s="12">
        <f>IF(LEFT(I451,2)="MV",2*N451*IF(L451="1/C",O451,1),0)</f>
        <v/>
      </c>
      <c r="Y451" s="12">
        <f>IF(OR(LEFT(K451,4)="LVAX",LEFT(K451,6)="MV15AX",LEFT(K451,4)="CTAX",LEFT(K451,2)="W|"),2*N451*O451,0)</f>
        <v/>
      </c>
      <c r="Z451" s="12" t="inlineStr"/>
      <c r="AA451" s="12">
        <f>N451*O451</f>
        <v/>
      </c>
    </row>
    <row r="452">
      <c r="A452" s="12" t="inlineStr">
        <is>
          <t>A-C-0440</t>
        </is>
      </c>
      <c r="B452" s="12" t="inlineStr">
        <is>
          <t>A</t>
        </is>
      </c>
      <c r="C452" s="12" t="inlineStr">
        <is>
          <t>Power block</t>
        </is>
      </c>
      <c r="D452" s="12" t="inlineStr">
        <is>
          <t>Solenoid to JB JB-HRSG-3-SOL01: 10 x 2/C (field cables)</t>
        </is>
      </c>
      <c r="E452" s="12" t="inlineStr">
        <is>
          <t>HRSG-3</t>
        </is>
      </c>
      <c r="F452" s="12" t="inlineStr">
        <is>
          <t>HRSG 3 + SCR (3P reheat, horizontal)</t>
        </is>
      </c>
      <c r="G452" s="12" t="inlineStr">
        <is>
          <t>JB-HRSG-3-SOL01</t>
        </is>
      </c>
      <c r="H452" s="12" t="inlineStr">
        <is>
          <t>HRSG 3 + SCR (3P reheat, horizontal)</t>
        </is>
      </c>
      <c r="I452" s="12" t="inlineStr">
        <is>
          <t>Control</t>
        </is>
      </c>
      <c r="J452" s="12" t="inlineStr">
        <is>
          <t>Control cable 600 V Type TC-ER, Cu #14 AWG, PVC jacket</t>
        </is>
      </c>
      <c r="K452" s="12" t="inlineStr">
        <is>
          <t>CT|2/C|14</t>
        </is>
      </c>
      <c r="L452" s="12" t="inlineStr">
        <is>
          <t>2/C</t>
        </is>
      </c>
      <c r="M452" s="12" t="inlineStr">
        <is>
          <t>14</t>
        </is>
      </c>
      <c r="N452" s="12" t="n">
        <v>10</v>
      </c>
      <c r="O452" s="12" t="n">
        <v>1</v>
      </c>
      <c r="P452" s="12" t="n"/>
      <c r="Q452" s="12" t="n"/>
      <c r="R452" s="12" t="n"/>
      <c r="S452" s="12" t="inlineStr">
        <is>
          <t>Tray / conduit</t>
        </is>
      </c>
      <c r="T452" s="16" t="n">
        <v>180</v>
      </c>
      <c r="U452" s="16" t="n">
        <v>10</v>
      </c>
      <c r="V452" s="16">
        <f>ROUNDUP((T452+U452+2*'Read Me'!$B$13)*(1+'Read Me'!$B$12),-1)</f>
        <v/>
      </c>
      <c r="W452" s="16">
        <f>V452*N452*O452</f>
        <v/>
      </c>
      <c r="X452" s="12">
        <f>IF(LEFT(I452,2)="MV",2*N452*IF(L452="1/C",O452,1),0)</f>
        <v/>
      </c>
      <c r="Y452" s="12">
        <f>IF(OR(LEFT(K452,4)="LVAX",LEFT(K452,6)="MV15AX",LEFT(K452,4)="CTAX",LEFT(K452,2)="W|"),2*N452*O452,0)</f>
        <v/>
      </c>
      <c r="Z452" s="12" t="inlineStr">
        <is>
          <t>device-to-JB field wiring, one cable per device</t>
        </is>
      </c>
      <c r="AA452" s="12">
        <f>N452*O452</f>
        <v/>
      </c>
    </row>
    <row r="453">
      <c r="A453" s="12" t="inlineStr">
        <is>
          <t>A-C-0441</t>
        </is>
      </c>
      <c r="B453" s="12" t="inlineStr">
        <is>
          <t>A</t>
        </is>
      </c>
      <c r="C453" s="12" t="inlineStr">
        <is>
          <t>Power block</t>
        </is>
      </c>
      <c r="D453" s="12" t="inlineStr">
        <is>
          <t>Home run JB-HRSG-3-SOL01 to the control / marshalling room</t>
        </is>
      </c>
      <c r="E453" s="12" t="inlineStr">
        <is>
          <t>R2C</t>
        </is>
      </c>
      <c r="F453" s="12" t="inlineStr">
        <is>
          <t>R2C: unit / HRSG electrical e-house (32 x 40 ft)</t>
        </is>
      </c>
      <c r="G453" s="12" t="inlineStr">
        <is>
          <t>JB-HRSG-3-SOL01</t>
        </is>
      </c>
      <c r="H453" s="12" t="inlineStr">
        <is>
          <t>HRSG 3 + SCR (3P reheat, horizontal)</t>
        </is>
      </c>
      <c r="I453" s="12" t="inlineStr">
        <is>
          <t>Control</t>
        </is>
      </c>
      <c r="J453" s="12" t="inlineStr">
        <is>
          <t>Control cable 600 V Type TC-ER, Cu #14 AWG, PVC jacket</t>
        </is>
      </c>
      <c r="K453" s="12" t="inlineStr">
        <is>
          <t>CT|25/C|14</t>
        </is>
      </c>
      <c r="L453" s="12" t="inlineStr">
        <is>
          <t>25/C</t>
        </is>
      </c>
      <c r="M453" s="12" t="inlineStr">
        <is>
          <t>14</t>
        </is>
      </c>
      <c r="N453" s="12" t="n">
        <v>1</v>
      </c>
      <c r="O453" s="12" t="n">
        <v>1</v>
      </c>
      <c r="P453" s="12" t="n"/>
      <c r="Q453" s="12" t="n"/>
      <c r="R453" s="12" t="n"/>
      <c r="S453" s="12" t="inlineStr">
        <is>
          <t>Tray</t>
        </is>
      </c>
      <c r="T453" s="16" t="n">
        <v>0</v>
      </c>
      <c r="U453" s="16" t="n">
        <v>87</v>
      </c>
      <c r="V453" s="16">
        <f>ROUNDUP((T453+U453+2*'Read Me'!$B$13)*(1+'Read Me'!$B$12),-1)</f>
        <v/>
      </c>
      <c r="W453" s="16">
        <f>V453*N453*O453</f>
        <v/>
      </c>
      <c r="X453" s="12">
        <f>IF(LEFT(I453,2)="MV",2*N453*IF(L453="1/C",O453,1),0)</f>
        <v/>
      </c>
      <c r="Y453" s="12">
        <f>IF(OR(LEFT(K453,4)="LVAX",LEFT(K453,6)="MV15AX",LEFT(K453,4)="CTAX",LEFT(K453,2)="W|"),2*N453*O453,0)</f>
        <v/>
      </c>
      <c r="Z453" s="12" t="inlineStr"/>
      <c r="AA453" s="12">
        <f>N453*O453</f>
        <v/>
      </c>
    </row>
    <row r="454">
      <c r="A454" s="12" t="inlineStr">
        <is>
          <t>A-C-0442</t>
        </is>
      </c>
      <c r="B454" s="12" t="inlineStr">
        <is>
          <t>A</t>
        </is>
      </c>
      <c r="C454" s="12" t="inlineStr">
        <is>
          <t>Power block</t>
        </is>
      </c>
      <c r="D454" s="12" t="inlineStr">
        <is>
          <t>Solenoid to JB JB-HRSG-3-SOL02: 10 x 2/C (field cables)</t>
        </is>
      </c>
      <c r="E454" s="12" t="inlineStr">
        <is>
          <t>HRSG-3</t>
        </is>
      </c>
      <c r="F454" s="12" t="inlineStr">
        <is>
          <t>HRSG 3 + SCR (3P reheat, horizontal)</t>
        </is>
      </c>
      <c r="G454" s="12" t="inlineStr">
        <is>
          <t>JB-HRSG-3-SOL02</t>
        </is>
      </c>
      <c r="H454" s="12" t="inlineStr">
        <is>
          <t>HRSG 3 + SCR (3P reheat, horizontal)</t>
        </is>
      </c>
      <c r="I454" s="12" t="inlineStr">
        <is>
          <t>Control</t>
        </is>
      </c>
      <c r="J454" s="12" t="inlineStr">
        <is>
          <t>Control cable 600 V Type TC-ER, Cu #14 AWG, PVC jacket</t>
        </is>
      </c>
      <c r="K454" s="12" t="inlineStr">
        <is>
          <t>CT|2/C|14</t>
        </is>
      </c>
      <c r="L454" s="12" t="inlineStr">
        <is>
          <t>2/C</t>
        </is>
      </c>
      <c r="M454" s="12" t="inlineStr">
        <is>
          <t>14</t>
        </is>
      </c>
      <c r="N454" s="12" t="n">
        <v>10</v>
      </c>
      <c r="O454" s="12" t="n">
        <v>1</v>
      </c>
      <c r="P454" s="12" t="n"/>
      <c r="Q454" s="12" t="n"/>
      <c r="R454" s="12" t="n"/>
      <c r="S454" s="12" t="inlineStr">
        <is>
          <t>Tray / conduit</t>
        </is>
      </c>
      <c r="T454" s="16" t="n">
        <v>180</v>
      </c>
      <c r="U454" s="16" t="n">
        <v>10</v>
      </c>
      <c r="V454" s="16">
        <f>ROUNDUP((T454+U454+2*'Read Me'!$B$13)*(1+'Read Me'!$B$12),-1)</f>
        <v/>
      </c>
      <c r="W454" s="16">
        <f>V454*N454*O454</f>
        <v/>
      </c>
      <c r="X454" s="12">
        <f>IF(LEFT(I454,2)="MV",2*N454*IF(L454="1/C",O454,1),0)</f>
        <v/>
      </c>
      <c r="Y454" s="12">
        <f>IF(OR(LEFT(K454,4)="LVAX",LEFT(K454,6)="MV15AX",LEFT(K454,4)="CTAX",LEFT(K454,2)="W|"),2*N454*O454,0)</f>
        <v/>
      </c>
      <c r="Z454" s="12" t="inlineStr">
        <is>
          <t>device-to-JB field wiring, one cable per device</t>
        </is>
      </c>
      <c r="AA454" s="12">
        <f>N454*O454</f>
        <v/>
      </c>
    </row>
    <row r="455">
      <c r="A455" s="12" t="inlineStr">
        <is>
          <t>A-C-0443</t>
        </is>
      </c>
      <c r="B455" s="12" t="inlineStr">
        <is>
          <t>A</t>
        </is>
      </c>
      <c r="C455" s="12" t="inlineStr">
        <is>
          <t>Power block</t>
        </is>
      </c>
      <c r="D455" s="12" t="inlineStr">
        <is>
          <t>Home run JB-HRSG-3-SOL02 to the control / marshalling room</t>
        </is>
      </c>
      <c r="E455" s="12" t="inlineStr">
        <is>
          <t>R2C</t>
        </is>
      </c>
      <c r="F455" s="12" t="inlineStr">
        <is>
          <t>R2C: unit / HRSG electrical e-house (32 x 40 ft)</t>
        </is>
      </c>
      <c r="G455" s="12" t="inlineStr">
        <is>
          <t>JB-HRSG-3-SOL02</t>
        </is>
      </c>
      <c r="H455" s="12" t="inlineStr">
        <is>
          <t>HRSG 3 + SCR (3P reheat, horizontal)</t>
        </is>
      </c>
      <c r="I455" s="12" t="inlineStr">
        <is>
          <t>Control</t>
        </is>
      </c>
      <c r="J455" s="12" t="inlineStr">
        <is>
          <t>Control cable 600 V Type TC-ER, Cu #14 AWG, PVC jacket</t>
        </is>
      </c>
      <c r="K455" s="12" t="inlineStr">
        <is>
          <t>CT|25/C|14</t>
        </is>
      </c>
      <c r="L455" s="12" t="inlineStr">
        <is>
          <t>25/C</t>
        </is>
      </c>
      <c r="M455" s="12" t="inlineStr">
        <is>
          <t>14</t>
        </is>
      </c>
      <c r="N455" s="12" t="n">
        <v>1</v>
      </c>
      <c r="O455" s="12" t="n">
        <v>1</v>
      </c>
      <c r="P455" s="12" t="n"/>
      <c r="Q455" s="12" t="n"/>
      <c r="R455" s="12" t="n"/>
      <c r="S455" s="12" t="inlineStr">
        <is>
          <t>Tray</t>
        </is>
      </c>
      <c r="T455" s="16" t="n">
        <v>0</v>
      </c>
      <c r="U455" s="16" t="n">
        <v>87</v>
      </c>
      <c r="V455" s="16">
        <f>ROUNDUP((T455+U455+2*'Read Me'!$B$13)*(1+'Read Me'!$B$12),-1)</f>
        <v/>
      </c>
      <c r="W455" s="16">
        <f>V455*N455*O455</f>
        <v/>
      </c>
      <c r="X455" s="12">
        <f>IF(LEFT(I455,2)="MV",2*N455*IF(L455="1/C",O455,1),0)</f>
        <v/>
      </c>
      <c r="Y455" s="12">
        <f>IF(OR(LEFT(K455,4)="LVAX",LEFT(K455,6)="MV15AX",LEFT(K455,4)="CTAX",LEFT(K455,2)="W|"),2*N455*O455,0)</f>
        <v/>
      </c>
      <c r="Z455" s="12" t="inlineStr"/>
      <c r="AA455" s="12">
        <f>N455*O455</f>
        <v/>
      </c>
    </row>
    <row r="456">
      <c r="A456" s="12" t="inlineStr">
        <is>
          <t>A-C-0444</t>
        </is>
      </c>
      <c r="B456" s="12" t="inlineStr">
        <is>
          <t>A</t>
        </is>
      </c>
      <c r="C456" s="12" t="inlineStr">
        <is>
          <t>Power block</t>
        </is>
      </c>
      <c r="D456" s="12" t="inlineStr">
        <is>
          <t>MOV 1: control</t>
        </is>
      </c>
      <c r="E456" s="12" t="inlineStr">
        <is>
          <t>R2C</t>
        </is>
      </c>
      <c r="F456" s="12" t="inlineStr">
        <is>
          <t>R2C: unit / HRSG electrical e-house (32 x 40 ft)</t>
        </is>
      </c>
      <c r="G456" s="12" t="inlineStr"/>
      <c r="H456" s="12" t="inlineStr">
        <is>
          <t>HRSG 3 blowdown tank (continuous / intermittent)</t>
        </is>
      </c>
      <c r="I456" s="12" t="inlineStr">
        <is>
          <t>Control</t>
        </is>
      </c>
      <c r="J456" s="12" t="inlineStr">
        <is>
          <t>Control cable 600 V Type TC-ER, Cu #14 AWG, PVC jacket</t>
        </is>
      </c>
      <c r="K456" s="12" t="inlineStr">
        <is>
          <t>CT|12/C|14</t>
        </is>
      </c>
      <c r="L456" s="12" t="inlineStr">
        <is>
          <t>12/C</t>
        </is>
      </c>
      <c r="M456" s="12" t="inlineStr">
        <is>
          <t>14</t>
        </is>
      </c>
      <c r="N456" s="12" t="n">
        <v>1</v>
      </c>
      <c r="O456" s="12" t="n">
        <v>1</v>
      </c>
      <c r="P456" s="12" t="n"/>
      <c r="Q456" s="12" t="n"/>
      <c r="R456" s="12" t="n"/>
      <c r="S456" s="12" t="inlineStr">
        <is>
          <t>Tray</t>
        </is>
      </c>
      <c r="T456" s="16" t="n">
        <v>38</v>
      </c>
      <c r="U456" s="16" t="n">
        <v>86</v>
      </c>
      <c r="V456" s="16">
        <f>ROUNDUP((T456+U456+2*'Read Me'!$B$13)*(1+'Read Me'!$B$12),-1)</f>
        <v/>
      </c>
      <c r="W456" s="16">
        <f>V456*N456*O456</f>
        <v/>
      </c>
      <c r="X456" s="12">
        <f>IF(LEFT(I456,2)="MV",2*N456*IF(L456="1/C",O456,1),0)</f>
        <v/>
      </c>
      <c r="Y456" s="12">
        <f>IF(OR(LEFT(K456,4)="LVAX",LEFT(K456,6)="MV15AX",LEFT(K456,4)="CTAX",LEFT(K456,2)="W|"),2*N456*O456,0)</f>
        <v/>
      </c>
      <c r="Z456" s="12" t="inlineStr"/>
      <c r="AA456" s="12">
        <f>N456*O456</f>
        <v/>
      </c>
    </row>
    <row r="457">
      <c r="A457" s="12" t="inlineStr">
        <is>
          <t>A-C-0445</t>
        </is>
      </c>
      <c r="B457" s="12" t="inlineStr">
        <is>
          <t>A</t>
        </is>
      </c>
      <c r="C457" s="12" t="inlineStr">
        <is>
          <t>Power block</t>
        </is>
      </c>
      <c r="D457" s="12" t="inlineStr">
        <is>
          <t>MOV 2: control</t>
        </is>
      </c>
      <c r="E457" s="12" t="inlineStr">
        <is>
          <t>R2C</t>
        </is>
      </c>
      <c r="F457" s="12" t="inlineStr">
        <is>
          <t>R2C: unit / HRSG electrical e-house (32 x 40 ft)</t>
        </is>
      </c>
      <c r="G457" s="12" t="inlineStr"/>
      <c r="H457" s="12" t="inlineStr">
        <is>
          <t>HRSG 3 blowdown tank (continuous / intermittent)</t>
        </is>
      </c>
      <c r="I457" s="12" t="inlineStr">
        <is>
          <t>Control</t>
        </is>
      </c>
      <c r="J457" s="12" t="inlineStr">
        <is>
          <t>Control cable 600 V Type TC-ER, Cu #14 AWG, PVC jacket</t>
        </is>
      </c>
      <c r="K457" s="12" t="inlineStr">
        <is>
          <t>CT|12/C|14</t>
        </is>
      </c>
      <c r="L457" s="12" t="inlineStr">
        <is>
          <t>12/C</t>
        </is>
      </c>
      <c r="M457" s="12" t="inlineStr">
        <is>
          <t>14</t>
        </is>
      </c>
      <c r="N457" s="12" t="n">
        <v>1</v>
      </c>
      <c r="O457" s="12" t="n">
        <v>1</v>
      </c>
      <c r="P457" s="12" t="n"/>
      <c r="Q457" s="12" t="n"/>
      <c r="R457" s="12" t="n"/>
      <c r="S457" s="12" t="inlineStr">
        <is>
          <t>Tray</t>
        </is>
      </c>
      <c r="T457" s="16" t="n">
        <v>38</v>
      </c>
      <c r="U457" s="16" t="n">
        <v>86</v>
      </c>
      <c r="V457" s="16">
        <f>ROUNDUP((T457+U457+2*'Read Me'!$B$13)*(1+'Read Me'!$B$12),-1)</f>
        <v/>
      </c>
      <c r="W457" s="16">
        <f>V457*N457*O457</f>
        <v/>
      </c>
      <c r="X457" s="12">
        <f>IF(LEFT(I457,2)="MV",2*N457*IF(L457="1/C",O457,1),0)</f>
        <v/>
      </c>
      <c r="Y457" s="12">
        <f>IF(OR(LEFT(K457,4)="LVAX",LEFT(K457,6)="MV15AX",LEFT(K457,4)="CTAX",LEFT(K457,2)="W|"),2*N457*O457,0)</f>
        <v/>
      </c>
      <c r="Z457" s="12" t="inlineStr"/>
      <c r="AA457" s="12">
        <f>N457*O457</f>
        <v/>
      </c>
    </row>
    <row r="458">
      <c r="A458" s="12" t="inlineStr">
        <is>
          <t>A-C-0446</t>
        </is>
      </c>
      <c r="B458" s="12" t="inlineStr">
        <is>
          <t>A</t>
        </is>
      </c>
      <c r="C458" s="12" t="inlineStr">
        <is>
          <t>Power block</t>
        </is>
      </c>
      <c r="D458" s="12" t="inlineStr">
        <is>
          <t>MOV 3: control</t>
        </is>
      </c>
      <c r="E458" s="12" t="inlineStr">
        <is>
          <t>R2C</t>
        </is>
      </c>
      <c r="F458" s="12" t="inlineStr">
        <is>
          <t>R2C: unit / HRSG electrical e-house (32 x 40 ft)</t>
        </is>
      </c>
      <c r="G458" s="12" t="inlineStr"/>
      <c r="H458" s="12" t="inlineStr">
        <is>
          <t>HRSG 3 blowdown tank (continuous / intermittent)</t>
        </is>
      </c>
      <c r="I458" s="12" t="inlineStr">
        <is>
          <t>Control</t>
        </is>
      </c>
      <c r="J458" s="12" t="inlineStr">
        <is>
          <t>Control cable 600 V Type TC-ER, Cu #14 AWG, PVC jacket</t>
        </is>
      </c>
      <c r="K458" s="12" t="inlineStr">
        <is>
          <t>CT|12/C|14</t>
        </is>
      </c>
      <c r="L458" s="12" t="inlineStr">
        <is>
          <t>12/C</t>
        </is>
      </c>
      <c r="M458" s="12" t="inlineStr">
        <is>
          <t>14</t>
        </is>
      </c>
      <c r="N458" s="12" t="n">
        <v>1</v>
      </c>
      <c r="O458" s="12" t="n">
        <v>1</v>
      </c>
      <c r="P458" s="12" t="n"/>
      <c r="Q458" s="12" t="n"/>
      <c r="R458" s="12" t="n"/>
      <c r="S458" s="12" t="inlineStr">
        <is>
          <t>Tray</t>
        </is>
      </c>
      <c r="T458" s="16" t="n">
        <v>38</v>
      </c>
      <c r="U458" s="16" t="n">
        <v>86</v>
      </c>
      <c r="V458" s="16">
        <f>ROUNDUP((T458+U458+2*'Read Me'!$B$13)*(1+'Read Me'!$B$12),-1)</f>
        <v/>
      </c>
      <c r="W458" s="16">
        <f>V458*N458*O458</f>
        <v/>
      </c>
      <c r="X458" s="12">
        <f>IF(LEFT(I458,2)="MV",2*N458*IF(L458="1/C",O458,1),0)</f>
        <v/>
      </c>
      <c r="Y458" s="12">
        <f>IF(OR(LEFT(K458,4)="LVAX",LEFT(K458,6)="MV15AX",LEFT(K458,4)="CTAX",LEFT(K458,2)="W|"),2*N458*O458,0)</f>
        <v/>
      </c>
      <c r="Z458" s="12" t="inlineStr"/>
      <c r="AA458" s="12">
        <f>N458*O458</f>
        <v/>
      </c>
    </row>
    <row r="459">
      <c r="A459" s="12" t="inlineStr">
        <is>
          <t>A-C-0447</t>
        </is>
      </c>
      <c r="B459" s="12" t="inlineStr">
        <is>
          <t>A</t>
        </is>
      </c>
      <c r="C459" s="12" t="inlineStr">
        <is>
          <t>Power block</t>
        </is>
      </c>
      <c r="D459" s="12" t="inlineStr">
        <is>
          <t>MOV 4: control</t>
        </is>
      </c>
      <c r="E459" s="12" t="inlineStr">
        <is>
          <t>R2C</t>
        </is>
      </c>
      <c r="F459" s="12" t="inlineStr">
        <is>
          <t>R2C: unit / HRSG electrical e-house (32 x 40 ft)</t>
        </is>
      </c>
      <c r="G459" s="12" t="inlineStr"/>
      <c r="H459" s="12" t="inlineStr">
        <is>
          <t>HRSG 3 blowdown tank (continuous / intermittent)</t>
        </is>
      </c>
      <c r="I459" s="12" t="inlineStr">
        <is>
          <t>Control</t>
        </is>
      </c>
      <c r="J459" s="12" t="inlineStr">
        <is>
          <t>Control cable 600 V Type TC-ER, Cu #14 AWG, PVC jacket</t>
        </is>
      </c>
      <c r="K459" s="12" t="inlineStr">
        <is>
          <t>CT|12/C|14</t>
        </is>
      </c>
      <c r="L459" s="12" t="inlineStr">
        <is>
          <t>12/C</t>
        </is>
      </c>
      <c r="M459" s="12" t="inlineStr">
        <is>
          <t>14</t>
        </is>
      </c>
      <c r="N459" s="12" t="n">
        <v>1</v>
      </c>
      <c r="O459" s="12" t="n">
        <v>1</v>
      </c>
      <c r="P459" s="12" t="n"/>
      <c r="Q459" s="12" t="n"/>
      <c r="R459" s="12" t="n"/>
      <c r="S459" s="12" t="inlineStr">
        <is>
          <t>Tray</t>
        </is>
      </c>
      <c r="T459" s="16" t="n">
        <v>38</v>
      </c>
      <c r="U459" s="16" t="n">
        <v>86</v>
      </c>
      <c r="V459" s="16">
        <f>ROUNDUP((T459+U459+2*'Read Me'!$B$13)*(1+'Read Me'!$B$12),-1)</f>
        <v/>
      </c>
      <c r="W459" s="16">
        <f>V459*N459*O459</f>
        <v/>
      </c>
      <c r="X459" s="12">
        <f>IF(LEFT(I459,2)="MV",2*N459*IF(L459="1/C",O459,1),0)</f>
        <v/>
      </c>
      <c r="Y459" s="12">
        <f>IF(OR(LEFT(K459,4)="LVAX",LEFT(K459,6)="MV15AX",LEFT(K459,4)="CTAX",LEFT(K459,2)="W|"),2*N459*O459,0)</f>
        <v/>
      </c>
      <c r="Z459" s="12" t="inlineStr"/>
      <c r="AA459" s="12">
        <f>N459*O459</f>
        <v/>
      </c>
    </row>
    <row r="460">
      <c r="A460" s="12" t="inlineStr">
        <is>
          <t>A-C-0448</t>
        </is>
      </c>
      <c r="B460" s="12" t="inlineStr">
        <is>
          <t>A</t>
        </is>
      </c>
      <c r="C460" s="12" t="inlineStr">
        <is>
          <t>Power block</t>
        </is>
      </c>
      <c r="D460" s="12" t="inlineStr">
        <is>
          <t>Motor 1 of 6: control / local station</t>
        </is>
      </c>
      <c r="E460" s="12" t="inlineStr">
        <is>
          <t>R2C</t>
        </is>
      </c>
      <c r="F460" s="12" t="inlineStr">
        <is>
          <t>R2C: unit / HRSG electrical e-house (32 x 40 ft)</t>
        </is>
      </c>
      <c r="G460" s="12" t="inlineStr"/>
      <c r="H460" s="12" t="inlineStr">
        <is>
          <t>HRSG 3 chemical feed skid (phosphate / amine)</t>
        </is>
      </c>
      <c r="I460" s="12" t="inlineStr">
        <is>
          <t>Control</t>
        </is>
      </c>
      <c r="J460" s="12" t="inlineStr">
        <is>
          <t>Control cable 600 V Type TC-ER, Cu #14 AWG, PVC jacket</t>
        </is>
      </c>
      <c r="K460" s="12" t="inlineStr">
        <is>
          <t>CT|7/C|14</t>
        </is>
      </c>
      <c r="L460" s="12" t="inlineStr">
        <is>
          <t>7/C</t>
        </is>
      </c>
      <c r="M460" s="12" t="inlineStr">
        <is>
          <t>14</t>
        </is>
      </c>
      <c r="N460" s="12" t="n">
        <v>1</v>
      </c>
      <c r="O460" s="12" t="n">
        <v>1</v>
      </c>
      <c r="P460" s="12" t="n"/>
      <c r="Q460" s="12" t="n"/>
      <c r="R460" s="12" t="n"/>
      <c r="S460" s="12" t="inlineStr">
        <is>
          <t>Tray</t>
        </is>
      </c>
      <c r="T460" s="16" t="n">
        <v>404</v>
      </c>
      <c r="U460" s="16" t="n">
        <v>108</v>
      </c>
      <c r="V460" s="16">
        <f>ROUNDUP((T460+U460+2*'Read Me'!$B$13)*(1+'Read Me'!$B$12),-1)</f>
        <v/>
      </c>
      <c r="W460" s="16">
        <f>V460*N460*O460</f>
        <v/>
      </c>
      <c r="X460" s="12">
        <f>IF(LEFT(I460,2)="MV",2*N460*IF(L460="1/C",O460,1),0)</f>
        <v/>
      </c>
      <c r="Y460" s="12">
        <f>IF(OR(LEFT(K460,4)="LVAX",LEFT(K460,6)="MV15AX",LEFT(K460,4)="CTAX",LEFT(K460,2)="W|"),2*N460*O460,0)</f>
        <v/>
      </c>
      <c r="Z460" s="12" t="inlineStr"/>
      <c r="AA460" s="12">
        <f>N460*O460</f>
        <v/>
      </c>
    </row>
    <row r="461">
      <c r="A461" s="12" t="inlineStr">
        <is>
          <t>A-C-0449</t>
        </is>
      </c>
      <c r="B461" s="12" t="inlineStr">
        <is>
          <t>A</t>
        </is>
      </c>
      <c r="C461" s="12" t="inlineStr">
        <is>
          <t>Power block</t>
        </is>
      </c>
      <c r="D461" s="12" t="inlineStr">
        <is>
          <t>Motor 2 of 6: control / local station</t>
        </is>
      </c>
      <c r="E461" s="12" t="inlineStr">
        <is>
          <t>R2C</t>
        </is>
      </c>
      <c r="F461" s="12" t="inlineStr">
        <is>
          <t>R2C: unit / HRSG electrical e-house (32 x 40 ft)</t>
        </is>
      </c>
      <c r="G461" s="12" t="inlineStr"/>
      <c r="H461" s="12" t="inlineStr">
        <is>
          <t>HRSG 3 chemical feed skid (phosphate / amine)</t>
        </is>
      </c>
      <c r="I461" s="12" t="inlineStr">
        <is>
          <t>Control</t>
        </is>
      </c>
      <c r="J461" s="12" t="inlineStr">
        <is>
          <t>Control cable 600 V Type TC-ER, Cu #14 AWG, PVC jacket</t>
        </is>
      </c>
      <c r="K461" s="12" t="inlineStr">
        <is>
          <t>CT|7/C|14</t>
        </is>
      </c>
      <c r="L461" s="12" t="inlineStr">
        <is>
          <t>7/C</t>
        </is>
      </c>
      <c r="M461" s="12" t="inlineStr">
        <is>
          <t>14</t>
        </is>
      </c>
      <c r="N461" s="12" t="n">
        <v>1</v>
      </c>
      <c r="O461" s="12" t="n">
        <v>1</v>
      </c>
      <c r="P461" s="12" t="n"/>
      <c r="Q461" s="12" t="n"/>
      <c r="R461" s="12" t="n"/>
      <c r="S461" s="12" t="inlineStr">
        <is>
          <t>Tray</t>
        </is>
      </c>
      <c r="T461" s="16" t="n">
        <v>404</v>
      </c>
      <c r="U461" s="16" t="n">
        <v>108</v>
      </c>
      <c r="V461" s="16">
        <f>ROUNDUP((T461+U461+2*'Read Me'!$B$13)*(1+'Read Me'!$B$12),-1)</f>
        <v/>
      </c>
      <c r="W461" s="16">
        <f>V461*N461*O461</f>
        <v/>
      </c>
      <c r="X461" s="12">
        <f>IF(LEFT(I461,2)="MV",2*N461*IF(L461="1/C",O461,1),0)</f>
        <v/>
      </c>
      <c r="Y461" s="12">
        <f>IF(OR(LEFT(K461,4)="LVAX",LEFT(K461,6)="MV15AX",LEFT(K461,4)="CTAX",LEFT(K461,2)="W|"),2*N461*O461,0)</f>
        <v/>
      </c>
      <c r="Z461" s="12" t="inlineStr"/>
      <c r="AA461" s="12">
        <f>N461*O461</f>
        <v/>
      </c>
    </row>
    <row r="462">
      <c r="A462" s="12" t="inlineStr">
        <is>
          <t>A-C-0450</t>
        </is>
      </c>
      <c r="B462" s="12" t="inlineStr">
        <is>
          <t>A</t>
        </is>
      </c>
      <c r="C462" s="12" t="inlineStr">
        <is>
          <t>Power block</t>
        </is>
      </c>
      <c r="D462" s="12" t="inlineStr">
        <is>
          <t>Motor 3 of 6: control / local station</t>
        </is>
      </c>
      <c r="E462" s="12" t="inlineStr">
        <is>
          <t>R2C</t>
        </is>
      </c>
      <c r="F462" s="12" t="inlineStr">
        <is>
          <t>R2C: unit / HRSG electrical e-house (32 x 40 ft)</t>
        </is>
      </c>
      <c r="G462" s="12" t="inlineStr"/>
      <c r="H462" s="12" t="inlineStr">
        <is>
          <t>HRSG 3 chemical feed skid (phosphate / amine)</t>
        </is>
      </c>
      <c r="I462" s="12" t="inlineStr">
        <is>
          <t>Control</t>
        </is>
      </c>
      <c r="J462" s="12" t="inlineStr">
        <is>
          <t>Control cable 600 V Type TC-ER, Cu #14 AWG, PVC jacket</t>
        </is>
      </c>
      <c r="K462" s="12" t="inlineStr">
        <is>
          <t>CT|7/C|14</t>
        </is>
      </c>
      <c r="L462" s="12" t="inlineStr">
        <is>
          <t>7/C</t>
        </is>
      </c>
      <c r="M462" s="12" t="inlineStr">
        <is>
          <t>14</t>
        </is>
      </c>
      <c r="N462" s="12" t="n">
        <v>1</v>
      </c>
      <c r="O462" s="12" t="n">
        <v>1</v>
      </c>
      <c r="P462" s="12" t="n"/>
      <c r="Q462" s="12" t="n"/>
      <c r="R462" s="12" t="n"/>
      <c r="S462" s="12" t="inlineStr">
        <is>
          <t>Tray</t>
        </is>
      </c>
      <c r="T462" s="16" t="n">
        <v>404</v>
      </c>
      <c r="U462" s="16" t="n">
        <v>108</v>
      </c>
      <c r="V462" s="16">
        <f>ROUNDUP((T462+U462+2*'Read Me'!$B$13)*(1+'Read Me'!$B$12),-1)</f>
        <v/>
      </c>
      <c r="W462" s="16">
        <f>V462*N462*O462</f>
        <v/>
      </c>
      <c r="X462" s="12">
        <f>IF(LEFT(I462,2)="MV",2*N462*IF(L462="1/C",O462,1),0)</f>
        <v/>
      </c>
      <c r="Y462" s="12">
        <f>IF(OR(LEFT(K462,4)="LVAX",LEFT(K462,6)="MV15AX",LEFT(K462,4)="CTAX",LEFT(K462,2)="W|"),2*N462*O462,0)</f>
        <v/>
      </c>
      <c r="Z462" s="12" t="inlineStr"/>
      <c r="AA462" s="12">
        <f>N462*O462</f>
        <v/>
      </c>
    </row>
    <row r="463">
      <c r="A463" s="12" t="inlineStr">
        <is>
          <t>A-C-0451</t>
        </is>
      </c>
      <c r="B463" s="12" t="inlineStr">
        <is>
          <t>A</t>
        </is>
      </c>
      <c r="C463" s="12" t="inlineStr">
        <is>
          <t>Power block</t>
        </is>
      </c>
      <c r="D463" s="12" t="inlineStr">
        <is>
          <t>Motor 4 of 6: control / local station</t>
        </is>
      </c>
      <c r="E463" s="12" t="inlineStr">
        <is>
          <t>R2C</t>
        </is>
      </c>
      <c r="F463" s="12" t="inlineStr">
        <is>
          <t>R2C: unit / HRSG electrical e-house (32 x 40 ft)</t>
        </is>
      </c>
      <c r="G463" s="12" t="inlineStr"/>
      <c r="H463" s="12" t="inlineStr">
        <is>
          <t>HRSG 3 chemical feed skid (phosphate / amine)</t>
        </is>
      </c>
      <c r="I463" s="12" t="inlineStr">
        <is>
          <t>Control</t>
        </is>
      </c>
      <c r="J463" s="12" t="inlineStr">
        <is>
          <t>Control cable 600 V Type TC-ER, Cu #14 AWG, PVC jacket</t>
        </is>
      </c>
      <c r="K463" s="12" t="inlineStr">
        <is>
          <t>CT|7/C|14</t>
        </is>
      </c>
      <c r="L463" s="12" t="inlineStr">
        <is>
          <t>7/C</t>
        </is>
      </c>
      <c r="M463" s="12" t="inlineStr">
        <is>
          <t>14</t>
        </is>
      </c>
      <c r="N463" s="12" t="n">
        <v>1</v>
      </c>
      <c r="O463" s="12" t="n">
        <v>1</v>
      </c>
      <c r="P463" s="12" t="n"/>
      <c r="Q463" s="12" t="n"/>
      <c r="R463" s="12" t="n"/>
      <c r="S463" s="12" t="inlineStr">
        <is>
          <t>Tray</t>
        </is>
      </c>
      <c r="T463" s="16" t="n">
        <v>404</v>
      </c>
      <c r="U463" s="16" t="n">
        <v>108</v>
      </c>
      <c r="V463" s="16">
        <f>ROUNDUP((T463+U463+2*'Read Me'!$B$13)*(1+'Read Me'!$B$12),-1)</f>
        <v/>
      </c>
      <c r="W463" s="16">
        <f>V463*N463*O463</f>
        <v/>
      </c>
      <c r="X463" s="12">
        <f>IF(LEFT(I463,2)="MV",2*N463*IF(L463="1/C",O463,1),0)</f>
        <v/>
      </c>
      <c r="Y463" s="12">
        <f>IF(OR(LEFT(K463,4)="LVAX",LEFT(K463,6)="MV15AX",LEFT(K463,4)="CTAX",LEFT(K463,2)="W|"),2*N463*O463,0)</f>
        <v/>
      </c>
      <c r="Z463" s="12" t="inlineStr"/>
      <c r="AA463" s="12">
        <f>N463*O463</f>
        <v/>
      </c>
    </row>
    <row r="464">
      <c r="A464" s="12" t="inlineStr">
        <is>
          <t>A-C-0452</t>
        </is>
      </c>
      <c r="B464" s="12" t="inlineStr">
        <is>
          <t>A</t>
        </is>
      </c>
      <c r="C464" s="12" t="inlineStr">
        <is>
          <t>Power block</t>
        </is>
      </c>
      <c r="D464" s="12" t="inlineStr">
        <is>
          <t>Motor 5 of 6: control / local station</t>
        </is>
      </c>
      <c r="E464" s="12" t="inlineStr">
        <is>
          <t>R2C</t>
        </is>
      </c>
      <c r="F464" s="12" t="inlineStr">
        <is>
          <t>R2C: unit / HRSG electrical e-house (32 x 40 ft)</t>
        </is>
      </c>
      <c r="G464" s="12" t="inlineStr"/>
      <c r="H464" s="12" t="inlineStr">
        <is>
          <t>HRSG 3 chemical feed skid (phosphate / amine)</t>
        </is>
      </c>
      <c r="I464" s="12" t="inlineStr">
        <is>
          <t>Control</t>
        </is>
      </c>
      <c r="J464" s="12" t="inlineStr">
        <is>
          <t>Control cable 600 V Type TC-ER, Cu #14 AWG, PVC jacket</t>
        </is>
      </c>
      <c r="K464" s="12" t="inlineStr">
        <is>
          <t>CT|7/C|14</t>
        </is>
      </c>
      <c r="L464" s="12" t="inlineStr">
        <is>
          <t>7/C</t>
        </is>
      </c>
      <c r="M464" s="12" t="inlineStr">
        <is>
          <t>14</t>
        </is>
      </c>
      <c r="N464" s="12" t="n">
        <v>1</v>
      </c>
      <c r="O464" s="12" t="n">
        <v>1</v>
      </c>
      <c r="P464" s="12" t="n"/>
      <c r="Q464" s="12" t="n"/>
      <c r="R464" s="12" t="n"/>
      <c r="S464" s="12" t="inlineStr">
        <is>
          <t>Tray</t>
        </is>
      </c>
      <c r="T464" s="16" t="n">
        <v>404</v>
      </c>
      <c r="U464" s="16" t="n">
        <v>108</v>
      </c>
      <c r="V464" s="16">
        <f>ROUNDUP((T464+U464+2*'Read Me'!$B$13)*(1+'Read Me'!$B$12),-1)</f>
        <v/>
      </c>
      <c r="W464" s="16">
        <f>V464*N464*O464</f>
        <v/>
      </c>
      <c r="X464" s="12">
        <f>IF(LEFT(I464,2)="MV",2*N464*IF(L464="1/C",O464,1),0)</f>
        <v/>
      </c>
      <c r="Y464" s="12">
        <f>IF(OR(LEFT(K464,4)="LVAX",LEFT(K464,6)="MV15AX",LEFT(K464,4)="CTAX",LEFT(K464,2)="W|"),2*N464*O464,0)</f>
        <v/>
      </c>
      <c r="Z464" s="12" t="inlineStr"/>
      <c r="AA464" s="12">
        <f>N464*O464</f>
        <v/>
      </c>
    </row>
    <row r="465">
      <c r="A465" s="12" t="inlineStr">
        <is>
          <t>A-C-0453</t>
        </is>
      </c>
      <c r="B465" s="12" t="inlineStr">
        <is>
          <t>A</t>
        </is>
      </c>
      <c r="C465" s="12" t="inlineStr">
        <is>
          <t>Power block</t>
        </is>
      </c>
      <c r="D465" s="12" t="inlineStr">
        <is>
          <t>Motor 6 of 6: control / local station</t>
        </is>
      </c>
      <c r="E465" s="12" t="inlineStr">
        <is>
          <t>R2C</t>
        </is>
      </c>
      <c r="F465" s="12" t="inlineStr">
        <is>
          <t>R2C: unit / HRSG electrical e-house (32 x 40 ft)</t>
        </is>
      </c>
      <c r="G465" s="12" t="inlineStr"/>
      <c r="H465" s="12" t="inlineStr">
        <is>
          <t>HRSG 3 chemical feed skid (phosphate / amine)</t>
        </is>
      </c>
      <c r="I465" s="12" t="inlineStr">
        <is>
          <t>Control</t>
        </is>
      </c>
      <c r="J465" s="12" t="inlineStr">
        <is>
          <t>Control cable 600 V Type TC-ER, Cu #14 AWG, PVC jacket</t>
        </is>
      </c>
      <c r="K465" s="12" t="inlineStr">
        <is>
          <t>CT|7/C|14</t>
        </is>
      </c>
      <c r="L465" s="12" t="inlineStr">
        <is>
          <t>7/C</t>
        </is>
      </c>
      <c r="M465" s="12" t="inlineStr">
        <is>
          <t>14</t>
        </is>
      </c>
      <c r="N465" s="12" t="n">
        <v>1</v>
      </c>
      <c r="O465" s="12" t="n">
        <v>1</v>
      </c>
      <c r="P465" s="12" t="n"/>
      <c r="Q465" s="12" t="n"/>
      <c r="R465" s="12" t="n"/>
      <c r="S465" s="12" t="inlineStr">
        <is>
          <t>Tray</t>
        </is>
      </c>
      <c r="T465" s="16" t="n">
        <v>404</v>
      </c>
      <c r="U465" s="16" t="n">
        <v>108</v>
      </c>
      <c r="V465" s="16">
        <f>ROUNDUP((T465+U465+2*'Read Me'!$B$13)*(1+'Read Me'!$B$12),-1)</f>
        <v/>
      </c>
      <c r="W465" s="16">
        <f>V465*N465*O465</f>
        <v/>
      </c>
      <c r="X465" s="12">
        <f>IF(LEFT(I465,2)="MV",2*N465*IF(L465="1/C",O465,1),0)</f>
        <v/>
      </c>
      <c r="Y465" s="12">
        <f>IF(OR(LEFT(K465,4)="LVAX",LEFT(K465,6)="MV15AX",LEFT(K465,4)="CTAX",LEFT(K465,2)="W|"),2*N465*O465,0)</f>
        <v/>
      </c>
      <c r="Z465" s="12" t="inlineStr"/>
      <c r="AA465" s="12">
        <f>N465*O465</f>
        <v/>
      </c>
    </row>
    <row r="466">
      <c r="A466" s="12" t="inlineStr">
        <is>
          <t>A-C-0454</t>
        </is>
      </c>
      <c r="B466" s="12" t="inlineStr">
        <is>
          <t>A</t>
        </is>
      </c>
      <c r="C466" s="12" t="inlineStr">
        <is>
          <t>Power block</t>
        </is>
      </c>
      <c r="D466" s="12" t="inlineStr">
        <is>
          <t>Control</t>
        </is>
      </c>
      <c r="E466" s="12" t="inlineStr">
        <is>
          <t>R1</t>
        </is>
      </c>
      <c r="F466" s="12" t="inlineStr">
        <is>
          <t>R1: main electrical building (64 x 180 ft)</t>
        </is>
      </c>
      <c r="G466" s="12" t="inlineStr">
        <is>
          <t>HTP-1</t>
        </is>
      </c>
      <c r="H466" s="12" t="inlineStr">
        <is>
          <t>HTP-1: heat-trace panel (rack)</t>
        </is>
      </c>
      <c r="I466" s="12" t="inlineStr">
        <is>
          <t>Control</t>
        </is>
      </c>
      <c r="J466" s="12" t="inlineStr">
        <is>
          <t>Control cable 600 V Type TC-ER, Cu #14 AWG, PVC jacket</t>
        </is>
      </c>
      <c r="K466" s="12" t="inlineStr">
        <is>
          <t>CT|7/C|14</t>
        </is>
      </c>
      <c r="L466" s="12" t="inlineStr">
        <is>
          <t>7/C</t>
        </is>
      </c>
      <c r="M466" s="12" t="inlineStr">
        <is>
          <t>14</t>
        </is>
      </c>
      <c r="N466" s="12" t="n">
        <v>1</v>
      </c>
      <c r="O466" s="12" t="n">
        <v>1</v>
      </c>
      <c r="P466" s="12" t="n"/>
      <c r="Q466" s="12" t="n"/>
      <c r="R466" s="12" t="n"/>
      <c r="S466" s="12" t="inlineStr">
        <is>
          <t>Tray</t>
        </is>
      </c>
      <c r="T466" s="16" t="n">
        <v>829</v>
      </c>
      <c r="U466" s="16" t="n">
        <v>218</v>
      </c>
      <c r="V466" s="16">
        <f>ROUNDUP((T466+U466+2*'Read Me'!$B$13)*(1+'Read Me'!$B$12),-1)</f>
        <v/>
      </c>
      <c r="W466" s="16">
        <f>V466*N466*O466</f>
        <v/>
      </c>
      <c r="X466" s="12">
        <f>IF(LEFT(I466,2)="MV",2*N466*IF(L466="1/C",O466,1),0)</f>
        <v/>
      </c>
      <c r="Y466" s="12">
        <f>IF(OR(LEFT(K466,4)="LVAX",LEFT(K466,6)="MV15AX",LEFT(K466,4)="CTAX",LEFT(K466,2)="W|"),2*N466*O466,0)</f>
        <v/>
      </c>
      <c r="Z466" s="12" t="inlineStr"/>
      <c r="AA466" s="12">
        <f>N466*O466</f>
        <v/>
      </c>
    </row>
    <row r="467">
      <c r="A467" s="12" t="inlineStr">
        <is>
          <t>A-C-0455</t>
        </is>
      </c>
      <c r="B467" s="12" t="inlineStr">
        <is>
          <t>A</t>
        </is>
      </c>
      <c r="C467" s="12" t="inlineStr">
        <is>
          <t>Power block</t>
        </is>
      </c>
      <c r="D467" s="12" t="inlineStr">
        <is>
          <t>Motor 1 of 6: control / local station</t>
        </is>
      </c>
      <c r="E467" s="12" t="inlineStr">
        <is>
          <t>LC-480-B</t>
        </is>
      </c>
      <c r="F467" s="12" t="inlineStr">
        <is>
          <t>R1 LC-480-B (480 V switchgear)</t>
        </is>
      </c>
      <c r="G467" s="12" t="inlineStr">
        <is>
          <t>LCT-A</t>
        </is>
      </c>
      <c r="H467" s="12" t="inlineStr">
        <is>
          <t>LCT-A: 13.8/0.48 kV load-centre transformer</t>
        </is>
      </c>
      <c r="I467" s="12" t="inlineStr">
        <is>
          <t>Control</t>
        </is>
      </c>
      <c r="J467" s="12" t="inlineStr">
        <is>
          <t>Control cable 600 V Type TC-ER, Cu #14 AWG, PVC jacket</t>
        </is>
      </c>
      <c r="K467" s="12" t="inlineStr">
        <is>
          <t>CT|7/C|14</t>
        </is>
      </c>
      <c r="L467" s="12" t="inlineStr">
        <is>
          <t>7/C</t>
        </is>
      </c>
      <c r="M467" s="12" t="inlineStr">
        <is>
          <t>14</t>
        </is>
      </c>
      <c r="N467" s="12" t="n">
        <v>1</v>
      </c>
      <c r="O467" s="12" t="n">
        <v>1</v>
      </c>
      <c r="P467" s="12" t="n"/>
      <c r="Q467" s="12" t="n"/>
      <c r="R467" s="12" t="n"/>
      <c r="S467" s="12" t="inlineStr">
        <is>
          <t>Duct bank</t>
        </is>
      </c>
      <c r="T467" s="16" t="n">
        <v>51</v>
      </c>
      <c r="U467" s="16" t="n">
        <v>41</v>
      </c>
      <c r="V467" s="16">
        <f>ROUNDUP((T467+U467+2*'Read Me'!$B$13)*(1+'Read Me'!$B$12),-1)</f>
        <v/>
      </c>
      <c r="W467" s="16">
        <f>V467*N467*O467</f>
        <v/>
      </c>
      <c r="X467" s="12">
        <f>IF(LEFT(I467,2)="MV",2*N467*IF(L467="1/C",O467,1),0)</f>
        <v/>
      </c>
      <c r="Y467" s="12">
        <f>IF(OR(LEFT(K467,4)="LVAX",LEFT(K467,6)="MV15AX",LEFT(K467,4)="CTAX",LEFT(K467,2)="W|"),2*N467*O467,0)</f>
        <v/>
      </c>
      <c r="Z467" s="12" t="inlineStr"/>
      <c r="AA467" s="12">
        <f>N467*O467</f>
        <v/>
      </c>
    </row>
    <row r="468">
      <c r="A468" s="12" t="inlineStr">
        <is>
          <t>A-C-0456</t>
        </is>
      </c>
      <c r="B468" s="12" t="inlineStr">
        <is>
          <t>A</t>
        </is>
      </c>
      <c r="C468" s="12" t="inlineStr">
        <is>
          <t>Power block</t>
        </is>
      </c>
      <c r="D468" s="12" t="inlineStr">
        <is>
          <t>Motor 2 of 6: control / local station</t>
        </is>
      </c>
      <c r="E468" s="12" t="inlineStr">
        <is>
          <t>LC-480-B</t>
        </is>
      </c>
      <c r="F468" s="12" t="inlineStr">
        <is>
          <t>R1 LC-480-B (480 V switchgear)</t>
        </is>
      </c>
      <c r="G468" s="12" t="inlineStr">
        <is>
          <t>LCT-A</t>
        </is>
      </c>
      <c r="H468" s="12" t="inlineStr">
        <is>
          <t>LCT-A: 13.8/0.48 kV load-centre transformer</t>
        </is>
      </c>
      <c r="I468" s="12" t="inlineStr">
        <is>
          <t>Control</t>
        </is>
      </c>
      <c r="J468" s="12" t="inlineStr">
        <is>
          <t>Control cable 600 V Type TC-ER, Cu #14 AWG, PVC jacket</t>
        </is>
      </c>
      <c r="K468" s="12" t="inlineStr">
        <is>
          <t>CT|7/C|14</t>
        </is>
      </c>
      <c r="L468" s="12" t="inlineStr">
        <is>
          <t>7/C</t>
        </is>
      </c>
      <c r="M468" s="12" t="inlineStr">
        <is>
          <t>14</t>
        </is>
      </c>
      <c r="N468" s="12" t="n">
        <v>1</v>
      </c>
      <c r="O468" s="12" t="n">
        <v>1</v>
      </c>
      <c r="P468" s="12" t="n"/>
      <c r="Q468" s="12" t="n"/>
      <c r="R468" s="12" t="n"/>
      <c r="S468" s="12" t="inlineStr">
        <is>
          <t>Duct bank</t>
        </is>
      </c>
      <c r="T468" s="16" t="n">
        <v>51</v>
      </c>
      <c r="U468" s="16" t="n">
        <v>41</v>
      </c>
      <c r="V468" s="16">
        <f>ROUNDUP((T468+U468+2*'Read Me'!$B$13)*(1+'Read Me'!$B$12),-1)</f>
        <v/>
      </c>
      <c r="W468" s="16">
        <f>V468*N468*O468</f>
        <v/>
      </c>
      <c r="X468" s="12">
        <f>IF(LEFT(I468,2)="MV",2*N468*IF(L468="1/C",O468,1),0)</f>
        <v/>
      </c>
      <c r="Y468" s="12">
        <f>IF(OR(LEFT(K468,4)="LVAX",LEFT(K468,6)="MV15AX",LEFT(K468,4)="CTAX",LEFT(K468,2)="W|"),2*N468*O468,0)</f>
        <v/>
      </c>
      <c r="Z468" s="12" t="inlineStr"/>
      <c r="AA468" s="12">
        <f>N468*O468</f>
        <v/>
      </c>
    </row>
    <row r="469">
      <c r="A469" s="12" t="inlineStr">
        <is>
          <t>A-C-0457</t>
        </is>
      </c>
      <c r="B469" s="12" t="inlineStr">
        <is>
          <t>A</t>
        </is>
      </c>
      <c r="C469" s="12" t="inlineStr">
        <is>
          <t>Power block</t>
        </is>
      </c>
      <c r="D469" s="12" t="inlineStr">
        <is>
          <t>Motor 3 of 6: control / local station</t>
        </is>
      </c>
      <c r="E469" s="12" t="inlineStr">
        <is>
          <t>LC-480-B</t>
        </is>
      </c>
      <c r="F469" s="12" t="inlineStr">
        <is>
          <t>R1 LC-480-B (480 V switchgear)</t>
        </is>
      </c>
      <c r="G469" s="12" t="inlineStr">
        <is>
          <t>LCT-A</t>
        </is>
      </c>
      <c r="H469" s="12" t="inlineStr">
        <is>
          <t>LCT-A: 13.8/0.48 kV load-centre transformer</t>
        </is>
      </c>
      <c r="I469" s="12" t="inlineStr">
        <is>
          <t>Control</t>
        </is>
      </c>
      <c r="J469" s="12" t="inlineStr">
        <is>
          <t>Control cable 600 V Type TC-ER, Cu #14 AWG, PVC jacket</t>
        </is>
      </c>
      <c r="K469" s="12" t="inlineStr">
        <is>
          <t>CT|7/C|14</t>
        </is>
      </c>
      <c r="L469" s="12" t="inlineStr">
        <is>
          <t>7/C</t>
        </is>
      </c>
      <c r="M469" s="12" t="inlineStr">
        <is>
          <t>14</t>
        </is>
      </c>
      <c r="N469" s="12" t="n">
        <v>1</v>
      </c>
      <c r="O469" s="12" t="n">
        <v>1</v>
      </c>
      <c r="P469" s="12" t="n"/>
      <c r="Q469" s="12" t="n"/>
      <c r="R469" s="12" t="n"/>
      <c r="S469" s="12" t="inlineStr">
        <is>
          <t>Duct bank</t>
        </is>
      </c>
      <c r="T469" s="16" t="n">
        <v>51</v>
      </c>
      <c r="U469" s="16" t="n">
        <v>41</v>
      </c>
      <c r="V469" s="16">
        <f>ROUNDUP((T469+U469+2*'Read Me'!$B$13)*(1+'Read Me'!$B$12),-1)</f>
        <v/>
      </c>
      <c r="W469" s="16">
        <f>V469*N469*O469</f>
        <v/>
      </c>
      <c r="X469" s="12">
        <f>IF(LEFT(I469,2)="MV",2*N469*IF(L469="1/C",O469,1),0)</f>
        <v/>
      </c>
      <c r="Y469" s="12">
        <f>IF(OR(LEFT(K469,4)="LVAX",LEFT(K469,6)="MV15AX",LEFT(K469,4)="CTAX",LEFT(K469,2)="W|"),2*N469*O469,0)</f>
        <v/>
      </c>
      <c r="Z469" s="12" t="inlineStr"/>
      <c r="AA469" s="12">
        <f>N469*O469</f>
        <v/>
      </c>
    </row>
    <row r="470">
      <c r="A470" s="12" t="inlineStr">
        <is>
          <t>A-C-0458</t>
        </is>
      </c>
      <c r="B470" s="12" t="inlineStr">
        <is>
          <t>A</t>
        </is>
      </c>
      <c r="C470" s="12" t="inlineStr">
        <is>
          <t>Power block</t>
        </is>
      </c>
      <c r="D470" s="12" t="inlineStr">
        <is>
          <t>Motor 4 of 6: control / local station</t>
        </is>
      </c>
      <c r="E470" s="12" t="inlineStr">
        <is>
          <t>LC-480-B</t>
        </is>
      </c>
      <c r="F470" s="12" t="inlineStr">
        <is>
          <t>R1 LC-480-B (480 V switchgear)</t>
        </is>
      </c>
      <c r="G470" s="12" t="inlineStr">
        <is>
          <t>LCT-A</t>
        </is>
      </c>
      <c r="H470" s="12" t="inlineStr">
        <is>
          <t>LCT-A: 13.8/0.48 kV load-centre transformer</t>
        </is>
      </c>
      <c r="I470" s="12" t="inlineStr">
        <is>
          <t>Control</t>
        </is>
      </c>
      <c r="J470" s="12" t="inlineStr">
        <is>
          <t>Control cable 600 V Type TC-ER, Cu #14 AWG, PVC jacket</t>
        </is>
      </c>
      <c r="K470" s="12" t="inlineStr">
        <is>
          <t>CT|7/C|14</t>
        </is>
      </c>
      <c r="L470" s="12" t="inlineStr">
        <is>
          <t>7/C</t>
        </is>
      </c>
      <c r="M470" s="12" t="inlineStr">
        <is>
          <t>14</t>
        </is>
      </c>
      <c r="N470" s="12" t="n">
        <v>1</v>
      </c>
      <c r="O470" s="12" t="n">
        <v>1</v>
      </c>
      <c r="P470" s="12" t="n"/>
      <c r="Q470" s="12" t="n"/>
      <c r="R470" s="12" t="n"/>
      <c r="S470" s="12" t="inlineStr">
        <is>
          <t>Duct bank</t>
        </is>
      </c>
      <c r="T470" s="16" t="n">
        <v>51</v>
      </c>
      <c r="U470" s="16" t="n">
        <v>41</v>
      </c>
      <c r="V470" s="16">
        <f>ROUNDUP((T470+U470+2*'Read Me'!$B$13)*(1+'Read Me'!$B$12),-1)</f>
        <v/>
      </c>
      <c r="W470" s="16">
        <f>V470*N470*O470</f>
        <v/>
      </c>
      <c r="X470" s="12">
        <f>IF(LEFT(I470,2)="MV",2*N470*IF(L470="1/C",O470,1),0)</f>
        <v/>
      </c>
      <c r="Y470" s="12">
        <f>IF(OR(LEFT(K470,4)="LVAX",LEFT(K470,6)="MV15AX",LEFT(K470,4)="CTAX",LEFT(K470,2)="W|"),2*N470*O470,0)</f>
        <v/>
      </c>
      <c r="Z470" s="12" t="inlineStr"/>
      <c r="AA470" s="12">
        <f>N470*O470</f>
        <v/>
      </c>
    </row>
    <row r="471">
      <c r="A471" s="12" t="inlineStr">
        <is>
          <t>A-C-0459</t>
        </is>
      </c>
      <c r="B471" s="12" t="inlineStr">
        <is>
          <t>A</t>
        </is>
      </c>
      <c r="C471" s="12" t="inlineStr">
        <is>
          <t>Power block</t>
        </is>
      </c>
      <c r="D471" s="12" t="inlineStr">
        <is>
          <t>Motor 5 of 6: control / local station</t>
        </is>
      </c>
      <c r="E471" s="12" t="inlineStr">
        <is>
          <t>LC-480-B</t>
        </is>
      </c>
      <c r="F471" s="12" t="inlineStr">
        <is>
          <t>R1 LC-480-B (480 V switchgear)</t>
        </is>
      </c>
      <c r="G471" s="12" t="inlineStr">
        <is>
          <t>LCT-A</t>
        </is>
      </c>
      <c r="H471" s="12" t="inlineStr">
        <is>
          <t>LCT-A: 13.8/0.48 kV load-centre transformer</t>
        </is>
      </c>
      <c r="I471" s="12" t="inlineStr">
        <is>
          <t>Control</t>
        </is>
      </c>
      <c r="J471" s="12" t="inlineStr">
        <is>
          <t>Control cable 600 V Type TC-ER, Cu #14 AWG, PVC jacket</t>
        </is>
      </c>
      <c r="K471" s="12" t="inlineStr">
        <is>
          <t>CT|7/C|14</t>
        </is>
      </c>
      <c r="L471" s="12" t="inlineStr">
        <is>
          <t>7/C</t>
        </is>
      </c>
      <c r="M471" s="12" t="inlineStr">
        <is>
          <t>14</t>
        </is>
      </c>
      <c r="N471" s="12" t="n">
        <v>1</v>
      </c>
      <c r="O471" s="12" t="n">
        <v>1</v>
      </c>
      <c r="P471" s="12" t="n"/>
      <c r="Q471" s="12" t="n"/>
      <c r="R471" s="12" t="n"/>
      <c r="S471" s="12" t="inlineStr">
        <is>
          <t>Duct bank</t>
        </is>
      </c>
      <c r="T471" s="16" t="n">
        <v>51</v>
      </c>
      <c r="U471" s="16" t="n">
        <v>41</v>
      </c>
      <c r="V471" s="16">
        <f>ROUNDUP((T471+U471+2*'Read Me'!$B$13)*(1+'Read Me'!$B$12),-1)</f>
        <v/>
      </c>
      <c r="W471" s="16">
        <f>V471*N471*O471</f>
        <v/>
      </c>
      <c r="X471" s="12">
        <f>IF(LEFT(I471,2)="MV",2*N471*IF(L471="1/C",O471,1),0)</f>
        <v/>
      </c>
      <c r="Y471" s="12">
        <f>IF(OR(LEFT(K471,4)="LVAX",LEFT(K471,6)="MV15AX",LEFT(K471,4)="CTAX",LEFT(K471,2)="W|"),2*N471*O471,0)</f>
        <v/>
      </c>
      <c r="Z471" s="12" t="inlineStr"/>
      <c r="AA471" s="12">
        <f>N471*O471</f>
        <v/>
      </c>
    </row>
    <row r="472">
      <c r="A472" s="12" t="inlineStr">
        <is>
          <t>A-C-0460</t>
        </is>
      </c>
      <c r="B472" s="12" t="inlineStr">
        <is>
          <t>A</t>
        </is>
      </c>
      <c r="C472" s="12" t="inlineStr">
        <is>
          <t>Power block</t>
        </is>
      </c>
      <c r="D472" s="12" t="inlineStr">
        <is>
          <t>Motor 6 of 6: control / local station</t>
        </is>
      </c>
      <c r="E472" s="12" t="inlineStr">
        <is>
          <t>LC-480-B</t>
        </is>
      </c>
      <c r="F472" s="12" t="inlineStr">
        <is>
          <t>R1 LC-480-B (480 V switchgear)</t>
        </is>
      </c>
      <c r="G472" s="12" t="inlineStr">
        <is>
          <t>LCT-A</t>
        </is>
      </c>
      <c r="H472" s="12" t="inlineStr">
        <is>
          <t>LCT-A: 13.8/0.48 kV load-centre transformer</t>
        </is>
      </c>
      <c r="I472" s="12" t="inlineStr">
        <is>
          <t>Control</t>
        </is>
      </c>
      <c r="J472" s="12" t="inlineStr">
        <is>
          <t>Control cable 600 V Type TC-ER, Cu #14 AWG, PVC jacket</t>
        </is>
      </c>
      <c r="K472" s="12" t="inlineStr">
        <is>
          <t>CT|7/C|14</t>
        </is>
      </c>
      <c r="L472" s="12" t="inlineStr">
        <is>
          <t>7/C</t>
        </is>
      </c>
      <c r="M472" s="12" t="inlineStr">
        <is>
          <t>14</t>
        </is>
      </c>
      <c r="N472" s="12" t="n">
        <v>1</v>
      </c>
      <c r="O472" s="12" t="n">
        <v>1</v>
      </c>
      <c r="P472" s="12" t="n"/>
      <c r="Q472" s="12" t="n"/>
      <c r="R472" s="12" t="n"/>
      <c r="S472" s="12" t="inlineStr">
        <is>
          <t>Duct bank</t>
        </is>
      </c>
      <c r="T472" s="16" t="n">
        <v>51</v>
      </c>
      <c r="U472" s="16" t="n">
        <v>41</v>
      </c>
      <c r="V472" s="16">
        <f>ROUNDUP((T472+U472+2*'Read Me'!$B$13)*(1+'Read Me'!$B$12),-1)</f>
        <v/>
      </c>
      <c r="W472" s="16">
        <f>V472*N472*O472</f>
        <v/>
      </c>
      <c r="X472" s="12">
        <f>IF(LEFT(I472,2)="MV",2*N472*IF(L472="1/C",O472,1),0)</f>
        <v/>
      </c>
      <c r="Y472" s="12">
        <f>IF(OR(LEFT(K472,4)="LVAX",LEFT(K472,6)="MV15AX",LEFT(K472,4)="CTAX",LEFT(K472,2)="W|"),2*N472*O472,0)</f>
        <v/>
      </c>
      <c r="Z472" s="12" t="inlineStr"/>
      <c r="AA472" s="12">
        <f>N472*O472</f>
        <v/>
      </c>
    </row>
    <row r="473">
      <c r="A473" s="12" t="inlineStr">
        <is>
          <t>A-C-0461</t>
        </is>
      </c>
      <c r="B473" s="12" t="inlineStr">
        <is>
          <t>A</t>
        </is>
      </c>
      <c r="C473" s="12" t="inlineStr">
        <is>
          <t>Power block</t>
        </is>
      </c>
      <c r="D473" s="12" t="inlineStr">
        <is>
          <t>Control</t>
        </is>
      </c>
      <c r="E473" s="12" t="inlineStr">
        <is>
          <t>R1</t>
        </is>
      </c>
      <c r="F473" s="12" t="inlineStr">
        <is>
          <t>R1: main electrical building (64 x 180 ft)</t>
        </is>
      </c>
      <c r="G473" s="12" t="inlineStr">
        <is>
          <t>LCT-A</t>
        </is>
      </c>
      <c r="H473" s="12" t="inlineStr">
        <is>
          <t>LCT-A: 13.8/0.48 kV load-centre transformer</t>
        </is>
      </c>
      <c r="I473" s="12" t="inlineStr">
        <is>
          <t>Control</t>
        </is>
      </c>
      <c r="J473" s="12" t="inlineStr">
        <is>
          <t>Control cable 600 V Type TC-ER, Cu #14 AWG, PVC jacket</t>
        </is>
      </c>
      <c r="K473" s="12" t="inlineStr">
        <is>
          <t>CT|7/C|14</t>
        </is>
      </c>
      <c r="L473" s="12" t="inlineStr">
        <is>
          <t>7/C</t>
        </is>
      </c>
      <c r="M473" s="12" t="inlineStr">
        <is>
          <t>14</t>
        </is>
      </c>
      <c r="N473" s="12" t="n">
        <v>1</v>
      </c>
      <c r="O473" s="12" t="n">
        <v>1</v>
      </c>
      <c r="P473" s="12" t="n"/>
      <c r="Q473" s="12" t="n"/>
      <c r="R473" s="12" t="n"/>
      <c r="S473" s="12" t="inlineStr">
        <is>
          <t>Tray</t>
        </is>
      </c>
      <c r="T473" s="16" t="n">
        <v>718</v>
      </c>
      <c r="U473" s="16" t="n">
        <v>124</v>
      </c>
      <c r="V473" s="16">
        <f>ROUNDUP((T473+U473+2*'Read Me'!$B$13)*(1+'Read Me'!$B$12),-1)</f>
        <v/>
      </c>
      <c r="W473" s="16">
        <f>V473*N473*O473</f>
        <v/>
      </c>
      <c r="X473" s="12">
        <f>IF(LEFT(I473,2)="MV",2*N473*IF(L473="1/C",O473,1),0)</f>
        <v/>
      </c>
      <c r="Y473" s="12">
        <f>IF(OR(LEFT(K473,4)="LVAX",LEFT(K473,6)="MV15AX",LEFT(K473,4)="CTAX",LEFT(K473,2)="W|"),2*N473*O473,0)</f>
        <v/>
      </c>
      <c r="Z473" s="12" t="inlineStr"/>
      <c r="AA473" s="12">
        <f>N473*O473</f>
        <v/>
      </c>
    </row>
    <row r="474">
      <c r="A474" s="12" t="inlineStr">
        <is>
          <t>A-C-0462</t>
        </is>
      </c>
      <c r="B474" s="12" t="inlineStr">
        <is>
          <t>A</t>
        </is>
      </c>
      <c r="C474" s="12" t="inlineStr">
        <is>
          <t>Power block</t>
        </is>
      </c>
      <c r="D474" s="12" t="inlineStr">
        <is>
          <t>Control</t>
        </is>
      </c>
      <c r="E474" s="12" t="inlineStr">
        <is>
          <t>R1</t>
        </is>
      </c>
      <c r="F474" s="12" t="inlineStr">
        <is>
          <t>R1: main electrical building (64 x 180 ft)</t>
        </is>
      </c>
      <c r="G474" s="12" t="inlineStr">
        <is>
          <t>LCT-A</t>
        </is>
      </c>
      <c r="H474" s="12" t="inlineStr">
        <is>
          <t>LCT-A: 13.8/0.48 kV load-centre transformer</t>
        </is>
      </c>
      <c r="I474" s="12" t="inlineStr">
        <is>
          <t>Control</t>
        </is>
      </c>
      <c r="J474" s="12" t="inlineStr">
        <is>
          <t>Control cable 600 V Type TC-ER, Cu #14 AWG, PVC jacket</t>
        </is>
      </c>
      <c r="K474" s="12" t="inlineStr">
        <is>
          <t>CT|12/C|14</t>
        </is>
      </c>
      <c r="L474" s="12" t="inlineStr">
        <is>
          <t>12/C</t>
        </is>
      </c>
      <c r="M474" s="12" t="inlineStr">
        <is>
          <t>14</t>
        </is>
      </c>
      <c r="N474" s="12" t="n">
        <v>1</v>
      </c>
      <c r="O474" s="12" t="n">
        <v>1</v>
      </c>
      <c r="P474" s="12" t="n"/>
      <c r="Q474" s="12" t="n"/>
      <c r="R474" s="12" t="n"/>
      <c r="S474" s="12" t="inlineStr">
        <is>
          <t>Tray</t>
        </is>
      </c>
      <c r="T474" s="16" t="n">
        <v>718</v>
      </c>
      <c r="U474" s="16" t="n">
        <v>124</v>
      </c>
      <c r="V474" s="16">
        <f>ROUNDUP((T474+U474+2*'Read Me'!$B$13)*(1+'Read Me'!$B$12),-1)</f>
        <v/>
      </c>
      <c r="W474" s="16">
        <f>V474*N474*O474</f>
        <v/>
      </c>
      <c r="X474" s="12">
        <f>IF(LEFT(I474,2)="MV",2*N474*IF(L474="1/C",O474,1),0)</f>
        <v/>
      </c>
      <c r="Y474" s="12">
        <f>IF(OR(LEFT(K474,4)="LVAX",LEFT(K474,6)="MV15AX",LEFT(K474,4)="CTAX",LEFT(K474,2)="W|"),2*N474*O474,0)</f>
        <v/>
      </c>
      <c r="Z474" s="12" t="inlineStr"/>
      <c r="AA474" s="12">
        <f>N474*O474</f>
        <v/>
      </c>
    </row>
    <row r="475">
      <c r="A475" s="12" t="inlineStr">
        <is>
          <t>A-C-0463</t>
        </is>
      </c>
      <c r="B475" s="12" t="inlineStr">
        <is>
          <t>A</t>
        </is>
      </c>
      <c r="C475" s="12" t="inlineStr">
        <is>
          <t>Power block</t>
        </is>
      </c>
      <c r="D475" s="12" t="inlineStr">
        <is>
          <t>CT / VT</t>
        </is>
      </c>
      <c r="E475" s="12" t="inlineStr">
        <is>
          <t>R1</t>
        </is>
      </c>
      <c r="F475" s="12" t="inlineStr">
        <is>
          <t>R1: main electrical building (64 x 180 ft)</t>
        </is>
      </c>
      <c r="G475" s="12" t="inlineStr">
        <is>
          <t>LCT-A</t>
        </is>
      </c>
      <c r="H475" s="12" t="inlineStr">
        <is>
          <t>LCT-A: 13.8/0.48 kV load-centre transformer</t>
        </is>
      </c>
      <c r="I475" s="12" t="inlineStr">
        <is>
          <t>Control</t>
        </is>
      </c>
      <c r="J475" s="12" t="inlineStr">
        <is>
          <t>Control cable 600 V Type TC-ER, Cu #10 AWG (CT / VT circuits)</t>
        </is>
      </c>
      <c r="K475" s="12" t="inlineStr">
        <is>
          <t>CTCT|4/C|10</t>
        </is>
      </c>
      <c r="L475" s="12" t="inlineStr">
        <is>
          <t>4/C</t>
        </is>
      </c>
      <c r="M475" s="12" t="inlineStr">
        <is>
          <t>10</t>
        </is>
      </c>
      <c r="N475" s="12" t="n">
        <v>1</v>
      </c>
      <c r="O475" s="12" t="n">
        <v>1</v>
      </c>
      <c r="P475" s="12" t="n"/>
      <c r="Q475" s="12" t="n"/>
      <c r="R475" s="12" t="n"/>
      <c r="S475" s="12" t="inlineStr">
        <is>
          <t>Tray</t>
        </is>
      </c>
      <c r="T475" s="16" t="n">
        <v>718</v>
      </c>
      <c r="U475" s="16" t="n">
        <v>124</v>
      </c>
      <c r="V475" s="16">
        <f>ROUNDUP((T475+U475+2*'Read Me'!$B$13)*(1+'Read Me'!$B$12),-1)</f>
        <v/>
      </c>
      <c r="W475" s="16">
        <f>V475*N475*O475</f>
        <v/>
      </c>
      <c r="X475" s="12">
        <f>IF(LEFT(I475,2)="MV",2*N475*IF(L475="1/C",O475,1),0)</f>
        <v/>
      </c>
      <c r="Y475" s="12">
        <f>IF(OR(LEFT(K475,4)="LVAX",LEFT(K475,6)="MV15AX",LEFT(K475,4)="CTAX",LEFT(K475,2)="W|"),2*N475*O475,0)</f>
        <v/>
      </c>
      <c r="Z475" s="12" t="inlineStr"/>
      <c r="AA475" s="12">
        <f>N475*O475</f>
        <v/>
      </c>
    </row>
    <row r="476">
      <c r="A476" s="12" t="inlineStr">
        <is>
          <t>A-C-0464</t>
        </is>
      </c>
      <c r="B476" s="12" t="inlineStr">
        <is>
          <t>A</t>
        </is>
      </c>
      <c r="C476" s="12" t="inlineStr">
        <is>
          <t>Power block</t>
        </is>
      </c>
      <c r="D476" s="12" t="inlineStr">
        <is>
          <t>CT / VT</t>
        </is>
      </c>
      <c r="E476" s="12" t="inlineStr">
        <is>
          <t>R1</t>
        </is>
      </c>
      <c r="F476" s="12" t="inlineStr">
        <is>
          <t>R1: main electrical building (64 x 180 ft)</t>
        </is>
      </c>
      <c r="G476" s="12" t="inlineStr">
        <is>
          <t>LCT-A</t>
        </is>
      </c>
      <c r="H476" s="12" t="inlineStr">
        <is>
          <t>LCT-A: 13.8/0.48 kV load-centre transformer</t>
        </is>
      </c>
      <c r="I476" s="12" t="inlineStr">
        <is>
          <t>Control</t>
        </is>
      </c>
      <c r="J476" s="12" t="inlineStr">
        <is>
          <t>Control cable 600 V Type TC-ER, Cu #10 AWG (CT / VT circuits)</t>
        </is>
      </c>
      <c r="K476" s="12" t="inlineStr">
        <is>
          <t>CTCT|4/C|10</t>
        </is>
      </c>
      <c r="L476" s="12" t="inlineStr">
        <is>
          <t>4/C</t>
        </is>
      </c>
      <c r="M476" s="12" t="inlineStr">
        <is>
          <t>10</t>
        </is>
      </c>
      <c r="N476" s="12" t="n">
        <v>1</v>
      </c>
      <c r="O476" s="12" t="n">
        <v>1</v>
      </c>
      <c r="P476" s="12" t="n"/>
      <c r="Q476" s="12" t="n"/>
      <c r="R476" s="12" t="n"/>
      <c r="S476" s="12" t="inlineStr">
        <is>
          <t>Tray</t>
        </is>
      </c>
      <c r="T476" s="16" t="n">
        <v>718</v>
      </c>
      <c r="U476" s="16" t="n">
        <v>124</v>
      </c>
      <c r="V476" s="16">
        <f>ROUNDUP((T476+U476+2*'Read Me'!$B$13)*(1+'Read Me'!$B$12),-1)</f>
        <v/>
      </c>
      <c r="W476" s="16">
        <f>V476*N476*O476</f>
        <v/>
      </c>
      <c r="X476" s="12">
        <f>IF(LEFT(I476,2)="MV",2*N476*IF(L476="1/C",O476,1),0)</f>
        <v/>
      </c>
      <c r="Y476" s="12">
        <f>IF(OR(LEFT(K476,4)="LVAX",LEFT(K476,6)="MV15AX",LEFT(K476,4)="CTAX",LEFT(K476,2)="W|"),2*N476*O476,0)</f>
        <v/>
      </c>
      <c r="Z476" s="12" t="inlineStr"/>
      <c r="AA476" s="12">
        <f>N476*O476</f>
        <v/>
      </c>
    </row>
    <row r="477">
      <c r="A477" s="12" t="inlineStr">
        <is>
          <t>A-C-0465</t>
        </is>
      </c>
      <c r="B477" s="12" t="inlineStr">
        <is>
          <t>A</t>
        </is>
      </c>
      <c r="C477" s="12" t="inlineStr">
        <is>
          <t>Power block</t>
        </is>
      </c>
      <c r="D477" s="12" t="inlineStr">
        <is>
          <t>Motor 1 of 6: control / local station</t>
        </is>
      </c>
      <c r="E477" s="12" t="inlineStr">
        <is>
          <t>LC-480-B</t>
        </is>
      </c>
      <c r="F477" s="12" t="inlineStr">
        <is>
          <t>R1 LC-480-B (480 V switchgear)</t>
        </is>
      </c>
      <c r="G477" s="12" t="inlineStr">
        <is>
          <t>LCT-B</t>
        </is>
      </c>
      <c r="H477" s="12" t="inlineStr">
        <is>
          <t>LCT-B: 13.8/0.48 kV load-centre transformer</t>
        </is>
      </c>
      <c r="I477" s="12" t="inlineStr">
        <is>
          <t>Control</t>
        </is>
      </c>
      <c r="J477" s="12" t="inlineStr">
        <is>
          <t>Control cable 600 V Type TC-ER, Cu #14 AWG, PVC jacket</t>
        </is>
      </c>
      <c r="K477" s="12" t="inlineStr">
        <is>
          <t>CT|7/C|14</t>
        </is>
      </c>
      <c r="L477" s="12" t="inlineStr">
        <is>
          <t>7/C</t>
        </is>
      </c>
      <c r="M477" s="12" t="inlineStr">
        <is>
          <t>14</t>
        </is>
      </c>
      <c r="N477" s="12" t="n">
        <v>1</v>
      </c>
      <c r="O477" s="12" t="n">
        <v>1</v>
      </c>
      <c r="P477" s="12" t="n"/>
      <c r="Q477" s="12" t="n"/>
      <c r="R477" s="12" t="n"/>
      <c r="S477" s="12" t="inlineStr">
        <is>
          <t>Duct bank</t>
        </is>
      </c>
      <c r="T477" s="16" t="n">
        <v>51</v>
      </c>
      <c r="U477" s="16" t="n">
        <v>63</v>
      </c>
      <c r="V477" s="16">
        <f>ROUNDUP((T477+U477+2*'Read Me'!$B$13)*(1+'Read Me'!$B$12),-1)</f>
        <v/>
      </c>
      <c r="W477" s="16">
        <f>V477*N477*O477</f>
        <v/>
      </c>
      <c r="X477" s="12">
        <f>IF(LEFT(I477,2)="MV",2*N477*IF(L477="1/C",O477,1),0)</f>
        <v/>
      </c>
      <c r="Y477" s="12">
        <f>IF(OR(LEFT(K477,4)="LVAX",LEFT(K477,6)="MV15AX",LEFT(K477,4)="CTAX",LEFT(K477,2)="W|"),2*N477*O477,0)</f>
        <v/>
      </c>
      <c r="Z477" s="12" t="inlineStr"/>
      <c r="AA477" s="12">
        <f>N477*O477</f>
        <v/>
      </c>
    </row>
    <row r="478">
      <c r="A478" s="12" t="inlineStr">
        <is>
          <t>A-C-0466</t>
        </is>
      </c>
      <c r="B478" s="12" t="inlineStr">
        <is>
          <t>A</t>
        </is>
      </c>
      <c r="C478" s="12" t="inlineStr">
        <is>
          <t>Power block</t>
        </is>
      </c>
      <c r="D478" s="12" t="inlineStr">
        <is>
          <t>Motor 2 of 6: control / local station</t>
        </is>
      </c>
      <c r="E478" s="12" t="inlineStr">
        <is>
          <t>LC-480-B</t>
        </is>
      </c>
      <c r="F478" s="12" t="inlineStr">
        <is>
          <t>R1 LC-480-B (480 V switchgear)</t>
        </is>
      </c>
      <c r="G478" s="12" t="inlineStr">
        <is>
          <t>LCT-B</t>
        </is>
      </c>
      <c r="H478" s="12" t="inlineStr">
        <is>
          <t>LCT-B: 13.8/0.48 kV load-centre transformer</t>
        </is>
      </c>
      <c r="I478" s="12" t="inlineStr">
        <is>
          <t>Control</t>
        </is>
      </c>
      <c r="J478" s="12" t="inlineStr">
        <is>
          <t>Control cable 600 V Type TC-ER, Cu #14 AWG, PVC jacket</t>
        </is>
      </c>
      <c r="K478" s="12" t="inlineStr">
        <is>
          <t>CT|7/C|14</t>
        </is>
      </c>
      <c r="L478" s="12" t="inlineStr">
        <is>
          <t>7/C</t>
        </is>
      </c>
      <c r="M478" s="12" t="inlineStr">
        <is>
          <t>14</t>
        </is>
      </c>
      <c r="N478" s="12" t="n">
        <v>1</v>
      </c>
      <c r="O478" s="12" t="n">
        <v>1</v>
      </c>
      <c r="P478" s="12" t="n"/>
      <c r="Q478" s="12" t="n"/>
      <c r="R478" s="12" t="n"/>
      <c r="S478" s="12" t="inlineStr">
        <is>
          <t>Duct bank</t>
        </is>
      </c>
      <c r="T478" s="16" t="n">
        <v>51</v>
      </c>
      <c r="U478" s="16" t="n">
        <v>63</v>
      </c>
      <c r="V478" s="16">
        <f>ROUNDUP((T478+U478+2*'Read Me'!$B$13)*(1+'Read Me'!$B$12),-1)</f>
        <v/>
      </c>
      <c r="W478" s="16">
        <f>V478*N478*O478</f>
        <v/>
      </c>
      <c r="X478" s="12">
        <f>IF(LEFT(I478,2)="MV",2*N478*IF(L478="1/C",O478,1),0)</f>
        <v/>
      </c>
      <c r="Y478" s="12">
        <f>IF(OR(LEFT(K478,4)="LVAX",LEFT(K478,6)="MV15AX",LEFT(K478,4)="CTAX",LEFT(K478,2)="W|"),2*N478*O478,0)</f>
        <v/>
      </c>
      <c r="Z478" s="12" t="inlineStr"/>
      <c r="AA478" s="12">
        <f>N478*O478</f>
        <v/>
      </c>
    </row>
    <row r="479">
      <c r="A479" s="12" t="inlineStr">
        <is>
          <t>A-C-0467</t>
        </is>
      </c>
      <c r="B479" s="12" t="inlineStr">
        <is>
          <t>A</t>
        </is>
      </c>
      <c r="C479" s="12" t="inlineStr">
        <is>
          <t>Power block</t>
        </is>
      </c>
      <c r="D479" s="12" t="inlineStr">
        <is>
          <t>Motor 3 of 6: control / local station</t>
        </is>
      </c>
      <c r="E479" s="12" t="inlineStr">
        <is>
          <t>LC-480-B</t>
        </is>
      </c>
      <c r="F479" s="12" t="inlineStr">
        <is>
          <t>R1 LC-480-B (480 V switchgear)</t>
        </is>
      </c>
      <c r="G479" s="12" t="inlineStr">
        <is>
          <t>LCT-B</t>
        </is>
      </c>
      <c r="H479" s="12" t="inlineStr">
        <is>
          <t>LCT-B: 13.8/0.48 kV load-centre transformer</t>
        </is>
      </c>
      <c r="I479" s="12" t="inlineStr">
        <is>
          <t>Control</t>
        </is>
      </c>
      <c r="J479" s="12" t="inlineStr">
        <is>
          <t>Control cable 600 V Type TC-ER, Cu #14 AWG, PVC jacket</t>
        </is>
      </c>
      <c r="K479" s="12" t="inlineStr">
        <is>
          <t>CT|7/C|14</t>
        </is>
      </c>
      <c r="L479" s="12" t="inlineStr">
        <is>
          <t>7/C</t>
        </is>
      </c>
      <c r="M479" s="12" t="inlineStr">
        <is>
          <t>14</t>
        </is>
      </c>
      <c r="N479" s="12" t="n">
        <v>1</v>
      </c>
      <c r="O479" s="12" t="n">
        <v>1</v>
      </c>
      <c r="P479" s="12" t="n"/>
      <c r="Q479" s="12" t="n"/>
      <c r="R479" s="12" t="n"/>
      <c r="S479" s="12" t="inlineStr">
        <is>
          <t>Duct bank</t>
        </is>
      </c>
      <c r="T479" s="16" t="n">
        <v>51</v>
      </c>
      <c r="U479" s="16" t="n">
        <v>63</v>
      </c>
      <c r="V479" s="16">
        <f>ROUNDUP((T479+U479+2*'Read Me'!$B$13)*(1+'Read Me'!$B$12),-1)</f>
        <v/>
      </c>
      <c r="W479" s="16">
        <f>V479*N479*O479</f>
        <v/>
      </c>
      <c r="X479" s="12">
        <f>IF(LEFT(I479,2)="MV",2*N479*IF(L479="1/C",O479,1),0)</f>
        <v/>
      </c>
      <c r="Y479" s="12">
        <f>IF(OR(LEFT(K479,4)="LVAX",LEFT(K479,6)="MV15AX",LEFT(K479,4)="CTAX",LEFT(K479,2)="W|"),2*N479*O479,0)</f>
        <v/>
      </c>
      <c r="Z479" s="12" t="inlineStr"/>
      <c r="AA479" s="12">
        <f>N479*O479</f>
        <v/>
      </c>
    </row>
    <row r="480">
      <c r="A480" s="12" t="inlineStr">
        <is>
          <t>A-C-0468</t>
        </is>
      </c>
      <c r="B480" s="12" t="inlineStr">
        <is>
          <t>A</t>
        </is>
      </c>
      <c r="C480" s="12" t="inlineStr">
        <is>
          <t>Power block</t>
        </is>
      </c>
      <c r="D480" s="12" t="inlineStr">
        <is>
          <t>Motor 4 of 6: control / local station</t>
        </is>
      </c>
      <c r="E480" s="12" t="inlineStr">
        <is>
          <t>LC-480-B</t>
        </is>
      </c>
      <c r="F480" s="12" t="inlineStr">
        <is>
          <t>R1 LC-480-B (480 V switchgear)</t>
        </is>
      </c>
      <c r="G480" s="12" t="inlineStr">
        <is>
          <t>LCT-B</t>
        </is>
      </c>
      <c r="H480" s="12" t="inlineStr">
        <is>
          <t>LCT-B: 13.8/0.48 kV load-centre transformer</t>
        </is>
      </c>
      <c r="I480" s="12" t="inlineStr">
        <is>
          <t>Control</t>
        </is>
      </c>
      <c r="J480" s="12" t="inlineStr">
        <is>
          <t>Control cable 600 V Type TC-ER, Cu #14 AWG, PVC jacket</t>
        </is>
      </c>
      <c r="K480" s="12" t="inlineStr">
        <is>
          <t>CT|7/C|14</t>
        </is>
      </c>
      <c r="L480" s="12" t="inlineStr">
        <is>
          <t>7/C</t>
        </is>
      </c>
      <c r="M480" s="12" t="inlineStr">
        <is>
          <t>14</t>
        </is>
      </c>
      <c r="N480" s="12" t="n">
        <v>1</v>
      </c>
      <c r="O480" s="12" t="n">
        <v>1</v>
      </c>
      <c r="P480" s="12" t="n"/>
      <c r="Q480" s="12" t="n"/>
      <c r="R480" s="12" t="n"/>
      <c r="S480" s="12" t="inlineStr">
        <is>
          <t>Duct bank</t>
        </is>
      </c>
      <c r="T480" s="16" t="n">
        <v>51</v>
      </c>
      <c r="U480" s="16" t="n">
        <v>63</v>
      </c>
      <c r="V480" s="16">
        <f>ROUNDUP((T480+U480+2*'Read Me'!$B$13)*(1+'Read Me'!$B$12),-1)</f>
        <v/>
      </c>
      <c r="W480" s="16">
        <f>V480*N480*O480</f>
        <v/>
      </c>
      <c r="X480" s="12">
        <f>IF(LEFT(I480,2)="MV",2*N480*IF(L480="1/C",O480,1),0)</f>
        <v/>
      </c>
      <c r="Y480" s="12">
        <f>IF(OR(LEFT(K480,4)="LVAX",LEFT(K480,6)="MV15AX",LEFT(K480,4)="CTAX",LEFT(K480,2)="W|"),2*N480*O480,0)</f>
        <v/>
      </c>
      <c r="Z480" s="12" t="inlineStr"/>
      <c r="AA480" s="12">
        <f>N480*O480</f>
        <v/>
      </c>
    </row>
    <row r="481">
      <c r="A481" s="12" t="inlineStr">
        <is>
          <t>A-C-0469</t>
        </is>
      </c>
      <c r="B481" s="12" t="inlineStr">
        <is>
          <t>A</t>
        </is>
      </c>
      <c r="C481" s="12" t="inlineStr">
        <is>
          <t>Power block</t>
        </is>
      </c>
      <c r="D481" s="12" t="inlineStr">
        <is>
          <t>Motor 5 of 6: control / local station</t>
        </is>
      </c>
      <c r="E481" s="12" t="inlineStr">
        <is>
          <t>LC-480-B</t>
        </is>
      </c>
      <c r="F481" s="12" t="inlineStr">
        <is>
          <t>R1 LC-480-B (480 V switchgear)</t>
        </is>
      </c>
      <c r="G481" s="12" t="inlineStr">
        <is>
          <t>LCT-B</t>
        </is>
      </c>
      <c r="H481" s="12" t="inlineStr">
        <is>
          <t>LCT-B: 13.8/0.48 kV load-centre transformer</t>
        </is>
      </c>
      <c r="I481" s="12" t="inlineStr">
        <is>
          <t>Control</t>
        </is>
      </c>
      <c r="J481" s="12" t="inlineStr">
        <is>
          <t>Control cable 600 V Type TC-ER, Cu #14 AWG, PVC jacket</t>
        </is>
      </c>
      <c r="K481" s="12" t="inlineStr">
        <is>
          <t>CT|7/C|14</t>
        </is>
      </c>
      <c r="L481" s="12" t="inlineStr">
        <is>
          <t>7/C</t>
        </is>
      </c>
      <c r="M481" s="12" t="inlineStr">
        <is>
          <t>14</t>
        </is>
      </c>
      <c r="N481" s="12" t="n">
        <v>1</v>
      </c>
      <c r="O481" s="12" t="n">
        <v>1</v>
      </c>
      <c r="P481" s="12" t="n"/>
      <c r="Q481" s="12" t="n"/>
      <c r="R481" s="12" t="n"/>
      <c r="S481" s="12" t="inlineStr">
        <is>
          <t>Duct bank</t>
        </is>
      </c>
      <c r="T481" s="16" t="n">
        <v>51</v>
      </c>
      <c r="U481" s="16" t="n">
        <v>63</v>
      </c>
      <c r="V481" s="16">
        <f>ROUNDUP((T481+U481+2*'Read Me'!$B$13)*(1+'Read Me'!$B$12),-1)</f>
        <v/>
      </c>
      <c r="W481" s="16">
        <f>V481*N481*O481</f>
        <v/>
      </c>
      <c r="X481" s="12">
        <f>IF(LEFT(I481,2)="MV",2*N481*IF(L481="1/C",O481,1),0)</f>
        <v/>
      </c>
      <c r="Y481" s="12">
        <f>IF(OR(LEFT(K481,4)="LVAX",LEFT(K481,6)="MV15AX",LEFT(K481,4)="CTAX",LEFT(K481,2)="W|"),2*N481*O481,0)</f>
        <v/>
      </c>
      <c r="Z481" s="12" t="inlineStr"/>
      <c r="AA481" s="12">
        <f>N481*O481</f>
        <v/>
      </c>
    </row>
    <row r="482">
      <c r="A482" s="12" t="inlineStr">
        <is>
          <t>A-C-0470</t>
        </is>
      </c>
      <c r="B482" s="12" t="inlineStr">
        <is>
          <t>A</t>
        </is>
      </c>
      <c r="C482" s="12" t="inlineStr">
        <is>
          <t>Power block</t>
        </is>
      </c>
      <c r="D482" s="12" t="inlineStr">
        <is>
          <t>Motor 6 of 6: control / local station</t>
        </is>
      </c>
      <c r="E482" s="12" t="inlineStr">
        <is>
          <t>LC-480-B</t>
        </is>
      </c>
      <c r="F482" s="12" t="inlineStr">
        <is>
          <t>R1 LC-480-B (480 V switchgear)</t>
        </is>
      </c>
      <c r="G482" s="12" t="inlineStr">
        <is>
          <t>LCT-B</t>
        </is>
      </c>
      <c r="H482" s="12" t="inlineStr">
        <is>
          <t>LCT-B: 13.8/0.48 kV load-centre transformer</t>
        </is>
      </c>
      <c r="I482" s="12" t="inlineStr">
        <is>
          <t>Control</t>
        </is>
      </c>
      <c r="J482" s="12" t="inlineStr">
        <is>
          <t>Control cable 600 V Type TC-ER, Cu #14 AWG, PVC jacket</t>
        </is>
      </c>
      <c r="K482" s="12" t="inlineStr">
        <is>
          <t>CT|7/C|14</t>
        </is>
      </c>
      <c r="L482" s="12" t="inlineStr">
        <is>
          <t>7/C</t>
        </is>
      </c>
      <c r="M482" s="12" t="inlineStr">
        <is>
          <t>14</t>
        </is>
      </c>
      <c r="N482" s="12" t="n">
        <v>1</v>
      </c>
      <c r="O482" s="12" t="n">
        <v>1</v>
      </c>
      <c r="P482" s="12" t="n"/>
      <c r="Q482" s="12" t="n"/>
      <c r="R482" s="12" t="n"/>
      <c r="S482" s="12" t="inlineStr">
        <is>
          <t>Duct bank</t>
        </is>
      </c>
      <c r="T482" s="16" t="n">
        <v>51</v>
      </c>
      <c r="U482" s="16" t="n">
        <v>63</v>
      </c>
      <c r="V482" s="16">
        <f>ROUNDUP((T482+U482+2*'Read Me'!$B$13)*(1+'Read Me'!$B$12),-1)</f>
        <v/>
      </c>
      <c r="W482" s="16">
        <f>V482*N482*O482</f>
        <v/>
      </c>
      <c r="X482" s="12">
        <f>IF(LEFT(I482,2)="MV",2*N482*IF(L482="1/C",O482,1),0)</f>
        <v/>
      </c>
      <c r="Y482" s="12">
        <f>IF(OR(LEFT(K482,4)="LVAX",LEFT(K482,6)="MV15AX",LEFT(K482,4)="CTAX",LEFT(K482,2)="W|"),2*N482*O482,0)</f>
        <v/>
      </c>
      <c r="Z482" s="12" t="inlineStr"/>
      <c r="AA482" s="12">
        <f>N482*O482</f>
        <v/>
      </c>
    </row>
    <row r="483">
      <c r="A483" s="12" t="inlineStr">
        <is>
          <t>A-C-0471</t>
        </is>
      </c>
      <c r="B483" s="12" t="inlineStr">
        <is>
          <t>A</t>
        </is>
      </c>
      <c r="C483" s="12" t="inlineStr">
        <is>
          <t>Power block</t>
        </is>
      </c>
      <c r="D483" s="12" t="inlineStr">
        <is>
          <t>Control</t>
        </is>
      </c>
      <c r="E483" s="12" t="inlineStr">
        <is>
          <t>R1</t>
        </is>
      </c>
      <c r="F483" s="12" t="inlineStr">
        <is>
          <t>R1: main electrical building (64 x 180 ft)</t>
        </is>
      </c>
      <c r="G483" s="12" t="inlineStr">
        <is>
          <t>LCT-B</t>
        </is>
      </c>
      <c r="H483" s="12" t="inlineStr">
        <is>
          <t>LCT-B: 13.8/0.48 kV load-centre transformer</t>
        </is>
      </c>
      <c r="I483" s="12" t="inlineStr">
        <is>
          <t>Control</t>
        </is>
      </c>
      <c r="J483" s="12" t="inlineStr">
        <is>
          <t>Control cable 600 V Type TC-ER, Cu #14 AWG, PVC jacket</t>
        </is>
      </c>
      <c r="K483" s="12" t="inlineStr">
        <is>
          <t>CT|7/C|14</t>
        </is>
      </c>
      <c r="L483" s="12" t="inlineStr">
        <is>
          <t>7/C</t>
        </is>
      </c>
      <c r="M483" s="12" t="inlineStr">
        <is>
          <t>14</t>
        </is>
      </c>
      <c r="N483" s="12" t="n">
        <v>1</v>
      </c>
      <c r="O483" s="12" t="n">
        <v>1</v>
      </c>
      <c r="P483" s="12" t="n"/>
      <c r="Q483" s="12" t="n"/>
      <c r="R483" s="12" t="n"/>
      <c r="S483" s="12" t="inlineStr">
        <is>
          <t>Tray</t>
        </is>
      </c>
      <c r="T483" s="16" t="n">
        <v>718</v>
      </c>
      <c r="U483" s="16" t="n">
        <v>146</v>
      </c>
      <c r="V483" s="16">
        <f>ROUNDUP((T483+U483+2*'Read Me'!$B$13)*(1+'Read Me'!$B$12),-1)</f>
        <v/>
      </c>
      <c r="W483" s="16">
        <f>V483*N483*O483</f>
        <v/>
      </c>
      <c r="X483" s="12">
        <f>IF(LEFT(I483,2)="MV",2*N483*IF(L483="1/C",O483,1),0)</f>
        <v/>
      </c>
      <c r="Y483" s="12">
        <f>IF(OR(LEFT(K483,4)="LVAX",LEFT(K483,6)="MV15AX",LEFT(K483,4)="CTAX",LEFT(K483,2)="W|"),2*N483*O483,0)</f>
        <v/>
      </c>
      <c r="Z483" s="12" t="inlineStr"/>
      <c r="AA483" s="12">
        <f>N483*O483</f>
        <v/>
      </c>
    </row>
    <row r="484">
      <c r="A484" s="12" t="inlineStr">
        <is>
          <t>A-C-0472</t>
        </is>
      </c>
      <c r="B484" s="12" t="inlineStr">
        <is>
          <t>A</t>
        </is>
      </c>
      <c r="C484" s="12" t="inlineStr">
        <is>
          <t>Power block</t>
        </is>
      </c>
      <c r="D484" s="12" t="inlineStr">
        <is>
          <t>Control</t>
        </is>
      </c>
      <c r="E484" s="12" t="inlineStr">
        <is>
          <t>R1</t>
        </is>
      </c>
      <c r="F484" s="12" t="inlineStr">
        <is>
          <t>R1: main electrical building (64 x 180 ft)</t>
        </is>
      </c>
      <c r="G484" s="12" t="inlineStr">
        <is>
          <t>LCT-B</t>
        </is>
      </c>
      <c r="H484" s="12" t="inlineStr">
        <is>
          <t>LCT-B: 13.8/0.48 kV load-centre transformer</t>
        </is>
      </c>
      <c r="I484" s="12" t="inlineStr">
        <is>
          <t>Control</t>
        </is>
      </c>
      <c r="J484" s="12" t="inlineStr">
        <is>
          <t>Control cable 600 V Type TC-ER, Cu #14 AWG, PVC jacket</t>
        </is>
      </c>
      <c r="K484" s="12" t="inlineStr">
        <is>
          <t>CT|12/C|14</t>
        </is>
      </c>
      <c r="L484" s="12" t="inlineStr">
        <is>
          <t>12/C</t>
        </is>
      </c>
      <c r="M484" s="12" t="inlineStr">
        <is>
          <t>14</t>
        </is>
      </c>
      <c r="N484" s="12" t="n">
        <v>1</v>
      </c>
      <c r="O484" s="12" t="n">
        <v>1</v>
      </c>
      <c r="P484" s="12" t="n"/>
      <c r="Q484" s="12" t="n"/>
      <c r="R484" s="12" t="n"/>
      <c r="S484" s="12" t="inlineStr">
        <is>
          <t>Tray</t>
        </is>
      </c>
      <c r="T484" s="16" t="n">
        <v>718</v>
      </c>
      <c r="U484" s="16" t="n">
        <v>146</v>
      </c>
      <c r="V484" s="16">
        <f>ROUNDUP((T484+U484+2*'Read Me'!$B$13)*(1+'Read Me'!$B$12),-1)</f>
        <v/>
      </c>
      <c r="W484" s="16">
        <f>V484*N484*O484</f>
        <v/>
      </c>
      <c r="X484" s="12">
        <f>IF(LEFT(I484,2)="MV",2*N484*IF(L484="1/C",O484,1),0)</f>
        <v/>
      </c>
      <c r="Y484" s="12">
        <f>IF(OR(LEFT(K484,4)="LVAX",LEFT(K484,6)="MV15AX",LEFT(K484,4)="CTAX",LEFT(K484,2)="W|"),2*N484*O484,0)</f>
        <v/>
      </c>
      <c r="Z484" s="12" t="inlineStr"/>
      <c r="AA484" s="12">
        <f>N484*O484</f>
        <v/>
      </c>
    </row>
    <row r="485">
      <c r="A485" s="12" t="inlineStr">
        <is>
          <t>A-C-0473</t>
        </is>
      </c>
      <c r="B485" s="12" t="inlineStr">
        <is>
          <t>A</t>
        </is>
      </c>
      <c r="C485" s="12" t="inlineStr">
        <is>
          <t>Power block</t>
        </is>
      </c>
      <c r="D485" s="12" t="inlineStr">
        <is>
          <t>CT / VT</t>
        </is>
      </c>
      <c r="E485" s="12" t="inlineStr">
        <is>
          <t>R1</t>
        </is>
      </c>
      <c r="F485" s="12" t="inlineStr">
        <is>
          <t>R1: main electrical building (64 x 180 ft)</t>
        </is>
      </c>
      <c r="G485" s="12" t="inlineStr">
        <is>
          <t>LCT-B</t>
        </is>
      </c>
      <c r="H485" s="12" t="inlineStr">
        <is>
          <t>LCT-B: 13.8/0.48 kV load-centre transformer</t>
        </is>
      </c>
      <c r="I485" s="12" t="inlineStr">
        <is>
          <t>Control</t>
        </is>
      </c>
      <c r="J485" s="12" t="inlineStr">
        <is>
          <t>Control cable 600 V Type TC-ER, Cu #10 AWG (CT / VT circuits)</t>
        </is>
      </c>
      <c r="K485" s="12" t="inlineStr">
        <is>
          <t>CTCT|4/C|10</t>
        </is>
      </c>
      <c r="L485" s="12" t="inlineStr">
        <is>
          <t>4/C</t>
        </is>
      </c>
      <c r="M485" s="12" t="inlineStr">
        <is>
          <t>10</t>
        </is>
      </c>
      <c r="N485" s="12" t="n">
        <v>1</v>
      </c>
      <c r="O485" s="12" t="n">
        <v>1</v>
      </c>
      <c r="P485" s="12" t="n"/>
      <c r="Q485" s="12" t="n"/>
      <c r="R485" s="12" t="n"/>
      <c r="S485" s="12" t="inlineStr">
        <is>
          <t>Tray</t>
        </is>
      </c>
      <c r="T485" s="16" t="n">
        <v>718</v>
      </c>
      <c r="U485" s="16" t="n">
        <v>146</v>
      </c>
      <c r="V485" s="16">
        <f>ROUNDUP((T485+U485+2*'Read Me'!$B$13)*(1+'Read Me'!$B$12),-1)</f>
        <v/>
      </c>
      <c r="W485" s="16">
        <f>V485*N485*O485</f>
        <v/>
      </c>
      <c r="X485" s="12">
        <f>IF(LEFT(I485,2)="MV",2*N485*IF(L485="1/C",O485,1),0)</f>
        <v/>
      </c>
      <c r="Y485" s="12">
        <f>IF(OR(LEFT(K485,4)="LVAX",LEFT(K485,6)="MV15AX",LEFT(K485,4)="CTAX",LEFT(K485,2)="W|"),2*N485*O485,0)</f>
        <v/>
      </c>
      <c r="Z485" s="12" t="inlineStr"/>
      <c r="AA485" s="12">
        <f>N485*O485</f>
        <v/>
      </c>
    </row>
    <row r="486">
      <c r="A486" s="12" t="inlineStr">
        <is>
          <t>A-C-0474</t>
        </is>
      </c>
      <c r="B486" s="12" t="inlineStr">
        <is>
          <t>A</t>
        </is>
      </c>
      <c r="C486" s="12" t="inlineStr">
        <is>
          <t>Power block</t>
        </is>
      </c>
      <c r="D486" s="12" t="inlineStr">
        <is>
          <t>CT / VT</t>
        </is>
      </c>
      <c r="E486" s="12" t="inlineStr">
        <is>
          <t>R1</t>
        </is>
      </c>
      <c r="F486" s="12" t="inlineStr">
        <is>
          <t>R1: main electrical building (64 x 180 ft)</t>
        </is>
      </c>
      <c r="G486" s="12" t="inlineStr">
        <is>
          <t>LCT-B</t>
        </is>
      </c>
      <c r="H486" s="12" t="inlineStr">
        <is>
          <t>LCT-B: 13.8/0.48 kV load-centre transformer</t>
        </is>
      </c>
      <c r="I486" s="12" t="inlineStr">
        <is>
          <t>Control</t>
        </is>
      </c>
      <c r="J486" s="12" t="inlineStr">
        <is>
          <t>Control cable 600 V Type TC-ER, Cu #10 AWG (CT / VT circuits)</t>
        </is>
      </c>
      <c r="K486" s="12" t="inlineStr">
        <is>
          <t>CTCT|4/C|10</t>
        </is>
      </c>
      <c r="L486" s="12" t="inlineStr">
        <is>
          <t>4/C</t>
        </is>
      </c>
      <c r="M486" s="12" t="inlineStr">
        <is>
          <t>10</t>
        </is>
      </c>
      <c r="N486" s="12" t="n">
        <v>1</v>
      </c>
      <c r="O486" s="12" t="n">
        <v>1</v>
      </c>
      <c r="P486" s="12" t="n"/>
      <c r="Q486" s="12" t="n"/>
      <c r="R486" s="12" t="n"/>
      <c r="S486" s="12" t="inlineStr">
        <is>
          <t>Tray</t>
        </is>
      </c>
      <c r="T486" s="16" t="n">
        <v>718</v>
      </c>
      <c r="U486" s="16" t="n">
        <v>146</v>
      </c>
      <c r="V486" s="16">
        <f>ROUNDUP((T486+U486+2*'Read Me'!$B$13)*(1+'Read Me'!$B$12),-1)</f>
        <v/>
      </c>
      <c r="W486" s="16">
        <f>V486*N486*O486</f>
        <v/>
      </c>
      <c r="X486" s="12">
        <f>IF(LEFT(I486,2)="MV",2*N486*IF(L486="1/C",O486,1),0)</f>
        <v/>
      </c>
      <c r="Y486" s="12">
        <f>IF(OR(LEFT(K486,4)="LVAX",LEFT(K486,6)="MV15AX",LEFT(K486,4)="CTAX",LEFT(K486,2)="W|"),2*N486*O486,0)</f>
        <v/>
      </c>
      <c r="Z486" s="12" t="inlineStr"/>
      <c r="AA486" s="12">
        <f>N486*O486</f>
        <v/>
      </c>
    </row>
    <row r="487">
      <c r="A487" s="12" t="inlineStr">
        <is>
          <t>A-C-0475</t>
        </is>
      </c>
      <c r="B487" s="12" t="inlineStr">
        <is>
          <t>A</t>
        </is>
      </c>
      <c r="C487" s="12" t="inlineStr">
        <is>
          <t>Power block</t>
        </is>
      </c>
      <c r="D487" s="12" t="inlineStr">
        <is>
          <t>Control</t>
        </is>
      </c>
      <c r="E487" s="12" t="inlineStr">
        <is>
          <t>R1</t>
        </is>
      </c>
      <c r="F487" s="12" t="inlineStr">
        <is>
          <t>R1: main electrical building (64 x 180 ft)</t>
        </is>
      </c>
      <c r="G487" s="12" t="inlineStr">
        <is>
          <t>TX-LCI-1</t>
        </is>
      </c>
      <c r="H487" s="12" t="inlineStr">
        <is>
          <t>R1 TX-LCI-1 dry-type input transformer</t>
        </is>
      </c>
      <c r="I487" s="12" t="inlineStr">
        <is>
          <t>Control</t>
        </is>
      </c>
      <c r="J487" s="12" t="inlineStr">
        <is>
          <t>Control cable 600 V Type TC-ER, Cu #14 AWG, PVC jacket</t>
        </is>
      </c>
      <c r="K487" s="12" t="inlineStr">
        <is>
          <t>CT|7/C|14</t>
        </is>
      </c>
      <c r="L487" s="12" t="inlineStr">
        <is>
          <t>7/C</t>
        </is>
      </c>
      <c r="M487" s="12" t="inlineStr">
        <is>
          <t>14</t>
        </is>
      </c>
      <c r="N487" s="12" t="n">
        <v>1</v>
      </c>
      <c r="O487" s="12" t="n">
        <v>1</v>
      </c>
      <c r="P487" s="12" t="n"/>
      <c r="Q487" s="12" t="n"/>
      <c r="R487" s="12" t="n"/>
      <c r="S487" s="12" t="inlineStr">
        <is>
          <t>Tray</t>
        </is>
      </c>
      <c r="T487" s="16" t="n">
        <v>0</v>
      </c>
      <c r="U487" s="16" t="n">
        <v>73</v>
      </c>
      <c r="V487" s="16">
        <f>ROUNDUP((T487+U487+2*'Read Me'!$B$13)*(1+'Read Me'!$B$12),-1)</f>
        <v/>
      </c>
      <c r="W487" s="16">
        <f>V487*N487*O487</f>
        <v/>
      </c>
      <c r="X487" s="12">
        <f>IF(LEFT(I487,2)="MV",2*N487*IF(L487="1/C",O487,1),0)</f>
        <v/>
      </c>
      <c r="Y487" s="12">
        <f>IF(OR(LEFT(K487,4)="LVAX",LEFT(K487,6)="MV15AX",LEFT(K487,4)="CTAX",LEFT(K487,2)="W|"),2*N487*O487,0)</f>
        <v/>
      </c>
      <c r="Z487" s="12" t="inlineStr"/>
      <c r="AA487" s="12">
        <f>N487*O487</f>
        <v/>
      </c>
    </row>
    <row r="488">
      <c r="A488" s="12" t="inlineStr">
        <is>
          <t>A-C-0476</t>
        </is>
      </c>
      <c r="B488" s="12" t="inlineStr">
        <is>
          <t>A</t>
        </is>
      </c>
      <c r="C488" s="12" t="inlineStr">
        <is>
          <t>Power block</t>
        </is>
      </c>
      <c r="D488" s="12" t="inlineStr">
        <is>
          <t>Control</t>
        </is>
      </c>
      <c r="E488" s="12" t="inlineStr">
        <is>
          <t>R1</t>
        </is>
      </c>
      <c r="F488" s="12" t="inlineStr">
        <is>
          <t>R1: main electrical building (64 x 180 ft)</t>
        </is>
      </c>
      <c r="G488" s="12" t="inlineStr">
        <is>
          <t>TX-LCI-1</t>
        </is>
      </c>
      <c r="H488" s="12" t="inlineStr">
        <is>
          <t>R1 TX-LCI-1 dry-type input transformer</t>
        </is>
      </c>
      <c r="I488" s="12" t="inlineStr">
        <is>
          <t>Control</t>
        </is>
      </c>
      <c r="J488" s="12" t="inlineStr">
        <is>
          <t>Control cable 600 V Type TC-ER, Cu #14 AWG, PVC jacket</t>
        </is>
      </c>
      <c r="K488" s="12" t="inlineStr">
        <is>
          <t>CT|12/C|14</t>
        </is>
      </c>
      <c r="L488" s="12" t="inlineStr">
        <is>
          <t>12/C</t>
        </is>
      </c>
      <c r="M488" s="12" t="inlineStr">
        <is>
          <t>14</t>
        </is>
      </c>
      <c r="N488" s="12" t="n">
        <v>1</v>
      </c>
      <c r="O488" s="12" t="n">
        <v>1</v>
      </c>
      <c r="P488" s="12" t="n"/>
      <c r="Q488" s="12" t="n"/>
      <c r="R488" s="12" t="n"/>
      <c r="S488" s="12" t="inlineStr">
        <is>
          <t>Tray</t>
        </is>
      </c>
      <c r="T488" s="16" t="n">
        <v>0</v>
      </c>
      <c r="U488" s="16" t="n">
        <v>73</v>
      </c>
      <c r="V488" s="16">
        <f>ROUNDUP((T488+U488+2*'Read Me'!$B$13)*(1+'Read Me'!$B$12),-1)</f>
        <v/>
      </c>
      <c r="W488" s="16">
        <f>V488*N488*O488</f>
        <v/>
      </c>
      <c r="X488" s="12">
        <f>IF(LEFT(I488,2)="MV",2*N488*IF(L488="1/C",O488,1),0)</f>
        <v/>
      </c>
      <c r="Y488" s="12">
        <f>IF(OR(LEFT(K488,4)="LVAX",LEFT(K488,6)="MV15AX",LEFT(K488,4)="CTAX",LEFT(K488,2)="W|"),2*N488*O488,0)</f>
        <v/>
      </c>
      <c r="Z488" s="12" t="inlineStr"/>
      <c r="AA488" s="12">
        <f>N488*O488</f>
        <v/>
      </c>
    </row>
    <row r="489">
      <c r="A489" s="12" t="inlineStr">
        <is>
          <t>A-C-0477</t>
        </is>
      </c>
      <c r="B489" s="12" t="inlineStr">
        <is>
          <t>A</t>
        </is>
      </c>
      <c r="C489" s="12" t="inlineStr">
        <is>
          <t>Power block</t>
        </is>
      </c>
      <c r="D489" s="12" t="inlineStr">
        <is>
          <t>CT / VT</t>
        </is>
      </c>
      <c r="E489" s="12" t="inlineStr">
        <is>
          <t>R1</t>
        </is>
      </c>
      <c r="F489" s="12" t="inlineStr">
        <is>
          <t>R1: main electrical building (64 x 180 ft)</t>
        </is>
      </c>
      <c r="G489" s="12" t="inlineStr">
        <is>
          <t>TX-LCI-1</t>
        </is>
      </c>
      <c r="H489" s="12" t="inlineStr">
        <is>
          <t>R1 TX-LCI-1 dry-type input transformer</t>
        </is>
      </c>
      <c r="I489" s="12" t="inlineStr">
        <is>
          <t>Control</t>
        </is>
      </c>
      <c r="J489" s="12" t="inlineStr">
        <is>
          <t>Control cable 600 V Type TC-ER, Cu #10 AWG (CT / VT circuits)</t>
        </is>
      </c>
      <c r="K489" s="12" t="inlineStr">
        <is>
          <t>CTCT|4/C|10</t>
        </is>
      </c>
      <c r="L489" s="12" t="inlineStr">
        <is>
          <t>4/C</t>
        </is>
      </c>
      <c r="M489" s="12" t="inlineStr">
        <is>
          <t>10</t>
        </is>
      </c>
      <c r="N489" s="12" t="n">
        <v>1</v>
      </c>
      <c r="O489" s="12" t="n">
        <v>1</v>
      </c>
      <c r="P489" s="12" t="n"/>
      <c r="Q489" s="12" t="n"/>
      <c r="R489" s="12" t="n"/>
      <c r="S489" s="12" t="inlineStr">
        <is>
          <t>Tray</t>
        </is>
      </c>
      <c r="T489" s="16" t="n">
        <v>0</v>
      </c>
      <c r="U489" s="16" t="n">
        <v>73</v>
      </c>
      <c r="V489" s="16">
        <f>ROUNDUP((T489+U489+2*'Read Me'!$B$13)*(1+'Read Me'!$B$12),-1)</f>
        <v/>
      </c>
      <c r="W489" s="16">
        <f>V489*N489*O489</f>
        <v/>
      </c>
      <c r="X489" s="12">
        <f>IF(LEFT(I489,2)="MV",2*N489*IF(L489="1/C",O489,1),0)</f>
        <v/>
      </c>
      <c r="Y489" s="12">
        <f>IF(OR(LEFT(K489,4)="LVAX",LEFT(K489,6)="MV15AX",LEFT(K489,4)="CTAX",LEFT(K489,2)="W|"),2*N489*O489,0)</f>
        <v/>
      </c>
      <c r="Z489" s="12" t="inlineStr"/>
      <c r="AA489" s="12">
        <f>N489*O489</f>
        <v/>
      </c>
    </row>
    <row r="490">
      <c r="A490" s="12" t="inlineStr">
        <is>
          <t>A-C-0478</t>
        </is>
      </c>
      <c r="B490" s="12" t="inlineStr">
        <is>
          <t>A</t>
        </is>
      </c>
      <c r="C490" s="12" t="inlineStr">
        <is>
          <t>Power block</t>
        </is>
      </c>
      <c r="D490" s="12" t="inlineStr">
        <is>
          <t>CT / VT</t>
        </is>
      </c>
      <c r="E490" s="12" t="inlineStr">
        <is>
          <t>R1</t>
        </is>
      </c>
      <c r="F490" s="12" t="inlineStr">
        <is>
          <t>R1: main electrical building (64 x 180 ft)</t>
        </is>
      </c>
      <c r="G490" s="12" t="inlineStr">
        <is>
          <t>TX-LCI-1</t>
        </is>
      </c>
      <c r="H490" s="12" t="inlineStr">
        <is>
          <t>R1 TX-LCI-1 dry-type input transformer</t>
        </is>
      </c>
      <c r="I490" s="12" t="inlineStr">
        <is>
          <t>Control</t>
        </is>
      </c>
      <c r="J490" s="12" t="inlineStr">
        <is>
          <t>Control cable 600 V Type TC-ER, Cu #10 AWG (CT / VT circuits)</t>
        </is>
      </c>
      <c r="K490" s="12" t="inlineStr">
        <is>
          <t>CTCT|4/C|10</t>
        </is>
      </c>
      <c r="L490" s="12" t="inlineStr">
        <is>
          <t>4/C</t>
        </is>
      </c>
      <c r="M490" s="12" t="inlineStr">
        <is>
          <t>10</t>
        </is>
      </c>
      <c r="N490" s="12" t="n">
        <v>1</v>
      </c>
      <c r="O490" s="12" t="n">
        <v>1</v>
      </c>
      <c r="P490" s="12" t="n"/>
      <c r="Q490" s="12" t="n"/>
      <c r="R490" s="12" t="n"/>
      <c r="S490" s="12" t="inlineStr">
        <is>
          <t>Tray</t>
        </is>
      </c>
      <c r="T490" s="16" t="n">
        <v>0</v>
      </c>
      <c r="U490" s="16" t="n">
        <v>73</v>
      </c>
      <c r="V490" s="16">
        <f>ROUNDUP((T490+U490+2*'Read Me'!$B$13)*(1+'Read Me'!$B$12),-1)</f>
        <v/>
      </c>
      <c r="W490" s="16">
        <f>V490*N490*O490</f>
        <v/>
      </c>
      <c r="X490" s="12">
        <f>IF(LEFT(I490,2)="MV",2*N490*IF(L490="1/C",O490,1),0)</f>
        <v/>
      </c>
      <c r="Y490" s="12">
        <f>IF(OR(LEFT(K490,4)="LVAX",LEFT(K490,6)="MV15AX",LEFT(K490,4)="CTAX",LEFT(K490,2)="W|"),2*N490*O490,0)</f>
        <v/>
      </c>
      <c r="Z490" s="12" t="inlineStr"/>
      <c r="AA490" s="12">
        <f>N490*O490</f>
        <v/>
      </c>
    </row>
    <row r="491">
      <c r="A491" s="12" t="inlineStr">
        <is>
          <t>A-C-0479</t>
        </is>
      </c>
      <c r="B491" s="12" t="inlineStr">
        <is>
          <t>A</t>
        </is>
      </c>
      <c r="C491" s="12" t="inlineStr">
        <is>
          <t>Power block</t>
        </is>
      </c>
      <c r="D491" s="12" t="inlineStr">
        <is>
          <t>Control</t>
        </is>
      </c>
      <c r="E491" s="12" t="inlineStr">
        <is>
          <t>R1</t>
        </is>
      </c>
      <c r="F491" s="12" t="inlineStr">
        <is>
          <t>R1: main electrical building (64 x 180 ft)</t>
        </is>
      </c>
      <c r="G491" s="12" t="inlineStr">
        <is>
          <t>TX-LCI-2</t>
        </is>
      </c>
      <c r="H491" s="12" t="inlineStr">
        <is>
          <t>R1 TX-LCI-2 dry-type input transformer</t>
        </is>
      </c>
      <c r="I491" s="12" t="inlineStr">
        <is>
          <t>Control</t>
        </is>
      </c>
      <c r="J491" s="12" t="inlineStr">
        <is>
          <t>Control cable 600 V Type TC-ER, Cu #14 AWG, PVC jacket</t>
        </is>
      </c>
      <c r="K491" s="12" t="inlineStr">
        <is>
          <t>CT|7/C|14</t>
        </is>
      </c>
      <c r="L491" s="12" t="inlineStr">
        <is>
          <t>7/C</t>
        </is>
      </c>
      <c r="M491" s="12" t="inlineStr">
        <is>
          <t>14</t>
        </is>
      </c>
      <c r="N491" s="12" t="n">
        <v>1</v>
      </c>
      <c r="O491" s="12" t="n">
        <v>1</v>
      </c>
      <c r="P491" s="12" t="n"/>
      <c r="Q491" s="12" t="n"/>
      <c r="R491" s="12" t="n"/>
      <c r="S491" s="12" t="inlineStr">
        <is>
          <t>Tray</t>
        </is>
      </c>
      <c r="T491" s="16" t="n">
        <v>0</v>
      </c>
      <c r="U491" s="16" t="n">
        <v>109</v>
      </c>
      <c r="V491" s="16">
        <f>ROUNDUP((T491+U491+2*'Read Me'!$B$13)*(1+'Read Me'!$B$12),-1)</f>
        <v/>
      </c>
      <c r="W491" s="16">
        <f>V491*N491*O491</f>
        <v/>
      </c>
      <c r="X491" s="12">
        <f>IF(LEFT(I491,2)="MV",2*N491*IF(L491="1/C",O491,1),0)</f>
        <v/>
      </c>
      <c r="Y491" s="12">
        <f>IF(OR(LEFT(K491,4)="LVAX",LEFT(K491,6)="MV15AX",LEFT(K491,4)="CTAX",LEFT(K491,2)="W|"),2*N491*O491,0)</f>
        <v/>
      </c>
      <c r="Z491" s="12" t="inlineStr"/>
      <c r="AA491" s="12">
        <f>N491*O491</f>
        <v/>
      </c>
    </row>
    <row r="492">
      <c r="A492" s="12" t="inlineStr">
        <is>
          <t>A-C-0480</t>
        </is>
      </c>
      <c r="B492" s="12" t="inlineStr">
        <is>
          <t>A</t>
        </is>
      </c>
      <c r="C492" s="12" t="inlineStr">
        <is>
          <t>Power block</t>
        </is>
      </c>
      <c r="D492" s="12" t="inlineStr">
        <is>
          <t>Control</t>
        </is>
      </c>
      <c r="E492" s="12" t="inlineStr">
        <is>
          <t>R1</t>
        </is>
      </c>
      <c r="F492" s="12" t="inlineStr">
        <is>
          <t>R1: main electrical building (64 x 180 ft)</t>
        </is>
      </c>
      <c r="G492" s="12" t="inlineStr">
        <is>
          <t>TX-LCI-2</t>
        </is>
      </c>
      <c r="H492" s="12" t="inlineStr">
        <is>
          <t>R1 TX-LCI-2 dry-type input transformer</t>
        </is>
      </c>
      <c r="I492" s="12" t="inlineStr">
        <is>
          <t>Control</t>
        </is>
      </c>
      <c r="J492" s="12" t="inlineStr">
        <is>
          <t>Control cable 600 V Type TC-ER, Cu #14 AWG, PVC jacket</t>
        </is>
      </c>
      <c r="K492" s="12" t="inlineStr">
        <is>
          <t>CT|12/C|14</t>
        </is>
      </c>
      <c r="L492" s="12" t="inlineStr">
        <is>
          <t>12/C</t>
        </is>
      </c>
      <c r="M492" s="12" t="inlineStr">
        <is>
          <t>14</t>
        </is>
      </c>
      <c r="N492" s="12" t="n">
        <v>1</v>
      </c>
      <c r="O492" s="12" t="n">
        <v>1</v>
      </c>
      <c r="P492" s="12" t="n"/>
      <c r="Q492" s="12" t="n"/>
      <c r="R492" s="12" t="n"/>
      <c r="S492" s="12" t="inlineStr">
        <is>
          <t>Tray</t>
        </is>
      </c>
      <c r="T492" s="16" t="n">
        <v>0</v>
      </c>
      <c r="U492" s="16" t="n">
        <v>109</v>
      </c>
      <c r="V492" s="16">
        <f>ROUNDUP((T492+U492+2*'Read Me'!$B$13)*(1+'Read Me'!$B$12),-1)</f>
        <v/>
      </c>
      <c r="W492" s="16">
        <f>V492*N492*O492</f>
        <v/>
      </c>
      <c r="X492" s="12">
        <f>IF(LEFT(I492,2)="MV",2*N492*IF(L492="1/C",O492,1),0)</f>
        <v/>
      </c>
      <c r="Y492" s="12">
        <f>IF(OR(LEFT(K492,4)="LVAX",LEFT(K492,6)="MV15AX",LEFT(K492,4)="CTAX",LEFT(K492,2)="W|"),2*N492*O492,0)</f>
        <v/>
      </c>
      <c r="Z492" s="12" t="inlineStr"/>
      <c r="AA492" s="12">
        <f>N492*O492</f>
        <v/>
      </c>
    </row>
    <row r="493">
      <c r="A493" s="12" t="inlineStr">
        <is>
          <t>A-C-0481</t>
        </is>
      </c>
      <c r="B493" s="12" t="inlineStr">
        <is>
          <t>A</t>
        </is>
      </c>
      <c r="C493" s="12" t="inlineStr">
        <is>
          <t>Power block</t>
        </is>
      </c>
      <c r="D493" s="12" t="inlineStr">
        <is>
          <t>CT / VT</t>
        </is>
      </c>
      <c r="E493" s="12" t="inlineStr">
        <is>
          <t>R1</t>
        </is>
      </c>
      <c r="F493" s="12" t="inlineStr">
        <is>
          <t>R1: main electrical building (64 x 180 ft)</t>
        </is>
      </c>
      <c r="G493" s="12" t="inlineStr">
        <is>
          <t>TX-LCI-2</t>
        </is>
      </c>
      <c r="H493" s="12" t="inlineStr">
        <is>
          <t>R1 TX-LCI-2 dry-type input transformer</t>
        </is>
      </c>
      <c r="I493" s="12" t="inlineStr">
        <is>
          <t>Control</t>
        </is>
      </c>
      <c r="J493" s="12" t="inlineStr">
        <is>
          <t>Control cable 600 V Type TC-ER, Cu #10 AWG (CT / VT circuits)</t>
        </is>
      </c>
      <c r="K493" s="12" t="inlineStr">
        <is>
          <t>CTCT|4/C|10</t>
        </is>
      </c>
      <c r="L493" s="12" t="inlineStr">
        <is>
          <t>4/C</t>
        </is>
      </c>
      <c r="M493" s="12" t="inlineStr">
        <is>
          <t>10</t>
        </is>
      </c>
      <c r="N493" s="12" t="n">
        <v>1</v>
      </c>
      <c r="O493" s="12" t="n">
        <v>1</v>
      </c>
      <c r="P493" s="12" t="n"/>
      <c r="Q493" s="12" t="n"/>
      <c r="R493" s="12" t="n"/>
      <c r="S493" s="12" t="inlineStr">
        <is>
          <t>Tray</t>
        </is>
      </c>
      <c r="T493" s="16" t="n">
        <v>0</v>
      </c>
      <c r="U493" s="16" t="n">
        <v>109</v>
      </c>
      <c r="V493" s="16">
        <f>ROUNDUP((T493+U493+2*'Read Me'!$B$13)*(1+'Read Me'!$B$12),-1)</f>
        <v/>
      </c>
      <c r="W493" s="16">
        <f>V493*N493*O493</f>
        <v/>
      </c>
      <c r="X493" s="12">
        <f>IF(LEFT(I493,2)="MV",2*N493*IF(L493="1/C",O493,1),0)</f>
        <v/>
      </c>
      <c r="Y493" s="12">
        <f>IF(OR(LEFT(K493,4)="LVAX",LEFT(K493,6)="MV15AX",LEFT(K493,4)="CTAX",LEFT(K493,2)="W|"),2*N493*O493,0)</f>
        <v/>
      </c>
      <c r="Z493" s="12" t="inlineStr"/>
      <c r="AA493" s="12">
        <f>N493*O493</f>
        <v/>
      </c>
    </row>
    <row r="494">
      <c r="A494" s="12" t="inlineStr">
        <is>
          <t>A-C-0482</t>
        </is>
      </c>
      <c r="B494" s="12" t="inlineStr">
        <is>
          <t>A</t>
        </is>
      </c>
      <c r="C494" s="12" t="inlineStr">
        <is>
          <t>Power block</t>
        </is>
      </c>
      <c r="D494" s="12" t="inlineStr">
        <is>
          <t>CT / VT</t>
        </is>
      </c>
      <c r="E494" s="12" t="inlineStr">
        <is>
          <t>R1</t>
        </is>
      </c>
      <c r="F494" s="12" t="inlineStr">
        <is>
          <t>R1: main electrical building (64 x 180 ft)</t>
        </is>
      </c>
      <c r="G494" s="12" t="inlineStr">
        <is>
          <t>TX-LCI-2</t>
        </is>
      </c>
      <c r="H494" s="12" t="inlineStr">
        <is>
          <t>R1 TX-LCI-2 dry-type input transformer</t>
        </is>
      </c>
      <c r="I494" s="12" t="inlineStr">
        <is>
          <t>Control</t>
        </is>
      </c>
      <c r="J494" s="12" t="inlineStr">
        <is>
          <t>Control cable 600 V Type TC-ER, Cu #10 AWG (CT / VT circuits)</t>
        </is>
      </c>
      <c r="K494" s="12" t="inlineStr">
        <is>
          <t>CTCT|4/C|10</t>
        </is>
      </c>
      <c r="L494" s="12" t="inlineStr">
        <is>
          <t>4/C</t>
        </is>
      </c>
      <c r="M494" s="12" t="inlineStr">
        <is>
          <t>10</t>
        </is>
      </c>
      <c r="N494" s="12" t="n">
        <v>1</v>
      </c>
      <c r="O494" s="12" t="n">
        <v>1</v>
      </c>
      <c r="P494" s="12" t="n"/>
      <c r="Q494" s="12" t="n"/>
      <c r="R494" s="12" t="n"/>
      <c r="S494" s="12" t="inlineStr">
        <is>
          <t>Tray</t>
        </is>
      </c>
      <c r="T494" s="16" t="n">
        <v>0</v>
      </c>
      <c r="U494" s="16" t="n">
        <v>109</v>
      </c>
      <c r="V494" s="16">
        <f>ROUNDUP((T494+U494+2*'Read Me'!$B$13)*(1+'Read Me'!$B$12),-1)</f>
        <v/>
      </c>
      <c r="W494" s="16">
        <f>V494*N494*O494</f>
        <v/>
      </c>
      <c r="X494" s="12">
        <f>IF(LEFT(I494,2)="MV",2*N494*IF(L494="1/C",O494,1),0)</f>
        <v/>
      </c>
      <c r="Y494" s="12">
        <f>IF(OR(LEFT(K494,4)="LVAX",LEFT(K494,6)="MV15AX",LEFT(K494,4)="CTAX",LEFT(K494,2)="W|"),2*N494*O494,0)</f>
        <v/>
      </c>
      <c r="Z494" s="12" t="inlineStr"/>
      <c r="AA494" s="12">
        <f>N494*O494</f>
        <v/>
      </c>
    </row>
    <row r="495">
      <c r="A495" s="12" t="inlineStr">
        <is>
          <t>A-C-0483</t>
        </is>
      </c>
      <c r="B495" s="12" t="inlineStr">
        <is>
          <t>A</t>
        </is>
      </c>
      <c r="C495" s="12" t="inlineStr">
        <is>
          <t>Power block</t>
        </is>
      </c>
      <c r="D495" s="12" t="inlineStr">
        <is>
          <t>Control</t>
        </is>
      </c>
      <c r="E495" s="12" t="inlineStr">
        <is>
          <t>R1</t>
        </is>
      </c>
      <c r="F495" s="12" t="inlineStr">
        <is>
          <t>R1: main electrical building (64 x 180 ft)</t>
        </is>
      </c>
      <c r="G495" s="12" t="inlineStr">
        <is>
          <t>TX-LCI-3</t>
        </is>
      </c>
      <c r="H495" s="12" t="inlineStr">
        <is>
          <t>R1 TX-LCI-3 dry-type input transformer</t>
        </is>
      </c>
      <c r="I495" s="12" t="inlineStr">
        <is>
          <t>Control</t>
        </is>
      </c>
      <c r="J495" s="12" t="inlineStr">
        <is>
          <t>Control cable 600 V Type TC-ER, Cu #14 AWG, PVC jacket</t>
        </is>
      </c>
      <c r="K495" s="12" t="inlineStr">
        <is>
          <t>CT|7/C|14</t>
        </is>
      </c>
      <c r="L495" s="12" t="inlineStr">
        <is>
          <t>7/C</t>
        </is>
      </c>
      <c r="M495" s="12" t="inlineStr">
        <is>
          <t>14</t>
        </is>
      </c>
      <c r="N495" s="12" t="n">
        <v>1</v>
      </c>
      <c r="O495" s="12" t="n">
        <v>1</v>
      </c>
      <c r="P495" s="12" t="n"/>
      <c r="Q495" s="12" t="n"/>
      <c r="R495" s="12" t="n"/>
      <c r="S495" s="12" t="inlineStr">
        <is>
          <t>Tray</t>
        </is>
      </c>
      <c r="T495" s="16" t="n">
        <v>667</v>
      </c>
      <c r="U495" s="16" t="n">
        <v>144</v>
      </c>
      <c r="V495" s="16">
        <f>ROUNDUP((T495+U495+2*'Read Me'!$B$13)*(1+'Read Me'!$B$12),-1)</f>
        <v/>
      </c>
      <c r="W495" s="16">
        <f>V495*N495*O495</f>
        <v/>
      </c>
      <c r="X495" s="12">
        <f>IF(LEFT(I495,2)="MV",2*N495*IF(L495="1/C",O495,1),0)</f>
        <v/>
      </c>
      <c r="Y495" s="12">
        <f>IF(OR(LEFT(K495,4)="LVAX",LEFT(K495,6)="MV15AX",LEFT(K495,4)="CTAX",LEFT(K495,2)="W|"),2*N495*O495,0)</f>
        <v/>
      </c>
      <c r="Z495" s="12" t="inlineStr"/>
      <c r="AA495" s="12">
        <f>N495*O495</f>
        <v/>
      </c>
    </row>
    <row r="496">
      <c r="A496" s="12" t="inlineStr">
        <is>
          <t>A-C-0484</t>
        </is>
      </c>
      <c r="B496" s="12" t="inlineStr">
        <is>
          <t>A</t>
        </is>
      </c>
      <c r="C496" s="12" t="inlineStr">
        <is>
          <t>Power block</t>
        </is>
      </c>
      <c r="D496" s="12" t="inlineStr">
        <is>
          <t>Control</t>
        </is>
      </c>
      <c r="E496" s="12" t="inlineStr">
        <is>
          <t>R1</t>
        </is>
      </c>
      <c r="F496" s="12" t="inlineStr">
        <is>
          <t>R1: main electrical building (64 x 180 ft)</t>
        </is>
      </c>
      <c r="G496" s="12" t="inlineStr">
        <is>
          <t>TX-LCI-3</t>
        </is>
      </c>
      <c r="H496" s="12" t="inlineStr">
        <is>
          <t>R1 TX-LCI-3 dry-type input transformer</t>
        </is>
      </c>
      <c r="I496" s="12" t="inlineStr">
        <is>
          <t>Control</t>
        </is>
      </c>
      <c r="J496" s="12" t="inlineStr">
        <is>
          <t>Control cable 600 V Type TC-ER, Cu #14 AWG, PVC jacket</t>
        </is>
      </c>
      <c r="K496" s="12" t="inlineStr">
        <is>
          <t>CT|12/C|14</t>
        </is>
      </c>
      <c r="L496" s="12" t="inlineStr">
        <is>
          <t>12/C</t>
        </is>
      </c>
      <c r="M496" s="12" t="inlineStr">
        <is>
          <t>14</t>
        </is>
      </c>
      <c r="N496" s="12" t="n">
        <v>1</v>
      </c>
      <c r="O496" s="12" t="n">
        <v>1</v>
      </c>
      <c r="P496" s="12" t="n"/>
      <c r="Q496" s="12" t="n"/>
      <c r="R496" s="12" t="n"/>
      <c r="S496" s="12" t="inlineStr">
        <is>
          <t>Tray</t>
        </is>
      </c>
      <c r="T496" s="16" t="n">
        <v>667</v>
      </c>
      <c r="U496" s="16" t="n">
        <v>144</v>
      </c>
      <c r="V496" s="16">
        <f>ROUNDUP((T496+U496+2*'Read Me'!$B$13)*(1+'Read Me'!$B$12),-1)</f>
        <v/>
      </c>
      <c r="W496" s="16">
        <f>V496*N496*O496</f>
        <v/>
      </c>
      <c r="X496" s="12">
        <f>IF(LEFT(I496,2)="MV",2*N496*IF(L496="1/C",O496,1),0)</f>
        <v/>
      </c>
      <c r="Y496" s="12">
        <f>IF(OR(LEFT(K496,4)="LVAX",LEFT(K496,6)="MV15AX",LEFT(K496,4)="CTAX",LEFT(K496,2)="W|"),2*N496*O496,0)</f>
        <v/>
      </c>
      <c r="Z496" s="12" t="inlineStr"/>
      <c r="AA496" s="12">
        <f>N496*O496</f>
        <v/>
      </c>
    </row>
    <row r="497">
      <c r="A497" s="12" t="inlineStr">
        <is>
          <t>A-C-0485</t>
        </is>
      </c>
      <c r="B497" s="12" t="inlineStr">
        <is>
          <t>A</t>
        </is>
      </c>
      <c r="C497" s="12" t="inlineStr">
        <is>
          <t>Power block</t>
        </is>
      </c>
      <c r="D497" s="12" t="inlineStr">
        <is>
          <t>CT / VT</t>
        </is>
      </c>
      <c r="E497" s="12" t="inlineStr">
        <is>
          <t>R1</t>
        </is>
      </c>
      <c r="F497" s="12" t="inlineStr">
        <is>
          <t>R1: main electrical building (64 x 180 ft)</t>
        </is>
      </c>
      <c r="G497" s="12" t="inlineStr">
        <is>
          <t>TX-LCI-3</t>
        </is>
      </c>
      <c r="H497" s="12" t="inlineStr">
        <is>
          <t>R1 TX-LCI-3 dry-type input transformer</t>
        </is>
      </c>
      <c r="I497" s="12" t="inlineStr">
        <is>
          <t>Control</t>
        </is>
      </c>
      <c r="J497" s="12" t="inlineStr">
        <is>
          <t>Control cable 600 V Type TC-ER, Cu #10 AWG (CT / VT circuits)</t>
        </is>
      </c>
      <c r="K497" s="12" t="inlineStr">
        <is>
          <t>CTCT|4/C|10</t>
        </is>
      </c>
      <c r="L497" s="12" t="inlineStr">
        <is>
          <t>4/C</t>
        </is>
      </c>
      <c r="M497" s="12" t="inlineStr">
        <is>
          <t>10</t>
        </is>
      </c>
      <c r="N497" s="12" t="n">
        <v>1</v>
      </c>
      <c r="O497" s="12" t="n">
        <v>1</v>
      </c>
      <c r="P497" s="12" t="n"/>
      <c r="Q497" s="12" t="n"/>
      <c r="R497" s="12" t="n"/>
      <c r="S497" s="12" t="inlineStr">
        <is>
          <t>Tray</t>
        </is>
      </c>
      <c r="T497" s="16" t="n">
        <v>667</v>
      </c>
      <c r="U497" s="16" t="n">
        <v>144</v>
      </c>
      <c r="V497" s="16">
        <f>ROUNDUP((T497+U497+2*'Read Me'!$B$13)*(1+'Read Me'!$B$12),-1)</f>
        <v/>
      </c>
      <c r="W497" s="16">
        <f>V497*N497*O497</f>
        <v/>
      </c>
      <c r="X497" s="12">
        <f>IF(LEFT(I497,2)="MV",2*N497*IF(L497="1/C",O497,1),0)</f>
        <v/>
      </c>
      <c r="Y497" s="12">
        <f>IF(OR(LEFT(K497,4)="LVAX",LEFT(K497,6)="MV15AX",LEFT(K497,4)="CTAX",LEFT(K497,2)="W|"),2*N497*O497,0)</f>
        <v/>
      </c>
      <c r="Z497" s="12" t="inlineStr"/>
      <c r="AA497" s="12">
        <f>N497*O497</f>
        <v/>
      </c>
    </row>
    <row r="498">
      <c r="A498" s="12" t="inlineStr">
        <is>
          <t>A-C-0486</t>
        </is>
      </c>
      <c r="B498" s="12" t="inlineStr">
        <is>
          <t>A</t>
        </is>
      </c>
      <c r="C498" s="12" t="inlineStr">
        <is>
          <t>Power block</t>
        </is>
      </c>
      <c r="D498" s="12" t="inlineStr">
        <is>
          <t>CT / VT</t>
        </is>
      </c>
      <c r="E498" s="12" t="inlineStr">
        <is>
          <t>R1</t>
        </is>
      </c>
      <c r="F498" s="12" t="inlineStr">
        <is>
          <t>R1: main electrical building (64 x 180 ft)</t>
        </is>
      </c>
      <c r="G498" s="12" t="inlineStr">
        <is>
          <t>TX-LCI-3</t>
        </is>
      </c>
      <c r="H498" s="12" t="inlineStr">
        <is>
          <t>R1 TX-LCI-3 dry-type input transformer</t>
        </is>
      </c>
      <c r="I498" s="12" t="inlineStr">
        <is>
          <t>Control</t>
        </is>
      </c>
      <c r="J498" s="12" t="inlineStr">
        <is>
          <t>Control cable 600 V Type TC-ER, Cu #10 AWG (CT / VT circuits)</t>
        </is>
      </c>
      <c r="K498" s="12" t="inlineStr">
        <is>
          <t>CTCT|4/C|10</t>
        </is>
      </c>
      <c r="L498" s="12" t="inlineStr">
        <is>
          <t>4/C</t>
        </is>
      </c>
      <c r="M498" s="12" t="inlineStr">
        <is>
          <t>10</t>
        </is>
      </c>
      <c r="N498" s="12" t="n">
        <v>1</v>
      </c>
      <c r="O498" s="12" t="n">
        <v>1</v>
      </c>
      <c r="P498" s="12" t="n"/>
      <c r="Q498" s="12" t="n"/>
      <c r="R498" s="12" t="n"/>
      <c r="S498" s="12" t="inlineStr">
        <is>
          <t>Tray</t>
        </is>
      </c>
      <c r="T498" s="16" t="n">
        <v>667</v>
      </c>
      <c r="U498" s="16" t="n">
        <v>144</v>
      </c>
      <c r="V498" s="16">
        <f>ROUNDUP((T498+U498+2*'Read Me'!$B$13)*(1+'Read Me'!$B$12),-1)</f>
        <v/>
      </c>
      <c r="W498" s="16">
        <f>V498*N498*O498</f>
        <v/>
      </c>
      <c r="X498" s="12">
        <f>IF(LEFT(I498,2)="MV",2*N498*IF(L498="1/C",O498,1),0)</f>
        <v/>
      </c>
      <c r="Y498" s="12">
        <f>IF(OR(LEFT(K498,4)="LVAX",LEFT(K498,6)="MV15AX",LEFT(K498,4)="CTAX",LEFT(K498,2)="W|"),2*N498*O498,0)</f>
        <v/>
      </c>
      <c r="Z498" s="12" t="inlineStr"/>
      <c r="AA498" s="12">
        <f>N498*O498</f>
        <v/>
      </c>
    </row>
    <row r="499">
      <c r="A499" s="12" t="inlineStr">
        <is>
          <t>A-C-0487</t>
        </is>
      </c>
      <c r="B499" s="12" t="inlineStr">
        <is>
          <t>A</t>
        </is>
      </c>
      <c r="C499" s="12" t="inlineStr">
        <is>
          <t>Power block</t>
        </is>
      </c>
      <c r="D499" s="12" t="inlineStr">
        <is>
          <t>Control</t>
        </is>
      </c>
      <c r="E499" s="12" t="inlineStr">
        <is>
          <t>R1</t>
        </is>
      </c>
      <c r="F499" s="12" t="inlineStr">
        <is>
          <t>R1: main electrical building (64 x 180 ft)</t>
        </is>
      </c>
      <c r="G499" s="12" t="inlineStr">
        <is>
          <t>R1</t>
        </is>
      </c>
      <c r="H499" s="12" t="inlineStr">
        <is>
          <t>R1: main electrical building (64 x 180 ft)</t>
        </is>
      </c>
      <c r="I499" s="12" t="inlineStr">
        <is>
          <t>Control</t>
        </is>
      </c>
      <c r="J499" s="12" t="inlineStr">
        <is>
          <t>Control cable 600 V Type TC-ER, Cu #14 AWG, PVC jacket</t>
        </is>
      </c>
      <c r="K499" s="12" t="inlineStr">
        <is>
          <t>CT|7/C|14</t>
        </is>
      </c>
      <c r="L499" s="12" t="inlineStr">
        <is>
          <t>7/C</t>
        </is>
      </c>
      <c r="M499" s="12" t="inlineStr">
        <is>
          <t>14</t>
        </is>
      </c>
      <c r="N499" s="12" t="n">
        <v>1</v>
      </c>
      <c r="O499" s="12" t="n">
        <v>1</v>
      </c>
      <c r="P499" s="12" t="n"/>
      <c r="Q499" s="12" t="n"/>
      <c r="R499" s="12" t="n"/>
      <c r="S499" s="12" t="inlineStr">
        <is>
          <t>Tray</t>
        </is>
      </c>
      <c r="T499" s="16" t="n">
        <v>0</v>
      </c>
      <c r="U499" s="16" t="n">
        <v>32</v>
      </c>
      <c r="V499" s="16">
        <f>ROUNDUP((T499+U499+2*'Read Me'!$B$13)*(1+'Read Me'!$B$12),-1)</f>
        <v/>
      </c>
      <c r="W499" s="16">
        <f>V499*N499*O499</f>
        <v/>
      </c>
      <c r="X499" s="12">
        <f>IF(LEFT(I499,2)="MV",2*N499*IF(L499="1/C",O499,1),0)</f>
        <v/>
      </c>
      <c r="Y499" s="12">
        <f>IF(OR(LEFT(K499,4)="LVAX",LEFT(K499,6)="MV15AX",LEFT(K499,4)="CTAX",LEFT(K499,2)="W|"),2*N499*O499,0)</f>
        <v/>
      </c>
      <c r="Z499" s="12" t="inlineStr"/>
      <c r="AA499" s="12">
        <f>N499*O499</f>
        <v/>
      </c>
    </row>
    <row r="500">
      <c r="A500" s="12" t="inlineStr">
        <is>
          <t>A-C-0488</t>
        </is>
      </c>
      <c r="B500" s="12" t="inlineStr">
        <is>
          <t>A</t>
        </is>
      </c>
      <c r="C500" s="12" t="inlineStr">
        <is>
          <t>Power block</t>
        </is>
      </c>
      <c r="D500" s="12" t="inlineStr">
        <is>
          <t>Control</t>
        </is>
      </c>
      <c r="E500" s="12" t="inlineStr">
        <is>
          <t>R2A</t>
        </is>
      </c>
      <c r="F500" s="12" t="inlineStr">
        <is>
          <t>R2A: unit / HRSG electrical e-house (32 x 40 ft)</t>
        </is>
      </c>
      <c r="G500" s="12" t="inlineStr">
        <is>
          <t>R2A</t>
        </is>
      </c>
      <c r="H500" s="12" t="inlineStr">
        <is>
          <t>R2A: unit / HRSG electrical e-house (32 x 40 ft)</t>
        </is>
      </c>
      <c r="I500" s="12" t="inlineStr">
        <is>
          <t>Control</t>
        </is>
      </c>
      <c r="J500" s="12" t="inlineStr">
        <is>
          <t>Control cable 600 V Type TC-ER, Cu #14 AWG, PVC jacket</t>
        </is>
      </c>
      <c r="K500" s="12" t="inlineStr">
        <is>
          <t>CT|7/C|14</t>
        </is>
      </c>
      <c r="L500" s="12" t="inlineStr">
        <is>
          <t>7/C</t>
        </is>
      </c>
      <c r="M500" s="12" t="inlineStr">
        <is>
          <t>14</t>
        </is>
      </c>
      <c r="N500" s="12" t="n">
        <v>1</v>
      </c>
      <c r="O500" s="12" t="n">
        <v>1</v>
      </c>
      <c r="P500" s="12" t="n"/>
      <c r="Q500" s="12" t="n"/>
      <c r="R500" s="12" t="n"/>
      <c r="S500" s="12" t="inlineStr">
        <is>
          <t>Tray</t>
        </is>
      </c>
      <c r="T500" s="16" t="n">
        <v>0</v>
      </c>
      <c r="U500" s="16" t="n">
        <v>72</v>
      </c>
      <c r="V500" s="16">
        <f>ROUNDUP((T500+U500+2*'Read Me'!$B$13)*(1+'Read Me'!$B$12),-1)</f>
        <v/>
      </c>
      <c r="W500" s="16">
        <f>V500*N500*O500</f>
        <v/>
      </c>
      <c r="X500" s="12">
        <f>IF(LEFT(I500,2)="MV",2*N500*IF(L500="1/C",O500,1),0)</f>
        <v/>
      </c>
      <c r="Y500" s="12">
        <f>IF(OR(LEFT(K500,4)="LVAX",LEFT(K500,6)="MV15AX",LEFT(K500,4)="CTAX",LEFT(K500,2)="W|"),2*N500*O500,0)</f>
        <v/>
      </c>
      <c r="Z500" s="12" t="inlineStr"/>
      <c r="AA500" s="12">
        <f>N500*O500</f>
        <v/>
      </c>
    </row>
    <row r="501">
      <c r="A501" s="12" t="inlineStr">
        <is>
          <t>A-C-0489</t>
        </is>
      </c>
      <c r="B501" s="12" t="inlineStr">
        <is>
          <t>A</t>
        </is>
      </c>
      <c r="C501" s="12" t="inlineStr">
        <is>
          <t>Power block</t>
        </is>
      </c>
      <c r="D501" s="12" t="inlineStr">
        <is>
          <t>Control</t>
        </is>
      </c>
      <c r="E501" s="12" t="inlineStr">
        <is>
          <t>R2B</t>
        </is>
      </c>
      <c r="F501" s="12" t="inlineStr">
        <is>
          <t>R2B: unit / HRSG electrical e-house (32 x 40 ft)</t>
        </is>
      </c>
      <c r="G501" s="12" t="inlineStr">
        <is>
          <t>R2B</t>
        </is>
      </c>
      <c r="H501" s="12" t="inlineStr">
        <is>
          <t>R2B: unit / HRSG electrical e-house (32 x 40 ft)</t>
        </is>
      </c>
      <c r="I501" s="12" t="inlineStr">
        <is>
          <t>Control</t>
        </is>
      </c>
      <c r="J501" s="12" t="inlineStr">
        <is>
          <t>Control cable 600 V Type TC-ER, Cu #14 AWG, PVC jacket</t>
        </is>
      </c>
      <c r="K501" s="12" t="inlineStr">
        <is>
          <t>CT|7/C|14</t>
        </is>
      </c>
      <c r="L501" s="12" t="inlineStr">
        <is>
          <t>7/C</t>
        </is>
      </c>
      <c r="M501" s="12" t="inlineStr">
        <is>
          <t>14</t>
        </is>
      </c>
      <c r="N501" s="12" t="n">
        <v>1</v>
      </c>
      <c r="O501" s="12" t="n">
        <v>1</v>
      </c>
      <c r="P501" s="12" t="n"/>
      <c r="Q501" s="12" t="n"/>
      <c r="R501" s="12" t="n"/>
      <c r="S501" s="12" t="inlineStr">
        <is>
          <t>Tray</t>
        </is>
      </c>
      <c r="T501" s="16" t="n">
        <v>0</v>
      </c>
      <c r="U501" s="16" t="n">
        <v>72</v>
      </c>
      <c r="V501" s="16">
        <f>ROUNDUP((T501+U501+2*'Read Me'!$B$13)*(1+'Read Me'!$B$12),-1)</f>
        <v/>
      </c>
      <c r="W501" s="16">
        <f>V501*N501*O501</f>
        <v/>
      </c>
      <c r="X501" s="12">
        <f>IF(LEFT(I501,2)="MV",2*N501*IF(L501="1/C",O501,1),0)</f>
        <v/>
      </c>
      <c r="Y501" s="12">
        <f>IF(OR(LEFT(K501,4)="LVAX",LEFT(K501,6)="MV15AX",LEFT(K501,4)="CTAX",LEFT(K501,2)="W|"),2*N501*O501,0)</f>
        <v/>
      </c>
      <c r="Z501" s="12" t="inlineStr"/>
      <c r="AA501" s="12">
        <f>N501*O501</f>
        <v/>
      </c>
    </row>
    <row r="502">
      <c r="A502" s="12" t="inlineStr">
        <is>
          <t>A-C-0490</t>
        </is>
      </c>
      <c r="B502" s="12" t="inlineStr">
        <is>
          <t>A</t>
        </is>
      </c>
      <c r="C502" s="12" t="inlineStr">
        <is>
          <t>Power block</t>
        </is>
      </c>
      <c r="D502" s="12" t="inlineStr">
        <is>
          <t>Control</t>
        </is>
      </c>
      <c r="E502" s="12" t="inlineStr">
        <is>
          <t>R2C</t>
        </is>
      </c>
      <c r="F502" s="12" t="inlineStr">
        <is>
          <t>R2C: unit / HRSG electrical e-house (32 x 40 ft)</t>
        </is>
      </c>
      <c r="G502" s="12" t="inlineStr">
        <is>
          <t>R2C</t>
        </is>
      </c>
      <c r="H502" s="12" t="inlineStr">
        <is>
          <t>R2C: unit / HRSG electrical e-house (32 x 40 ft)</t>
        </is>
      </c>
      <c r="I502" s="12" t="inlineStr">
        <is>
          <t>Control</t>
        </is>
      </c>
      <c r="J502" s="12" t="inlineStr">
        <is>
          <t>Control cable 600 V Type TC-ER, Cu #14 AWG, PVC jacket</t>
        </is>
      </c>
      <c r="K502" s="12" t="inlineStr">
        <is>
          <t>CT|7/C|14</t>
        </is>
      </c>
      <c r="L502" s="12" t="inlineStr">
        <is>
          <t>7/C</t>
        </is>
      </c>
      <c r="M502" s="12" t="inlineStr">
        <is>
          <t>14</t>
        </is>
      </c>
      <c r="N502" s="12" t="n">
        <v>1</v>
      </c>
      <c r="O502" s="12" t="n">
        <v>1</v>
      </c>
      <c r="P502" s="12" t="n"/>
      <c r="Q502" s="12" t="n"/>
      <c r="R502" s="12" t="n"/>
      <c r="S502" s="12" t="inlineStr">
        <is>
          <t>Tray</t>
        </is>
      </c>
      <c r="T502" s="16" t="n">
        <v>0</v>
      </c>
      <c r="U502" s="16" t="n">
        <v>72</v>
      </c>
      <c r="V502" s="16">
        <f>ROUNDUP((T502+U502+2*'Read Me'!$B$13)*(1+'Read Me'!$B$12),-1)</f>
        <v/>
      </c>
      <c r="W502" s="16">
        <f>V502*N502*O502</f>
        <v/>
      </c>
      <c r="X502" s="12">
        <f>IF(LEFT(I502,2)="MV",2*N502*IF(L502="1/C",O502,1),0)</f>
        <v/>
      </c>
      <c r="Y502" s="12">
        <f>IF(OR(LEFT(K502,4)="LVAX",LEFT(K502,6)="MV15AX",LEFT(K502,4)="CTAX",LEFT(K502,2)="W|"),2*N502*O502,0)</f>
        <v/>
      </c>
      <c r="Z502" s="12" t="inlineStr"/>
      <c r="AA502" s="12">
        <f>N502*O502</f>
        <v/>
      </c>
    </row>
    <row r="503">
      <c r="A503" s="12" t="inlineStr">
        <is>
          <t>A-C-0491</t>
        </is>
      </c>
      <c r="B503" s="12" t="inlineStr">
        <is>
          <t>A</t>
        </is>
      </c>
      <c r="C503" s="12" t="inlineStr">
        <is>
          <t>Power block</t>
        </is>
      </c>
      <c r="D503" s="12" t="inlineStr">
        <is>
          <t>Control</t>
        </is>
      </c>
      <c r="E503" s="12" t="inlineStr">
        <is>
          <t>R3</t>
        </is>
      </c>
      <c r="F503" s="12" t="inlineStr">
        <is>
          <t>R3: ST auxiliary electrical e-house (40 x 65 ft)</t>
        </is>
      </c>
      <c r="G503" s="12" t="inlineStr">
        <is>
          <t>R3</t>
        </is>
      </c>
      <c r="H503" s="12" t="inlineStr">
        <is>
          <t>R3: ST auxiliary electrical e-house (40 x 65 ft)</t>
        </is>
      </c>
      <c r="I503" s="12" t="inlineStr">
        <is>
          <t>Control</t>
        </is>
      </c>
      <c r="J503" s="12" t="inlineStr">
        <is>
          <t>Control cable 600 V Type TC-ER, Cu #14 AWG, PVC jacket</t>
        </is>
      </c>
      <c r="K503" s="12" t="inlineStr">
        <is>
          <t>CT|7/C|14</t>
        </is>
      </c>
      <c r="L503" s="12" t="inlineStr">
        <is>
          <t>7/C</t>
        </is>
      </c>
      <c r="M503" s="12" t="inlineStr">
        <is>
          <t>14</t>
        </is>
      </c>
      <c r="N503" s="12" t="n">
        <v>1</v>
      </c>
      <c r="O503" s="12" t="n">
        <v>1</v>
      </c>
      <c r="P503" s="12" t="n"/>
      <c r="Q503" s="12" t="n"/>
      <c r="R503" s="12" t="n"/>
      <c r="S503" s="12" t="inlineStr">
        <is>
          <t>Tray</t>
        </is>
      </c>
      <c r="T503" s="16" t="n">
        <v>0</v>
      </c>
      <c r="U503" s="16" t="n">
        <v>32</v>
      </c>
      <c r="V503" s="16">
        <f>ROUNDUP((T503+U503+2*'Read Me'!$B$13)*(1+'Read Me'!$B$12),-1)</f>
        <v/>
      </c>
      <c r="W503" s="16">
        <f>V503*N503*O503</f>
        <v/>
      </c>
      <c r="X503" s="12">
        <f>IF(LEFT(I503,2)="MV",2*N503*IF(L503="1/C",O503,1),0)</f>
        <v/>
      </c>
      <c r="Y503" s="12">
        <f>IF(OR(LEFT(K503,4)="LVAX",LEFT(K503,6)="MV15AX",LEFT(K503,4)="CTAX",LEFT(K503,2)="W|"),2*N503*O503,0)</f>
        <v/>
      </c>
      <c r="Z503" s="12" t="inlineStr"/>
      <c r="AA503" s="12">
        <f>N503*O503</f>
        <v/>
      </c>
    </row>
    <row r="504">
      <c r="A504" s="12" t="inlineStr">
        <is>
          <t>A-C-0492</t>
        </is>
      </c>
      <c r="B504" s="12" t="inlineStr">
        <is>
          <t>A</t>
        </is>
      </c>
      <c r="C504" s="12" t="inlineStr">
        <is>
          <t>Power block</t>
        </is>
      </c>
      <c r="D504" s="12" t="inlineStr">
        <is>
          <t>Motor 1 of 2: control / local station</t>
        </is>
      </c>
      <c r="E504" s="12" t="inlineStr">
        <is>
          <t>R2A</t>
        </is>
      </c>
      <c r="F504" s="12" t="inlineStr">
        <is>
          <t>R2A: unit / HRSG electrical e-house (32 x 40 ft)</t>
        </is>
      </c>
      <c r="G504" s="12" t="inlineStr">
        <is>
          <t>SCRB-1</t>
        </is>
      </c>
      <c r="H504" s="12" t="inlineStr">
        <is>
          <t>SCRB-1A/B: SCR dilution-air blowers</t>
        </is>
      </c>
      <c r="I504" s="12" t="inlineStr">
        <is>
          <t>Control</t>
        </is>
      </c>
      <c r="J504" s="12" t="inlineStr">
        <is>
          <t>Control cable 600 V Type TC-ER, Cu #14 AWG, PVC jacket</t>
        </is>
      </c>
      <c r="K504" s="12" t="inlineStr">
        <is>
          <t>CT|7/C|14</t>
        </is>
      </c>
      <c r="L504" s="12" t="inlineStr">
        <is>
          <t>7/C</t>
        </is>
      </c>
      <c r="M504" s="12" t="inlineStr">
        <is>
          <t>14</t>
        </is>
      </c>
      <c r="N504" s="12" t="n">
        <v>1</v>
      </c>
      <c r="O504" s="12" t="n">
        <v>1</v>
      </c>
      <c r="P504" s="12" t="n"/>
      <c r="Q504" s="12" t="n"/>
      <c r="R504" s="12" t="n"/>
      <c r="S504" s="12" t="inlineStr">
        <is>
          <t>Tray</t>
        </is>
      </c>
      <c r="T504" s="16" t="n">
        <v>404</v>
      </c>
      <c r="U504" s="16" t="n">
        <v>72</v>
      </c>
      <c r="V504" s="16">
        <f>ROUNDUP((T504+U504+2*'Read Me'!$B$13)*(1+'Read Me'!$B$12),-1)</f>
        <v/>
      </c>
      <c r="W504" s="16">
        <f>V504*N504*O504</f>
        <v/>
      </c>
      <c r="X504" s="12">
        <f>IF(LEFT(I504,2)="MV",2*N504*IF(L504="1/C",O504,1),0)</f>
        <v/>
      </c>
      <c r="Y504" s="12">
        <f>IF(OR(LEFT(K504,4)="LVAX",LEFT(K504,6)="MV15AX",LEFT(K504,4)="CTAX",LEFT(K504,2)="W|"),2*N504*O504,0)</f>
        <v/>
      </c>
      <c r="Z504" s="12" t="inlineStr"/>
      <c r="AA504" s="12">
        <f>N504*O504</f>
        <v/>
      </c>
    </row>
    <row r="505">
      <c r="A505" s="12" t="inlineStr">
        <is>
          <t>A-C-0493</t>
        </is>
      </c>
      <c r="B505" s="12" t="inlineStr">
        <is>
          <t>A</t>
        </is>
      </c>
      <c r="C505" s="12" t="inlineStr">
        <is>
          <t>Power block</t>
        </is>
      </c>
      <c r="D505" s="12" t="inlineStr">
        <is>
          <t>Motor 2 of 2: control / local station</t>
        </is>
      </c>
      <c r="E505" s="12" t="inlineStr">
        <is>
          <t>R2A</t>
        </is>
      </c>
      <c r="F505" s="12" t="inlineStr">
        <is>
          <t>R2A: unit / HRSG electrical e-house (32 x 40 ft)</t>
        </is>
      </c>
      <c r="G505" s="12" t="inlineStr">
        <is>
          <t>SCRB-1</t>
        </is>
      </c>
      <c r="H505" s="12" t="inlineStr">
        <is>
          <t>SCRB-1A/B: SCR dilution-air blowers</t>
        </is>
      </c>
      <c r="I505" s="12" t="inlineStr">
        <is>
          <t>Control</t>
        </is>
      </c>
      <c r="J505" s="12" t="inlineStr">
        <is>
          <t>Control cable 600 V Type TC-ER, Cu #14 AWG, PVC jacket</t>
        </is>
      </c>
      <c r="K505" s="12" t="inlineStr">
        <is>
          <t>CT|7/C|14</t>
        </is>
      </c>
      <c r="L505" s="12" t="inlineStr">
        <is>
          <t>7/C</t>
        </is>
      </c>
      <c r="M505" s="12" t="inlineStr">
        <is>
          <t>14</t>
        </is>
      </c>
      <c r="N505" s="12" t="n">
        <v>1</v>
      </c>
      <c r="O505" s="12" t="n">
        <v>1</v>
      </c>
      <c r="P505" s="12" t="n"/>
      <c r="Q505" s="12" t="n"/>
      <c r="R505" s="12" t="n"/>
      <c r="S505" s="12" t="inlineStr">
        <is>
          <t>Tray</t>
        </is>
      </c>
      <c r="T505" s="16" t="n">
        <v>404</v>
      </c>
      <c r="U505" s="16" t="n">
        <v>72</v>
      </c>
      <c r="V505" s="16">
        <f>ROUNDUP((T505+U505+2*'Read Me'!$B$13)*(1+'Read Me'!$B$12),-1)</f>
        <v/>
      </c>
      <c r="W505" s="16">
        <f>V505*N505*O505</f>
        <v/>
      </c>
      <c r="X505" s="12">
        <f>IF(LEFT(I505,2)="MV",2*N505*IF(L505="1/C",O505,1),0)</f>
        <v/>
      </c>
      <c r="Y505" s="12">
        <f>IF(OR(LEFT(K505,4)="LVAX",LEFT(K505,6)="MV15AX",LEFT(K505,4)="CTAX",LEFT(K505,2)="W|"),2*N505*O505,0)</f>
        <v/>
      </c>
      <c r="Z505" s="12" t="inlineStr"/>
      <c r="AA505" s="12">
        <f>N505*O505</f>
        <v/>
      </c>
    </row>
    <row r="506">
      <c r="A506" s="12" t="inlineStr">
        <is>
          <t>A-C-0494</t>
        </is>
      </c>
      <c r="B506" s="12" t="inlineStr">
        <is>
          <t>A</t>
        </is>
      </c>
      <c r="C506" s="12" t="inlineStr">
        <is>
          <t>Power block</t>
        </is>
      </c>
      <c r="D506" s="12" t="inlineStr">
        <is>
          <t>Motor 1 of 2: control / local station</t>
        </is>
      </c>
      <c r="E506" s="12" t="inlineStr">
        <is>
          <t>R2B</t>
        </is>
      </c>
      <c r="F506" s="12" t="inlineStr">
        <is>
          <t>R2B: unit / HRSG electrical e-house (32 x 40 ft)</t>
        </is>
      </c>
      <c r="G506" s="12" t="inlineStr">
        <is>
          <t>SCRB-2</t>
        </is>
      </c>
      <c r="H506" s="12" t="inlineStr">
        <is>
          <t>SCRB-2A/B: SCR dilution-air blowers</t>
        </is>
      </c>
      <c r="I506" s="12" t="inlineStr">
        <is>
          <t>Control</t>
        </is>
      </c>
      <c r="J506" s="12" t="inlineStr">
        <is>
          <t>Control cable 600 V Type TC-ER, Cu #14 AWG, PVC jacket</t>
        </is>
      </c>
      <c r="K506" s="12" t="inlineStr">
        <is>
          <t>CT|7/C|14</t>
        </is>
      </c>
      <c r="L506" s="12" t="inlineStr">
        <is>
          <t>7/C</t>
        </is>
      </c>
      <c r="M506" s="12" t="inlineStr">
        <is>
          <t>14</t>
        </is>
      </c>
      <c r="N506" s="12" t="n">
        <v>1</v>
      </c>
      <c r="O506" s="12" t="n">
        <v>1</v>
      </c>
      <c r="P506" s="12" t="n"/>
      <c r="Q506" s="12" t="n"/>
      <c r="R506" s="12" t="n"/>
      <c r="S506" s="12" t="inlineStr">
        <is>
          <t>Tray</t>
        </is>
      </c>
      <c r="T506" s="16" t="n">
        <v>404</v>
      </c>
      <c r="U506" s="16" t="n">
        <v>72</v>
      </c>
      <c r="V506" s="16">
        <f>ROUNDUP((T506+U506+2*'Read Me'!$B$13)*(1+'Read Me'!$B$12),-1)</f>
        <v/>
      </c>
      <c r="W506" s="16">
        <f>V506*N506*O506</f>
        <v/>
      </c>
      <c r="X506" s="12">
        <f>IF(LEFT(I506,2)="MV",2*N506*IF(L506="1/C",O506,1),0)</f>
        <v/>
      </c>
      <c r="Y506" s="12">
        <f>IF(OR(LEFT(K506,4)="LVAX",LEFT(K506,6)="MV15AX",LEFT(K506,4)="CTAX",LEFT(K506,2)="W|"),2*N506*O506,0)</f>
        <v/>
      </c>
      <c r="Z506" s="12" t="inlineStr"/>
      <c r="AA506" s="12">
        <f>N506*O506</f>
        <v/>
      </c>
    </row>
    <row r="507">
      <c r="A507" s="12" t="inlineStr">
        <is>
          <t>A-C-0495</t>
        </is>
      </c>
      <c r="B507" s="12" t="inlineStr">
        <is>
          <t>A</t>
        </is>
      </c>
      <c r="C507" s="12" t="inlineStr">
        <is>
          <t>Power block</t>
        </is>
      </c>
      <c r="D507" s="12" t="inlineStr">
        <is>
          <t>Motor 2 of 2: control / local station</t>
        </is>
      </c>
      <c r="E507" s="12" t="inlineStr">
        <is>
          <t>R2B</t>
        </is>
      </c>
      <c r="F507" s="12" t="inlineStr">
        <is>
          <t>R2B: unit / HRSG electrical e-house (32 x 40 ft)</t>
        </is>
      </c>
      <c r="G507" s="12" t="inlineStr">
        <is>
          <t>SCRB-2</t>
        </is>
      </c>
      <c r="H507" s="12" t="inlineStr">
        <is>
          <t>SCRB-2A/B: SCR dilution-air blowers</t>
        </is>
      </c>
      <c r="I507" s="12" t="inlineStr">
        <is>
          <t>Control</t>
        </is>
      </c>
      <c r="J507" s="12" t="inlineStr">
        <is>
          <t>Control cable 600 V Type TC-ER, Cu #14 AWG, PVC jacket</t>
        </is>
      </c>
      <c r="K507" s="12" t="inlineStr">
        <is>
          <t>CT|7/C|14</t>
        </is>
      </c>
      <c r="L507" s="12" t="inlineStr">
        <is>
          <t>7/C</t>
        </is>
      </c>
      <c r="M507" s="12" t="inlineStr">
        <is>
          <t>14</t>
        </is>
      </c>
      <c r="N507" s="12" t="n">
        <v>1</v>
      </c>
      <c r="O507" s="12" t="n">
        <v>1</v>
      </c>
      <c r="P507" s="12" t="n"/>
      <c r="Q507" s="12" t="n"/>
      <c r="R507" s="12" t="n"/>
      <c r="S507" s="12" t="inlineStr">
        <is>
          <t>Tray</t>
        </is>
      </c>
      <c r="T507" s="16" t="n">
        <v>404</v>
      </c>
      <c r="U507" s="16" t="n">
        <v>72</v>
      </c>
      <c r="V507" s="16">
        <f>ROUNDUP((T507+U507+2*'Read Me'!$B$13)*(1+'Read Me'!$B$12),-1)</f>
        <v/>
      </c>
      <c r="W507" s="16">
        <f>V507*N507*O507</f>
        <v/>
      </c>
      <c r="X507" s="12">
        <f>IF(LEFT(I507,2)="MV",2*N507*IF(L507="1/C",O507,1),0)</f>
        <v/>
      </c>
      <c r="Y507" s="12">
        <f>IF(OR(LEFT(K507,4)="LVAX",LEFT(K507,6)="MV15AX",LEFT(K507,4)="CTAX",LEFT(K507,2)="W|"),2*N507*O507,0)</f>
        <v/>
      </c>
      <c r="Z507" s="12" t="inlineStr"/>
      <c r="AA507" s="12">
        <f>N507*O507</f>
        <v/>
      </c>
    </row>
    <row r="508">
      <c r="A508" s="12" t="inlineStr">
        <is>
          <t>A-C-0496</t>
        </is>
      </c>
      <c r="B508" s="12" t="inlineStr">
        <is>
          <t>A</t>
        </is>
      </c>
      <c r="C508" s="12" t="inlineStr">
        <is>
          <t>Power block</t>
        </is>
      </c>
      <c r="D508" s="12" t="inlineStr">
        <is>
          <t>Motor 1 of 2: control / local station</t>
        </is>
      </c>
      <c r="E508" s="12" t="inlineStr">
        <is>
          <t>R2C</t>
        </is>
      </c>
      <c r="F508" s="12" t="inlineStr">
        <is>
          <t>R2C: unit / HRSG electrical e-house (32 x 40 ft)</t>
        </is>
      </c>
      <c r="G508" s="12" t="inlineStr">
        <is>
          <t>SCRB-3</t>
        </is>
      </c>
      <c r="H508" s="12" t="inlineStr">
        <is>
          <t>SCRB-3A/B: SCR dilution-air blowers</t>
        </is>
      </c>
      <c r="I508" s="12" t="inlineStr">
        <is>
          <t>Control</t>
        </is>
      </c>
      <c r="J508" s="12" t="inlineStr">
        <is>
          <t>Control cable 600 V Type TC-ER, Cu #14 AWG, PVC jacket</t>
        </is>
      </c>
      <c r="K508" s="12" t="inlineStr">
        <is>
          <t>CT|7/C|14</t>
        </is>
      </c>
      <c r="L508" s="12" t="inlineStr">
        <is>
          <t>7/C</t>
        </is>
      </c>
      <c r="M508" s="12" t="inlineStr">
        <is>
          <t>14</t>
        </is>
      </c>
      <c r="N508" s="12" t="n">
        <v>1</v>
      </c>
      <c r="O508" s="12" t="n">
        <v>1</v>
      </c>
      <c r="P508" s="12" t="n"/>
      <c r="Q508" s="12" t="n"/>
      <c r="R508" s="12" t="n"/>
      <c r="S508" s="12" t="inlineStr">
        <is>
          <t>Tray</t>
        </is>
      </c>
      <c r="T508" s="16" t="n">
        <v>404</v>
      </c>
      <c r="U508" s="16" t="n">
        <v>72</v>
      </c>
      <c r="V508" s="16">
        <f>ROUNDUP((T508+U508+2*'Read Me'!$B$13)*(1+'Read Me'!$B$12),-1)</f>
        <v/>
      </c>
      <c r="W508" s="16">
        <f>V508*N508*O508</f>
        <v/>
      </c>
      <c r="X508" s="12">
        <f>IF(LEFT(I508,2)="MV",2*N508*IF(L508="1/C",O508,1),0)</f>
        <v/>
      </c>
      <c r="Y508" s="12">
        <f>IF(OR(LEFT(K508,4)="LVAX",LEFT(K508,6)="MV15AX",LEFT(K508,4)="CTAX",LEFT(K508,2)="W|"),2*N508*O508,0)</f>
        <v/>
      </c>
      <c r="Z508" s="12" t="inlineStr"/>
      <c r="AA508" s="12">
        <f>N508*O508</f>
        <v/>
      </c>
    </row>
    <row r="509">
      <c r="A509" s="12" t="inlineStr">
        <is>
          <t>A-C-0497</t>
        </is>
      </c>
      <c r="B509" s="12" t="inlineStr">
        <is>
          <t>A</t>
        </is>
      </c>
      <c r="C509" s="12" t="inlineStr">
        <is>
          <t>Power block</t>
        </is>
      </c>
      <c r="D509" s="12" t="inlineStr">
        <is>
          <t>Motor 2 of 2: control / local station</t>
        </is>
      </c>
      <c r="E509" s="12" t="inlineStr">
        <is>
          <t>R2C</t>
        </is>
      </c>
      <c r="F509" s="12" t="inlineStr">
        <is>
          <t>R2C: unit / HRSG electrical e-house (32 x 40 ft)</t>
        </is>
      </c>
      <c r="G509" s="12" t="inlineStr">
        <is>
          <t>SCRB-3</t>
        </is>
      </c>
      <c r="H509" s="12" t="inlineStr">
        <is>
          <t>SCRB-3A/B: SCR dilution-air blowers</t>
        </is>
      </c>
      <c r="I509" s="12" t="inlineStr">
        <is>
          <t>Control</t>
        </is>
      </c>
      <c r="J509" s="12" t="inlineStr">
        <is>
          <t>Control cable 600 V Type TC-ER, Cu #14 AWG, PVC jacket</t>
        </is>
      </c>
      <c r="K509" s="12" t="inlineStr">
        <is>
          <t>CT|7/C|14</t>
        </is>
      </c>
      <c r="L509" s="12" t="inlineStr">
        <is>
          <t>7/C</t>
        </is>
      </c>
      <c r="M509" s="12" t="inlineStr">
        <is>
          <t>14</t>
        </is>
      </c>
      <c r="N509" s="12" t="n">
        <v>1</v>
      </c>
      <c r="O509" s="12" t="n">
        <v>1</v>
      </c>
      <c r="P509" s="12" t="n"/>
      <c r="Q509" s="12" t="n"/>
      <c r="R509" s="12" t="n"/>
      <c r="S509" s="12" t="inlineStr">
        <is>
          <t>Tray</t>
        </is>
      </c>
      <c r="T509" s="16" t="n">
        <v>404</v>
      </c>
      <c r="U509" s="16" t="n">
        <v>72</v>
      </c>
      <c r="V509" s="16">
        <f>ROUNDUP((T509+U509+2*'Read Me'!$B$13)*(1+'Read Me'!$B$12),-1)</f>
        <v/>
      </c>
      <c r="W509" s="16">
        <f>V509*N509*O509</f>
        <v/>
      </c>
      <c r="X509" s="12">
        <f>IF(LEFT(I509,2)="MV",2*N509*IF(L509="1/C",O509,1),0)</f>
        <v/>
      </c>
      <c r="Y509" s="12">
        <f>IF(OR(LEFT(K509,4)="LVAX",LEFT(K509,6)="MV15AX",LEFT(K509,4)="CTAX",LEFT(K509,2)="W|"),2*N509*O509,0)</f>
        <v/>
      </c>
      <c r="Z509" s="12" t="inlineStr"/>
      <c r="AA509" s="12">
        <f>N509*O509</f>
        <v/>
      </c>
    </row>
    <row r="510">
      <c r="A510" s="12" t="inlineStr">
        <is>
          <t>A-C-0498</t>
        </is>
      </c>
      <c r="B510" s="12" t="inlineStr">
        <is>
          <t>A</t>
        </is>
      </c>
      <c r="C510" s="12" t="inlineStr">
        <is>
          <t>Power block</t>
        </is>
      </c>
      <c r="D510" s="12" t="inlineStr">
        <is>
          <t>Control</t>
        </is>
      </c>
      <c r="E510" s="12" t="inlineStr">
        <is>
          <t>R2A</t>
        </is>
      </c>
      <c r="F510" s="12" t="inlineStr">
        <is>
          <t>R2A: unit / HRSG electrical e-house (32 x 40 ft)</t>
        </is>
      </c>
      <c r="G510" s="12" t="inlineStr">
        <is>
          <t>SFC-1</t>
        </is>
      </c>
      <c r="H510" s="12" t="inlineStr">
        <is>
          <t>SFC-1: GT1 static starter (LCI) and isolation transformer</t>
        </is>
      </c>
      <c r="I510" s="12" t="inlineStr">
        <is>
          <t>Control</t>
        </is>
      </c>
      <c r="J510" s="12" t="inlineStr">
        <is>
          <t>Control cable 600 V Type TC-ER, Cu #14 AWG, PVC jacket</t>
        </is>
      </c>
      <c r="K510" s="12" t="inlineStr">
        <is>
          <t>CT|7/C|14</t>
        </is>
      </c>
      <c r="L510" s="12" t="inlineStr">
        <is>
          <t>7/C</t>
        </is>
      </c>
      <c r="M510" s="12" t="inlineStr">
        <is>
          <t>14</t>
        </is>
      </c>
      <c r="N510" s="12" t="n">
        <v>1</v>
      </c>
      <c r="O510" s="12" t="n">
        <v>1</v>
      </c>
      <c r="P510" s="12" t="n"/>
      <c r="Q510" s="12" t="n"/>
      <c r="R510" s="12" t="n"/>
      <c r="S510" s="12" t="inlineStr">
        <is>
          <t>Tray</t>
        </is>
      </c>
      <c r="T510" s="16" t="n">
        <v>359</v>
      </c>
      <c r="U510" s="16" t="n">
        <v>147</v>
      </c>
      <c r="V510" s="16">
        <f>ROUNDUP((T510+U510+2*'Read Me'!$B$13)*(1+'Read Me'!$B$12),-1)</f>
        <v/>
      </c>
      <c r="W510" s="16">
        <f>V510*N510*O510</f>
        <v/>
      </c>
      <c r="X510" s="12">
        <f>IF(LEFT(I510,2)="MV",2*N510*IF(L510="1/C",O510,1),0)</f>
        <v/>
      </c>
      <c r="Y510" s="12">
        <f>IF(OR(LEFT(K510,4)="LVAX",LEFT(K510,6)="MV15AX",LEFT(K510,4)="CTAX",LEFT(K510,2)="W|"),2*N510*O510,0)</f>
        <v/>
      </c>
      <c r="Z510" s="12" t="inlineStr"/>
      <c r="AA510" s="12">
        <f>N510*O510</f>
        <v/>
      </c>
    </row>
    <row r="511">
      <c r="A511" s="12" t="inlineStr">
        <is>
          <t>A-C-0499</t>
        </is>
      </c>
      <c r="B511" s="12" t="inlineStr">
        <is>
          <t>A</t>
        </is>
      </c>
      <c r="C511" s="12" t="inlineStr">
        <is>
          <t>Power block</t>
        </is>
      </c>
      <c r="D511" s="12" t="inlineStr">
        <is>
          <t>Control</t>
        </is>
      </c>
      <c r="E511" s="12" t="inlineStr">
        <is>
          <t>R2A</t>
        </is>
      </c>
      <c r="F511" s="12" t="inlineStr">
        <is>
          <t>R2A: unit / HRSG electrical e-house (32 x 40 ft)</t>
        </is>
      </c>
      <c r="G511" s="12" t="inlineStr">
        <is>
          <t>SFC-1</t>
        </is>
      </c>
      <c r="H511" s="12" t="inlineStr">
        <is>
          <t>SFC-1: GT1 static starter (LCI) and isolation transformer</t>
        </is>
      </c>
      <c r="I511" s="12" t="inlineStr">
        <is>
          <t>Control</t>
        </is>
      </c>
      <c r="J511" s="12" t="inlineStr">
        <is>
          <t>Control cable 600 V Type TC-ER, Cu #14 AWG, PVC jacket</t>
        </is>
      </c>
      <c r="K511" s="12" t="inlineStr">
        <is>
          <t>CT|12/C|14</t>
        </is>
      </c>
      <c r="L511" s="12" t="inlineStr">
        <is>
          <t>12/C</t>
        </is>
      </c>
      <c r="M511" s="12" t="inlineStr">
        <is>
          <t>14</t>
        </is>
      </c>
      <c r="N511" s="12" t="n">
        <v>1</v>
      </c>
      <c r="O511" s="12" t="n">
        <v>1</v>
      </c>
      <c r="P511" s="12" t="n"/>
      <c r="Q511" s="12" t="n"/>
      <c r="R511" s="12" t="n"/>
      <c r="S511" s="12" t="inlineStr">
        <is>
          <t>Tray</t>
        </is>
      </c>
      <c r="T511" s="16" t="n">
        <v>359</v>
      </c>
      <c r="U511" s="16" t="n">
        <v>147</v>
      </c>
      <c r="V511" s="16">
        <f>ROUNDUP((T511+U511+2*'Read Me'!$B$13)*(1+'Read Me'!$B$12),-1)</f>
        <v/>
      </c>
      <c r="W511" s="16">
        <f>V511*N511*O511</f>
        <v/>
      </c>
      <c r="X511" s="12">
        <f>IF(LEFT(I511,2)="MV",2*N511*IF(L511="1/C",O511,1),0)</f>
        <v/>
      </c>
      <c r="Y511" s="12">
        <f>IF(OR(LEFT(K511,4)="LVAX",LEFT(K511,6)="MV15AX",LEFT(K511,4)="CTAX",LEFT(K511,2)="W|"),2*N511*O511,0)</f>
        <v/>
      </c>
      <c r="Z511" s="12" t="inlineStr"/>
      <c r="AA511" s="12">
        <f>N511*O511</f>
        <v/>
      </c>
    </row>
    <row r="512">
      <c r="A512" s="12" t="inlineStr">
        <is>
          <t>A-C-0500</t>
        </is>
      </c>
      <c r="B512" s="12" t="inlineStr">
        <is>
          <t>A</t>
        </is>
      </c>
      <c r="C512" s="12" t="inlineStr">
        <is>
          <t>Power block</t>
        </is>
      </c>
      <c r="D512" s="12" t="inlineStr">
        <is>
          <t>CT / VT</t>
        </is>
      </c>
      <c r="E512" s="12" t="inlineStr">
        <is>
          <t>R2A</t>
        </is>
      </c>
      <c r="F512" s="12" t="inlineStr">
        <is>
          <t>R2A: unit / HRSG electrical e-house (32 x 40 ft)</t>
        </is>
      </c>
      <c r="G512" s="12" t="inlineStr">
        <is>
          <t>SFC-1</t>
        </is>
      </c>
      <c r="H512" s="12" t="inlineStr">
        <is>
          <t>SFC-1: GT1 static starter (LCI) and isolation transformer</t>
        </is>
      </c>
      <c r="I512" s="12" t="inlineStr">
        <is>
          <t>Control</t>
        </is>
      </c>
      <c r="J512" s="12" t="inlineStr">
        <is>
          <t>Control cable 600 V Type TC-ER, Cu #10 AWG (CT / VT circuits)</t>
        </is>
      </c>
      <c r="K512" s="12" t="inlineStr">
        <is>
          <t>CTCT|4/C|10</t>
        </is>
      </c>
      <c r="L512" s="12" t="inlineStr">
        <is>
          <t>4/C</t>
        </is>
      </c>
      <c r="M512" s="12" t="inlineStr">
        <is>
          <t>10</t>
        </is>
      </c>
      <c r="N512" s="12" t="n">
        <v>1</v>
      </c>
      <c r="O512" s="12" t="n">
        <v>1</v>
      </c>
      <c r="P512" s="12" t="n"/>
      <c r="Q512" s="12" t="n"/>
      <c r="R512" s="12" t="n"/>
      <c r="S512" s="12" t="inlineStr">
        <is>
          <t>Tray</t>
        </is>
      </c>
      <c r="T512" s="16" t="n">
        <v>359</v>
      </c>
      <c r="U512" s="16" t="n">
        <v>147</v>
      </c>
      <c r="V512" s="16">
        <f>ROUNDUP((T512+U512+2*'Read Me'!$B$13)*(1+'Read Me'!$B$12),-1)</f>
        <v/>
      </c>
      <c r="W512" s="16">
        <f>V512*N512*O512</f>
        <v/>
      </c>
      <c r="X512" s="12">
        <f>IF(LEFT(I512,2)="MV",2*N512*IF(L512="1/C",O512,1),0)</f>
        <v/>
      </c>
      <c r="Y512" s="12">
        <f>IF(OR(LEFT(K512,4)="LVAX",LEFT(K512,6)="MV15AX",LEFT(K512,4)="CTAX",LEFT(K512,2)="W|"),2*N512*O512,0)</f>
        <v/>
      </c>
      <c r="Z512" s="12" t="inlineStr"/>
      <c r="AA512" s="12">
        <f>N512*O512</f>
        <v/>
      </c>
    </row>
    <row r="513">
      <c r="A513" s="12" t="inlineStr">
        <is>
          <t>A-C-0501</t>
        </is>
      </c>
      <c r="B513" s="12" t="inlineStr">
        <is>
          <t>A</t>
        </is>
      </c>
      <c r="C513" s="12" t="inlineStr">
        <is>
          <t>Power block</t>
        </is>
      </c>
      <c r="D513" s="12" t="inlineStr">
        <is>
          <t>CT / VT</t>
        </is>
      </c>
      <c r="E513" s="12" t="inlineStr">
        <is>
          <t>R2A</t>
        </is>
      </c>
      <c r="F513" s="12" t="inlineStr">
        <is>
          <t>R2A: unit / HRSG electrical e-house (32 x 40 ft)</t>
        </is>
      </c>
      <c r="G513" s="12" t="inlineStr">
        <is>
          <t>SFC-1</t>
        </is>
      </c>
      <c r="H513" s="12" t="inlineStr">
        <is>
          <t>SFC-1: GT1 static starter (LCI) and isolation transformer</t>
        </is>
      </c>
      <c r="I513" s="12" t="inlineStr">
        <is>
          <t>Control</t>
        </is>
      </c>
      <c r="J513" s="12" t="inlineStr">
        <is>
          <t>Control cable 600 V Type TC-ER, Cu #10 AWG (CT / VT circuits)</t>
        </is>
      </c>
      <c r="K513" s="12" t="inlineStr">
        <is>
          <t>CTCT|4/C|10</t>
        </is>
      </c>
      <c r="L513" s="12" t="inlineStr">
        <is>
          <t>4/C</t>
        </is>
      </c>
      <c r="M513" s="12" t="inlineStr">
        <is>
          <t>10</t>
        </is>
      </c>
      <c r="N513" s="12" t="n">
        <v>1</v>
      </c>
      <c r="O513" s="12" t="n">
        <v>1</v>
      </c>
      <c r="P513" s="12" t="n"/>
      <c r="Q513" s="12" t="n"/>
      <c r="R513" s="12" t="n"/>
      <c r="S513" s="12" t="inlineStr">
        <is>
          <t>Tray</t>
        </is>
      </c>
      <c r="T513" s="16" t="n">
        <v>359</v>
      </c>
      <c r="U513" s="16" t="n">
        <v>147</v>
      </c>
      <c r="V513" s="16">
        <f>ROUNDUP((T513+U513+2*'Read Me'!$B$13)*(1+'Read Me'!$B$12),-1)</f>
        <v/>
      </c>
      <c r="W513" s="16">
        <f>V513*N513*O513</f>
        <v/>
      </c>
      <c r="X513" s="12">
        <f>IF(LEFT(I513,2)="MV",2*N513*IF(L513="1/C",O513,1),0)</f>
        <v/>
      </c>
      <c r="Y513" s="12">
        <f>IF(OR(LEFT(K513,4)="LVAX",LEFT(K513,6)="MV15AX",LEFT(K513,4)="CTAX",LEFT(K513,2)="W|"),2*N513*O513,0)</f>
        <v/>
      </c>
      <c r="Z513" s="12" t="inlineStr"/>
      <c r="AA513" s="12">
        <f>N513*O513</f>
        <v/>
      </c>
    </row>
    <row r="514">
      <c r="A514" s="12" t="inlineStr">
        <is>
          <t>A-C-0502</t>
        </is>
      </c>
      <c r="B514" s="12" t="inlineStr">
        <is>
          <t>A</t>
        </is>
      </c>
      <c r="C514" s="12" t="inlineStr">
        <is>
          <t>Power block</t>
        </is>
      </c>
      <c r="D514" s="12" t="inlineStr">
        <is>
          <t>Control</t>
        </is>
      </c>
      <c r="E514" s="12" t="inlineStr">
        <is>
          <t>R2B</t>
        </is>
      </c>
      <c r="F514" s="12" t="inlineStr">
        <is>
          <t>R2B: unit / HRSG electrical e-house (32 x 40 ft)</t>
        </is>
      </c>
      <c r="G514" s="12" t="inlineStr">
        <is>
          <t>SFC-2</t>
        </is>
      </c>
      <c r="H514" s="12" t="inlineStr">
        <is>
          <t>SFC-2: GT2 static starter (LCI) and isolation transformer</t>
        </is>
      </c>
      <c r="I514" s="12" t="inlineStr">
        <is>
          <t>Control</t>
        </is>
      </c>
      <c r="J514" s="12" t="inlineStr">
        <is>
          <t>Control cable 600 V Type TC-ER, Cu #14 AWG, PVC jacket</t>
        </is>
      </c>
      <c r="K514" s="12" t="inlineStr">
        <is>
          <t>CT|7/C|14</t>
        </is>
      </c>
      <c r="L514" s="12" t="inlineStr">
        <is>
          <t>7/C</t>
        </is>
      </c>
      <c r="M514" s="12" t="inlineStr">
        <is>
          <t>14</t>
        </is>
      </c>
      <c r="N514" s="12" t="n">
        <v>1</v>
      </c>
      <c r="O514" s="12" t="n">
        <v>1</v>
      </c>
      <c r="P514" s="12" t="n"/>
      <c r="Q514" s="12" t="n"/>
      <c r="R514" s="12" t="n"/>
      <c r="S514" s="12" t="inlineStr">
        <is>
          <t>Tray</t>
        </is>
      </c>
      <c r="T514" s="16" t="n">
        <v>1233</v>
      </c>
      <c r="U514" s="16" t="n">
        <v>237</v>
      </c>
      <c r="V514" s="16">
        <f>ROUNDUP((T514+U514+2*'Read Me'!$B$13)*(1+'Read Me'!$B$12),-1)</f>
        <v/>
      </c>
      <c r="W514" s="16">
        <f>V514*N514*O514</f>
        <v/>
      </c>
      <c r="X514" s="12">
        <f>IF(LEFT(I514,2)="MV",2*N514*IF(L514="1/C",O514,1),0)</f>
        <v/>
      </c>
      <c r="Y514" s="12">
        <f>IF(OR(LEFT(K514,4)="LVAX",LEFT(K514,6)="MV15AX",LEFT(K514,4)="CTAX",LEFT(K514,2)="W|"),2*N514*O514,0)</f>
        <v/>
      </c>
      <c r="Z514" s="12" t="inlineStr"/>
      <c r="AA514" s="12">
        <f>N514*O514</f>
        <v/>
      </c>
    </row>
    <row r="515">
      <c r="A515" s="12" t="inlineStr">
        <is>
          <t>A-C-0503</t>
        </is>
      </c>
      <c r="B515" s="12" t="inlineStr">
        <is>
          <t>A</t>
        </is>
      </c>
      <c r="C515" s="12" t="inlineStr">
        <is>
          <t>Power block</t>
        </is>
      </c>
      <c r="D515" s="12" t="inlineStr">
        <is>
          <t>Control</t>
        </is>
      </c>
      <c r="E515" s="12" t="inlineStr">
        <is>
          <t>R2B</t>
        </is>
      </c>
      <c r="F515" s="12" t="inlineStr">
        <is>
          <t>R2B: unit / HRSG electrical e-house (32 x 40 ft)</t>
        </is>
      </c>
      <c r="G515" s="12" t="inlineStr">
        <is>
          <t>SFC-2</t>
        </is>
      </c>
      <c r="H515" s="12" t="inlineStr">
        <is>
          <t>SFC-2: GT2 static starter (LCI) and isolation transformer</t>
        </is>
      </c>
      <c r="I515" s="12" t="inlineStr">
        <is>
          <t>Control</t>
        </is>
      </c>
      <c r="J515" s="12" t="inlineStr">
        <is>
          <t>Control cable 600 V Type TC-ER, Cu #14 AWG, PVC jacket</t>
        </is>
      </c>
      <c r="K515" s="12" t="inlineStr">
        <is>
          <t>CT|12/C|14</t>
        </is>
      </c>
      <c r="L515" s="12" t="inlineStr">
        <is>
          <t>12/C</t>
        </is>
      </c>
      <c r="M515" s="12" t="inlineStr">
        <is>
          <t>14</t>
        </is>
      </c>
      <c r="N515" s="12" t="n">
        <v>1</v>
      </c>
      <c r="O515" s="12" t="n">
        <v>1</v>
      </c>
      <c r="P515" s="12" t="n"/>
      <c r="Q515" s="12" t="n"/>
      <c r="R515" s="12" t="n"/>
      <c r="S515" s="12" t="inlineStr">
        <is>
          <t>Tray</t>
        </is>
      </c>
      <c r="T515" s="16" t="n">
        <v>1233</v>
      </c>
      <c r="U515" s="16" t="n">
        <v>237</v>
      </c>
      <c r="V515" s="16">
        <f>ROUNDUP((T515+U515+2*'Read Me'!$B$13)*(1+'Read Me'!$B$12),-1)</f>
        <v/>
      </c>
      <c r="W515" s="16">
        <f>V515*N515*O515</f>
        <v/>
      </c>
      <c r="X515" s="12">
        <f>IF(LEFT(I515,2)="MV",2*N515*IF(L515="1/C",O515,1),0)</f>
        <v/>
      </c>
      <c r="Y515" s="12">
        <f>IF(OR(LEFT(K515,4)="LVAX",LEFT(K515,6)="MV15AX",LEFT(K515,4)="CTAX",LEFT(K515,2)="W|"),2*N515*O515,0)</f>
        <v/>
      </c>
      <c r="Z515" s="12" t="inlineStr"/>
      <c r="AA515" s="12">
        <f>N515*O515</f>
        <v/>
      </c>
    </row>
    <row r="516">
      <c r="A516" s="12" t="inlineStr">
        <is>
          <t>A-C-0504</t>
        </is>
      </c>
      <c r="B516" s="12" t="inlineStr">
        <is>
          <t>A</t>
        </is>
      </c>
      <c r="C516" s="12" t="inlineStr">
        <is>
          <t>Power block</t>
        </is>
      </c>
      <c r="D516" s="12" t="inlineStr">
        <is>
          <t>CT / VT</t>
        </is>
      </c>
      <c r="E516" s="12" t="inlineStr">
        <is>
          <t>R2B</t>
        </is>
      </c>
      <c r="F516" s="12" t="inlineStr">
        <is>
          <t>R2B: unit / HRSG electrical e-house (32 x 40 ft)</t>
        </is>
      </c>
      <c r="G516" s="12" t="inlineStr">
        <is>
          <t>SFC-2</t>
        </is>
      </c>
      <c r="H516" s="12" t="inlineStr">
        <is>
          <t>SFC-2: GT2 static starter (LCI) and isolation transformer</t>
        </is>
      </c>
      <c r="I516" s="12" t="inlineStr">
        <is>
          <t>Control</t>
        </is>
      </c>
      <c r="J516" s="12" t="inlineStr">
        <is>
          <t>Control cable 600 V Type TC-ER, Cu #10 AWG (CT / VT circuits)</t>
        </is>
      </c>
      <c r="K516" s="12" t="inlineStr">
        <is>
          <t>CTCT|4/C|10</t>
        </is>
      </c>
      <c r="L516" s="12" t="inlineStr">
        <is>
          <t>4/C</t>
        </is>
      </c>
      <c r="M516" s="12" t="inlineStr">
        <is>
          <t>10</t>
        </is>
      </c>
      <c r="N516" s="12" t="n">
        <v>1</v>
      </c>
      <c r="O516" s="12" t="n">
        <v>1</v>
      </c>
      <c r="P516" s="12" t="n"/>
      <c r="Q516" s="12" t="n"/>
      <c r="R516" s="12" t="n"/>
      <c r="S516" s="12" t="inlineStr">
        <is>
          <t>Tray</t>
        </is>
      </c>
      <c r="T516" s="16" t="n">
        <v>1233</v>
      </c>
      <c r="U516" s="16" t="n">
        <v>237</v>
      </c>
      <c r="V516" s="16">
        <f>ROUNDUP((T516+U516+2*'Read Me'!$B$13)*(1+'Read Me'!$B$12),-1)</f>
        <v/>
      </c>
      <c r="W516" s="16">
        <f>V516*N516*O516</f>
        <v/>
      </c>
      <c r="X516" s="12">
        <f>IF(LEFT(I516,2)="MV",2*N516*IF(L516="1/C",O516,1),0)</f>
        <v/>
      </c>
      <c r="Y516" s="12">
        <f>IF(OR(LEFT(K516,4)="LVAX",LEFT(K516,6)="MV15AX",LEFT(K516,4)="CTAX",LEFT(K516,2)="W|"),2*N516*O516,0)</f>
        <v/>
      </c>
      <c r="Z516" s="12" t="inlineStr"/>
      <c r="AA516" s="12">
        <f>N516*O516</f>
        <v/>
      </c>
    </row>
    <row r="517">
      <c r="A517" s="12" t="inlineStr">
        <is>
          <t>A-C-0505</t>
        </is>
      </c>
      <c r="B517" s="12" t="inlineStr">
        <is>
          <t>A</t>
        </is>
      </c>
      <c r="C517" s="12" t="inlineStr">
        <is>
          <t>Power block</t>
        </is>
      </c>
      <c r="D517" s="12" t="inlineStr">
        <is>
          <t>CT / VT</t>
        </is>
      </c>
      <c r="E517" s="12" t="inlineStr">
        <is>
          <t>R2B</t>
        </is>
      </c>
      <c r="F517" s="12" t="inlineStr">
        <is>
          <t>R2B: unit / HRSG electrical e-house (32 x 40 ft)</t>
        </is>
      </c>
      <c r="G517" s="12" t="inlineStr">
        <is>
          <t>SFC-2</t>
        </is>
      </c>
      <c r="H517" s="12" t="inlineStr">
        <is>
          <t>SFC-2: GT2 static starter (LCI) and isolation transformer</t>
        </is>
      </c>
      <c r="I517" s="12" t="inlineStr">
        <is>
          <t>Control</t>
        </is>
      </c>
      <c r="J517" s="12" t="inlineStr">
        <is>
          <t>Control cable 600 V Type TC-ER, Cu #10 AWG (CT / VT circuits)</t>
        </is>
      </c>
      <c r="K517" s="12" t="inlineStr">
        <is>
          <t>CTCT|4/C|10</t>
        </is>
      </c>
      <c r="L517" s="12" t="inlineStr">
        <is>
          <t>4/C</t>
        </is>
      </c>
      <c r="M517" s="12" t="inlineStr">
        <is>
          <t>10</t>
        </is>
      </c>
      <c r="N517" s="12" t="n">
        <v>1</v>
      </c>
      <c r="O517" s="12" t="n">
        <v>1</v>
      </c>
      <c r="P517" s="12" t="n"/>
      <c r="Q517" s="12" t="n"/>
      <c r="R517" s="12" t="n"/>
      <c r="S517" s="12" t="inlineStr">
        <is>
          <t>Tray</t>
        </is>
      </c>
      <c r="T517" s="16" t="n">
        <v>1233</v>
      </c>
      <c r="U517" s="16" t="n">
        <v>237</v>
      </c>
      <c r="V517" s="16">
        <f>ROUNDUP((T517+U517+2*'Read Me'!$B$13)*(1+'Read Me'!$B$12),-1)</f>
        <v/>
      </c>
      <c r="W517" s="16">
        <f>V517*N517*O517</f>
        <v/>
      </c>
      <c r="X517" s="12">
        <f>IF(LEFT(I517,2)="MV",2*N517*IF(L517="1/C",O517,1),0)</f>
        <v/>
      </c>
      <c r="Y517" s="12">
        <f>IF(OR(LEFT(K517,4)="LVAX",LEFT(K517,6)="MV15AX",LEFT(K517,4)="CTAX",LEFT(K517,2)="W|"),2*N517*O517,0)</f>
        <v/>
      </c>
      <c r="Z517" s="12" t="inlineStr"/>
      <c r="AA517" s="12">
        <f>N517*O517</f>
        <v/>
      </c>
    </row>
    <row r="518">
      <c r="A518" s="12" t="inlineStr">
        <is>
          <t>A-C-0506</t>
        </is>
      </c>
      <c r="B518" s="12" t="inlineStr">
        <is>
          <t>A</t>
        </is>
      </c>
      <c r="C518" s="12" t="inlineStr">
        <is>
          <t>Power block</t>
        </is>
      </c>
      <c r="D518" s="12" t="inlineStr">
        <is>
          <t>Control</t>
        </is>
      </c>
      <c r="E518" s="12" t="inlineStr">
        <is>
          <t>R2C</t>
        </is>
      </c>
      <c r="F518" s="12" t="inlineStr">
        <is>
          <t>R2C: unit / HRSG electrical e-house (32 x 40 ft)</t>
        </is>
      </c>
      <c r="G518" s="12" t="inlineStr">
        <is>
          <t>SFC-3</t>
        </is>
      </c>
      <c r="H518" s="12" t="inlineStr">
        <is>
          <t>SFC-3: GT3 static starter (LCI) and isolation transformer</t>
        </is>
      </c>
      <c r="I518" s="12" t="inlineStr">
        <is>
          <t>Control</t>
        </is>
      </c>
      <c r="J518" s="12" t="inlineStr">
        <is>
          <t>Control cable 600 V Type TC-ER, Cu #14 AWG, PVC jacket</t>
        </is>
      </c>
      <c r="K518" s="12" t="inlineStr">
        <is>
          <t>CT|7/C|14</t>
        </is>
      </c>
      <c r="L518" s="12" t="inlineStr">
        <is>
          <t>7/C</t>
        </is>
      </c>
      <c r="M518" s="12" t="inlineStr">
        <is>
          <t>14</t>
        </is>
      </c>
      <c r="N518" s="12" t="n">
        <v>1</v>
      </c>
      <c r="O518" s="12" t="n">
        <v>1</v>
      </c>
      <c r="P518" s="12" t="n"/>
      <c r="Q518" s="12" t="n"/>
      <c r="R518" s="12" t="n"/>
      <c r="S518" s="12" t="inlineStr">
        <is>
          <t>Tray</t>
        </is>
      </c>
      <c r="T518" s="16" t="n">
        <v>987</v>
      </c>
      <c r="U518" s="16" t="n">
        <v>184</v>
      </c>
      <c r="V518" s="16">
        <f>ROUNDUP((T518+U518+2*'Read Me'!$B$13)*(1+'Read Me'!$B$12),-1)</f>
        <v/>
      </c>
      <c r="W518" s="16">
        <f>V518*N518*O518</f>
        <v/>
      </c>
      <c r="X518" s="12">
        <f>IF(LEFT(I518,2)="MV",2*N518*IF(L518="1/C",O518,1),0)</f>
        <v/>
      </c>
      <c r="Y518" s="12">
        <f>IF(OR(LEFT(K518,4)="LVAX",LEFT(K518,6)="MV15AX",LEFT(K518,4)="CTAX",LEFT(K518,2)="W|"),2*N518*O518,0)</f>
        <v/>
      </c>
      <c r="Z518" s="12" t="inlineStr"/>
      <c r="AA518" s="12">
        <f>N518*O518</f>
        <v/>
      </c>
    </row>
    <row r="519">
      <c r="A519" s="12" t="inlineStr">
        <is>
          <t>A-C-0507</t>
        </is>
      </c>
      <c r="B519" s="12" t="inlineStr">
        <is>
          <t>A</t>
        </is>
      </c>
      <c r="C519" s="12" t="inlineStr">
        <is>
          <t>Power block</t>
        </is>
      </c>
      <c r="D519" s="12" t="inlineStr">
        <is>
          <t>Control</t>
        </is>
      </c>
      <c r="E519" s="12" t="inlineStr">
        <is>
          <t>R2C</t>
        </is>
      </c>
      <c r="F519" s="12" t="inlineStr">
        <is>
          <t>R2C: unit / HRSG electrical e-house (32 x 40 ft)</t>
        </is>
      </c>
      <c r="G519" s="12" t="inlineStr">
        <is>
          <t>SFC-3</t>
        </is>
      </c>
      <c r="H519" s="12" t="inlineStr">
        <is>
          <t>SFC-3: GT3 static starter (LCI) and isolation transformer</t>
        </is>
      </c>
      <c r="I519" s="12" t="inlineStr">
        <is>
          <t>Control</t>
        </is>
      </c>
      <c r="J519" s="12" t="inlineStr">
        <is>
          <t>Control cable 600 V Type TC-ER, Cu #14 AWG, PVC jacket</t>
        </is>
      </c>
      <c r="K519" s="12" t="inlineStr">
        <is>
          <t>CT|12/C|14</t>
        </is>
      </c>
      <c r="L519" s="12" t="inlineStr">
        <is>
          <t>12/C</t>
        </is>
      </c>
      <c r="M519" s="12" t="inlineStr">
        <is>
          <t>14</t>
        </is>
      </c>
      <c r="N519" s="12" t="n">
        <v>1</v>
      </c>
      <c r="O519" s="12" t="n">
        <v>1</v>
      </c>
      <c r="P519" s="12" t="n"/>
      <c r="Q519" s="12" t="n"/>
      <c r="R519" s="12" t="n"/>
      <c r="S519" s="12" t="inlineStr">
        <is>
          <t>Tray</t>
        </is>
      </c>
      <c r="T519" s="16" t="n">
        <v>987</v>
      </c>
      <c r="U519" s="16" t="n">
        <v>184</v>
      </c>
      <c r="V519" s="16">
        <f>ROUNDUP((T519+U519+2*'Read Me'!$B$13)*(1+'Read Me'!$B$12),-1)</f>
        <v/>
      </c>
      <c r="W519" s="16">
        <f>V519*N519*O519</f>
        <v/>
      </c>
      <c r="X519" s="12">
        <f>IF(LEFT(I519,2)="MV",2*N519*IF(L519="1/C",O519,1),0)</f>
        <v/>
      </c>
      <c r="Y519" s="12">
        <f>IF(OR(LEFT(K519,4)="LVAX",LEFT(K519,6)="MV15AX",LEFT(K519,4)="CTAX",LEFT(K519,2)="W|"),2*N519*O519,0)</f>
        <v/>
      </c>
      <c r="Z519" s="12" t="inlineStr"/>
      <c r="AA519" s="12">
        <f>N519*O519</f>
        <v/>
      </c>
    </row>
    <row r="520">
      <c r="A520" s="12" t="inlineStr">
        <is>
          <t>A-C-0508</t>
        </is>
      </c>
      <c r="B520" s="12" t="inlineStr">
        <is>
          <t>A</t>
        </is>
      </c>
      <c r="C520" s="12" t="inlineStr">
        <is>
          <t>Power block</t>
        </is>
      </c>
      <c r="D520" s="12" t="inlineStr">
        <is>
          <t>CT / VT</t>
        </is>
      </c>
      <c r="E520" s="12" t="inlineStr">
        <is>
          <t>R2C</t>
        </is>
      </c>
      <c r="F520" s="12" t="inlineStr">
        <is>
          <t>R2C: unit / HRSG electrical e-house (32 x 40 ft)</t>
        </is>
      </c>
      <c r="G520" s="12" t="inlineStr">
        <is>
          <t>SFC-3</t>
        </is>
      </c>
      <c r="H520" s="12" t="inlineStr">
        <is>
          <t>SFC-3: GT3 static starter (LCI) and isolation transformer</t>
        </is>
      </c>
      <c r="I520" s="12" t="inlineStr">
        <is>
          <t>Control</t>
        </is>
      </c>
      <c r="J520" s="12" t="inlineStr">
        <is>
          <t>Control cable 600 V Type TC-ER, Cu #10 AWG (CT / VT circuits)</t>
        </is>
      </c>
      <c r="K520" s="12" t="inlineStr">
        <is>
          <t>CTCT|4/C|10</t>
        </is>
      </c>
      <c r="L520" s="12" t="inlineStr">
        <is>
          <t>4/C</t>
        </is>
      </c>
      <c r="M520" s="12" t="inlineStr">
        <is>
          <t>10</t>
        </is>
      </c>
      <c r="N520" s="12" t="n">
        <v>1</v>
      </c>
      <c r="O520" s="12" t="n">
        <v>1</v>
      </c>
      <c r="P520" s="12" t="n"/>
      <c r="Q520" s="12" t="n"/>
      <c r="R520" s="12" t="n"/>
      <c r="S520" s="12" t="inlineStr">
        <is>
          <t>Tray</t>
        </is>
      </c>
      <c r="T520" s="16" t="n">
        <v>987</v>
      </c>
      <c r="U520" s="16" t="n">
        <v>184</v>
      </c>
      <c r="V520" s="16">
        <f>ROUNDUP((T520+U520+2*'Read Me'!$B$13)*(1+'Read Me'!$B$12),-1)</f>
        <v/>
      </c>
      <c r="W520" s="16">
        <f>V520*N520*O520</f>
        <v/>
      </c>
      <c r="X520" s="12">
        <f>IF(LEFT(I520,2)="MV",2*N520*IF(L520="1/C",O520,1),0)</f>
        <v/>
      </c>
      <c r="Y520" s="12">
        <f>IF(OR(LEFT(K520,4)="LVAX",LEFT(K520,6)="MV15AX",LEFT(K520,4)="CTAX",LEFT(K520,2)="W|"),2*N520*O520,0)</f>
        <v/>
      </c>
      <c r="Z520" s="12" t="inlineStr"/>
      <c r="AA520" s="12">
        <f>N520*O520</f>
        <v/>
      </c>
    </row>
    <row r="521">
      <c r="A521" s="12" t="inlineStr">
        <is>
          <t>A-C-0509</t>
        </is>
      </c>
      <c r="B521" s="12" t="inlineStr">
        <is>
          <t>A</t>
        </is>
      </c>
      <c r="C521" s="12" t="inlineStr">
        <is>
          <t>Power block</t>
        </is>
      </c>
      <c r="D521" s="12" t="inlineStr">
        <is>
          <t>CT / VT</t>
        </is>
      </c>
      <c r="E521" s="12" t="inlineStr">
        <is>
          <t>R2C</t>
        </is>
      </c>
      <c r="F521" s="12" t="inlineStr">
        <is>
          <t>R2C: unit / HRSG electrical e-house (32 x 40 ft)</t>
        </is>
      </c>
      <c r="G521" s="12" t="inlineStr">
        <is>
          <t>SFC-3</t>
        </is>
      </c>
      <c r="H521" s="12" t="inlineStr">
        <is>
          <t>SFC-3: GT3 static starter (LCI) and isolation transformer</t>
        </is>
      </c>
      <c r="I521" s="12" t="inlineStr">
        <is>
          <t>Control</t>
        </is>
      </c>
      <c r="J521" s="12" t="inlineStr">
        <is>
          <t>Control cable 600 V Type TC-ER, Cu #10 AWG (CT / VT circuits)</t>
        </is>
      </c>
      <c r="K521" s="12" t="inlineStr">
        <is>
          <t>CTCT|4/C|10</t>
        </is>
      </c>
      <c r="L521" s="12" t="inlineStr">
        <is>
          <t>4/C</t>
        </is>
      </c>
      <c r="M521" s="12" t="inlineStr">
        <is>
          <t>10</t>
        </is>
      </c>
      <c r="N521" s="12" t="n">
        <v>1</v>
      </c>
      <c r="O521" s="12" t="n">
        <v>1</v>
      </c>
      <c r="P521" s="12" t="n"/>
      <c r="Q521" s="12" t="n"/>
      <c r="R521" s="12" t="n"/>
      <c r="S521" s="12" t="inlineStr">
        <is>
          <t>Tray</t>
        </is>
      </c>
      <c r="T521" s="16" t="n">
        <v>987</v>
      </c>
      <c r="U521" s="16" t="n">
        <v>184</v>
      </c>
      <c r="V521" s="16">
        <f>ROUNDUP((T521+U521+2*'Read Me'!$B$13)*(1+'Read Me'!$B$12),-1)</f>
        <v/>
      </c>
      <c r="W521" s="16">
        <f>V521*N521*O521</f>
        <v/>
      </c>
      <c r="X521" s="12">
        <f>IF(LEFT(I521,2)="MV",2*N521*IF(L521="1/C",O521,1),0)</f>
        <v/>
      </c>
      <c r="Y521" s="12">
        <f>IF(OR(LEFT(K521,4)="LVAX",LEFT(K521,6)="MV15AX",LEFT(K521,4)="CTAX",LEFT(K521,2)="W|"),2*N521*O521,0)</f>
        <v/>
      </c>
      <c r="Z521" s="12" t="inlineStr"/>
      <c r="AA521" s="12">
        <f>N521*O521</f>
        <v/>
      </c>
    </row>
    <row r="522">
      <c r="A522" s="12" t="inlineStr">
        <is>
          <t>A-C-0510</t>
        </is>
      </c>
      <c r="B522" s="12" t="inlineStr">
        <is>
          <t>A</t>
        </is>
      </c>
      <c r="C522" s="12" t="inlineStr">
        <is>
          <t>Power block</t>
        </is>
      </c>
      <c r="D522" s="12" t="inlineStr">
        <is>
          <t>Motor 1 of 3: control / local station</t>
        </is>
      </c>
      <c r="E522" s="12" t="inlineStr">
        <is>
          <t>MCC-GT1</t>
        </is>
      </c>
      <c r="F522" s="12" t="inlineStr">
        <is>
          <t>R1 MCC-GT1</t>
        </is>
      </c>
      <c r="G522" s="12" t="inlineStr">
        <is>
          <t>SOS-1</t>
        </is>
      </c>
      <c r="H522" s="12" t="inlineStr">
        <is>
          <t>SOS-1: GTG-1 seal-oil and H2 / CO2 gas-control skid</t>
        </is>
      </c>
      <c r="I522" s="12" t="inlineStr">
        <is>
          <t>Control</t>
        </is>
      </c>
      <c r="J522" s="12" t="inlineStr">
        <is>
          <t>ARMOR-X MC-HL 600 V control, Cu #14 AWG (Class I Div 2)</t>
        </is>
      </c>
      <c r="K522" s="12" t="inlineStr">
        <is>
          <t>CTAX|7/C|14</t>
        </is>
      </c>
      <c r="L522" s="12" t="inlineStr">
        <is>
          <t>7/C</t>
        </is>
      </c>
      <c r="M522" s="12" t="inlineStr">
        <is>
          <t>14</t>
        </is>
      </c>
      <c r="N522" s="12" t="n">
        <v>1</v>
      </c>
      <c r="O522" s="12" t="n">
        <v>1</v>
      </c>
      <c r="P522" s="12" t="n"/>
      <c r="Q522" s="12" t="n"/>
      <c r="R522" s="12" t="n"/>
      <c r="S522" s="12" t="inlineStr">
        <is>
          <t>Tray</t>
        </is>
      </c>
      <c r="T522" s="16" t="n">
        <v>481</v>
      </c>
      <c r="U522" s="16" t="n">
        <v>189</v>
      </c>
      <c r="V522" s="16">
        <f>ROUNDUP((T522+U522+2*'Read Me'!$B$13)*(1+'Read Me'!$B$12),-1)</f>
        <v/>
      </c>
      <c r="W522" s="16">
        <f>V522*N522*O522</f>
        <v/>
      </c>
      <c r="X522" s="12">
        <f>IF(LEFT(I522,2)="MV",2*N522*IF(L522="1/C",O522,1),0)</f>
        <v/>
      </c>
      <c r="Y522" s="12">
        <f>IF(OR(LEFT(K522,4)="LVAX",LEFT(K522,6)="MV15AX",LEFT(K522,4)="CTAX",LEFT(K522,2)="W|"),2*N522*O522,0)</f>
        <v/>
      </c>
      <c r="Z522" s="12" t="inlineStr"/>
      <c r="AA522" s="12">
        <f>N522*O522</f>
        <v/>
      </c>
    </row>
    <row r="523">
      <c r="A523" s="12" t="inlineStr">
        <is>
          <t>A-C-0511</t>
        </is>
      </c>
      <c r="B523" s="12" t="inlineStr">
        <is>
          <t>A</t>
        </is>
      </c>
      <c r="C523" s="12" t="inlineStr">
        <is>
          <t>Power block</t>
        </is>
      </c>
      <c r="D523" s="12" t="inlineStr">
        <is>
          <t>Motor 2 of 3: control / local station</t>
        </is>
      </c>
      <c r="E523" s="12" t="inlineStr">
        <is>
          <t>MCC-GT1</t>
        </is>
      </c>
      <c r="F523" s="12" t="inlineStr">
        <is>
          <t>R1 MCC-GT1</t>
        </is>
      </c>
      <c r="G523" s="12" t="inlineStr">
        <is>
          <t>SOS-1</t>
        </is>
      </c>
      <c r="H523" s="12" t="inlineStr">
        <is>
          <t>SOS-1: GTG-1 seal-oil and H2 / CO2 gas-control skid</t>
        </is>
      </c>
      <c r="I523" s="12" t="inlineStr">
        <is>
          <t>Control</t>
        </is>
      </c>
      <c r="J523" s="12" t="inlineStr">
        <is>
          <t>ARMOR-X MC-HL 600 V control, Cu #14 AWG (Class I Div 2)</t>
        </is>
      </c>
      <c r="K523" s="12" t="inlineStr">
        <is>
          <t>CTAX|7/C|14</t>
        </is>
      </c>
      <c r="L523" s="12" t="inlineStr">
        <is>
          <t>7/C</t>
        </is>
      </c>
      <c r="M523" s="12" t="inlineStr">
        <is>
          <t>14</t>
        </is>
      </c>
      <c r="N523" s="12" t="n">
        <v>1</v>
      </c>
      <c r="O523" s="12" t="n">
        <v>1</v>
      </c>
      <c r="P523" s="12" t="n"/>
      <c r="Q523" s="12" t="n"/>
      <c r="R523" s="12" t="n"/>
      <c r="S523" s="12" t="inlineStr">
        <is>
          <t>Tray</t>
        </is>
      </c>
      <c r="T523" s="16" t="n">
        <v>481</v>
      </c>
      <c r="U523" s="16" t="n">
        <v>189</v>
      </c>
      <c r="V523" s="16">
        <f>ROUNDUP((T523+U523+2*'Read Me'!$B$13)*(1+'Read Me'!$B$12),-1)</f>
        <v/>
      </c>
      <c r="W523" s="16">
        <f>V523*N523*O523</f>
        <v/>
      </c>
      <c r="X523" s="12">
        <f>IF(LEFT(I523,2)="MV",2*N523*IF(L523="1/C",O523,1),0)</f>
        <v/>
      </c>
      <c r="Y523" s="12">
        <f>IF(OR(LEFT(K523,4)="LVAX",LEFT(K523,6)="MV15AX",LEFT(K523,4)="CTAX",LEFT(K523,2)="W|"),2*N523*O523,0)</f>
        <v/>
      </c>
      <c r="Z523" s="12" t="inlineStr"/>
      <c r="AA523" s="12">
        <f>N523*O523</f>
        <v/>
      </c>
    </row>
    <row r="524">
      <c r="A524" s="12" t="inlineStr">
        <is>
          <t>A-C-0512</t>
        </is>
      </c>
      <c r="B524" s="12" t="inlineStr">
        <is>
          <t>A</t>
        </is>
      </c>
      <c r="C524" s="12" t="inlineStr">
        <is>
          <t>Power block</t>
        </is>
      </c>
      <c r="D524" s="12" t="inlineStr">
        <is>
          <t>Motor 3 of 3: control / local station</t>
        </is>
      </c>
      <c r="E524" s="12" t="inlineStr">
        <is>
          <t>MCC-GT1</t>
        </is>
      </c>
      <c r="F524" s="12" t="inlineStr">
        <is>
          <t>R1 MCC-GT1</t>
        </is>
      </c>
      <c r="G524" s="12" t="inlineStr">
        <is>
          <t>SOS-1</t>
        </is>
      </c>
      <c r="H524" s="12" t="inlineStr">
        <is>
          <t>SOS-1: GTG-1 seal-oil and H2 / CO2 gas-control skid</t>
        </is>
      </c>
      <c r="I524" s="12" t="inlineStr">
        <is>
          <t>Control</t>
        </is>
      </c>
      <c r="J524" s="12" t="inlineStr">
        <is>
          <t>ARMOR-X MC-HL 600 V control, Cu #14 AWG (Class I Div 2)</t>
        </is>
      </c>
      <c r="K524" s="12" t="inlineStr">
        <is>
          <t>CTAX|7/C|14</t>
        </is>
      </c>
      <c r="L524" s="12" t="inlineStr">
        <is>
          <t>7/C</t>
        </is>
      </c>
      <c r="M524" s="12" t="inlineStr">
        <is>
          <t>14</t>
        </is>
      </c>
      <c r="N524" s="12" t="n">
        <v>1</v>
      </c>
      <c r="O524" s="12" t="n">
        <v>1</v>
      </c>
      <c r="P524" s="12" t="n"/>
      <c r="Q524" s="12" t="n"/>
      <c r="R524" s="12" t="n"/>
      <c r="S524" s="12" t="inlineStr">
        <is>
          <t>Tray</t>
        </is>
      </c>
      <c r="T524" s="16" t="n">
        <v>481</v>
      </c>
      <c r="U524" s="16" t="n">
        <v>189</v>
      </c>
      <c r="V524" s="16">
        <f>ROUNDUP((T524+U524+2*'Read Me'!$B$13)*(1+'Read Me'!$B$12),-1)</f>
        <v/>
      </c>
      <c r="W524" s="16">
        <f>V524*N524*O524</f>
        <v/>
      </c>
      <c r="X524" s="12">
        <f>IF(LEFT(I524,2)="MV",2*N524*IF(L524="1/C",O524,1),0)</f>
        <v/>
      </c>
      <c r="Y524" s="12">
        <f>IF(OR(LEFT(K524,4)="LVAX",LEFT(K524,6)="MV15AX",LEFT(K524,4)="CTAX",LEFT(K524,2)="W|"),2*N524*O524,0)</f>
        <v/>
      </c>
      <c r="Z524" s="12" t="inlineStr"/>
      <c r="AA524" s="12">
        <f>N524*O524</f>
        <v/>
      </c>
    </row>
    <row r="525">
      <c r="A525" s="12" t="inlineStr">
        <is>
          <t>A-C-0513</t>
        </is>
      </c>
      <c r="B525" s="12" t="inlineStr">
        <is>
          <t>A</t>
        </is>
      </c>
      <c r="C525" s="12" t="inlineStr">
        <is>
          <t>Power block</t>
        </is>
      </c>
      <c r="D525" s="12" t="inlineStr">
        <is>
          <t>Solenoid to JB JB-SOS-1-SOL01: 4 x 2/C (field cables)</t>
        </is>
      </c>
      <c r="E525" s="12" t="inlineStr">
        <is>
          <t>SOS-1</t>
        </is>
      </c>
      <c r="F525" s="12" t="inlineStr">
        <is>
          <t>SOS-1: GTG-1 seal-oil and H2 / CO2 gas-control skid</t>
        </is>
      </c>
      <c r="G525" s="12" t="inlineStr">
        <is>
          <t>JB-SOS-1-SOL01</t>
        </is>
      </c>
      <c r="H525" s="12" t="inlineStr">
        <is>
          <t>SOS-1: GTG-1 seal-oil and H2 / CO2 gas-control skid</t>
        </is>
      </c>
      <c r="I525" s="12" t="inlineStr">
        <is>
          <t>Control</t>
        </is>
      </c>
      <c r="J525" s="12" t="inlineStr">
        <is>
          <t>ARMOR-X MC-HL 600 V control, Cu #14 AWG (Class I Div 2)</t>
        </is>
      </c>
      <c r="K525" s="12" t="inlineStr">
        <is>
          <t>CTAX|2/C|14</t>
        </is>
      </c>
      <c r="L525" s="12" t="inlineStr">
        <is>
          <t>2/C</t>
        </is>
      </c>
      <c r="M525" s="12" t="inlineStr">
        <is>
          <t>14</t>
        </is>
      </c>
      <c r="N525" s="12" t="n">
        <v>4</v>
      </c>
      <c r="O525" s="12" t="n">
        <v>1</v>
      </c>
      <c r="P525" s="12" t="n"/>
      <c r="Q525" s="12" t="n"/>
      <c r="R525" s="12" t="n"/>
      <c r="S525" s="12" t="inlineStr">
        <is>
          <t>Tray / conduit</t>
        </is>
      </c>
      <c r="T525" s="16" t="n">
        <v>52</v>
      </c>
      <c r="U525" s="16" t="n">
        <v>10</v>
      </c>
      <c r="V525" s="16">
        <f>ROUNDUP((T525+U525+2*'Read Me'!$B$13)*(1+'Read Me'!$B$12),-1)</f>
        <v/>
      </c>
      <c r="W525" s="16">
        <f>V525*N525*O525</f>
        <v/>
      </c>
      <c r="X525" s="12">
        <f>IF(LEFT(I525,2)="MV",2*N525*IF(L525="1/C",O525,1),0)</f>
        <v/>
      </c>
      <c r="Y525" s="12">
        <f>IF(OR(LEFT(K525,4)="LVAX",LEFT(K525,6)="MV15AX",LEFT(K525,4)="CTAX",LEFT(K525,2)="W|"),2*N525*O525,0)</f>
        <v/>
      </c>
      <c r="Z525" s="12" t="inlineStr">
        <is>
          <t>device-to-JB field wiring, one cable per device</t>
        </is>
      </c>
      <c r="AA525" s="12">
        <f>N525*O525</f>
        <v/>
      </c>
    </row>
    <row r="526">
      <c r="A526" s="12" t="inlineStr">
        <is>
          <t>A-C-0514</t>
        </is>
      </c>
      <c r="B526" s="12" t="inlineStr">
        <is>
          <t>A</t>
        </is>
      </c>
      <c r="C526" s="12" t="inlineStr">
        <is>
          <t>Power block</t>
        </is>
      </c>
      <c r="D526" s="12" t="inlineStr">
        <is>
          <t>Home run JB-SOS-1-SOL01 to the control / marshalling room</t>
        </is>
      </c>
      <c r="E526" s="12" t="inlineStr">
        <is>
          <t>R2A</t>
        </is>
      </c>
      <c r="F526" s="12" t="inlineStr">
        <is>
          <t>R2A: unit / HRSG electrical e-house (32 x 40 ft)</t>
        </is>
      </c>
      <c r="G526" s="12" t="inlineStr">
        <is>
          <t>JB-SOS-1-SOL01</t>
        </is>
      </c>
      <c r="H526" s="12" t="inlineStr">
        <is>
          <t>SOS-1: GTG-1 seal-oil and H2 / CO2 gas-control skid</t>
        </is>
      </c>
      <c r="I526" s="12" t="inlineStr">
        <is>
          <t>Control</t>
        </is>
      </c>
      <c r="J526" s="12" t="inlineStr">
        <is>
          <t>ARMOR-X MC-HL 600 V control, Cu #14 AWG (Class I Div 2)</t>
        </is>
      </c>
      <c r="K526" s="12" t="inlineStr">
        <is>
          <t>CTAX|25/C|14</t>
        </is>
      </c>
      <c r="L526" s="12" t="inlineStr">
        <is>
          <t>25/C</t>
        </is>
      </c>
      <c r="M526" s="12" t="inlineStr">
        <is>
          <t>14</t>
        </is>
      </c>
      <c r="N526" s="12" t="n">
        <v>1</v>
      </c>
      <c r="O526" s="12" t="n">
        <v>1</v>
      </c>
      <c r="P526" s="12" t="n"/>
      <c r="Q526" s="12" t="n"/>
      <c r="R526" s="12" t="n"/>
      <c r="S526" s="12" t="inlineStr">
        <is>
          <t>Tray</t>
        </is>
      </c>
      <c r="T526" s="16" t="n">
        <v>403</v>
      </c>
      <c r="U526" s="16" t="n">
        <v>138</v>
      </c>
      <c r="V526" s="16">
        <f>ROUNDUP((T526+U526+2*'Read Me'!$B$13)*(1+'Read Me'!$B$12),-1)</f>
        <v/>
      </c>
      <c r="W526" s="16">
        <f>V526*N526*O526</f>
        <v/>
      </c>
      <c r="X526" s="12">
        <f>IF(LEFT(I526,2)="MV",2*N526*IF(L526="1/C",O526,1),0)</f>
        <v/>
      </c>
      <c r="Y526" s="12">
        <f>IF(OR(LEFT(K526,4)="LVAX",LEFT(K526,6)="MV15AX",LEFT(K526,4)="CTAX",LEFT(K526,2)="W|"),2*N526*O526,0)</f>
        <v/>
      </c>
      <c r="Z526" s="12" t="inlineStr"/>
      <c r="AA526" s="12">
        <f>N526*O526</f>
        <v/>
      </c>
    </row>
    <row r="527">
      <c r="A527" s="12" t="inlineStr">
        <is>
          <t>A-C-0515</t>
        </is>
      </c>
      <c r="B527" s="12" t="inlineStr">
        <is>
          <t>A</t>
        </is>
      </c>
      <c r="C527" s="12" t="inlineStr">
        <is>
          <t>Power block</t>
        </is>
      </c>
      <c r="D527" s="12" t="inlineStr">
        <is>
          <t>Motor 1 of 3: control / local station</t>
        </is>
      </c>
      <c r="E527" s="12" t="inlineStr">
        <is>
          <t>MCC-GT2</t>
        </is>
      </c>
      <c r="F527" s="12" t="inlineStr">
        <is>
          <t>R1 MCC-GT2</t>
        </is>
      </c>
      <c r="G527" s="12" t="inlineStr">
        <is>
          <t>SOS-2</t>
        </is>
      </c>
      <c r="H527" s="12" t="inlineStr">
        <is>
          <t>SOS-2: GTG-2 seal-oil and H2 / CO2 gas-control skid</t>
        </is>
      </c>
      <c r="I527" s="12" t="inlineStr">
        <is>
          <t>Control</t>
        </is>
      </c>
      <c r="J527" s="12" t="inlineStr">
        <is>
          <t>ARMOR-X MC-HL 600 V control, Cu #14 AWG (Class I Div 2)</t>
        </is>
      </c>
      <c r="K527" s="12" t="inlineStr">
        <is>
          <t>CTAX|7/C|14</t>
        </is>
      </c>
      <c r="L527" s="12" t="inlineStr">
        <is>
          <t>7/C</t>
        </is>
      </c>
      <c r="M527" s="12" t="inlineStr">
        <is>
          <t>14</t>
        </is>
      </c>
      <c r="N527" s="12" t="n">
        <v>1</v>
      </c>
      <c r="O527" s="12" t="n">
        <v>1</v>
      </c>
      <c r="P527" s="12" t="n"/>
      <c r="Q527" s="12" t="n"/>
      <c r="R527" s="12" t="n"/>
      <c r="S527" s="12" t="inlineStr">
        <is>
          <t>Tray</t>
        </is>
      </c>
      <c r="T527" s="16" t="n">
        <v>661</v>
      </c>
      <c r="U527" s="16" t="n">
        <v>169</v>
      </c>
      <c r="V527" s="16">
        <f>ROUNDUP((T527+U527+2*'Read Me'!$B$13)*(1+'Read Me'!$B$12),-1)</f>
        <v/>
      </c>
      <c r="W527" s="16">
        <f>V527*N527*O527</f>
        <v/>
      </c>
      <c r="X527" s="12">
        <f>IF(LEFT(I527,2)="MV",2*N527*IF(L527="1/C",O527,1),0)</f>
        <v/>
      </c>
      <c r="Y527" s="12">
        <f>IF(OR(LEFT(K527,4)="LVAX",LEFT(K527,6)="MV15AX",LEFT(K527,4)="CTAX",LEFT(K527,2)="W|"),2*N527*O527,0)</f>
        <v/>
      </c>
      <c r="Z527" s="12" t="inlineStr"/>
      <c r="AA527" s="12">
        <f>N527*O527</f>
        <v/>
      </c>
    </row>
    <row r="528">
      <c r="A528" s="12" t="inlineStr">
        <is>
          <t>A-C-0516</t>
        </is>
      </c>
      <c r="B528" s="12" t="inlineStr">
        <is>
          <t>A</t>
        </is>
      </c>
      <c r="C528" s="12" t="inlineStr">
        <is>
          <t>Power block</t>
        </is>
      </c>
      <c r="D528" s="12" t="inlineStr">
        <is>
          <t>Motor 2 of 3: control / local station</t>
        </is>
      </c>
      <c r="E528" s="12" t="inlineStr">
        <is>
          <t>MCC-GT2</t>
        </is>
      </c>
      <c r="F528" s="12" t="inlineStr">
        <is>
          <t>R1 MCC-GT2</t>
        </is>
      </c>
      <c r="G528" s="12" t="inlineStr">
        <is>
          <t>SOS-2</t>
        </is>
      </c>
      <c r="H528" s="12" t="inlineStr">
        <is>
          <t>SOS-2: GTG-2 seal-oil and H2 / CO2 gas-control skid</t>
        </is>
      </c>
      <c r="I528" s="12" t="inlineStr">
        <is>
          <t>Control</t>
        </is>
      </c>
      <c r="J528" s="12" t="inlineStr">
        <is>
          <t>ARMOR-X MC-HL 600 V control, Cu #14 AWG (Class I Div 2)</t>
        </is>
      </c>
      <c r="K528" s="12" t="inlineStr">
        <is>
          <t>CTAX|7/C|14</t>
        </is>
      </c>
      <c r="L528" s="12" t="inlineStr">
        <is>
          <t>7/C</t>
        </is>
      </c>
      <c r="M528" s="12" t="inlineStr">
        <is>
          <t>14</t>
        </is>
      </c>
      <c r="N528" s="12" t="n">
        <v>1</v>
      </c>
      <c r="O528" s="12" t="n">
        <v>1</v>
      </c>
      <c r="P528" s="12" t="n"/>
      <c r="Q528" s="12" t="n"/>
      <c r="R528" s="12" t="n"/>
      <c r="S528" s="12" t="inlineStr">
        <is>
          <t>Tray</t>
        </is>
      </c>
      <c r="T528" s="16" t="n">
        <v>661</v>
      </c>
      <c r="U528" s="16" t="n">
        <v>169</v>
      </c>
      <c r="V528" s="16">
        <f>ROUNDUP((T528+U528+2*'Read Me'!$B$13)*(1+'Read Me'!$B$12),-1)</f>
        <v/>
      </c>
      <c r="W528" s="16">
        <f>V528*N528*O528</f>
        <v/>
      </c>
      <c r="X528" s="12">
        <f>IF(LEFT(I528,2)="MV",2*N528*IF(L528="1/C",O528,1),0)</f>
        <v/>
      </c>
      <c r="Y528" s="12">
        <f>IF(OR(LEFT(K528,4)="LVAX",LEFT(K528,6)="MV15AX",LEFT(K528,4)="CTAX",LEFT(K528,2)="W|"),2*N528*O528,0)</f>
        <v/>
      </c>
      <c r="Z528" s="12" t="inlineStr"/>
      <c r="AA528" s="12">
        <f>N528*O528</f>
        <v/>
      </c>
    </row>
    <row r="529">
      <c r="A529" s="12" t="inlineStr">
        <is>
          <t>A-C-0517</t>
        </is>
      </c>
      <c r="B529" s="12" t="inlineStr">
        <is>
          <t>A</t>
        </is>
      </c>
      <c r="C529" s="12" t="inlineStr">
        <is>
          <t>Power block</t>
        </is>
      </c>
      <c r="D529" s="12" t="inlineStr">
        <is>
          <t>Motor 3 of 3: control / local station</t>
        </is>
      </c>
      <c r="E529" s="12" t="inlineStr">
        <is>
          <t>MCC-GT2</t>
        </is>
      </c>
      <c r="F529" s="12" t="inlineStr">
        <is>
          <t>R1 MCC-GT2</t>
        </is>
      </c>
      <c r="G529" s="12" t="inlineStr">
        <is>
          <t>SOS-2</t>
        </is>
      </c>
      <c r="H529" s="12" t="inlineStr">
        <is>
          <t>SOS-2: GTG-2 seal-oil and H2 / CO2 gas-control skid</t>
        </is>
      </c>
      <c r="I529" s="12" t="inlineStr">
        <is>
          <t>Control</t>
        </is>
      </c>
      <c r="J529" s="12" t="inlineStr">
        <is>
          <t>ARMOR-X MC-HL 600 V control, Cu #14 AWG (Class I Div 2)</t>
        </is>
      </c>
      <c r="K529" s="12" t="inlineStr">
        <is>
          <t>CTAX|7/C|14</t>
        </is>
      </c>
      <c r="L529" s="12" t="inlineStr">
        <is>
          <t>7/C</t>
        </is>
      </c>
      <c r="M529" s="12" t="inlineStr">
        <is>
          <t>14</t>
        </is>
      </c>
      <c r="N529" s="12" t="n">
        <v>1</v>
      </c>
      <c r="O529" s="12" t="n">
        <v>1</v>
      </c>
      <c r="P529" s="12" t="n"/>
      <c r="Q529" s="12" t="n"/>
      <c r="R529" s="12" t="n"/>
      <c r="S529" s="12" t="inlineStr">
        <is>
          <t>Tray</t>
        </is>
      </c>
      <c r="T529" s="16" t="n">
        <v>661</v>
      </c>
      <c r="U529" s="16" t="n">
        <v>169</v>
      </c>
      <c r="V529" s="16">
        <f>ROUNDUP((T529+U529+2*'Read Me'!$B$13)*(1+'Read Me'!$B$12),-1)</f>
        <v/>
      </c>
      <c r="W529" s="16">
        <f>V529*N529*O529</f>
        <v/>
      </c>
      <c r="X529" s="12">
        <f>IF(LEFT(I529,2)="MV",2*N529*IF(L529="1/C",O529,1),0)</f>
        <v/>
      </c>
      <c r="Y529" s="12">
        <f>IF(OR(LEFT(K529,4)="LVAX",LEFT(K529,6)="MV15AX",LEFT(K529,4)="CTAX",LEFT(K529,2)="W|"),2*N529*O529,0)</f>
        <v/>
      </c>
      <c r="Z529" s="12" t="inlineStr"/>
      <c r="AA529" s="12">
        <f>N529*O529</f>
        <v/>
      </c>
    </row>
    <row r="530">
      <c r="A530" s="12" t="inlineStr">
        <is>
          <t>A-C-0518</t>
        </is>
      </c>
      <c r="B530" s="12" t="inlineStr">
        <is>
          <t>A</t>
        </is>
      </c>
      <c r="C530" s="12" t="inlineStr">
        <is>
          <t>Power block</t>
        </is>
      </c>
      <c r="D530" s="12" t="inlineStr">
        <is>
          <t>Solenoid to JB JB-SOS-2-SOL01: 4 x 2/C (field cables)</t>
        </is>
      </c>
      <c r="E530" s="12" t="inlineStr">
        <is>
          <t>SOS-2</t>
        </is>
      </c>
      <c r="F530" s="12" t="inlineStr">
        <is>
          <t>SOS-2: GTG-2 seal-oil and H2 / CO2 gas-control skid</t>
        </is>
      </c>
      <c r="G530" s="12" t="inlineStr">
        <is>
          <t>JB-SOS-2-SOL01</t>
        </is>
      </c>
      <c r="H530" s="12" t="inlineStr">
        <is>
          <t>SOS-2: GTG-2 seal-oil and H2 / CO2 gas-control skid</t>
        </is>
      </c>
      <c r="I530" s="12" t="inlineStr">
        <is>
          <t>Control</t>
        </is>
      </c>
      <c r="J530" s="12" t="inlineStr">
        <is>
          <t>ARMOR-X MC-HL 600 V control, Cu #14 AWG (Class I Div 2)</t>
        </is>
      </c>
      <c r="K530" s="12" t="inlineStr">
        <is>
          <t>CTAX|2/C|14</t>
        </is>
      </c>
      <c r="L530" s="12" t="inlineStr">
        <is>
          <t>2/C</t>
        </is>
      </c>
      <c r="M530" s="12" t="inlineStr">
        <is>
          <t>14</t>
        </is>
      </c>
      <c r="N530" s="12" t="n">
        <v>4</v>
      </c>
      <c r="O530" s="12" t="n">
        <v>1</v>
      </c>
      <c r="P530" s="12" t="n"/>
      <c r="Q530" s="12" t="n"/>
      <c r="R530" s="12" t="n"/>
      <c r="S530" s="12" t="inlineStr">
        <is>
          <t>Tray / conduit</t>
        </is>
      </c>
      <c r="T530" s="16" t="n">
        <v>52</v>
      </c>
      <c r="U530" s="16" t="n">
        <v>10</v>
      </c>
      <c r="V530" s="16">
        <f>ROUNDUP((T530+U530+2*'Read Me'!$B$13)*(1+'Read Me'!$B$12),-1)</f>
        <v/>
      </c>
      <c r="W530" s="16">
        <f>V530*N530*O530</f>
        <v/>
      </c>
      <c r="X530" s="12">
        <f>IF(LEFT(I530,2)="MV",2*N530*IF(L530="1/C",O530,1),0)</f>
        <v/>
      </c>
      <c r="Y530" s="12">
        <f>IF(OR(LEFT(K530,4)="LVAX",LEFT(K530,6)="MV15AX",LEFT(K530,4)="CTAX",LEFT(K530,2)="W|"),2*N530*O530,0)</f>
        <v/>
      </c>
      <c r="Z530" s="12" t="inlineStr">
        <is>
          <t>device-to-JB field wiring, one cable per device</t>
        </is>
      </c>
      <c r="AA530" s="12">
        <f>N530*O530</f>
        <v/>
      </c>
    </row>
    <row r="531">
      <c r="A531" s="12" t="inlineStr">
        <is>
          <t>A-C-0519</t>
        </is>
      </c>
      <c r="B531" s="12" t="inlineStr">
        <is>
          <t>A</t>
        </is>
      </c>
      <c r="C531" s="12" t="inlineStr">
        <is>
          <t>Power block</t>
        </is>
      </c>
      <c r="D531" s="12" t="inlineStr">
        <is>
          <t>Home run JB-SOS-2-SOL01 to the control / marshalling room</t>
        </is>
      </c>
      <c r="E531" s="12" t="inlineStr">
        <is>
          <t>R2B</t>
        </is>
      </c>
      <c r="F531" s="12" t="inlineStr">
        <is>
          <t>R2B: unit / HRSG electrical e-house (32 x 40 ft)</t>
        </is>
      </c>
      <c r="G531" s="12" t="inlineStr">
        <is>
          <t>JB-SOS-2-SOL01</t>
        </is>
      </c>
      <c r="H531" s="12" t="inlineStr">
        <is>
          <t>SOS-2: GTG-2 seal-oil and H2 / CO2 gas-control skid</t>
        </is>
      </c>
      <c r="I531" s="12" t="inlineStr">
        <is>
          <t>Control</t>
        </is>
      </c>
      <c r="J531" s="12" t="inlineStr">
        <is>
          <t>ARMOR-X MC-HL 600 V control, Cu #14 AWG (Class I Div 2)</t>
        </is>
      </c>
      <c r="K531" s="12" t="inlineStr">
        <is>
          <t>CTAX|25/C|14</t>
        </is>
      </c>
      <c r="L531" s="12" t="inlineStr">
        <is>
          <t>25/C</t>
        </is>
      </c>
      <c r="M531" s="12" t="inlineStr">
        <is>
          <t>14</t>
        </is>
      </c>
      <c r="N531" s="12" t="n">
        <v>1</v>
      </c>
      <c r="O531" s="12" t="n">
        <v>1</v>
      </c>
      <c r="P531" s="12" t="n"/>
      <c r="Q531" s="12" t="n"/>
      <c r="R531" s="12" t="n"/>
      <c r="S531" s="12" t="inlineStr">
        <is>
          <t>Tray</t>
        </is>
      </c>
      <c r="T531" s="16" t="n">
        <v>1277</v>
      </c>
      <c r="U531" s="16" t="n">
        <v>228</v>
      </c>
      <c r="V531" s="16">
        <f>ROUNDUP((T531+U531+2*'Read Me'!$B$13)*(1+'Read Me'!$B$12),-1)</f>
        <v/>
      </c>
      <c r="W531" s="16">
        <f>V531*N531*O531</f>
        <v/>
      </c>
      <c r="X531" s="12">
        <f>IF(LEFT(I531,2)="MV",2*N531*IF(L531="1/C",O531,1),0)</f>
        <v/>
      </c>
      <c r="Y531" s="12">
        <f>IF(OR(LEFT(K531,4)="LVAX",LEFT(K531,6)="MV15AX",LEFT(K531,4)="CTAX",LEFT(K531,2)="W|"),2*N531*O531,0)</f>
        <v/>
      </c>
      <c r="Z531" s="12" t="inlineStr"/>
      <c r="AA531" s="12">
        <f>N531*O531</f>
        <v/>
      </c>
    </row>
    <row r="532">
      <c r="A532" s="12" t="inlineStr">
        <is>
          <t>A-C-0520</t>
        </is>
      </c>
      <c r="B532" s="12" t="inlineStr">
        <is>
          <t>A</t>
        </is>
      </c>
      <c r="C532" s="12" t="inlineStr">
        <is>
          <t>Power block</t>
        </is>
      </c>
      <c r="D532" s="12" t="inlineStr">
        <is>
          <t>Motor 1 of 3: control / local station</t>
        </is>
      </c>
      <c r="E532" s="12" t="inlineStr">
        <is>
          <t>MCC-GT3</t>
        </is>
      </c>
      <c r="F532" s="12" t="inlineStr">
        <is>
          <t>R1 MCC-GT3</t>
        </is>
      </c>
      <c r="G532" s="12" t="inlineStr">
        <is>
          <t>SOS-3</t>
        </is>
      </c>
      <c r="H532" s="12" t="inlineStr">
        <is>
          <t>SOS-3: GTG-3 seal-oil and H2 / CO2 gas-control skid</t>
        </is>
      </c>
      <c r="I532" s="12" t="inlineStr">
        <is>
          <t>Control</t>
        </is>
      </c>
      <c r="J532" s="12" t="inlineStr">
        <is>
          <t>ARMOR-X MC-HL 600 V control, Cu #14 AWG (Class I Div 2)</t>
        </is>
      </c>
      <c r="K532" s="12" t="inlineStr">
        <is>
          <t>CTAX|7/C|14</t>
        </is>
      </c>
      <c r="L532" s="12" t="inlineStr">
        <is>
          <t>7/C</t>
        </is>
      </c>
      <c r="M532" s="12" t="inlineStr">
        <is>
          <t>14</t>
        </is>
      </c>
      <c r="N532" s="12" t="n">
        <v>1</v>
      </c>
      <c r="O532" s="12" t="n">
        <v>1</v>
      </c>
      <c r="P532" s="12" t="n"/>
      <c r="Q532" s="12" t="n"/>
      <c r="R532" s="12" t="n"/>
      <c r="S532" s="12" t="inlineStr">
        <is>
          <t>Tray</t>
        </is>
      </c>
      <c r="T532" s="16" t="n">
        <v>829</v>
      </c>
      <c r="U532" s="16" t="n">
        <v>177</v>
      </c>
      <c r="V532" s="16">
        <f>ROUNDUP((T532+U532+2*'Read Me'!$B$13)*(1+'Read Me'!$B$12),-1)</f>
        <v/>
      </c>
      <c r="W532" s="16">
        <f>V532*N532*O532</f>
        <v/>
      </c>
      <c r="X532" s="12">
        <f>IF(LEFT(I532,2)="MV",2*N532*IF(L532="1/C",O532,1),0)</f>
        <v/>
      </c>
      <c r="Y532" s="12">
        <f>IF(OR(LEFT(K532,4)="LVAX",LEFT(K532,6)="MV15AX",LEFT(K532,4)="CTAX",LEFT(K532,2)="W|"),2*N532*O532,0)</f>
        <v/>
      </c>
      <c r="Z532" s="12" t="inlineStr"/>
      <c r="AA532" s="12">
        <f>N532*O532</f>
        <v/>
      </c>
    </row>
    <row r="533">
      <c r="A533" s="12" t="inlineStr">
        <is>
          <t>A-C-0521</t>
        </is>
      </c>
      <c r="B533" s="12" t="inlineStr">
        <is>
          <t>A</t>
        </is>
      </c>
      <c r="C533" s="12" t="inlineStr">
        <is>
          <t>Power block</t>
        </is>
      </c>
      <c r="D533" s="12" t="inlineStr">
        <is>
          <t>Motor 2 of 3: control / local station</t>
        </is>
      </c>
      <c r="E533" s="12" t="inlineStr">
        <is>
          <t>MCC-GT3</t>
        </is>
      </c>
      <c r="F533" s="12" t="inlineStr">
        <is>
          <t>R1 MCC-GT3</t>
        </is>
      </c>
      <c r="G533" s="12" t="inlineStr">
        <is>
          <t>SOS-3</t>
        </is>
      </c>
      <c r="H533" s="12" t="inlineStr">
        <is>
          <t>SOS-3: GTG-3 seal-oil and H2 / CO2 gas-control skid</t>
        </is>
      </c>
      <c r="I533" s="12" t="inlineStr">
        <is>
          <t>Control</t>
        </is>
      </c>
      <c r="J533" s="12" t="inlineStr">
        <is>
          <t>ARMOR-X MC-HL 600 V control, Cu #14 AWG (Class I Div 2)</t>
        </is>
      </c>
      <c r="K533" s="12" t="inlineStr">
        <is>
          <t>CTAX|7/C|14</t>
        </is>
      </c>
      <c r="L533" s="12" t="inlineStr">
        <is>
          <t>7/C</t>
        </is>
      </c>
      <c r="M533" s="12" t="inlineStr">
        <is>
          <t>14</t>
        </is>
      </c>
      <c r="N533" s="12" t="n">
        <v>1</v>
      </c>
      <c r="O533" s="12" t="n">
        <v>1</v>
      </c>
      <c r="P533" s="12" t="n"/>
      <c r="Q533" s="12" t="n"/>
      <c r="R533" s="12" t="n"/>
      <c r="S533" s="12" t="inlineStr">
        <is>
          <t>Tray</t>
        </is>
      </c>
      <c r="T533" s="16" t="n">
        <v>829</v>
      </c>
      <c r="U533" s="16" t="n">
        <v>177</v>
      </c>
      <c r="V533" s="16">
        <f>ROUNDUP((T533+U533+2*'Read Me'!$B$13)*(1+'Read Me'!$B$12),-1)</f>
        <v/>
      </c>
      <c r="W533" s="16">
        <f>V533*N533*O533</f>
        <v/>
      </c>
      <c r="X533" s="12">
        <f>IF(LEFT(I533,2)="MV",2*N533*IF(L533="1/C",O533,1),0)</f>
        <v/>
      </c>
      <c r="Y533" s="12">
        <f>IF(OR(LEFT(K533,4)="LVAX",LEFT(K533,6)="MV15AX",LEFT(K533,4)="CTAX",LEFT(K533,2)="W|"),2*N533*O533,0)</f>
        <v/>
      </c>
      <c r="Z533" s="12" t="inlineStr"/>
      <c r="AA533" s="12">
        <f>N533*O533</f>
        <v/>
      </c>
    </row>
    <row r="534">
      <c r="A534" s="12" t="inlineStr">
        <is>
          <t>A-C-0522</t>
        </is>
      </c>
      <c r="B534" s="12" t="inlineStr">
        <is>
          <t>A</t>
        </is>
      </c>
      <c r="C534" s="12" t="inlineStr">
        <is>
          <t>Power block</t>
        </is>
      </c>
      <c r="D534" s="12" t="inlineStr">
        <is>
          <t>Motor 3 of 3: control / local station</t>
        </is>
      </c>
      <c r="E534" s="12" t="inlineStr">
        <is>
          <t>MCC-GT3</t>
        </is>
      </c>
      <c r="F534" s="12" t="inlineStr">
        <is>
          <t>R1 MCC-GT3</t>
        </is>
      </c>
      <c r="G534" s="12" t="inlineStr">
        <is>
          <t>SOS-3</t>
        </is>
      </c>
      <c r="H534" s="12" t="inlineStr">
        <is>
          <t>SOS-3: GTG-3 seal-oil and H2 / CO2 gas-control skid</t>
        </is>
      </c>
      <c r="I534" s="12" t="inlineStr">
        <is>
          <t>Control</t>
        </is>
      </c>
      <c r="J534" s="12" t="inlineStr">
        <is>
          <t>ARMOR-X MC-HL 600 V control, Cu #14 AWG (Class I Div 2)</t>
        </is>
      </c>
      <c r="K534" s="12" t="inlineStr">
        <is>
          <t>CTAX|7/C|14</t>
        </is>
      </c>
      <c r="L534" s="12" t="inlineStr">
        <is>
          <t>7/C</t>
        </is>
      </c>
      <c r="M534" s="12" t="inlineStr">
        <is>
          <t>14</t>
        </is>
      </c>
      <c r="N534" s="12" t="n">
        <v>1</v>
      </c>
      <c r="O534" s="12" t="n">
        <v>1</v>
      </c>
      <c r="P534" s="12" t="n"/>
      <c r="Q534" s="12" t="n"/>
      <c r="R534" s="12" t="n"/>
      <c r="S534" s="12" t="inlineStr">
        <is>
          <t>Tray</t>
        </is>
      </c>
      <c r="T534" s="16" t="n">
        <v>829</v>
      </c>
      <c r="U534" s="16" t="n">
        <v>177</v>
      </c>
      <c r="V534" s="16">
        <f>ROUNDUP((T534+U534+2*'Read Me'!$B$13)*(1+'Read Me'!$B$12),-1)</f>
        <v/>
      </c>
      <c r="W534" s="16">
        <f>V534*N534*O534</f>
        <v/>
      </c>
      <c r="X534" s="12">
        <f>IF(LEFT(I534,2)="MV",2*N534*IF(L534="1/C",O534,1),0)</f>
        <v/>
      </c>
      <c r="Y534" s="12">
        <f>IF(OR(LEFT(K534,4)="LVAX",LEFT(K534,6)="MV15AX",LEFT(K534,4)="CTAX",LEFT(K534,2)="W|"),2*N534*O534,0)</f>
        <v/>
      </c>
      <c r="Z534" s="12" t="inlineStr"/>
      <c r="AA534" s="12">
        <f>N534*O534</f>
        <v/>
      </c>
    </row>
    <row r="535">
      <c r="A535" s="12" t="inlineStr">
        <is>
          <t>A-C-0523</t>
        </is>
      </c>
      <c r="B535" s="12" t="inlineStr">
        <is>
          <t>A</t>
        </is>
      </c>
      <c r="C535" s="12" t="inlineStr">
        <is>
          <t>Power block</t>
        </is>
      </c>
      <c r="D535" s="12" t="inlineStr">
        <is>
          <t>Solenoid to JB JB-SOS-3-SOL01: 4 x 2/C (field cables)</t>
        </is>
      </c>
      <c r="E535" s="12" t="inlineStr">
        <is>
          <t>SOS-3</t>
        </is>
      </c>
      <c r="F535" s="12" t="inlineStr">
        <is>
          <t>SOS-3: GTG-3 seal-oil and H2 / CO2 gas-control skid</t>
        </is>
      </c>
      <c r="G535" s="12" t="inlineStr">
        <is>
          <t>JB-SOS-3-SOL01</t>
        </is>
      </c>
      <c r="H535" s="12" t="inlineStr">
        <is>
          <t>SOS-3: GTG-3 seal-oil and H2 / CO2 gas-control skid</t>
        </is>
      </c>
      <c r="I535" s="12" t="inlineStr">
        <is>
          <t>Control</t>
        </is>
      </c>
      <c r="J535" s="12" t="inlineStr">
        <is>
          <t>ARMOR-X MC-HL 600 V control, Cu #14 AWG (Class I Div 2)</t>
        </is>
      </c>
      <c r="K535" s="12" t="inlineStr">
        <is>
          <t>CTAX|2/C|14</t>
        </is>
      </c>
      <c r="L535" s="12" t="inlineStr">
        <is>
          <t>2/C</t>
        </is>
      </c>
      <c r="M535" s="12" t="inlineStr">
        <is>
          <t>14</t>
        </is>
      </c>
      <c r="N535" s="12" t="n">
        <v>4</v>
      </c>
      <c r="O535" s="12" t="n">
        <v>1</v>
      </c>
      <c r="P535" s="12" t="n"/>
      <c r="Q535" s="12" t="n"/>
      <c r="R535" s="12" t="n"/>
      <c r="S535" s="12" t="inlineStr">
        <is>
          <t>Tray / conduit</t>
        </is>
      </c>
      <c r="T535" s="16" t="n">
        <v>52</v>
      </c>
      <c r="U535" s="16" t="n">
        <v>10</v>
      </c>
      <c r="V535" s="16">
        <f>ROUNDUP((T535+U535+2*'Read Me'!$B$13)*(1+'Read Me'!$B$12),-1)</f>
        <v/>
      </c>
      <c r="W535" s="16">
        <f>V535*N535*O535</f>
        <v/>
      </c>
      <c r="X535" s="12">
        <f>IF(LEFT(I535,2)="MV",2*N535*IF(L535="1/C",O535,1),0)</f>
        <v/>
      </c>
      <c r="Y535" s="12">
        <f>IF(OR(LEFT(K535,4)="LVAX",LEFT(K535,6)="MV15AX",LEFT(K535,4)="CTAX",LEFT(K535,2)="W|"),2*N535*O535,0)</f>
        <v/>
      </c>
      <c r="Z535" s="12" t="inlineStr">
        <is>
          <t>device-to-JB field wiring, one cable per device</t>
        </is>
      </c>
      <c r="AA535" s="12">
        <f>N535*O535</f>
        <v/>
      </c>
    </row>
    <row r="536">
      <c r="A536" s="12" t="inlineStr">
        <is>
          <t>A-C-0524</t>
        </is>
      </c>
      <c r="B536" s="12" t="inlineStr">
        <is>
          <t>A</t>
        </is>
      </c>
      <c r="C536" s="12" t="inlineStr">
        <is>
          <t>Power block</t>
        </is>
      </c>
      <c r="D536" s="12" t="inlineStr">
        <is>
          <t>Home run JB-SOS-3-SOL01 to the control / marshalling room</t>
        </is>
      </c>
      <c r="E536" s="12" t="inlineStr">
        <is>
          <t>R2C</t>
        </is>
      </c>
      <c r="F536" s="12" t="inlineStr">
        <is>
          <t>R2C: unit / HRSG electrical e-house (32 x 40 ft)</t>
        </is>
      </c>
      <c r="G536" s="12" t="inlineStr">
        <is>
          <t>JB-SOS-3-SOL01</t>
        </is>
      </c>
      <c r="H536" s="12" t="inlineStr">
        <is>
          <t>SOS-3: GTG-3 seal-oil and H2 / CO2 gas-control skid</t>
        </is>
      </c>
      <c r="I536" s="12" t="inlineStr">
        <is>
          <t>Control</t>
        </is>
      </c>
      <c r="J536" s="12" t="inlineStr">
        <is>
          <t>ARMOR-X MC-HL 600 V control, Cu #14 AWG (Class I Div 2)</t>
        </is>
      </c>
      <c r="K536" s="12" t="inlineStr">
        <is>
          <t>CTAX|25/C|14</t>
        </is>
      </c>
      <c r="L536" s="12" t="inlineStr">
        <is>
          <t>25/C</t>
        </is>
      </c>
      <c r="M536" s="12" t="inlineStr">
        <is>
          <t>14</t>
        </is>
      </c>
      <c r="N536" s="12" t="n">
        <v>1</v>
      </c>
      <c r="O536" s="12" t="n">
        <v>1</v>
      </c>
      <c r="P536" s="12" t="n"/>
      <c r="Q536" s="12" t="n"/>
      <c r="R536" s="12" t="n"/>
      <c r="S536" s="12" t="inlineStr">
        <is>
          <t>Duct bank</t>
        </is>
      </c>
      <c r="T536" s="16" t="n">
        <v>1214</v>
      </c>
      <c r="U536" s="16" t="n">
        <v>126</v>
      </c>
      <c r="V536" s="16">
        <f>ROUNDUP((T536+U536+2*'Read Me'!$B$13)*(1+'Read Me'!$B$12),-1)</f>
        <v/>
      </c>
      <c r="W536" s="16">
        <f>V536*N536*O536</f>
        <v/>
      </c>
      <c r="X536" s="12">
        <f>IF(LEFT(I536,2)="MV",2*N536*IF(L536="1/C",O536,1),0)</f>
        <v/>
      </c>
      <c r="Y536" s="12">
        <f>IF(OR(LEFT(K536,4)="LVAX",LEFT(K536,6)="MV15AX",LEFT(K536,4)="CTAX",LEFT(K536,2)="W|"),2*N536*O536,0)</f>
        <v/>
      </c>
      <c r="Z536" s="12" t="inlineStr"/>
      <c r="AA536" s="12">
        <f>N536*O536</f>
        <v/>
      </c>
    </row>
    <row r="537">
      <c r="A537" s="12" t="inlineStr">
        <is>
          <t>A-C-0525</t>
        </is>
      </c>
      <c r="B537" s="12" t="inlineStr">
        <is>
          <t>A</t>
        </is>
      </c>
      <c r="C537" s="12" t="inlineStr">
        <is>
          <t>Power block</t>
        </is>
      </c>
      <c r="D537" s="12" t="inlineStr">
        <is>
          <t>Motor 1 of 10: control / local station</t>
        </is>
      </c>
      <c r="E537" s="12" t="inlineStr">
        <is>
          <t>R3</t>
        </is>
      </c>
      <c r="F537" s="12" t="inlineStr">
        <is>
          <t>R3: ST auxiliary electrical e-house (40 x 65 ft)</t>
        </is>
      </c>
      <c r="G537" s="12" t="inlineStr">
        <is>
          <t>ST aux</t>
        </is>
      </c>
      <c r="H537" s="12" t="inlineStr">
        <is>
          <t>ST aux: lube oil, turning gear, EHC</t>
        </is>
      </c>
      <c r="I537" s="12" t="inlineStr">
        <is>
          <t>Control</t>
        </is>
      </c>
      <c r="J537" s="12" t="inlineStr">
        <is>
          <t>Control cable 600 V Type TC-ER, Cu #14 AWG, PVC jacket</t>
        </is>
      </c>
      <c r="K537" s="12" t="inlineStr">
        <is>
          <t>CT|7/C|14</t>
        </is>
      </c>
      <c r="L537" s="12" t="inlineStr">
        <is>
          <t>7/C</t>
        </is>
      </c>
      <c r="M537" s="12" t="inlineStr">
        <is>
          <t>14</t>
        </is>
      </c>
      <c r="N537" s="12" t="n">
        <v>1</v>
      </c>
      <c r="O537" s="12" t="n">
        <v>1</v>
      </c>
      <c r="P537" s="12" t="n"/>
      <c r="Q537" s="12" t="n"/>
      <c r="R537" s="12" t="n"/>
      <c r="S537" s="12" t="inlineStr">
        <is>
          <t>Tray</t>
        </is>
      </c>
      <c r="T537" s="16" t="n">
        <v>67</v>
      </c>
      <c r="U537" s="16" t="n">
        <v>84</v>
      </c>
      <c r="V537" s="16">
        <f>ROUNDUP((T537+U537+2*'Read Me'!$B$13)*(1+'Read Me'!$B$12),-1)</f>
        <v/>
      </c>
      <c r="W537" s="16">
        <f>V537*N537*O537</f>
        <v/>
      </c>
      <c r="X537" s="12">
        <f>IF(LEFT(I537,2)="MV",2*N537*IF(L537="1/C",O537,1),0)</f>
        <v/>
      </c>
      <c r="Y537" s="12">
        <f>IF(OR(LEFT(K537,4)="LVAX",LEFT(K537,6)="MV15AX",LEFT(K537,4)="CTAX",LEFT(K537,2)="W|"),2*N537*O537,0)</f>
        <v/>
      </c>
      <c r="Z537" s="12" t="inlineStr"/>
      <c r="AA537" s="12">
        <f>N537*O537</f>
        <v/>
      </c>
    </row>
    <row r="538">
      <c r="A538" s="12" t="inlineStr">
        <is>
          <t>A-C-0526</t>
        </is>
      </c>
      <c r="B538" s="12" t="inlineStr">
        <is>
          <t>A</t>
        </is>
      </c>
      <c r="C538" s="12" t="inlineStr">
        <is>
          <t>Power block</t>
        </is>
      </c>
      <c r="D538" s="12" t="inlineStr">
        <is>
          <t>Motor 2 of 10: control / local station</t>
        </is>
      </c>
      <c r="E538" s="12" t="inlineStr">
        <is>
          <t>R3</t>
        </is>
      </c>
      <c r="F538" s="12" t="inlineStr">
        <is>
          <t>R3: ST auxiliary electrical e-house (40 x 65 ft)</t>
        </is>
      </c>
      <c r="G538" s="12" t="inlineStr">
        <is>
          <t>ST aux</t>
        </is>
      </c>
      <c r="H538" s="12" t="inlineStr">
        <is>
          <t>ST aux: lube oil, turning gear, EHC</t>
        </is>
      </c>
      <c r="I538" s="12" t="inlineStr">
        <is>
          <t>Control</t>
        </is>
      </c>
      <c r="J538" s="12" t="inlineStr">
        <is>
          <t>Control cable 600 V Type TC-ER, Cu #14 AWG, PVC jacket</t>
        </is>
      </c>
      <c r="K538" s="12" t="inlineStr">
        <is>
          <t>CT|7/C|14</t>
        </is>
      </c>
      <c r="L538" s="12" t="inlineStr">
        <is>
          <t>7/C</t>
        </is>
      </c>
      <c r="M538" s="12" t="inlineStr">
        <is>
          <t>14</t>
        </is>
      </c>
      <c r="N538" s="12" t="n">
        <v>1</v>
      </c>
      <c r="O538" s="12" t="n">
        <v>1</v>
      </c>
      <c r="P538" s="12" t="n"/>
      <c r="Q538" s="12" t="n"/>
      <c r="R538" s="12" t="n"/>
      <c r="S538" s="12" t="inlineStr">
        <is>
          <t>Tray</t>
        </is>
      </c>
      <c r="T538" s="16" t="n">
        <v>67</v>
      </c>
      <c r="U538" s="16" t="n">
        <v>84</v>
      </c>
      <c r="V538" s="16">
        <f>ROUNDUP((T538+U538+2*'Read Me'!$B$13)*(1+'Read Me'!$B$12),-1)</f>
        <v/>
      </c>
      <c r="W538" s="16">
        <f>V538*N538*O538</f>
        <v/>
      </c>
      <c r="X538" s="12">
        <f>IF(LEFT(I538,2)="MV",2*N538*IF(L538="1/C",O538,1),0)</f>
        <v/>
      </c>
      <c r="Y538" s="12">
        <f>IF(OR(LEFT(K538,4)="LVAX",LEFT(K538,6)="MV15AX",LEFT(K538,4)="CTAX",LEFT(K538,2)="W|"),2*N538*O538,0)</f>
        <v/>
      </c>
      <c r="Z538" s="12" t="inlineStr"/>
      <c r="AA538" s="12">
        <f>N538*O538</f>
        <v/>
      </c>
    </row>
    <row r="539">
      <c r="A539" s="12" t="inlineStr">
        <is>
          <t>A-C-0527</t>
        </is>
      </c>
      <c r="B539" s="12" t="inlineStr">
        <is>
          <t>A</t>
        </is>
      </c>
      <c r="C539" s="12" t="inlineStr">
        <is>
          <t>Power block</t>
        </is>
      </c>
      <c r="D539" s="12" t="inlineStr">
        <is>
          <t>Motor 3 of 10: control / local station</t>
        </is>
      </c>
      <c r="E539" s="12" t="inlineStr">
        <is>
          <t>R3</t>
        </is>
      </c>
      <c r="F539" s="12" t="inlineStr">
        <is>
          <t>R3: ST auxiliary electrical e-house (40 x 65 ft)</t>
        </is>
      </c>
      <c r="G539" s="12" t="inlineStr">
        <is>
          <t>ST aux</t>
        </is>
      </c>
      <c r="H539" s="12" t="inlineStr">
        <is>
          <t>ST aux: lube oil, turning gear, EHC</t>
        </is>
      </c>
      <c r="I539" s="12" t="inlineStr">
        <is>
          <t>Control</t>
        </is>
      </c>
      <c r="J539" s="12" t="inlineStr">
        <is>
          <t>Control cable 600 V Type TC-ER, Cu #14 AWG, PVC jacket</t>
        </is>
      </c>
      <c r="K539" s="12" t="inlineStr">
        <is>
          <t>CT|7/C|14</t>
        </is>
      </c>
      <c r="L539" s="12" t="inlineStr">
        <is>
          <t>7/C</t>
        </is>
      </c>
      <c r="M539" s="12" t="inlineStr">
        <is>
          <t>14</t>
        </is>
      </c>
      <c r="N539" s="12" t="n">
        <v>1</v>
      </c>
      <c r="O539" s="12" t="n">
        <v>1</v>
      </c>
      <c r="P539" s="12" t="n"/>
      <c r="Q539" s="12" t="n"/>
      <c r="R539" s="12" t="n"/>
      <c r="S539" s="12" t="inlineStr">
        <is>
          <t>Tray</t>
        </is>
      </c>
      <c r="T539" s="16" t="n">
        <v>67</v>
      </c>
      <c r="U539" s="16" t="n">
        <v>84</v>
      </c>
      <c r="V539" s="16">
        <f>ROUNDUP((T539+U539+2*'Read Me'!$B$13)*(1+'Read Me'!$B$12),-1)</f>
        <v/>
      </c>
      <c r="W539" s="16">
        <f>V539*N539*O539</f>
        <v/>
      </c>
      <c r="X539" s="12">
        <f>IF(LEFT(I539,2)="MV",2*N539*IF(L539="1/C",O539,1),0)</f>
        <v/>
      </c>
      <c r="Y539" s="12">
        <f>IF(OR(LEFT(K539,4)="LVAX",LEFT(K539,6)="MV15AX",LEFT(K539,4)="CTAX",LEFT(K539,2)="W|"),2*N539*O539,0)</f>
        <v/>
      </c>
      <c r="Z539" s="12" t="inlineStr"/>
      <c r="AA539" s="12">
        <f>N539*O539</f>
        <v/>
      </c>
    </row>
    <row r="540">
      <c r="A540" s="12" t="inlineStr">
        <is>
          <t>A-C-0528</t>
        </is>
      </c>
      <c r="B540" s="12" t="inlineStr">
        <is>
          <t>A</t>
        </is>
      </c>
      <c r="C540" s="12" t="inlineStr">
        <is>
          <t>Power block</t>
        </is>
      </c>
      <c r="D540" s="12" t="inlineStr">
        <is>
          <t>Motor 4 of 10: control / local station</t>
        </is>
      </c>
      <c r="E540" s="12" t="inlineStr">
        <is>
          <t>R3</t>
        </is>
      </c>
      <c r="F540" s="12" t="inlineStr">
        <is>
          <t>R3: ST auxiliary electrical e-house (40 x 65 ft)</t>
        </is>
      </c>
      <c r="G540" s="12" t="inlineStr">
        <is>
          <t>ST aux</t>
        </is>
      </c>
      <c r="H540" s="12" t="inlineStr">
        <is>
          <t>ST aux: lube oil, turning gear, EHC</t>
        </is>
      </c>
      <c r="I540" s="12" t="inlineStr">
        <is>
          <t>Control</t>
        </is>
      </c>
      <c r="J540" s="12" t="inlineStr">
        <is>
          <t>Control cable 600 V Type TC-ER, Cu #14 AWG, PVC jacket</t>
        </is>
      </c>
      <c r="K540" s="12" t="inlineStr">
        <is>
          <t>CT|7/C|14</t>
        </is>
      </c>
      <c r="L540" s="12" t="inlineStr">
        <is>
          <t>7/C</t>
        </is>
      </c>
      <c r="M540" s="12" t="inlineStr">
        <is>
          <t>14</t>
        </is>
      </c>
      <c r="N540" s="12" t="n">
        <v>1</v>
      </c>
      <c r="O540" s="12" t="n">
        <v>1</v>
      </c>
      <c r="P540" s="12" t="n"/>
      <c r="Q540" s="12" t="n"/>
      <c r="R540" s="12" t="n"/>
      <c r="S540" s="12" t="inlineStr">
        <is>
          <t>Tray</t>
        </is>
      </c>
      <c r="T540" s="16" t="n">
        <v>67</v>
      </c>
      <c r="U540" s="16" t="n">
        <v>84</v>
      </c>
      <c r="V540" s="16">
        <f>ROUNDUP((T540+U540+2*'Read Me'!$B$13)*(1+'Read Me'!$B$12),-1)</f>
        <v/>
      </c>
      <c r="W540" s="16">
        <f>V540*N540*O540</f>
        <v/>
      </c>
      <c r="X540" s="12">
        <f>IF(LEFT(I540,2)="MV",2*N540*IF(L540="1/C",O540,1),0)</f>
        <v/>
      </c>
      <c r="Y540" s="12">
        <f>IF(OR(LEFT(K540,4)="LVAX",LEFT(K540,6)="MV15AX",LEFT(K540,4)="CTAX",LEFT(K540,2)="W|"),2*N540*O540,0)</f>
        <v/>
      </c>
      <c r="Z540" s="12" t="inlineStr"/>
      <c r="AA540" s="12">
        <f>N540*O540</f>
        <v/>
      </c>
    </row>
    <row r="541">
      <c r="A541" s="12" t="inlineStr">
        <is>
          <t>A-C-0529</t>
        </is>
      </c>
      <c r="B541" s="12" t="inlineStr">
        <is>
          <t>A</t>
        </is>
      </c>
      <c r="C541" s="12" t="inlineStr">
        <is>
          <t>Power block</t>
        </is>
      </c>
      <c r="D541" s="12" t="inlineStr">
        <is>
          <t>Motor 5 of 10: control / local station</t>
        </is>
      </c>
      <c r="E541" s="12" t="inlineStr">
        <is>
          <t>R3</t>
        </is>
      </c>
      <c r="F541" s="12" t="inlineStr">
        <is>
          <t>R3: ST auxiliary electrical e-house (40 x 65 ft)</t>
        </is>
      </c>
      <c r="G541" s="12" t="inlineStr">
        <is>
          <t>ST aux</t>
        </is>
      </c>
      <c r="H541" s="12" t="inlineStr">
        <is>
          <t>ST aux: lube oil, turning gear, EHC</t>
        </is>
      </c>
      <c r="I541" s="12" t="inlineStr">
        <is>
          <t>Control</t>
        </is>
      </c>
      <c r="J541" s="12" t="inlineStr">
        <is>
          <t>Control cable 600 V Type TC-ER, Cu #14 AWG, PVC jacket</t>
        </is>
      </c>
      <c r="K541" s="12" t="inlineStr">
        <is>
          <t>CT|7/C|14</t>
        </is>
      </c>
      <c r="L541" s="12" t="inlineStr">
        <is>
          <t>7/C</t>
        </is>
      </c>
      <c r="M541" s="12" t="inlineStr">
        <is>
          <t>14</t>
        </is>
      </c>
      <c r="N541" s="12" t="n">
        <v>1</v>
      </c>
      <c r="O541" s="12" t="n">
        <v>1</v>
      </c>
      <c r="P541" s="12" t="n"/>
      <c r="Q541" s="12" t="n"/>
      <c r="R541" s="12" t="n"/>
      <c r="S541" s="12" t="inlineStr">
        <is>
          <t>Tray</t>
        </is>
      </c>
      <c r="T541" s="16" t="n">
        <v>67</v>
      </c>
      <c r="U541" s="16" t="n">
        <v>84</v>
      </c>
      <c r="V541" s="16">
        <f>ROUNDUP((T541+U541+2*'Read Me'!$B$13)*(1+'Read Me'!$B$12),-1)</f>
        <v/>
      </c>
      <c r="W541" s="16">
        <f>V541*N541*O541</f>
        <v/>
      </c>
      <c r="X541" s="12">
        <f>IF(LEFT(I541,2)="MV",2*N541*IF(L541="1/C",O541,1),0)</f>
        <v/>
      </c>
      <c r="Y541" s="12">
        <f>IF(OR(LEFT(K541,4)="LVAX",LEFT(K541,6)="MV15AX",LEFT(K541,4)="CTAX",LEFT(K541,2)="W|"),2*N541*O541,0)</f>
        <v/>
      </c>
      <c r="Z541" s="12" t="inlineStr"/>
      <c r="AA541" s="12">
        <f>N541*O541</f>
        <v/>
      </c>
    </row>
    <row r="542">
      <c r="A542" s="12" t="inlineStr">
        <is>
          <t>A-C-0530</t>
        </is>
      </c>
      <c r="B542" s="12" t="inlineStr">
        <is>
          <t>A</t>
        </is>
      </c>
      <c r="C542" s="12" t="inlineStr">
        <is>
          <t>Power block</t>
        </is>
      </c>
      <c r="D542" s="12" t="inlineStr">
        <is>
          <t>Motor 6 of 10: control / local station</t>
        </is>
      </c>
      <c r="E542" s="12" t="inlineStr">
        <is>
          <t>R3</t>
        </is>
      </c>
      <c r="F542" s="12" t="inlineStr">
        <is>
          <t>R3: ST auxiliary electrical e-house (40 x 65 ft)</t>
        </is>
      </c>
      <c r="G542" s="12" t="inlineStr">
        <is>
          <t>ST aux</t>
        </is>
      </c>
      <c r="H542" s="12" t="inlineStr">
        <is>
          <t>ST aux: lube oil, turning gear, EHC</t>
        </is>
      </c>
      <c r="I542" s="12" t="inlineStr">
        <is>
          <t>Control</t>
        </is>
      </c>
      <c r="J542" s="12" t="inlineStr">
        <is>
          <t>Control cable 600 V Type TC-ER, Cu #14 AWG, PVC jacket</t>
        </is>
      </c>
      <c r="K542" s="12" t="inlineStr">
        <is>
          <t>CT|7/C|14</t>
        </is>
      </c>
      <c r="L542" s="12" t="inlineStr">
        <is>
          <t>7/C</t>
        </is>
      </c>
      <c r="M542" s="12" t="inlineStr">
        <is>
          <t>14</t>
        </is>
      </c>
      <c r="N542" s="12" t="n">
        <v>1</v>
      </c>
      <c r="O542" s="12" t="n">
        <v>1</v>
      </c>
      <c r="P542" s="12" t="n"/>
      <c r="Q542" s="12" t="n"/>
      <c r="R542" s="12" t="n"/>
      <c r="S542" s="12" t="inlineStr">
        <is>
          <t>Tray</t>
        </is>
      </c>
      <c r="T542" s="16" t="n">
        <v>67</v>
      </c>
      <c r="U542" s="16" t="n">
        <v>84</v>
      </c>
      <c r="V542" s="16">
        <f>ROUNDUP((T542+U542+2*'Read Me'!$B$13)*(1+'Read Me'!$B$12),-1)</f>
        <v/>
      </c>
      <c r="W542" s="16">
        <f>V542*N542*O542</f>
        <v/>
      </c>
      <c r="X542" s="12">
        <f>IF(LEFT(I542,2)="MV",2*N542*IF(L542="1/C",O542,1),0)</f>
        <v/>
      </c>
      <c r="Y542" s="12">
        <f>IF(OR(LEFT(K542,4)="LVAX",LEFT(K542,6)="MV15AX",LEFT(K542,4)="CTAX",LEFT(K542,2)="W|"),2*N542*O542,0)</f>
        <v/>
      </c>
      <c r="Z542" s="12" t="inlineStr"/>
      <c r="AA542" s="12">
        <f>N542*O542</f>
        <v/>
      </c>
    </row>
    <row r="543">
      <c r="A543" s="12" t="inlineStr">
        <is>
          <t>A-C-0531</t>
        </is>
      </c>
      <c r="B543" s="12" t="inlineStr">
        <is>
          <t>A</t>
        </is>
      </c>
      <c r="C543" s="12" t="inlineStr">
        <is>
          <t>Power block</t>
        </is>
      </c>
      <c r="D543" s="12" t="inlineStr">
        <is>
          <t>Motor 7 of 10: control / local station</t>
        </is>
      </c>
      <c r="E543" s="12" t="inlineStr">
        <is>
          <t>R3</t>
        </is>
      </c>
      <c r="F543" s="12" t="inlineStr">
        <is>
          <t>R3: ST auxiliary electrical e-house (40 x 65 ft)</t>
        </is>
      </c>
      <c r="G543" s="12" t="inlineStr">
        <is>
          <t>ST aux</t>
        </is>
      </c>
      <c r="H543" s="12" t="inlineStr">
        <is>
          <t>ST aux: lube oil, turning gear, EHC</t>
        </is>
      </c>
      <c r="I543" s="12" t="inlineStr">
        <is>
          <t>Control</t>
        </is>
      </c>
      <c r="J543" s="12" t="inlineStr">
        <is>
          <t>Control cable 600 V Type TC-ER, Cu #14 AWG, PVC jacket</t>
        </is>
      </c>
      <c r="K543" s="12" t="inlineStr">
        <is>
          <t>CT|7/C|14</t>
        </is>
      </c>
      <c r="L543" s="12" t="inlineStr">
        <is>
          <t>7/C</t>
        </is>
      </c>
      <c r="M543" s="12" t="inlineStr">
        <is>
          <t>14</t>
        </is>
      </c>
      <c r="N543" s="12" t="n">
        <v>1</v>
      </c>
      <c r="O543" s="12" t="n">
        <v>1</v>
      </c>
      <c r="P543" s="12" t="n"/>
      <c r="Q543" s="12" t="n"/>
      <c r="R543" s="12" t="n"/>
      <c r="S543" s="12" t="inlineStr">
        <is>
          <t>Tray</t>
        </is>
      </c>
      <c r="T543" s="16" t="n">
        <v>67</v>
      </c>
      <c r="U543" s="16" t="n">
        <v>84</v>
      </c>
      <c r="V543" s="16">
        <f>ROUNDUP((T543+U543+2*'Read Me'!$B$13)*(1+'Read Me'!$B$12),-1)</f>
        <v/>
      </c>
      <c r="W543" s="16">
        <f>V543*N543*O543</f>
        <v/>
      </c>
      <c r="X543" s="12">
        <f>IF(LEFT(I543,2)="MV",2*N543*IF(L543="1/C",O543,1),0)</f>
        <v/>
      </c>
      <c r="Y543" s="12">
        <f>IF(OR(LEFT(K543,4)="LVAX",LEFT(K543,6)="MV15AX",LEFT(K543,4)="CTAX",LEFT(K543,2)="W|"),2*N543*O543,0)</f>
        <v/>
      </c>
      <c r="Z543" s="12" t="inlineStr"/>
      <c r="AA543" s="12">
        <f>N543*O543</f>
        <v/>
      </c>
    </row>
    <row r="544">
      <c r="A544" s="12" t="inlineStr">
        <is>
          <t>A-C-0532</t>
        </is>
      </c>
      <c r="B544" s="12" t="inlineStr">
        <is>
          <t>A</t>
        </is>
      </c>
      <c r="C544" s="12" t="inlineStr">
        <is>
          <t>Power block</t>
        </is>
      </c>
      <c r="D544" s="12" t="inlineStr">
        <is>
          <t>Motor 8 of 10: control / local station</t>
        </is>
      </c>
      <c r="E544" s="12" t="inlineStr">
        <is>
          <t>R3</t>
        </is>
      </c>
      <c r="F544" s="12" t="inlineStr">
        <is>
          <t>R3: ST auxiliary electrical e-house (40 x 65 ft)</t>
        </is>
      </c>
      <c r="G544" s="12" t="inlineStr">
        <is>
          <t>ST aux</t>
        </is>
      </c>
      <c r="H544" s="12" t="inlineStr">
        <is>
          <t>ST aux: lube oil, turning gear, EHC</t>
        </is>
      </c>
      <c r="I544" s="12" t="inlineStr">
        <is>
          <t>Control</t>
        </is>
      </c>
      <c r="J544" s="12" t="inlineStr">
        <is>
          <t>Control cable 600 V Type TC-ER, Cu #14 AWG, PVC jacket</t>
        </is>
      </c>
      <c r="K544" s="12" t="inlineStr">
        <is>
          <t>CT|7/C|14</t>
        </is>
      </c>
      <c r="L544" s="12" t="inlineStr">
        <is>
          <t>7/C</t>
        </is>
      </c>
      <c r="M544" s="12" t="inlineStr">
        <is>
          <t>14</t>
        </is>
      </c>
      <c r="N544" s="12" t="n">
        <v>1</v>
      </c>
      <c r="O544" s="12" t="n">
        <v>1</v>
      </c>
      <c r="P544" s="12" t="n"/>
      <c r="Q544" s="12" t="n"/>
      <c r="R544" s="12" t="n"/>
      <c r="S544" s="12" t="inlineStr">
        <is>
          <t>Tray</t>
        </is>
      </c>
      <c r="T544" s="16" t="n">
        <v>67</v>
      </c>
      <c r="U544" s="16" t="n">
        <v>84</v>
      </c>
      <c r="V544" s="16">
        <f>ROUNDUP((T544+U544+2*'Read Me'!$B$13)*(1+'Read Me'!$B$12),-1)</f>
        <v/>
      </c>
      <c r="W544" s="16">
        <f>V544*N544*O544</f>
        <v/>
      </c>
      <c r="X544" s="12">
        <f>IF(LEFT(I544,2)="MV",2*N544*IF(L544="1/C",O544,1),0)</f>
        <v/>
      </c>
      <c r="Y544" s="12">
        <f>IF(OR(LEFT(K544,4)="LVAX",LEFT(K544,6)="MV15AX",LEFT(K544,4)="CTAX",LEFT(K544,2)="W|"),2*N544*O544,0)</f>
        <v/>
      </c>
      <c r="Z544" s="12" t="inlineStr"/>
      <c r="AA544" s="12">
        <f>N544*O544</f>
        <v/>
      </c>
    </row>
    <row r="545">
      <c r="A545" s="12" t="inlineStr">
        <is>
          <t>A-C-0533</t>
        </is>
      </c>
      <c r="B545" s="12" t="inlineStr">
        <is>
          <t>A</t>
        </is>
      </c>
      <c r="C545" s="12" t="inlineStr">
        <is>
          <t>Power block</t>
        </is>
      </c>
      <c r="D545" s="12" t="inlineStr">
        <is>
          <t>Motor 9 of 10: control / local station</t>
        </is>
      </c>
      <c r="E545" s="12" t="inlineStr">
        <is>
          <t>R3</t>
        </is>
      </c>
      <c r="F545" s="12" t="inlineStr">
        <is>
          <t>R3: ST auxiliary electrical e-house (40 x 65 ft)</t>
        </is>
      </c>
      <c r="G545" s="12" t="inlineStr">
        <is>
          <t>ST aux</t>
        </is>
      </c>
      <c r="H545" s="12" t="inlineStr">
        <is>
          <t>ST aux: lube oil, turning gear, EHC</t>
        </is>
      </c>
      <c r="I545" s="12" t="inlineStr">
        <is>
          <t>Control</t>
        </is>
      </c>
      <c r="J545" s="12" t="inlineStr">
        <is>
          <t>Control cable 600 V Type TC-ER, Cu #14 AWG, PVC jacket</t>
        </is>
      </c>
      <c r="K545" s="12" t="inlineStr">
        <is>
          <t>CT|7/C|14</t>
        </is>
      </c>
      <c r="L545" s="12" t="inlineStr">
        <is>
          <t>7/C</t>
        </is>
      </c>
      <c r="M545" s="12" t="inlineStr">
        <is>
          <t>14</t>
        </is>
      </c>
      <c r="N545" s="12" t="n">
        <v>1</v>
      </c>
      <c r="O545" s="12" t="n">
        <v>1</v>
      </c>
      <c r="P545" s="12" t="n"/>
      <c r="Q545" s="12" t="n"/>
      <c r="R545" s="12" t="n"/>
      <c r="S545" s="12" t="inlineStr">
        <is>
          <t>Tray</t>
        </is>
      </c>
      <c r="T545" s="16" t="n">
        <v>67</v>
      </c>
      <c r="U545" s="16" t="n">
        <v>84</v>
      </c>
      <c r="V545" s="16">
        <f>ROUNDUP((T545+U545+2*'Read Me'!$B$13)*(1+'Read Me'!$B$12),-1)</f>
        <v/>
      </c>
      <c r="W545" s="16">
        <f>V545*N545*O545</f>
        <v/>
      </c>
      <c r="X545" s="12">
        <f>IF(LEFT(I545,2)="MV",2*N545*IF(L545="1/C",O545,1),0)</f>
        <v/>
      </c>
      <c r="Y545" s="12">
        <f>IF(OR(LEFT(K545,4)="LVAX",LEFT(K545,6)="MV15AX",LEFT(K545,4)="CTAX",LEFT(K545,2)="W|"),2*N545*O545,0)</f>
        <v/>
      </c>
      <c r="Z545" s="12" t="inlineStr"/>
      <c r="AA545" s="12">
        <f>N545*O545</f>
        <v/>
      </c>
    </row>
    <row r="546">
      <c r="A546" s="12" t="inlineStr">
        <is>
          <t>A-C-0534</t>
        </is>
      </c>
      <c r="B546" s="12" t="inlineStr">
        <is>
          <t>A</t>
        </is>
      </c>
      <c r="C546" s="12" t="inlineStr">
        <is>
          <t>Power block</t>
        </is>
      </c>
      <c r="D546" s="12" t="inlineStr">
        <is>
          <t>Motor 10 of 10: control / local station</t>
        </is>
      </c>
      <c r="E546" s="12" t="inlineStr">
        <is>
          <t>R3</t>
        </is>
      </c>
      <c r="F546" s="12" t="inlineStr">
        <is>
          <t>R3: ST auxiliary electrical e-house (40 x 65 ft)</t>
        </is>
      </c>
      <c r="G546" s="12" t="inlineStr">
        <is>
          <t>ST aux</t>
        </is>
      </c>
      <c r="H546" s="12" t="inlineStr">
        <is>
          <t>ST aux: lube oil, turning gear, EHC</t>
        </is>
      </c>
      <c r="I546" s="12" t="inlineStr">
        <is>
          <t>Control</t>
        </is>
      </c>
      <c r="J546" s="12" t="inlineStr">
        <is>
          <t>Control cable 600 V Type TC-ER, Cu #14 AWG, PVC jacket</t>
        </is>
      </c>
      <c r="K546" s="12" t="inlineStr">
        <is>
          <t>CT|7/C|14</t>
        </is>
      </c>
      <c r="L546" s="12" t="inlineStr">
        <is>
          <t>7/C</t>
        </is>
      </c>
      <c r="M546" s="12" t="inlineStr">
        <is>
          <t>14</t>
        </is>
      </c>
      <c r="N546" s="12" t="n">
        <v>1</v>
      </c>
      <c r="O546" s="12" t="n">
        <v>1</v>
      </c>
      <c r="P546" s="12" t="n"/>
      <c r="Q546" s="12" t="n"/>
      <c r="R546" s="12" t="n"/>
      <c r="S546" s="12" t="inlineStr">
        <is>
          <t>Tray</t>
        </is>
      </c>
      <c r="T546" s="16" t="n">
        <v>67</v>
      </c>
      <c r="U546" s="16" t="n">
        <v>84</v>
      </c>
      <c r="V546" s="16">
        <f>ROUNDUP((T546+U546+2*'Read Me'!$B$13)*(1+'Read Me'!$B$12),-1)</f>
        <v/>
      </c>
      <c r="W546" s="16">
        <f>V546*N546*O546</f>
        <v/>
      </c>
      <c r="X546" s="12">
        <f>IF(LEFT(I546,2)="MV",2*N546*IF(L546="1/C",O546,1),0)</f>
        <v/>
      </c>
      <c r="Y546" s="12">
        <f>IF(OR(LEFT(K546,4)="LVAX",LEFT(K546,6)="MV15AX",LEFT(K546,4)="CTAX",LEFT(K546,2)="W|"),2*N546*O546,0)</f>
        <v/>
      </c>
      <c r="Z546" s="12" t="inlineStr"/>
      <c r="AA546" s="12">
        <f>N546*O546</f>
        <v/>
      </c>
    </row>
    <row r="547">
      <c r="A547" s="12" t="inlineStr">
        <is>
          <t>A-C-0535</t>
        </is>
      </c>
      <c r="B547" s="12" t="inlineStr">
        <is>
          <t>A</t>
        </is>
      </c>
      <c r="C547" s="12" t="inlineStr">
        <is>
          <t>Power block</t>
        </is>
      </c>
      <c r="D547" s="12" t="inlineStr">
        <is>
          <t>MOV 1: control</t>
        </is>
      </c>
      <c r="E547" s="12" t="inlineStr">
        <is>
          <t>R3</t>
        </is>
      </c>
      <c r="F547" s="12" t="inlineStr">
        <is>
          <t>R3: ST auxiliary electrical e-house (40 x 65 ft)</t>
        </is>
      </c>
      <c r="G547" s="12" t="inlineStr">
        <is>
          <t>ST</t>
        </is>
      </c>
      <c r="H547" s="12" t="inlineStr">
        <is>
          <t>ST: steam turbine (HP/IP + LP), ACC plant</t>
        </is>
      </c>
      <c r="I547" s="12" t="inlineStr">
        <is>
          <t>Control</t>
        </is>
      </c>
      <c r="J547" s="12" t="inlineStr">
        <is>
          <t>Control cable 600 V Type TC-ER, Cu #14 AWG, PVC jacket</t>
        </is>
      </c>
      <c r="K547" s="12" t="inlineStr">
        <is>
          <t>CT|12/C|14</t>
        </is>
      </c>
      <c r="L547" s="12" t="inlineStr">
        <is>
          <t>12/C</t>
        </is>
      </c>
      <c r="M547" s="12" t="inlineStr">
        <is>
          <t>14</t>
        </is>
      </c>
      <c r="N547" s="12" t="n">
        <v>1</v>
      </c>
      <c r="O547" s="12" t="n">
        <v>1</v>
      </c>
      <c r="P547" s="12" t="n"/>
      <c r="Q547" s="12" t="n"/>
      <c r="R547" s="12" t="n"/>
      <c r="S547" s="12" t="inlineStr">
        <is>
          <t>Duct bank</t>
        </is>
      </c>
      <c r="T547" s="16" t="n">
        <v>12</v>
      </c>
      <c r="U547" s="16" t="n">
        <v>50</v>
      </c>
      <c r="V547" s="16">
        <f>ROUNDUP((T547+U547+2*'Read Me'!$B$13)*(1+'Read Me'!$B$12),-1)</f>
        <v/>
      </c>
      <c r="W547" s="16">
        <f>V547*N547*O547</f>
        <v/>
      </c>
      <c r="X547" s="12">
        <f>IF(LEFT(I547,2)="MV",2*N547*IF(L547="1/C",O547,1),0)</f>
        <v/>
      </c>
      <c r="Y547" s="12">
        <f>IF(OR(LEFT(K547,4)="LVAX",LEFT(K547,6)="MV15AX",LEFT(K547,4)="CTAX",LEFT(K547,2)="W|"),2*N547*O547,0)</f>
        <v/>
      </c>
      <c r="Z547" s="12" t="inlineStr"/>
      <c r="AA547" s="12">
        <f>N547*O547</f>
        <v/>
      </c>
    </row>
    <row r="548">
      <c r="A548" s="12" t="inlineStr">
        <is>
          <t>A-C-0536</t>
        </is>
      </c>
      <c r="B548" s="12" t="inlineStr">
        <is>
          <t>A</t>
        </is>
      </c>
      <c r="C548" s="12" t="inlineStr">
        <is>
          <t>Power block</t>
        </is>
      </c>
      <c r="D548" s="12" t="inlineStr">
        <is>
          <t>MOV 2: control</t>
        </is>
      </c>
      <c r="E548" s="12" t="inlineStr">
        <is>
          <t>R3</t>
        </is>
      </c>
      <c r="F548" s="12" t="inlineStr">
        <is>
          <t>R3: ST auxiliary electrical e-house (40 x 65 ft)</t>
        </is>
      </c>
      <c r="G548" s="12" t="inlineStr">
        <is>
          <t>ST</t>
        </is>
      </c>
      <c r="H548" s="12" t="inlineStr">
        <is>
          <t>ST: steam turbine (HP/IP + LP), ACC plant</t>
        </is>
      </c>
      <c r="I548" s="12" t="inlineStr">
        <is>
          <t>Control</t>
        </is>
      </c>
      <c r="J548" s="12" t="inlineStr">
        <is>
          <t>Control cable 600 V Type TC-ER, Cu #14 AWG, PVC jacket</t>
        </is>
      </c>
      <c r="K548" s="12" t="inlineStr">
        <is>
          <t>CT|12/C|14</t>
        </is>
      </c>
      <c r="L548" s="12" t="inlineStr">
        <is>
          <t>12/C</t>
        </is>
      </c>
      <c r="M548" s="12" t="inlineStr">
        <is>
          <t>14</t>
        </is>
      </c>
      <c r="N548" s="12" t="n">
        <v>1</v>
      </c>
      <c r="O548" s="12" t="n">
        <v>1</v>
      </c>
      <c r="P548" s="12" t="n"/>
      <c r="Q548" s="12" t="n"/>
      <c r="R548" s="12" t="n"/>
      <c r="S548" s="12" t="inlineStr">
        <is>
          <t>Duct bank</t>
        </is>
      </c>
      <c r="T548" s="16" t="n">
        <v>12</v>
      </c>
      <c r="U548" s="16" t="n">
        <v>50</v>
      </c>
      <c r="V548" s="16">
        <f>ROUNDUP((T548+U548+2*'Read Me'!$B$13)*(1+'Read Me'!$B$12),-1)</f>
        <v/>
      </c>
      <c r="W548" s="16">
        <f>V548*N548*O548</f>
        <v/>
      </c>
      <c r="X548" s="12">
        <f>IF(LEFT(I548,2)="MV",2*N548*IF(L548="1/C",O548,1),0)</f>
        <v/>
      </c>
      <c r="Y548" s="12">
        <f>IF(OR(LEFT(K548,4)="LVAX",LEFT(K548,6)="MV15AX",LEFT(K548,4)="CTAX",LEFT(K548,2)="W|"),2*N548*O548,0)</f>
        <v/>
      </c>
      <c r="Z548" s="12" t="inlineStr"/>
      <c r="AA548" s="12">
        <f>N548*O548</f>
        <v/>
      </c>
    </row>
    <row r="549">
      <c r="A549" s="12" t="inlineStr">
        <is>
          <t>A-C-0537</t>
        </is>
      </c>
      <c r="B549" s="12" t="inlineStr">
        <is>
          <t>A</t>
        </is>
      </c>
      <c r="C549" s="12" t="inlineStr">
        <is>
          <t>Power block</t>
        </is>
      </c>
      <c r="D549" s="12" t="inlineStr">
        <is>
          <t>MOV 3: control</t>
        </is>
      </c>
      <c r="E549" s="12" t="inlineStr">
        <is>
          <t>R3</t>
        </is>
      </c>
      <c r="F549" s="12" t="inlineStr">
        <is>
          <t>R3: ST auxiliary electrical e-house (40 x 65 ft)</t>
        </is>
      </c>
      <c r="G549" s="12" t="inlineStr">
        <is>
          <t>ST</t>
        </is>
      </c>
      <c r="H549" s="12" t="inlineStr">
        <is>
          <t>ST: steam turbine (HP/IP + LP), ACC plant</t>
        </is>
      </c>
      <c r="I549" s="12" t="inlineStr">
        <is>
          <t>Control</t>
        </is>
      </c>
      <c r="J549" s="12" t="inlineStr">
        <is>
          <t>Control cable 600 V Type TC-ER, Cu #14 AWG, PVC jacket</t>
        </is>
      </c>
      <c r="K549" s="12" t="inlineStr">
        <is>
          <t>CT|12/C|14</t>
        </is>
      </c>
      <c r="L549" s="12" t="inlineStr">
        <is>
          <t>12/C</t>
        </is>
      </c>
      <c r="M549" s="12" t="inlineStr">
        <is>
          <t>14</t>
        </is>
      </c>
      <c r="N549" s="12" t="n">
        <v>1</v>
      </c>
      <c r="O549" s="12" t="n">
        <v>1</v>
      </c>
      <c r="P549" s="12" t="n"/>
      <c r="Q549" s="12" t="n"/>
      <c r="R549" s="12" t="n"/>
      <c r="S549" s="12" t="inlineStr">
        <is>
          <t>Duct bank</t>
        </is>
      </c>
      <c r="T549" s="16" t="n">
        <v>12</v>
      </c>
      <c r="U549" s="16" t="n">
        <v>50</v>
      </c>
      <c r="V549" s="16">
        <f>ROUNDUP((T549+U549+2*'Read Me'!$B$13)*(1+'Read Me'!$B$12),-1)</f>
        <v/>
      </c>
      <c r="W549" s="16">
        <f>V549*N549*O549</f>
        <v/>
      </c>
      <c r="X549" s="12">
        <f>IF(LEFT(I549,2)="MV",2*N549*IF(L549="1/C",O549,1),0)</f>
        <v/>
      </c>
      <c r="Y549" s="12">
        <f>IF(OR(LEFT(K549,4)="LVAX",LEFT(K549,6)="MV15AX",LEFT(K549,4)="CTAX",LEFT(K549,2)="W|"),2*N549*O549,0)</f>
        <v/>
      </c>
      <c r="Z549" s="12" t="inlineStr"/>
      <c r="AA549" s="12">
        <f>N549*O549</f>
        <v/>
      </c>
    </row>
    <row r="550">
      <c r="A550" s="12" t="inlineStr">
        <is>
          <t>A-C-0538</t>
        </is>
      </c>
      <c r="B550" s="12" t="inlineStr">
        <is>
          <t>A</t>
        </is>
      </c>
      <c r="C550" s="12" t="inlineStr">
        <is>
          <t>Power block</t>
        </is>
      </c>
      <c r="D550" s="12" t="inlineStr">
        <is>
          <t>MOV 4: control</t>
        </is>
      </c>
      <c r="E550" s="12" t="inlineStr">
        <is>
          <t>R3</t>
        </is>
      </c>
      <c r="F550" s="12" t="inlineStr">
        <is>
          <t>R3: ST auxiliary electrical e-house (40 x 65 ft)</t>
        </is>
      </c>
      <c r="G550" s="12" t="inlineStr">
        <is>
          <t>ST</t>
        </is>
      </c>
      <c r="H550" s="12" t="inlineStr">
        <is>
          <t>ST: steam turbine (HP/IP + LP), ACC plant</t>
        </is>
      </c>
      <c r="I550" s="12" t="inlineStr">
        <is>
          <t>Control</t>
        </is>
      </c>
      <c r="J550" s="12" t="inlineStr">
        <is>
          <t>Control cable 600 V Type TC-ER, Cu #14 AWG, PVC jacket</t>
        </is>
      </c>
      <c r="K550" s="12" t="inlineStr">
        <is>
          <t>CT|12/C|14</t>
        </is>
      </c>
      <c r="L550" s="12" t="inlineStr">
        <is>
          <t>12/C</t>
        </is>
      </c>
      <c r="M550" s="12" t="inlineStr">
        <is>
          <t>14</t>
        </is>
      </c>
      <c r="N550" s="12" t="n">
        <v>1</v>
      </c>
      <c r="O550" s="12" t="n">
        <v>1</v>
      </c>
      <c r="P550" s="12" t="n"/>
      <c r="Q550" s="12" t="n"/>
      <c r="R550" s="12" t="n"/>
      <c r="S550" s="12" t="inlineStr">
        <is>
          <t>Duct bank</t>
        </is>
      </c>
      <c r="T550" s="16" t="n">
        <v>12</v>
      </c>
      <c r="U550" s="16" t="n">
        <v>50</v>
      </c>
      <c r="V550" s="16">
        <f>ROUNDUP((T550+U550+2*'Read Me'!$B$13)*(1+'Read Me'!$B$12),-1)</f>
        <v/>
      </c>
      <c r="W550" s="16">
        <f>V550*N550*O550</f>
        <v/>
      </c>
      <c r="X550" s="12">
        <f>IF(LEFT(I550,2)="MV",2*N550*IF(L550="1/C",O550,1),0)</f>
        <v/>
      </c>
      <c r="Y550" s="12">
        <f>IF(OR(LEFT(K550,4)="LVAX",LEFT(K550,6)="MV15AX",LEFT(K550,4)="CTAX",LEFT(K550,2)="W|"),2*N550*O550,0)</f>
        <v/>
      </c>
      <c r="Z550" s="12" t="inlineStr"/>
      <c r="AA550" s="12">
        <f>N550*O550</f>
        <v/>
      </c>
    </row>
    <row r="551">
      <c r="A551" s="12" t="inlineStr">
        <is>
          <t>A-C-0539</t>
        </is>
      </c>
      <c r="B551" s="12" t="inlineStr">
        <is>
          <t>A</t>
        </is>
      </c>
      <c r="C551" s="12" t="inlineStr">
        <is>
          <t>Power block</t>
        </is>
      </c>
      <c r="D551" s="12" t="inlineStr">
        <is>
          <t>MOV 5: control</t>
        </is>
      </c>
      <c r="E551" s="12" t="inlineStr">
        <is>
          <t>R3</t>
        </is>
      </c>
      <c r="F551" s="12" t="inlineStr">
        <is>
          <t>R3: ST auxiliary electrical e-house (40 x 65 ft)</t>
        </is>
      </c>
      <c r="G551" s="12" t="inlineStr">
        <is>
          <t>ST</t>
        </is>
      </c>
      <c r="H551" s="12" t="inlineStr">
        <is>
          <t>ST: steam turbine (HP/IP + LP), ACC plant</t>
        </is>
      </c>
      <c r="I551" s="12" t="inlineStr">
        <is>
          <t>Control</t>
        </is>
      </c>
      <c r="J551" s="12" t="inlineStr">
        <is>
          <t>Control cable 600 V Type TC-ER, Cu #14 AWG, PVC jacket</t>
        </is>
      </c>
      <c r="K551" s="12" t="inlineStr">
        <is>
          <t>CT|12/C|14</t>
        </is>
      </c>
      <c r="L551" s="12" t="inlineStr">
        <is>
          <t>12/C</t>
        </is>
      </c>
      <c r="M551" s="12" t="inlineStr">
        <is>
          <t>14</t>
        </is>
      </c>
      <c r="N551" s="12" t="n">
        <v>1</v>
      </c>
      <c r="O551" s="12" t="n">
        <v>1</v>
      </c>
      <c r="P551" s="12" t="n"/>
      <c r="Q551" s="12" t="n"/>
      <c r="R551" s="12" t="n"/>
      <c r="S551" s="12" t="inlineStr">
        <is>
          <t>Duct bank</t>
        </is>
      </c>
      <c r="T551" s="16" t="n">
        <v>12</v>
      </c>
      <c r="U551" s="16" t="n">
        <v>50</v>
      </c>
      <c r="V551" s="16">
        <f>ROUNDUP((T551+U551+2*'Read Me'!$B$13)*(1+'Read Me'!$B$12),-1)</f>
        <v/>
      </c>
      <c r="W551" s="16">
        <f>V551*N551*O551</f>
        <v/>
      </c>
      <c r="X551" s="12">
        <f>IF(LEFT(I551,2)="MV",2*N551*IF(L551="1/C",O551,1),0)</f>
        <v/>
      </c>
      <c r="Y551" s="12">
        <f>IF(OR(LEFT(K551,4)="LVAX",LEFT(K551,6)="MV15AX",LEFT(K551,4)="CTAX",LEFT(K551,2)="W|"),2*N551*O551,0)</f>
        <v/>
      </c>
      <c r="Z551" s="12" t="inlineStr"/>
      <c r="AA551" s="12">
        <f>N551*O551</f>
        <v/>
      </c>
    </row>
    <row r="552">
      <c r="A552" s="12" t="inlineStr">
        <is>
          <t>A-C-0540</t>
        </is>
      </c>
      <c r="B552" s="12" t="inlineStr">
        <is>
          <t>A</t>
        </is>
      </c>
      <c r="C552" s="12" t="inlineStr">
        <is>
          <t>Power block</t>
        </is>
      </c>
      <c r="D552" s="12" t="inlineStr">
        <is>
          <t>MOV 6: control</t>
        </is>
      </c>
      <c r="E552" s="12" t="inlineStr">
        <is>
          <t>R3</t>
        </is>
      </c>
      <c r="F552" s="12" t="inlineStr">
        <is>
          <t>R3: ST auxiliary electrical e-house (40 x 65 ft)</t>
        </is>
      </c>
      <c r="G552" s="12" t="inlineStr">
        <is>
          <t>ST</t>
        </is>
      </c>
      <c r="H552" s="12" t="inlineStr">
        <is>
          <t>ST: steam turbine (HP/IP + LP), ACC plant</t>
        </is>
      </c>
      <c r="I552" s="12" t="inlineStr">
        <is>
          <t>Control</t>
        </is>
      </c>
      <c r="J552" s="12" t="inlineStr">
        <is>
          <t>Control cable 600 V Type TC-ER, Cu #14 AWG, PVC jacket</t>
        </is>
      </c>
      <c r="K552" s="12" t="inlineStr">
        <is>
          <t>CT|12/C|14</t>
        </is>
      </c>
      <c r="L552" s="12" t="inlineStr">
        <is>
          <t>12/C</t>
        </is>
      </c>
      <c r="M552" s="12" t="inlineStr">
        <is>
          <t>14</t>
        </is>
      </c>
      <c r="N552" s="12" t="n">
        <v>1</v>
      </c>
      <c r="O552" s="12" t="n">
        <v>1</v>
      </c>
      <c r="P552" s="12" t="n"/>
      <c r="Q552" s="12" t="n"/>
      <c r="R552" s="12" t="n"/>
      <c r="S552" s="12" t="inlineStr">
        <is>
          <t>Duct bank</t>
        </is>
      </c>
      <c r="T552" s="16" t="n">
        <v>12</v>
      </c>
      <c r="U552" s="16" t="n">
        <v>50</v>
      </c>
      <c r="V552" s="16">
        <f>ROUNDUP((T552+U552+2*'Read Me'!$B$13)*(1+'Read Me'!$B$12),-1)</f>
        <v/>
      </c>
      <c r="W552" s="16">
        <f>V552*N552*O552</f>
        <v/>
      </c>
      <c r="X552" s="12">
        <f>IF(LEFT(I552,2)="MV",2*N552*IF(L552="1/C",O552,1),0)</f>
        <v/>
      </c>
      <c r="Y552" s="12">
        <f>IF(OR(LEFT(K552,4)="LVAX",LEFT(K552,6)="MV15AX",LEFT(K552,4)="CTAX",LEFT(K552,2)="W|"),2*N552*O552,0)</f>
        <v/>
      </c>
      <c r="Z552" s="12" t="inlineStr"/>
      <c r="AA552" s="12">
        <f>N552*O552</f>
        <v/>
      </c>
    </row>
    <row r="553">
      <c r="A553" s="12" t="inlineStr">
        <is>
          <t>A-C-0541</t>
        </is>
      </c>
      <c r="B553" s="12" t="inlineStr">
        <is>
          <t>A</t>
        </is>
      </c>
      <c r="C553" s="12" t="inlineStr">
        <is>
          <t>Power block</t>
        </is>
      </c>
      <c r="D553" s="12" t="inlineStr">
        <is>
          <t>MOV 7: control</t>
        </is>
      </c>
      <c r="E553" s="12" t="inlineStr">
        <is>
          <t>R3</t>
        </is>
      </c>
      <c r="F553" s="12" t="inlineStr">
        <is>
          <t>R3: ST auxiliary electrical e-house (40 x 65 ft)</t>
        </is>
      </c>
      <c r="G553" s="12" t="inlineStr">
        <is>
          <t>ST</t>
        </is>
      </c>
      <c r="H553" s="12" t="inlineStr">
        <is>
          <t>ST: steam turbine (HP/IP + LP), ACC plant</t>
        </is>
      </c>
      <c r="I553" s="12" t="inlineStr">
        <is>
          <t>Control</t>
        </is>
      </c>
      <c r="J553" s="12" t="inlineStr">
        <is>
          <t>Control cable 600 V Type TC-ER, Cu #14 AWG, PVC jacket</t>
        </is>
      </c>
      <c r="K553" s="12" t="inlineStr">
        <is>
          <t>CT|12/C|14</t>
        </is>
      </c>
      <c r="L553" s="12" t="inlineStr">
        <is>
          <t>12/C</t>
        </is>
      </c>
      <c r="M553" s="12" t="inlineStr">
        <is>
          <t>14</t>
        </is>
      </c>
      <c r="N553" s="12" t="n">
        <v>1</v>
      </c>
      <c r="O553" s="12" t="n">
        <v>1</v>
      </c>
      <c r="P553" s="12" t="n"/>
      <c r="Q553" s="12" t="n"/>
      <c r="R553" s="12" t="n"/>
      <c r="S553" s="12" t="inlineStr">
        <is>
          <t>Duct bank</t>
        </is>
      </c>
      <c r="T553" s="16" t="n">
        <v>12</v>
      </c>
      <c r="U553" s="16" t="n">
        <v>50</v>
      </c>
      <c r="V553" s="16">
        <f>ROUNDUP((T553+U553+2*'Read Me'!$B$13)*(1+'Read Me'!$B$12),-1)</f>
        <v/>
      </c>
      <c r="W553" s="16">
        <f>V553*N553*O553</f>
        <v/>
      </c>
      <c r="X553" s="12">
        <f>IF(LEFT(I553,2)="MV",2*N553*IF(L553="1/C",O553,1),0)</f>
        <v/>
      </c>
      <c r="Y553" s="12">
        <f>IF(OR(LEFT(K553,4)="LVAX",LEFT(K553,6)="MV15AX",LEFT(K553,4)="CTAX",LEFT(K553,2)="W|"),2*N553*O553,0)</f>
        <v/>
      </c>
      <c r="Z553" s="12" t="inlineStr"/>
      <c r="AA553" s="12">
        <f>N553*O553</f>
        <v/>
      </c>
    </row>
    <row r="554">
      <c r="A554" s="12" t="inlineStr">
        <is>
          <t>A-C-0542</t>
        </is>
      </c>
      <c r="B554" s="12" t="inlineStr">
        <is>
          <t>A</t>
        </is>
      </c>
      <c r="C554" s="12" t="inlineStr">
        <is>
          <t>Power block</t>
        </is>
      </c>
      <c r="D554" s="12" t="inlineStr">
        <is>
          <t>MOV 8: control</t>
        </is>
      </c>
      <c r="E554" s="12" t="inlineStr">
        <is>
          <t>R3</t>
        </is>
      </c>
      <c r="F554" s="12" t="inlineStr">
        <is>
          <t>R3: ST auxiliary electrical e-house (40 x 65 ft)</t>
        </is>
      </c>
      <c r="G554" s="12" t="inlineStr">
        <is>
          <t>ST</t>
        </is>
      </c>
      <c r="H554" s="12" t="inlineStr">
        <is>
          <t>ST: steam turbine (HP/IP + LP), ACC plant</t>
        </is>
      </c>
      <c r="I554" s="12" t="inlineStr">
        <is>
          <t>Control</t>
        </is>
      </c>
      <c r="J554" s="12" t="inlineStr">
        <is>
          <t>Control cable 600 V Type TC-ER, Cu #14 AWG, PVC jacket</t>
        </is>
      </c>
      <c r="K554" s="12" t="inlineStr">
        <is>
          <t>CT|12/C|14</t>
        </is>
      </c>
      <c r="L554" s="12" t="inlineStr">
        <is>
          <t>12/C</t>
        </is>
      </c>
      <c r="M554" s="12" t="inlineStr">
        <is>
          <t>14</t>
        </is>
      </c>
      <c r="N554" s="12" t="n">
        <v>1</v>
      </c>
      <c r="O554" s="12" t="n">
        <v>1</v>
      </c>
      <c r="P554" s="12" t="n"/>
      <c r="Q554" s="12" t="n"/>
      <c r="R554" s="12" t="n"/>
      <c r="S554" s="12" t="inlineStr">
        <is>
          <t>Duct bank</t>
        </is>
      </c>
      <c r="T554" s="16" t="n">
        <v>12</v>
      </c>
      <c r="U554" s="16" t="n">
        <v>50</v>
      </c>
      <c r="V554" s="16">
        <f>ROUNDUP((T554+U554+2*'Read Me'!$B$13)*(1+'Read Me'!$B$12),-1)</f>
        <v/>
      </c>
      <c r="W554" s="16">
        <f>V554*N554*O554</f>
        <v/>
      </c>
      <c r="X554" s="12">
        <f>IF(LEFT(I554,2)="MV",2*N554*IF(L554="1/C",O554,1),0)</f>
        <v/>
      </c>
      <c r="Y554" s="12">
        <f>IF(OR(LEFT(K554,4)="LVAX",LEFT(K554,6)="MV15AX",LEFT(K554,4)="CTAX",LEFT(K554,2)="W|"),2*N554*O554,0)</f>
        <v/>
      </c>
      <c r="Z554" s="12" t="inlineStr"/>
      <c r="AA554" s="12">
        <f>N554*O554</f>
        <v/>
      </c>
    </row>
    <row r="555">
      <c r="A555" s="12" t="inlineStr">
        <is>
          <t>A-C-0543</t>
        </is>
      </c>
      <c r="B555" s="12" t="inlineStr">
        <is>
          <t>A</t>
        </is>
      </c>
      <c r="C555" s="12" t="inlineStr">
        <is>
          <t>Power block</t>
        </is>
      </c>
      <c r="D555" s="12" t="inlineStr">
        <is>
          <t>MOV 9: control</t>
        </is>
      </c>
      <c r="E555" s="12" t="inlineStr">
        <is>
          <t>R3</t>
        </is>
      </c>
      <c r="F555" s="12" t="inlineStr">
        <is>
          <t>R3: ST auxiliary electrical e-house (40 x 65 ft)</t>
        </is>
      </c>
      <c r="G555" s="12" t="inlineStr">
        <is>
          <t>ST</t>
        </is>
      </c>
      <c r="H555" s="12" t="inlineStr">
        <is>
          <t>ST: steam turbine (HP/IP + LP), ACC plant</t>
        </is>
      </c>
      <c r="I555" s="12" t="inlineStr">
        <is>
          <t>Control</t>
        </is>
      </c>
      <c r="J555" s="12" t="inlineStr">
        <is>
          <t>Control cable 600 V Type TC-ER, Cu #14 AWG, PVC jacket</t>
        </is>
      </c>
      <c r="K555" s="12" t="inlineStr">
        <is>
          <t>CT|12/C|14</t>
        </is>
      </c>
      <c r="L555" s="12" t="inlineStr">
        <is>
          <t>12/C</t>
        </is>
      </c>
      <c r="M555" s="12" t="inlineStr">
        <is>
          <t>14</t>
        </is>
      </c>
      <c r="N555" s="12" t="n">
        <v>1</v>
      </c>
      <c r="O555" s="12" t="n">
        <v>1</v>
      </c>
      <c r="P555" s="12" t="n"/>
      <c r="Q555" s="12" t="n"/>
      <c r="R555" s="12" t="n"/>
      <c r="S555" s="12" t="inlineStr">
        <is>
          <t>Duct bank</t>
        </is>
      </c>
      <c r="T555" s="16" t="n">
        <v>12</v>
      </c>
      <c r="U555" s="16" t="n">
        <v>50</v>
      </c>
      <c r="V555" s="16">
        <f>ROUNDUP((T555+U555+2*'Read Me'!$B$13)*(1+'Read Me'!$B$12),-1)</f>
        <v/>
      </c>
      <c r="W555" s="16">
        <f>V555*N555*O555</f>
        <v/>
      </c>
      <c r="X555" s="12">
        <f>IF(LEFT(I555,2)="MV",2*N555*IF(L555="1/C",O555,1),0)</f>
        <v/>
      </c>
      <c r="Y555" s="12">
        <f>IF(OR(LEFT(K555,4)="LVAX",LEFT(K555,6)="MV15AX",LEFT(K555,4)="CTAX",LEFT(K555,2)="W|"),2*N555*O555,0)</f>
        <v/>
      </c>
      <c r="Z555" s="12" t="inlineStr"/>
      <c r="AA555" s="12">
        <f>N555*O555</f>
        <v/>
      </c>
    </row>
    <row r="556">
      <c r="A556" s="12" t="inlineStr">
        <is>
          <t>A-C-0544</t>
        </is>
      </c>
      <c r="B556" s="12" t="inlineStr">
        <is>
          <t>A</t>
        </is>
      </c>
      <c r="C556" s="12" t="inlineStr">
        <is>
          <t>Power block</t>
        </is>
      </c>
      <c r="D556" s="12" t="inlineStr">
        <is>
          <t>MOV 10: control</t>
        </is>
      </c>
      <c r="E556" s="12" t="inlineStr">
        <is>
          <t>R3</t>
        </is>
      </c>
      <c r="F556" s="12" t="inlineStr">
        <is>
          <t>R3: ST auxiliary electrical e-house (40 x 65 ft)</t>
        </is>
      </c>
      <c r="G556" s="12" t="inlineStr">
        <is>
          <t>ST</t>
        </is>
      </c>
      <c r="H556" s="12" t="inlineStr">
        <is>
          <t>ST: steam turbine (HP/IP + LP), ACC plant</t>
        </is>
      </c>
      <c r="I556" s="12" t="inlineStr">
        <is>
          <t>Control</t>
        </is>
      </c>
      <c r="J556" s="12" t="inlineStr">
        <is>
          <t>Control cable 600 V Type TC-ER, Cu #14 AWG, PVC jacket</t>
        </is>
      </c>
      <c r="K556" s="12" t="inlineStr">
        <is>
          <t>CT|12/C|14</t>
        </is>
      </c>
      <c r="L556" s="12" t="inlineStr">
        <is>
          <t>12/C</t>
        </is>
      </c>
      <c r="M556" s="12" t="inlineStr">
        <is>
          <t>14</t>
        </is>
      </c>
      <c r="N556" s="12" t="n">
        <v>1</v>
      </c>
      <c r="O556" s="12" t="n">
        <v>1</v>
      </c>
      <c r="P556" s="12" t="n"/>
      <c r="Q556" s="12" t="n"/>
      <c r="R556" s="12" t="n"/>
      <c r="S556" s="12" t="inlineStr">
        <is>
          <t>Duct bank</t>
        </is>
      </c>
      <c r="T556" s="16" t="n">
        <v>12</v>
      </c>
      <c r="U556" s="16" t="n">
        <v>50</v>
      </c>
      <c r="V556" s="16">
        <f>ROUNDUP((T556+U556+2*'Read Me'!$B$13)*(1+'Read Me'!$B$12),-1)</f>
        <v/>
      </c>
      <c r="W556" s="16">
        <f>V556*N556*O556</f>
        <v/>
      </c>
      <c r="X556" s="12">
        <f>IF(LEFT(I556,2)="MV",2*N556*IF(L556="1/C",O556,1),0)</f>
        <v/>
      </c>
      <c r="Y556" s="12">
        <f>IF(OR(LEFT(K556,4)="LVAX",LEFT(K556,6)="MV15AX",LEFT(K556,4)="CTAX",LEFT(K556,2)="W|"),2*N556*O556,0)</f>
        <v/>
      </c>
      <c r="Z556" s="12" t="inlineStr"/>
      <c r="AA556" s="12">
        <f>N556*O556</f>
        <v/>
      </c>
    </row>
    <row r="557">
      <c r="A557" s="12" t="inlineStr">
        <is>
          <t>A-C-0545</t>
        </is>
      </c>
      <c r="B557" s="12" t="inlineStr">
        <is>
          <t>A</t>
        </is>
      </c>
      <c r="C557" s="12" t="inlineStr">
        <is>
          <t>Power block</t>
        </is>
      </c>
      <c r="D557" s="12" t="inlineStr">
        <is>
          <t>MOV 11: control</t>
        </is>
      </c>
      <c r="E557" s="12" t="inlineStr">
        <is>
          <t>R3</t>
        </is>
      </c>
      <c r="F557" s="12" t="inlineStr">
        <is>
          <t>R3: ST auxiliary electrical e-house (40 x 65 ft)</t>
        </is>
      </c>
      <c r="G557" s="12" t="inlineStr">
        <is>
          <t>ST</t>
        </is>
      </c>
      <c r="H557" s="12" t="inlineStr">
        <is>
          <t>ST: steam turbine (HP/IP + LP), ACC plant</t>
        </is>
      </c>
      <c r="I557" s="12" t="inlineStr">
        <is>
          <t>Control</t>
        </is>
      </c>
      <c r="J557" s="12" t="inlineStr">
        <is>
          <t>Control cable 600 V Type TC-ER, Cu #14 AWG, PVC jacket</t>
        </is>
      </c>
      <c r="K557" s="12" t="inlineStr">
        <is>
          <t>CT|12/C|14</t>
        </is>
      </c>
      <c r="L557" s="12" t="inlineStr">
        <is>
          <t>12/C</t>
        </is>
      </c>
      <c r="M557" s="12" t="inlineStr">
        <is>
          <t>14</t>
        </is>
      </c>
      <c r="N557" s="12" t="n">
        <v>1</v>
      </c>
      <c r="O557" s="12" t="n">
        <v>1</v>
      </c>
      <c r="P557" s="12" t="n"/>
      <c r="Q557" s="12" t="n"/>
      <c r="R557" s="12" t="n"/>
      <c r="S557" s="12" t="inlineStr">
        <is>
          <t>Duct bank</t>
        </is>
      </c>
      <c r="T557" s="16" t="n">
        <v>12</v>
      </c>
      <c r="U557" s="16" t="n">
        <v>50</v>
      </c>
      <c r="V557" s="16">
        <f>ROUNDUP((T557+U557+2*'Read Me'!$B$13)*(1+'Read Me'!$B$12),-1)</f>
        <v/>
      </c>
      <c r="W557" s="16">
        <f>V557*N557*O557</f>
        <v/>
      </c>
      <c r="X557" s="12">
        <f>IF(LEFT(I557,2)="MV",2*N557*IF(L557="1/C",O557,1),0)</f>
        <v/>
      </c>
      <c r="Y557" s="12">
        <f>IF(OR(LEFT(K557,4)="LVAX",LEFT(K557,6)="MV15AX",LEFT(K557,4)="CTAX",LEFT(K557,2)="W|"),2*N557*O557,0)</f>
        <v/>
      </c>
      <c r="Z557" s="12" t="inlineStr"/>
      <c r="AA557" s="12">
        <f>N557*O557</f>
        <v/>
      </c>
    </row>
    <row r="558">
      <c r="A558" s="12" t="inlineStr">
        <is>
          <t>A-C-0546</t>
        </is>
      </c>
      <c r="B558" s="12" t="inlineStr">
        <is>
          <t>A</t>
        </is>
      </c>
      <c r="C558" s="12" t="inlineStr">
        <is>
          <t>Power block</t>
        </is>
      </c>
      <c r="D558" s="12" t="inlineStr">
        <is>
          <t>MOV 12: control</t>
        </is>
      </c>
      <c r="E558" s="12" t="inlineStr">
        <is>
          <t>R3</t>
        </is>
      </c>
      <c r="F558" s="12" t="inlineStr">
        <is>
          <t>R3: ST auxiliary electrical e-house (40 x 65 ft)</t>
        </is>
      </c>
      <c r="G558" s="12" t="inlineStr">
        <is>
          <t>ST</t>
        </is>
      </c>
      <c r="H558" s="12" t="inlineStr">
        <is>
          <t>ST: steam turbine (HP/IP + LP), ACC plant</t>
        </is>
      </c>
      <c r="I558" s="12" t="inlineStr">
        <is>
          <t>Control</t>
        </is>
      </c>
      <c r="J558" s="12" t="inlineStr">
        <is>
          <t>Control cable 600 V Type TC-ER, Cu #14 AWG, PVC jacket</t>
        </is>
      </c>
      <c r="K558" s="12" t="inlineStr">
        <is>
          <t>CT|12/C|14</t>
        </is>
      </c>
      <c r="L558" s="12" t="inlineStr">
        <is>
          <t>12/C</t>
        </is>
      </c>
      <c r="M558" s="12" t="inlineStr">
        <is>
          <t>14</t>
        </is>
      </c>
      <c r="N558" s="12" t="n">
        <v>1</v>
      </c>
      <c r="O558" s="12" t="n">
        <v>1</v>
      </c>
      <c r="P558" s="12" t="n"/>
      <c r="Q558" s="12" t="n"/>
      <c r="R558" s="12" t="n"/>
      <c r="S558" s="12" t="inlineStr">
        <is>
          <t>Duct bank</t>
        </is>
      </c>
      <c r="T558" s="16" t="n">
        <v>12</v>
      </c>
      <c r="U558" s="16" t="n">
        <v>50</v>
      </c>
      <c r="V558" s="16">
        <f>ROUNDUP((T558+U558+2*'Read Me'!$B$13)*(1+'Read Me'!$B$12),-1)</f>
        <v/>
      </c>
      <c r="W558" s="16">
        <f>V558*N558*O558</f>
        <v/>
      </c>
      <c r="X558" s="12">
        <f>IF(LEFT(I558,2)="MV",2*N558*IF(L558="1/C",O558,1),0)</f>
        <v/>
      </c>
      <c r="Y558" s="12">
        <f>IF(OR(LEFT(K558,4)="LVAX",LEFT(K558,6)="MV15AX",LEFT(K558,4)="CTAX",LEFT(K558,2)="W|"),2*N558*O558,0)</f>
        <v/>
      </c>
      <c r="Z558" s="12" t="inlineStr"/>
      <c r="AA558" s="12">
        <f>N558*O558</f>
        <v/>
      </c>
    </row>
    <row r="559">
      <c r="A559" s="12" t="inlineStr">
        <is>
          <t>A-C-0547</t>
        </is>
      </c>
      <c r="B559" s="12" t="inlineStr">
        <is>
          <t>A</t>
        </is>
      </c>
      <c r="C559" s="12" t="inlineStr">
        <is>
          <t>Power block</t>
        </is>
      </c>
      <c r="D559" s="12" t="inlineStr">
        <is>
          <t>MOV 13: control</t>
        </is>
      </c>
      <c r="E559" s="12" t="inlineStr">
        <is>
          <t>R3</t>
        </is>
      </c>
      <c r="F559" s="12" t="inlineStr">
        <is>
          <t>R3: ST auxiliary electrical e-house (40 x 65 ft)</t>
        </is>
      </c>
      <c r="G559" s="12" t="inlineStr">
        <is>
          <t>ST</t>
        </is>
      </c>
      <c r="H559" s="12" t="inlineStr">
        <is>
          <t>ST: steam turbine (HP/IP + LP), ACC plant</t>
        </is>
      </c>
      <c r="I559" s="12" t="inlineStr">
        <is>
          <t>Control</t>
        </is>
      </c>
      <c r="J559" s="12" t="inlineStr">
        <is>
          <t>Control cable 600 V Type TC-ER, Cu #14 AWG, PVC jacket</t>
        </is>
      </c>
      <c r="K559" s="12" t="inlineStr">
        <is>
          <t>CT|12/C|14</t>
        </is>
      </c>
      <c r="L559" s="12" t="inlineStr">
        <is>
          <t>12/C</t>
        </is>
      </c>
      <c r="M559" s="12" t="inlineStr">
        <is>
          <t>14</t>
        </is>
      </c>
      <c r="N559" s="12" t="n">
        <v>1</v>
      </c>
      <c r="O559" s="12" t="n">
        <v>1</v>
      </c>
      <c r="P559" s="12" t="n"/>
      <c r="Q559" s="12" t="n"/>
      <c r="R559" s="12" t="n"/>
      <c r="S559" s="12" t="inlineStr">
        <is>
          <t>Duct bank</t>
        </is>
      </c>
      <c r="T559" s="16" t="n">
        <v>12</v>
      </c>
      <c r="U559" s="16" t="n">
        <v>50</v>
      </c>
      <c r="V559" s="16">
        <f>ROUNDUP((T559+U559+2*'Read Me'!$B$13)*(1+'Read Me'!$B$12),-1)</f>
        <v/>
      </c>
      <c r="W559" s="16">
        <f>V559*N559*O559</f>
        <v/>
      </c>
      <c r="X559" s="12">
        <f>IF(LEFT(I559,2)="MV",2*N559*IF(L559="1/C",O559,1),0)</f>
        <v/>
      </c>
      <c r="Y559" s="12">
        <f>IF(OR(LEFT(K559,4)="LVAX",LEFT(K559,6)="MV15AX",LEFT(K559,4)="CTAX",LEFT(K559,2)="W|"),2*N559*O559,0)</f>
        <v/>
      </c>
      <c r="Z559" s="12" t="inlineStr"/>
      <c r="AA559" s="12">
        <f>N559*O559</f>
        <v/>
      </c>
    </row>
    <row r="560">
      <c r="A560" s="12" t="inlineStr">
        <is>
          <t>A-C-0548</t>
        </is>
      </c>
      <c r="B560" s="12" t="inlineStr">
        <is>
          <t>A</t>
        </is>
      </c>
      <c r="C560" s="12" t="inlineStr">
        <is>
          <t>Power block</t>
        </is>
      </c>
      <c r="D560" s="12" t="inlineStr">
        <is>
          <t>MOV 14: control</t>
        </is>
      </c>
      <c r="E560" s="12" t="inlineStr">
        <is>
          <t>R3</t>
        </is>
      </c>
      <c r="F560" s="12" t="inlineStr">
        <is>
          <t>R3: ST auxiliary electrical e-house (40 x 65 ft)</t>
        </is>
      </c>
      <c r="G560" s="12" t="inlineStr">
        <is>
          <t>ST</t>
        </is>
      </c>
      <c r="H560" s="12" t="inlineStr">
        <is>
          <t>ST: steam turbine (HP/IP + LP), ACC plant</t>
        </is>
      </c>
      <c r="I560" s="12" t="inlineStr">
        <is>
          <t>Control</t>
        </is>
      </c>
      <c r="J560" s="12" t="inlineStr">
        <is>
          <t>Control cable 600 V Type TC-ER, Cu #14 AWG, PVC jacket</t>
        </is>
      </c>
      <c r="K560" s="12" t="inlineStr">
        <is>
          <t>CT|12/C|14</t>
        </is>
      </c>
      <c r="L560" s="12" t="inlineStr">
        <is>
          <t>12/C</t>
        </is>
      </c>
      <c r="M560" s="12" t="inlineStr">
        <is>
          <t>14</t>
        </is>
      </c>
      <c r="N560" s="12" t="n">
        <v>1</v>
      </c>
      <c r="O560" s="12" t="n">
        <v>1</v>
      </c>
      <c r="P560" s="12" t="n"/>
      <c r="Q560" s="12" t="n"/>
      <c r="R560" s="12" t="n"/>
      <c r="S560" s="12" t="inlineStr">
        <is>
          <t>Duct bank</t>
        </is>
      </c>
      <c r="T560" s="16" t="n">
        <v>12</v>
      </c>
      <c r="U560" s="16" t="n">
        <v>50</v>
      </c>
      <c r="V560" s="16">
        <f>ROUNDUP((T560+U560+2*'Read Me'!$B$13)*(1+'Read Me'!$B$12),-1)</f>
        <v/>
      </c>
      <c r="W560" s="16">
        <f>V560*N560*O560</f>
        <v/>
      </c>
      <c r="X560" s="12">
        <f>IF(LEFT(I560,2)="MV",2*N560*IF(L560="1/C",O560,1),0)</f>
        <v/>
      </c>
      <c r="Y560" s="12">
        <f>IF(OR(LEFT(K560,4)="LVAX",LEFT(K560,6)="MV15AX",LEFT(K560,4)="CTAX",LEFT(K560,2)="W|"),2*N560*O560,0)</f>
        <v/>
      </c>
      <c r="Z560" s="12" t="inlineStr"/>
      <c r="AA560" s="12">
        <f>N560*O560</f>
        <v/>
      </c>
    </row>
    <row r="561">
      <c r="A561" s="12" t="inlineStr">
        <is>
          <t>A-C-0549</t>
        </is>
      </c>
      <c r="B561" s="12" t="inlineStr">
        <is>
          <t>A</t>
        </is>
      </c>
      <c r="C561" s="12" t="inlineStr">
        <is>
          <t>Power block</t>
        </is>
      </c>
      <c r="D561" s="12" t="inlineStr">
        <is>
          <t>MOV 15: control</t>
        </is>
      </c>
      <c r="E561" s="12" t="inlineStr">
        <is>
          <t>R3</t>
        </is>
      </c>
      <c r="F561" s="12" t="inlineStr">
        <is>
          <t>R3: ST auxiliary electrical e-house (40 x 65 ft)</t>
        </is>
      </c>
      <c r="G561" s="12" t="inlineStr">
        <is>
          <t>ST</t>
        </is>
      </c>
      <c r="H561" s="12" t="inlineStr">
        <is>
          <t>ST: steam turbine (HP/IP + LP), ACC plant</t>
        </is>
      </c>
      <c r="I561" s="12" t="inlineStr">
        <is>
          <t>Control</t>
        </is>
      </c>
      <c r="J561" s="12" t="inlineStr">
        <is>
          <t>Control cable 600 V Type TC-ER, Cu #14 AWG, PVC jacket</t>
        </is>
      </c>
      <c r="K561" s="12" t="inlineStr">
        <is>
          <t>CT|12/C|14</t>
        </is>
      </c>
      <c r="L561" s="12" t="inlineStr">
        <is>
          <t>12/C</t>
        </is>
      </c>
      <c r="M561" s="12" t="inlineStr">
        <is>
          <t>14</t>
        </is>
      </c>
      <c r="N561" s="12" t="n">
        <v>1</v>
      </c>
      <c r="O561" s="12" t="n">
        <v>1</v>
      </c>
      <c r="P561" s="12" t="n"/>
      <c r="Q561" s="12" t="n"/>
      <c r="R561" s="12" t="n"/>
      <c r="S561" s="12" t="inlineStr">
        <is>
          <t>Duct bank</t>
        </is>
      </c>
      <c r="T561" s="16" t="n">
        <v>12</v>
      </c>
      <c r="U561" s="16" t="n">
        <v>50</v>
      </c>
      <c r="V561" s="16">
        <f>ROUNDUP((T561+U561+2*'Read Me'!$B$13)*(1+'Read Me'!$B$12),-1)</f>
        <v/>
      </c>
      <c r="W561" s="16">
        <f>V561*N561*O561</f>
        <v/>
      </c>
      <c r="X561" s="12">
        <f>IF(LEFT(I561,2)="MV",2*N561*IF(L561="1/C",O561,1),0)</f>
        <v/>
      </c>
      <c r="Y561" s="12">
        <f>IF(OR(LEFT(K561,4)="LVAX",LEFT(K561,6)="MV15AX",LEFT(K561,4)="CTAX",LEFT(K561,2)="W|"),2*N561*O561,0)</f>
        <v/>
      </c>
      <c r="Z561" s="12" t="inlineStr"/>
      <c r="AA561" s="12">
        <f>N561*O561</f>
        <v/>
      </c>
    </row>
    <row r="562">
      <c r="A562" s="12" t="inlineStr">
        <is>
          <t>A-C-0550</t>
        </is>
      </c>
      <c r="B562" s="12" t="inlineStr">
        <is>
          <t>A</t>
        </is>
      </c>
      <c r="C562" s="12" t="inlineStr">
        <is>
          <t>Power block</t>
        </is>
      </c>
      <c r="D562" s="12" t="inlineStr">
        <is>
          <t>MOV 16: control</t>
        </is>
      </c>
      <c r="E562" s="12" t="inlineStr">
        <is>
          <t>R3</t>
        </is>
      </c>
      <c r="F562" s="12" t="inlineStr">
        <is>
          <t>R3: ST auxiliary electrical e-house (40 x 65 ft)</t>
        </is>
      </c>
      <c r="G562" s="12" t="inlineStr">
        <is>
          <t>ST</t>
        </is>
      </c>
      <c r="H562" s="12" t="inlineStr">
        <is>
          <t>ST: steam turbine (HP/IP + LP), ACC plant</t>
        </is>
      </c>
      <c r="I562" s="12" t="inlineStr">
        <is>
          <t>Control</t>
        </is>
      </c>
      <c r="J562" s="12" t="inlineStr">
        <is>
          <t>Control cable 600 V Type TC-ER, Cu #14 AWG, PVC jacket</t>
        </is>
      </c>
      <c r="K562" s="12" t="inlineStr">
        <is>
          <t>CT|12/C|14</t>
        </is>
      </c>
      <c r="L562" s="12" t="inlineStr">
        <is>
          <t>12/C</t>
        </is>
      </c>
      <c r="M562" s="12" t="inlineStr">
        <is>
          <t>14</t>
        </is>
      </c>
      <c r="N562" s="12" t="n">
        <v>1</v>
      </c>
      <c r="O562" s="12" t="n">
        <v>1</v>
      </c>
      <c r="P562" s="12" t="n"/>
      <c r="Q562" s="12" t="n"/>
      <c r="R562" s="12" t="n"/>
      <c r="S562" s="12" t="inlineStr">
        <is>
          <t>Duct bank</t>
        </is>
      </c>
      <c r="T562" s="16" t="n">
        <v>12</v>
      </c>
      <c r="U562" s="16" t="n">
        <v>50</v>
      </c>
      <c r="V562" s="16">
        <f>ROUNDUP((T562+U562+2*'Read Me'!$B$13)*(1+'Read Me'!$B$12),-1)</f>
        <v/>
      </c>
      <c r="W562" s="16">
        <f>V562*N562*O562</f>
        <v/>
      </c>
      <c r="X562" s="12">
        <f>IF(LEFT(I562,2)="MV",2*N562*IF(L562="1/C",O562,1),0)</f>
        <v/>
      </c>
      <c r="Y562" s="12">
        <f>IF(OR(LEFT(K562,4)="LVAX",LEFT(K562,6)="MV15AX",LEFT(K562,4)="CTAX",LEFT(K562,2)="W|"),2*N562*O562,0)</f>
        <v/>
      </c>
      <c r="Z562" s="12" t="inlineStr"/>
      <c r="AA562" s="12">
        <f>N562*O562</f>
        <v/>
      </c>
    </row>
    <row r="563">
      <c r="A563" s="12" t="inlineStr">
        <is>
          <t>A-C-0551</t>
        </is>
      </c>
      <c r="B563" s="12" t="inlineStr">
        <is>
          <t>A</t>
        </is>
      </c>
      <c r="C563" s="12" t="inlineStr">
        <is>
          <t>Power block</t>
        </is>
      </c>
      <c r="D563" s="12" t="inlineStr">
        <is>
          <t>MOV 17: control</t>
        </is>
      </c>
      <c r="E563" s="12" t="inlineStr">
        <is>
          <t>R3</t>
        </is>
      </c>
      <c r="F563" s="12" t="inlineStr">
        <is>
          <t>R3: ST auxiliary electrical e-house (40 x 65 ft)</t>
        </is>
      </c>
      <c r="G563" s="12" t="inlineStr">
        <is>
          <t>ST</t>
        </is>
      </c>
      <c r="H563" s="12" t="inlineStr">
        <is>
          <t>ST: steam turbine (HP/IP + LP), ACC plant</t>
        </is>
      </c>
      <c r="I563" s="12" t="inlineStr">
        <is>
          <t>Control</t>
        </is>
      </c>
      <c r="J563" s="12" t="inlineStr">
        <is>
          <t>Control cable 600 V Type TC-ER, Cu #14 AWG, PVC jacket</t>
        </is>
      </c>
      <c r="K563" s="12" t="inlineStr">
        <is>
          <t>CT|12/C|14</t>
        </is>
      </c>
      <c r="L563" s="12" t="inlineStr">
        <is>
          <t>12/C</t>
        </is>
      </c>
      <c r="M563" s="12" t="inlineStr">
        <is>
          <t>14</t>
        </is>
      </c>
      <c r="N563" s="12" t="n">
        <v>1</v>
      </c>
      <c r="O563" s="12" t="n">
        <v>1</v>
      </c>
      <c r="P563" s="12" t="n"/>
      <c r="Q563" s="12" t="n"/>
      <c r="R563" s="12" t="n"/>
      <c r="S563" s="12" t="inlineStr">
        <is>
          <t>Duct bank</t>
        </is>
      </c>
      <c r="T563" s="16" t="n">
        <v>12</v>
      </c>
      <c r="U563" s="16" t="n">
        <v>50</v>
      </c>
      <c r="V563" s="16">
        <f>ROUNDUP((T563+U563+2*'Read Me'!$B$13)*(1+'Read Me'!$B$12),-1)</f>
        <v/>
      </c>
      <c r="W563" s="16">
        <f>V563*N563*O563</f>
        <v/>
      </c>
      <c r="X563" s="12">
        <f>IF(LEFT(I563,2)="MV",2*N563*IF(L563="1/C",O563,1),0)</f>
        <v/>
      </c>
      <c r="Y563" s="12">
        <f>IF(OR(LEFT(K563,4)="LVAX",LEFT(K563,6)="MV15AX",LEFT(K563,4)="CTAX",LEFT(K563,2)="W|"),2*N563*O563,0)</f>
        <v/>
      </c>
      <c r="Z563" s="12" t="inlineStr"/>
      <c r="AA563" s="12">
        <f>N563*O563</f>
        <v/>
      </c>
    </row>
    <row r="564">
      <c r="A564" s="12" t="inlineStr">
        <is>
          <t>A-C-0552</t>
        </is>
      </c>
      <c r="B564" s="12" t="inlineStr">
        <is>
          <t>A</t>
        </is>
      </c>
      <c r="C564" s="12" t="inlineStr">
        <is>
          <t>Power block</t>
        </is>
      </c>
      <c r="D564" s="12" t="inlineStr">
        <is>
          <t>MOV 18: control</t>
        </is>
      </c>
      <c r="E564" s="12" t="inlineStr">
        <is>
          <t>R3</t>
        </is>
      </c>
      <c r="F564" s="12" t="inlineStr">
        <is>
          <t>R3: ST auxiliary electrical e-house (40 x 65 ft)</t>
        </is>
      </c>
      <c r="G564" s="12" t="inlineStr">
        <is>
          <t>ST</t>
        </is>
      </c>
      <c r="H564" s="12" t="inlineStr">
        <is>
          <t>ST: steam turbine (HP/IP + LP), ACC plant</t>
        </is>
      </c>
      <c r="I564" s="12" t="inlineStr">
        <is>
          <t>Control</t>
        </is>
      </c>
      <c r="J564" s="12" t="inlineStr">
        <is>
          <t>Control cable 600 V Type TC-ER, Cu #14 AWG, PVC jacket</t>
        </is>
      </c>
      <c r="K564" s="12" t="inlineStr">
        <is>
          <t>CT|12/C|14</t>
        </is>
      </c>
      <c r="L564" s="12" t="inlineStr">
        <is>
          <t>12/C</t>
        </is>
      </c>
      <c r="M564" s="12" t="inlineStr">
        <is>
          <t>14</t>
        </is>
      </c>
      <c r="N564" s="12" t="n">
        <v>1</v>
      </c>
      <c r="O564" s="12" t="n">
        <v>1</v>
      </c>
      <c r="P564" s="12" t="n"/>
      <c r="Q564" s="12" t="n"/>
      <c r="R564" s="12" t="n"/>
      <c r="S564" s="12" t="inlineStr">
        <is>
          <t>Duct bank</t>
        </is>
      </c>
      <c r="T564" s="16" t="n">
        <v>12</v>
      </c>
      <c r="U564" s="16" t="n">
        <v>50</v>
      </c>
      <c r="V564" s="16">
        <f>ROUNDUP((T564+U564+2*'Read Me'!$B$13)*(1+'Read Me'!$B$12),-1)</f>
        <v/>
      </c>
      <c r="W564" s="16">
        <f>V564*N564*O564</f>
        <v/>
      </c>
      <c r="X564" s="12">
        <f>IF(LEFT(I564,2)="MV",2*N564*IF(L564="1/C",O564,1),0)</f>
        <v/>
      </c>
      <c r="Y564" s="12">
        <f>IF(OR(LEFT(K564,4)="LVAX",LEFT(K564,6)="MV15AX",LEFT(K564,4)="CTAX",LEFT(K564,2)="W|"),2*N564*O564,0)</f>
        <v/>
      </c>
      <c r="Z564" s="12" t="inlineStr"/>
      <c r="AA564" s="12">
        <f>N564*O564</f>
        <v/>
      </c>
    </row>
    <row r="565">
      <c r="A565" s="12" t="inlineStr">
        <is>
          <t>A-C-0553</t>
        </is>
      </c>
      <c r="B565" s="12" t="inlineStr">
        <is>
          <t>A</t>
        </is>
      </c>
      <c r="C565" s="12" t="inlineStr">
        <is>
          <t>Power block</t>
        </is>
      </c>
      <c r="D565" s="12" t="inlineStr">
        <is>
          <t>MOV 19: control</t>
        </is>
      </c>
      <c r="E565" s="12" t="inlineStr">
        <is>
          <t>R3</t>
        </is>
      </c>
      <c r="F565" s="12" t="inlineStr">
        <is>
          <t>R3: ST auxiliary electrical e-house (40 x 65 ft)</t>
        </is>
      </c>
      <c r="G565" s="12" t="inlineStr">
        <is>
          <t>ST</t>
        </is>
      </c>
      <c r="H565" s="12" t="inlineStr">
        <is>
          <t>ST: steam turbine (HP/IP + LP), ACC plant</t>
        </is>
      </c>
      <c r="I565" s="12" t="inlineStr">
        <is>
          <t>Control</t>
        </is>
      </c>
      <c r="J565" s="12" t="inlineStr">
        <is>
          <t>Control cable 600 V Type TC-ER, Cu #14 AWG, PVC jacket</t>
        </is>
      </c>
      <c r="K565" s="12" t="inlineStr">
        <is>
          <t>CT|12/C|14</t>
        </is>
      </c>
      <c r="L565" s="12" t="inlineStr">
        <is>
          <t>12/C</t>
        </is>
      </c>
      <c r="M565" s="12" t="inlineStr">
        <is>
          <t>14</t>
        </is>
      </c>
      <c r="N565" s="12" t="n">
        <v>1</v>
      </c>
      <c r="O565" s="12" t="n">
        <v>1</v>
      </c>
      <c r="P565" s="12" t="n"/>
      <c r="Q565" s="12" t="n"/>
      <c r="R565" s="12" t="n"/>
      <c r="S565" s="12" t="inlineStr">
        <is>
          <t>Duct bank</t>
        </is>
      </c>
      <c r="T565" s="16" t="n">
        <v>12</v>
      </c>
      <c r="U565" s="16" t="n">
        <v>50</v>
      </c>
      <c r="V565" s="16">
        <f>ROUNDUP((T565+U565+2*'Read Me'!$B$13)*(1+'Read Me'!$B$12),-1)</f>
        <v/>
      </c>
      <c r="W565" s="16">
        <f>V565*N565*O565</f>
        <v/>
      </c>
      <c r="X565" s="12">
        <f>IF(LEFT(I565,2)="MV",2*N565*IF(L565="1/C",O565,1),0)</f>
        <v/>
      </c>
      <c r="Y565" s="12">
        <f>IF(OR(LEFT(K565,4)="LVAX",LEFT(K565,6)="MV15AX",LEFT(K565,4)="CTAX",LEFT(K565,2)="W|"),2*N565*O565,0)</f>
        <v/>
      </c>
      <c r="Z565" s="12" t="inlineStr"/>
      <c r="AA565" s="12">
        <f>N565*O565</f>
        <v/>
      </c>
    </row>
    <row r="566">
      <c r="A566" s="12" t="inlineStr">
        <is>
          <t>A-C-0554</t>
        </is>
      </c>
      <c r="B566" s="12" t="inlineStr">
        <is>
          <t>A</t>
        </is>
      </c>
      <c r="C566" s="12" t="inlineStr">
        <is>
          <t>Power block</t>
        </is>
      </c>
      <c r="D566" s="12" t="inlineStr">
        <is>
          <t>MOV 20: control</t>
        </is>
      </c>
      <c r="E566" s="12" t="inlineStr">
        <is>
          <t>R3</t>
        </is>
      </c>
      <c r="F566" s="12" t="inlineStr">
        <is>
          <t>R3: ST auxiliary electrical e-house (40 x 65 ft)</t>
        </is>
      </c>
      <c r="G566" s="12" t="inlineStr">
        <is>
          <t>ST</t>
        </is>
      </c>
      <c r="H566" s="12" t="inlineStr">
        <is>
          <t>ST: steam turbine (HP/IP + LP), ACC plant</t>
        </is>
      </c>
      <c r="I566" s="12" t="inlineStr">
        <is>
          <t>Control</t>
        </is>
      </c>
      <c r="J566" s="12" t="inlineStr">
        <is>
          <t>Control cable 600 V Type TC-ER, Cu #14 AWG, PVC jacket</t>
        </is>
      </c>
      <c r="K566" s="12" t="inlineStr">
        <is>
          <t>CT|12/C|14</t>
        </is>
      </c>
      <c r="L566" s="12" t="inlineStr">
        <is>
          <t>12/C</t>
        </is>
      </c>
      <c r="M566" s="12" t="inlineStr">
        <is>
          <t>14</t>
        </is>
      </c>
      <c r="N566" s="12" t="n">
        <v>1</v>
      </c>
      <c r="O566" s="12" t="n">
        <v>1</v>
      </c>
      <c r="P566" s="12" t="n"/>
      <c r="Q566" s="12" t="n"/>
      <c r="R566" s="12" t="n"/>
      <c r="S566" s="12" t="inlineStr">
        <is>
          <t>Duct bank</t>
        </is>
      </c>
      <c r="T566" s="16" t="n">
        <v>12</v>
      </c>
      <c r="U566" s="16" t="n">
        <v>50</v>
      </c>
      <c r="V566" s="16">
        <f>ROUNDUP((T566+U566+2*'Read Me'!$B$13)*(1+'Read Me'!$B$12),-1)</f>
        <v/>
      </c>
      <c r="W566" s="16">
        <f>V566*N566*O566</f>
        <v/>
      </c>
      <c r="X566" s="12">
        <f>IF(LEFT(I566,2)="MV",2*N566*IF(L566="1/C",O566,1),0)</f>
        <v/>
      </c>
      <c r="Y566" s="12">
        <f>IF(OR(LEFT(K566,4)="LVAX",LEFT(K566,6)="MV15AX",LEFT(K566,4)="CTAX",LEFT(K566,2)="W|"),2*N566*O566,0)</f>
        <v/>
      </c>
      <c r="Z566" s="12" t="inlineStr"/>
      <c r="AA566" s="12">
        <f>N566*O566</f>
        <v/>
      </c>
    </row>
    <row r="567">
      <c r="A567" s="12" t="inlineStr">
        <is>
          <t>A-C-0555</t>
        </is>
      </c>
      <c r="B567" s="12" t="inlineStr">
        <is>
          <t>A</t>
        </is>
      </c>
      <c r="C567" s="12" t="inlineStr">
        <is>
          <t>Power block</t>
        </is>
      </c>
      <c r="D567" s="12" t="inlineStr">
        <is>
          <t>Solenoid to JB JB-ST-SOL01: 10 x 2/C (field cables)</t>
        </is>
      </c>
      <c r="E567" s="12" t="inlineStr">
        <is>
          <t>ST</t>
        </is>
      </c>
      <c r="F567" s="12" t="inlineStr">
        <is>
          <t>ST: steam turbine (HP/IP + LP), ACC plant</t>
        </is>
      </c>
      <c r="G567" s="12" t="inlineStr">
        <is>
          <t>JB-ST-SOL01</t>
        </is>
      </c>
      <c r="H567" s="12" t="inlineStr">
        <is>
          <t>ST: steam turbine (HP/IP + LP), ACC plant</t>
        </is>
      </c>
      <c r="I567" s="12" t="inlineStr">
        <is>
          <t>Control</t>
        </is>
      </c>
      <c r="J567" s="12" t="inlineStr">
        <is>
          <t>Control cable 600 V Type TC-ER, Cu #14 AWG, PVC jacket</t>
        </is>
      </c>
      <c r="K567" s="12" t="inlineStr">
        <is>
          <t>CT|2/C|14</t>
        </is>
      </c>
      <c r="L567" s="12" t="inlineStr">
        <is>
          <t>2/C</t>
        </is>
      </c>
      <c r="M567" s="12" t="inlineStr">
        <is>
          <t>14</t>
        </is>
      </c>
      <c r="N567" s="12" t="n">
        <v>10</v>
      </c>
      <c r="O567" s="12" t="n">
        <v>1</v>
      </c>
      <c r="P567" s="12" t="n"/>
      <c r="Q567" s="12" t="n"/>
      <c r="R567" s="12" t="n"/>
      <c r="S567" s="12" t="inlineStr">
        <is>
          <t>Tray / conduit</t>
        </is>
      </c>
      <c r="T567" s="16" t="n">
        <v>119</v>
      </c>
      <c r="U567" s="16" t="n">
        <v>10</v>
      </c>
      <c r="V567" s="16">
        <f>ROUNDUP((T567+U567+2*'Read Me'!$B$13)*(1+'Read Me'!$B$12),-1)</f>
        <v/>
      </c>
      <c r="W567" s="16">
        <f>V567*N567*O567</f>
        <v/>
      </c>
      <c r="X567" s="12">
        <f>IF(LEFT(I567,2)="MV",2*N567*IF(L567="1/C",O567,1),0)</f>
        <v/>
      </c>
      <c r="Y567" s="12">
        <f>IF(OR(LEFT(K567,4)="LVAX",LEFT(K567,6)="MV15AX",LEFT(K567,4)="CTAX",LEFT(K567,2)="W|"),2*N567*O567,0)</f>
        <v/>
      </c>
      <c r="Z567" s="12" t="inlineStr">
        <is>
          <t>device-to-JB field wiring, one cable per device</t>
        </is>
      </c>
      <c r="AA567" s="12">
        <f>N567*O567</f>
        <v/>
      </c>
    </row>
    <row r="568">
      <c r="A568" s="12" t="inlineStr">
        <is>
          <t>A-C-0556</t>
        </is>
      </c>
      <c r="B568" s="12" t="inlineStr">
        <is>
          <t>A</t>
        </is>
      </c>
      <c r="C568" s="12" t="inlineStr">
        <is>
          <t>Power block</t>
        </is>
      </c>
      <c r="D568" s="12" t="inlineStr">
        <is>
          <t>Home run JB-ST-SOL01 to the control / marshalling room</t>
        </is>
      </c>
      <c r="E568" s="12" t="inlineStr">
        <is>
          <t>R3</t>
        </is>
      </c>
      <c r="F568" s="12" t="inlineStr">
        <is>
          <t>R3: ST auxiliary electrical e-house (40 x 65 ft)</t>
        </is>
      </c>
      <c r="G568" s="12" t="inlineStr">
        <is>
          <t>JB-ST-SOL01</t>
        </is>
      </c>
      <c r="H568" s="12" t="inlineStr">
        <is>
          <t>ST: steam turbine (HP/IP + LP), ACC plant</t>
        </is>
      </c>
      <c r="I568" s="12" t="inlineStr">
        <is>
          <t>Control</t>
        </is>
      </c>
      <c r="J568" s="12" t="inlineStr">
        <is>
          <t>Control cable 600 V Type TC-ER, Cu #14 AWG, PVC jacket</t>
        </is>
      </c>
      <c r="K568" s="12" t="inlineStr">
        <is>
          <t>CT|25/C|14</t>
        </is>
      </c>
      <c r="L568" s="12" t="inlineStr">
        <is>
          <t>25/C</t>
        </is>
      </c>
      <c r="M568" s="12" t="inlineStr">
        <is>
          <t>14</t>
        </is>
      </c>
      <c r="N568" s="12" t="n">
        <v>1</v>
      </c>
      <c r="O568" s="12" t="n">
        <v>1</v>
      </c>
      <c r="P568" s="12" t="n"/>
      <c r="Q568" s="12" t="n"/>
      <c r="R568" s="12" t="n"/>
      <c r="S568" s="12" t="inlineStr">
        <is>
          <t>Duct bank</t>
        </is>
      </c>
      <c r="T568" s="16" t="n">
        <v>12</v>
      </c>
      <c r="U568" s="16" t="n">
        <v>50</v>
      </c>
      <c r="V568" s="16">
        <f>ROUNDUP((T568+U568+2*'Read Me'!$B$13)*(1+'Read Me'!$B$12),-1)</f>
        <v/>
      </c>
      <c r="W568" s="16">
        <f>V568*N568*O568</f>
        <v/>
      </c>
      <c r="X568" s="12">
        <f>IF(LEFT(I568,2)="MV",2*N568*IF(L568="1/C",O568,1),0)</f>
        <v/>
      </c>
      <c r="Y568" s="12">
        <f>IF(OR(LEFT(K568,4)="LVAX",LEFT(K568,6)="MV15AX",LEFT(K568,4)="CTAX",LEFT(K568,2)="W|"),2*N568*O568,0)</f>
        <v/>
      </c>
      <c r="Z568" s="12" t="inlineStr"/>
      <c r="AA568" s="12">
        <f>N568*O568</f>
        <v/>
      </c>
    </row>
    <row r="569">
      <c r="A569" s="12" t="inlineStr">
        <is>
          <t>A-C-0557</t>
        </is>
      </c>
      <c r="B569" s="12" t="inlineStr">
        <is>
          <t>A</t>
        </is>
      </c>
      <c r="C569" s="12" t="inlineStr">
        <is>
          <t>Power block</t>
        </is>
      </c>
      <c r="D569" s="12" t="inlineStr">
        <is>
          <t>Solenoid to JB JB-ST-SOL02: 10 x 2/C (field cables)</t>
        </is>
      </c>
      <c r="E569" s="12" t="inlineStr">
        <is>
          <t>ST</t>
        </is>
      </c>
      <c r="F569" s="12" t="inlineStr">
        <is>
          <t>ST: steam turbine (HP/IP + LP), ACC plant</t>
        </is>
      </c>
      <c r="G569" s="12" t="inlineStr">
        <is>
          <t>JB-ST-SOL02</t>
        </is>
      </c>
      <c r="H569" s="12" t="inlineStr">
        <is>
          <t>ST: steam turbine (HP/IP + LP), ACC plant</t>
        </is>
      </c>
      <c r="I569" s="12" t="inlineStr">
        <is>
          <t>Control</t>
        </is>
      </c>
      <c r="J569" s="12" t="inlineStr">
        <is>
          <t>Control cable 600 V Type TC-ER, Cu #14 AWG, PVC jacket</t>
        </is>
      </c>
      <c r="K569" s="12" t="inlineStr">
        <is>
          <t>CT|2/C|14</t>
        </is>
      </c>
      <c r="L569" s="12" t="inlineStr">
        <is>
          <t>2/C</t>
        </is>
      </c>
      <c r="M569" s="12" t="inlineStr">
        <is>
          <t>14</t>
        </is>
      </c>
      <c r="N569" s="12" t="n">
        <v>10</v>
      </c>
      <c r="O569" s="12" t="n">
        <v>1</v>
      </c>
      <c r="P569" s="12" t="n"/>
      <c r="Q569" s="12" t="n"/>
      <c r="R569" s="12" t="n"/>
      <c r="S569" s="12" t="inlineStr">
        <is>
          <t>Tray / conduit</t>
        </is>
      </c>
      <c r="T569" s="16" t="n">
        <v>119</v>
      </c>
      <c r="U569" s="16" t="n">
        <v>10</v>
      </c>
      <c r="V569" s="16">
        <f>ROUNDUP((T569+U569+2*'Read Me'!$B$13)*(1+'Read Me'!$B$12),-1)</f>
        <v/>
      </c>
      <c r="W569" s="16">
        <f>V569*N569*O569</f>
        <v/>
      </c>
      <c r="X569" s="12">
        <f>IF(LEFT(I569,2)="MV",2*N569*IF(L569="1/C",O569,1),0)</f>
        <v/>
      </c>
      <c r="Y569" s="12">
        <f>IF(OR(LEFT(K569,4)="LVAX",LEFT(K569,6)="MV15AX",LEFT(K569,4)="CTAX",LEFT(K569,2)="W|"),2*N569*O569,0)</f>
        <v/>
      </c>
      <c r="Z569" s="12" t="inlineStr">
        <is>
          <t>device-to-JB field wiring, one cable per device</t>
        </is>
      </c>
      <c r="AA569" s="12">
        <f>N569*O569</f>
        <v/>
      </c>
    </row>
    <row r="570">
      <c r="A570" s="12" t="inlineStr">
        <is>
          <t>A-C-0558</t>
        </is>
      </c>
      <c r="B570" s="12" t="inlineStr">
        <is>
          <t>A</t>
        </is>
      </c>
      <c r="C570" s="12" t="inlineStr">
        <is>
          <t>Power block</t>
        </is>
      </c>
      <c r="D570" s="12" t="inlineStr">
        <is>
          <t>Home run JB-ST-SOL02 to the control / marshalling room</t>
        </is>
      </c>
      <c r="E570" s="12" t="inlineStr">
        <is>
          <t>R3</t>
        </is>
      </c>
      <c r="F570" s="12" t="inlineStr">
        <is>
          <t>R3: ST auxiliary electrical e-house (40 x 65 ft)</t>
        </is>
      </c>
      <c r="G570" s="12" t="inlineStr">
        <is>
          <t>JB-ST-SOL02</t>
        </is>
      </c>
      <c r="H570" s="12" t="inlineStr">
        <is>
          <t>ST: steam turbine (HP/IP + LP), ACC plant</t>
        </is>
      </c>
      <c r="I570" s="12" t="inlineStr">
        <is>
          <t>Control</t>
        </is>
      </c>
      <c r="J570" s="12" t="inlineStr">
        <is>
          <t>Control cable 600 V Type TC-ER, Cu #14 AWG, PVC jacket</t>
        </is>
      </c>
      <c r="K570" s="12" t="inlineStr">
        <is>
          <t>CT|25/C|14</t>
        </is>
      </c>
      <c r="L570" s="12" t="inlineStr">
        <is>
          <t>25/C</t>
        </is>
      </c>
      <c r="M570" s="12" t="inlineStr">
        <is>
          <t>14</t>
        </is>
      </c>
      <c r="N570" s="12" t="n">
        <v>1</v>
      </c>
      <c r="O570" s="12" t="n">
        <v>1</v>
      </c>
      <c r="P570" s="12" t="n"/>
      <c r="Q570" s="12" t="n"/>
      <c r="R570" s="12" t="n"/>
      <c r="S570" s="12" t="inlineStr">
        <is>
          <t>Duct bank</t>
        </is>
      </c>
      <c r="T570" s="16" t="n">
        <v>12</v>
      </c>
      <c r="U570" s="16" t="n">
        <v>50</v>
      </c>
      <c r="V570" s="16">
        <f>ROUNDUP((T570+U570+2*'Read Me'!$B$13)*(1+'Read Me'!$B$12),-1)</f>
        <v/>
      </c>
      <c r="W570" s="16">
        <f>V570*N570*O570</f>
        <v/>
      </c>
      <c r="X570" s="12">
        <f>IF(LEFT(I570,2)="MV",2*N570*IF(L570="1/C",O570,1),0)</f>
        <v/>
      </c>
      <c r="Y570" s="12">
        <f>IF(OR(LEFT(K570,4)="LVAX",LEFT(K570,6)="MV15AX",LEFT(K570,4)="CTAX",LEFT(K570,2)="W|"),2*N570*O570,0)</f>
        <v/>
      </c>
      <c r="Z570" s="12" t="inlineStr"/>
      <c r="AA570" s="12">
        <f>N570*O570</f>
        <v/>
      </c>
    </row>
    <row r="571">
      <c r="A571" s="12" t="inlineStr">
        <is>
          <t>A-C-0559</t>
        </is>
      </c>
      <c r="B571" s="12" t="inlineStr">
        <is>
          <t>A</t>
        </is>
      </c>
      <c r="C571" s="12" t="inlineStr">
        <is>
          <t>Power block</t>
        </is>
      </c>
      <c r="D571" s="12" t="inlineStr">
        <is>
          <t>Motor 1 of 4: control / local station</t>
        </is>
      </c>
      <c r="E571" s="12" t="inlineStr">
        <is>
          <t>R3</t>
        </is>
      </c>
      <c r="F571" s="12" t="inlineStr">
        <is>
          <t>R3: ST auxiliary electrical e-house (40 x 65 ft)</t>
        </is>
      </c>
      <c r="G571" s="12" t="inlineStr">
        <is>
          <t>STG</t>
        </is>
      </c>
      <c r="H571" s="12" t="inlineStr">
        <is>
          <t>STG: steam-turbine generator</t>
        </is>
      </c>
      <c r="I571" s="12" t="inlineStr">
        <is>
          <t>Control</t>
        </is>
      </c>
      <c r="J571" s="12" t="inlineStr">
        <is>
          <t>Control cable 600 V Type TC-ER, Cu #14 AWG, PVC jacket</t>
        </is>
      </c>
      <c r="K571" s="12" t="inlineStr">
        <is>
          <t>CT|7/C|14</t>
        </is>
      </c>
      <c r="L571" s="12" t="inlineStr">
        <is>
          <t>7/C</t>
        </is>
      </c>
      <c r="M571" s="12" t="inlineStr">
        <is>
          <t>14</t>
        </is>
      </c>
      <c r="N571" s="12" t="n">
        <v>1</v>
      </c>
      <c r="O571" s="12" t="n">
        <v>1</v>
      </c>
      <c r="P571" s="12" t="n"/>
      <c r="Q571" s="12" t="n"/>
      <c r="R571" s="12" t="n"/>
      <c r="S571" s="12" t="inlineStr">
        <is>
          <t>Duct bank</t>
        </is>
      </c>
      <c r="T571" s="16" t="n">
        <v>517</v>
      </c>
      <c r="U571" s="16" t="n">
        <v>35</v>
      </c>
      <c r="V571" s="16">
        <f>ROUNDUP((T571+U571+2*'Read Me'!$B$13)*(1+'Read Me'!$B$12),-1)</f>
        <v/>
      </c>
      <c r="W571" s="16">
        <f>V571*N571*O571</f>
        <v/>
      </c>
      <c r="X571" s="12">
        <f>IF(LEFT(I571,2)="MV",2*N571*IF(L571="1/C",O571,1),0)</f>
        <v/>
      </c>
      <c r="Y571" s="12">
        <f>IF(OR(LEFT(K571,4)="LVAX",LEFT(K571,6)="MV15AX",LEFT(K571,4)="CTAX",LEFT(K571,2)="W|"),2*N571*O571,0)</f>
        <v/>
      </c>
      <c r="Z571" s="12" t="inlineStr"/>
      <c r="AA571" s="12">
        <f>N571*O571</f>
        <v/>
      </c>
    </row>
    <row r="572">
      <c r="A572" s="12" t="inlineStr">
        <is>
          <t>A-C-0560</t>
        </is>
      </c>
      <c r="B572" s="12" t="inlineStr">
        <is>
          <t>A</t>
        </is>
      </c>
      <c r="C572" s="12" t="inlineStr">
        <is>
          <t>Power block</t>
        </is>
      </c>
      <c r="D572" s="12" t="inlineStr">
        <is>
          <t>Motor 2 of 4: control / local station</t>
        </is>
      </c>
      <c r="E572" s="12" t="inlineStr">
        <is>
          <t>R3</t>
        </is>
      </c>
      <c r="F572" s="12" t="inlineStr">
        <is>
          <t>R3: ST auxiliary electrical e-house (40 x 65 ft)</t>
        </is>
      </c>
      <c r="G572" s="12" t="inlineStr">
        <is>
          <t>STG</t>
        </is>
      </c>
      <c r="H572" s="12" t="inlineStr">
        <is>
          <t>STG: steam-turbine generator</t>
        </is>
      </c>
      <c r="I572" s="12" t="inlineStr">
        <is>
          <t>Control</t>
        </is>
      </c>
      <c r="J572" s="12" t="inlineStr">
        <is>
          <t>Control cable 600 V Type TC-ER, Cu #14 AWG, PVC jacket</t>
        </is>
      </c>
      <c r="K572" s="12" t="inlineStr">
        <is>
          <t>CT|7/C|14</t>
        </is>
      </c>
      <c r="L572" s="12" t="inlineStr">
        <is>
          <t>7/C</t>
        </is>
      </c>
      <c r="M572" s="12" t="inlineStr">
        <is>
          <t>14</t>
        </is>
      </c>
      <c r="N572" s="12" t="n">
        <v>1</v>
      </c>
      <c r="O572" s="12" t="n">
        <v>1</v>
      </c>
      <c r="P572" s="12" t="n"/>
      <c r="Q572" s="12" t="n"/>
      <c r="R572" s="12" t="n"/>
      <c r="S572" s="12" t="inlineStr">
        <is>
          <t>Duct bank</t>
        </is>
      </c>
      <c r="T572" s="16" t="n">
        <v>517</v>
      </c>
      <c r="U572" s="16" t="n">
        <v>35</v>
      </c>
      <c r="V572" s="16">
        <f>ROUNDUP((T572+U572+2*'Read Me'!$B$13)*(1+'Read Me'!$B$12),-1)</f>
        <v/>
      </c>
      <c r="W572" s="16">
        <f>V572*N572*O572</f>
        <v/>
      </c>
      <c r="X572" s="12">
        <f>IF(LEFT(I572,2)="MV",2*N572*IF(L572="1/C",O572,1),0)</f>
        <v/>
      </c>
      <c r="Y572" s="12">
        <f>IF(OR(LEFT(K572,4)="LVAX",LEFT(K572,6)="MV15AX",LEFT(K572,4)="CTAX",LEFT(K572,2)="W|"),2*N572*O572,0)</f>
        <v/>
      </c>
      <c r="Z572" s="12" t="inlineStr"/>
      <c r="AA572" s="12">
        <f>N572*O572</f>
        <v/>
      </c>
    </row>
    <row r="573">
      <c r="A573" s="12" t="inlineStr">
        <is>
          <t>A-C-0561</t>
        </is>
      </c>
      <c r="B573" s="12" t="inlineStr">
        <is>
          <t>A</t>
        </is>
      </c>
      <c r="C573" s="12" t="inlineStr">
        <is>
          <t>Power block</t>
        </is>
      </c>
      <c r="D573" s="12" t="inlineStr">
        <is>
          <t>Motor 3 of 4: control / local station</t>
        </is>
      </c>
      <c r="E573" s="12" t="inlineStr">
        <is>
          <t>R3</t>
        </is>
      </c>
      <c r="F573" s="12" t="inlineStr">
        <is>
          <t>R3: ST auxiliary electrical e-house (40 x 65 ft)</t>
        </is>
      </c>
      <c r="G573" s="12" t="inlineStr">
        <is>
          <t>STG</t>
        </is>
      </c>
      <c r="H573" s="12" t="inlineStr">
        <is>
          <t>STG: steam-turbine generator</t>
        </is>
      </c>
      <c r="I573" s="12" t="inlineStr">
        <is>
          <t>Control</t>
        </is>
      </c>
      <c r="J573" s="12" t="inlineStr">
        <is>
          <t>Control cable 600 V Type TC-ER, Cu #14 AWG, PVC jacket</t>
        </is>
      </c>
      <c r="K573" s="12" t="inlineStr">
        <is>
          <t>CT|7/C|14</t>
        </is>
      </c>
      <c r="L573" s="12" t="inlineStr">
        <is>
          <t>7/C</t>
        </is>
      </c>
      <c r="M573" s="12" t="inlineStr">
        <is>
          <t>14</t>
        </is>
      </c>
      <c r="N573" s="12" t="n">
        <v>1</v>
      </c>
      <c r="O573" s="12" t="n">
        <v>1</v>
      </c>
      <c r="P573" s="12" t="n"/>
      <c r="Q573" s="12" t="n"/>
      <c r="R573" s="12" t="n"/>
      <c r="S573" s="12" t="inlineStr">
        <is>
          <t>Duct bank</t>
        </is>
      </c>
      <c r="T573" s="16" t="n">
        <v>517</v>
      </c>
      <c r="U573" s="16" t="n">
        <v>35</v>
      </c>
      <c r="V573" s="16">
        <f>ROUNDUP((T573+U573+2*'Read Me'!$B$13)*(1+'Read Me'!$B$12),-1)</f>
        <v/>
      </c>
      <c r="W573" s="16">
        <f>V573*N573*O573</f>
        <v/>
      </c>
      <c r="X573" s="12">
        <f>IF(LEFT(I573,2)="MV",2*N573*IF(L573="1/C",O573,1),0)</f>
        <v/>
      </c>
      <c r="Y573" s="12">
        <f>IF(OR(LEFT(K573,4)="LVAX",LEFT(K573,6)="MV15AX",LEFT(K573,4)="CTAX",LEFT(K573,2)="W|"),2*N573*O573,0)</f>
        <v/>
      </c>
      <c r="Z573" s="12" t="inlineStr"/>
      <c r="AA573" s="12">
        <f>N573*O573</f>
        <v/>
      </c>
    </row>
    <row r="574">
      <c r="A574" s="12" t="inlineStr">
        <is>
          <t>A-C-0562</t>
        </is>
      </c>
      <c r="B574" s="12" t="inlineStr">
        <is>
          <t>A</t>
        </is>
      </c>
      <c r="C574" s="12" t="inlineStr">
        <is>
          <t>Power block</t>
        </is>
      </c>
      <c r="D574" s="12" t="inlineStr">
        <is>
          <t>Motor 4 of 4: control / local station</t>
        </is>
      </c>
      <c r="E574" s="12" t="inlineStr">
        <is>
          <t>R3</t>
        </is>
      </c>
      <c r="F574" s="12" t="inlineStr">
        <is>
          <t>R3: ST auxiliary electrical e-house (40 x 65 ft)</t>
        </is>
      </c>
      <c r="G574" s="12" t="inlineStr">
        <is>
          <t>STG</t>
        </is>
      </c>
      <c r="H574" s="12" t="inlineStr">
        <is>
          <t>STG: steam-turbine generator</t>
        </is>
      </c>
      <c r="I574" s="12" t="inlineStr">
        <is>
          <t>Control</t>
        </is>
      </c>
      <c r="J574" s="12" t="inlineStr">
        <is>
          <t>Control cable 600 V Type TC-ER, Cu #14 AWG, PVC jacket</t>
        </is>
      </c>
      <c r="K574" s="12" t="inlineStr">
        <is>
          <t>CT|7/C|14</t>
        </is>
      </c>
      <c r="L574" s="12" t="inlineStr">
        <is>
          <t>7/C</t>
        </is>
      </c>
      <c r="M574" s="12" t="inlineStr">
        <is>
          <t>14</t>
        </is>
      </c>
      <c r="N574" s="12" t="n">
        <v>1</v>
      </c>
      <c r="O574" s="12" t="n">
        <v>1</v>
      </c>
      <c r="P574" s="12" t="n"/>
      <c r="Q574" s="12" t="n"/>
      <c r="R574" s="12" t="n"/>
      <c r="S574" s="12" t="inlineStr">
        <is>
          <t>Duct bank</t>
        </is>
      </c>
      <c r="T574" s="16" t="n">
        <v>517</v>
      </c>
      <c r="U574" s="16" t="n">
        <v>35</v>
      </c>
      <c r="V574" s="16">
        <f>ROUNDUP((T574+U574+2*'Read Me'!$B$13)*(1+'Read Me'!$B$12),-1)</f>
        <v/>
      </c>
      <c r="W574" s="16">
        <f>V574*N574*O574</f>
        <v/>
      </c>
      <c r="X574" s="12">
        <f>IF(LEFT(I574,2)="MV",2*N574*IF(L574="1/C",O574,1),0)</f>
        <v/>
      </c>
      <c r="Y574" s="12">
        <f>IF(OR(LEFT(K574,4)="LVAX",LEFT(K574,6)="MV15AX",LEFT(K574,4)="CTAX",LEFT(K574,2)="W|"),2*N574*O574,0)</f>
        <v/>
      </c>
      <c r="Z574" s="12" t="inlineStr"/>
      <c r="AA574" s="12">
        <f>N574*O574</f>
        <v/>
      </c>
    </row>
    <row r="575">
      <c r="A575" s="12" t="inlineStr">
        <is>
          <t>A-C-0563</t>
        </is>
      </c>
      <c r="B575" s="12" t="inlineStr">
        <is>
          <t>A</t>
        </is>
      </c>
      <c r="C575" s="12" t="inlineStr">
        <is>
          <t>Power block</t>
        </is>
      </c>
      <c r="D575" s="12" t="inlineStr">
        <is>
          <t>Motor 1 of 6: control / local station</t>
        </is>
      </c>
      <c r="E575" s="12" t="inlineStr">
        <is>
          <t>R2A</t>
        </is>
      </c>
      <c r="F575" s="12" t="inlineStr">
        <is>
          <t>R2A: unit / HRSG electrical e-house (32 x 40 ft)</t>
        </is>
      </c>
      <c r="G575" s="12" t="inlineStr"/>
      <c r="H575" s="12" t="inlineStr">
        <is>
          <t>T-R2A: 13.8/0.48 kV</t>
        </is>
      </c>
      <c r="I575" s="12" t="inlineStr">
        <is>
          <t>Control</t>
        </is>
      </c>
      <c r="J575" s="12" t="inlineStr">
        <is>
          <t>Control cable 600 V Type TC-ER, Cu #14 AWG, PVC jacket</t>
        </is>
      </c>
      <c r="K575" s="12" t="inlineStr">
        <is>
          <t>CT|7/C|14</t>
        </is>
      </c>
      <c r="L575" s="12" t="inlineStr">
        <is>
          <t>7/C</t>
        </is>
      </c>
      <c r="M575" s="12" t="inlineStr">
        <is>
          <t>14</t>
        </is>
      </c>
      <c r="N575" s="12" t="n">
        <v>1</v>
      </c>
      <c r="O575" s="12" t="n">
        <v>1</v>
      </c>
      <c r="P575" s="12" t="n"/>
      <c r="Q575" s="12" t="n"/>
      <c r="R575" s="12" t="n"/>
      <c r="S575" s="12" t="inlineStr">
        <is>
          <t>Tray</t>
        </is>
      </c>
      <c r="T575" s="16" t="n">
        <v>0</v>
      </c>
      <c r="U575" s="16" t="n">
        <v>86</v>
      </c>
      <c r="V575" s="16">
        <f>ROUNDUP((T575+U575+2*'Read Me'!$B$13)*(1+'Read Me'!$B$12),-1)</f>
        <v/>
      </c>
      <c r="W575" s="16">
        <f>V575*N575*O575</f>
        <v/>
      </c>
      <c r="X575" s="12">
        <f>IF(LEFT(I575,2)="MV",2*N575*IF(L575="1/C",O575,1),0)</f>
        <v/>
      </c>
      <c r="Y575" s="12">
        <f>IF(OR(LEFT(K575,4)="LVAX",LEFT(K575,6)="MV15AX",LEFT(K575,4)="CTAX",LEFT(K575,2)="W|"),2*N575*O575,0)</f>
        <v/>
      </c>
      <c r="Z575" s="12" t="inlineStr"/>
      <c r="AA575" s="12">
        <f>N575*O575</f>
        <v/>
      </c>
    </row>
    <row r="576">
      <c r="A576" s="12" t="inlineStr">
        <is>
          <t>A-C-0564</t>
        </is>
      </c>
      <c r="B576" s="12" t="inlineStr">
        <is>
          <t>A</t>
        </is>
      </c>
      <c r="C576" s="12" t="inlineStr">
        <is>
          <t>Power block</t>
        </is>
      </c>
      <c r="D576" s="12" t="inlineStr">
        <is>
          <t>Motor 2 of 6: control / local station</t>
        </is>
      </c>
      <c r="E576" s="12" t="inlineStr">
        <is>
          <t>R2A</t>
        </is>
      </c>
      <c r="F576" s="12" t="inlineStr">
        <is>
          <t>R2A: unit / HRSG electrical e-house (32 x 40 ft)</t>
        </is>
      </c>
      <c r="G576" s="12" t="inlineStr"/>
      <c r="H576" s="12" t="inlineStr">
        <is>
          <t>T-R2A: 13.8/0.48 kV</t>
        </is>
      </c>
      <c r="I576" s="12" t="inlineStr">
        <is>
          <t>Control</t>
        </is>
      </c>
      <c r="J576" s="12" t="inlineStr">
        <is>
          <t>Control cable 600 V Type TC-ER, Cu #14 AWG, PVC jacket</t>
        </is>
      </c>
      <c r="K576" s="12" t="inlineStr">
        <is>
          <t>CT|7/C|14</t>
        </is>
      </c>
      <c r="L576" s="12" t="inlineStr">
        <is>
          <t>7/C</t>
        </is>
      </c>
      <c r="M576" s="12" t="inlineStr">
        <is>
          <t>14</t>
        </is>
      </c>
      <c r="N576" s="12" t="n">
        <v>1</v>
      </c>
      <c r="O576" s="12" t="n">
        <v>1</v>
      </c>
      <c r="P576" s="12" t="n"/>
      <c r="Q576" s="12" t="n"/>
      <c r="R576" s="12" t="n"/>
      <c r="S576" s="12" t="inlineStr">
        <is>
          <t>Tray</t>
        </is>
      </c>
      <c r="T576" s="16" t="n">
        <v>0</v>
      </c>
      <c r="U576" s="16" t="n">
        <v>86</v>
      </c>
      <c r="V576" s="16">
        <f>ROUNDUP((T576+U576+2*'Read Me'!$B$13)*(1+'Read Me'!$B$12),-1)</f>
        <v/>
      </c>
      <c r="W576" s="16">
        <f>V576*N576*O576</f>
        <v/>
      </c>
      <c r="X576" s="12">
        <f>IF(LEFT(I576,2)="MV",2*N576*IF(L576="1/C",O576,1),0)</f>
        <v/>
      </c>
      <c r="Y576" s="12">
        <f>IF(OR(LEFT(K576,4)="LVAX",LEFT(K576,6)="MV15AX",LEFT(K576,4)="CTAX",LEFT(K576,2)="W|"),2*N576*O576,0)</f>
        <v/>
      </c>
      <c r="Z576" s="12" t="inlineStr"/>
      <c r="AA576" s="12">
        <f>N576*O576</f>
        <v/>
      </c>
    </row>
    <row r="577">
      <c r="A577" s="12" t="inlineStr">
        <is>
          <t>A-C-0565</t>
        </is>
      </c>
      <c r="B577" s="12" t="inlineStr">
        <is>
          <t>A</t>
        </is>
      </c>
      <c r="C577" s="12" t="inlineStr">
        <is>
          <t>Power block</t>
        </is>
      </c>
      <c r="D577" s="12" t="inlineStr">
        <is>
          <t>Motor 3 of 6: control / local station</t>
        </is>
      </c>
      <c r="E577" s="12" t="inlineStr">
        <is>
          <t>R2A</t>
        </is>
      </c>
      <c r="F577" s="12" t="inlineStr">
        <is>
          <t>R2A: unit / HRSG electrical e-house (32 x 40 ft)</t>
        </is>
      </c>
      <c r="G577" s="12" t="inlineStr"/>
      <c r="H577" s="12" t="inlineStr">
        <is>
          <t>T-R2A: 13.8/0.48 kV</t>
        </is>
      </c>
      <c r="I577" s="12" t="inlineStr">
        <is>
          <t>Control</t>
        </is>
      </c>
      <c r="J577" s="12" t="inlineStr">
        <is>
          <t>Control cable 600 V Type TC-ER, Cu #14 AWG, PVC jacket</t>
        </is>
      </c>
      <c r="K577" s="12" t="inlineStr">
        <is>
          <t>CT|7/C|14</t>
        </is>
      </c>
      <c r="L577" s="12" t="inlineStr">
        <is>
          <t>7/C</t>
        </is>
      </c>
      <c r="M577" s="12" t="inlineStr">
        <is>
          <t>14</t>
        </is>
      </c>
      <c r="N577" s="12" t="n">
        <v>1</v>
      </c>
      <c r="O577" s="12" t="n">
        <v>1</v>
      </c>
      <c r="P577" s="12" t="n"/>
      <c r="Q577" s="12" t="n"/>
      <c r="R577" s="12" t="n"/>
      <c r="S577" s="12" t="inlineStr">
        <is>
          <t>Tray</t>
        </is>
      </c>
      <c r="T577" s="16" t="n">
        <v>0</v>
      </c>
      <c r="U577" s="16" t="n">
        <v>86</v>
      </c>
      <c r="V577" s="16">
        <f>ROUNDUP((T577+U577+2*'Read Me'!$B$13)*(1+'Read Me'!$B$12),-1)</f>
        <v/>
      </c>
      <c r="W577" s="16">
        <f>V577*N577*O577</f>
        <v/>
      </c>
      <c r="X577" s="12">
        <f>IF(LEFT(I577,2)="MV",2*N577*IF(L577="1/C",O577,1),0)</f>
        <v/>
      </c>
      <c r="Y577" s="12">
        <f>IF(OR(LEFT(K577,4)="LVAX",LEFT(K577,6)="MV15AX",LEFT(K577,4)="CTAX",LEFT(K577,2)="W|"),2*N577*O577,0)</f>
        <v/>
      </c>
      <c r="Z577" s="12" t="inlineStr"/>
      <c r="AA577" s="12">
        <f>N577*O577</f>
        <v/>
      </c>
    </row>
    <row r="578">
      <c r="A578" s="12" t="inlineStr">
        <is>
          <t>A-C-0566</t>
        </is>
      </c>
      <c r="B578" s="12" t="inlineStr">
        <is>
          <t>A</t>
        </is>
      </c>
      <c r="C578" s="12" t="inlineStr">
        <is>
          <t>Power block</t>
        </is>
      </c>
      <c r="D578" s="12" t="inlineStr">
        <is>
          <t>Motor 4 of 6: control / local station</t>
        </is>
      </c>
      <c r="E578" s="12" t="inlineStr">
        <is>
          <t>R2A</t>
        </is>
      </c>
      <c r="F578" s="12" t="inlineStr">
        <is>
          <t>R2A: unit / HRSG electrical e-house (32 x 40 ft)</t>
        </is>
      </c>
      <c r="G578" s="12" t="inlineStr"/>
      <c r="H578" s="12" t="inlineStr">
        <is>
          <t>T-R2A: 13.8/0.48 kV</t>
        </is>
      </c>
      <c r="I578" s="12" t="inlineStr">
        <is>
          <t>Control</t>
        </is>
      </c>
      <c r="J578" s="12" t="inlineStr">
        <is>
          <t>Control cable 600 V Type TC-ER, Cu #14 AWG, PVC jacket</t>
        </is>
      </c>
      <c r="K578" s="12" t="inlineStr">
        <is>
          <t>CT|7/C|14</t>
        </is>
      </c>
      <c r="L578" s="12" t="inlineStr">
        <is>
          <t>7/C</t>
        </is>
      </c>
      <c r="M578" s="12" t="inlineStr">
        <is>
          <t>14</t>
        </is>
      </c>
      <c r="N578" s="12" t="n">
        <v>1</v>
      </c>
      <c r="O578" s="12" t="n">
        <v>1</v>
      </c>
      <c r="P578" s="12" t="n"/>
      <c r="Q578" s="12" t="n"/>
      <c r="R578" s="12" t="n"/>
      <c r="S578" s="12" t="inlineStr">
        <is>
          <t>Tray</t>
        </is>
      </c>
      <c r="T578" s="16" t="n">
        <v>0</v>
      </c>
      <c r="U578" s="16" t="n">
        <v>86</v>
      </c>
      <c r="V578" s="16">
        <f>ROUNDUP((T578+U578+2*'Read Me'!$B$13)*(1+'Read Me'!$B$12),-1)</f>
        <v/>
      </c>
      <c r="W578" s="16">
        <f>V578*N578*O578</f>
        <v/>
      </c>
      <c r="X578" s="12">
        <f>IF(LEFT(I578,2)="MV",2*N578*IF(L578="1/C",O578,1),0)</f>
        <v/>
      </c>
      <c r="Y578" s="12">
        <f>IF(OR(LEFT(K578,4)="LVAX",LEFT(K578,6)="MV15AX",LEFT(K578,4)="CTAX",LEFT(K578,2)="W|"),2*N578*O578,0)</f>
        <v/>
      </c>
      <c r="Z578" s="12" t="inlineStr"/>
      <c r="AA578" s="12">
        <f>N578*O578</f>
        <v/>
      </c>
    </row>
    <row r="579">
      <c r="A579" s="12" t="inlineStr">
        <is>
          <t>A-C-0567</t>
        </is>
      </c>
      <c r="B579" s="12" t="inlineStr">
        <is>
          <t>A</t>
        </is>
      </c>
      <c r="C579" s="12" t="inlineStr">
        <is>
          <t>Power block</t>
        </is>
      </c>
      <c r="D579" s="12" t="inlineStr">
        <is>
          <t>Motor 5 of 6: control / local station</t>
        </is>
      </c>
      <c r="E579" s="12" t="inlineStr">
        <is>
          <t>R2A</t>
        </is>
      </c>
      <c r="F579" s="12" t="inlineStr">
        <is>
          <t>R2A: unit / HRSG electrical e-house (32 x 40 ft)</t>
        </is>
      </c>
      <c r="G579" s="12" t="inlineStr"/>
      <c r="H579" s="12" t="inlineStr">
        <is>
          <t>T-R2A: 13.8/0.48 kV</t>
        </is>
      </c>
      <c r="I579" s="12" t="inlineStr">
        <is>
          <t>Control</t>
        </is>
      </c>
      <c r="J579" s="12" t="inlineStr">
        <is>
          <t>Control cable 600 V Type TC-ER, Cu #14 AWG, PVC jacket</t>
        </is>
      </c>
      <c r="K579" s="12" t="inlineStr">
        <is>
          <t>CT|7/C|14</t>
        </is>
      </c>
      <c r="L579" s="12" t="inlineStr">
        <is>
          <t>7/C</t>
        </is>
      </c>
      <c r="M579" s="12" t="inlineStr">
        <is>
          <t>14</t>
        </is>
      </c>
      <c r="N579" s="12" t="n">
        <v>1</v>
      </c>
      <c r="O579" s="12" t="n">
        <v>1</v>
      </c>
      <c r="P579" s="12" t="n"/>
      <c r="Q579" s="12" t="n"/>
      <c r="R579" s="12" t="n"/>
      <c r="S579" s="12" t="inlineStr">
        <is>
          <t>Tray</t>
        </is>
      </c>
      <c r="T579" s="16" t="n">
        <v>0</v>
      </c>
      <c r="U579" s="16" t="n">
        <v>86</v>
      </c>
      <c r="V579" s="16">
        <f>ROUNDUP((T579+U579+2*'Read Me'!$B$13)*(1+'Read Me'!$B$12),-1)</f>
        <v/>
      </c>
      <c r="W579" s="16">
        <f>V579*N579*O579</f>
        <v/>
      </c>
      <c r="X579" s="12">
        <f>IF(LEFT(I579,2)="MV",2*N579*IF(L579="1/C",O579,1),0)</f>
        <v/>
      </c>
      <c r="Y579" s="12">
        <f>IF(OR(LEFT(K579,4)="LVAX",LEFT(K579,6)="MV15AX",LEFT(K579,4)="CTAX",LEFT(K579,2)="W|"),2*N579*O579,0)</f>
        <v/>
      </c>
      <c r="Z579" s="12" t="inlineStr"/>
      <c r="AA579" s="12">
        <f>N579*O579</f>
        <v/>
      </c>
    </row>
    <row r="580">
      <c r="A580" s="12" t="inlineStr">
        <is>
          <t>A-C-0568</t>
        </is>
      </c>
      <c r="B580" s="12" t="inlineStr">
        <is>
          <t>A</t>
        </is>
      </c>
      <c r="C580" s="12" t="inlineStr">
        <is>
          <t>Power block</t>
        </is>
      </c>
      <c r="D580" s="12" t="inlineStr">
        <is>
          <t>Motor 6 of 6: control / local station</t>
        </is>
      </c>
      <c r="E580" s="12" t="inlineStr">
        <is>
          <t>R2A</t>
        </is>
      </c>
      <c r="F580" s="12" t="inlineStr">
        <is>
          <t>R2A: unit / HRSG electrical e-house (32 x 40 ft)</t>
        </is>
      </c>
      <c r="G580" s="12" t="inlineStr"/>
      <c r="H580" s="12" t="inlineStr">
        <is>
          <t>T-R2A: 13.8/0.48 kV</t>
        </is>
      </c>
      <c r="I580" s="12" t="inlineStr">
        <is>
          <t>Control</t>
        </is>
      </c>
      <c r="J580" s="12" t="inlineStr">
        <is>
          <t>Control cable 600 V Type TC-ER, Cu #14 AWG, PVC jacket</t>
        </is>
      </c>
      <c r="K580" s="12" t="inlineStr">
        <is>
          <t>CT|7/C|14</t>
        </is>
      </c>
      <c r="L580" s="12" t="inlineStr">
        <is>
          <t>7/C</t>
        </is>
      </c>
      <c r="M580" s="12" t="inlineStr">
        <is>
          <t>14</t>
        </is>
      </c>
      <c r="N580" s="12" t="n">
        <v>1</v>
      </c>
      <c r="O580" s="12" t="n">
        <v>1</v>
      </c>
      <c r="P580" s="12" t="n"/>
      <c r="Q580" s="12" t="n"/>
      <c r="R580" s="12" t="n"/>
      <c r="S580" s="12" t="inlineStr">
        <is>
          <t>Tray</t>
        </is>
      </c>
      <c r="T580" s="16" t="n">
        <v>0</v>
      </c>
      <c r="U580" s="16" t="n">
        <v>86</v>
      </c>
      <c r="V580" s="16">
        <f>ROUNDUP((T580+U580+2*'Read Me'!$B$13)*(1+'Read Me'!$B$12),-1)</f>
        <v/>
      </c>
      <c r="W580" s="16">
        <f>V580*N580*O580</f>
        <v/>
      </c>
      <c r="X580" s="12">
        <f>IF(LEFT(I580,2)="MV",2*N580*IF(L580="1/C",O580,1),0)</f>
        <v/>
      </c>
      <c r="Y580" s="12">
        <f>IF(OR(LEFT(K580,4)="LVAX",LEFT(K580,6)="MV15AX",LEFT(K580,4)="CTAX",LEFT(K580,2)="W|"),2*N580*O580,0)</f>
        <v/>
      </c>
      <c r="Z580" s="12" t="inlineStr"/>
      <c r="AA580" s="12">
        <f>N580*O580</f>
        <v/>
      </c>
    </row>
    <row r="581">
      <c r="A581" s="12" t="inlineStr">
        <is>
          <t>A-C-0569</t>
        </is>
      </c>
      <c r="B581" s="12" t="inlineStr">
        <is>
          <t>A</t>
        </is>
      </c>
      <c r="C581" s="12" t="inlineStr">
        <is>
          <t>Power block</t>
        </is>
      </c>
      <c r="D581" s="12" t="inlineStr">
        <is>
          <t>Motor 1 of 6: control / local station</t>
        </is>
      </c>
      <c r="E581" s="12" t="inlineStr">
        <is>
          <t>R2B</t>
        </is>
      </c>
      <c r="F581" s="12" t="inlineStr">
        <is>
          <t>R2B: unit / HRSG electrical e-house (32 x 40 ft)</t>
        </is>
      </c>
      <c r="G581" s="12" t="inlineStr"/>
      <c r="H581" s="12" t="inlineStr">
        <is>
          <t>T-R2B: 13.8/0.48 kV</t>
        </is>
      </c>
      <c r="I581" s="12" t="inlineStr">
        <is>
          <t>Control</t>
        </is>
      </c>
      <c r="J581" s="12" t="inlineStr">
        <is>
          <t>Control cable 600 V Type TC-ER, Cu #14 AWG, PVC jacket</t>
        </is>
      </c>
      <c r="K581" s="12" t="inlineStr">
        <is>
          <t>CT|7/C|14</t>
        </is>
      </c>
      <c r="L581" s="12" t="inlineStr">
        <is>
          <t>7/C</t>
        </is>
      </c>
      <c r="M581" s="12" t="inlineStr">
        <is>
          <t>14</t>
        </is>
      </c>
      <c r="N581" s="12" t="n">
        <v>1</v>
      </c>
      <c r="O581" s="12" t="n">
        <v>1</v>
      </c>
      <c r="P581" s="12" t="n"/>
      <c r="Q581" s="12" t="n"/>
      <c r="R581" s="12" t="n"/>
      <c r="S581" s="12" t="inlineStr">
        <is>
          <t>Tray</t>
        </is>
      </c>
      <c r="T581" s="16" t="n">
        <v>0</v>
      </c>
      <c r="U581" s="16" t="n">
        <v>97</v>
      </c>
      <c r="V581" s="16">
        <f>ROUNDUP((T581+U581+2*'Read Me'!$B$13)*(1+'Read Me'!$B$12),-1)</f>
        <v/>
      </c>
      <c r="W581" s="16">
        <f>V581*N581*O581</f>
        <v/>
      </c>
      <c r="X581" s="12">
        <f>IF(LEFT(I581,2)="MV",2*N581*IF(L581="1/C",O581,1),0)</f>
        <v/>
      </c>
      <c r="Y581" s="12">
        <f>IF(OR(LEFT(K581,4)="LVAX",LEFT(K581,6)="MV15AX",LEFT(K581,4)="CTAX",LEFT(K581,2)="W|"),2*N581*O581,0)</f>
        <v/>
      </c>
      <c r="Z581" s="12" t="inlineStr"/>
      <c r="AA581" s="12">
        <f>N581*O581</f>
        <v/>
      </c>
    </row>
    <row r="582">
      <c r="A582" s="12" t="inlineStr">
        <is>
          <t>A-C-0570</t>
        </is>
      </c>
      <c r="B582" s="12" t="inlineStr">
        <is>
          <t>A</t>
        </is>
      </c>
      <c r="C582" s="12" t="inlineStr">
        <is>
          <t>Power block</t>
        </is>
      </c>
      <c r="D582" s="12" t="inlineStr">
        <is>
          <t>Motor 2 of 6: control / local station</t>
        </is>
      </c>
      <c r="E582" s="12" t="inlineStr">
        <is>
          <t>R2B</t>
        </is>
      </c>
      <c r="F582" s="12" t="inlineStr">
        <is>
          <t>R2B: unit / HRSG electrical e-house (32 x 40 ft)</t>
        </is>
      </c>
      <c r="G582" s="12" t="inlineStr"/>
      <c r="H582" s="12" t="inlineStr">
        <is>
          <t>T-R2B: 13.8/0.48 kV</t>
        </is>
      </c>
      <c r="I582" s="12" t="inlineStr">
        <is>
          <t>Control</t>
        </is>
      </c>
      <c r="J582" s="12" t="inlineStr">
        <is>
          <t>Control cable 600 V Type TC-ER, Cu #14 AWG, PVC jacket</t>
        </is>
      </c>
      <c r="K582" s="12" t="inlineStr">
        <is>
          <t>CT|7/C|14</t>
        </is>
      </c>
      <c r="L582" s="12" t="inlineStr">
        <is>
          <t>7/C</t>
        </is>
      </c>
      <c r="M582" s="12" t="inlineStr">
        <is>
          <t>14</t>
        </is>
      </c>
      <c r="N582" s="12" t="n">
        <v>1</v>
      </c>
      <c r="O582" s="12" t="n">
        <v>1</v>
      </c>
      <c r="P582" s="12" t="n"/>
      <c r="Q582" s="12" t="n"/>
      <c r="R582" s="12" t="n"/>
      <c r="S582" s="12" t="inlineStr">
        <is>
          <t>Tray</t>
        </is>
      </c>
      <c r="T582" s="16" t="n">
        <v>0</v>
      </c>
      <c r="U582" s="16" t="n">
        <v>97</v>
      </c>
      <c r="V582" s="16">
        <f>ROUNDUP((T582+U582+2*'Read Me'!$B$13)*(1+'Read Me'!$B$12),-1)</f>
        <v/>
      </c>
      <c r="W582" s="16">
        <f>V582*N582*O582</f>
        <v/>
      </c>
      <c r="X582" s="12">
        <f>IF(LEFT(I582,2)="MV",2*N582*IF(L582="1/C",O582,1),0)</f>
        <v/>
      </c>
      <c r="Y582" s="12">
        <f>IF(OR(LEFT(K582,4)="LVAX",LEFT(K582,6)="MV15AX",LEFT(K582,4)="CTAX",LEFT(K582,2)="W|"),2*N582*O582,0)</f>
        <v/>
      </c>
      <c r="Z582" s="12" t="inlineStr"/>
      <c r="AA582" s="12">
        <f>N582*O582</f>
        <v/>
      </c>
    </row>
    <row r="583">
      <c r="A583" s="12" t="inlineStr">
        <is>
          <t>A-C-0571</t>
        </is>
      </c>
      <c r="B583" s="12" t="inlineStr">
        <is>
          <t>A</t>
        </is>
      </c>
      <c r="C583" s="12" t="inlineStr">
        <is>
          <t>Power block</t>
        </is>
      </c>
      <c r="D583" s="12" t="inlineStr">
        <is>
          <t>Motor 3 of 6: control / local station</t>
        </is>
      </c>
      <c r="E583" s="12" t="inlineStr">
        <is>
          <t>R2B</t>
        </is>
      </c>
      <c r="F583" s="12" t="inlineStr">
        <is>
          <t>R2B: unit / HRSG electrical e-house (32 x 40 ft)</t>
        </is>
      </c>
      <c r="G583" s="12" t="inlineStr"/>
      <c r="H583" s="12" t="inlineStr">
        <is>
          <t>T-R2B: 13.8/0.48 kV</t>
        </is>
      </c>
      <c r="I583" s="12" t="inlineStr">
        <is>
          <t>Control</t>
        </is>
      </c>
      <c r="J583" s="12" t="inlineStr">
        <is>
          <t>Control cable 600 V Type TC-ER, Cu #14 AWG, PVC jacket</t>
        </is>
      </c>
      <c r="K583" s="12" t="inlineStr">
        <is>
          <t>CT|7/C|14</t>
        </is>
      </c>
      <c r="L583" s="12" t="inlineStr">
        <is>
          <t>7/C</t>
        </is>
      </c>
      <c r="M583" s="12" t="inlineStr">
        <is>
          <t>14</t>
        </is>
      </c>
      <c r="N583" s="12" t="n">
        <v>1</v>
      </c>
      <c r="O583" s="12" t="n">
        <v>1</v>
      </c>
      <c r="P583" s="12" t="n"/>
      <c r="Q583" s="12" t="n"/>
      <c r="R583" s="12" t="n"/>
      <c r="S583" s="12" t="inlineStr">
        <is>
          <t>Tray</t>
        </is>
      </c>
      <c r="T583" s="16" t="n">
        <v>0</v>
      </c>
      <c r="U583" s="16" t="n">
        <v>97</v>
      </c>
      <c r="V583" s="16">
        <f>ROUNDUP((T583+U583+2*'Read Me'!$B$13)*(1+'Read Me'!$B$12),-1)</f>
        <v/>
      </c>
      <c r="W583" s="16">
        <f>V583*N583*O583</f>
        <v/>
      </c>
      <c r="X583" s="12">
        <f>IF(LEFT(I583,2)="MV",2*N583*IF(L583="1/C",O583,1),0)</f>
        <v/>
      </c>
      <c r="Y583" s="12">
        <f>IF(OR(LEFT(K583,4)="LVAX",LEFT(K583,6)="MV15AX",LEFT(K583,4)="CTAX",LEFT(K583,2)="W|"),2*N583*O583,0)</f>
        <v/>
      </c>
      <c r="Z583" s="12" t="inlineStr"/>
      <c r="AA583" s="12">
        <f>N583*O583</f>
        <v/>
      </c>
    </row>
    <row r="584">
      <c r="A584" s="12" t="inlineStr">
        <is>
          <t>A-C-0572</t>
        </is>
      </c>
      <c r="B584" s="12" t="inlineStr">
        <is>
          <t>A</t>
        </is>
      </c>
      <c r="C584" s="12" t="inlineStr">
        <is>
          <t>Power block</t>
        </is>
      </c>
      <c r="D584" s="12" t="inlineStr">
        <is>
          <t>Motor 4 of 6: control / local station</t>
        </is>
      </c>
      <c r="E584" s="12" t="inlineStr">
        <is>
          <t>R2B</t>
        </is>
      </c>
      <c r="F584" s="12" t="inlineStr">
        <is>
          <t>R2B: unit / HRSG electrical e-house (32 x 40 ft)</t>
        </is>
      </c>
      <c r="G584" s="12" t="inlineStr"/>
      <c r="H584" s="12" t="inlineStr">
        <is>
          <t>T-R2B: 13.8/0.48 kV</t>
        </is>
      </c>
      <c r="I584" s="12" t="inlineStr">
        <is>
          <t>Control</t>
        </is>
      </c>
      <c r="J584" s="12" t="inlineStr">
        <is>
          <t>Control cable 600 V Type TC-ER, Cu #14 AWG, PVC jacket</t>
        </is>
      </c>
      <c r="K584" s="12" t="inlineStr">
        <is>
          <t>CT|7/C|14</t>
        </is>
      </c>
      <c r="L584" s="12" t="inlineStr">
        <is>
          <t>7/C</t>
        </is>
      </c>
      <c r="M584" s="12" t="inlineStr">
        <is>
          <t>14</t>
        </is>
      </c>
      <c r="N584" s="12" t="n">
        <v>1</v>
      </c>
      <c r="O584" s="12" t="n">
        <v>1</v>
      </c>
      <c r="P584" s="12" t="n"/>
      <c r="Q584" s="12" t="n"/>
      <c r="R584" s="12" t="n"/>
      <c r="S584" s="12" t="inlineStr">
        <is>
          <t>Tray</t>
        </is>
      </c>
      <c r="T584" s="16" t="n">
        <v>0</v>
      </c>
      <c r="U584" s="16" t="n">
        <v>97</v>
      </c>
      <c r="V584" s="16">
        <f>ROUNDUP((T584+U584+2*'Read Me'!$B$13)*(1+'Read Me'!$B$12),-1)</f>
        <v/>
      </c>
      <c r="W584" s="16">
        <f>V584*N584*O584</f>
        <v/>
      </c>
      <c r="X584" s="12">
        <f>IF(LEFT(I584,2)="MV",2*N584*IF(L584="1/C",O584,1),0)</f>
        <v/>
      </c>
      <c r="Y584" s="12">
        <f>IF(OR(LEFT(K584,4)="LVAX",LEFT(K584,6)="MV15AX",LEFT(K584,4)="CTAX",LEFT(K584,2)="W|"),2*N584*O584,0)</f>
        <v/>
      </c>
      <c r="Z584" s="12" t="inlineStr"/>
      <c r="AA584" s="12">
        <f>N584*O584</f>
        <v/>
      </c>
    </row>
    <row r="585">
      <c r="A585" s="12" t="inlineStr">
        <is>
          <t>A-C-0573</t>
        </is>
      </c>
      <c r="B585" s="12" t="inlineStr">
        <is>
          <t>A</t>
        </is>
      </c>
      <c r="C585" s="12" t="inlineStr">
        <is>
          <t>Power block</t>
        </is>
      </c>
      <c r="D585" s="12" t="inlineStr">
        <is>
          <t>Motor 5 of 6: control / local station</t>
        </is>
      </c>
      <c r="E585" s="12" t="inlineStr">
        <is>
          <t>R2B</t>
        </is>
      </c>
      <c r="F585" s="12" t="inlineStr">
        <is>
          <t>R2B: unit / HRSG electrical e-house (32 x 40 ft)</t>
        </is>
      </c>
      <c r="G585" s="12" t="inlineStr"/>
      <c r="H585" s="12" t="inlineStr">
        <is>
          <t>T-R2B: 13.8/0.48 kV</t>
        </is>
      </c>
      <c r="I585" s="12" t="inlineStr">
        <is>
          <t>Control</t>
        </is>
      </c>
      <c r="J585" s="12" t="inlineStr">
        <is>
          <t>Control cable 600 V Type TC-ER, Cu #14 AWG, PVC jacket</t>
        </is>
      </c>
      <c r="K585" s="12" t="inlineStr">
        <is>
          <t>CT|7/C|14</t>
        </is>
      </c>
      <c r="L585" s="12" t="inlineStr">
        <is>
          <t>7/C</t>
        </is>
      </c>
      <c r="M585" s="12" t="inlineStr">
        <is>
          <t>14</t>
        </is>
      </c>
      <c r="N585" s="12" t="n">
        <v>1</v>
      </c>
      <c r="O585" s="12" t="n">
        <v>1</v>
      </c>
      <c r="P585" s="12" t="n"/>
      <c r="Q585" s="12" t="n"/>
      <c r="R585" s="12" t="n"/>
      <c r="S585" s="12" t="inlineStr">
        <is>
          <t>Tray</t>
        </is>
      </c>
      <c r="T585" s="16" t="n">
        <v>0</v>
      </c>
      <c r="U585" s="16" t="n">
        <v>97</v>
      </c>
      <c r="V585" s="16">
        <f>ROUNDUP((T585+U585+2*'Read Me'!$B$13)*(1+'Read Me'!$B$12),-1)</f>
        <v/>
      </c>
      <c r="W585" s="16">
        <f>V585*N585*O585</f>
        <v/>
      </c>
      <c r="X585" s="12">
        <f>IF(LEFT(I585,2)="MV",2*N585*IF(L585="1/C",O585,1),0)</f>
        <v/>
      </c>
      <c r="Y585" s="12">
        <f>IF(OR(LEFT(K585,4)="LVAX",LEFT(K585,6)="MV15AX",LEFT(K585,4)="CTAX",LEFT(K585,2)="W|"),2*N585*O585,0)</f>
        <v/>
      </c>
      <c r="Z585" s="12" t="inlineStr"/>
      <c r="AA585" s="12">
        <f>N585*O585</f>
        <v/>
      </c>
    </row>
    <row r="586">
      <c r="A586" s="12" t="inlineStr">
        <is>
          <t>A-C-0574</t>
        </is>
      </c>
      <c r="B586" s="12" t="inlineStr">
        <is>
          <t>A</t>
        </is>
      </c>
      <c r="C586" s="12" t="inlineStr">
        <is>
          <t>Power block</t>
        </is>
      </c>
      <c r="D586" s="12" t="inlineStr">
        <is>
          <t>Motor 6 of 6: control / local station</t>
        </is>
      </c>
      <c r="E586" s="12" t="inlineStr">
        <is>
          <t>R2B</t>
        </is>
      </c>
      <c r="F586" s="12" t="inlineStr">
        <is>
          <t>R2B: unit / HRSG electrical e-house (32 x 40 ft)</t>
        </is>
      </c>
      <c r="G586" s="12" t="inlineStr"/>
      <c r="H586" s="12" t="inlineStr">
        <is>
          <t>T-R2B: 13.8/0.48 kV</t>
        </is>
      </c>
      <c r="I586" s="12" t="inlineStr">
        <is>
          <t>Control</t>
        </is>
      </c>
      <c r="J586" s="12" t="inlineStr">
        <is>
          <t>Control cable 600 V Type TC-ER, Cu #14 AWG, PVC jacket</t>
        </is>
      </c>
      <c r="K586" s="12" t="inlineStr">
        <is>
          <t>CT|7/C|14</t>
        </is>
      </c>
      <c r="L586" s="12" t="inlineStr">
        <is>
          <t>7/C</t>
        </is>
      </c>
      <c r="M586" s="12" t="inlineStr">
        <is>
          <t>14</t>
        </is>
      </c>
      <c r="N586" s="12" t="n">
        <v>1</v>
      </c>
      <c r="O586" s="12" t="n">
        <v>1</v>
      </c>
      <c r="P586" s="12" t="n"/>
      <c r="Q586" s="12" t="n"/>
      <c r="R586" s="12" t="n"/>
      <c r="S586" s="12" t="inlineStr">
        <is>
          <t>Tray</t>
        </is>
      </c>
      <c r="T586" s="16" t="n">
        <v>0</v>
      </c>
      <c r="U586" s="16" t="n">
        <v>97</v>
      </c>
      <c r="V586" s="16">
        <f>ROUNDUP((T586+U586+2*'Read Me'!$B$13)*(1+'Read Me'!$B$12),-1)</f>
        <v/>
      </c>
      <c r="W586" s="16">
        <f>V586*N586*O586</f>
        <v/>
      </c>
      <c r="X586" s="12">
        <f>IF(LEFT(I586,2)="MV",2*N586*IF(L586="1/C",O586,1),0)</f>
        <v/>
      </c>
      <c r="Y586" s="12">
        <f>IF(OR(LEFT(K586,4)="LVAX",LEFT(K586,6)="MV15AX",LEFT(K586,4)="CTAX",LEFT(K586,2)="W|"),2*N586*O586,0)</f>
        <v/>
      </c>
      <c r="Z586" s="12" t="inlineStr"/>
      <c r="AA586" s="12">
        <f>N586*O586</f>
        <v/>
      </c>
    </row>
    <row r="587">
      <c r="A587" s="12" t="inlineStr">
        <is>
          <t>A-C-0575</t>
        </is>
      </c>
      <c r="B587" s="12" t="inlineStr">
        <is>
          <t>A</t>
        </is>
      </c>
      <c r="C587" s="12" t="inlineStr">
        <is>
          <t>Power block</t>
        </is>
      </c>
      <c r="D587" s="12" t="inlineStr">
        <is>
          <t>Motor 1 of 6: control / local station</t>
        </is>
      </c>
      <c r="E587" s="12" t="inlineStr">
        <is>
          <t>R2C</t>
        </is>
      </c>
      <c r="F587" s="12" t="inlineStr">
        <is>
          <t>R2C: unit / HRSG electrical e-house (32 x 40 ft)</t>
        </is>
      </c>
      <c r="G587" s="12" t="inlineStr"/>
      <c r="H587" s="12" t="inlineStr">
        <is>
          <t>T-R2C: 13.8/0.48 kV</t>
        </is>
      </c>
      <c r="I587" s="12" t="inlineStr">
        <is>
          <t>Control</t>
        </is>
      </c>
      <c r="J587" s="12" t="inlineStr">
        <is>
          <t>Control cable 600 V Type TC-ER, Cu #14 AWG, PVC jacket</t>
        </is>
      </c>
      <c r="K587" s="12" t="inlineStr">
        <is>
          <t>CT|7/C|14</t>
        </is>
      </c>
      <c r="L587" s="12" t="inlineStr">
        <is>
          <t>7/C</t>
        </is>
      </c>
      <c r="M587" s="12" t="inlineStr">
        <is>
          <t>14</t>
        </is>
      </c>
      <c r="N587" s="12" t="n">
        <v>1</v>
      </c>
      <c r="O587" s="12" t="n">
        <v>1</v>
      </c>
      <c r="P587" s="12" t="n"/>
      <c r="Q587" s="12" t="n"/>
      <c r="R587" s="12" t="n"/>
      <c r="S587" s="12" t="inlineStr">
        <is>
          <t>Tray</t>
        </is>
      </c>
      <c r="T587" s="16" t="n">
        <v>0</v>
      </c>
      <c r="U587" s="16" t="n">
        <v>97</v>
      </c>
      <c r="V587" s="16">
        <f>ROUNDUP((T587+U587+2*'Read Me'!$B$13)*(1+'Read Me'!$B$12),-1)</f>
        <v/>
      </c>
      <c r="W587" s="16">
        <f>V587*N587*O587</f>
        <v/>
      </c>
      <c r="X587" s="12">
        <f>IF(LEFT(I587,2)="MV",2*N587*IF(L587="1/C",O587,1),0)</f>
        <v/>
      </c>
      <c r="Y587" s="12">
        <f>IF(OR(LEFT(K587,4)="LVAX",LEFT(K587,6)="MV15AX",LEFT(K587,4)="CTAX",LEFT(K587,2)="W|"),2*N587*O587,0)</f>
        <v/>
      </c>
      <c r="Z587" s="12" t="inlineStr"/>
      <c r="AA587" s="12">
        <f>N587*O587</f>
        <v/>
      </c>
    </row>
    <row r="588">
      <c r="A588" s="12" t="inlineStr">
        <is>
          <t>A-C-0576</t>
        </is>
      </c>
      <c r="B588" s="12" t="inlineStr">
        <is>
          <t>A</t>
        </is>
      </c>
      <c r="C588" s="12" t="inlineStr">
        <is>
          <t>Power block</t>
        </is>
      </c>
      <c r="D588" s="12" t="inlineStr">
        <is>
          <t>Motor 2 of 6: control / local station</t>
        </is>
      </c>
      <c r="E588" s="12" t="inlineStr">
        <is>
          <t>R2C</t>
        </is>
      </c>
      <c r="F588" s="12" t="inlineStr">
        <is>
          <t>R2C: unit / HRSG electrical e-house (32 x 40 ft)</t>
        </is>
      </c>
      <c r="G588" s="12" t="inlineStr"/>
      <c r="H588" s="12" t="inlineStr">
        <is>
          <t>T-R2C: 13.8/0.48 kV</t>
        </is>
      </c>
      <c r="I588" s="12" t="inlineStr">
        <is>
          <t>Control</t>
        </is>
      </c>
      <c r="J588" s="12" t="inlineStr">
        <is>
          <t>Control cable 600 V Type TC-ER, Cu #14 AWG, PVC jacket</t>
        </is>
      </c>
      <c r="K588" s="12" t="inlineStr">
        <is>
          <t>CT|7/C|14</t>
        </is>
      </c>
      <c r="L588" s="12" t="inlineStr">
        <is>
          <t>7/C</t>
        </is>
      </c>
      <c r="M588" s="12" t="inlineStr">
        <is>
          <t>14</t>
        </is>
      </c>
      <c r="N588" s="12" t="n">
        <v>1</v>
      </c>
      <c r="O588" s="12" t="n">
        <v>1</v>
      </c>
      <c r="P588" s="12" t="n"/>
      <c r="Q588" s="12" t="n"/>
      <c r="R588" s="12" t="n"/>
      <c r="S588" s="12" t="inlineStr">
        <is>
          <t>Tray</t>
        </is>
      </c>
      <c r="T588" s="16" t="n">
        <v>0</v>
      </c>
      <c r="U588" s="16" t="n">
        <v>97</v>
      </c>
      <c r="V588" s="16">
        <f>ROUNDUP((T588+U588+2*'Read Me'!$B$13)*(1+'Read Me'!$B$12),-1)</f>
        <v/>
      </c>
      <c r="W588" s="16">
        <f>V588*N588*O588</f>
        <v/>
      </c>
      <c r="X588" s="12">
        <f>IF(LEFT(I588,2)="MV",2*N588*IF(L588="1/C",O588,1),0)</f>
        <v/>
      </c>
      <c r="Y588" s="12">
        <f>IF(OR(LEFT(K588,4)="LVAX",LEFT(K588,6)="MV15AX",LEFT(K588,4)="CTAX",LEFT(K588,2)="W|"),2*N588*O588,0)</f>
        <v/>
      </c>
      <c r="Z588" s="12" t="inlineStr"/>
      <c r="AA588" s="12">
        <f>N588*O588</f>
        <v/>
      </c>
    </row>
    <row r="589">
      <c r="A589" s="12" t="inlineStr">
        <is>
          <t>A-C-0577</t>
        </is>
      </c>
      <c r="B589" s="12" t="inlineStr">
        <is>
          <t>A</t>
        </is>
      </c>
      <c r="C589" s="12" t="inlineStr">
        <is>
          <t>Power block</t>
        </is>
      </c>
      <c r="D589" s="12" t="inlineStr">
        <is>
          <t>Motor 3 of 6: control / local station</t>
        </is>
      </c>
      <c r="E589" s="12" t="inlineStr">
        <is>
          <t>R2C</t>
        </is>
      </c>
      <c r="F589" s="12" t="inlineStr">
        <is>
          <t>R2C: unit / HRSG electrical e-house (32 x 40 ft)</t>
        </is>
      </c>
      <c r="G589" s="12" t="inlineStr"/>
      <c r="H589" s="12" t="inlineStr">
        <is>
          <t>T-R2C: 13.8/0.48 kV</t>
        </is>
      </c>
      <c r="I589" s="12" t="inlineStr">
        <is>
          <t>Control</t>
        </is>
      </c>
      <c r="J589" s="12" t="inlineStr">
        <is>
          <t>Control cable 600 V Type TC-ER, Cu #14 AWG, PVC jacket</t>
        </is>
      </c>
      <c r="K589" s="12" t="inlineStr">
        <is>
          <t>CT|7/C|14</t>
        </is>
      </c>
      <c r="L589" s="12" t="inlineStr">
        <is>
          <t>7/C</t>
        </is>
      </c>
      <c r="M589" s="12" t="inlineStr">
        <is>
          <t>14</t>
        </is>
      </c>
      <c r="N589" s="12" t="n">
        <v>1</v>
      </c>
      <c r="O589" s="12" t="n">
        <v>1</v>
      </c>
      <c r="P589" s="12" t="n"/>
      <c r="Q589" s="12" t="n"/>
      <c r="R589" s="12" t="n"/>
      <c r="S589" s="12" t="inlineStr">
        <is>
          <t>Tray</t>
        </is>
      </c>
      <c r="T589" s="16" t="n">
        <v>0</v>
      </c>
      <c r="U589" s="16" t="n">
        <v>97</v>
      </c>
      <c r="V589" s="16">
        <f>ROUNDUP((T589+U589+2*'Read Me'!$B$13)*(1+'Read Me'!$B$12),-1)</f>
        <v/>
      </c>
      <c r="W589" s="16">
        <f>V589*N589*O589</f>
        <v/>
      </c>
      <c r="X589" s="12">
        <f>IF(LEFT(I589,2)="MV",2*N589*IF(L589="1/C",O589,1),0)</f>
        <v/>
      </c>
      <c r="Y589" s="12">
        <f>IF(OR(LEFT(K589,4)="LVAX",LEFT(K589,6)="MV15AX",LEFT(K589,4)="CTAX",LEFT(K589,2)="W|"),2*N589*O589,0)</f>
        <v/>
      </c>
      <c r="Z589" s="12" t="inlineStr"/>
      <c r="AA589" s="12">
        <f>N589*O589</f>
        <v/>
      </c>
    </row>
    <row r="590">
      <c r="A590" s="12" t="inlineStr">
        <is>
          <t>A-C-0578</t>
        </is>
      </c>
      <c r="B590" s="12" t="inlineStr">
        <is>
          <t>A</t>
        </is>
      </c>
      <c r="C590" s="12" t="inlineStr">
        <is>
          <t>Power block</t>
        </is>
      </c>
      <c r="D590" s="12" t="inlineStr">
        <is>
          <t>Motor 4 of 6: control / local station</t>
        </is>
      </c>
      <c r="E590" s="12" t="inlineStr">
        <is>
          <t>R2C</t>
        </is>
      </c>
      <c r="F590" s="12" t="inlineStr">
        <is>
          <t>R2C: unit / HRSG electrical e-house (32 x 40 ft)</t>
        </is>
      </c>
      <c r="G590" s="12" t="inlineStr"/>
      <c r="H590" s="12" t="inlineStr">
        <is>
          <t>T-R2C: 13.8/0.48 kV</t>
        </is>
      </c>
      <c r="I590" s="12" t="inlineStr">
        <is>
          <t>Control</t>
        </is>
      </c>
      <c r="J590" s="12" t="inlineStr">
        <is>
          <t>Control cable 600 V Type TC-ER, Cu #14 AWG, PVC jacket</t>
        </is>
      </c>
      <c r="K590" s="12" t="inlineStr">
        <is>
          <t>CT|7/C|14</t>
        </is>
      </c>
      <c r="L590" s="12" t="inlineStr">
        <is>
          <t>7/C</t>
        </is>
      </c>
      <c r="M590" s="12" t="inlineStr">
        <is>
          <t>14</t>
        </is>
      </c>
      <c r="N590" s="12" t="n">
        <v>1</v>
      </c>
      <c r="O590" s="12" t="n">
        <v>1</v>
      </c>
      <c r="P590" s="12" t="n"/>
      <c r="Q590" s="12" t="n"/>
      <c r="R590" s="12" t="n"/>
      <c r="S590" s="12" t="inlineStr">
        <is>
          <t>Tray</t>
        </is>
      </c>
      <c r="T590" s="16" t="n">
        <v>0</v>
      </c>
      <c r="U590" s="16" t="n">
        <v>97</v>
      </c>
      <c r="V590" s="16">
        <f>ROUNDUP((T590+U590+2*'Read Me'!$B$13)*(1+'Read Me'!$B$12),-1)</f>
        <v/>
      </c>
      <c r="W590" s="16">
        <f>V590*N590*O590</f>
        <v/>
      </c>
      <c r="X590" s="12">
        <f>IF(LEFT(I590,2)="MV",2*N590*IF(L590="1/C",O590,1),0)</f>
        <v/>
      </c>
      <c r="Y590" s="12">
        <f>IF(OR(LEFT(K590,4)="LVAX",LEFT(K590,6)="MV15AX",LEFT(K590,4)="CTAX",LEFT(K590,2)="W|"),2*N590*O590,0)</f>
        <v/>
      </c>
      <c r="Z590" s="12" t="inlineStr"/>
      <c r="AA590" s="12">
        <f>N590*O590</f>
        <v/>
      </c>
    </row>
    <row r="591">
      <c r="A591" s="12" t="inlineStr">
        <is>
          <t>A-C-0579</t>
        </is>
      </c>
      <c r="B591" s="12" t="inlineStr">
        <is>
          <t>A</t>
        </is>
      </c>
      <c r="C591" s="12" t="inlineStr">
        <is>
          <t>Power block</t>
        </is>
      </c>
      <c r="D591" s="12" t="inlineStr">
        <is>
          <t>Motor 5 of 6: control / local station</t>
        </is>
      </c>
      <c r="E591" s="12" t="inlineStr">
        <is>
          <t>R2C</t>
        </is>
      </c>
      <c r="F591" s="12" t="inlineStr">
        <is>
          <t>R2C: unit / HRSG electrical e-house (32 x 40 ft)</t>
        </is>
      </c>
      <c r="G591" s="12" t="inlineStr"/>
      <c r="H591" s="12" t="inlineStr">
        <is>
          <t>T-R2C: 13.8/0.48 kV</t>
        </is>
      </c>
      <c r="I591" s="12" t="inlineStr">
        <is>
          <t>Control</t>
        </is>
      </c>
      <c r="J591" s="12" t="inlineStr">
        <is>
          <t>Control cable 600 V Type TC-ER, Cu #14 AWG, PVC jacket</t>
        </is>
      </c>
      <c r="K591" s="12" t="inlineStr">
        <is>
          <t>CT|7/C|14</t>
        </is>
      </c>
      <c r="L591" s="12" t="inlineStr">
        <is>
          <t>7/C</t>
        </is>
      </c>
      <c r="M591" s="12" t="inlineStr">
        <is>
          <t>14</t>
        </is>
      </c>
      <c r="N591" s="12" t="n">
        <v>1</v>
      </c>
      <c r="O591" s="12" t="n">
        <v>1</v>
      </c>
      <c r="P591" s="12" t="n"/>
      <c r="Q591" s="12" t="n"/>
      <c r="R591" s="12" t="n"/>
      <c r="S591" s="12" t="inlineStr">
        <is>
          <t>Tray</t>
        </is>
      </c>
      <c r="T591" s="16" t="n">
        <v>0</v>
      </c>
      <c r="U591" s="16" t="n">
        <v>97</v>
      </c>
      <c r="V591" s="16">
        <f>ROUNDUP((T591+U591+2*'Read Me'!$B$13)*(1+'Read Me'!$B$12),-1)</f>
        <v/>
      </c>
      <c r="W591" s="16">
        <f>V591*N591*O591</f>
        <v/>
      </c>
      <c r="X591" s="12">
        <f>IF(LEFT(I591,2)="MV",2*N591*IF(L591="1/C",O591,1),0)</f>
        <v/>
      </c>
      <c r="Y591" s="12">
        <f>IF(OR(LEFT(K591,4)="LVAX",LEFT(K591,6)="MV15AX",LEFT(K591,4)="CTAX",LEFT(K591,2)="W|"),2*N591*O591,0)</f>
        <v/>
      </c>
      <c r="Z591" s="12" t="inlineStr"/>
      <c r="AA591" s="12">
        <f>N591*O591</f>
        <v/>
      </c>
    </row>
    <row r="592">
      <c r="A592" s="12" t="inlineStr">
        <is>
          <t>A-C-0580</t>
        </is>
      </c>
      <c r="B592" s="12" t="inlineStr">
        <is>
          <t>A</t>
        </is>
      </c>
      <c r="C592" s="12" t="inlineStr">
        <is>
          <t>Power block</t>
        </is>
      </c>
      <c r="D592" s="12" t="inlineStr">
        <is>
          <t>Motor 6 of 6: control / local station</t>
        </is>
      </c>
      <c r="E592" s="12" t="inlineStr">
        <is>
          <t>R2C</t>
        </is>
      </c>
      <c r="F592" s="12" t="inlineStr">
        <is>
          <t>R2C: unit / HRSG electrical e-house (32 x 40 ft)</t>
        </is>
      </c>
      <c r="G592" s="12" t="inlineStr"/>
      <c r="H592" s="12" t="inlineStr">
        <is>
          <t>T-R2C: 13.8/0.48 kV</t>
        </is>
      </c>
      <c r="I592" s="12" t="inlineStr">
        <is>
          <t>Control</t>
        </is>
      </c>
      <c r="J592" s="12" t="inlineStr">
        <is>
          <t>Control cable 600 V Type TC-ER, Cu #14 AWG, PVC jacket</t>
        </is>
      </c>
      <c r="K592" s="12" t="inlineStr">
        <is>
          <t>CT|7/C|14</t>
        </is>
      </c>
      <c r="L592" s="12" t="inlineStr">
        <is>
          <t>7/C</t>
        </is>
      </c>
      <c r="M592" s="12" t="inlineStr">
        <is>
          <t>14</t>
        </is>
      </c>
      <c r="N592" s="12" t="n">
        <v>1</v>
      </c>
      <c r="O592" s="12" t="n">
        <v>1</v>
      </c>
      <c r="P592" s="12" t="n"/>
      <c r="Q592" s="12" t="n"/>
      <c r="R592" s="12" t="n"/>
      <c r="S592" s="12" t="inlineStr">
        <is>
          <t>Tray</t>
        </is>
      </c>
      <c r="T592" s="16" t="n">
        <v>0</v>
      </c>
      <c r="U592" s="16" t="n">
        <v>97</v>
      </c>
      <c r="V592" s="16">
        <f>ROUNDUP((T592+U592+2*'Read Me'!$B$13)*(1+'Read Me'!$B$12),-1)</f>
        <v/>
      </c>
      <c r="W592" s="16">
        <f>V592*N592*O592</f>
        <v/>
      </c>
      <c r="X592" s="12">
        <f>IF(LEFT(I592,2)="MV",2*N592*IF(L592="1/C",O592,1),0)</f>
        <v/>
      </c>
      <c r="Y592" s="12">
        <f>IF(OR(LEFT(K592,4)="LVAX",LEFT(K592,6)="MV15AX",LEFT(K592,4)="CTAX",LEFT(K592,2)="W|"),2*N592*O592,0)</f>
        <v/>
      </c>
      <c r="Z592" s="12" t="inlineStr"/>
      <c r="AA592" s="12">
        <f>N592*O592</f>
        <v/>
      </c>
    </row>
    <row r="593">
      <c r="A593" s="12" t="inlineStr">
        <is>
          <t>A-C-0581</t>
        </is>
      </c>
      <c r="B593" s="12" t="inlineStr">
        <is>
          <t>A</t>
        </is>
      </c>
      <c r="C593" s="12" t="inlineStr">
        <is>
          <t>Power block</t>
        </is>
      </c>
      <c r="D593" s="12" t="inlineStr">
        <is>
          <t>Motor 1 of 6: control / local station</t>
        </is>
      </c>
      <c r="E593" s="12" t="inlineStr">
        <is>
          <t>R3</t>
        </is>
      </c>
      <c r="F593" s="12" t="inlineStr">
        <is>
          <t>R3: ST auxiliary electrical e-house (40 x 65 ft)</t>
        </is>
      </c>
      <c r="G593" s="12" t="inlineStr"/>
      <c r="H593" s="12" t="inlineStr">
        <is>
          <t>T-R3: 13.8/0.48 kV</t>
        </is>
      </c>
      <c r="I593" s="12" t="inlineStr">
        <is>
          <t>Control</t>
        </is>
      </c>
      <c r="J593" s="12" t="inlineStr">
        <is>
          <t>Control cable 600 V Type TC-ER, Cu #14 AWG, PVC jacket</t>
        </is>
      </c>
      <c r="K593" s="12" t="inlineStr">
        <is>
          <t>CT|7/C|14</t>
        </is>
      </c>
      <c r="L593" s="12" t="inlineStr">
        <is>
          <t>7/C</t>
        </is>
      </c>
      <c r="M593" s="12" t="inlineStr">
        <is>
          <t>14</t>
        </is>
      </c>
      <c r="N593" s="12" t="n">
        <v>1</v>
      </c>
      <c r="O593" s="12" t="n">
        <v>1</v>
      </c>
      <c r="P593" s="12" t="n"/>
      <c r="Q593" s="12" t="n"/>
      <c r="R593" s="12" t="n"/>
      <c r="S593" s="12" t="inlineStr">
        <is>
          <t>Duct bank</t>
        </is>
      </c>
      <c r="T593" s="16" t="n">
        <v>0</v>
      </c>
      <c r="U593" s="16" t="n">
        <v>71</v>
      </c>
      <c r="V593" s="16">
        <f>ROUNDUP((T593+U593+2*'Read Me'!$B$13)*(1+'Read Me'!$B$12),-1)</f>
        <v/>
      </c>
      <c r="W593" s="16">
        <f>V593*N593*O593</f>
        <v/>
      </c>
      <c r="X593" s="12">
        <f>IF(LEFT(I593,2)="MV",2*N593*IF(L593="1/C",O593,1),0)</f>
        <v/>
      </c>
      <c r="Y593" s="12">
        <f>IF(OR(LEFT(K593,4)="LVAX",LEFT(K593,6)="MV15AX",LEFT(K593,4)="CTAX",LEFT(K593,2)="W|"),2*N593*O593,0)</f>
        <v/>
      </c>
      <c r="Z593" s="12" t="inlineStr"/>
      <c r="AA593" s="12">
        <f>N593*O593</f>
        <v/>
      </c>
    </row>
    <row r="594">
      <c r="A594" s="12" t="inlineStr">
        <is>
          <t>A-C-0582</t>
        </is>
      </c>
      <c r="B594" s="12" t="inlineStr">
        <is>
          <t>A</t>
        </is>
      </c>
      <c r="C594" s="12" t="inlineStr">
        <is>
          <t>Power block</t>
        </is>
      </c>
      <c r="D594" s="12" t="inlineStr">
        <is>
          <t>Motor 2 of 6: control / local station</t>
        </is>
      </c>
      <c r="E594" s="12" t="inlineStr">
        <is>
          <t>R3</t>
        </is>
      </c>
      <c r="F594" s="12" t="inlineStr">
        <is>
          <t>R3: ST auxiliary electrical e-house (40 x 65 ft)</t>
        </is>
      </c>
      <c r="G594" s="12" t="inlineStr"/>
      <c r="H594" s="12" t="inlineStr">
        <is>
          <t>T-R3: 13.8/0.48 kV</t>
        </is>
      </c>
      <c r="I594" s="12" t="inlineStr">
        <is>
          <t>Control</t>
        </is>
      </c>
      <c r="J594" s="12" t="inlineStr">
        <is>
          <t>Control cable 600 V Type TC-ER, Cu #14 AWG, PVC jacket</t>
        </is>
      </c>
      <c r="K594" s="12" t="inlineStr">
        <is>
          <t>CT|7/C|14</t>
        </is>
      </c>
      <c r="L594" s="12" t="inlineStr">
        <is>
          <t>7/C</t>
        </is>
      </c>
      <c r="M594" s="12" t="inlineStr">
        <is>
          <t>14</t>
        </is>
      </c>
      <c r="N594" s="12" t="n">
        <v>1</v>
      </c>
      <c r="O594" s="12" t="n">
        <v>1</v>
      </c>
      <c r="P594" s="12" t="n"/>
      <c r="Q594" s="12" t="n"/>
      <c r="R594" s="12" t="n"/>
      <c r="S594" s="12" t="inlineStr">
        <is>
          <t>Duct bank</t>
        </is>
      </c>
      <c r="T594" s="16" t="n">
        <v>0</v>
      </c>
      <c r="U594" s="16" t="n">
        <v>71</v>
      </c>
      <c r="V594" s="16">
        <f>ROUNDUP((T594+U594+2*'Read Me'!$B$13)*(1+'Read Me'!$B$12),-1)</f>
        <v/>
      </c>
      <c r="W594" s="16">
        <f>V594*N594*O594</f>
        <v/>
      </c>
      <c r="X594" s="12">
        <f>IF(LEFT(I594,2)="MV",2*N594*IF(L594="1/C",O594,1),0)</f>
        <v/>
      </c>
      <c r="Y594" s="12">
        <f>IF(OR(LEFT(K594,4)="LVAX",LEFT(K594,6)="MV15AX",LEFT(K594,4)="CTAX",LEFT(K594,2)="W|"),2*N594*O594,0)</f>
        <v/>
      </c>
      <c r="Z594" s="12" t="inlineStr"/>
      <c r="AA594" s="12">
        <f>N594*O594</f>
        <v/>
      </c>
    </row>
    <row r="595">
      <c r="A595" s="12" t="inlineStr">
        <is>
          <t>A-C-0583</t>
        </is>
      </c>
      <c r="B595" s="12" t="inlineStr">
        <is>
          <t>A</t>
        </is>
      </c>
      <c r="C595" s="12" t="inlineStr">
        <is>
          <t>Power block</t>
        </is>
      </c>
      <c r="D595" s="12" t="inlineStr">
        <is>
          <t>Motor 3 of 6: control / local station</t>
        </is>
      </c>
      <c r="E595" s="12" t="inlineStr">
        <is>
          <t>R3</t>
        </is>
      </c>
      <c r="F595" s="12" t="inlineStr">
        <is>
          <t>R3: ST auxiliary electrical e-house (40 x 65 ft)</t>
        </is>
      </c>
      <c r="G595" s="12" t="inlineStr"/>
      <c r="H595" s="12" t="inlineStr">
        <is>
          <t>T-R3: 13.8/0.48 kV</t>
        </is>
      </c>
      <c r="I595" s="12" t="inlineStr">
        <is>
          <t>Control</t>
        </is>
      </c>
      <c r="J595" s="12" t="inlineStr">
        <is>
          <t>Control cable 600 V Type TC-ER, Cu #14 AWG, PVC jacket</t>
        </is>
      </c>
      <c r="K595" s="12" t="inlineStr">
        <is>
          <t>CT|7/C|14</t>
        </is>
      </c>
      <c r="L595" s="12" t="inlineStr">
        <is>
          <t>7/C</t>
        </is>
      </c>
      <c r="M595" s="12" t="inlineStr">
        <is>
          <t>14</t>
        </is>
      </c>
      <c r="N595" s="12" t="n">
        <v>1</v>
      </c>
      <c r="O595" s="12" t="n">
        <v>1</v>
      </c>
      <c r="P595" s="12" t="n"/>
      <c r="Q595" s="12" t="n"/>
      <c r="R595" s="12" t="n"/>
      <c r="S595" s="12" t="inlineStr">
        <is>
          <t>Duct bank</t>
        </is>
      </c>
      <c r="T595" s="16" t="n">
        <v>0</v>
      </c>
      <c r="U595" s="16" t="n">
        <v>71</v>
      </c>
      <c r="V595" s="16">
        <f>ROUNDUP((T595+U595+2*'Read Me'!$B$13)*(1+'Read Me'!$B$12),-1)</f>
        <v/>
      </c>
      <c r="W595" s="16">
        <f>V595*N595*O595</f>
        <v/>
      </c>
      <c r="X595" s="12">
        <f>IF(LEFT(I595,2)="MV",2*N595*IF(L595="1/C",O595,1),0)</f>
        <v/>
      </c>
      <c r="Y595" s="12">
        <f>IF(OR(LEFT(K595,4)="LVAX",LEFT(K595,6)="MV15AX",LEFT(K595,4)="CTAX",LEFT(K595,2)="W|"),2*N595*O595,0)</f>
        <v/>
      </c>
      <c r="Z595" s="12" t="inlineStr"/>
      <c r="AA595" s="12">
        <f>N595*O595</f>
        <v/>
      </c>
    </row>
    <row r="596">
      <c r="A596" s="12" t="inlineStr">
        <is>
          <t>A-C-0584</t>
        </is>
      </c>
      <c r="B596" s="12" t="inlineStr">
        <is>
          <t>A</t>
        </is>
      </c>
      <c r="C596" s="12" t="inlineStr">
        <is>
          <t>Power block</t>
        </is>
      </c>
      <c r="D596" s="12" t="inlineStr">
        <is>
          <t>Motor 4 of 6: control / local station</t>
        </is>
      </c>
      <c r="E596" s="12" t="inlineStr">
        <is>
          <t>R3</t>
        </is>
      </c>
      <c r="F596" s="12" t="inlineStr">
        <is>
          <t>R3: ST auxiliary electrical e-house (40 x 65 ft)</t>
        </is>
      </c>
      <c r="G596" s="12" t="inlineStr"/>
      <c r="H596" s="12" t="inlineStr">
        <is>
          <t>T-R3: 13.8/0.48 kV</t>
        </is>
      </c>
      <c r="I596" s="12" t="inlineStr">
        <is>
          <t>Control</t>
        </is>
      </c>
      <c r="J596" s="12" t="inlineStr">
        <is>
          <t>Control cable 600 V Type TC-ER, Cu #14 AWG, PVC jacket</t>
        </is>
      </c>
      <c r="K596" s="12" t="inlineStr">
        <is>
          <t>CT|7/C|14</t>
        </is>
      </c>
      <c r="L596" s="12" t="inlineStr">
        <is>
          <t>7/C</t>
        </is>
      </c>
      <c r="M596" s="12" t="inlineStr">
        <is>
          <t>14</t>
        </is>
      </c>
      <c r="N596" s="12" t="n">
        <v>1</v>
      </c>
      <c r="O596" s="12" t="n">
        <v>1</v>
      </c>
      <c r="P596" s="12" t="n"/>
      <c r="Q596" s="12" t="n"/>
      <c r="R596" s="12" t="n"/>
      <c r="S596" s="12" t="inlineStr">
        <is>
          <t>Duct bank</t>
        </is>
      </c>
      <c r="T596" s="16" t="n">
        <v>0</v>
      </c>
      <c r="U596" s="16" t="n">
        <v>71</v>
      </c>
      <c r="V596" s="16">
        <f>ROUNDUP((T596+U596+2*'Read Me'!$B$13)*(1+'Read Me'!$B$12),-1)</f>
        <v/>
      </c>
      <c r="W596" s="16">
        <f>V596*N596*O596</f>
        <v/>
      </c>
      <c r="X596" s="12">
        <f>IF(LEFT(I596,2)="MV",2*N596*IF(L596="1/C",O596,1),0)</f>
        <v/>
      </c>
      <c r="Y596" s="12">
        <f>IF(OR(LEFT(K596,4)="LVAX",LEFT(K596,6)="MV15AX",LEFT(K596,4)="CTAX",LEFT(K596,2)="W|"),2*N596*O596,0)</f>
        <v/>
      </c>
      <c r="Z596" s="12" t="inlineStr"/>
      <c r="AA596" s="12">
        <f>N596*O596</f>
        <v/>
      </c>
    </row>
    <row r="597">
      <c r="A597" s="12" t="inlineStr">
        <is>
          <t>A-C-0585</t>
        </is>
      </c>
      <c r="B597" s="12" t="inlineStr">
        <is>
          <t>A</t>
        </is>
      </c>
      <c r="C597" s="12" t="inlineStr">
        <is>
          <t>Power block</t>
        </is>
      </c>
      <c r="D597" s="12" t="inlineStr">
        <is>
          <t>Motor 5 of 6: control / local station</t>
        </is>
      </c>
      <c r="E597" s="12" t="inlineStr">
        <is>
          <t>R3</t>
        </is>
      </c>
      <c r="F597" s="12" t="inlineStr">
        <is>
          <t>R3: ST auxiliary electrical e-house (40 x 65 ft)</t>
        </is>
      </c>
      <c r="G597" s="12" t="inlineStr"/>
      <c r="H597" s="12" t="inlineStr">
        <is>
          <t>T-R3: 13.8/0.48 kV</t>
        </is>
      </c>
      <c r="I597" s="12" t="inlineStr">
        <is>
          <t>Control</t>
        </is>
      </c>
      <c r="J597" s="12" t="inlineStr">
        <is>
          <t>Control cable 600 V Type TC-ER, Cu #14 AWG, PVC jacket</t>
        </is>
      </c>
      <c r="K597" s="12" t="inlineStr">
        <is>
          <t>CT|7/C|14</t>
        </is>
      </c>
      <c r="L597" s="12" t="inlineStr">
        <is>
          <t>7/C</t>
        </is>
      </c>
      <c r="M597" s="12" t="inlineStr">
        <is>
          <t>14</t>
        </is>
      </c>
      <c r="N597" s="12" t="n">
        <v>1</v>
      </c>
      <c r="O597" s="12" t="n">
        <v>1</v>
      </c>
      <c r="P597" s="12" t="n"/>
      <c r="Q597" s="12" t="n"/>
      <c r="R597" s="12" t="n"/>
      <c r="S597" s="12" t="inlineStr">
        <is>
          <t>Duct bank</t>
        </is>
      </c>
      <c r="T597" s="16" t="n">
        <v>0</v>
      </c>
      <c r="U597" s="16" t="n">
        <v>71</v>
      </c>
      <c r="V597" s="16">
        <f>ROUNDUP((T597+U597+2*'Read Me'!$B$13)*(1+'Read Me'!$B$12),-1)</f>
        <v/>
      </c>
      <c r="W597" s="16">
        <f>V597*N597*O597</f>
        <v/>
      </c>
      <c r="X597" s="12">
        <f>IF(LEFT(I597,2)="MV",2*N597*IF(L597="1/C",O597,1),0)</f>
        <v/>
      </c>
      <c r="Y597" s="12">
        <f>IF(OR(LEFT(K597,4)="LVAX",LEFT(K597,6)="MV15AX",LEFT(K597,4)="CTAX",LEFT(K597,2)="W|"),2*N597*O597,0)</f>
        <v/>
      </c>
      <c r="Z597" s="12" t="inlineStr"/>
      <c r="AA597" s="12">
        <f>N597*O597</f>
        <v/>
      </c>
    </row>
    <row r="598">
      <c r="A598" s="12" t="inlineStr">
        <is>
          <t>A-C-0586</t>
        </is>
      </c>
      <c r="B598" s="12" t="inlineStr">
        <is>
          <t>A</t>
        </is>
      </c>
      <c r="C598" s="12" t="inlineStr">
        <is>
          <t>Power block</t>
        </is>
      </c>
      <c r="D598" s="12" t="inlineStr">
        <is>
          <t>Motor 6 of 6: control / local station</t>
        </is>
      </c>
      <c r="E598" s="12" t="inlineStr">
        <is>
          <t>R3</t>
        </is>
      </c>
      <c r="F598" s="12" t="inlineStr">
        <is>
          <t>R3: ST auxiliary electrical e-house (40 x 65 ft)</t>
        </is>
      </c>
      <c r="G598" s="12" t="inlineStr"/>
      <c r="H598" s="12" t="inlineStr">
        <is>
          <t>T-R3: 13.8/0.48 kV</t>
        </is>
      </c>
      <c r="I598" s="12" t="inlineStr">
        <is>
          <t>Control</t>
        </is>
      </c>
      <c r="J598" s="12" t="inlineStr">
        <is>
          <t>Control cable 600 V Type TC-ER, Cu #14 AWG, PVC jacket</t>
        </is>
      </c>
      <c r="K598" s="12" t="inlineStr">
        <is>
          <t>CT|7/C|14</t>
        </is>
      </c>
      <c r="L598" s="12" t="inlineStr">
        <is>
          <t>7/C</t>
        </is>
      </c>
      <c r="M598" s="12" t="inlineStr">
        <is>
          <t>14</t>
        </is>
      </c>
      <c r="N598" s="12" t="n">
        <v>1</v>
      </c>
      <c r="O598" s="12" t="n">
        <v>1</v>
      </c>
      <c r="P598" s="12" t="n"/>
      <c r="Q598" s="12" t="n"/>
      <c r="R598" s="12" t="n"/>
      <c r="S598" s="12" t="inlineStr">
        <is>
          <t>Duct bank</t>
        </is>
      </c>
      <c r="T598" s="16" t="n">
        <v>0</v>
      </c>
      <c r="U598" s="16" t="n">
        <v>71</v>
      </c>
      <c r="V598" s="16">
        <f>ROUNDUP((T598+U598+2*'Read Me'!$B$13)*(1+'Read Me'!$B$12),-1)</f>
        <v/>
      </c>
      <c r="W598" s="16">
        <f>V598*N598*O598</f>
        <v/>
      </c>
      <c r="X598" s="12">
        <f>IF(LEFT(I598,2)="MV",2*N598*IF(L598="1/C",O598,1),0)</f>
        <v/>
      </c>
      <c r="Y598" s="12">
        <f>IF(OR(LEFT(K598,4)="LVAX",LEFT(K598,6)="MV15AX",LEFT(K598,4)="CTAX",LEFT(K598,2)="W|"),2*N598*O598,0)</f>
        <v/>
      </c>
      <c r="Z598" s="12" t="inlineStr"/>
      <c r="AA598" s="12">
        <f>N598*O598</f>
        <v/>
      </c>
    </row>
    <row r="599">
      <c r="A599" s="12" t="inlineStr">
        <is>
          <t>A-C-0587</t>
        </is>
      </c>
      <c r="B599" s="12" t="inlineStr">
        <is>
          <t>A</t>
        </is>
      </c>
      <c r="C599" s="12" t="inlineStr">
        <is>
          <t>Power block</t>
        </is>
      </c>
      <c r="D599" s="12" t="inlineStr">
        <is>
          <t>Motor 1 of 6: control / local station</t>
        </is>
      </c>
      <c r="E599" s="12" t="inlineStr">
        <is>
          <t>LC-480-B</t>
        </is>
      </c>
      <c r="F599" s="12" t="inlineStr">
        <is>
          <t>R1 LC-480-B (480 V switchgear)</t>
        </is>
      </c>
      <c r="G599" s="12" t="inlineStr">
        <is>
          <t>T4-A</t>
        </is>
      </c>
      <c r="H599" s="12" t="inlineStr">
        <is>
          <t>T4-A: 13.8/4.16 kV station transformer</t>
        </is>
      </c>
      <c r="I599" s="12" t="inlineStr">
        <is>
          <t>Control</t>
        </is>
      </c>
      <c r="J599" s="12" t="inlineStr">
        <is>
          <t>Control cable 600 V Type TC-ER, Cu #14 AWG, PVC jacket</t>
        </is>
      </c>
      <c r="K599" s="12" t="inlineStr">
        <is>
          <t>CT|7/C|14</t>
        </is>
      </c>
      <c r="L599" s="12" t="inlineStr">
        <is>
          <t>7/C</t>
        </is>
      </c>
      <c r="M599" s="12" t="inlineStr">
        <is>
          <t>14</t>
        </is>
      </c>
      <c r="N599" s="12" t="n">
        <v>1</v>
      </c>
      <c r="O599" s="12" t="n">
        <v>1</v>
      </c>
      <c r="P599" s="12" t="n"/>
      <c r="Q599" s="12" t="n"/>
      <c r="R599" s="12" t="n"/>
      <c r="S599" s="12" t="inlineStr">
        <is>
          <t>Duct bank</t>
        </is>
      </c>
      <c r="T599" s="16" t="n">
        <v>63</v>
      </c>
      <c r="U599" s="16" t="n">
        <v>41</v>
      </c>
      <c r="V599" s="16">
        <f>ROUNDUP((T599+U599+2*'Read Me'!$B$13)*(1+'Read Me'!$B$12),-1)</f>
        <v/>
      </c>
      <c r="W599" s="16">
        <f>V599*N599*O599</f>
        <v/>
      </c>
      <c r="X599" s="12">
        <f>IF(LEFT(I599,2)="MV",2*N599*IF(L599="1/C",O599,1),0)</f>
        <v/>
      </c>
      <c r="Y599" s="12">
        <f>IF(OR(LEFT(K599,4)="LVAX",LEFT(K599,6)="MV15AX",LEFT(K599,4)="CTAX",LEFT(K599,2)="W|"),2*N599*O599,0)</f>
        <v/>
      </c>
      <c r="Z599" s="12" t="inlineStr"/>
      <c r="AA599" s="12">
        <f>N599*O599</f>
        <v/>
      </c>
    </row>
    <row r="600">
      <c r="A600" s="12" t="inlineStr">
        <is>
          <t>A-C-0588</t>
        </is>
      </c>
      <c r="B600" s="12" t="inlineStr">
        <is>
          <t>A</t>
        </is>
      </c>
      <c r="C600" s="12" t="inlineStr">
        <is>
          <t>Power block</t>
        </is>
      </c>
      <c r="D600" s="12" t="inlineStr">
        <is>
          <t>Motor 2 of 6: control / local station</t>
        </is>
      </c>
      <c r="E600" s="12" t="inlineStr">
        <is>
          <t>LC-480-B</t>
        </is>
      </c>
      <c r="F600" s="12" t="inlineStr">
        <is>
          <t>R1 LC-480-B (480 V switchgear)</t>
        </is>
      </c>
      <c r="G600" s="12" t="inlineStr">
        <is>
          <t>T4-A</t>
        </is>
      </c>
      <c r="H600" s="12" t="inlineStr">
        <is>
          <t>T4-A: 13.8/4.16 kV station transformer</t>
        </is>
      </c>
      <c r="I600" s="12" t="inlineStr">
        <is>
          <t>Control</t>
        </is>
      </c>
      <c r="J600" s="12" t="inlineStr">
        <is>
          <t>Control cable 600 V Type TC-ER, Cu #14 AWG, PVC jacket</t>
        </is>
      </c>
      <c r="K600" s="12" t="inlineStr">
        <is>
          <t>CT|7/C|14</t>
        </is>
      </c>
      <c r="L600" s="12" t="inlineStr">
        <is>
          <t>7/C</t>
        </is>
      </c>
      <c r="M600" s="12" t="inlineStr">
        <is>
          <t>14</t>
        </is>
      </c>
      <c r="N600" s="12" t="n">
        <v>1</v>
      </c>
      <c r="O600" s="12" t="n">
        <v>1</v>
      </c>
      <c r="P600" s="12" t="n"/>
      <c r="Q600" s="12" t="n"/>
      <c r="R600" s="12" t="n"/>
      <c r="S600" s="12" t="inlineStr">
        <is>
          <t>Duct bank</t>
        </is>
      </c>
      <c r="T600" s="16" t="n">
        <v>63</v>
      </c>
      <c r="U600" s="16" t="n">
        <v>41</v>
      </c>
      <c r="V600" s="16">
        <f>ROUNDUP((T600+U600+2*'Read Me'!$B$13)*(1+'Read Me'!$B$12),-1)</f>
        <v/>
      </c>
      <c r="W600" s="16">
        <f>V600*N600*O600</f>
        <v/>
      </c>
      <c r="X600" s="12">
        <f>IF(LEFT(I600,2)="MV",2*N600*IF(L600="1/C",O600,1),0)</f>
        <v/>
      </c>
      <c r="Y600" s="12">
        <f>IF(OR(LEFT(K600,4)="LVAX",LEFT(K600,6)="MV15AX",LEFT(K600,4)="CTAX",LEFT(K600,2)="W|"),2*N600*O600,0)</f>
        <v/>
      </c>
      <c r="Z600" s="12" t="inlineStr"/>
      <c r="AA600" s="12">
        <f>N600*O600</f>
        <v/>
      </c>
    </row>
    <row r="601">
      <c r="A601" s="12" t="inlineStr">
        <is>
          <t>A-C-0589</t>
        </is>
      </c>
      <c r="B601" s="12" t="inlineStr">
        <is>
          <t>A</t>
        </is>
      </c>
      <c r="C601" s="12" t="inlineStr">
        <is>
          <t>Power block</t>
        </is>
      </c>
      <c r="D601" s="12" t="inlineStr">
        <is>
          <t>Motor 3 of 6: control / local station</t>
        </is>
      </c>
      <c r="E601" s="12" t="inlineStr">
        <is>
          <t>LC-480-B</t>
        </is>
      </c>
      <c r="F601" s="12" t="inlineStr">
        <is>
          <t>R1 LC-480-B (480 V switchgear)</t>
        </is>
      </c>
      <c r="G601" s="12" t="inlineStr">
        <is>
          <t>T4-A</t>
        </is>
      </c>
      <c r="H601" s="12" t="inlineStr">
        <is>
          <t>T4-A: 13.8/4.16 kV station transformer</t>
        </is>
      </c>
      <c r="I601" s="12" t="inlineStr">
        <is>
          <t>Control</t>
        </is>
      </c>
      <c r="J601" s="12" t="inlineStr">
        <is>
          <t>Control cable 600 V Type TC-ER, Cu #14 AWG, PVC jacket</t>
        </is>
      </c>
      <c r="K601" s="12" t="inlineStr">
        <is>
          <t>CT|7/C|14</t>
        </is>
      </c>
      <c r="L601" s="12" t="inlineStr">
        <is>
          <t>7/C</t>
        </is>
      </c>
      <c r="M601" s="12" t="inlineStr">
        <is>
          <t>14</t>
        </is>
      </c>
      <c r="N601" s="12" t="n">
        <v>1</v>
      </c>
      <c r="O601" s="12" t="n">
        <v>1</v>
      </c>
      <c r="P601" s="12" t="n"/>
      <c r="Q601" s="12" t="n"/>
      <c r="R601" s="12" t="n"/>
      <c r="S601" s="12" t="inlineStr">
        <is>
          <t>Duct bank</t>
        </is>
      </c>
      <c r="T601" s="16" t="n">
        <v>63</v>
      </c>
      <c r="U601" s="16" t="n">
        <v>41</v>
      </c>
      <c r="V601" s="16">
        <f>ROUNDUP((T601+U601+2*'Read Me'!$B$13)*(1+'Read Me'!$B$12),-1)</f>
        <v/>
      </c>
      <c r="W601" s="16">
        <f>V601*N601*O601</f>
        <v/>
      </c>
      <c r="X601" s="12">
        <f>IF(LEFT(I601,2)="MV",2*N601*IF(L601="1/C",O601,1),0)</f>
        <v/>
      </c>
      <c r="Y601" s="12">
        <f>IF(OR(LEFT(K601,4)="LVAX",LEFT(K601,6)="MV15AX",LEFT(K601,4)="CTAX",LEFT(K601,2)="W|"),2*N601*O601,0)</f>
        <v/>
      </c>
      <c r="Z601" s="12" t="inlineStr"/>
      <c r="AA601" s="12">
        <f>N601*O601</f>
        <v/>
      </c>
    </row>
    <row r="602">
      <c r="A602" s="12" t="inlineStr">
        <is>
          <t>A-C-0590</t>
        </is>
      </c>
      <c r="B602" s="12" t="inlineStr">
        <is>
          <t>A</t>
        </is>
      </c>
      <c r="C602" s="12" t="inlineStr">
        <is>
          <t>Power block</t>
        </is>
      </c>
      <c r="D602" s="12" t="inlineStr">
        <is>
          <t>Motor 4 of 6: control / local station</t>
        </is>
      </c>
      <c r="E602" s="12" t="inlineStr">
        <is>
          <t>LC-480-B</t>
        </is>
      </c>
      <c r="F602" s="12" t="inlineStr">
        <is>
          <t>R1 LC-480-B (480 V switchgear)</t>
        </is>
      </c>
      <c r="G602" s="12" t="inlineStr">
        <is>
          <t>T4-A</t>
        </is>
      </c>
      <c r="H602" s="12" t="inlineStr">
        <is>
          <t>T4-A: 13.8/4.16 kV station transformer</t>
        </is>
      </c>
      <c r="I602" s="12" t="inlineStr">
        <is>
          <t>Control</t>
        </is>
      </c>
      <c r="J602" s="12" t="inlineStr">
        <is>
          <t>Control cable 600 V Type TC-ER, Cu #14 AWG, PVC jacket</t>
        </is>
      </c>
      <c r="K602" s="12" t="inlineStr">
        <is>
          <t>CT|7/C|14</t>
        </is>
      </c>
      <c r="L602" s="12" t="inlineStr">
        <is>
          <t>7/C</t>
        </is>
      </c>
      <c r="M602" s="12" t="inlineStr">
        <is>
          <t>14</t>
        </is>
      </c>
      <c r="N602" s="12" t="n">
        <v>1</v>
      </c>
      <c r="O602" s="12" t="n">
        <v>1</v>
      </c>
      <c r="P602" s="12" t="n"/>
      <c r="Q602" s="12" t="n"/>
      <c r="R602" s="12" t="n"/>
      <c r="S602" s="12" t="inlineStr">
        <is>
          <t>Duct bank</t>
        </is>
      </c>
      <c r="T602" s="16" t="n">
        <v>63</v>
      </c>
      <c r="U602" s="16" t="n">
        <v>41</v>
      </c>
      <c r="V602" s="16">
        <f>ROUNDUP((T602+U602+2*'Read Me'!$B$13)*(1+'Read Me'!$B$12),-1)</f>
        <v/>
      </c>
      <c r="W602" s="16">
        <f>V602*N602*O602</f>
        <v/>
      </c>
      <c r="X602" s="12">
        <f>IF(LEFT(I602,2)="MV",2*N602*IF(L602="1/C",O602,1),0)</f>
        <v/>
      </c>
      <c r="Y602" s="12">
        <f>IF(OR(LEFT(K602,4)="LVAX",LEFT(K602,6)="MV15AX",LEFT(K602,4)="CTAX",LEFT(K602,2)="W|"),2*N602*O602,0)</f>
        <v/>
      </c>
      <c r="Z602" s="12" t="inlineStr"/>
      <c r="AA602" s="12">
        <f>N602*O602</f>
        <v/>
      </c>
    </row>
    <row r="603">
      <c r="A603" s="12" t="inlineStr">
        <is>
          <t>A-C-0591</t>
        </is>
      </c>
      <c r="B603" s="12" t="inlineStr">
        <is>
          <t>A</t>
        </is>
      </c>
      <c r="C603" s="12" t="inlineStr">
        <is>
          <t>Power block</t>
        </is>
      </c>
      <c r="D603" s="12" t="inlineStr">
        <is>
          <t>Motor 5 of 6: control / local station</t>
        </is>
      </c>
      <c r="E603" s="12" t="inlineStr">
        <is>
          <t>LC-480-B</t>
        </is>
      </c>
      <c r="F603" s="12" t="inlineStr">
        <is>
          <t>R1 LC-480-B (480 V switchgear)</t>
        </is>
      </c>
      <c r="G603" s="12" t="inlineStr">
        <is>
          <t>T4-A</t>
        </is>
      </c>
      <c r="H603" s="12" t="inlineStr">
        <is>
          <t>T4-A: 13.8/4.16 kV station transformer</t>
        </is>
      </c>
      <c r="I603" s="12" t="inlineStr">
        <is>
          <t>Control</t>
        </is>
      </c>
      <c r="J603" s="12" t="inlineStr">
        <is>
          <t>Control cable 600 V Type TC-ER, Cu #14 AWG, PVC jacket</t>
        </is>
      </c>
      <c r="K603" s="12" t="inlineStr">
        <is>
          <t>CT|7/C|14</t>
        </is>
      </c>
      <c r="L603" s="12" t="inlineStr">
        <is>
          <t>7/C</t>
        </is>
      </c>
      <c r="M603" s="12" t="inlineStr">
        <is>
          <t>14</t>
        </is>
      </c>
      <c r="N603" s="12" t="n">
        <v>1</v>
      </c>
      <c r="O603" s="12" t="n">
        <v>1</v>
      </c>
      <c r="P603" s="12" t="n"/>
      <c r="Q603" s="12" t="n"/>
      <c r="R603" s="12" t="n"/>
      <c r="S603" s="12" t="inlineStr">
        <is>
          <t>Duct bank</t>
        </is>
      </c>
      <c r="T603" s="16" t="n">
        <v>63</v>
      </c>
      <c r="U603" s="16" t="n">
        <v>41</v>
      </c>
      <c r="V603" s="16">
        <f>ROUNDUP((T603+U603+2*'Read Me'!$B$13)*(1+'Read Me'!$B$12),-1)</f>
        <v/>
      </c>
      <c r="W603" s="16">
        <f>V603*N603*O603</f>
        <v/>
      </c>
      <c r="X603" s="12">
        <f>IF(LEFT(I603,2)="MV",2*N603*IF(L603="1/C",O603,1),0)</f>
        <v/>
      </c>
      <c r="Y603" s="12">
        <f>IF(OR(LEFT(K603,4)="LVAX",LEFT(K603,6)="MV15AX",LEFT(K603,4)="CTAX",LEFT(K603,2)="W|"),2*N603*O603,0)</f>
        <v/>
      </c>
      <c r="Z603" s="12" t="inlineStr"/>
      <c r="AA603" s="12">
        <f>N603*O603</f>
        <v/>
      </c>
    </row>
    <row r="604">
      <c r="A604" s="12" t="inlineStr">
        <is>
          <t>A-C-0592</t>
        </is>
      </c>
      <c r="B604" s="12" t="inlineStr">
        <is>
          <t>A</t>
        </is>
      </c>
      <c r="C604" s="12" t="inlineStr">
        <is>
          <t>Power block</t>
        </is>
      </c>
      <c r="D604" s="12" t="inlineStr">
        <is>
          <t>Motor 6 of 6: control / local station</t>
        </is>
      </c>
      <c r="E604" s="12" t="inlineStr">
        <is>
          <t>LC-480-B</t>
        </is>
      </c>
      <c r="F604" s="12" t="inlineStr">
        <is>
          <t>R1 LC-480-B (480 V switchgear)</t>
        </is>
      </c>
      <c r="G604" s="12" t="inlineStr">
        <is>
          <t>T4-A</t>
        </is>
      </c>
      <c r="H604" s="12" t="inlineStr">
        <is>
          <t>T4-A: 13.8/4.16 kV station transformer</t>
        </is>
      </c>
      <c r="I604" s="12" t="inlineStr">
        <is>
          <t>Control</t>
        </is>
      </c>
      <c r="J604" s="12" t="inlineStr">
        <is>
          <t>Control cable 600 V Type TC-ER, Cu #14 AWG, PVC jacket</t>
        </is>
      </c>
      <c r="K604" s="12" t="inlineStr">
        <is>
          <t>CT|7/C|14</t>
        </is>
      </c>
      <c r="L604" s="12" t="inlineStr">
        <is>
          <t>7/C</t>
        </is>
      </c>
      <c r="M604" s="12" t="inlineStr">
        <is>
          <t>14</t>
        </is>
      </c>
      <c r="N604" s="12" t="n">
        <v>1</v>
      </c>
      <c r="O604" s="12" t="n">
        <v>1</v>
      </c>
      <c r="P604" s="12" t="n"/>
      <c r="Q604" s="12" t="n"/>
      <c r="R604" s="12" t="n"/>
      <c r="S604" s="12" t="inlineStr">
        <is>
          <t>Duct bank</t>
        </is>
      </c>
      <c r="T604" s="16" t="n">
        <v>63</v>
      </c>
      <c r="U604" s="16" t="n">
        <v>41</v>
      </c>
      <c r="V604" s="16">
        <f>ROUNDUP((T604+U604+2*'Read Me'!$B$13)*(1+'Read Me'!$B$12),-1)</f>
        <v/>
      </c>
      <c r="W604" s="16">
        <f>V604*N604*O604</f>
        <v/>
      </c>
      <c r="X604" s="12">
        <f>IF(LEFT(I604,2)="MV",2*N604*IF(L604="1/C",O604,1),0)</f>
        <v/>
      </c>
      <c r="Y604" s="12">
        <f>IF(OR(LEFT(K604,4)="LVAX",LEFT(K604,6)="MV15AX",LEFT(K604,4)="CTAX",LEFT(K604,2)="W|"),2*N604*O604,0)</f>
        <v/>
      </c>
      <c r="Z604" s="12" t="inlineStr"/>
      <c r="AA604" s="12">
        <f>N604*O604</f>
        <v/>
      </c>
    </row>
    <row r="605">
      <c r="A605" s="12" t="inlineStr">
        <is>
          <t>A-C-0593</t>
        </is>
      </c>
      <c r="B605" s="12" t="inlineStr">
        <is>
          <t>A</t>
        </is>
      </c>
      <c r="C605" s="12" t="inlineStr">
        <is>
          <t>Power block</t>
        </is>
      </c>
      <c r="D605" s="12" t="inlineStr">
        <is>
          <t>Control</t>
        </is>
      </c>
      <c r="E605" s="12" t="inlineStr">
        <is>
          <t>R1</t>
        </is>
      </c>
      <c r="F605" s="12" t="inlineStr">
        <is>
          <t>R1: main electrical building (64 x 180 ft)</t>
        </is>
      </c>
      <c r="G605" s="12" t="inlineStr">
        <is>
          <t>T4-A</t>
        </is>
      </c>
      <c r="H605" s="12" t="inlineStr">
        <is>
          <t>T4-A: 13.8/4.16 kV station transformer</t>
        </is>
      </c>
      <c r="I605" s="12" t="inlineStr">
        <is>
          <t>Control</t>
        </is>
      </c>
      <c r="J605" s="12" t="inlineStr">
        <is>
          <t>Control cable 600 V Type TC-ER, Cu #14 AWG, PVC jacket</t>
        </is>
      </c>
      <c r="K605" s="12" t="inlineStr">
        <is>
          <t>CT|7/C|14</t>
        </is>
      </c>
      <c r="L605" s="12" t="inlineStr">
        <is>
          <t>7/C</t>
        </is>
      </c>
      <c r="M605" s="12" t="inlineStr">
        <is>
          <t>14</t>
        </is>
      </c>
      <c r="N605" s="12" t="n">
        <v>1</v>
      </c>
      <c r="O605" s="12" t="n">
        <v>1</v>
      </c>
      <c r="P605" s="12" t="n"/>
      <c r="Q605" s="12" t="n"/>
      <c r="R605" s="12" t="n"/>
      <c r="S605" s="12" t="inlineStr">
        <is>
          <t>Tray</t>
        </is>
      </c>
      <c r="T605" s="16" t="n">
        <v>730</v>
      </c>
      <c r="U605" s="16" t="n">
        <v>124</v>
      </c>
      <c r="V605" s="16">
        <f>ROUNDUP((T605+U605+2*'Read Me'!$B$13)*(1+'Read Me'!$B$12),-1)</f>
        <v/>
      </c>
      <c r="W605" s="16">
        <f>V605*N605*O605</f>
        <v/>
      </c>
      <c r="X605" s="12">
        <f>IF(LEFT(I605,2)="MV",2*N605*IF(L605="1/C",O605,1),0)</f>
        <v/>
      </c>
      <c r="Y605" s="12">
        <f>IF(OR(LEFT(K605,4)="LVAX",LEFT(K605,6)="MV15AX",LEFT(K605,4)="CTAX",LEFT(K605,2)="W|"),2*N605*O605,0)</f>
        <v/>
      </c>
      <c r="Z605" s="12" t="inlineStr"/>
      <c r="AA605" s="12">
        <f>N605*O605</f>
        <v/>
      </c>
    </row>
    <row r="606">
      <c r="A606" s="12" t="inlineStr">
        <is>
          <t>A-C-0594</t>
        </is>
      </c>
      <c r="B606" s="12" t="inlineStr">
        <is>
          <t>A</t>
        </is>
      </c>
      <c r="C606" s="12" t="inlineStr">
        <is>
          <t>Power block</t>
        </is>
      </c>
      <c r="D606" s="12" t="inlineStr">
        <is>
          <t>Control</t>
        </is>
      </c>
      <c r="E606" s="12" t="inlineStr">
        <is>
          <t>R1</t>
        </is>
      </c>
      <c r="F606" s="12" t="inlineStr">
        <is>
          <t>R1: main electrical building (64 x 180 ft)</t>
        </is>
      </c>
      <c r="G606" s="12" t="inlineStr">
        <is>
          <t>T4-A</t>
        </is>
      </c>
      <c r="H606" s="12" t="inlineStr">
        <is>
          <t>T4-A: 13.8/4.16 kV station transformer</t>
        </is>
      </c>
      <c r="I606" s="12" t="inlineStr">
        <is>
          <t>Control</t>
        </is>
      </c>
      <c r="J606" s="12" t="inlineStr">
        <is>
          <t>Control cable 600 V Type TC-ER, Cu #14 AWG, PVC jacket</t>
        </is>
      </c>
      <c r="K606" s="12" t="inlineStr">
        <is>
          <t>CT|12/C|14</t>
        </is>
      </c>
      <c r="L606" s="12" t="inlineStr">
        <is>
          <t>12/C</t>
        </is>
      </c>
      <c r="M606" s="12" t="inlineStr">
        <is>
          <t>14</t>
        </is>
      </c>
      <c r="N606" s="12" t="n">
        <v>1</v>
      </c>
      <c r="O606" s="12" t="n">
        <v>1</v>
      </c>
      <c r="P606" s="12" t="n"/>
      <c r="Q606" s="12" t="n"/>
      <c r="R606" s="12" t="n"/>
      <c r="S606" s="12" t="inlineStr">
        <is>
          <t>Tray</t>
        </is>
      </c>
      <c r="T606" s="16" t="n">
        <v>730</v>
      </c>
      <c r="U606" s="16" t="n">
        <v>124</v>
      </c>
      <c r="V606" s="16">
        <f>ROUNDUP((T606+U606+2*'Read Me'!$B$13)*(1+'Read Me'!$B$12),-1)</f>
        <v/>
      </c>
      <c r="W606" s="16">
        <f>V606*N606*O606</f>
        <v/>
      </c>
      <c r="X606" s="12">
        <f>IF(LEFT(I606,2)="MV",2*N606*IF(L606="1/C",O606,1),0)</f>
        <v/>
      </c>
      <c r="Y606" s="12">
        <f>IF(OR(LEFT(K606,4)="LVAX",LEFT(K606,6)="MV15AX",LEFT(K606,4)="CTAX",LEFT(K606,2)="W|"),2*N606*O606,0)</f>
        <v/>
      </c>
      <c r="Z606" s="12" t="inlineStr"/>
      <c r="AA606" s="12">
        <f>N606*O606</f>
        <v/>
      </c>
    </row>
    <row r="607">
      <c r="A607" s="12" t="inlineStr">
        <is>
          <t>A-C-0595</t>
        </is>
      </c>
      <c r="B607" s="12" t="inlineStr">
        <is>
          <t>A</t>
        </is>
      </c>
      <c r="C607" s="12" t="inlineStr">
        <is>
          <t>Power block</t>
        </is>
      </c>
      <c r="D607" s="12" t="inlineStr">
        <is>
          <t>CT / VT</t>
        </is>
      </c>
      <c r="E607" s="12" t="inlineStr">
        <is>
          <t>R1</t>
        </is>
      </c>
      <c r="F607" s="12" t="inlineStr">
        <is>
          <t>R1: main electrical building (64 x 180 ft)</t>
        </is>
      </c>
      <c r="G607" s="12" t="inlineStr">
        <is>
          <t>T4-A</t>
        </is>
      </c>
      <c r="H607" s="12" t="inlineStr">
        <is>
          <t>T4-A: 13.8/4.16 kV station transformer</t>
        </is>
      </c>
      <c r="I607" s="12" t="inlineStr">
        <is>
          <t>Control</t>
        </is>
      </c>
      <c r="J607" s="12" t="inlineStr">
        <is>
          <t>Control cable 600 V Type TC-ER, Cu #10 AWG (CT / VT circuits)</t>
        </is>
      </c>
      <c r="K607" s="12" t="inlineStr">
        <is>
          <t>CTCT|4/C|10</t>
        </is>
      </c>
      <c r="L607" s="12" t="inlineStr">
        <is>
          <t>4/C</t>
        </is>
      </c>
      <c r="M607" s="12" t="inlineStr">
        <is>
          <t>10</t>
        </is>
      </c>
      <c r="N607" s="12" t="n">
        <v>1</v>
      </c>
      <c r="O607" s="12" t="n">
        <v>1</v>
      </c>
      <c r="P607" s="12" t="n"/>
      <c r="Q607" s="12" t="n"/>
      <c r="R607" s="12" t="n"/>
      <c r="S607" s="12" t="inlineStr">
        <is>
          <t>Tray</t>
        </is>
      </c>
      <c r="T607" s="16" t="n">
        <v>730</v>
      </c>
      <c r="U607" s="16" t="n">
        <v>124</v>
      </c>
      <c r="V607" s="16">
        <f>ROUNDUP((T607+U607+2*'Read Me'!$B$13)*(1+'Read Me'!$B$12),-1)</f>
        <v/>
      </c>
      <c r="W607" s="16">
        <f>V607*N607*O607</f>
        <v/>
      </c>
      <c r="X607" s="12">
        <f>IF(LEFT(I607,2)="MV",2*N607*IF(L607="1/C",O607,1),0)</f>
        <v/>
      </c>
      <c r="Y607" s="12">
        <f>IF(OR(LEFT(K607,4)="LVAX",LEFT(K607,6)="MV15AX",LEFT(K607,4)="CTAX",LEFT(K607,2)="W|"),2*N607*O607,0)</f>
        <v/>
      </c>
      <c r="Z607" s="12" t="inlineStr"/>
      <c r="AA607" s="12">
        <f>N607*O607</f>
        <v/>
      </c>
    </row>
    <row r="608">
      <c r="A608" s="12" t="inlineStr">
        <is>
          <t>A-C-0596</t>
        </is>
      </c>
      <c r="B608" s="12" t="inlineStr">
        <is>
          <t>A</t>
        </is>
      </c>
      <c r="C608" s="12" t="inlineStr">
        <is>
          <t>Power block</t>
        </is>
      </c>
      <c r="D608" s="12" t="inlineStr">
        <is>
          <t>CT / VT</t>
        </is>
      </c>
      <c r="E608" s="12" t="inlineStr">
        <is>
          <t>R1</t>
        </is>
      </c>
      <c r="F608" s="12" t="inlineStr">
        <is>
          <t>R1: main electrical building (64 x 180 ft)</t>
        </is>
      </c>
      <c r="G608" s="12" t="inlineStr">
        <is>
          <t>T4-A</t>
        </is>
      </c>
      <c r="H608" s="12" t="inlineStr">
        <is>
          <t>T4-A: 13.8/4.16 kV station transformer</t>
        </is>
      </c>
      <c r="I608" s="12" t="inlineStr">
        <is>
          <t>Control</t>
        </is>
      </c>
      <c r="J608" s="12" t="inlineStr">
        <is>
          <t>Control cable 600 V Type TC-ER, Cu #10 AWG (CT / VT circuits)</t>
        </is>
      </c>
      <c r="K608" s="12" t="inlineStr">
        <is>
          <t>CTCT|4/C|10</t>
        </is>
      </c>
      <c r="L608" s="12" t="inlineStr">
        <is>
          <t>4/C</t>
        </is>
      </c>
      <c r="M608" s="12" t="inlineStr">
        <is>
          <t>10</t>
        </is>
      </c>
      <c r="N608" s="12" t="n">
        <v>1</v>
      </c>
      <c r="O608" s="12" t="n">
        <v>1</v>
      </c>
      <c r="P608" s="12" t="n"/>
      <c r="Q608" s="12" t="n"/>
      <c r="R608" s="12" t="n"/>
      <c r="S608" s="12" t="inlineStr">
        <is>
          <t>Tray</t>
        </is>
      </c>
      <c r="T608" s="16" t="n">
        <v>730</v>
      </c>
      <c r="U608" s="16" t="n">
        <v>124</v>
      </c>
      <c r="V608" s="16">
        <f>ROUNDUP((T608+U608+2*'Read Me'!$B$13)*(1+'Read Me'!$B$12),-1)</f>
        <v/>
      </c>
      <c r="W608" s="16">
        <f>V608*N608*O608</f>
        <v/>
      </c>
      <c r="X608" s="12">
        <f>IF(LEFT(I608,2)="MV",2*N608*IF(L608="1/C",O608,1),0)</f>
        <v/>
      </c>
      <c r="Y608" s="12">
        <f>IF(OR(LEFT(K608,4)="LVAX",LEFT(K608,6)="MV15AX",LEFT(K608,4)="CTAX",LEFT(K608,2)="W|"),2*N608*O608,0)</f>
        <v/>
      </c>
      <c r="Z608" s="12" t="inlineStr"/>
      <c r="AA608" s="12">
        <f>N608*O608</f>
        <v/>
      </c>
    </row>
    <row r="609">
      <c r="A609" s="12" t="inlineStr">
        <is>
          <t>A-C-0597</t>
        </is>
      </c>
      <c r="B609" s="12" t="inlineStr">
        <is>
          <t>A</t>
        </is>
      </c>
      <c r="C609" s="12" t="inlineStr">
        <is>
          <t>Power block</t>
        </is>
      </c>
      <c r="D609" s="12" t="inlineStr">
        <is>
          <t>Motor 1 of 6: control / local station</t>
        </is>
      </c>
      <c r="E609" s="12" t="inlineStr">
        <is>
          <t>LC-480-B</t>
        </is>
      </c>
      <c r="F609" s="12" t="inlineStr">
        <is>
          <t>R1 LC-480-B (480 V switchgear)</t>
        </is>
      </c>
      <c r="G609" s="12" t="inlineStr">
        <is>
          <t>T4-B</t>
        </is>
      </c>
      <c r="H609" s="12" t="inlineStr">
        <is>
          <t>T4-B: 13.8/4.16 kV station transformer</t>
        </is>
      </c>
      <c r="I609" s="12" t="inlineStr">
        <is>
          <t>Control</t>
        </is>
      </c>
      <c r="J609" s="12" t="inlineStr">
        <is>
          <t>Control cable 600 V Type TC-ER, Cu #14 AWG, PVC jacket</t>
        </is>
      </c>
      <c r="K609" s="12" t="inlineStr">
        <is>
          <t>CT|7/C|14</t>
        </is>
      </c>
      <c r="L609" s="12" t="inlineStr">
        <is>
          <t>7/C</t>
        </is>
      </c>
      <c r="M609" s="12" t="inlineStr">
        <is>
          <t>14</t>
        </is>
      </c>
      <c r="N609" s="12" t="n">
        <v>1</v>
      </c>
      <c r="O609" s="12" t="n">
        <v>1</v>
      </c>
      <c r="P609" s="12" t="n"/>
      <c r="Q609" s="12" t="n"/>
      <c r="R609" s="12" t="n"/>
      <c r="S609" s="12" t="inlineStr">
        <is>
          <t>Duct bank</t>
        </is>
      </c>
      <c r="T609" s="16" t="n">
        <v>85</v>
      </c>
      <c r="U609" s="16" t="n">
        <v>41</v>
      </c>
      <c r="V609" s="16">
        <f>ROUNDUP((T609+U609+2*'Read Me'!$B$13)*(1+'Read Me'!$B$12),-1)</f>
        <v/>
      </c>
      <c r="W609" s="16">
        <f>V609*N609*O609</f>
        <v/>
      </c>
      <c r="X609" s="12">
        <f>IF(LEFT(I609,2)="MV",2*N609*IF(L609="1/C",O609,1),0)</f>
        <v/>
      </c>
      <c r="Y609" s="12">
        <f>IF(OR(LEFT(K609,4)="LVAX",LEFT(K609,6)="MV15AX",LEFT(K609,4)="CTAX",LEFT(K609,2)="W|"),2*N609*O609,0)</f>
        <v/>
      </c>
      <c r="Z609" s="12" t="inlineStr"/>
      <c r="AA609" s="12">
        <f>N609*O609</f>
        <v/>
      </c>
    </row>
    <row r="610">
      <c r="A610" s="12" t="inlineStr">
        <is>
          <t>A-C-0598</t>
        </is>
      </c>
      <c r="B610" s="12" t="inlineStr">
        <is>
          <t>A</t>
        </is>
      </c>
      <c r="C610" s="12" t="inlineStr">
        <is>
          <t>Power block</t>
        </is>
      </c>
      <c r="D610" s="12" t="inlineStr">
        <is>
          <t>Motor 2 of 6: control / local station</t>
        </is>
      </c>
      <c r="E610" s="12" t="inlineStr">
        <is>
          <t>LC-480-B</t>
        </is>
      </c>
      <c r="F610" s="12" t="inlineStr">
        <is>
          <t>R1 LC-480-B (480 V switchgear)</t>
        </is>
      </c>
      <c r="G610" s="12" t="inlineStr">
        <is>
          <t>T4-B</t>
        </is>
      </c>
      <c r="H610" s="12" t="inlineStr">
        <is>
          <t>T4-B: 13.8/4.16 kV station transformer</t>
        </is>
      </c>
      <c r="I610" s="12" t="inlineStr">
        <is>
          <t>Control</t>
        </is>
      </c>
      <c r="J610" s="12" t="inlineStr">
        <is>
          <t>Control cable 600 V Type TC-ER, Cu #14 AWG, PVC jacket</t>
        </is>
      </c>
      <c r="K610" s="12" t="inlineStr">
        <is>
          <t>CT|7/C|14</t>
        </is>
      </c>
      <c r="L610" s="12" t="inlineStr">
        <is>
          <t>7/C</t>
        </is>
      </c>
      <c r="M610" s="12" t="inlineStr">
        <is>
          <t>14</t>
        </is>
      </c>
      <c r="N610" s="12" t="n">
        <v>1</v>
      </c>
      <c r="O610" s="12" t="n">
        <v>1</v>
      </c>
      <c r="P610" s="12" t="n"/>
      <c r="Q610" s="12" t="n"/>
      <c r="R610" s="12" t="n"/>
      <c r="S610" s="12" t="inlineStr">
        <is>
          <t>Duct bank</t>
        </is>
      </c>
      <c r="T610" s="16" t="n">
        <v>85</v>
      </c>
      <c r="U610" s="16" t="n">
        <v>41</v>
      </c>
      <c r="V610" s="16">
        <f>ROUNDUP((T610+U610+2*'Read Me'!$B$13)*(1+'Read Me'!$B$12),-1)</f>
        <v/>
      </c>
      <c r="W610" s="16">
        <f>V610*N610*O610</f>
        <v/>
      </c>
      <c r="X610" s="12">
        <f>IF(LEFT(I610,2)="MV",2*N610*IF(L610="1/C",O610,1),0)</f>
        <v/>
      </c>
      <c r="Y610" s="12">
        <f>IF(OR(LEFT(K610,4)="LVAX",LEFT(K610,6)="MV15AX",LEFT(K610,4)="CTAX",LEFT(K610,2)="W|"),2*N610*O610,0)</f>
        <v/>
      </c>
      <c r="Z610" s="12" t="inlineStr"/>
      <c r="AA610" s="12">
        <f>N610*O610</f>
        <v/>
      </c>
    </row>
    <row r="611">
      <c r="A611" s="12" t="inlineStr">
        <is>
          <t>A-C-0599</t>
        </is>
      </c>
      <c r="B611" s="12" t="inlineStr">
        <is>
          <t>A</t>
        </is>
      </c>
      <c r="C611" s="12" t="inlineStr">
        <is>
          <t>Power block</t>
        </is>
      </c>
      <c r="D611" s="12" t="inlineStr">
        <is>
          <t>Motor 3 of 6: control / local station</t>
        </is>
      </c>
      <c r="E611" s="12" t="inlineStr">
        <is>
          <t>LC-480-B</t>
        </is>
      </c>
      <c r="F611" s="12" t="inlineStr">
        <is>
          <t>R1 LC-480-B (480 V switchgear)</t>
        </is>
      </c>
      <c r="G611" s="12" t="inlineStr">
        <is>
          <t>T4-B</t>
        </is>
      </c>
      <c r="H611" s="12" t="inlineStr">
        <is>
          <t>T4-B: 13.8/4.16 kV station transformer</t>
        </is>
      </c>
      <c r="I611" s="12" t="inlineStr">
        <is>
          <t>Control</t>
        </is>
      </c>
      <c r="J611" s="12" t="inlineStr">
        <is>
          <t>Control cable 600 V Type TC-ER, Cu #14 AWG, PVC jacket</t>
        </is>
      </c>
      <c r="K611" s="12" t="inlineStr">
        <is>
          <t>CT|7/C|14</t>
        </is>
      </c>
      <c r="L611" s="12" t="inlineStr">
        <is>
          <t>7/C</t>
        </is>
      </c>
      <c r="M611" s="12" t="inlineStr">
        <is>
          <t>14</t>
        </is>
      </c>
      <c r="N611" s="12" t="n">
        <v>1</v>
      </c>
      <c r="O611" s="12" t="n">
        <v>1</v>
      </c>
      <c r="P611" s="12" t="n"/>
      <c r="Q611" s="12" t="n"/>
      <c r="R611" s="12" t="n"/>
      <c r="S611" s="12" t="inlineStr">
        <is>
          <t>Duct bank</t>
        </is>
      </c>
      <c r="T611" s="16" t="n">
        <v>85</v>
      </c>
      <c r="U611" s="16" t="n">
        <v>41</v>
      </c>
      <c r="V611" s="16">
        <f>ROUNDUP((T611+U611+2*'Read Me'!$B$13)*(1+'Read Me'!$B$12),-1)</f>
        <v/>
      </c>
      <c r="W611" s="16">
        <f>V611*N611*O611</f>
        <v/>
      </c>
      <c r="X611" s="12">
        <f>IF(LEFT(I611,2)="MV",2*N611*IF(L611="1/C",O611,1),0)</f>
        <v/>
      </c>
      <c r="Y611" s="12">
        <f>IF(OR(LEFT(K611,4)="LVAX",LEFT(K611,6)="MV15AX",LEFT(K611,4)="CTAX",LEFT(K611,2)="W|"),2*N611*O611,0)</f>
        <v/>
      </c>
      <c r="Z611" s="12" t="inlineStr"/>
      <c r="AA611" s="12">
        <f>N611*O611</f>
        <v/>
      </c>
    </row>
    <row r="612">
      <c r="A612" s="12" t="inlineStr">
        <is>
          <t>A-C-0600</t>
        </is>
      </c>
      <c r="B612" s="12" t="inlineStr">
        <is>
          <t>A</t>
        </is>
      </c>
      <c r="C612" s="12" t="inlineStr">
        <is>
          <t>Power block</t>
        </is>
      </c>
      <c r="D612" s="12" t="inlineStr">
        <is>
          <t>Motor 4 of 6: control / local station</t>
        </is>
      </c>
      <c r="E612" s="12" t="inlineStr">
        <is>
          <t>LC-480-B</t>
        </is>
      </c>
      <c r="F612" s="12" t="inlineStr">
        <is>
          <t>R1 LC-480-B (480 V switchgear)</t>
        </is>
      </c>
      <c r="G612" s="12" t="inlineStr">
        <is>
          <t>T4-B</t>
        </is>
      </c>
      <c r="H612" s="12" t="inlineStr">
        <is>
          <t>T4-B: 13.8/4.16 kV station transformer</t>
        </is>
      </c>
      <c r="I612" s="12" t="inlineStr">
        <is>
          <t>Control</t>
        </is>
      </c>
      <c r="J612" s="12" t="inlineStr">
        <is>
          <t>Control cable 600 V Type TC-ER, Cu #14 AWG, PVC jacket</t>
        </is>
      </c>
      <c r="K612" s="12" t="inlineStr">
        <is>
          <t>CT|7/C|14</t>
        </is>
      </c>
      <c r="L612" s="12" t="inlineStr">
        <is>
          <t>7/C</t>
        </is>
      </c>
      <c r="M612" s="12" t="inlineStr">
        <is>
          <t>14</t>
        </is>
      </c>
      <c r="N612" s="12" t="n">
        <v>1</v>
      </c>
      <c r="O612" s="12" t="n">
        <v>1</v>
      </c>
      <c r="P612" s="12" t="n"/>
      <c r="Q612" s="12" t="n"/>
      <c r="R612" s="12" t="n"/>
      <c r="S612" s="12" t="inlineStr">
        <is>
          <t>Duct bank</t>
        </is>
      </c>
      <c r="T612" s="16" t="n">
        <v>85</v>
      </c>
      <c r="U612" s="16" t="n">
        <v>41</v>
      </c>
      <c r="V612" s="16">
        <f>ROUNDUP((T612+U612+2*'Read Me'!$B$13)*(1+'Read Me'!$B$12),-1)</f>
        <v/>
      </c>
      <c r="W612" s="16">
        <f>V612*N612*O612</f>
        <v/>
      </c>
      <c r="X612" s="12">
        <f>IF(LEFT(I612,2)="MV",2*N612*IF(L612="1/C",O612,1),0)</f>
        <v/>
      </c>
      <c r="Y612" s="12">
        <f>IF(OR(LEFT(K612,4)="LVAX",LEFT(K612,6)="MV15AX",LEFT(K612,4)="CTAX",LEFT(K612,2)="W|"),2*N612*O612,0)</f>
        <v/>
      </c>
      <c r="Z612" s="12" t="inlineStr"/>
      <c r="AA612" s="12">
        <f>N612*O612</f>
        <v/>
      </c>
    </row>
    <row r="613">
      <c r="A613" s="12" t="inlineStr">
        <is>
          <t>A-C-0601</t>
        </is>
      </c>
      <c r="B613" s="12" t="inlineStr">
        <is>
          <t>A</t>
        </is>
      </c>
      <c r="C613" s="12" t="inlineStr">
        <is>
          <t>Power block</t>
        </is>
      </c>
      <c r="D613" s="12" t="inlineStr">
        <is>
          <t>Motor 5 of 6: control / local station</t>
        </is>
      </c>
      <c r="E613" s="12" t="inlineStr">
        <is>
          <t>LC-480-B</t>
        </is>
      </c>
      <c r="F613" s="12" t="inlineStr">
        <is>
          <t>R1 LC-480-B (480 V switchgear)</t>
        </is>
      </c>
      <c r="G613" s="12" t="inlineStr">
        <is>
          <t>T4-B</t>
        </is>
      </c>
      <c r="H613" s="12" t="inlineStr">
        <is>
          <t>T4-B: 13.8/4.16 kV station transformer</t>
        </is>
      </c>
      <c r="I613" s="12" t="inlineStr">
        <is>
          <t>Control</t>
        </is>
      </c>
      <c r="J613" s="12" t="inlineStr">
        <is>
          <t>Control cable 600 V Type TC-ER, Cu #14 AWG, PVC jacket</t>
        </is>
      </c>
      <c r="K613" s="12" t="inlineStr">
        <is>
          <t>CT|7/C|14</t>
        </is>
      </c>
      <c r="L613" s="12" t="inlineStr">
        <is>
          <t>7/C</t>
        </is>
      </c>
      <c r="M613" s="12" t="inlineStr">
        <is>
          <t>14</t>
        </is>
      </c>
      <c r="N613" s="12" t="n">
        <v>1</v>
      </c>
      <c r="O613" s="12" t="n">
        <v>1</v>
      </c>
      <c r="P613" s="12" t="n"/>
      <c r="Q613" s="12" t="n"/>
      <c r="R613" s="12" t="n"/>
      <c r="S613" s="12" t="inlineStr">
        <is>
          <t>Duct bank</t>
        </is>
      </c>
      <c r="T613" s="16" t="n">
        <v>85</v>
      </c>
      <c r="U613" s="16" t="n">
        <v>41</v>
      </c>
      <c r="V613" s="16">
        <f>ROUNDUP((T613+U613+2*'Read Me'!$B$13)*(1+'Read Me'!$B$12),-1)</f>
        <v/>
      </c>
      <c r="W613" s="16">
        <f>V613*N613*O613</f>
        <v/>
      </c>
      <c r="X613" s="12">
        <f>IF(LEFT(I613,2)="MV",2*N613*IF(L613="1/C",O613,1),0)</f>
        <v/>
      </c>
      <c r="Y613" s="12">
        <f>IF(OR(LEFT(K613,4)="LVAX",LEFT(K613,6)="MV15AX",LEFT(K613,4)="CTAX",LEFT(K613,2)="W|"),2*N613*O613,0)</f>
        <v/>
      </c>
      <c r="Z613" s="12" t="inlineStr"/>
      <c r="AA613" s="12">
        <f>N613*O613</f>
        <v/>
      </c>
    </row>
    <row r="614">
      <c r="A614" s="12" t="inlineStr">
        <is>
          <t>A-C-0602</t>
        </is>
      </c>
      <c r="B614" s="12" t="inlineStr">
        <is>
          <t>A</t>
        </is>
      </c>
      <c r="C614" s="12" t="inlineStr">
        <is>
          <t>Power block</t>
        </is>
      </c>
      <c r="D614" s="12" t="inlineStr">
        <is>
          <t>Motor 6 of 6: control / local station</t>
        </is>
      </c>
      <c r="E614" s="12" t="inlineStr">
        <is>
          <t>LC-480-B</t>
        </is>
      </c>
      <c r="F614" s="12" t="inlineStr">
        <is>
          <t>R1 LC-480-B (480 V switchgear)</t>
        </is>
      </c>
      <c r="G614" s="12" t="inlineStr">
        <is>
          <t>T4-B</t>
        </is>
      </c>
      <c r="H614" s="12" t="inlineStr">
        <is>
          <t>T4-B: 13.8/4.16 kV station transformer</t>
        </is>
      </c>
      <c r="I614" s="12" t="inlineStr">
        <is>
          <t>Control</t>
        </is>
      </c>
      <c r="J614" s="12" t="inlineStr">
        <is>
          <t>Control cable 600 V Type TC-ER, Cu #14 AWG, PVC jacket</t>
        </is>
      </c>
      <c r="K614" s="12" t="inlineStr">
        <is>
          <t>CT|7/C|14</t>
        </is>
      </c>
      <c r="L614" s="12" t="inlineStr">
        <is>
          <t>7/C</t>
        </is>
      </c>
      <c r="M614" s="12" t="inlineStr">
        <is>
          <t>14</t>
        </is>
      </c>
      <c r="N614" s="12" t="n">
        <v>1</v>
      </c>
      <c r="O614" s="12" t="n">
        <v>1</v>
      </c>
      <c r="P614" s="12" t="n"/>
      <c r="Q614" s="12" t="n"/>
      <c r="R614" s="12" t="n"/>
      <c r="S614" s="12" t="inlineStr">
        <is>
          <t>Duct bank</t>
        </is>
      </c>
      <c r="T614" s="16" t="n">
        <v>85</v>
      </c>
      <c r="U614" s="16" t="n">
        <v>41</v>
      </c>
      <c r="V614" s="16">
        <f>ROUNDUP((T614+U614+2*'Read Me'!$B$13)*(1+'Read Me'!$B$12),-1)</f>
        <v/>
      </c>
      <c r="W614" s="16">
        <f>V614*N614*O614</f>
        <v/>
      </c>
      <c r="X614" s="12">
        <f>IF(LEFT(I614,2)="MV",2*N614*IF(L614="1/C",O614,1),0)</f>
        <v/>
      </c>
      <c r="Y614" s="12">
        <f>IF(OR(LEFT(K614,4)="LVAX",LEFT(K614,6)="MV15AX",LEFT(K614,4)="CTAX",LEFT(K614,2)="W|"),2*N614*O614,0)</f>
        <v/>
      </c>
      <c r="Z614" s="12" t="inlineStr"/>
      <c r="AA614" s="12">
        <f>N614*O614</f>
        <v/>
      </c>
    </row>
    <row r="615">
      <c r="A615" s="12" t="inlineStr">
        <is>
          <t>A-C-0603</t>
        </is>
      </c>
      <c r="B615" s="12" t="inlineStr">
        <is>
          <t>A</t>
        </is>
      </c>
      <c r="C615" s="12" t="inlineStr">
        <is>
          <t>Power block</t>
        </is>
      </c>
      <c r="D615" s="12" t="inlineStr">
        <is>
          <t>Control</t>
        </is>
      </c>
      <c r="E615" s="12" t="inlineStr">
        <is>
          <t>R1</t>
        </is>
      </c>
      <c r="F615" s="12" t="inlineStr">
        <is>
          <t>R1: main electrical building (64 x 180 ft)</t>
        </is>
      </c>
      <c r="G615" s="12" t="inlineStr">
        <is>
          <t>T4-B</t>
        </is>
      </c>
      <c r="H615" s="12" t="inlineStr">
        <is>
          <t>T4-B: 13.8/4.16 kV station transformer</t>
        </is>
      </c>
      <c r="I615" s="12" t="inlineStr">
        <is>
          <t>Control</t>
        </is>
      </c>
      <c r="J615" s="12" t="inlineStr">
        <is>
          <t>Control cable 600 V Type TC-ER, Cu #14 AWG, PVC jacket</t>
        </is>
      </c>
      <c r="K615" s="12" t="inlineStr">
        <is>
          <t>CT|7/C|14</t>
        </is>
      </c>
      <c r="L615" s="12" t="inlineStr">
        <is>
          <t>7/C</t>
        </is>
      </c>
      <c r="M615" s="12" t="inlineStr">
        <is>
          <t>14</t>
        </is>
      </c>
      <c r="N615" s="12" t="n">
        <v>1</v>
      </c>
      <c r="O615" s="12" t="n">
        <v>1</v>
      </c>
      <c r="P615" s="12" t="n"/>
      <c r="Q615" s="12" t="n"/>
      <c r="R615" s="12" t="n"/>
      <c r="S615" s="12" t="inlineStr">
        <is>
          <t>Tray</t>
        </is>
      </c>
      <c r="T615" s="16" t="n">
        <v>752</v>
      </c>
      <c r="U615" s="16" t="n">
        <v>124</v>
      </c>
      <c r="V615" s="16">
        <f>ROUNDUP((T615+U615+2*'Read Me'!$B$13)*(1+'Read Me'!$B$12),-1)</f>
        <v/>
      </c>
      <c r="W615" s="16">
        <f>V615*N615*O615</f>
        <v/>
      </c>
      <c r="X615" s="12">
        <f>IF(LEFT(I615,2)="MV",2*N615*IF(L615="1/C",O615,1),0)</f>
        <v/>
      </c>
      <c r="Y615" s="12">
        <f>IF(OR(LEFT(K615,4)="LVAX",LEFT(K615,6)="MV15AX",LEFT(K615,4)="CTAX",LEFT(K615,2)="W|"),2*N615*O615,0)</f>
        <v/>
      </c>
      <c r="Z615" s="12" t="inlineStr"/>
      <c r="AA615" s="12">
        <f>N615*O615</f>
        <v/>
      </c>
    </row>
    <row r="616">
      <c r="A616" s="12" t="inlineStr">
        <is>
          <t>A-C-0604</t>
        </is>
      </c>
      <c r="B616" s="12" t="inlineStr">
        <is>
          <t>A</t>
        </is>
      </c>
      <c r="C616" s="12" t="inlineStr">
        <is>
          <t>Power block</t>
        </is>
      </c>
      <c r="D616" s="12" t="inlineStr">
        <is>
          <t>Control</t>
        </is>
      </c>
      <c r="E616" s="12" t="inlineStr">
        <is>
          <t>R1</t>
        </is>
      </c>
      <c r="F616" s="12" t="inlineStr">
        <is>
          <t>R1: main electrical building (64 x 180 ft)</t>
        </is>
      </c>
      <c r="G616" s="12" t="inlineStr">
        <is>
          <t>T4-B</t>
        </is>
      </c>
      <c r="H616" s="12" t="inlineStr">
        <is>
          <t>T4-B: 13.8/4.16 kV station transformer</t>
        </is>
      </c>
      <c r="I616" s="12" t="inlineStr">
        <is>
          <t>Control</t>
        </is>
      </c>
      <c r="J616" s="12" t="inlineStr">
        <is>
          <t>Control cable 600 V Type TC-ER, Cu #14 AWG, PVC jacket</t>
        </is>
      </c>
      <c r="K616" s="12" t="inlineStr">
        <is>
          <t>CT|12/C|14</t>
        </is>
      </c>
      <c r="L616" s="12" t="inlineStr">
        <is>
          <t>12/C</t>
        </is>
      </c>
      <c r="M616" s="12" t="inlineStr">
        <is>
          <t>14</t>
        </is>
      </c>
      <c r="N616" s="12" t="n">
        <v>1</v>
      </c>
      <c r="O616" s="12" t="n">
        <v>1</v>
      </c>
      <c r="P616" s="12" t="n"/>
      <c r="Q616" s="12" t="n"/>
      <c r="R616" s="12" t="n"/>
      <c r="S616" s="12" t="inlineStr">
        <is>
          <t>Tray</t>
        </is>
      </c>
      <c r="T616" s="16" t="n">
        <v>752</v>
      </c>
      <c r="U616" s="16" t="n">
        <v>124</v>
      </c>
      <c r="V616" s="16">
        <f>ROUNDUP((T616+U616+2*'Read Me'!$B$13)*(1+'Read Me'!$B$12),-1)</f>
        <v/>
      </c>
      <c r="W616" s="16">
        <f>V616*N616*O616</f>
        <v/>
      </c>
      <c r="X616" s="12">
        <f>IF(LEFT(I616,2)="MV",2*N616*IF(L616="1/C",O616,1),0)</f>
        <v/>
      </c>
      <c r="Y616" s="12">
        <f>IF(OR(LEFT(K616,4)="LVAX",LEFT(K616,6)="MV15AX",LEFT(K616,4)="CTAX",LEFT(K616,2)="W|"),2*N616*O616,0)</f>
        <v/>
      </c>
      <c r="Z616" s="12" t="inlineStr"/>
      <c r="AA616" s="12">
        <f>N616*O616</f>
        <v/>
      </c>
    </row>
    <row r="617">
      <c r="A617" s="12" t="inlineStr">
        <is>
          <t>A-C-0605</t>
        </is>
      </c>
      <c r="B617" s="12" t="inlineStr">
        <is>
          <t>A</t>
        </is>
      </c>
      <c r="C617" s="12" t="inlineStr">
        <is>
          <t>Power block</t>
        </is>
      </c>
      <c r="D617" s="12" t="inlineStr">
        <is>
          <t>CT / VT</t>
        </is>
      </c>
      <c r="E617" s="12" t="inlineStr">
        <is>
          <t>R1</t>
        </is>
      </c>
      <c r="F617" s="12" t="inlineStr">
        <is>
          <t>R1: main electrical building (64 x 180 ft)</t>
        </is>
      </c>
      <c r="G617" s="12" t="inlineStr">
        <is>
          <t>T4-B</t>
        </is>
      </c>
      <c r="H617" s="12" t="inlineStr">
        <is>
          <t>T4-B: 13.8/4.16 kV station transformer</t>
        </is>
      </c>
      <c r="I617" s="12" t="inlineStr">
        <is>
          <t>Control</t>
        </is>
      </c>
      <c r="J617" s="12" t="inlineStr">
        <is>
          <t>Control cable 600 V Type TC-ER, Cu #10 AWG (CT / VT circuits)</t>
        </is>
      </c>
      <c r="K617" s="12" t="inlineStr">
        <is>
          <t>CTCT|4/C|10</t>
        </is>
      </c>
      <c r="L617" s="12" t="inlineStr">
        <is>
          <t>4/C</t>
        </is>
      </c>
      <c r="M617" s="12" t="inlineStr">
        <is>
          <t>10</t>
        </is>
      </c>
      <c r="N617" s="12" t="n">
        <v>1</v>
      </c>
      <c r="O617" s="12" t="n">
        <v>1</v>
      </c>
      <c r="P617" s="12" t="n"/>
      <c r="Q617" s="12" t="n"/>
      <c r="R617" s="12" t="n"/>
      <c r="S617" s="12" t="inlineStr">
        <is>
          <t>Tray</t>
        </is>
      </c>
      <c r="T617" s="16" t="n">
        <v>752</v>
      </c>
      <c r="U617" s="16" t="n">
        <v>124</v>
      </c>
      <c r="V617" s="16">
        <f>ROUNDUP((T617+U617+2*'Read Me'!$B$13)*(1+'Read Me'!$B$12),-1)</f>
        <v/>
      </c>
      <c r="W617" s="16">
        <f>V617*N617*O617</f>
        <v/>
      </c>
      <c r="X617" s="12">
        <f>IF(LEFT(I617,2)="MV",2*N617*IF(L617="1/C",O617,1),0)</f>
        <v/>
      </c>
      <c r="Y617" s="12">
        <f>IF(OR(LEFT(K617,4)="LVAX",LEFT(K617,6)="MV15AX",LEFT(K617,4)="CTAX",LEFT(K617,2)="W|"),2*N617*O617,0)</f>
        <v/>
      </c>
      <c r="Z617" s="12" t="inlineStr"/>
      <c r="AA617" s="12">
        <f>N617*O617</f>
        <v/>
      </c>
    </row>
    <row r="618">
      <c r="A618" s="12" t="inlineStr">
        <is>
          <t>A-C-0606</t>
        </is>
      </c>
      <c r="B618" s="12" t="inlineStr">
        <is>
          <t>A</t>
        </is>
      </c>
      <c r="C618" s="12" t="inlineStr">
        <is>
          <t>Power block</t>
        </is>
      </c>
      <c r="D618" s="12" t="inlineStr">
        <is>
          <t>CT / VT</t>
        </is>
      </c>
      <c r="E618" s="12" t="inlineStr">
        <is>
          <t>R1</t>
        </is>
      </c>
      <c r="F618" s="12" t="inlineStr">
        <is>
          <t>R1: main electrical building (64 x 180 ft)</t>
        </is>
      </c>
      <c r="G618" s="12" t="inlineStr">
        <is>
          <t>T4-B</t>
        </is>
      </c>
      <c r="H618" s="12" t="inlineStr">
        <is>
          <t>T4-B: 13.8/4.16 kV station transformer</t>
        </is>
      </c>
      <c r="I618" s="12" t="inlineStr">
        <is>
          <t>Control</t>
        </is>
      </c>
      <c r="J618" s="12" t="inlineStr">
        <is>
          <t>Control cable 600 V Type TC-ER, Cu #10 AWG (CT / VT circuits)</t>
        </is>
      </c>
      <c r="K618" s="12" t="inlineStr">
        <is>
          <t>CTCT|4/C|10</t>
        </is>
      </c>
      <c r="L618" s="12" t="inlineStr">
        <is>
          <t>4/C</t>
        </is>
      </c>
      <c r="M618" s="12" t="inlineStr">
        <is>
          <t>10</t>
        </is>
      </c>
      <c r="N618" s="12" t="n">
        <v>1</v>
      </c>
      <c r="O618" s="12" t="n">
        <v>1</v>
      </c>
      <c r="P618" s="12" t="n"/>
      <c r="Q618" s="12" t="n"/>
      <c r="R618" s="12" t="n"/>
      <c r="S618" s="12" t="inlineStr">
        <is>
          <t>Tray</t>
        </is>
      </c>
      <c r="T618" s="16" t="n">
        <v>752</v>
      </c>
      <c r="U618" s="16" t="n">
        <v>124</v>
      </c>
      <c r="V618" s="16">
        <f>ROUNDUP((T618+U618+2*'Read Me'!$B$13)*(1+'Read Me'!$B$12),-1)</f>
        <v/>
      </c>
      <c r="W618" s="16">
        <f>V618*N618*O618</f>
        <v/>
      </c>
      <c r="X618" s="12">
        <f>IF(LEFT(I618,2)="MV",2*N618*IF(L618="1/C",O618,1),0)</f>
        <v/>
      </c>
      <c r="Y618" s="12">
        <f>IF(OR(LEFT(K618,4)="LVAX",LEFT(K618,6)="MV15AX",LEFT(K618,4)="CTAX",LEFT(K618,2)="W|"),2*N618*O618,0)</f>
        <v/>
      </c>
      <c r="Z618" s="12" t="inlineStr"/>
      <c r="AA618" s="12">
        <f>N618*O618</f>
        <v/>
      </c>
    </row>
    <row r="619">
      <c r="A619" s="12" t="inlineStr">
        <is>
          <t>A-C-0607</t>
        </is>
      </c>
      <c r="B619" s="12" t="inlineStr">
        <is>
          <t>A</t>
        </is>
      </c>
      <c r="C619" s="12" t="inlineStr">
        <is>
          <t>Power block</t>
        </is>
      </c>
      <c r="D619" s="12" t="inlineStr">
        <is>
          <t>Control</t>
        </is>
      </c>
      <c r="E619" s="12" t="inlineStr">
        <is>
          <t>R2A</t>
        </is>
      </c>
      <c r="F619" s="12" t="inlineStr">
        <is>
          <t>R2A: unit / HRSG electrical e-house (32 x 40 ft)</t>
        </is>
      </c>
      <c r="G619" s="12" t="inlineStr">
        <is>
          <t>TCP-1</t>
        </is>
      </c>
      <c r="H619" s="12" t="inlineStr">
        <is>
          <t>TCP-1: GT1 turbine control and protection cabinets</t>
        </is>
      </c>
      <c r="I619" s="12" t="inlineStr">
        <is>
          <t>Control</t>
        </is>
      </c>
      <c r="J619" s="12" t="inlineStr">
        <is>
          <t>Control cable 600 V Type TC-ER, Cu #14 AWG, PVC jacket</t>
        </is>
      </c>
      <c r="K619" s="12" t="inlineStr">
        <is>
          <t>CT|7/C|14</t>
        </is>
      </c>
      <c r="L619" s="12" t="inlineStr">
        <is>
          <t>7/C</t>
        </is>
      </c>
      <c r="M619" s="12" t="inlineStr">
        <is>
          <t>14</t>
        </is>
      </c>
      <c r="N619" s="12" t="n">
        <v>1</v>
      </c>
      <c r="O619" s="12" t="n">
        <v>1</v>
      </c>
      <c r="P619" s="12" t="n"/>
      <c r="Q619" s="12" t="n"/>
      <c r="R619" s="12" t="n"/>
      <c r="S619" s="12" t="inlineStr">
        <is>
          <t>Tray</t>
        </is>
      </c>
      <c r="T619" s="16" t="n">
        <v>178</v>
      </c>
      <c r="U619" s="16" t="n">
        <v>94</v>
      </c>
      <c r="V619" s="16">
        <f>ROUNDUP((T619+U619+2*'Read Me'!$B$13)*(1+'Read Me'!$B$12),-1)</f>
        <v/>
      </c>
      <c r="W619" s="16">
        <f>V619*N619*O619</f>
        <v/>
      </c>
      <c r="X619" s="12">
        <f>IF(LEFT(I619,2)="MV",2*N619*IF(L619="1/C",O619,1),0)</f>
        <v/>
      </c>
      <c r="Y619" s="12">
        <f>IF(OR(LEFT(K619,4)="LVAX",LEFT(K619,6)="MV15AX",LEFT(K619,4)="CTAX",LEFT(K619,2)="W|"),2*N619*O619,0)</f>
        <v/>
      </c>
      <c r="Z619" s="12" t="inlineStr"/>
      <c r="AA619" s="12">
        <f>N619*O619</f>
        <v/>
      </c>
    </row>
    <row r="620">
      <c r="A620" s="12" t="inlineStr">
        <is>
          <t>A-C-0608</t>
        </is>
      </c>
      <c r="B620" s="12" t="inlineStr">
        <is>
          <t>A</t>
        </is>
      </c>
      <c r="C620" s="12" t="inlineStr">
        <is>
          <t>Power block</t>
        </is>
      </c>
      <c r="D620" s="12" t="inlineStr">
        <is>
          <t>Control</t>
        </is>
      </c>
      <c r="E620" s="12" t="inlineStr">
        <is>
          <t>R2B</t>
        </is>
      </c>
      <c r="F620" s="12" t="inlineStr">
        <is>
          <t>R2B: unit / HRSG electrical e-house (32 x 40 ft)</t>
        </is>
      </c>
      <c r="G620" s="12" t="inlineStr">
        <is>
          <t>TCP-2</t>
        </is>
      </c>
      <c r="H620" s="12" t="inlineStr">
        <is>
          <t>TCP-2: GT2 turbine control and protection cabinets</t>
        </is>
      </c>
      <c r="I620" s="12" t="inlineStr">
        <is>
          <t>Control</t>
        </is>
      </c>
      <c r="J620" s="12" t="inlineStr">
        <is>
          <t>Control cable 600 V Type TC-ER, Cu #14 AWG, PVC jacket</t>
        </is>
      </c>
      <c r="K620" s="12" t="inlineStr">
        <is>
          <t>CT|7/C|14</t>
        </is>
      </c>
      <c r="L620" s="12" t="inlineStr">
        <is>
          <t>7/C</t>
        </is>
      </c>
      <c r="M620" s="12" t="inlineStr">
        <is>
          <t>14</t>
        </is>
      </c>
      <c r="N620" s="12" t="n">
        <v>1</v>
      </c>
      <c r="O620" s="12" t="n">
        <v>1</v>
      </c>
      <c r="P620" s="12" t="n"/>
      <c r="Q620" s="12" t="n"/>
      <c r="R620" s="12" t="n"/>
      <c r="S620" s="12" t="inlineStr">
        <is>
          <t>Tray</t>
        </is>
      </c>
      <c r="T620" s="16" t="n">
        <v>1069</v>
      </c>
      <c r="U620" s="16" t="n">
        <v>184</v>
      </c>
      <c r="V620" s="16">
        <f>ROUNDUP((T620+U620+2*'Read Me'!$B$13)*(1+'Read Me'!$B$12),-1)</f>
        <v/>
      </c>
      <c r="W620" s="16">
        <f>V620*N620*O620</f>
        <v/>
      </c>
      <c r="X620" s="12">
        <f>IF(LEFT(I620,2)="MV",2*N620*IF(L620="1/C",O620,1),0)</f>
        <v/>
      </c>
      <c r="Y620" s="12">
        <f>IF(OR(LEFT(K620,4)="LVAX",LEFT(K620,6)="MV15AX",LEFT(K620,4)="CTAX",LEFT(K620,2)="W|"),2*N620*O620,0)</f>
        <v/>
      </c>
      <c r="Z620" s="12" t="inlineStr"/>
      <c r="AA620" s="12">
        <f>N620*O620</f>
        <v/>
      </c>
    </row>
    <row r="621">
      <c r="A621" s="12" t="inlineStr">
        <is>
          <t>A-C-0609</t>
        </is>
      </c>
      <c r="B621" s="12" t="inlineStr">
        <is>
          <t>A</t>
        </is>
      </c>
      <c r="C621" s="12" t="inlineStr">
        <is>
          <t>Power block</t>
        </is>
      </c>
      <c r="D621" s="12" t="inlineStr">
        <is>
          <t>Control</t>
        </is>
      </c>
      <c r="E621" s="12" t="inlineStr">
        <is>
          <t>R2C</t>
        </is>
      </c>
      <c r="F621" s="12" t="inlineStr">
        <is>
          <t>R2C: unit / HRSG electrical e-house (32 x 40 ft)</t>
        </is>
      </c>
      <c r="G621" s="12" t="inlineStr">
        <is>
          <t>TCP-3</t>
        </is>
      </c>
      <c r="H621" s="12" t="inlineStr">
        <is>
          <t>TCP-3: GT3 turbine control and protection cabinets</t>
        </is>
      </c>
      <c r="I621" s="12" t="inlineStr">
        <is>
          <t>Control</t>
        </is>
      </c>
      <c r="J621" s="12" t="inlineStr">
        <is>
          <t>Control cable 600 V Type TC-ER, Cu #14 AWG, PVC jacket</t>
        </is>
      </c>
      <c r="K621" s="12" t="inlineStr">
        <is>
          <t>CT|7/C|14</t>
        </is>
      </c>
      <c r="L621" s="12" t="inlineStr">
        <is>
          <t>7/C</t>
        </is>
      </c>
      <c r="M621" s="12" t="inlineStr">
        <is>
          <t>14</t>
        </is>
      </c>
      <c r="N621" s="12" t="n">
        <v>1</v>
      </c>
      <c r="O621" s="12" t="n">
        <v>1</v>
      </c>
      <c r="P621" s="12" t="n"/>
      <c r="Q621" s="12" t="n"/>
      <c r="R621" s="12" t="n"/>
      <c r="S621" s="12" t="inlineStr">
        <is>
          <t>Tray</t>
        </is>
      </c>
      <c r="T621" s="16" t="n">
        <v>1024</v>
      </c>
      <c r="U621" s="16" t="n">
        <v>240</v>
      </c>
      <c r="V621" s="16">
        <f>ROUNDUP((T621+U621+2*'Read Me'!$B$13)*(1+'Read Me'!$B$12),-1)</f>
        <v/>
      </c>
      <c r="W621" s="16">
        <f>V621*N621*O621</f>
        <v/>
      </c>
      <c r="X621" s="12">
        <f>IF(LEFT(I621,2)="MV",2*N621*IF(L621="1/C",O621,1),0)</f>
        <v/>
      </c>
      <c r="Y621" s="12">
        <f>IF(OR(LEFT(K621,4)="LVAX",LEFT(K621,6)="MV15AX",LEFT(K621,4)="CTAX",LEFT(K621,2)="W|"),2*N621*O621,0)</f>
        <v/>
      </c>
      <c r="Z621" s="12" t="inlineStr"/>
      <c r="AA621" s="12">
        <f>N621*O621</f>
        <v/>
      </c>
    </row>
    <row r="622">
      <c r="A622" s="12" t="inlineStr">
        <is>
          <t>A-C-0610</t>
        </is>
      </c>
      <c r="B622" s="12" t="inlineStr">
        <is>
          <t>A</t>
        </is>
      </c>
      <c r="C622" s="12" t="inlineStr">
        <is>
          <t>Power block</t>
        </is>
      </c>
      <c r="D622" s="12" t="inlineStr">
        <is>
          <t>Control</t>
        </is>
      </c>
      <c r="E622" s="12" t="inlineStr">
        <is>
          <t>R3</t>
        </is>
      </c>
      <c r="F622" s="12" t="inlineStr">
        <is>
          <t>R3: ST auxiliary electrical e-house (40 x 65 ft)</t>
        </is>
      </c>
      <c r="G622" s="12" t="inlineStr">
        <is>
          <t>TCP-ST</t>
        </is>
      </c>
      <c r="H622" s="12" t="inlineStr">
        <is>
          <t>TCP-ST: ST turbine control and protection cabinets</t>
        </is>
      </c>
      <c r="I622" s="12" t="inlineStr">
        <is>
          <t>Control</t>
        </is>
      </c>
      <c r="J622" s="12" t="inlineStr">
        <is>
          <t>Control cable 600 V Type TC-ER, Cu #14 AWG, PVC jacket</t>
        </is>
      </c>
      <c r="K622" s="12" t="inlineStr">
        <is>
          <t>CT|7/C|14</t>
        </is>
      </c>
      <c r="L622" s="12" t="inlineStr">
        <is>
          <t>7/C</t>
        </is>
      </c>
      <c r="M622" s="12" t="inlineStr">
        <is>
          <t>14</t>
        </is>
      </c>
      <c r="N622" s="12" t="n">
        <v>1</v>
      </c>
      <c r="O622" s="12" t="n">
        <v>1</v>
      </c>
      <c r="P622" s="12" t="n"/>
      <c r="Q622" s="12" t="n"/>
      <c r="R622" s="12" t="n"/>
      <c r="S622" s="12" t="inlineStr">
        <is>
          <t>Tray</t>
        </is>
      </c>
      <c r="T622" s="16" t="n">
        <v>408</v>
      </c>
      <c r="U622" s="16" t="n">
        <v>183</v>
      </c>
      <c r="V622" s="16">
        <f>ROUNDUP((T622+U622+2*'Read Me'!$B$13)*(1+'Read Me'!$B$12),-1)</f>
        <v/>
      </c>
      <c r="W622" s="16">
        <f>V622*N622*O622</f>
        <v/>
      </c>
      <c r="X622" s="12">
        <f>IF(LEFT(I622,2)="MV",2*N622*IF(L622="1/C",O622,1),0)</f>
        <v/>
      </c>
      <c r="Y622" s="12">
        <f>IF(OR(LEFT(K622,4)="LVAX",LEFT(K622,6)="MV15AX",LEFT(K622,4)="CTAX",LEFT(K622,2)="W|"),2*N622*O622,0)</f>
        <v/>
      </c>
      <c r="Z622" s="12" t="inlineStr"/>
      <c r="AA622" s="12">
        <f>N622*O622</f>
        <v/>
      </c>
    </row>
    <row r="623">
      <c r="A623" s="12" t="inlineStr">
        <is>
          <t>A-C-0611</t>
        </is>
      </c>
      <c r="B623" s="12" t="inlineStr">
        <is>
          <t>A</t>
        </is>
      </c>
      <c r="C623" s="12" t="inlineStr">
        <is>
          <t>Power block</t>
        </is>
      </c>
      <c r="D623" s="12" t="inlineStr">
        <is>
          <t>Motor 1 of 6: control / local station</t>
        </is>
      </c>
      <c r="E623" s="12" t="inlineStr">
        <is>
          <t>R2A</t>
        </is>
      </c>
      <c r="F623" s="12" t="inlineStr">
        <is>
          <t>R2A: unit / HRSG electrical e-house (32 x 40 ft)</t>
        </is>
      </c>
      <c r="G623" s="12" t="inlineStr">
        <is>
          <t>UAT-1</t>
        </is>
      </c>
      <c r="H623" s="12" t="inlineStr">
        <is>
          <t>UAT-1: 21/13.8 kV unit auxiliary transformer</t>
        </is>
      </c>
      <c r="I623" s="12" t="inlineStr">
        <is>
          <t>Control</t>
        </is>
      </c>
      <c r="J623" s="12" t="inlineStr">
        <is>
          <t>Control cable 600 V Type TC-ER, Cu #14 AWG, PVC jacket</t>
        </is>
      </c>
      <c r="K623" s="12" t="inlineStr">
        <is>
          <t>CT|7/C|14</t>
        </is>
      </c>
      <c r="L623" s="12" t="inlineStr">
        <is>
          <t>7/C</t>
        </is>
      </c>
      <c r="M623" s="12" t="inlineStr">
        <is>
          <t>14</t>
        </is>
      </c>
      <c r="N623" s="12" t="n">
        <v>1</v>
      </c>
      <c r="O623" s="12" t="n">
        <v>1</v>
      </c>
      <c r="P623" s="12" t="n"/>
      <c r="Q623" s="12" t="n"/>
      <c r="R623" s="12" t="n"/>
      <c r="S623" s="12" t="inlineStr">
        <is>
          <t>Tray</t>
        </is>
      </c>
      <c r="T623" s="16" t="n">
        <v>566</v>
      </c>
      <c r="U623" s="16" t="n">
        <v>158</v>
      </c>
      <c r="V623" s="16">
        <f>ROUNDUP((T623+U623+2*'Read Me'!$B$13)*(1+'Read Me'!$B$12),-1)</f>
        <v/>
      </c>
      <c r="W623" s="16">
        <f>V623*N623*O623</f>
        <v/>
      </c>
      <c r="X623" s="12">
        <f>IF(LEFT(I623,2)="MV",2*N623*IF(L623="1/C",O623,1),0)</f>
        <v/>
      </c>
      <c r="Y623" s="12">
        <f>IF(OR(LEFT(K623,4)="LVAX",LEFT(K623,6)="MV15AX",LEFT(K623,4)="CTAX",LEFT(K623,2)="W|"),2*N623*O623,0)</f>
        <v/>
      </c>
      <c r="Z623" s="12" t="inlineStr"/>
      <c r="AA623" s="12">
        <f>N623*O623</f>
        <v/>
      </c>
    </row>
    <row r="624">
      <c r="A624" s="12" t="inlineStr">
        <is>
          <t>A-C-0612</t>
        </is>
      </c>
      <c r="B624" s="12" t="inlineStr">
        <is>
          <t>A</t>
        </is>
      </c>
      <c r="C624" s="12" t="inlineStr">
        <is>
          <t>Power block</t>
        </is>
      </c>
      <c r="D624" s="12" t="inlineStr">
        <is>
          <t>Motor 2 of 6: control / local station</t>
        </is>
      </c>
      <c r="E624" s="12" t="inlineStr">
        <is>
          <t>R2A</t>
        </is>
      </c>
      <c r="F624" s="12" t="inlineStr">
        <is>
          <t>R2A: unit / HRSG electrical e-house (32 x 40 ft)</t>
        </is>
      </c>
      <c r="G624" s="12" t="inlineStr">
        <is>
          <t>UAT-1</t>
        </is>
      </c>
      <c r="H624" s="12" t="inlineStr">
        <is>
          <t>UAT-1: 21/13.8 kV unit auxiliary transformer</t>
        </is>
      </c>
      <c r="I624" s="12" t="inlineStr">
        <is>
          <t>Control</t>
        </is>
      </c>
      <c r="J624" s="12" t="inlineStr">
        <is>
          <t>Control cable 600 V Type TC-ER, Cu #14 AWG, PVC jacket</t>
        </is>
      </c>
      <c r="K624" s="12" t="inlineStr">
        <is>
          <t>CT|7/C|14</t>
        </is>
      </c>
      <c r="L624" s="12" t="inlineStr">
        <is>
          <t>7/C</t>
        </is>
      </c>
      <c r="M624" s="12" t="inlineStr">
        <is>
          <t>14</t>
        </is>
      </c>
      <c r="N624" s="12" t="n">
        <v>1</v>
      </c>
      <c r="O624" s="12" t="n">
        <v>1</v>
      </c>
      <c r="P624" s="12" t="n"/>
      <c r="Q624" s="12" t="n"/>
      <c r="R624" s="12" t="n"/>
      <c r="S624" s="12" t="inlineStr">
        <is>
          <t>Tray</t>
        </is>
      </c>
      <c r="T624" s="16" t="n">
        <v>566</v>
      </c>
      <c r="U624" s="16" t="n">
        <v>158</v>
      </c>
      <c r="V624" s="16">
        <f>ROUNDUP((T624+U624+2*'Read Me'!$B$13)*(1+'Read Me'!$B$12),-1)</f>
        <v/>
      </c>
      <c r="W624" s="16">
        <f>V624*N624*O624</f>
        <v/>
      </c>
      <c r="X624" s="12">
        <f>IF(LEFT(I624,2)="MV",2*N624*IF(L624="1/C",O624,1),0)</f>
        <v/>
      </c>
      <c r="Y624" s="12">
        <f>IF(OR(LEFT(K624,4)="LVAX",LEFT(K624,6)="MV15AX",LEFT(K624,4)="CTAX",LEFT(K624,2)="W|"),2*N624*O624,0)</f>
        <v/>
      </c>
      <c r="Z624" s="12" t="inlineStr"/>
      <c r="AA624" s="12">
        <f>N624*O624</f>
        <v/>
      </c>
    </row>
    <row r="625">
      <c r="A625" s="12" t="inlineStr">
        <is>
          <t>A-C-0613</t>
        </is>
      </c>
      <c r="B625" s="12" t="inlineStr">
        <is>
          <t>A</t>
        </is>
      </c>
      <c r="C625" s="12" t="inlineStr">
        <is>
          <t>Power block</t>
        </is>
      </c>
      <c r="D625" s="12" t="inlineStr">
        <is>
          <t>Motor 3 of 6: control / local station</t>
        </is>
      </c>
      <c r="E625" s="12" t="inlineStr">
        <is>
          <t>R2A</t>
        </is>
      </c>
      <c r="F625" s="12" t="inlineStr">
        <is>
          <t>R2A: unit / HRSG electrical e-house (32 x 40 ft)</t>
        </is>
      </c>
      <c r="G625" s="12" t="inlineStr">
        <is>
          <t>UAT-1</t>
        </is>
      </c>
      <c r="H625" s="12" t="inlineStr">
        <is>
          <t>UAT-1: 21/13.8 kV unit auxiliary transformer</t>
        </is>
      </c>
      <c r="I625" s="12" t="inlineStr">
        <is>
          <t>Control</t>
        </is>
      </c>
      <c r="J625" s="12" t="inlineStr">
        <is>
          <t>Control cable 600 V Type TC-ER, Cu #14 AWG, PVC jacket</t>
        </is>
      </c>
      <c r="K625" s="12" t="inlineStr">
        <is>
          <t>CT|7/C|14</t>
        </is>
      </c>
      <c r="L625" s="12" t="inlineStr">
        <is>
          <t>7/C</t>
        </is>
      </c>
      <c r="M625" s="12" t="inlineStr">
        <is>
          <t>14</t>
        </is>
      </c>
      <c r="N625" s="12" t="n">
        <v>1</v>
      </c>
      <c r="O625" s="12" t="n">
        <v>1</v>
      </c>
      <c r="P625" s="12" t="n"/>
      <c r="Q625" s="12" t="n"/>
      <c r="R625" s="12" t="n"/>
      <c r="S625" s="12" t="inlineStr">
        <is>
          <t>Tray</t>
        </is>
      </c>
      <c r="T625" s="16" t="n">
        <v>566</v>
      </c>
      <c r="U625" s="16" t="n">
        <v>158</v>
      </c>
      <c r="V625" s="16">
        <f>ROUNDUP((T625+U625+2*'Read Me'!$B$13)*(1+'Read Me'!$B$12),-1)</f>
        <v/>
      </c>
      <c r="W625" s="16">
        <f>V625*N625*O625</f>
        <v/>
      </c>
      <c r="X625" s="12">
        <f>IF(LEFT(I625,2)="MV",2*N625*IF(L625="1/C",O625,1),0)</f>
        <v/>
      </c>
      <c r="Y625" s="12">
        <f>IF(OR(LEFT(K625,4)="LVAX",LEFT(K625,6)="MV15AX",LEFT(K625,4)="CTAX",LEFT(K625,2)="W|"),2*N625*O625,0)</f>
        <v/>
      </c>
      <c r="Z625" s="12" t="inlineStr"/>
      <c r="AA625" s="12">
        <f>N625*O625</f>
        <v/>
      </c>
    </row>
    <row r="626">
      <c r="A626" s="12" t="inlineStr">
        <is>
          <t>A-C-0614</t>
        </is>
      </c>
      <c r="B626" s="12" t="inlineStr">
        <is>
          <t>A</t>
        </is>
      </c>
      <c r="C626" s="12" t="inlineStr">
        <is>
          <t>Power block</t>
        </is>
      </c>
      <c r="D626" s="12" t="inlineStr">
        <is>
          <t>Motor 4 of 6: control / local station</t>
        </is>
      </c>
      <c r="E626" s="12" t="inlineStr">
        <is>
          <t>R2A</t>
        </is>
      </c>
      <c r="F626" s="12" t="inlineStr">
        <is>
          <t>R2A: unit / HRSG electrical e-house (32 x 40 ft)</t>
        </is>
      </c>
      <c r="G626" s="12" t="inlineStr">
        <is>
          <t>UAT-1</t>
        </is>
      </c>
      <c r="H626" s="12" t="inlineStr">
        <is>
          <t>UAT-1: 21/13.8 kV unit auxiliary transformer</t>
        </is>
      </c>
      <c r="I626" s="12" t="inlineStr">
        <is>
          <t>Control</t>
        </is>
      </c>
      <c r="J626" s="12" t="inlineStr">
        <is>
          <t>Control cable 600 V Type TC-ER, Cu #14 AWG, PVC jacket</t>
        </is>
      </c>
      <c r="K626" s="12" t="inlineStr">
        <is>
          <t>CT|7/C|14</t>
        </is>
      </c>
      <c r="L626" s="12" t="inlineStr">
        <is>
          <t>7/C</t>
        </is>
      </c>
      <c r="M626" s="12" t="inlineStr">
        <is>
          <t>14</t>
        </is>
      </c>
      <c r="N626" s="12" t="n">
        <v>1</v>
      </c>
      <c r="O626" s="12" t="n">
        <v>1</v>
      </c>
      <c r="P626" s="12" t="n"/>
      <c r="Q626" s="12" t="n"/>
      <c r="R626" s="12" t="n"/>
      <c r="S626" s="12" t="inlineStr">
        <is>
          <t>Tray</t>
        </is>
      </c>
      <c r="T626" s="16" t="n">
        <v>566</v>
      </c>
      <c r="U626" s="16" t="n">
        <v>158</v>
      </c>
      <c r="V626" s="16">
        <f>ROUNDUP((T626+U626+2*'Read Me'!$B$13)*(1+'Read Me'!$B$12),-1)</f>
        <v/>
      </c>
      <c r="W626" s="16">
        <f>V626*N626*O626</f>
        <v/>
      </c>
      <c r="X626" s="12">
        <f>IF(LEFT(I626,2)="MV",2*N626*IF(L626="1/C",O626,1),0)</f>
        <v/>
      </c>
      <c r="Y626" s="12">
        <f>IF(OR(LEFT(K626,4)="LVAX",LEFT(K626,6)="MV15AX",LEFT(K626,4)="CTAX",LEFT(K626,2)="W|"),2*N626*O626,0)</f>
        <v/>
      </c>
      <c r="Z626" s="12" t="inlineStr"/>
      <c r="AA626" s="12">
        <f>N626*O626</f>
        <v/>
      </c>
    </row>
    <row r="627">
      <c r="A627" s="12" t="inlineStr">
        <is>
          <t>A-C-0615</t>
        </is>
      </c>
      <c r="B627" s="12" t="inlineStr">
        <is>
          <t>A</t>
        </is>
      </c>
      <c r="C627" s="12" t="inlineStr">
        <is>
          <t>Power block</t>
        </is>
      </c>
      <c r="D627" s="12" t="inlineStr">
        <is>
          <t>Motor 5 of 6: control / local station</t>
        </is>
      </c>
      <c r="E627" s="12" t="inlineStr">
        <is>
          <t>R2A</t>
        </is>
      </c>
      <c r="F627" s="12" t="inlineStr">
        <is>
          <t>R2A: unit / HRSG electrical e-house (32 x 40 ft)</t>
        </is>
      </c>
      <c r="G627" s="12" t="inlineStr">
        <is>
          <t>UAT-1</t>
        </is>
      </c>
      <c r="H627" s="12" t="inlineStr">
        <is>
          <t>UAT-1: 21/13.8 kV unit auxiliary transformer</t>
        </is>
      </c>
      <c r="I627" s="12" t="inlineStr">
        <is>
          <t>Control</t>
        </is>
      </c>
      <c r="J627" s="12" t="inlineStr">
        <is>
          <t>Control cable 600 V Type TC-ER, Cu #14 AWG, PVC jacket</t>
        </is>
      </c>
      <c r="K627" s="12" t="inlineStr">
        <is>
          <t>CT|7/C|14</t>
        </is>
      </c>
      <c r="L627" s="12" t="inlineStr">
        <is>
          <t>7/C</t>
        </is>
      </c>
      <c r="M627" s="12" t="inlineStr">
        <is>
          <t>14</t>
        </is>
      </c>
      <c r="N627" s="12" t="n">
        <v>1</v>
      </c>
      <c r="O627" s="12" t="n">
        <v>1</v>
      </c>
      <c r="P627" s="12" t="n"/>
      <c r="Q627" s="12" t="n"/>
      <c r="R627" s="12" t="n"/>
      <c r="S627" s="12" t="inlineStr">
        <is>
          <t>Tray</t>
        </is>
      </c>
      <c r="T627" s="16" t="n">
        <v>566</v>
      </c>
      <c r="U627" s="16" t="n">
        <v>158</v>
      </c>
      <c r="V627" s="16">
        <f>ROUNDUP((T627+U627+2*'Read Me'!$B$13)*(1+'Read Me'!$B$12),-1)</f>
        <v/>
      </c>
      <c r="W627" s="16">
        <f>V627*N627*O627</f>
        <v/>
      </c>
      <c r="X627" s="12">
        <f>IF(LEFT(I627,2)="MV",2*N627*IF(L627="1/C",O627,1),0)</f>
        <v/>
      </c>
      <c r="Y627" s="12">
        <f>IF(OR(LEFT(K627,4)="LVAX",LEFT(K627,6)="MV15AX",LEFT(K627,4)="CTAX",LEFT(K627,2)="W|"),2*N627*O627,0)</f>
        <v/>
      </c>
      <c r="Z627" s="12" t="inlineStr"/>
      <c r="AA627" s="12">
        <f>N627*O627</f>
        <v/>
      </c>
    </row>
    <row r="628">
      <c r="A628" s="12" t="inlineStr">
        <is>
          <t>A-C-0616</t>
        </is>
      </c>
      <c r="B628" s="12" t="inlineStr">
        <is>
          <t>A</t>
        </is>
      </c>
      <c r="C628" s="12" t="inlineStr">
        <is>
          <t>Power block</t>
        </is>
      </c>
      <c r="D628" s="12" t="inlineStr">
        <is>
          <t>Motor 6 of 6: control / local station</t>
        </is>
      </c>
      <c r="E628" s="12" t="inlineStr">
        <is>
          <t>R2A</t>
        </is>
      </c>
      <c r="F628" s="12" t="inlineStr">
        <is>
          <t>R2A: unit / HRSG electrical e-house (32 x 40 ft)</t>
        </is>
      </c>
      <c r="G628" s="12" t="inlineStr">
        <is>
          <t>UAT-1</t>
        </is>
      </c>
      <c r="H628" s="12" t="inlineStr">
        <is>
          <t>UAT-1: 21/13.8 kV unit auxiliary transformer</t>
        </is>
      </c>
      <c r="I628" s="12" t="inlineStr">
        <is>
          <t>Control</t>
        </is>
      </c>
      <c r="J628" s="12" t="inlineStr">
        <is>
          <t>Control cable 600 V Type TC-ER, Cu #14 AWG, PVC jacket</t>
        </is>
      </c>
      <c r="K628" s="12" t="inlineStr">
        <is>
          <t>CT|7/C|14</t>
        </is>
      </c>
      <c r="L628" s="12" t="inlineStr">
        <is>
          <t>7/C</t>
        </is>
      </c>
      <c r="M628" s="12" t="inlineStr">
        <is>
          <t>14</t>
        </is>
      </c>
      <c r="N628" s="12" t="n">
        <v>1</v>
      </c>
      <c r="O628" s="12" t="n">
        <v>1</v>
      </c>
      <c r="P628" s="12" t="n"/>
      <c r="Q628" s="12" t="n"/>
      <c r="R628" s="12" t="n"/>
      <c r="S628" s="12" t="inlineStr">
        <is>
          <t>Tray</t>
        </is>
      </c>
      <c r="T628" s="16" t="n">
        <v>566</v>
      </c>
      <c r="U628" s="16" t="n">
        <v>158</v>
      </c>
      <c r="V628" s="16">
        <f>ROUNDUP((T628+U628+2*'Read Me'!$B$13)*(1+'Read Me'!$B$12),-1)</f>
        <v/>
      </c>
      <c r="W628" s="16">
        <f>V628*N628*O628</f>
        <v/>
      </c>
      <c r="X628" s="12">
        <f>IF(LEFT(I628,2)="MV",2*N628*IF(L628="1/C",O628,1),0)</f>
        <v/>
      </c>
      <c r="Y628" s="12">
        <f>IF(OR(LEFT(K628,4)="LVAX",LEFT(K628,6)="MV15AX",LEFT(K628,4)="CTAX",LEFT(K628,2)="W|"),2*N628*O628,0)</f>
        <v/>
      </c>
      <c r="Z628" s="12" t="inlineStr"/>
      <c r="AA628" s="12">
        <f>N628*O628</f>
        <v/>
      </c>
    </row>
    <row r="629">
      <c r="A629" s="12" t="inlineStr">
        <is>
          <t>A-C-0617</t>
        </is>
      </c>
      <c r="B629" s="12" t="inlineStr">
        <is>
          <t>A</t>
        </is>
      </c>
      <c r="C629" s="12" t="inlineStr">
        <is>
          <t>Power block</t>
        </is>
      </c>
      <c r="D629" s="12" t="inlineStr">
        <is>
          <t>Control</t>
        </is>
      </c>
      <c r="E629" s="12" t="inlineStr">
        <is>
          <t>R2A</t>
        </is>
      </c>
      <c r="F629" s="12" t="inlineStr">
        <is>
          <t>R2A: unit / HRSG electrical e-house (32 x 40 ft)</t>
        </is>
      </c>
      <c r="G629" s="12" t="inlineStr">
        <is>
          <t>UAT-1</t>
        </is>
      </c>
      <c r="H629" s="12" t="inlineStr">
        <is>
          <t>UAT-1: 21/13.8 kV unit auxiliary transformer</t>
        </is>
      </c>
      <c r="I629" s="12" t="inlineStr">
        <is>
          <t>Control</t>
        </is>
      </c>
      <c r="J629" s="12" t="inlineStr">
        <is>
          <t>Control cable 600 V Type TC-ER, Cu #14 AWG, PVC jacket</t>
        </is>
      </c>
      <c r="K629" s="12" t="inlineStr">
        <is>
          <t>CT|7/C|14</t>
        </is>
      </c>
      <c r="L629" s="12" t="inlineStr">
        <is>
          <t>7/C</t>
        </is>
      </c>
      <c r="M629" s="12" t="inlineStr">
        <is>
          <t>14</t>
        </is>
      </c>
      <c r="N629" s="12" t="n">
        <v>1</v>
      </c>
      <c r="O629" s="12" t="n">
        <v>1</v>
      </c>
      <c r="P629" s="12" t="n"/>
      <c r="Q629" s="12" t="n"/>
      <c r="R629" s="12" t="n"/>
      <c r="S629" s="12" t="inlineStr">
        <is>
          <t>Tray</t>
        </is>
      </c>
      <c r="T629" s="16" t="n">
        <v>566</v>
      </c>
      <c r="U629" s="16" t="n">
        <v>158</v>
      </c>
      <c r="V629" s="16">
        <f>ROUNDUP((T629+U629+2*'Read Me'!$B$13)*(1+'Read Me'!$B$12),-1)</f>
        <v/>
      </c>
      <c r="W629" s="16">
        <f>V629*N629*O629</f>
        <v/>
      </c>
      <c r="X629" s="12">
        <f>IF(LEFT(I629,2)="MV",2*N629*IF(L629="1/C",O629,1),0)</f>
        <v/>
      </c>
      <c r="Y629" s="12">
        <f>IF(OR(LEFT(K629,4)="LVAX",LEFT(K629,6)="MV15AX",LEFT(K629,4)="CTAX",LEFT(K629,2)="W|"),2*N629*O629,0)</f>
        <v/>
      </c>
      <c r="Z629" s="12" t="inlineStr"/>
      <c r="AA629" s="12">
        <f>N629*O629</f>
        <v/>
      </c>
    </row>
    <row r="630">
      <c r="A630" s="12" t="inlineStr">
        <is>
          <t>A-C-0618</t>
        </is>
      </c>
      <c r="B630" s="12" t="inlineStr">
        <is>
          <t>A</t>
        </is>
      </c>
      <c r="C630" s="12" t="inlineStr">
        <is>
          <t>Power block</t>
        </is>
      </c>
      <c r="D630" s="12" t="inlineStr">
        <is>
          <t>Control</t>
        </is>
      </c>
      <c r="E630" s="12" t="inlineStr">
        <is>
          <t>R2A</t>
        </is>
      </c>
      <c r="F630" s="12" t="inlineStr">
        <is>
          <t>R2A: unit / HRSG electrical e-house (32 x 40 ft)</t>
        </is>
      </c>
      <c r="G630" s="12" t="inlineStr">
        <is>
          <t>UAT-1</t>
        </is>
      </c>
      <c r="H630" s="12" t="inlineStr">
        <is>
          <t>UAT-1: 21/13.8 kV unit auxiliary transformer</t>
        </is>
      </c>
      <c r="I630" s="12" t="inlineStr">
        <is>
          <t>Control</t>
        </is>
      </c>
      <c r="J630" s="12" t="inlineStr">
        <is>
          <t>Control cable 600 V Type TC-ER, Cu #14 AWG, PVC jacket</t>
        </is>
      </c>
      <c r="K630" s="12" t="inlineStr">
        <is>
          <t>CT|12/C|14</t>
        </is>
      </c>
      <c r="L630" s="12" t="inlineStr">
        <is>
          <t>12/C</t>
        </is>
      </c>
      <c r="M630" s="12" t="inlineStr">
        <is>
          <t>14</t>
        </is>
      </c>
      <c r="N630" s="12" t="n">
        <v>1</v>
      </c>
      <c r="O630" s="12" t="n">
        <v>1</v>
      </c>
      <c r="P630" s="12" t="n"/>
      <c r="Q630" s="12" t="n"/>
      <c r="R630" s="12" t="n"/>
      <c r="S630" s="12" t="inlineStr">
        <is>
          <t>Tray</t>
        </is>
      </c>
      <c r="T630" s="16" t="n">
        <v>566</v>
      </c>
      <c r="U630" s="16" t="n">
        <v>158</v>
      </c>
      <c r="V630" s="16">
        <f>ROUNDUP((T630+U630+2*'Read Me'!$B$13)*(1+'Read Me'!$B$12),-1)</f>
        <v/>
      </c>
      <c r="W630" s="16">
        <f>V630*N630*O630</f>
        <v/>
      </c>
      <c r="X630" s="12">
        <f>IF(LEFT(I630,2)="MV",2*N630*IF(L630="1/C",O630,1),0)</f>
        <v/>
      </c>
      <c r="Y630" s="12">
        <f>IF(OR(LEFT(K630,4)="LVAX",LEFT(K630,6)="MV15AX",LEFT(K630,4)="CTAX",LEFT(K630,2)="W|"),2*N630*O630,0)</f>
        <v/>
      </c>
      <c r="Z630" s="12" t="inlineStr"/>
      <c r="AA630" s="12">
        <f>N630*O630</f>
        <v/>
      </c>
    </row>
    <row r="631">
      <c r="A631" s="12" t="inlineStr">
        <is>
          <t>A-C-0619</t>
        </is>
      </c>
      <c r="B631" s="12" t="inlineStr">
        <is>
          <t>A</t>
        </is>
      </c>
      <c r="C631" s="12" t="inlineStr">
        <is>
          <t>Power block</t>
        </is>
      </c>
      <c r="D631" s="12" t="inlineStr">
        <is>
          <t>CT / VT</t>
        </is>
      </c>
      <c r="E631" s="12" t="inlineStr">
        <is>
          <t>R2A</t>
        </is>
      </c>
      <c r="F631" s="12" t="inlineStr">
        <is>
          <t>R2A: unit / HRSG electrical e-house (32 x 40 ft)</t>
        </is>
      </c>
      <c r="G631" s="12" t="inlineStr">
        <is>
          <t>UAT-1</t>
        </is>
      </c>
      <c r="H631" s="12" t="inlineStr">
        <is>
          <t>UAT-1: 21/13.8 kV unit auxiliary transformer</t>
        </is>
      </c>
      <c r="I631" s="12" t="inlineStr">
        <is>
          <t>Control</t>
        </is>
      </c>
      <c r="J631" s="12" t="inlineStr">
        <is>
          <t>Control cable 600 V Type TC-ER, Cu #10 AWG (CT / VT circuits)</t>
        </is>
      </c>
      <c r="K631" s="12" t="inlineStr">
        <is>
          <t>CTCT|4/C|10</t>
        </is>
      </c>
      <c r="L631" s="12" t="inlineStr">
        <is>
          <t>4/C</t>
        </is>
      </c>
      <c r="M631" s="12" t="inlineStr">
        <is>
          <t>10</t>
        </is>
      </c>
      <c r="N631" s="12" t="n">
        <v>1</v>
      </c>
      <c r="O631" s="12" t="n">
        <v>1</v>
      </c>
      <c r="P631" s="12" t="n"/>
      <c r="Q631" s="12" t="n"/>
      <c r="R631" s="12" t="n"/>
      <c r="S631" s="12" t="inlineStr">
        <is>
          <t>Tray</t>
        </is>
      </c>
      <c r="T631" s="16" t="n">
        <v>566</v>
      </c>
      <c r="U631" s="16" t="n">
        <v>158</v>
      </c>
      <c r="V631" s="16">
        <f>ROUNDUP((T631+U631+2*'Read Me'!$B$13)*(1+'Read Me'!$B$12),-1)</f>
        <v/>
      </c>
      <c r="W631" s="16">
        <f>V631*N631*O631</f>
        <v/>
      </c>
      <c r="X631" s="12">
        <f>IF(LEFT(I631,2)="MV",2*N631*IF(L631="1/C",O631,1),0)</f>
        <v/>
      </c>
      <c r="Y631" s="12">
        <f>IF(OR(LEFT(K631,4)="LVAX",LEFT(K631,6)="MV15AX",LEFT(K631,4)="CTAX",LEFT(K631,2)="W|"),2*N631*O631,0)</f>
        <v/>
      </c>
      <c r="Z631" s="12" t="inlineStr"/>
      <c r="AA631" s="12">
        <f>N631*O631</f>
        <v/>
      </c>
    </row>
    <row r="632">
      <c r="A632" s="12" t="inlineStr">
        <is>
          <t>A-C-0620</t>
        </is>
      </c>
      <c r="B632" s="12" t="inlineStr">
        <is>
          <t>A</t>
        </is>
      </c>
      <c r="C632" s="12" t="inlineStr">
        <is>
          <t>Power block</t>
        </is>
      </c>
      <c r="D632" s="12" t="inlineStr">
        <is>
          <t>CT / VT</t>
        </is>
      </c>
      <c r="E632" s="12" t="inlineStr">
        <is>
          <t>R2A</t>
        </is>
      </c>
      <c r="F632" s="12" t="inlineStr">
        <is>
          <t>R2A: unit / HRSG electrical e-house (32 x 40 ft)</t>
        </is>
      </c>
      <c r="G632" s="12" t="inlineStr">
        <is>
          <t>UAT-1</t>
        </is>
      </c>
      <c r="H632" s="12" t="inlineStr">
        <is>
          <t>UAT-1: 21/13.8 kV unit auxiliary transformer</t>
        </is>
      </c>
      <c r="I632" s="12" t="inlineStr">
        <is>
          <t>Control</t>
        </is>
      </c>
      <c r="J632" s="12" t="inlineStr">
        <is>
          <t>Control cable 600 V Type TC-ER, Cu #10 AWG (CT / VT circuits)</t>
        </is>
      </c>
      <c r="K632" s="12" t="inlineStr">
        <is>
          <t>CTCT|4/C|10</t>
        </is>
      </c>
      <c r="L632" s="12" t="inlineStr">
        <is>
          <t>4/C</t>
        </is>
      </c>
      <c r="M632" s="12" t="inlineStr">
        <is>
          <t>10</t>
        </is>
      </c>
      <c r="N632" s="12" t="n">
        <v>1</v>
      </c>
      <c r="O632" s="12" t="n">
        <v>1</v>
      </c>
      <c r="P632" s="12" t="n"/>
      <c r="Q632" s="12" t="n"/>
      <c r="R632" s="12" t="n"/>
      <c r="S632" s="12" t="inlineStr">
        <is>
          <t>Tray</t>
        </is>
      </c>
      <c r="T632" s="16" t="n">
        <v>566</v>
      </c>
      <c r="U632" s="16" t="n">
        <v>158</v>
      </c>
      <c r="V632" s="16">
        <f>ROUNDUP((T632+U632+2*'Read Me'!$B$13)*(1+'Read Me'!$B$12),-1)</f>
        <v/>
      </c>
      <c r="W632" s="16">
        <f>V632*N632*O632</f>
        <v/>
      </c>
      <c r="X632" s="12">
        <f>IF(LEFT(I632,2)="MV",2*N632*IF(L632="1/C",O632,1),0)</f>
        <v/>
      </c>
      <c r="Y632" s="12">
        <f>IF(OR(LEFT(K632,4)="LVAX",LEFT(K632,6)="MV15AX",LEFT(K632,4)="CTAX",LEFT(K632,2)="W|"),2*N632*O632,0)</f>
        <v/>
      </c>
      <c r="Z632" s="12" t="inlineStr"/>
      <c r="AA632" s="12">
        <f>N632*O632</f>
        <v/>
      </c>
    </row>
    <row r="633">
      <c r="A633" s="12" t="inlineStr">
        <is>
          <t>A-C-0621</t>
        </is>
      </c>
      <c r="B633" s="12" t="inlineStr">
        <is>
          <t>A</t>
        </is>
      </c>
      <c r="C633" s="12" t="inlineStr">
        <is>
          <t>Power block</t>
        </is>
      </c>
      <c r="D633" s="12" t="inlineStr">
        <is>
          <t>Motor 1 of 6: control / local station</t>
        </is>
      </c>
      <c r="E633" s="12" t="inlineStr">
        <is>
          <t>R2B</t>
        </is>
      </c>
      <c r="F633" s="12" t="inlineStr">
        <is>
          <t>R2B: unit / HRSG electrical e-house (32 x 40 ft)</t>
        </is>
      </c>
      <c r="G633" s="12" t="inlineStr">
        <is>
          <t>UAT-2</t>
        </is>
      </c>
      <c r="H633" s="12" t="inlineStr">
        <is>
          <t>UAT-2: 21/13.8 kV unit auxiliary transformer</t>
        </is>
      </c>
      <c r="I633" s="12" t="inlineStr">
        <is>
          <t>Control</t>
        </is>
      </c>
      <c r="J633" s="12" t="inlineStr">
        <is>
          <t>Control cable 600 V Type TC-ER, Cu #14 AWG, PVC jacket</t>
        </is>
      </c>
      <c r="K633" s="12" t="inlineStr">
        <is>
          <t>CT|7/C|14</t>
        </is>
      </c>
      <c r="L633" s="12" t="inlineStr">
        <is>
          <t>7/C</t>
        </is>
      </c>
      <c r="M633" s="12" t="inlineStr">
        <is>
          <t>14</t>
        </is>
      </c>
      <c r="N633" s="12" t="n">
        <v>1</v>
      </c>
      <c r="O633" s="12" t="n">
        <v>1</v>
      </c>
      <c r="P633" s="12" t="n"/>
      <c r="Q633" s="12" t="n"/>
      <c r="R633" s="12" t="n"/>
      <c r="S633" s="12" t="inlineStr">
        <is>
          <t>Duct bank</t>
        </is>
      </c>
      <c r="T633" s="16" t="n">
        <v>1423</v>
      </c>
      <c r="U633" s="16" t="n">
        <v>96</v>
      </c>
      <c r="V633" s="16">
        <f>ROUNDUP((T633+U633+2*'Read Me'!$B$13)*(1+'Read Me'!$B$12),-1)</f>
        <v/>
      </c>
      <c r="W633" s="16">
        <f>V633*N633*O633</f>
        <v/>
      </c>
      <c r="X633" s="12">
        <f>IF(LEFT(I633,2)="MV",2*N633*IF(L633="1/C",O633,1),0)</f>
        <v/>
      </c>
      <c r="Y633" s="12">
        <f>IF(OR(LEFT(K633,4)="LVAX",LEFT(K633,6)="MV15AX",LEFT(K633,4)="CTAX",LEFT(K633,2)="W|"),2*N633*O633,0)</f>
        <v/>
      </c>
      <c r="Z633" s="12" t="inlineStr"/>
      <c r="AA633" s="12">
        <f>N633*O633</f>
        <v/>
      </c>
    </row>
    <row r="634">
      <c r="A634" s="12" t="inlineStr">
        <is>
          <t>A-C-0622</t>
        </is>
      </c>
      <c r="B634" s="12" t="inlineStr">
        <is>
          <t>A</t>
        </is>
      </c>
      <c r="C634" s="12" t="inlineStr">
        <is>
          <t>Power block</t>
        </is>
      </c>
      <c r="D634" s="12" t="inlineStr">
        <is>
          <t>Motor 2 of 6: control / local station</t>
        </is>
      </c>
      <c r="E634" s="12" t="inlineStr">
        <is>
          <t>R2B</t>
        </is>
      </c>
      <c r="F634" s="12" t="inlineStr">
        <is>
          <t>R2B: unit / HRSG electrical e-house (32 x 40 ft)</t>
        </is>
      </c>
      <c r="G634" s="12" t="inlineStr">
        <is>
          <t>UAT-2</t>
        </is>
      </c>
      <c r="H634" s="12" t="inlineStr">
        <is>
          <t>UAT-2: 21/13.8 kV unit auxiliary transformer</t>
        </is>
      </c>
      <c r="I634" s="12" t="inlineStr">
        <is>
          <t>Control</t>
        </is>
      </c>
      <c r="J634" s="12" t="inlineStr">
        <is>
          <t>Control cable 600 V Type TC-ER, Cu #14 AWG, PVC jacket</t>
        </is>
      </c>
      <c r="K634" s="12" t="inlineStr">
        <is>
          <t>CT|7/C|14</t>
        </is>
      </c>
      <c r="L634" s="12" t="inlineStr">
        <is>
          <t>7/C</t>
        </is>
      </c>
      <c r="M634" s="12" t="inlineStr">
        <is>
          <t>14</t>
        </is>
      </c>
      <c r="N634" s="12" t="n">
        <v>1</v>
      </c>
      <c r="O634" s="12" t="n">
        <v>1</v>
      </c>
      <c r="P634" s="12" t="n"/>
      <c r="Q634" s="12" t="n"/>
      <c r="R634" s="12" t="n"/>
      <c r="S634" s="12" t="inlineStr">
        <is>
          <t>Duct bank</t>
        </is>
      </c>
      <c r="T634" s="16" t="n">
        <v>1423</v>
      </c>
      <c r="U634" s="16" t="n">
        <v>96</v>
      </c>
      <c r="V634" s="16">
        <f>ROUNDUP((T634+U634+2*'Read Me'!$B$13)*(1+'Read Me'!$B$12),-1)</f>
        <v/>
      </c>
      <c r="W634" s="16">
        <f>V634*N634*O634</f>
        <v/>
      </c>
      <c r="X634" s="12">
        <f>IF(LEFT(I634,2)="MV",2*N634*IF(L634="1/C",O634,1),0)</f>
        <v/>
      </c>
      <c r="Y634" s="12">
        <f>IF(OR(LEFT(K634,4)="LVAX",LEFT(K634,6)="MV15AX",LEFT(K634,4)="CTAX",LEFT(K634,2)="W|"),2*N634*O634,0)</f>
        <v/>
      </c>
      <c r="Z634" s="12" t="inlineStr"/>
      <c r="AA634" s="12">
        <f>N634*O634</f>
        <v/>
      </c>
    </row>
    <row r="635">
      <c r="A635" s="12" t="inlineStr">
        <is>
          <t>A-C-0623</t>
        </is>
      </c>
      <c r="B635" s="12" t="inlineStr">
        <is>
          <t>A</t>
        </is>
      </c>
      <c r="C635" s="12" t="inlineStr">
        <is>
          <t>Power block</t>
        </is>
      </c>
      <c r="D635" s="12" t="inlineStr">
        <is>
          <t>Motor 3 of 6: control / local station</t>
        </is>
      </c>
      <c r="E635" s="12" t="inlineStr">
        <is>
          <t>R2B</t>
        </is>
      </c>
      <c r="F635" s="12" t="inlineStr">
        <is>
          <t>R2B: unit / HRSG electrical e-house (32 x 40 ft)</t>
        </is>
      </c>
      <c r="G635" s="12" t="inlineStr">
        <is>
          <t>UAT-2</t>
        </is>
      </c>
      <c r="H635" s="12" t="inlineStr">
        <is>
          <t>UAT-2: 21/13.8 kV unit auxiliary transformer</t>
        </is>
      </c>
      <c r="I635" s="12" t="inlineStr">
        <is>
          <t>Control</t>
        </is>
      </c>
      <c r="J635" s="12" t="inlineStr">
        <is>
          <t>Control cable 600 V Type TC-ER, Cu #14 AWG, PVC jacket</t>
        </is>
      </c>
      <c r="K635" s="12" t="inlineStr">
        <is>
          <t>CT|7/C|14</t>
        </is>
      </c>
      <c r="L635" s="12" t="inlineStr">
        <is>
          <t>7/C</t>
        </is>
      </c>
      <c r="M635" s="12" t="inlineStr">
        <is>
          <t>14</t>
        </is>
      </c>
      <c r="N635" s="12" t="n">
        <v>1</v>
      </c>
      <c r="O635" s="12" t="n">
        <v>1</v>
      </c>
      <c r="P635" s="12" t="n"/>
      <c r="Q635" s="12" t="n"/>
      <c r="R635" s="12" t="n"/>
      <c r="S635" s="12" t="inlineStr">
        <is>
          <t>Duct bank</t>
        </is>
      </c>
      <c r="T635" s="16" t="n">
        <v>1423</v>
      </c>
      <c r="U635" s="16" t="n">
        <v>96</v>
      </c>
      <c r="V635" s="16">
        <f>ROUNDUP((T635+U635+2*'Read Me'!$B$13)*(1+'Read Me'!$B$12),-1)</f>
        <v/>
      </c>
      <c r="W635" s="16">
        <f>V635*N635*O635</f>
        <v/>
      </c>
      <c r="X635" s="12">
        <f>IF(LEFT(I635,2)="MV",2*N635*IF(L635="1/C",O635,1),0)</f>
        <v/>
      </c>
      <c r="Y635" s="12">
        <f>IF(OR(LEFT(K635,4)="LVAX",LEFT(K635,6)="MV15AX",LEFT(K635,4)="CTAX",LEFT(K635,2)="W|"),2*N635*O635,0)</f>
        <v/>
      </c>
      <c r="Z635" s="12" t="inlineStr"/>
      <c r="AA635" s="12">
        <f>N635*O635</f>
        <v/>
      </c>
    </row>
    <row r="636">
      <c r="A636" s="12" t="inlineStr">
        <is>
          <t>A-C-0624</t>
        </is>
      </c>
      <c r="B636" s="12" t="inlineStr">
        <is>
          <t>A</t>
        </is>
      </c>
      <c r="C636" s="12" t="inlineStr">
        <is>
          <t>Power block</t>
        </is>
      </c>
      <c r="D636" s="12" t="inlineStr">
        <is>
          <t>Motor 4 of 6: control / local station</t>
        </is>
      </c>
      <c r="E636" s="12" t="inlineStr">
        <is>
          <t>R2B</t>
        </is>
      </c>
      <c r="F636" s="12" t="inlineStr">
        <is>
          <t>R2B: unit / HRSG electrical e-house (32 x 40 ft)</t>
        </is>
      </c>
      <c r="G636" s="12" t="inlineStr">
        <is>
          <t>UAT-2</t>
        </is>
      </c>
      <c r="H636" s="12" t="inlineStr">
        <is>
          <t>UAT-2: 21/13.8 kV unit auxiliary transformer</t>
        </is>
      </c>
      <c r="I636" s="12" t="inlineStr">
        <is>
          <t>Control</t>
        </is>
      </c>
      <c r="J636" s="12" t="inlineStr">
        <is>
          <t>Control cable 600 V Type TC-ER, Cu #14 AWG, PVC jacket</t>
        </is>
      </c>
      <c r="K636" s="12" t="inlineStr">
        <is>
          <t>CT|7/C|14</t>
        </is>
      </c>
      <c r="L636" s="12" t="inlineStr">
        <is>
          <t>7/C</t>
        </is>
      </c>
      <c r="M636" s="12" t="inlineStr">
        <is>
          <t>14</t>
        </is>
      </c>
      <c r="N636" s="12" t="n">
        <v>1</v>
      </c>
      <c r="O636" s="12" t="n">
        <v>1</v>
      </c>
      <c r="P636" s="12" t="n"/>
      <c r="Q636" s="12" t="n"/>
      <c r="R636" s="12" t="n"/>
      <c r="S636" s="12" t="inlineStr">
        <is>
          <t>Duct bank</t>
        </is>
      </c>
      <c r="T636" s="16" t="n">
        <v>1423</v>
      </c>
      <c r="U636" s="16" t="n">
        <v>96</v>
      </c>
      <c r="V636" s="16">
        <f>ROUNDUP((T636+U636+2*'Read Me'!$B$13)*(1+'Read Me'!$B$12),-1)</f>
        <v/>
      </c>
      <c r="W636" s="16">
        <f>V636*N636*O636</f>
        <v/>
      </c>
      <c r="X636" s="12">
        <f>IF(LEFT(I636,2)="MV",2*N636*IF(L636="1/C",O636,1),0)</f>
        <v/>
      </c>
      <c r="Y636" s="12">
        <f>IF(OR(LEFT(K636,4)="LVAX",LEFT(K636,6)="MV15AX",LEFT(K636,4)="CTAX",LEFT(K636,2)="W|"),2*N636*O636,0)</f>
        <v/>
      </c>
      <c r="Z636" s="12" t="inlineStr"/>
      <c r="AA636" s="12">
        <f>N636*O636</f>
        <v/>
      </c>
    </row>
    <row r="637">
      <c r="A637" s="12" t="inlineStr">
        <is>
          <t>A-C-0625</t>
        </is>
      </c>
      <c r="B637" s="12" t="inlineStr">
        <is>
          <t>A</t>
        </is>
      </c>
      <c r="C637" s="12" t="inlineStr">
        <is>
          <t>Power block</t>
        </is>
      </c>
      <c r="D637" s="12" t="inlineStr">
        <is>
          <t>Motor 5 of 6: control / local station</t>
        </is>
      </c>
      <c r="E637" s="12" t="inlineStr">
        <is>
          <t>R2B</t>
        </is>
      </c>
      <c r="F637" s="12" t="inlineStr">
        <is>
          <t>R2B: unit / HRSG electrical e-house (32 x 40 ft)</t>
        </is>
      </c>
      <c r="G637" s="12" t="inlineStr">
        <is>
          <t>UAT-2</t>
        </is>
      </c>
      <c r="H637" s="12" t="inlineStr">
        <is>
          <t>UAT-2: 21/13.8 kV unit auxiliary transformer</t>
        </is>
      </c>
      <c r="I637" s="12" t="inlineStr">
        <is>
          <t>Control</t>
        </is>
      </c>
      <c r="J637" s="12" t="inlineStr">
        <is>
          <t>Control cable 600 V Type TC-ER, Cu #14 AWG, PVC jacket</t>
        </is>
      </c>
      <c r="K637" s="12" t="inlineStr">
        <is>
          <t>CT|7/C|14</t>
        </is>
      </c>
      <c r="L637" s="12" t="inlineStr">
        <is>
          <t>7/C</t>
        </is>
      </c>
      <c r="M637" s="12" t="inlineStr">
        <is>
          <t>14</t>
        </is>
      </c>
      <c r="N637" s="12" t="n">
        <v>1</v>
      </c>
      <c r="O637" s="12" t="n">
        <v>1</v>
      </c>
      <c r="P637" s="12" t="n"/>
      <c r="Q637" s="12" t="n"/>
      <c r="R637" s="12" t="n"/>
      <c r="S637" s="12" t="inlineStr">
        <is>
          <t>Duct bank</t>
        </is>
      </c>
      <c r="T637" s="16" t="n">
        <v>1423</v>
      </c>
      <c r="U637" s="16" t="n">
        <v>96</v>
      </c>
      <c r="V637" s="16">
        <f>ROUNDUP((T637+U637+2*'Read Me'!$B$13)*(1+'Read Me'!$B$12),-1)</f>
        <v/>
      </c>
      <c r="W637" s="16">
        <f>V637*N637*O637</f>
        <v/>
      </c>
      <c r="X637" s="12">
        <f>IF(LEFT(I637,2)="MV",2*N637*IF(L637="1/C",O637,1),0)</f>
        <v/>
      </c>
      <c r="Y637" s="12">
        <f>IF(OR(LEFT(K637,4)="LVAX",LEFT(K637,6)="MV15AX",LEFT(K637,4)="CTAX",LEFT(K637,2)="W|"),2*N637*O637,0)</f>
        <v/>
      </c>
      <c r="Z637" s="12" t="inlineStr"/>
      <c r="AA637" s="12">
        <f>N637*O637</f>
        <v/>
      </c>
    </row>
    <row r="638">
      <c r="A638" s="12" t="inlineStr">
        <is>
          <t>A-C-0626</t>
        </is>
      </c>
      <c r="B638" s="12" t="inlineStr">
        <is>
          <t>A</t>
        </is>
      </c>
      <c r="C638" s="12" t="inlineStr">
        <is>
          <t>Power block</t>
        </is>
      </c>
      <c r="D638" s="12" t="inlineStr">
        <is>
          <t>Motor 6 of 6: control / local station</t>
        </is>
      </c>
      <c r="E638" s="12" t="inlineStr">
        <is>
          <t>R2B</t>
        </is>
      </c>
      <c r="F638" s="12" t="inlineStr">
        <is>
          <t>R2B: unit / HRSG electrical e-house (32 x 40 ft)</t>
        </is>
      </c>
      <c r="G638" s="12" t="inlineStr">
        <is>
          <t>UAT-2</t>
        </is>
      </c>
      <c r="H638" s="12" t="inlineStr">
        <is>
          <t>UAT-2: 21/13.8 kV unit auxiliary transformer</t>
        </is>
      </c>
      <c r="I638" s="12" t="inlineStr">
        <is>
          <t>Control</t>
        </is>
      </c>
      <c r="J638" s="12" t="inlineStr">
        <is>
          <t>Control cable 600 V Type TC-ER, Cu #14 AWG, PVC jacket</t>
        </is>
      </c>
      <c r="K638" s="12" t="inlineStr">
        <is>
          <t>CT|7/C|14</t>
        </is>
      </c>
      <c r="L638" s="12" t="inlineStr">
        <is>
          <t>7/C</t>
        </is>
      </c>
      <c r="M638" s="12" t="inlineStr">
        <is>
          <t>14</t>
        </is>
      </c>
      <c r="N638" s="12" t="n">
        <v>1</v>
      </c>
      <c r="O638" s="12" t="n">
        <v>1</v>
      </c>
      <c r="P638" s="12" t="n"/>
      <c r="Q638" s="12" t="n"/>
      <c r="R638" s="12" t="n"/>
      <c r="S638" s="12" t="inlineStr">
        <is>
          <t>Duct bank</t>
        </is>
      </c>
      <c r="T638" s="16" t="n">
        <v>1423</v>
      </c>
      <c r="U638" s="16" t="n">
        <v>96</v>
      </c>
      <c r="V638" s="16">
        <f>ROUNDUP((T638+U638+2*'Read Me'!$B$13)*(1+'Read Me'!$B$12),-1)</f>
        <v/>
      </c>
      <c r="W638" s="16">
        <f>V638*N638*O638</f>
        <v/>
      </c>
      <c r="X638" s="12">
        <f>IF(LEFT(I638,2)="MV",2*N638*IF(L638="1/C",O638,1),0)</f>
        <v/>
      </c>
      <c r="Y638" s="12">
        <f>IF(OR(LEFT(K638,4)="LVAX",LEFT(K638,6)="MV15AX",LEFT(K638,4)="CTAX",LEFT(K638,2)="W|"),2*N638*O638,0)</f>
        <v/>
      </c>
      <c r="Z638" s="12" t="inlineStr"/>
      <c r="AA638" s="12">
        <f>N638*O638</f>
        <v/>
      </c>
    </row>
    <row r="639">
      <c r="A639" s="12" t="inlineStr">
        <is>
          <t>A-C-0627</t>
        </is>
      </c>
      <c r="B639" s="12" t="inlineStr">
        <is>
          <t>A</t>
        </is>
      </c>
      <c r="C639" s="12" t="inlineStr">
        <is>
          <t>Power block</t>
        </is>
      </c>
      <c r="D639" s="12" t="inlineStr">
        <is>
          <t>Control</t>
        </is>
      </c>
      <c r="E639" s="12" t="inlineStr">
        <is>
          <t>R2B</t>
        </is>
      </c>
      <c r="F639" s="12" t="inlineStr">
        <is>
          <t>R2B: unit / HRSG electrical e-house (32 x 40 ft)</t>
        </is>
      </c>
      <c r="G639" s="12" t="inlineStr">
        <is>
          <t>UAT-2</t>
        </is>
      </c>
      <c r="H639" s="12" t="inlineStr">
        <is>
          <t>UAT-2: 21/13.8 kV unit auxiliary transformer</t>
        </is>
      </c>
      <c r="I639" s="12" t="inlineStr">
        <is>
          <t>Control</t>
        </is>
      </c>
      <c r="J639" s="12" t="inlineStr">
        <is>
          <t>Control cable 600 V Type TC-ER, Cu #14 AWG, PVC jacket</t>
        </is>
      </c>
      <c r="K639" s="12" t="inlineStr">
        <is>
          <t>CT|7/C|14</t>
        </is>
      </c>
      <c r="L639" s="12" t="inlineStr">
        <is>
          <t>7/C</t>
        </is>
      </c>
      <c r="M639" s="12" t="inlineStr">
        <is>
          <t>14</t>
        </is>
      </c>
      <c r="N639" s="12" t="n">
        <v>1</v>
      </c>
      <c r="O639" s="12" t="n">
        <v>1</v>
      </c>
      <c r="P639" s="12" t="n"/>
      <c r="Q639" s="12" t="n"/>
      <c r="R639" s="12" t="n"/>
      <c r="S639" s="12" t="inlineStr">
        <is>
          <t>Duct bank</t>
        </is>
      </c>
      <c r="T639" s="16" t="n">
        <v>1423</v>
      </c>
      <c r="U639" s="16" t="n">
        <v>96</v>
      </c>
      <c r="V639" s="16">
        <f>ROUNDUP((T639+U639+2*'Read Me'!$B$13)*(1+'Read Me'!$B$12),-1)</f>
        <v/>
      </c>
      <c r="W639" s="16">
        <f>V639*N639*O639</f>
        <v/>
      </c>
      <c r="X639" s="12">
        <f>IF(LEFT(I639,2)="MV",2*N639*IF(L639="1/C",O639,1),0)</f>
        <v/>
      </c>
      <c r="Y639" s="12">
        <f>IF(OR(LEFT(K639,4)="LVAX",LEFT(K639,6)="MV15AX",LEFT(K639,4)="CTAX",LEFT(K639,2)="W|"),2*N639*O639,0)</f>
        <v/>
      </c>
      <c r="Z639" s="12" t="inlineStr"/>
      <c r="AA639" s="12">
        <f>N639*O639</f>
        <v/>
      </c>
    </row>
    <row r="640">
      <c r="A640" s="12" t="inlineStr">
        <is>
          <t>A-C-0628</t>
        </is>
      </c>
      <c r="B640" s="12" t="inlineStr">
        <is>
          <t>A</t>
        </is>
      </c>
      <c r="C640" s="12" t="inlineStr">
        <is>
          <t>Power block</t>
        </is>
      </c>
      <c r="D640" s="12" t="inlineStr">
        <is>
          <t>Control</t>
        </is>
      </c>
      <c r="E640" s="12" t="inlineStr">
        <is>
          <t>R2B</t>
        </is>
      </c>
      <c r="F640" s="12" t="inlineStr">
        <is>
          <t>R2B: unit / HRSG electrical e-house (32 x 40 ft)</t>
        </is>
      </c>
      <c r="G640" s="12" t="inlineStr">
        <is>
          <t>UAT-2</t>
        </is>
      </c>
      <c r="H640" s="12" t="inlineStr">
        <is>
          <t>UAT-2: 21/13.8 kV unit auxiliary transformer</t>
        </is>
      </c>
      <c r="I640" s="12" t="inlineStr">
        <is>
          <t>Control</t>
        </is>
      </c>
      <c r="J640" s="12" t="inlineStr">
        <is>
          <t>Control cable 600 V Type TC-ER, Cu #14 AWG, PVC jacket</t>
        </is>
      </c>
      <c r="K640" s="12" t="inlineStr">
        <is>
          <t>CT|12/C|14</t>
        </is>
      </c>
      <c r="L640" s="12" t="inlineStr">
        <is>
          <t>12/C</t>
        </is>
      </c>
      <c r="M640" s="12" t="inlineStr">
        <is>
          <t>14</t>
        </is>
      </c>
      <c r="N640" s="12" t="n">
        <v>1</v>
      </c>
      <c r="O640" s="12" t="n">
        <v>1</v>
      </c>
      <c r="P640" s="12" t="n"/>
      <c r="Q640" s="12" t="n"/>
      <c r="R640" s="12" t="n"/>
      <c r="S640" s="12" t="inlineStr">
        <is>
          <t>Duct bank</t>
        </is>
      </c>
      <c r="T640" s="16" t="n">
        <v>1423</v>
      </c>
      <c r="U640" s="16" t="n">
        <v>96</v>
      </c>
      <c r="V640" s="16">
        <f>ROUNDUP((T640+U640+2*'Read Me'!$B$13)*(1+'Read Me'!$B$12),-1)</f>
        <v/>
      </c>
      <c r="W640" s="16">
        <f>V640*N640*O640</f>
        <v/>
      </c>
      <c r="X640" s="12">
        <f>IF(LEFT(I640,2)="MV",2*N640*IF(L640="1/C",O640,1),0)</f>
        <v/>
      </c>
      <c r="Y640" s="12">
        <f>IF(OR(LEFT(K640,4)="LVAX",LEFT(K640,6)="MV15AX",LEFT(K640,4)="CTAX",LEFT(K640,2)="W|"),2*N640*O640,0)</f>
        <v/>
      </c>
      <c r="Z640" s="12" t="inlineStr"/>
      <c r="AA640" s="12">
        <f>N640*O640</f>
        <v/>
      </c>
    </row>
    <row r="641">
      <c r="A641" s="12" t="inlineStr">
        <is>
          <t>A-C-0629</t>
        </is>
      </c>
      <c r="B641" s="12" t="inlineStr">
        <is>
          <t>A</t>
        </is>
      </c>
      <c r="C641" s="12" t="inlineStr">
        <is>
          <t>Power block</t>
        </is>
      </c>
      <c r="D641" s="12" t="inlineStr">
        <is>
          <t>CT / VT</t>
        </is>
      </c>
      <c r="E641" s="12" t="inlineStr">
        <is>
          <t>R2B</t>
        </is>
      </c>
      <c r="F641" s="12" t="inlineStr">
        <is>
          <t>R2B: unit / HRSG electrical e-house (32 x 40 ft)</t>
        </is>
      </c>
      <c r="G641" s="12" t="inlineStr">
        <is>
          <t>UAT-2</t>
        </is>
      </c>
      <c r="H641" s="12" t="inlineStr">
        <is>
          <t>UAT-2: 21/13.8 kV unit auxiliary transformer</t>
        </is>
      </c>
      <c r="I641" s="12" t="inlineStr">
        <is>
          <t>Control</t>
        </is>
      </c>
      <c r="J641" s="12" t="inlineStr">
        <is>
          <t>Control cable 600 V Type TC-ER, Cu #10 AWG (CT / VT circuits)</t>
        </is>
      </c>
      <c r="K641" s="12" t="inlineStr">
        <is>
          <t>CTCT|4/C|10</t>
        </is>
      </c>
      <c r="L641" s="12" t="inlineStr">
        <is>
          <t>4/C</t>
        </is>
      </c>
      <c r="M641" s="12" t="inlineStr">
        <is>
          <t>10</t>
        </is>
      </c>
      <c r="N641" s="12" t="n">
        <v>1</v>
      </c>
      <c r="O641" s="12" t="n">
        <v>1</v>
      </c>
      <c r="P641" s="12" t="n"/>
      <c r="Q641" s="12" t="n"/>
      <c r="R641" s="12" t="n"/>
      <c r="S641" s="12" t="inlineStr">
        <is>
          <t>Duct bank</t>
        </is>
      </c>
      <c r="T641" s="16" t="n">
        <v>1423</v>
      </c>
      <c r="U641" s="16" t="n">
        <v>96</v>
      </c>
      <c r="V641" s="16">
        <f>ROUNDUP((T641+U641+2*'Read Me'!$B$13)*(1+'Read Me'!$B$12),-1)</f>
        <v/>
      </c>
      <c r="W641" s="16">
        <f>V641*N641*O641</f>
        <v/>
      </c>
      <c r="X641" s="12">
        <f>IF(LEFT(I641,2)="MV",2*N641*IF(L641="1/C",O641,1),0)</f>
        <v/>
      </c>
      <c r="Y641" s="12">
        <f>IF(OR(LEFT(K641,4)="LVAX",LEFT(K641,6)="MV15AX",LEFT(K641,4)="CTAX",LEFT(K641,2)="W|"),2*N641*O641,0)</f>
        <v/>
      </c>
      <c r="Z641" s="12" t="inlineStr"/>
      <c r="AA641" s="12">
        <f>N641*O641</f>
        <v/>
      </c>
    </row>
    <row r="642">
      <c r="A642" s="12" t="inlineStr">
        <is>
          <t>A-C-0630</t>
        </is>
      </c>
      <c r="B642" s="12" t="inlineStr">
        <is>
          <t>A</t>
        </is>
      </c>
      <c r="C642" s="12" t="inlineStr">
        <is>
          <t>Power block</t>
        </is>
      </c>
      <c r="D642" s="12" t="inlineStr">
        <is>
          <t>CT / VT</t>
        </is>
      </c>
      <c r="E642" s="12" t="inlineStr">
        <is>
          <t>R2B</t>
        </is>
      </c>
      <c r="F642" s="12" t="inlineStr">
        <is>
          <t>R2B: unit / HRSG electrical e-house (32 x 40 ft)</t>
        </is>
      </c>
      <c r="G642" s="12" t="inlineStr">
        <is>
          <t>UAT-2</t>
        </is>
      </c>
      <c r="H642" s="12" t="inlineStr">
        <is>
          <t>UAT-2: 21/13.8 kV unit auxiliary transformer</t>
        </is>
      </c>
      <c r="I642" s="12" t="inlineStr">
        <is>
          <t>Control</t>
        </is>
      </c>
      <c r="J642" s="12" t="inlineStr">
        <is>
          <t>Control cable 600 V Type TC-ER, Cu #10 AWG (CT / VT circuits)</t>
        </is>
      </c>
      <c r="K642" s="12" t="inlineStr">
        <is>
          <t>CTCT|4/C|10</t>
        </is>
      </c>
      <c r="L642" s="12" t="inlineStr">
        <is>
          <t>4/C</t>
        </is>
      </c>
      <c r="M642" s="12" t="inlineStr">
        <is>
          <t>10</t>
        </is>
      </c>
      <c r="N642" s="12" t="n">
        <v>1</v>
      </c>
      <c r="O642" s="12" t="n">
        <v>1</v>
      </c>
      <c r="P642" s="12" t="n"/>
      <c r="Q642" s="12" t="n"/>
      <c r="R642" s="12" t="n"/>
      <c r="S642" s="12" t="inlineStr">
        <is>
          <t>Duct bank</t>
        </is>
      </c>
      <c r="T642" s="16" t="n">
        <v>1423</v>
      </c>
      <c r="U642" s="16" t="n">
        <v>96</v>
      </c>
      <c r="V642" s="16">
        <f>ROUNDUP((T642+U642+2*'Read Me'!$B$13)*(1+'Read Me'!$B$12),-1)</f>
        <v/>
      </c>
      <c r="W642" s="16">
        <f>V642*N642*O642</f>
        <v/>
      </c>
      <c r="X642" s="12">
        <f>IF(LEFT(I642,2)="MV",2*N642*IF(L642="1/C",O642,1),0)</f>
        <v/>
      </c>
      <c r="Y642" s="12">
        <f>IF(OR(LEFT(K642,4)="LVAX",LEFT(K642,6)="MV15AX",LEFT(K642,4)="CTAX",LEFT(K642,2)="W|"),2*N642*O642,0)</f>
        <v/>
      </c>
      <c r="Z642" s="12" t="inlineStr"/>
      <c r="AA642" s="12">
        <f>N642*O642</f>
        <v/>
      </c>
    </row>
    <row r="643">
      <c r="A643" s="12" t="inlineStr">
        <is>
          <t>A-C-0631</t>
        </is>
      </c>
      <c r="B643" s="12" t="inlineStr">
        <is>
          <t>A</t>
        </is>
      </c>
      <c r="C643" s="12" t="inlineStr">
        <is>
          <t>Power block</t>
        </is>
      </c>
      <c r="D643" s="12" t="inlineStr">
        <is>
          <t>Motor 1 of 6: control / local station</t>
        </is>
      </c>
      <c r="E643" s="12" t="inlineStr">
        <is>
          <t>R2C</t>
        </is>
      </c>
      <c r="F643" s="12" t="inlineStr">
        <is>
          <t>R2C: unit / HRSG electrical e-house (32 x 40 ft)</t>
        </is>
      </c>
      <c r="G643" s="12" t="inlineStr">
        <is>
          <t>UAT-3</t>
        </is>
      </c>
      <c r="H643" s="12" t="inlineStr">
        <is>
          <t>UAT-3: 21/13.8 kV unit auxiliary transformer</t>
        </is>
      </c>
      <c r="I643" s="12" t="inlineStr">
        <is>
          <t>Control</t>
        </is>
      </c>
      <c r="J643" s="12" t="inlineStr">
        <is>
          <t>Control cable 600 V Type TC-ER, Cu #14 AWG, PVC jacket</t>
        </is>
      </c>
      <c r="K643" s="12" t="inlineStr">
        <is>
          <t>CT|7/C|14</t>
        </is>
      </c>
      <c r="L643" s="12" t="inlineStr">
        <is>
          <t>7/C</t>
        </is>
      </c>
      <c r="M643" s="12" t="inlineStr">
        <is>
          <t>14</t>
        </is>
      </c>
      <c r="N643" s="12" t="n">
        <v>1</v>
      </c>
      <c r="O643" s="12" t="n">
        <v>1</v>
      </c>
      <c r="P643" s="12" t="n"/>
      <c r="Q643" s="12" t="n"/>
      <c r="R643" s="12" t="n"/>
      <c r="S643" s="12" t="inlineStr">
        <is>
          <t>Duct bank</t>
        </is>
      </c>
      <c r="T643" s="16" t="n">
        <v>1103</v>
      </c>
      <c r="U643" s="16" t="n">
        <v>96</v>
      </c>
      <c r="V643" s="16">
        <f>ROUNDUP((T643+U643+2*'Read Me'!$B$13)*(1+'Read Me'!$B$12),-1)</f>
        <v/>
      </c>
      <c r="W643" s="16">
        <f>V643*N643*O643</f>
        <v/>
      </c>
      <c r="X643" s="12">
        <f>IF(LEFT(I643,2)="MV",2*N643*IF(L643="1/C",O643,1),0)</f>
        <v/>
      </c>
      <c r="Y643" s="12">
        <f>IF(OR(LEFT(K643,4)="LVAX",LEFT(K643,6)="MV15AX",LEFT(K643,4)="CTAX",LEFT(K643,2)="W|"),2*N643*O643,0)</f>
        <v/>
      </c>
      <c r="Z643" s="12" t="inlineStr"/>
      <c r="AA643" s="12">
        <f>N643*O643</f>
        <v/>
      </c>
    </row>
    <row r="644">
      <c r="A644" s="12" t="inlineStr">
        <is>
          <t>A-C-0632</t>
        </is>
      </c>
      <c r="B644" s="12" t="inlineStr">
        <is>
          <t>A</t>
        </is>
      </c>
      <c r="C644" s="12" t="inlineStr">
        <is>
          <t>Power block</t>
        </is>
      </c>
      <c r="D644" s="12" t="inlineStr">
        <is>
          <t>Motor 2 of 6: control / local station</t>
        </is>
      </c>
      <c r="E644" s="12" t="inlineStr">
        <is>
          <t>R2C</t>
        </is>
      </c>
      <c r="F644" s="12" t="inlineStr">
        <is>
          <t>R2C: unit / HRSG electrical e-house (32 x 40 ft)</t>
        </is>
      </c>
      <c r="G644" s="12" t="inlineStr">
        <is>
          <t>UAT-3</t>
        </is>
      </c>
      <c r="H644" s="12" t="inlineStr">
        <is>
          <t>UAT-3: 21/13.8 kV unit auxiliary transformer</t>
        </is>
      </c>
      <c r="I644" s="12" t="inlineStr">
        <is>
          <t>Control</t>
        </is>
      </c>
      <c r="J644" s="12" t="inlineStr">
        <is>
          <t>Control cable 600 V Type TC-ER, Cu #14 AWG, PVC jacket</t>
        </is>
      </c>
      <c r="K644" s="12" t="inlineStr">
        <is>
          <t>CT|7/C|14</t>
        </is>
      </c>
      <c r="L644" s="12" t="inlineStr">
        <is>
          <t>7/C</t>
        </is>
      </c>
      <c r="M644" s="12" t="inlineStr">
        <is>
          <t>14</t>
        </is>
      </c>
      <c r="N644" s="12" t="n">
        <v>1</v>
      </c>
      <c r="O644" s="12" t="n">
        <v>1</v>
      </c>
      <c r="P644" s="12" t="n"/>
      <c r="Q644" s="12" t="n"/>
      <c r="R644" s="12" t="n"/>
      <c r="S644" s="12" t="inlineStr">
        <is>
          <t>Duct bank</t>
        </is>
      </c>
      <c r="T644" s="16" t="n">
        <v>1103</v>
      </c>
      <c r="U644" s="16" t="n">
        <v>96</v>
      </c>
      <c r="V644" s="16">
        <f>ROUNDUP((T644+U644+2*'Read Me'!$B$13)*(1+'Read Me'!$B$12),-1)</f>
        <v/>
      </c>
      <c r="W644" s="16">
        <f>V644*N644*O644</f>
        <v/>
      </c>
      <c r="X644" s="12">
        <f>IF(LEFT(I644,2)="MV",2*N644*IF(L644="1/C",O644,1),0)</f>
        <v/>
      </c>
      <c r="Y644" s="12">
        <f>IF(OR(LEFT(K644,4)="LVAX",LEFT(K644,6)="MV15AX",LEFT(K644,4)="CTAX",LEFT(K644,2)="W|"),2*N644*O644,0)</f>
        <v/>
      </c>
      <c r="Z644" s="12" t="inlineStr"/>
      <c r="AA644" s="12">
        <f>N644*O644</f>
        <v/>
      </c>
    </row>
    <row r="645">
      <c r="A645" s="12" t="inlineStr">
        <is>
          <t>A-C-0633</t>
        </is>
      </c>
      <c r="B645" s="12" t="inlineStr">
        <is>
          <t>A</t>
        </is>
      </c>
      <c r="C645" s="12" t="inlineStr">
        <is>
          <t>Power block</t>
        </is>
      </c>
      <c r="D645" s="12" t="inlineStr">
        <is>
          <t>Motor 3 of 6: control / local station</t>
        </is>
      </c>
      <c r="E645" s="12" t="inlineStr">
        <is>
          <t>R2C</t>
        </is>
      </c>
      <c r="F645" s="12" t="inlineStr">
        <is>
          <t>R2C: unit / HRSG electrical e-house (32 x 40 ft)</t>
        </is>
      </c>
      <c r="G645" s="12" t="inlineStr">
        <is>
          <t>UAT-3</t>
        </is>
      </c>
      <c r="H645" s="12" t="inlineStr">
        <is>
          <t>UAT-3: 21/13.8 kV unit auxiliary transformer</t>
        </is>
      </c>
      <c r="I645" s="12" t="inlineStr">
        <is>
          <t>Control</t>
        </is>
      </c>
      <c r="J645" s="12" t="inlineStr">
        <is>
          <t>Control cable 600 V Type TC-ER, Cu #14 AWG, PVC jacket</t>
        </is>
      </c>
      <c r="K645" s="12" t="inlineStr">
        <is>
          <t>CT|7/C|14</t>
        </is>
      </c>
      <c r="L645" s="12" t="inlineStr">
        <is>
          <t>7/C</t>
        </is>
      </c>
      <c r="M645" s="12" t="inlineStr">
        <is>
          <t>14</t>
        </is>
      </c>
      <c r="N645" s="12" t="n">
        <v>1</v>
      </c>
      <c r="O645" s="12" t="n">
        <v>1</v>
      </c>
      <c r="P645" s="12" t="n"/>
      <c r="Q645" s="12" t="n"/>
      <c r="R645" s="12" t="n"/>
      <c r="S645" s="12" t="inlineStr">
        <is>
          <t>Duct bank</t>
        </is>
      </c>
      <c r="T645" s="16" t="n">
        <v>1103</v>
      </c>
      <c r="U645" s="16" t="n">
        <v>96</v>
      </c>
      <c r="V645" s="16">
        <f>ROUNDUP((T645+U645+2*'Read Me'!$B$13)*(1+'Read Me'!$B$12),-1)</f>
        <v/>
      </c>
      <c r="W645" s="16">
        <f>V645*N645*O645</f>
        <v/>
      </c>
      <c r="X645" s="12">
        <f>IF(LEFT(I645,2)="MV",2*N645*IF(L645="1/C",O645,1),0)</f>
        <v/>
      </c>
      <c r="Y645" s="12">
        <f>IF(OR(LEFT(K645,4)="LVAX",LEFT(K645,6)="MV15AX",LEFT(K645,4)="CTAX",LEFT(K645,2)="W|"),2*N645*O645,0)</f>
        <v/>
      </c>
      <c r="Z645" s="12" t="inlineStr"/>
      <c r="AA645" s="12">
        <f>N645*O645</f>
        <v/>
      </c>
    </row>
    <row r="646">
      <c r="A646" s="12" t="inlineStr">
        <is>
          <t>A-C-0634</t>
        </is>
      </c>
      <c r="B646" s="12" t="inlineStr">
        <is>
          <t>A</t>
        </is>
      </c>
      <c r="C646" s="12" t="inlineStr">
        <is>
          <t>Power block</t>
        </is>
      </c>
      <c r="D646" s="12" t="inlineStr">
        <is>
          <t>Motor 4 of 6: control / local station</t>
        </is>
      </c>
      <c r="E646" s="12" t="inlineStr">
        <is>
          <t>R2C</t>
        </is>
      </c>
      <c r="F646" s="12" t="inlineStr">
        <is>
          <t>R2C: unit / HRSG electrical e-house (32 x 40 ft)</t>
        </is>
      </c>
      <c r="G646" s="12" t="inlineStr">
        <is>
          <t>UAT-3</t>
        </is>
      </c>
      <c r="H646" s="12" t="inlineStr">
        <is>
          <t>UAT-3: 21/13.8 kV unit auxiliary transformer</t>
        </is>
      </c>
      <c r="I646" s="12" t="inlineStr">
        <is>
          <t>Control</t>
        </is>
      </c>
      <c r="J646" s="12" t="inlineStr">
        <is>
          <t>Control cable 600 V Type TC-ER, Cu #14 AWG, PVC jacket</t>
        </is>
      </c>
      <c r="K646" s="12" t="inlineStr">
        <is>
          <t>CT|7/C|14</t>
        </is>
      </c>
      <c r="L646" s="12" t="inlineStr">
        <is>
          <t>7/C</t>
        </is>
      </c>
      <c r="M646" s="12" t="inlineStr">
        <is>
          <t>14</t>
        </is>
      </c>
      <c r="N646" s="12" t="n">
        <v>1</v>
      </c>
      <c r="O646" s="12" t="n">
        <v>1</v>
      </c>
      <c r="P646" s="12" t="n"/>
      <c r="Q646" s="12" t="n"/>
      <c r="R646" s="12" t="n"/>
      <c r="S646" s="12" t="inlineStr">
        <is>
          <t>Duct bank</t>
        </is>
      </c>
      <c r="T646" s="16" t="n">
        <v>1103</v>
      </c>
      <c r="U646" s="16" t="n">
        <v>96</v>
      </c>
      <c r="V646" s="16">
        <f>ROUNDUP((T646+U646+2*'Read Me'!$B$13)*(1+'Read Me'!$B$12),-1)</f>
        <v/>
      </c>
      <c r="W646" s="16">
        <f>V646*N646*O646</f>
        <v/>
      </c>
      <c r="X646" s="12">
        <f>IF(LEFT(I646,2)="MV",2*N646*IF(L646="1/C",O646,1),0)</f>
        <v/>
      </c>
      <c r="Y646" s="12">
        <f>IF(OR(LEFT(K646,4)="LVAX",LEFT(K646,6)="MV15AX",LEFT(K646,4)="CTAX",LEFT(K646,2)="W|"),2*N646*O646,0)</f>
        <v/>
      </c>
      <c r="Z646" s="12" t="inlineStr"/>
      <c r="AA646" s="12">
        <f>N646*O646</f>
        <v/>
      </c>
    </row>
    <row r="647">
      <c r="A647" s="12" t="inlineStr">
        <is>
          <t>A-C-0635</t>
        </is>
      </c>
      <c r="B647" s="12" t="inlineStr">
        <is>
          <t>A</t>
        </is>
      </c>
      <c r="C647" s="12" t="inlineStr">
        <is>
          <t>Power block</t>
        </is>
      </c>
      <c r="D647" s="12" t="inlineStr">
        <is>
          <t>Motor 5 of 6: control / local station</t>
        </is>
      </c>
      <c r="E647" s="12" t="inlineStr">
        <is>
          <t>R2C</t>
        </is>
      </c>
      <c r="F647" s="12" t="inlineStr">
        <is>
          <t>R2C: unit / HRSG electrical e-house (32 x 40 ft)</t>
        </is>
      </c>
      <c r="G647" s="12" t="inlineStr">
        <is>
          <t>UAT-3</t>
        </is>
      </c>
      <c r="H647" s="12" t="inlineStr">
        <is>
          <t>UAT-3: 21/13.8 kV unit auxiliary transformer</t>
        </is>
      </c>
      <c r="I647" s="12" t="inlineStr">
        <is>
          <t>Control</t>
        </is>
      </c>
      <c r="J647" s="12" t="inlineStr">
        <is>
          <t>Control cable 600 V Type TC-ER, Cu #14 AWG, PVC jacket</t>
        </is>
      </c>
      <c r="K647" s="12" t="inlineStr">
        <is>
          <t>CT|7/C|14</t>
        </is>
      </c>
      <c r="L647" s="12" t="inlineStr">
        <is>
          <t>7/C</t>
        </is>
      </c>
      <c r="M647" s="12" t="inlineStr">
        <is>
          <t>14</t>
        </is>
      </c>
      <c r="N647" s="12" t="n">
        <v>1</v>
      </c>
      <c r="O647" s="12" t="n">
        <v>1</v>
      </c>
      <c r="P647" s="12" t="n"/>
      <c r="Q647" s="12" t="n"/>
      <c r="R647" s="12" t="n"/>
      <c r="S647" s="12" t="inlineStr">
        <is>
          <t>Duct bank</t>
        </is>
      </c>
      <c r="T647" s="16" t="n">
        <v>1103</v>
      </c>
      <c r="U647" s="16" t="n">
        <v>96</v>
      </c>
      <c r="V647" s="16">
        <f>ROUNDUP((T647+U647+2*'Read Me'!$B$13)*(1+'Read Me'!$B$12),-1)</f>
        <v/>
      </c>
      <c r="W647" s="16">
        <f>V647*N647*O647</f>
        <v/>
      </c>
      <c r="X647" s="12">
        <f>IF(LEFT(I647,2)="MV",2*N647*IF(L647="1/C",O647,1),0)</f>
        <v/>
      </c>
      <c r="Y647" s="12">
        <f>IF(OR(LEFT(K647,4)="LVAX",LEFT(K647,6)="MV15AX",LEFT(K647,4)="CTAX",LEFT(K647,2)="W|"),2*N647*O647,0)</f>
        <v/>
      </c>
      <c r="Z647" s="12" t="inlineStr"/>
      <c r="AA647" s="12">
        <f>N647*O647</f>
        <v/>
      </c>
    </row>
    <row r="648">
      <c r="A648" s="12" t="inlineStr">
        <is>
          <t>A-C-0636</t>
        </is>
      </c>
      <c r="B648" s="12" t="inlineStr">
        <is>
          <t>A</t>
        </is>
      </c>
      <c r="C648" s="12" t="inlineStr">
        <is>
          <t>Power block</t>
        </is>
      </c>
      <c r="D648" s="12" t="inlineStr">
        <is>
          <t>Motor 6 of 6: control / local station</t>
        </is>
      </c>
      <c r="E648" s="12" t="inlineStr">
        <is>
          <t>R2C</t>
        </is>
      </c>
      <c r="F648" s="12" t="inlineStr">
        <is>
          <t>R2C: unit / HRSG electrical e-house (32 x 40 ft)</t>
        </is>
      </c>
      <c r="G648" s="12" t="inlineStr">
        <is>
          <t>UAT-3</t>
        </is>
      </c>
      <c r="H648" s="12" t="inlineStr">
        <is>
          <t>UAT-3: 21/13.8 kV unit auxiliary transformer</t>
        </is>
      </c>
      <c r="I648" s="12" t="inlineStr">
        <is>
          <t>Control</t>
        </is>
      </c>
      <c r="J648" s="12" t="inlineStr">
        <is>
          <t>Control cable 600 V Type TC-ER, Cu #14 AWG, PVC jacket</t>
        </is>
      </c>
      <c r="K648" s="12" t="inlineStr">
        <is>
          <t>CT|7/C|14</t>
        </is>
      </c>
      <c r="L648" s="12" t="inlineStr">
        <is>
          <t>7/C</t>
        </is>
      </c>
      <c r="M648" s="12" t="inlineStr">
        <is>
          <t>14</t>
        </is>
      </c>
      <c r="N648" s="12" t="n">
        <v>1</v>
      </c>
      <c r="O648" s="12" t="n">
        <v>1</v>
      </c>
      <c r="P648" s="12" t="n"/>
      <c r="Q648" s="12" t="n"/>
      <c r="R648" s="12" t="n"/>
      <c r="S648" s="12" t="inlineStr">
        <is>
          <t>Duct bank</t>
        </is>
      </c>
      <c r="T648" s="16" t="n">
        <v>1103</v>
      </c>
      <c r="U648" s="16" t="n">
        <v>96</v>
      </c>
      <c r="V648" s="16">
        <f>ROUNDUP((T648+U648+2*'Read Me'!$B$13)*(1+'Read Me'!$B$12),-1)</f>
        <v/>
      </c>
      <c r="W648" s="16">
        <f>V648*N648*O648</f>
        <v/>
      </c>
      <c r="X648" s="12">
        <f>IF(LEFT(I648,2)="MV",2*N648*IF(L648="1/C",O648,1),0)</f>
        <v/>
      </c>
      <c r="Y648" s="12">
        <f>IF(OR(LEFT(K648,4)="LVAX",LEFT(K648,6)="MV15AX",LEFT(K648,4)="CTAX",LEFT(K648,2)="W|"),2*N648*O648,0)</f>
        <v/>
      </c>
      <c r="Z648" s="12" t="inlineStr"/>
      <c r="AA648" s="12">
        <f>N648*O648</f>
        <v/>
      </c>
    </row>
    <row r="649">
      <c r="A649" s="12" t="inlineStr">
        <is>
          <t>A-C-0637</t>
        </is>
      </c>
      <c r="B649" s="12" t="inlineStr">
        <is>
          <t>A</t>
        </is>
      </c>
      <c r="C649" s="12" t="inlineStr">
        <is>
          <t>Power block</t>
        </is>
      </c>
      <c r="D649" s="12" t="inlineStr">
        <is>
          <t>Control</t>
        </is>
      </c>
      <c r="E649" s="12" t="inlineStr">
        <is>
          <t>R2C</t>
        </is>
      </c>
      <c r="F649" s="12" t="inlineStr">
        <is>
          <t>R2C: unit / HRSG electrical e-house (32 x 40 ft)</t>
        </is>
      </c>
      <c r="G649" s="12" t="inlineStr">
        <is>
          <t>UAT-3</t>
        </is>
      </c>
      <c r="H649" s="12" t="inlineStr">
        <is>
          <t>UAT-3: 21/13.8 kV unit auxiliary transformer</t>
        </is>
      </c>
      <c r="I649" s="12" t="inlineStr">
        <is>
          <t>Control</t>
        </is>
      </c>
      <c r="J649" s="12" t="inlineStr">
        <is>
          <t>Control cable 600 V Type TC-ER, Cu #14 AWG, PVC jacket</t>
        </is>
      </c>
      <c r="K649" s="12" t="inlineStr">
        <is>
          <t>CT|7/C|14</t>
        </is>
      </c>
      <c r="L649" s="12" t="inlineStr">
        <is>
          <t>7/C</t>
        </is>
      </c>
      <c r="M649" s="12" t="inlineStr">
        <is>
          <t>14</t>
        </is>
      </c>
      <c r="N649" s="12" t="n">
        <v>1</v>
      </c>
      <c r="O649" s="12" t="n">
        <v>1</v>
      </c>
      <c r="P649" s="12" t="n"/>
      <c r="Q649" s="12" t="n"/>
      <c r="R649" s="12" t="n"/>
      <c r="S649" s="12" t="inlineStr">
        <is>
          <t>Duct bank</t>
        </is>
      </c>
      <c r="T649" s="16" t="n">
        <v>1103</v>
      </c>
      <c r="U649" s="16" t="n">
        <v>96</v>
      </c>
      <c r="V649" s="16">
        <f>ROUNDUP((T649+U649+2*'Read Me'!$B$13)*(1+'Read Me'!$B$12),-1)</f>
        <v/>
      </c>
      <c r="W649" s="16">
        <f>V649*N649*O649</f>
        <v/>
      </c>
      <c r="X649" s="12">
        <f>IF(LEFT(I649,2)="MV",2*N649*IF(L649="1/C",O649,1),0)</f>
        <v/>
      </c>
      <c r="Y649" s="12">
        <f>IF(OR(LEFT(K649,4)="LVAX",LEFT(K649,6)="MV15AX",LEFT(K649,4)="CTAX",LEFT(K649,2)="W|"),2*N649*O649,0)</f>
        <v/>
      </c>
      <c r="Z649" s="12" t="inlineStr"/>
      <c r="AA649" s="12">
        <f>N649*O649</f>
        <v/>
      </c>
    </row>
    <row r="650">
      <c r="A650" s="12" t="inlineStr">
        <is>
          <t>A-C-0638</t>
        </is>
      </c>
      <c r="B650" s="12" t="inlineStr">
        <is>
          <t>A</t>
        </is>
      </c>
      <c r="C650" s="12" t="inlineStr">
        <is>
          <t>Power block</t>
        </is>
      </c>
      <c r="D650" s="12" t="inlineStr">
        <is>
          <t>Control</t>
        </is>
      </c>
      <c r="E650" s="12" t="inlineStr">
        <is>
          <t>R2C</t>
        </is>
      </c>
      <c r="F650" s="12" t="inlineStr">
        <is>
          <t>R2C: unit / HRSG electrical e-house (32 x 40 ft)</t>
        </is>
      </c>
      <c r="G650" s="12" t="inlineStr">
        <is>
          <t>UAT-3</t>
        </is>
      </c>
      <c r="H650" s="12" t="inlineStr">
        <is>
          <t>UAT-3: 21/13.8 kV unit auxiliary transformer</t>
        </is>
      </c>
      <c r="I650" s="12" t="inlineStr">
        <is>
          <t>Control</t>
        </is>
      </c>
      <c r="J650" s="12" t="inlineStr">
        <is>
          <t>Control cable 600 V Type TC-ER, Cu #14 AWG, PVC jacket</t>
        </is>
      </c>
      <c r="K650" s="12" t="inlineStr">
        <is>
          <t>CT|12/C|14</t>
        </is>
      </c>
      <c r="L650" s="12" t="inlineStr">
        <is>
          <t>12/C</t>
        </is>
      </c>
      <c r="M650" s="12" t="inlineStr">
        <is>
          <t>14</t>
        </is>
      </c>
      <c r="N650" s="12" t="n">
        <v>1</v>
      </c>
      <c r="O650" s="12" t="n">
        <v>1</v>
      </c>
      <c r="P650" s="12" t="n"/>
      <c r="Q650" s="12" t="n"/>
      <c r="R650" s="12" t="n"/>
      <c r="S650" s="12" t="inlineStr">
        <is>
          <t>Duct bank</t>
        </is>
      </c>
      <c r="T650" s="16" t="n">
        <v>1103</v>
      </c>
      <c r="U650" s="16" t="n">
        <v>96</v>
      </c>
      <c r="V650" s="16">
        <f>ROUNDUP((T650+U650+2*'Read Me'!$B$13)*(1+'Read Me'!$B$12),-1)</f>
        <v/>
      </c>
      <c r="W650" s="16">
        <f>V650*N650*O650</f>
        <v/>
      </c>
      <c r="X650" s="12">
        <f>IF(LEFT(I650,2)="MV",2*N650*IF(L650="1/C",O650,1),0)</f>
        <v/>
      </c>
      <c r="Y650" s="12">
        <f>IF(OR(LEFT(K650,4)="LVAX",LEFT(K650,6)="MV15AX",LEFT(K650,4)="CTAX",LEFT(K650,2)="W|"),2*N650*O650,0)</f>
        <v/>
      </c>
      <c r="Z650" s="12" t="inlineStr"/>
      <c r="AA650" s="12">
        <f>N650*O650</f>
        <v/>
      </c>
    </row>
    <row r="651">
      <c r="A651" s="12" t="inlineStr">
        <is>
          <t>A-C-0639</t>
        </is>
      </c>
      <c r="B651" s="12" t="inlineStr">
        <is>
          <t>A</t>
        </is>
      </c>
      <c r="C651" s="12" t="inlineStr">
        <is>
          <t>Power block</t>
        </is>
      </c>
      <c r="D651" s="12" t="inlineStr">
        <is>
          <t>CT / VT</t>
        </is>
      </c>
      <c r="E651" s="12" t="inlineStr">
        <is>
          <t>R2C</t>
        </is>
      </c>
      <c r="F651" s="12" t="inlineStr">
        <is>
          <t>R2C: unit / HRSG electrical e-house (32 x 40 ft)</t>
        </is>
      </c>
      <c r="G651" s="12" t="inlineStr">
        <is>
          <t>UAT-3</t>
        </is>
      </c>
      <c r="H651" s="12" t="inlineStr">
        <is>
          <t>UAT-3: 21/13.8 kV unit auxiliary transformer</t>
        </is>
      </c>
      <c r="I651" s="12" t="inlineStr">
        <is>
          <t>Control</t>
        </is>
      </c>
      <c r="J651" s="12" t="inlineStr">
        <is>
          <t>Control cable 600 V Type TC-ER, Cu #10 AWG (CT / VT circuits)</t>
        </is>
      </c>
      <c r="K651" s="12" t="inlineStr">
        <is>
          <t>CTCT|4/C|10</t>
        </is>
      </c>
      <c r="L651" s="12" t="inlineStr">
        <is>
          <t>4/C</t>
        </is>
      </c>
      <c r="M651" s="12" t="inlineStr">
        <is>
          <t>10</t>
        </is>
      </c>
      <c r="N651" s="12" t="n">
        <v>1</v>
      </c>
      <c r="O651" s="12" t="n">
        <v>1</v>
      </c>
      <c r="P651" s="12" t="n"/>
      <c r="Q651" s="12" t="n"/>
      <c r="R651" s="12" t="n"/>
      <c r="S651" s="12" t="inlineStr">
        <is>
          <t>Duct bank</t>
        </is>
      </c>
      <c r="T651" s="16" t="n">
        <v>1103</v>
      </c>
      <c r="U651" s="16" t="n">
        <v>96</v>
      </c>
      <c r="V651" s="16">
        <f>ROUNDUP((T651+U651+2*'Read Me'!$B$13)*(1+'Read Me'!$B$12),-1)</f>
        <v/>
      </c>
      <c r="W651" s="16">
        <f>V651*N651*O651</f>
        <v/>
      </c>
      <c r="X651" s="12">
        <f>IF(LEFT(I651,2)="MV",2*N651*IF(L651="1/C",O651,1),0)</f>
        <v/>
      </c>
      <c r="Y651" s="12">
        <f>IF(OR(LEFT(K651,4)="LVAX",LEFT(K651,6)="MV15AX",LEFT(K651,4)="CTAX",LEFT(K651,2)="W|"),2*N651*O651,0)</f>
        <v/>
      </c>
      <c r="Z651" s="12" t="inlineStr"/>
      <c r="AA651" s="12">
        <f>N651*O651</f>
        <v/>
      </c>
    </row>
    <row r="652">
      <c r="A652" s="12" t="inlineStr">
        <is>
          <t>A-C-0640</t>
        </is>
      </c>
      <c r="B652" s="12" t="inlineStr">
        <is>
          <t>A</t>
        </is>
      </c>
      <c r="C652" s="12" t="inlineStr">
        <is>
          <t>Power block</t>
        </is>
      </c>
      <c r="D652" s="12" t="inlineStr">
        <is>
          <t>CT / VT</t>
        </is>
      </c>
      <c r="E652" s="12" t="inlineStr">
        <is>
          <t>R2C</t>
        </is>
      </c>
      <c r="F652" s="12" t="inlineStr">
        <is>
          <t>R2C: unit / HRSG electrical e-house (32 x 40 ft)</t>
        </is>
      </c>
      <c r="G652" s="12" t="inlineStr">
        <is>
          <t>UAT-3</t>
        </is>
      </c>
      <c r="H652" s="12" t="inlineStr">
        <is>
          <t>UAT-3: 21/13.8 kV unit auxiliary transformer</t>
        </is>
      </c>
      <c r="I652" s="12" t="inlineStr">
        <is>
          <t>Control</t>
        </is>
      </c>
      <c r="J652" s="12" t="inlineStr">
        <is>
          <t>Control cable 600 V Type TC-ER, Cu #10 AWG (CT / VT circuits)</t>
        </is>
      </c>
      <c r="K652" s="12" t="inlineStr">
        <is>
          <t>CTCT|4/C|10</t>
        </is>
      </c>
      <c r="L652" s="12" t="inlineStr">
        <is>
          <t>4/C</t>
        </is>
      </c>
      <c r="M652" s="12" t="inlineStr">
        <is>
          <t>10</t>
        </is>
      </c>
      <c r="N652" s="12" t="n">
        <v>1</v>
      </c>
      <c r="O652" s="12" t="n">
        <v>1</v>
      </c>
      <c r="P652" s="12" t="n"/>
      <c r="Q652" s="12" t="n"/>
      <c r="R652" s="12" t="n"/>
      <c r="S652" s="12" t="inlineStr">
        <is>
          <t>Duct bank</t>
        </is>
      </c>
      <c r="T652" s="16" t="n">
        <v>1103</v>
      </c>
      <c r="U652" s="16" t="n">
        <v>96</v>
      </c>
      <c r="V652" s="16">
        <f>ROUNDUP((T652+U652+2*'Read Me'!$B$13)*(1+'Read Me'!$B$12),-1)</f>
        <v/>
      </c>
      <c r="W652" s="16">
        <f>V652*N652*O652</f>
        <v/>
      </c>
      <c r="X652" s="12">
        <f>IF(LEFT(I652,2)="MV",2*N652*IF(L652="1/C",O652,1),0)</f>
        <v/>
      </c>
      <c r="Y652" s="12">
        <f>IF(OR(LEFT(K652,4)="LVAX",LEFT(K652,6)="MV15AX",LEFT(K652,4)="CTAX",LEFT(K652,2)="W|"),2*N652*O652,0)</f>
        <v/>
      </c>
      <c r="Z652" s="12" t="inlineStr"/>
      <c r="AA652" s="12">
        <f>N652*O652</f>
        <v/>
      </c>
    </row>
    <row r="653">
      <c r="A653" s="12" t="inlineStr">
        <is>
          <t>A-C-0641</t>
        </is>
      </c>
      <c r="B653" s="12" t="inlineStr">
        <is>
          <t>A</t>
        </is>
      </c>
      <c r="C653" s="12" t="inlineStr">
        <is>
          <t>Power block</t>
        </is>
      </c>
      <c r="D653" s="12" t="inlineStr">
        <is>
          <t>Motor 1 of 2: control / local station</t>
        </is>
      </c>
      <c r="E653" s="12" t="inlineStr">
        <is>
          <t>MCC-GT1</t>
        </is>
      </c>
      <c r="F653" s="12" t="inlineStr">
        <is>
          <t>R1 MCC-GT1</t>
        </is>
      </c>
      <c r="G653" s="12" t="inlineStr">
        <is>
          <t>WASH-GT1</t>
        </is>
      </c>
      <c r="H653" s="12" t="inlineStr">
        <is>
          <t>WASH-GT1: compressor water-wash skid</t>
        </is>
      </c>
      <c r="I653" s="12" t="inlineStr">
        <is>
          <t>Control</t>
        </is>
      </c>
      <c r="J653" s="12" t="inlineStr">
        <is>
          <t>ARMOR-X MC-HL 600 V control, Cu #14 AWG (Class I Div 2)</t>
        </is>
      </c>
      <c r="K653" s="12" t="inlineStr">
        <is>
          <t>CTAX|7/C|14</t>
        </is>
      </c>
      <c r="L653" s="12" t="inlineStr">
        <is>
          <t>7/C</t>
        </is>
      </c>
      <c r="M653" s="12" t="inlineStr">
        <is>
          <t>14</t>
        </is>
      </c>
      <c r="N653" s="12" t="n">
        <v>1</v>
      </c>
      <c r="O653" s="12" t="n">
        <v>1</v>
      </c>
      <c r="P653" s="12" t="n"/>
      <c r="Q653" s="12" t="n"/>
      <c r="R653" s="12" t="n"/>
      <c r="S653" s="12" t="inlineStr">
        <is>
          <t>Tray</t>
        </is>
      </c>
      <c r="T653" s="16" t="n">
        <v>261</v>
      </c>
      <c r="U653" s="16" t="n">
        <v>145</v>
      </c>
      <c r="V653" s="16">
        <f>ROUNDUP((T653+U653+2*'Read Me'!$B$13)*(1+'Read Me'!$B$12),-1)</f>
        <v/>
      </c>
      <c r="W653" s="16">
        <f>V653*N653*O653</f>
        <v/>
      </c>
      <c r="X653" s="12">
        <f>IF(LEFT(I653,2)="MV",2*N653*IF(L653="1/C",O653,1),0)</f>
        <v/>
      </c>
      <c r="Y653" s="12">
        <f>IF(OR(LEFT(K653,4)="LVAX",LEFT(K653,6)="MV15AX",LEFT(K653,4)="CTAX",LEFT(K653,2)="W|"),2*N653*O653,0)</f>
        <v/>
      </c>
      <c r="Z653" s="12" t="inlineStr"/>
      <c r="AA653" s="12">
        <f>N653*O653</f>
        <v/>
      </c>
    </row>
    <row r="654">
      <c r="A654" s="12" t="inlineStr">
        <is>
          <t>A-C-0642</t>
        </is>
      </c>
      <c r="B654" s="12" t="inlineStr">
        <is>
          <t>A</t>
        </is>
      </c>
      <c r="C654" s="12" t="inlineStr">
        <is>
          <t>Power block</t>
        </is>
      </c>
      <c r="D654" s="12" t="inlineStr">
        <is>
          <t>Motor 2 of 2: control / local station</t>
        </is>
      </c>
      <c r="E654" s="12" t="inlineStr">
        <is>
          <t>MCC-GT1</t>
        </is>
      </c>
      <c r="F654" s="12" t="inlineStr">
        <is>
          <t>R1 MCC-GT1</t>
        </is>
      </c>
      <c r="G654" s="12" t="inlineStr">
        <is>
          <t>WASH-GT1</t>
        </is>
      </c>
      <c r="H654" s="12" t="inlineStr">
        <is>
          <t>WASH-GT1: compressor water-wash skid</t>
        </is>
      </c>
      <c r="I654" s="12" t="inlineStr">
        <is>
          <t>Control</t>
        </is>
      </c>
      <c r="J654" s="12" t="inlineStr">
        <is>
          <t>ARMOR-X MC-HL 600 V control, Cu #14 AWG (Class I Div 2)</t>
        </is>
      </c>
      <c r="K654" s="12" t="inlineStr">
        <is>
          <t>CTAX|7/C|14</t>
        </is>
      </c>
      <c r="L654" s="12" t="inlineStr">
        <is>
          <t>7/C</t>
        </is>
      </c>
      <c r="M654" s="12" t="inlineStr">
        <is>
          <t>14</t>
        </is>
      </c>
      <c r="N654" s="12" t="n">
        <v>1</v>
      </c>
      <c r="O654" s="12" t="n">
        <v>1</v>
      </c>
      <c r="P654" s="12" t="n"/>
      <c r="Q654" s="12" t="n"/>
      <c r="R654" s="12" t="n"/>
      <c r="S654" s="12" t="inlineStr">
        <is>
          <t>Tray</t>
        </is>
      </c>
      <c r="T654" s="16" t="n">
        <v>261</v>
      </c>
      <c r="U654" s="16" t="n">
        <v>145</v>
      </c>
      <c r="V654" s="16">
        <f>ROUNDUP((T654+U654+2*'Read Me'!$B$13)*(1+'Read Me'!$B$12),-1)</f>
        <v/>
      </c>
      <c r="W654" s="16">
        <f>V654*N654*O654</f>
        <v/>
      </c>
      <c r="X654" s="12">
        <f>IF(LEFT(I654,2)="MV",2*N654*IF(L654="1/C",O654,1),0)</f>
        <v/>
      </c>
      <c r="Y654" s="12">
        <f>IF(OR(LEFT(K654,4)="LVAX",LEFT(K654,6)="MV15AX",LEFT(K654,4)="CTAX",LEFT(K654,2)="W|"),2*N654*O654,0)</f>
        <v/>
      </c>
      <c r="Z654" s="12" t="inlineStr"/>
      <c r="AA654" s="12">
        <f>N654*O654</f>
        <v/>
      </c>
    </row>
    <row r="655">
      <c r="A655" s="12" t="inlineStr">
        <is>
          <t>A-C-0643</t>
        </is>
      </c>
      <c r="B655" s="12" t="inlineStr">
        <is>
          <t>A</t>
        </is>
      </c>
      <c r="C655" s="12" t="inlineStr">
        <is>
          <t>Power block</t>
        </is>
      </c>
      <c r="D655" s="12" t="inlineStr">
        <is>
          <t>Solenoid to JB JB-WASH-GT1-SOL01: 4 x 2/C (field cables)</t>
        </is>
      </c>
      <c r="E655" s="12" t="inlineStr">
        <is>
          <t>WASH-GT1</t>
        </is>
      </c>
      <c r="F655" s="12" t="inlineStr">
        <is>
          <t>WASH-GT1: compressor water-wash skid</t>
        </is>
      </c>
      <c r="G655" s="12" t="inlineStr">
        <is>
          <t>JB-WASH-GT1-SOL01</t>
        </is>
      </c>
      <c r="H655" s="12" t="inlineStr">
        <is>
          <t>WASH-GT1: compressor water-wash skid</t>
        </is>
      </c>
      <c r="I655" s="12" t="inlineStr">
        <is>
          <t>Control</t>
        </is>
      </c>
      <c r="J655" s="12" t="inlineStr">
        <is>
          <t>ARMOR-X MC-HL 600 V control, Cu #14 AWG (Class I Div 2)</t>
        </is>
      </c>
      <c r="K655" s="12" t="inlineStr">
        <is>
          <t>CTAX|2/C|14</t>
        </is>
      </c>
      <c r="L655" s="12" t="inlineStr">
        <is>
          <t>2/C</t>
        </is>
      </c>
      <c r="M655" s="12" t="inlineStr">
        <is>
          <t>14</t>
        </is>
      </c>
      <c r="N655" s="12" t="n">
        <v>4</v>
      </c>
      <c r="O655" s="12" t="n">
        <v>1</v>
      </c>
      <c r="P655" s="12" t="n"/>
      <c r="Q655" s="12" t="n"/>
      <c r="R655" s="12" t="n"/>
      <c r="S655" s="12" t="inlineStr">
        <is>
          <t>Tray / conduit</t>
        </is>
      </c>
      <c r="T655" s="16" t="n">
        <v>52</v>
      </c>
      <c r="U655" s="16" t="n">
        <v>10</v>
      </c>
      <c r="V655" s="16">
        <f>ROUNDUP((T655+U655+2*'Read Me'!$B$13)*(1+'Read Me'!$B$12),-1)</f>
        <v/>
      </c>
      <c r="W655" s="16">
        <f>V655*N655*O655</f>
        <v/>
      </c>
      <c r="X655" s="12">
        <f>IF(LEFT(I655,2)="MV",2*N655*IF(L655="1/C",O655,1),0)</f>
        <v/>
      </c>
      <c r="Y655" s="12">
        <f>IF(OR(LEFT(K655,4)="LVAX",LEFT(K655,6)="MV15AX",LEFT(K655,4)="CTAX",LEFT(K655,2)="W|"),2*N655*O655,0)</f>
        <v/>
      </c>
      <c r="Z655" s="12" t="inlineStr">
        <is>
          <t>device-to-JB field wiring, one cable per device</t>
        </is>
      </c>
      <c r="AA655" s="12">
        <f>N655*O655</f>
        <v/>
      </c>
    </row>
    <row r="656">
      <c r="A656" s="12" t="inlineStr">
        <is>
          <t>A-C-0644</t>
        </is>
      </c>
      <c r="B656" s="12" t="inlineStr">
        <is>
          <t>A</t>
        </is>
      </c>
      <c r="C656" s="12" t="inlineStr">
        <is>
          <t>Power block</t>
        </is>
      </c>
      <c r="D656" s="12" t="inlineStr">
        <is>
          <t>Home run JB-WASH-GT1-SOL01 to the control / marshalling room</t>
        </is>
      </c>
      <c r="E656" s="12" t="inlineStr">
        <is>
          <t>R2A</t>
        </is>
      </c>
      <c r="F656" s="12" t="inlineStr">
        <is>
          <t>R2A: unit / HRSG electrical e-house (32 x 40 ft)</t>
        </is>
      </c>
      <c r="G656" s="12" t="inlineStr">
        <is>
          <t>JB-WASH-GT1-SOL01</t>
        </is>
      </c>
      <c r="H656" s="12" t="inlineStr">
        <is>
          <t>WASH-GT1: compressor water-wash skid</t>
        </is>
      </c>
      <c r="I656" s="12" t="inlineStr">
        <is>
          <t>Control</t>
        </is>
      </c>
      <c r="J656" s="12" t="inlineStr">
        <is>
          <t>ARMOR-X MC-HL 600 V control, Cu #14 AWG (Class I Div 2)</t>
        </is>
      </c>
      <c r="K656" s="12" t="inlineStr">
        <is>
          <t>CTAX|25/C|14</t>
        </is>
      </c>
      <c r="L656" s="12" t="inlineStr">
        <is>
          <t>25/C</t>
        </is>
      </c>
      <c r="M656" s="12" t="inlineStr">
        <is>
          <t>14</t>
        </is>
      </c>
      <c r="N656" s="12" t="n">
        <v>1</v>
      </c>
      <c r="O656" s="12" t="n">
        <v>1</v>
      </c>
      <c r="P656" s="12" t="n"/>
      <c r="Q656" s="12" t="n"/>
      <c r="R656" s="12" t="n"/>
      <c r="S656" s="12" t="inlineStr">
        <is>
          <t>Tray</t>
        </is>
      </c>
      <c r="T656" s="16" t="n">
        <v>183</v>
      </c>
      <c r="U656" s="16" t="n">
        <v>94</v>
      </c>
      <c r="V656" s="16">
        <f>ROUNDUP((T656+U656+2*'Read Me'!$B$13)*(1+'Read Me'!$B$12),-1)</f>
        <v/>
      </c>
      <c r="W656" s="16">
        <f>V656*N656*O656</f>
        <v/>
      </c>
      <c r="X656" s="12">
        <f>IF(LEFT(I656,2)="MV",2*N656*IF(L656="1/C",O656,1),0)</f>
        <v/>
      </c>
      <c r="Y656" s="12">
        <f>IF(OR(LEFT(K656,4)="LVAX",LEFT(K656,6)="MV15AX",LEFT(K656,4)="CTAX",LEFT(K656,2)="W|"),2*N656*O656,0)</f>
        <v/>
      </c>
      <c r="Z656" s="12" t="inlineStr"/>
      <c r="AA656" s="12">
        <f>N656*O656</f>
        <v/>
      </c>
    </row>
    <row r="657">
      <c r="A657" s="12" t="inlineStr">
        <is>
          <t>A-C-0645</t>
        </is>
      </c>
      <c r="B657" s="12" t="inlineStr">
        <is>
          <t>A</t>
        </is>
      </c>
      <c r="C657" s="12" t="inlineStr">
        <is>
          <t>Power block</t>
        </is>
      </c>
      <c r="D657" s="12" t="inlineStr">
        <is>
          <t>Motor 1 of 2: control / local station</t>
        </is>
      </c>
      <c r="E657" s="12" t="inlineStr">
        <is>
          <t>MCC-GT2</t>
        </is>
      </c>
      <c r="F657" s="12" t="inlineStr">
        <is>
          <t>R1 MCC-GT2</t>
        </is>
      </c>
      <c r="G657" s="12" t="inlineStr">
        <is>
          <t>WASH-GT2</t>
        </is>
      </c>
      <c r="H657" s="12" t="inlineStr">
        <is>
          <t>WASH-GT2: compressor water-wash skid</t>
        </is>
      </c>
      <c r="I657" s="12" t="inlineStr">
        <is>
          <t>Control</t>
        </is>
      </c>
      <c r="J657" s="12" t="inlineStr">
        <is>
          <t>ARMOR-X MC-HL 600 V control, Cu #14 AWG (Class I Div 2)</t>
        </is>
      </c>
      <c r="K657" s="12" t="inlineStr">
        <is>
          <t>CTAX|7/C|14</t>
        </is>
      </c>
      <c r="L657" s="12" t="inlineStr">
        <is>
          <t>7/C</t>
        </is>
      </c>
      <c r="M657" s="12" t="inlineStr">
        <is>
          <t>14</t>
        </is>
      </c>
      <c r="N657" s="12" t="n">
        <v>1</v>
      </c>
      <c r="O657" s="12" t="n">
        <v>1</v>
      </c>
      <c r="P657" s="12" t="n"/>
      <c r="Q657" s="12" t="n"/>
      <c r="R657" s="12" t="n"/>
      <c r="S657" s="12" t="inlineStr">
        <is>
          <t>Tray</t>
        </is>
      </c>
      <c r="T657" s="16" t="n">
        <v>441</v>
      </c>
      <c r="U657" s="16" t="n">
        <v>125</v>
      </c>
      <c r="V657" s="16">
        <f>ROUNDUP((T657+U657+2*'Read Me'!$B$13)*(1+'Read Me'!$B$12),-1)</f>
        <v/>
      </c>
      <c r="W657" s="16">
        <f>V657*N657*O657</f>
        <v/>
      </c>
      <c r="X657" s="12">
        <f>IF(LEFT(I657,2)="MV",2*N657*IF(L657="1/C",O657,1),0)</f>
        <v/>
      </c>
      <c r="Y657" s="12">
        <f>IF(OR(LEFT(K657,4)="LVAX",LEFT(K657,6)="MV15AX",LEFT(K657,4)="CTAX",LEFT(K657,2)="W|"),2*N657*O657,0)</f>
        <v/>
      </c>
      <c r="Z657" s="12" t="inlineStr"/>
      <c r="AA657" s="12">
        <f>N657*O657</f>
        <v/>
      </c>
    </row>
    <row r="658">
      <c r="A658" s="12" t="inlineStr">
        <is>
          <t>A-C-0646</t>
        </is>
      </c>
      <c r="B658" s="12" t="inlineStr">
        <is>
          <t>A</t>
        </is>
      </c>
      <c r="C658" s="12" t="inlineStr">
        <is>
          <t>Power block</t>
        </is>
      </c>
      <c r="D658" s="12" t="inlineStr">
        <is>
          <t>Motor 2 of 2: control / local station</t>
        </is>
      </c>
      <c r="E658" s="12" t="inlineStr">
        <is>
          <t>MCC-GT2</t>
        </is>
      </c>
      <c r="F658" s="12" t="inlineStr">
        <is>
          <t>R1 MCC-GT2</t>
        </is>
      </c>
      <c r="G658" s="12" t="inlineStr">
        <is>
          <t>WASH-GT2</t>
        </is>
      </c>
      <c r="H658" s="12" t="inlineStr">
        <is>
          <t>WASH-GT2: compressor water-wash skid</t>
        </is>
      </c>
      <c r="I658" s="12" t="inlineStr">
        <is>
          <t>Control</t>
        </is>
      </c>
      <c r="J658" s="12" t="inlineStr">
        <is>
          <t>ARMOR-X MC-HL 600 V control, Cu #14 AWG (Class I Div 2)</t>
        </is>
      </c>
      <c r="K658" s="12" t="inlineStr">
        <is>
          <t>CTAX|7/C|14</t>
        </is>
      </c>
      <c r="L658" s="12" t="inlineStr">
        <is>
          <t>7/C</t>
        </is>
      </c>
      <c r="M658" s="12" t="inlineStr">
        <is>
          <t>14</t>
        </is>
      </c>
      <c r="N658" s="12" t="n">
        <v>1</v>
      </c>
      <c r="O658" s="12" t="n">
        <v>1</v>
      </c>
      <c r="P658" s="12" t="n"/>
      <c r="Q658" s="12" t="n"/>
      <c r="R658" s="12" t="n"/>
      <c r="S658" s="12" t="inlineStr">
        <is>
          <t>Tray</t>
        </is>
      </c>
      <c r="T658" s="16" t="n">
        <v>441</v>
      </c>
      <c r="U658" s="16" t="n">
        <v>125</v>
      </c>
      <c r="V658" s="16">
        <f>ROUNDUP((T658+U658+2*'Read Me'!$B$13)*(1+'Read Me'!$B$12),-1)</f>
        <v/>
      </c>
      <c r="W658" s="16">
        <f>V658*N658*O658</f>
        <v/>
      </c>
      <c r="X658" s="12">
        <f>IF(LEFT(I658,2)="MV",2*N658*IF(L658="1/C",O658,1),0)</f>
        <v/>
      </c>
      <c r="Y658" s="12">
        <f>IF(OR(LEFT(K658,4)="LVAX",LEFT(K658,6)="MV15AX",LEFT(K658,4)="CTAX",LEFT(K658,2)="W|"),2*N658*O658,0)</f>
        <v/>
      </c>
      <c r="Z658" s="12" t="inlineStr"/>
      <c r="AA658" s="12">
        <f>N658*O658</f>
        <v/>
      </c>
    </row>
    <row r="659">
      <c r="A659" s="12" t="inlineStr">
        <is>
          <t>A-C-0647</t>
        </is>
      </c>
      <c r="B659" s="12" t="inlineStr">
        <is>
          <t>A</t>
        </is>
      </c>
      <c r="C659" s="12" t="inlineStr">
        <is>
          <t>Power block</t>
        </is>
      </c>
      <c r="D659" s="12" t="inlineStr">
        <is>
          <t>Solenoid to JB JB-WASH-GT2-SOL01: 4 x 2/C (field cables)</t>
        </is>
      </c>
      <c r="E659" s="12" t="inlineStr">
        <is>
          <t>WASH-GT2</t>
        </is>
      </c>
      <c r="F659" s="12" t="inlineStr">
        <is>
          <t>WASH-GT2: compressor water-wash skid</t>
        </is>
      </c>
      <c r="G659" s="12" t="inlineStr">
        <is>
          <t>JB-WASH-GT2-SOL01</t>
        </is>
      </c>
      <c r="H659" s="12" t="inlineStr">
        <is>
          <t>WASH-GT2: compressor water-wash skid</t>
        </is>
      </c>
      <c r="I659" s="12" t="inlineStr">
        <is>
          <t>Control</t>
        </is>
      </c>
      <c r="J659" s="12" t="inlineStr">
        <is>
          <t>ARMOR-X MC-HL 600 V control, Cu #14 AWG (Class I Div 2)</t>
        </is>
      </c>
      <c r="K659" s="12" t="inlineStr">
        <is>
          <t>CTAX|2/C|14</t>
        </is>
      </c>
      <c r="L659" s="12" t="inlineStr">
        <is>
          <t>2/C</t>
        </is>
      </c>
      <c r="M659" s="12" t="inlineStr">
        <is>
          <t>14</t>
        </is>
      </c>
      <c r="N659" s="12" t="n">
        <v>4</v>
      </c>
      <c r="O659" s="12" t="n">
        <v>1</v>
      </c>
      <c r="P659" s="12" t="n"/>
      <c r="Q659" s="12" t="n"/>
      <c r="R659" s="12" t="n"/>
      <c r="S659" s="12" t="inlineStr">
        <is>
          <t>Tray / conduit</t>
        </is>
      </c>
      <c r="T659" s="16" t="n">
        <v>52</v>
      </c>
      <c r="U659" s="16" t="n">
        <v>10</v>
      </c>
      <c r="V659" s="16">
        <f>ROUNDUP((T659+U659+2*'Read Me'!$B$13)*(1+'Read Me'!$B$12),-1)</f>
        <v/>
      </c>
      <c r="W659" s="16">
        <f>V659*N659*O659</f>
        <v/>
      </c>
      <c r="X659" s="12">
        <f>IF(LEFT(I659,2)="MV",2*N659*IF(L659="1/C",O659,1),0)</f>
        <v/>
      </c>
      <c r="Y659" s="12">
        <f>IF(OR(LEFT(K659,4)="LVAX",LEFT(K659,6)="MV15AX",LEFT(K659,4)="CTAX",LEFT(K659,2)="W|"),2*N659*O659,0)</f>
        <v/>
      </c>
      <c r="Z659" s="12" t="inlineStr">
        <is>
          <t>device-to-JB field wiring, one cable per device</t>
        </is>
      </c>
      <c r="AA659" s="12">
        <f>N659*O659</f>
        <v/>
      </c>
    </row>
    <row r="660">
      <c r="A660" s="12" t="inlineStr">
        <is>
          <t>A-C-0648</t>
        </is>
      </c>
      <c r="B660" s="12" t="inlineStr">
        <is>
          <t>A</t>
        </is>
      </c>
      <c r="C660" s="12" t="inlineStr">
        <is>
          <t>Power block</t>
        </is>
      </c>
      <c r="D660" s="12" t="inlineStr">
        <is>
          <t>Home run JB-WASH-GT2-SOL01 to the control / marshalling room</t>
        </is>
      </c>
      <c r="E660" s="12" t="inlineStr">
        <is>
          <t>R2B</t>
        </is>
      </c>
      <c r="F660" s="12" t="inlineStr">
        <is>
          <t>R2B: unit / HRSG electrical e-house (32 x 40 ft)</t>
        </is>
      </c>
      <c r="G660" s="12" t="inlineStr">
        <is>
          <t>JB-WASH-GT2-SOL01</t>
        </is>
      </c>
      <c r="H660" s="12" t="inlineStr">
        <is>
          <t>WASH-GT2: compressor water-wash skid</t>
        </is>
      </c>
      <c r="I660" s="12" t="inlineStr">
        <is>
          <t>Control</t>
        </is>
      </c>
      <c r="J660" s="12" t="inlineStr">
        <is>
          <t>ARMOR-X MC-HL 600 V control, Cu #14 AWG (Class I Div 2)</t>
        </is>
      </c>
      <c r="K660" s="12" t="inlineStr">
        <is>
          <t>CTAX|25/C|14</t>
        </is>
      </c>
      <c r="L660" s="12" t="inlineStr">
        <is>
          <t>25/C</t>
        </is>
      </c>
      <c r="M660" s="12" t="inlineStr">
        <is>
          <t>14</t>
        </is>
      </c>
      <c r="N660" s="12" t="n">
        <v>1</v>
      </c>
      <c r="O660" s="12" t="n">
        <v>1</v>
      </c>
      <c r="P660" s="12" t="n"/>
      <c r="Q660" s="12" t="n"/>
      <c r="R660" s="12" t="n"/>
      <c r="S660" s="12" t="inlineStr">
        <is>
          <t>Tray</t>
        </is>
      </c>
      <c r="T660" s="16" t="n">
        <v>1075</v>
      </c>
      <c r="U660" s="16" t="n">
        <v>188</v>
      </c>
      <c r="V660" s="16">
        <f>ROUNDUP((T660+U660+2*'Read Me'!$B$13)*(1+'Read Me'!$B$12),-1)</f>
        <v/>
      </c>
      <c r="W660" s="16">
        <f>V660*N660*O660</f>
        <v/>
      </c>
      <c r="X660" s="12">
        <f>IF(LEFT(I660,2)="MV",2*N660*IF(L660="1/C",O660,1),0)</f>
        <v/>
      </c>
      <c r="Y660" s="12">
        <f>IF(OR(LEFT(K660,4)="LVAX",LEFT(K660,6)="MV15AX",LEFT(K660,4)="CTAX",LEFT(K660,2)="W|"),2*N660*O660,0)</f>
        <v/>
      </c>
      <c r="Z660" s="12" t="inlineStr"/>
      <c r="AA660" s="12">
        <f>N660*O660</f>
        <v/>
      </c>
    </row>
    <row r="661">
      <c r="A661" s="12" t="inlineStr">
        <is>
          <t>A-C-0649</t>
        </is>
      </c>
      <c r="B661" s="12" t="inlineStr">
        <is>
          <t>A</t>
        </is>
      </c>
      <c r="C661" s="12" t="inlineStr">
        <is>
          <t>Power block</t>
        </is>
      </c>
      <c r="D661" s="12" t="inlineStr">
        <is>
          <t>Motor 1 of 2: control / local station</t>
        </is>
      </c>
      <c r="E661" s="12" t="inlineStr">
        <is>
          <t>MCC-GT3</t>
        </is>
      </c>
      <c r="F661" s="12" t="inlineStr">
        <is>
          <t>R1 MCC-GT3</t>
        </is>
      </c>
      <c r="G661" s="12" t="inlineStr">
        <is>
          <t>WASH-GT3</t>
        </is>
      </c>
      <c r="H661" s="12" t="inlineStr">
        <is>
          <t>WASH-GT3: compressor water-wash skid</t>
        </is>
      </c>
      <c r="I661" s="12" t="inlineStr">
        <is>
          <t>Control</t>
        </is>
      </c>
      <c r="J661" s="12" t="inlineStr">
        <is>
          <t>ARMOR-X MC-HL 600 V control, Cu #14 AWG (Class I Div 2)</t>
        </is>
      </c>
      <c r="K661" s="12" t="inlineStr">
        <is>
          <t>CTAX|7/C|14</t>
        </is>
      </c>
      <c r="L661" s="12" t="inlineStr">
        <is>
          <t>7/C</t>
        </is>
      </c>
      <c r="M661" s="12" t="inlineStr">
        <is>
          <t>14</t>
        </is>
      </c>
      <c r="N661" s="12" t="n">
        <v>1</v>
      </c>
      <c r="O661" s="12" t="n">
        <v>1</v>
      </c>
      <c r="P661" s="12" t="n"/>
      <c r="Q661" s="12" t="n"/>
      <c r="R661" s="12" t="n"/>
      <c r="S661" s="12" t="inlineStr">
        <is>
          <t>Tray</t>
        </is>
      </c>
      <c r="T661" s="16" t="n">
        <v>609</v>
      </c>
      <c r="U661" s="16" t="n">
        <v>133</v>
      </c>
      <c r="V661" s="16">
        <f>ROUNDUP((T661+U661+2*'Read Me'!$B$13)*(1+'Read Me'!$B$12),-1)</f>
        <v/>
      </c>
      <c r="W661" s="16">
        <f>V661*N661*O661</f>
        <v/>
      </c>
      <c r="X661" s="12">
        <f>IF(LEFT(I661,2)="MV",2*N661*IF(L661="1/C",O661,1),0)</f>
        <v/>
      </c>
      <c r="Y661" s="12">
        <f>IF(OR(LEFT(K661,4)="LVAX",LEFT(K661,6)="MV15AX",LEFT(K661,4)="CTAX",LEFT(K661,2)="W|"),2*N661*O661,0)</f>
        <v/>
      </c>
      <c r="Z661" s="12" t="inlineStr"/>
      <c r="AA661" s="12">
        <f>N661*O661</f>
        <v/>
      </c>
    </row>
    <row r="662">
      <c r="A662" s="12" t="inlineStr">
        <is>
          <t>A-C-0650</t>
        </is>
      </c>
      <c r="B662" s="12" t="inlineStr">
        <is>
          <t>A</t>
        </is>
      </c>
      <c r="C662" s="12" t="inlineStr">
        <is>
          <t>Power block</t>
        </is>
      </c>
      <c r="D662" s="12" t="inlineStr">
        <is>
          <t>Motor 2 of 2: control / local station</t>
        </is>
      </c>
      <c r="E662" s="12" t="inlineStr">
        <is>
          <t>MCC-GT3</t>
        </is>
      </c>
      <c r="F662" s="12" t="inlineStr">
        <is>
          <t>R1 MCC-GT3</t>
        </is>
      </c>
      <c r="G662" s="12" t="inlineStr">
        <is>
          <t>WASH-GT3</t>
        </is>
      </c>
      <c r="H662" s="12" t="inlineStr">
        <is>
          <t>WASH-GT3: compressor water-wash skid</t>
        </is>
      </c>
      <c r="I662" s="12" t="inlineStr">
        <is>
          <t>Control</t>
        </is>
      </c>
      <c r="J662" s="12" t="inlineStr">
        <is>
          <t>ARMOR-X MC-HL 600 V control, Cu #14 AWG (Class I Div 2)</t>
        </is>
      </c>
      <c r="K662" s="12" t="inlineStr">
        <is>
          <t>CTAX|7/C|14</t>
        </is>
      </c>
      <c r="L662" s="12" t="inlineStr">
        <is>
          <t>7/C</t>
        </is>
      </c>
      <c r="M662" s="12" t="inlineStr">
        <is>
          <t>14</t>
        </is>
      </c>
      <c r="N662" s="12" t="n">
        <v>1</v>
      </c>
      <c r="O662" s="12" t="n">
        <v>1</v>
      </c>
      <c r="P662" s="12" t="n"/>
      <c r="Q662" s="12" t="n"/>
      <c r="R662" s="12" t="n"/>
      <c r="S662" s="12" t="inlineStr">
        <is>
          <t>Tray</t>
        </is>
      </c>
      <c r="T662" s="16" t="n">
        <v>609</v>
      </c>
      <c r="U662" s="16" t="n">
        <v>133</v>
      </c>
      <c r="V662" s="16">
        <f>ROUNDUP((T662+U662+2*'Read Me'!$B$13)*(1+'Read Me'!$B$12),-1)</f>
        <v/>
      </c>
      <c r="W662" s="16">
        <f>V662*N662*O662</f>
        <v/>
      </c>
      <c r="X662" s="12">
        <f>IF(LEFT(I662,2)="MV",2*N662*IF(L662="1/C",O662,1),0)</f>
        <v/>
      </c>
      <c r="Y662" s="12">
        <f>IF(OR(LEFT(K662,4)="LVAX",LEFT(K662,6)="MV15AX",LEFT(K662,4)="CTAX",LEFT(K662,2)="W|"),2*N662*O662,0)</f>
        <v/>
      </c>
      <c r="Z662" s="12" t="inlineStr"/>
      <c r="AA662" s="12">
        <f>N662*O662</f>
        <v/>
      </c>
    </row>
    <row r="663">
      <c r="A663" s="12" t="inlineStr">
        <is>
          <t>A-C-0651</t>
        </is>
      </c>
      <c r="B663" s="12" t="inlineStr">
        <is>
          <t>A</t>
        </is>
      </c>
      <c r="C663" s="12" t="inlineStr">
        <is>
          <t>Power block</t>
        </is>
      </c>
      <c r="D663" s="12" t="inlineStr">
        <is>
          <t>Solenoid to JB JB-WASH-GT3-SOL01: 4 x 2/C (field cables)</t>
        </is>
      </c>
      <c r="E663" s="12" t="inlineStr">
        <is>
          <t>WASH-GT3</t>
        </is>
      </c>
      <c r="F663" s="12" t="inlineStr">
        <is>
          <t>WASH-GT3: compressor water-wash skid</t>
        </is>
      </c>
      <c r="G663" s="12" t="inlineStr">
        <is>
          <t>JB-WASH-GT3-SOL01</t>
        </is>
      </c>
      <c r="H663" s="12" t="inlineStr">
        <is>
          <t>WASH-GT3: compressor water-wash skid</t>
        </is>
      </c>
      <c r="I663" s="12" t="inlineStr">
        <is>
          <t>Control</t>
        </is>
      </c>
      <c r="J663" s="12" t="inlineStr">
        <is>
          <t>ARMOR-X MC-HL 600 V control, Cu #14 AWG (Class I Div 2)</t>
        </is>
      </c>
      <c r="K663" s="12" t="inlineStr">
        <is>
          <t>CTAX|2/C|14</t>
        </is>
      </c>
      <c r="L663" s="12" t="inlineStr">
        <is>
          <t>2/C</t>
        </is>
      </c>
      <c r="M663" s="12" t="inlineStr">
        <is>
          <t>14</t>
        </is>
      </c>
      <c r="N663" s="12" t="n">
        <v>4</v>
      </c>
      <c r="O663" s="12" t="n">
        <v>1</v>
      </c>
      <c r="P663" s="12" t="n"/>
      <c r="Q663" s="12" t="n"/>
      <c r="R663" s="12" t="n"/>
      <c r="S663" s="12" t="inlineStr">
        <is>
          <t>Tray / conduit</t>
        </is>
      </c>
      <c r="T663" s="16" t="n">
        <v>52</v>
      </c>
      <c r="U663" s="16" t="n">
        <v>10</v>
      </c>
      <c r="V663" s="16">
        <f>ROUNDUP((T663+U663+2*'Read Me'!$B$13)*(1+'Read Me'!$B$12),-1)</f>
        <v/>
      </c>
      <c r="W663" s="16">
        <f>V663*N663*O663</f>
        <v/>
      </c>
      <c r="X663" s="12">
        <f>IF(LEFT(I663,2)="MV",2*N663*IF(L663="1/C",O663,1),0)</f>
        <v/>
      </c>
      <c r="Y663" s="12">
        <f>IF(OR(LEFT(K663,4)="LVAX",LEFT(K663,6)="MV15AX",LEFT(K663,4)="CTAX",LEFT(K663,2)="W|"),2*N663*O663,0)</f>
        <v/>
      </c>
      <c r="Z663" s="12" t="inlineStr">
        <is>
          <t>device-to-JB field wiring, one cable per device</t>
        </is>
      </c>
      <c r="AA663" s="12">
        <f>N663*O663</f>
        <v/>
      </c>
    </row>
    <row r="664">
      <c r="A664" s="12" t="inlineStr">
        <is>
          <t>A-C-0652</t>
        </is>
      </c>
      <c r="B664" s="12" t="inlineStr">
        <is>
          <t>A</t>
        </is>
      </c>
      <c r="C664" s="12" t="inlineStr">
        <is>
          <t>Power block</t>
        </is>
      </c>
      <c r="D664" s="12" t="inlineStr">
        <is>
          <t>Home run JB-WASH-GT3-SOL01 to the control / marshalling room</t>
        </is>
      </c>
      <c r="E664" s="12" t="inlineStr">
        <is>
          <t>R2C</t>
        </is>
      </c>
      <c r="F664" s="12" t="inlineStr">
        <is>
          <t>R2C: unit / HRSG electrical e-house (32 x 40 ft)</t>
        </is>
      </c>
      <c r="G664" s="12" t="inlineStr">
        <is>
          <t>JB-WASH-GT3-SOL01</t>
        </is>
      </c>
      <c r="H664" s="12" t="inlineStr">
        <is>
          <t>WASH-GT3: compressor water-wash skid</t>
        </is>
      </c>
      <c r="I664" s="12" t="inlineStr">
        <is>
          <t>Control</t>
        </is>
      </c>
      <c r="J664" s="12" t="inlineStr">
        <is>
          <t>ARMOR-X MC-HL 600 V control, Cu #14 AWG (Class I Div 2)</t>
        </is>
      </c>
      <c r="K664" s="12" t="inlineStr">
        <is>
          <t>CTAX|25/C|14</t>
        </is>
      </c>
      <c r="L664" s="12" t="inlineStr">
        <is>
          <t>25/C</t>
        </is>
      </c>
      <c r="M664" s="12" t="inlineStr">
        <is>
          <t>14</t>
        </is>
      </c>
      <c r="N664" s="12" t="n">
        <v>1</v>
      </c>
      <c r="O664" s="12" t="n">
        <v>1</v>
      </c>
      <c r="P664" s="12" t="n"/>
      <c r="Q664" s="12" t="n"/>
      <c r="R664" s="12" t="n"/>
      <c r="S664" s="12" t="inlineStr">
        <is>
          <t>Tray</t>
        </is>
      </c>
      <c r="T664" s="16" t="n">
        <v>1024</v>
      </c>
      <c r="U664" s="16" t="n">
        <v>267</v>
      </c>
      <c r="V664" s="16">
        <f>ROUNDUP((T664+U664+2*'Read Me'!$B$13)*(1+'Read Me'!$B$12),-1)</f>
        <v/>
      </c>
      <c r="W664" s="16">
        <f>V664*N664*O664</f>
        <v/>
      </c>
      <c r="X664" s="12">
        <f>IF(LEFT(I664,2)="MV",2*N664*IF(L664="1/C",O664,1),0)</f>
        <v/>
      </c>
      <c r="Y664" s="12">
        <f>IF(OR(LEFT(K664,4)="LVAX",LEFT(K664,6)="MV15AX",LEFT(K664,4)="CTAX",LEFT(K664,2)="W|"),2*N664*O664,0)</f>
        <v/>
      </c>
      <c r="Z664" s="12" t="inlineStr"/>
      <c r="AA664" s="12">
        <f>N664*O664</f>
        <v/>
      </c>
    </row>
    <row r="665">
      <c r="A665" s="12" t="inlineStr">
        <is>
          <t>A-F-0001</t>
        </is>
      </c>
      <c r="B665" s="12" t="inlineStr">
        <is>
          <t>A</t>
        </is>
      </c>
      <c r="C665" s="12" t="inlineStr">
        <is>
          <t>Power block</t>
        </is>
      </c>
      <c r="D665" s="12" t="inlineStr">
        <is>
          <t>Plant network / DCS fibre</t>
        </is>
      </c>
      <c r="E665" s="12" t="inlineStr">
        <is>
          <t>CR</t>
        </is>
      </c>
      <c r="F665" s="12" t="inlineStr">
        <is>
          <t>Control / admin building (main control room)</t>
        </is>
      </c>
      <c r="G665" s="12" t="inlineStr">
        <is>
          <t>CEMS-1</t>
        </is>
      </c>
      <c r="H665" s="12" t="inlineStr">
        <is>
          <t>CEMS shelter, HRSG 1</t>
        </is>
      </c>
      <c r="I665" s="12" t="inlineStr">
        <is>
          <t>Fibre / data</t>
        </is>
      </c>
      <c r="J665" s="12" t="inlineStr">
        <is>
          <t>Fibre optic, single-mode, 12-fibre, armored, orange jacket</t>
        </is>
      </c>
      <c r="K665" s="12" t="inlineStr">
        <is>
          <t>FO|12 SM|-</t>
        </is>
      </c>
      <c r="L665" s="12" t="inlineStr">
        <is>
          <t>12 SM</t>
        </is>
      </c>
      <c r="M665" s="12" t="inlineStr">
        <is>
          <t>-</t>
        </is>
      </c>
      <c r="N665" s="12" t="n">
        <v>1</v>
      </c>
      <c r="O665" s="12" t="n">
        <v>1</v>
      </c>
      <c r="P665" s="12" t="n"/>
      <c r="Q665" s="12" t="n"/>
      <c r="R665" s="12" t="n"/>
      <c r="S665" s="12" t="inlineStr">
        <is>
          <t>Tray</t>
        </is>
      </c>
      <c r="T665" s="16" t="n">
        <v>1311</v>
      </c>
      <c r="U665" s="16" t="n">
        <v>225</v>
      </c>
      <c r="V665" s="16">
        <f>ROUNDUP((T665+U665+2*'Read Me'!$B$13)*(1+'Read Me'!$B$12),-1)</f>
        <v/>
      </c>
      <c r="W665" s="16">
        <f>V665*N665*O665</f>
        <v/>
      </c>
      <c r="X665" s="12">
        <f>IF(LEFT(I665,2)="MV",2*N665*IF(L665="1/C",O665,1),0)</f>
        <v/>
      </c>
      <c r="Y665" s="12">
        <f>IF(OR(LEFT(K665,4)="LVAX",LEFT(K665,6)="MV15AX",LEFT(K665,4)="CTAX",LEFT(K665,2)="W|"),2*N665*O665,0)</f>
        <v/>
      </c>
      <c r="Z665" s="12" t="inlineStr"/>
      <c r="AA665" s="12">
        <f>N665*O665</f>
        <v/>
      </c>
    </row>
    <row r="666">
      <c r="A666" s="12" t="inlineStr">
        <is>
          <t>A-F-0002</t>
        </is>
      </c>
      <c r="B666" s="12" t="inlineStr">
        <is>
          <t>A</t>
        </is>
      </c>
      <c r="C666" s="12" t="inlineStr">
        <is>
          <t>Power block</t>
        </is>
      </c>
      <c r="D666" s="12" t="inlineStr">
        <is>
          <t>Plant network / DCS fibre</t>
        </is>
      </c>
      <c r="E666" s="12" t="inlineStr">
        <is>
          <t>CR</t>
        </is>
      </c>
      <c r="F666" s="12" t="inlineStr">
        <is>
          <t>Control / admin building (main control room)</t>
        </is>
      </c>
      <c r="G666" s="12" t="inlineStr">
        <is>
          <t>CEMS-2</t>
        </is>
      </c>
      <c r="H666" s="12" t="inlineStr">
        <is>
          <t>CEMS shelter, HRSG 2</t>
        </is>
      </c>
      <c r="I666" s="12" t="inlineStr">
        <is>
          <t>Fibre / data</t>
        </is>
      </c>
      <c r="J666" s="12" t="inlineStr">
        <is>
          <t>Fibre optic, single-mode, 12-fibre, armored, orange jacket</t>
        </is>
      </c>
      <c r="K666" s="12" t="inlineStr">
        <is>
          <t>FO|12 SM|-</t>
        </is>
      </c>
      <c r="L666" s="12" t="inlineStr">
        <is>
          <t>12 SM</t>
        </is>
      </c>
      <c r="M666" s="12" t="inlineStr">
        <is>
          <t>-</t>
        </is>
      </c>
      <c r="N666" s="12" t="n">
        <v>1</v>
      </c>
      <c r="O666" s="12" t="n">
        <v>1</v>
      </c>
      <c r="P666" s="12" t="n"/>
      <c r="Q666" s="12" t="n"/>
      <c r="R666" s="12" t="n"/>
      <c r="S666" s="12" t="inlineStr">
        <is>
          <t>Tray</t>
        </is>
      </c>
      <c r="T666" s="16" t="n">
        <v>1467</v>
      </c>
      <c r="U666" s="16" t="n">
        <v>221</v>
      </c>
      <c r="V666" s="16">
        <f>ROUNDUP((T666+U666+2*'Read Me'!$B$13)*(1+'Read Me'!$B$12),-1)</f>
        <v/>
      </c>
      <c r="W666" s="16">
        <f>V666*N666*O666</f>
        <v/>
      </c>
      <c r="X666" s="12">
        <f>IF(LEFT(I666,2)="MV",2*N666*IF(L666="1/C",O666,1),0)</f>
        <v/>
      </c>
      <c r="Y666" s="12">
        <f>IF(OR(LEFT(K666,4)="LVAX",LEFT(K666,6)="MV15AX",LEFT(K666,4)="CTAX",LEFT(K666,2)="W|"),2*N666*O666,0)</f>
        <v/>
      </c>
      <c r="Z666" s="12" t="inlineStr"/>
      <c r="AA666" s="12">
        <f>N666*O666</f>
        <v/>
      </c>
    </row>
    <row r="667">
      <c r="A667" s="12" t="inlineStr">
        <is>
          <t>A-F-0003</t>
        </is>
      </c>
      <c r="B667" s="12" t="inlineStr">
        <is>
          <t>A</t>
        </is>
      </c>
      <c r="C667" s="12" t="inlineStr">
        <is>
          <t>Power block</t>
        </is>
      </c>
      <c r="D667" s="12" t="inlineStr">
        <is>
          <t>Plant network / DCS fibre</t>
        </is>
      </c>
      <c r="E667" s="12" t="inlineStr">
        <is>
          <t>CR</t>
        </is>
      </c>
      <c r="F667" s="12" t="inlineStr">
        <is>
          <t>Control / admin building (main control room)</t>
        </is>
      </c>
      <c r="G667" s="12" t="inlineStr">
        <is>
          <t>CEMS-3</t>
        </is>
      </c>
      <c r="H667" s="12" t="inlineStr">
        <is>
          <t>CEMS shelter, HRSG 3</t>
        </is>
      </c>
      <c r="I667" s="12" t="inlineStr">
        <is>
          <t>Fibre / data</t>
        </is>
      </c>
      <c r="J667" s="12" t="inlineStr">
        <is>
          <t>Fibre optic, single-mode, 12-fibre, armored, orange jacket</t>
        </is>
      </c>
      <c r="K667" s="12" t="inlineStr">
        <is>
          <t>FO|12 SM|-</t>
        </is>
      </c>
      <c r="L667" s="12" t="inlineStr">
        <is>
          <t>12 SM</t>
        </is>
      </c>
      <c r="M667" s="12" t="inlineStr">
        <is>
          <t>-</t>
        </is>
      </c>
      <c r="N667" s="12" t="n">
        <v>1</v>
      </c>
      <c r="O667" s="12" t="n">
        <v>1</v>
      </c>
      <c r="P667" s="12" t="n"/>
      <c r="Q667" s="12" t="n"/>
      <c r="R667" s="12" t="n"/>
      <c r="S667" s="12" t="inlineStr">
        <is>
          <t>Tray</t>
        </is>
      </c>
      <c r="T667" s="16" t="n">
        <v>1631</v>
      </c>
      <c r="U667" s="16" t="n">
        <v>225</v>
      </c>
      <c r="V667" s="16">
        <f>ROUNDUP((T667+U667+2*'Read Me'!$B$13)*(1+'Read Me'!$B$12),-1)</f>
        <v/>
      </c>
      <c r="W667" s="16">
        <f>V667*N667*O667</f>
        <v/>
      </c>
      <c r="X667" s="12">
        <f>IF(LEFT(I667,2)="MV",2*N667*IF(L667="1/C",O667,1),0)</f>
        <v/>
      </c>
      <c r="Y667" s="12">
        <f>IF(OR(LEFT(K667,4)="LVAX",LEFT(K667,6)="MV15AX",LEFT(K667,4)="CTAX",LEFT(K667,2)="W|"),2*N667*O667,0)</f>
        <v/>
      </c>
      <c r="Z667" s="12" t="inlineStr"/>
      <c r="AA667" s="12">
        <f>N667*O667</f>
        <v/>
      </c>
    </row>
    <row r="668">
      <c r="A668" s="12" t="inlineStr">
        <is>
          <t>A-F-0004</t>
        </is>
      </c>
      <c r="B668" s="12" t="inlineStr">
        <is>
          <t>A</t>
        </is>
      </c>
      <c r="C668" s="12" t="inlineStr">
        <is>
          <t>Power block</t>
        </is>
      </c>
      <c r="D668" s="12" t="inlineStr">
        <is>
          <t>Plant network / DCS fibre</t>
        </is>
      </c>
      <c r="E668" s="12" t="inlineStr">
        <is>
          <t>CR</t>
        </is>
      </c>
      <c r="F668" s="12" t="inlineStr">
        <is>
          <t>Control / admin building (main control room)</t>
        </is>
      </c>
      <c r="G668" s="12" t="inlineStr">
        <is>
          <t>EXC-1</t>
        </is>
      </c>
      <c r="H668" s="12" t="inlineStr">
        <is>
          <t>EXC-1: static excitation cubicles (GTG-1)</t>
        </is>
      </c>
      <c r="I668" s="12" t="inlineStr">
        <is>
          <t>Fibre / data</t>
        </is>
      </c>
      <c r="J668" s="12" t="inlineStr">
        <is>
          <t>Fibre optic, single-mode, 12-fibre, armored, orange jacket</t>
        </is>
      </c>
      <c r="K668" s="12" t="inlineStr">
        <is>
          <t>FO|12 SM|-</t>
        </is>
      </c>
      <c r="L668" s="12" t="inlineStr">
        <is>
          <t>12 SM</t>
        </is>
      </c>
      <c r="M668" s="12" t="inlineStr">
        <is>
          <t>-</t>
        </is>
      </c>
      <c r="N668" s="12" t="n">
        <v>1</v>
      </c>
      <c r="O668" s="12" t="n">
        <v>1</v>
      </c>
      <c r="P668" s="12" t="n"/>
      <c r="Q668" s="12" t="n"/>
      <c r="R668" s="12" t="n"/>
      <c r="S668" s="12" t="inlineStr">
        <is>
          <t>Duct bank</t>
        </is>
      </c>
      <c r="T668" s="16" t="n">
        <v>906</v>
      </c>
      <c r="U668" s="16" t="n">
        <v>124</v>
      </c>
      <c r="V668" s="16">
        <f>ROUNDUP((T668+U668+2*'Read Me'!$B$13)*(1+'Read Me'!$B$12),-1)</f>
        <v/>
      </c>
      <c r="W668" s="16">
        <f>V668*N668*O668</f>
        <v/>
      </c>
      <c r="X668" s="12">
        <f>IF(LEFT(I668,2)="MV",2*N668*IF(L668="1/C",O668,1),0)</f>
        <v/>
      </c>
      <c r="Y668" s="12">
        <f>IF(OR(LEFT(K668,4)="LVAX",LEFT(K668,6)="MV15AX",LEFT(K668,4)="CTAX",LEFT(K668,2)="W|"),2*N668*O668,0)</f>
        <v/>
      </c>
      <c r="Z668" s="12" t="inlineStr"/>
      <c r="AA668" s="12">
        <f>N668*O668</f>
        <v/>
      </c>
    </row>
    <row r="669">
      <c r="A669" s="12" t="inlineStr">
        <is>
          <t>A-F-0005</t>
        </is>
      </c>
      <c r="B669" s="12" t="inlineStr">
        <is>
          <t>A</t>
        </is>
      </c>
      <c r="C669" s="12" t="inlineStr">
        <is>
          <t>Power block</t>
        </is>
      </c>
      <c r="D669" s="12" t="inlineStr">
        <is>
          <t>Plant network / DCS fibre</t>
        </is>
      </c>
      <c r="E669" s="12" t="inlineStr">
        <is>
          <t>CR</t>
        </is>
      </c>
      <c r="F669" s="12" t="inlineStr">
        <is>
          <t>Control / admin building (main control room)</t>
        </is>
      </c>
      <c r="G669" s="12" t="inlineStr">
        <is>
          <t>EXC-2</t>
        </is>
      </c>
      <c r="H669" s="12" t="inlineStr">
        <is>
          <t>EXC-2: static excitation cubicles (GTG-2)</t>
        </is>
      </c>
      <c r="I669" s="12" t="inlineStr">
        <is>
          <t>Fibre / data</t>
        </is>
      </c>
      <c r="J669" s="12" t="inlineStr">
        <is>
          <t>Fibre optic, single-mode, 12-fibre, armored, orange jacket</t>
        </is>
      </c>
      <c r="K669" s="12" t="inlineStr">
        <is>
          <t>FO|12 SM|-</t>
        </is>
      </c>
      <c r="L669" s="12" t="inlineStr">
        <is>
          <t>12 SM</t>
        </is>
      </c>
      <c r="M669" s="12" t="inlineStr">
        <is>
          <t>-</t>
        </is>
      </c>
      <c r="N669" s="12" t="n">
        <v>1</v>
      </c>
      <c r="O669" s="12" t="n">
        <v>1</v>
      </c>
      <c r="P669" s="12" t="n"/>
      <c r="Q669" s="12" t="n"/>
      <c r="R669" s="12" t="n"/>
      <c r="S669" s="12" t="inlineStr">
        <is>
          <t>Tray</t>
        </is>
      </c>
      <c r="T669" s="16" t="n">
        <v>1066</v>
      </c>
      <c r="U669" s="16" t="n">
        <v>124</v>
      </c>
      <c r="V669" s="16">
        <f>ROUNDUP((T669+U669+2*'Read Me'!$B$13)*(1+'Read Me'!$B$12),-1)</f>
        <v/>
      </c>
      <c r="W669" s="16">
        <f>V669*N669*O669</f>
        <v/>
      </c>
      <c r="X669" s="12">
        <f>IF(LEFT(I669,2)="MV",2*N669*IF(L669="1/C",O669,1),0)</f>
        <v/>
      </c>
      <c r="Y669" s="12">
        <f>IF(OR(LEFT(K669,4)="LVAX",LEFT(K669,6)="MV15AX",LEFT(K669,4)="CTAX",LEFT(K669,2)="W|"),2*N669*O669,0)</f>
        <v/>
      </c>
      <c r="Z669" s="12" t="inlineStr"/>
      <c r="AA669" s="12">
        <f>N669*O669</f>
        <v/>
      </c>
    </row>
    <row r="670">
      <c r="A670" s="12" t="inlineStr">
        <is>
          <t>A-F-0006</t>
        </is>
      </c>
      <c r="B670" s="12" t="inlineStr">
        <is>
          <t>A</t>
        </is>
      </c>
      <c r="C670" s="12" t="inlineStr">
        <is>
          <t>Power block</t>
        </is>
      </c>
      <c r="D670" s="12" t="inlineStr">
        <is>
          <t>Plant network / DCS fibre</t>
        </is>
      </c>
      <c r="E670" s="12" t="inlineStr">
        <is>
          <t>CR</t>
        </is>
      </c>
      <c r="F670" s="12" t="inlineStr">
        <is>
          <t>Control / admin building (main control room)</t>
        </is>
      </c>
      <c r="G670" s="12" t="inlineStr">
        <is>
          <t>EXC-3</t>
        </is>
      </c>
      <c r="H670" s="12" t="inlineStr">
        <is>
          <t>EXC-3: static excitation cubicles (GTG-3)</t>
        </is>
      </c>
      <c r="I670" s="12" t="inlineStr">
        <is>
          <t>Fibre / data</t>
        </is>
      </c>
      <c r="J670" s="12" t="inlineStr">
        <is>
          <t>Fibre optic, single-mode, 12-fibre, armored, orange jacket</t>
        </is>
      </c>
      <c r="K670" s="12" t="inlineStr">
        <is>
          <t>FO|12 SM|-</t>
        </is>
      </c>
      <c r="L670" s="12" t="inlineStr">
        <is>
          <t>12 SM</t>
        </is>
      </c>
      <c r="M670" s="12" t="inlineStr">
        <is>
          <t>-</t>
        </is>
      </c>
      <c r="N670" s="12" t="n">
        <v>1</v>
      </c>
      <c r="O670" s="12" t="n">
        <v>1</v>
      </c>
      <c r="P670" s="12" t="n"/>
      <c r="Q670" s="12" t="n"/>
      <c r="R670" s="12" t="n"/>
      <c r="S670" s="12" t="inlineStr">
        <is>
          <t>Tray</t>
        </is>
      </c>
      <c r="T670" s="16" t="n">
        <v>1226</v>
      </c>
      <c r="U670" s="16" t="n">
        <v>124</v>
      </c>
      <c r="V670" s="16">
        <f>ROUNDUP((T670+U670+2*'Read Me'!$B$13)*(1+'Read Me'!$B$12),-1)</f>
        <v/>
      </c>
      <c r="W670" s="16">
        <f>V670*N670*O670</f>
        <v/>
      </c>
      <c r="X670" s="12">
        <f>IF(LEFT(I670,2)="MV",2*N670*IF(L670="1/C",O670,1),0)</f>
        <v/>
      </c>
      <c r="Y670" s="12">
        <f>IF(OR(LEFT(K670,4)="LVAX",LEFT(K670,6)="MV15AX",LEFT(K670,4)="CTAX",LEFT(K670,2)="W|"),2*N670*O670,0)</f>
        <v/>
      </c>
      <c r="Z670" s="12" t="inlineStr"/>
      <c r="AA670" s="12">
        <f>N670*O670</f>
        <v/>
      </c>
    </row>
    <row r="671">
      <c r="A671" s="12" t="inlineStr">
        <is>
          <t>A-F-0007</t>
        </is>
      </c>
      <c r="B671" s="12" t="inlineStr">
        <is>
          <t>A</t>
        </is>
      </c>
      <c r="C671" s="12" t="inlineStr">
        <is>
          <t>Power block</t>
        </is>
      </c>
      <c r="D671" s="12" t="inlineStr">
        <is>
          <t>Plant network / DCS fibre</t>
        </is>
      </c>
      <c r="E671" s="12" t="inlineStr">
        <is>
          <t>CR</t>
        </is>
      </c>
      <c r="F671" s="12" t="inlineStr">
        <is>
          <t>Control / admin building (main control room)</t>
        </is>
      </c>
      <c r="G671" s="12" t="inlineStr">
        <is>
          <t>EXC-ST</t>
        </is>
      </c>
      <c r="H671" s="12" t="inlineStr">
        <is>
          <t>EXC-ST: static excitation cubicles (STG)</t>
        </is>
      </c>
      <c r="I671" s="12" t="inlineStr">
        <is>
          <t>Fibre / data</t>
        </is>
      </c>
      <c r="J671" s="12" t="inlineStr">
        <is>
          <t>Fibre optic, single-mode, 12-fibre, armored, orange jacket</t>
        </is>
      </c>
      <c r="K671" s="12" t="inlineStr">
        <is>
          <t>FO|12 SM|-</t>
        </is>
      </c>
      <c r="L671" s="12" t="inlineStr">
        <is>
          <t>12 SM</t>
        </is>
      </c>
      <c r="M671" s="12" t="inlineStr">
        <is>
          <t>-</t>
        </is>
      </c>
      <c r="N671" s="12" t="n">
        <v>1</v>
      </c>
      <c r="O671" s="12" t="n">
        <v>1</v>
      </c>
      <c r="P671" s="12" t="n"/>
      <c r="Q671" s="12" t="n"/>
      <c r="R671" s="12" t="n"/>
      <c r="S671" s="12" t="inlineStr">
        <is>
          <t>Tray</t>
        </is>
      </c>
      <c r="T671" s="16" t="n">
        <v>1289</v>
      </c>
      <c r="U671" s="16" t="n">
        <v>140</v>
      </c>
      <c r="V671" s="16">
        <f>ROUNDUP((T671+U671+2*'Read Me'!$B$13)*(1+'Read Me'!$B$12),-1)</f>
        <v/>
      </c>
      <c r="W671" s="16">
        <f>V671*N671*O671</f>
        <v/>
      </c>
      <c r="X671" s="12">
        <f>IF(LEFT(I671,2)="MV",2*N671*IF(L671="1/C",O671,1),0)</f>
        <v/>
      </c>
      <c r="Y671" s="12">
        <f>IF(OR(LEFT(K671,4)="LVAX",LEFT(K671,6)="MV15AX",LEFT(K671,4)="CTAX",LEFT(K671,2)="W|"),2*N671*O671,0)</f>
        <v/>
      </c>
      <c r="Z671" s="12" t="inlineStr"/>
      <c r="AA671" s="12">
        <f>N671*O671</f>
        <v/>
      </c>
    </row>
    <row r="672">
      <c r="A672" s="12" t="inlineStr">
        <is>
          <t>A-F-0008</t>
        </is>
      </c>
      <c r="B672" s="12" t="inlineStr">
        <is>
          <t>A</t>
        </is>
      </c>
      <c r="C672" s="12" t="inlineStr">
        <is>
          <t>Power block</t>
        </is>
      </c>
      <c r="D672" s="12" t="inlineStr">
        <is>
          <t>Plant network / DCS fibre</t>
        </is>
      </c>
      <c r="E672" s="12" t="inlineStr">
        <is>
          <t>CR</t>
        </is>
      </c>
      <c r="F672" s="12" t="inlineStr">
        <is>
          <t>Control / admin building (main control room)</t>
        </is>
      </c>
      <c r="G672" s="12" t="inlineStr">
        <is>
          <t>NGT-1</t>
        </is>
      </c>
      <c r="H672" s="12" t="inlineStr">
        <is>
          <t>NGT-1: neutral grounding cubicle (GTG-1)</t>
        </is>
      </c>
      <c r="I672" s="12" t="inlineStr">
        <is>
          <t>Fibre / data</t>
        </is>
      </c>
      <c r="J672" s="12" t="inlineStr">
        <is>
          <t>Fibre optic, single-mode, 12-fibre, armored, orange jacket</t>
        </is>
      </c>
      <c r="K672" s="12" t="inlineStr">
        <is>
          <t>FO|12 SM|-</t>
        </is>
      </c>
      <c r="L672" s="12" t="inlineStr">
        <is>
          <t>12 SM</t>
        </is>
      </c>
      <c r="M672" s="12" t="inlineStr">
        <is>
          <t>-</t>
        </is>
      </c>
      <c r="N672" s="12" t="n">
        <v>1</v>
      </c>
      <c r="O672" s="12" t="n">
        <v>1</v>
      </c>
      <c r="P672" s="12" t="n"/>
      <c r="Q672" s="12" t="n"/>
      <c r="R672" s="12" t="n"/>
      <c r="S672" s="12" t="inlineStr">
        <is>
          <t>Duct bank</t>
        </is>
      </c>
      <c r="T672" s="16" t="n">
        <v>899</v>
      </c>
      <c r="U672" s="16" t="n">
        <v>138</v>
      </c>
      <c r="V672" s="16">
        <f>ROUNDUP((T672+U672+2*'Read Me'!$B$13)*(1+'Read Me'!$B$12),-1)</f>
        <v/>
      </c>
      <c r="W672" s="16">
        <f>V672*N672*O672</f>
        <v/>
      </c>
      <c r="X672" s="12">
        <f>IF(LEFT(I672,2)="MV",2*N672*IF(L672="1/C",O672,1),0)</f>
        <v/>
      </c>
      <c r="Y672" s="12">
        <f>IF(OR(LEFT(K672,4)="LVAX",LEFT(K672,6)="MV15AX",LEFT(K672,4)="CTAX",LEFT(K672,2)="W|"),2*N672*O672,0)</f>
        <v/>
      </c>
      <c r="Z672" s="12" t="inlineStr"/>
      <c r="AA672" s="12">
        <f>N672*O672</f>
        <v/>
      </c>
    </row>
    <row r="673">
      <c r="A673" s="12" t="inlineStr">
        <is>
          <t>A-F-0009</t>
        </is>
      </c>
      <c r="B673" s="12" t="inlineStr">
        <is>
          <t>A</t>
        </is>
      </c>
      <c r="C673" s="12" t="inlineStr">
        <is>
          <t>Power block</t>
        </is>
      </c>
      <c r="D673" s="12" t="inlineStr">
        <is>
          <t>Plant network / DCS fibre</t>
        </is>
      </c>
      <c r="E673" s="12" t="inlineStr">
        <is>
          <t>CR</t>
        </is>
      </c>
      <c r="F673" s="12" t="inlineStr">
        <is>
          <t>Control / admin building (main control room)</t>
        </is>
      </c>
      <c r="G673" s="12" t="inlineStr">
        <is>
          <t>NGT-2</t>
        </is>
      </c>
      <c r="H673" s="12" t="inlineStr">
        <is>
          <t>NGT-2: neutral grounding cubicle (GTG-2)</t>
        </is>
      </c>
      <c r="I673" s="12" t="inlineStr">
        <is>
          <t>Fibre / data</t>
        </is>
      </c>
      <c r="J673" s="12" t="inlineStr">
        <is>
          <t>Fibre optic, single-mode, 12-fibre, armored, orange jacket</t>
        </is>
      </c>
      <c r="K673" s="12" t="inlineStr">
        <is>
          <t>FO|12 SM|-</t>
        </is>
      </c>
      <c r="L673" s="12" t="inlineStr">
        <is>
          <t>12 SM</t>
        </is>
      </c>
      <c r="M673" s="12" t="inlineStr">
        <is>
          <t>-</t>
        </is>
      </c>
      <c r="N673" s="12" t="n">
        <v>1</v>
      </c>
      <c r="O673" s="12" t="n">
        <v>1</v>
      </c>
      <c r="P673" s="12" t="n"/>
      <c r="Q673" s="12" t="n"/>
      <c r="R673" s="12" t="n"/>
      <c r="S673" s="12" t="inlineStr">
        <is>
          <t>Tray</t>
        </is>
      </c>
      <c r="T673" s="16" t="n">
        <v>1059</v>
      </c>
      <c r="U673" s="16" t="n">
        <v>138</v>
      </c>
      <c r="V673" s="16">
        <f>ROUNDUP((T673+U673+2*'Read Me'!$B$13)*(1+'Read Me'!$B$12),-1)</f>
        <v/>
      </c>
      <c r="W673" s="16">
        <f>V673*N673*O673</f>
        <v/>
      </c>
      <c r="X673" s="12">
        <f>IF(LEFT(I673,2)="MV",2*N673*IF(L673="1/C",O673,1),0)</f>
        <v/>
      </c>
      <c r="Y673" s="12">
        <f>IF(OR(LEFT(K673,4)="LVAX",LEFT(K673,6)="MV15AX",LEFT(K673,4)="CTAX",LEFT(K673,2)="W|"),2*N673*O673,0)</f>
        <v/>
      </c>
      <c r="Z673" s="12" t="inlineStr"/>
      <c r="AA673" s="12">
        <f>N673*O673</f>
        <v/>
      </c>
    </row>
    <row r="674">
      <c r="A674" s="12" t="inlineStr">
        <is>
          <t>A-F-0010</t>
        </is>
      </c>
      <c r="B674" s="12" t="inlineStr">
        <is>
          <t>A</t>
        </is>
      </c>
      <c r="C674" s="12" t="inlineStr">
        <is>
          <t>Power block</t>
        </is>
      </c>
      <c r="D674" s="12" t="inlineStr">
        <is>
          <t>Plant network / DCS fibre</t>
        </is>
      </c>
      <c r="E674" s="12" t="inlineStr">
        <is>
          <t>CR</t>
        </is>
      </c>
      <c r="F674" s="12" t="inlineStr">
        <is>
          <t>Control / admin building (main control room)</t>
        </is>
      </c>
      <c r="G674" s="12" t="inlineStr">
        <is>
          <t>NGT-3</t>
        </is>
      </c>
      <c r="H674" s="12" t="inlineStr">
        <is>
          <t>NGT-3: neutral grounding cubicle (GTG-3)</t>
        </is>
      </c>
      <c r="I674" s="12" t="inlineStr">
        <is>
          <t>Fibre / data</t>
        </is>
      </c>
      <c r="J674" s="12" t="inlineStr">
        <is>
          <t>Fibre optic, single-mode, 12-fibre, armored, orange jacket</t>
        </is>
      </c>
      <c r="K674" s="12" t="inlineStr">
        <is>
          <t>FO|12 SM|-</t>
        </is>
      </c>
      <c r="L674" s="12" t="inlineStr">
        <is>
          <t>12 SM</t>
        </is>
      </c>
      <c r="M674" s="12" t="inlineStr">
        <is>
          <t>-</t>
        </is>
      </c>
      <c r="N674" s="12" t="n">
        <v>1</v>
      </c>
      <c r="O674" s="12" t="n">
        <v>1</v>
      </c>
      <c r="P674" s="12" t="n"/>
      <c r="Q674" s="12" t="n"/>
      <c r="R674" s="12" t="n"/>
      <c r="S674" s="12" t="inlineStr">
        <is>
          <t>Tray</t>
        </is>
      </c>
      <c r="T674" s="16" t="n">
        <v>1219</v>
      </c>
      <c r="U674" s="16" t="n">
        <v>138</v>
      </c>
      <c r="V674" s="16">
        <f>ROUNDUP((T674+U674+2*'Read Me'!$B$13)*(1+'Read Me'!$B$12),-1)</f>
        <v/>
      </c>
      <c r="W674" s="16">
        <f>V674*N674*O674</f>
        <v/>
      </c>
      <c r="X674" s="12">
        <f>IF(LEFT(I674,2)="MV",2*N674*IF(L674="1/C",O674,1),0)</f>
        <v/>
      </c>
      <c r="Y674" s="12">
        <f>IF(OR(LEFT(K674,4)="LVAX",LEFT(K674,6)="MV15AX",LEFT(K674,4)="CTAX",LEFT(K674,2)="W|"),2*N674*O674,0)</f>
        <v/>
      </c>
      <c r="Z674" s="12" t="inlineStr"/>
      <c r="AA674" s="12">
        <f>N674*O674</f>
        <v/>
      </c>
    </row>
    <row r="675">
      <c r="A675" s="12" t="inlineStr">
        <is>
          <t>A-F-0011</t>
        </is>
      </c>
      <c r="B675" s="12" t="inlineStr">
        <is>
          <t>A</t>
        </is>
      </c>
      <c r="C675" s="12" t="inlineStr">
        <is>
          <t>Power block</t>
        </is>
      </c>
      <c r="D675" s="12" t="inlineStr">
        <is>
          <t>Plant network / DCS fibre</t>
        </is>
      </c>
      <c r="E675" s="12" t="inlineStr">
        <is>
          <t>CR</t>
        </is>
      </c>
      <c r="F675" s="12" t="inlineStr">
        <is>
          <t>Control / admin building (main control room)</t>
        </is>
      </c>
      <c r="G675" s="12" t="inlineStr">
        <is>
          <t>NGT-ST</t>
        </is>
      </c>
      <c r="H675" s="12" t="inlineStr">
        <is>
          <t>NGT-ST: neutral grounding cubicle (STG)</t>
        </is>
      </c>
      <c r="I675" s="12" t="inlineStr">
        <is>
          <t>Fibre / data</t>
        </is>
      </c>
      <c r="J675" s="12" t="inlineStr">
        <is>
          <t>Fibre optic, single-mode, 12-fibre, armored, orange jacket</t>
        </is>
      </c>
      <c r="K675" s="12" t="inlineStr">
        <is>
          <t>FO|12 SM|-</t>
        </is>
      </c>
      <c r="L675" s="12" t="inlineStr">
        <is>
          <t>12 SM</t>
        </is>
      </c>
      <c r="M675" s="12" t="inlineStr">
        <is>
          <t>-</t>
        </is>
      </c>
      <c r="N675" s="12" t="n">
        <v>1</v>
      </c>
      <c r="O675" s="12" t="n">
        <v>1</v>
      </c>
      <c r="P675" s="12" t="n"/>
      <c r="Q675" s="12" t="n"/>
      <c r="R675" s="12" t="n"/>
      <c r="S675" s="12" t="inlineStr">
        <is>
          <t>Tray</t>
        </is>
      </c>
      <c r="T675" s="16" t="n">
        <v>1289</v>
      </c>
      <c r="U675" s="16" t="n">
        <v>124</v>
      </c>
      <c r="V675" s="16">
        <f>ROUNDUP((T675+U675+2*'Read Me'!$B$13)*(1+'Read Me'!$B$12),-1)</f>
        <v/>
      </c>
      <c r="W675" s="16">
        <f>V675*N675*O675</f>
        <v/>
      </c>
      <c r="X675" s="12">
        <f>IF(LEFT(I675,2)="MV",2*N675*IF(L675="1/C",O675,1),0)</f>
        <v/>
      </c>
      <c r="Y675" s="12">
        <f>IF(OR(LEFT(K675,4)="LVAX",LEFT(K675,6)="MV15AX",LEFT(K675,4)="CTAX",LEFT(K675,2)="W|"),2*N675*O675,0)</f>
        <v/>
      </c>
      <c r="Z675" s="12" t="inlineStr"/>
      <c r="AA675" s="12">
        <f>N675*O675</f>
        <v/>
      </c>
    </row>
    <row r="676">
      <c r="A676" s="12" t="inlineStr">
        <is>
          <t>A-F-0012</t>
        </is>
      </c>
      <c r="B676" s="12" t="inlineStr">
        <is>
          <t>A</t>
        </is>
      </c>
      <c r="C676" s="12" t="inlineStr">
        <is>
          <t>Power block</t>
        </is>
      </c>
      <c r="D676" s="12" t="inlineStr">
        <is>
          <t>Plant network / DCS fibre</t>
        </is>
      </c>
      <c r="E676" s="12" t="inlineStr">
        <is>
          <t>CR</t>
        </is>
      </c>
      <c r="F676" s="12" t="inlineStr">
        <is>
          <t>Control / admin building (main control room)</t>
        </is>
      </c>
      <c r="G676" s="12" t="inlineStr">
        <is>
          <t>R1</t>
        </is>
      </c>
      <c r="H676" s="12" t="inlineStr">
        <is>
          <t>R1: main electrical building (64 x 180 ft)</t>
        </is>
      </c>
      <c r="I676" s="12" t="inlineStr">
        <is>
          <t>Fibre / data</t>
        </is>
      </c>
      <c r="J676" s="12" t="inlineStr">
        <is>
          <t>Fibre optic, single-mode, 12-fibre, armored, orange jacket</t>
        </is>
      </c>
      <c r="K676" s="12" t="inlineStr">
        <is>
          <t>FO|12 SM|-</t>
        </is>
      </c>
      <c r="L676" s="12" t="inlineStr">
        <is>
          <t>12 SM</t>
        </is>
      </c>
      <c r="M676" s="12" t="inlineStr">
        <is>
          <t>-</t>
        </is>
      </c>
      <c r="N676" s="12" t="n">
        <v>1</v>
      </c>
      <c r="O676" s="12" t="n">
        <v>1</v>
      </c>
      <c r="P676" s="12" t="n"/>
      <c r="Q676" s="12" t="n"/>
      <c r="R676" s="12" t="n"/>
      <c r="S676" s="12" t="inlineStr">
        <is>
          <t>Duct bank</t>
        </is>
      </c>
      <c r="T676" s="16" t="n">
        <v>371</v>
      </c>
      <c r="U676" s="16" t="n">
        <v>32</v>
      </c>
      <c r="V676" s="16">
        <f>ROUNDUP((T676+U676+2*'Read Me'!$B$13)*(1+'Read Me'!$B$12),-1)</f>
        <v/>
      </c>
      <c r="W676" s="16">
        <f>V676*N676*O676</f>
        <v/>
      </c>
      <c r="X676" s="12">
        <f>IF(LEFT(I676,2)="MV",2*N676*IF(L676="1/C",O676,1),0)</f>
        <v/>
      </c>
      <c r="Y676" s="12">
        <f>IF(OR(LEFT(K676,4)="LVAX",LEFT(K676,6)="MV15AX",LEFT(K676,4)="CTAX",LEFT(K676,2)="W|"),2*N676*O676,0)</f>
        <v/>
      </c>
      <c r="Z676" s="12" t="inlineStr"/>
      <c r="AA676" s="12">
        <f>N676*O676</f>
        <v/>
      </c>
    </row>
    <row r="677">
      <c r="A677" s="12" t="inlineStr">
        <is>
          <t>A-F-0013</t>
        </is>
      </c>
      <c r="B677" s="12" t="inlineStr">
        <is>
          <t>A</t>
        </is>
      </c>
      <c r="C677" s="12" t="inlineStr">
        <is>
          <t>Power block</t>
        </is>
      </c>
      <c r="D677" s="12" t="inlineStr">
        <is>
          <t>Plant network / DCS fibre</t>
        </is>
      </c>
      <c r="E677" s="12" t="inlineStr">
        <is>
          <t>CR</t>
        </is>
      </c>
      <c r="F677" s="12" t="inlineStr">
        <is>
          <t>Control / admin building (main control room)</t>
        </is>
      </c>
      <c r="G677" s="12" t="inlineStr">
        <is>
          <t>R2A</t>
        </is>
      </c>
      <c r="H677" s="12" t="inlineStr">
        <is>
          <t>R2A: unit / HRSG electrical e-house (32 x 40 ft)</t>
        </is>
      </c>
      <c r="I677" s="12" t="inlineStr">
        <is>
          <t>Fibre / data</t>
        </is>
      </c>
      <c r="J677" s="12" t="inlineStr">
        <is>
          <t>Fibre optic, single-mode, 12-fibre, armored, orange jacket</t>
        </is>
      </c>
      <c r="K677" s="12" t="inlineStr">
        <is>
          <t>FO|12 SM|-</t>
        </is>
      </c>
      <c r="L677" s="12" t="inlineStr">
        <is>
          <t>12 SM</t>
        </is>
      </c>
      <c r="M677" s="12" t="inlineStr">
        <is>
          <t>-</t>
        </is>
      </c>
      <c r="N677" s="12" t="n">
        <v>1</v>
      </c>
      <c r="O677" s="12" t="n">
        <v>1</v>
      </c>
      <c r="P677" s="12" t="n"/>
      <c r="Q677" s="12" t="n"/>
      <c r="R677" s="12" t="n"/>
      <c r="S677" s="12" t="inlineStr">
        <is>
          <t>Duct bank</t>
        </is>
      </c>
      <c r="T677" s="16" t="n">
        <v>546</v>
      </c>
      <c r="U677" s="16" t="n">
        <v>96</v>
      </c>
      <c r="V677" s="16">
        <f>ROUNDUP((T677+U677+2*'Read Me'!$B$13)*(1+'Read Me'!$B$12),-1)</f>
        <v/>
      </c>
      <c r="W677" s="16">
        <f>V677*N677*O677</f>
        <v/>
      </c>
      <c r="X677" s="12">
        <f>IF(LEFT(I677,2)="MV",2*N677*IF(L677="1/C",O677,1),0)</f>
        <v/>
      </c>
      <c r="Y677" s="12">
        <f>IF(OR(LEFT(K677,4)="LVAX",LEFT(K677,6)="MV15AX",LEFT(K677,4)="CTAX",LEFT(K677,2)="W|"),2*N677*O677,0)</f>
        <v/>
      </c>
      <c r="Z677" s="12" t="inlineStr"/>
      <c r="AA677" s="12">
        <f>N677*O677</f>
        <v/>
      </c>
    </row>
    <row r="678">
      <c r="A678" s="12" t="inlineStr">
        <is>
          <t>A-F-0014</t>
        </is>
      </c>
      <c r="B678" s="12" t="inlineStr">
        <is>
          <t>A</t>
        </is>
      </c>
      <c r="C678" s="12" t="inlineStr">
        <is>
          <t>Power block</t>
        </is>
      </c>
      <c r="D678" s="12" t="inlineStr">
        <is>
          <t>Plant network / DCS fibre</t>
        </is>
      </c>
      <c r="E678" s="12" t="inlineStr">
        <is>
          <t>CR</t>
        </is>
      </c>
      <c r="F678" s="12" t="inlineStr">
        <is>
          <t>Control / admin building (main control room)</t>
        </is>
      </c>
      <c r="G678" s="12" t="inlineStr">
        <is>
          <t>R2B</t>
        </is>
      </c>
      <c r="H678" s="12" t="inlineStr">
        <is>
          <t>R2B: unit / HRSG electrical e-house (32 x 40 ft)</t>
        </is>
      </c>
      <c r="I678" s="12" t="inlineStr">
        <is>
          <t>Fibre / data</t>
        </is>
      </c>
      <c r="J678" s="12" t="inlineStr">
        <is>
          <t>Fibre optic, single-mode, 12-fibre, armored, orange jacket</t>
        </is>
      </c>
      <c r="K678" s="12" t="inlineStr">
        <is>
          <t>FO|12 SM|-</t>
        </is>
      </c>
      <c r="L678" s="12" t="inlineStr">
        <is>
          <t>12 SM</t>
        </is>
      </c>
      <c r="M678" s="12" t="inlineStr">
        <is>
          <t>-</t>
        </is>
      </c>
      <c r="N678" s="12" t="n">
        <v>1</v>
      </c>
      <c r="O678" s="12" t="n">
        <v>1</v>
      </c>
      <c r="P678" s="12" t="n"/>
      <c r="Q678" s="12" t="n"/>
      <c r="R678" s="12" t="n"/>
      <c r="S678" s="12" t="inlineStr">
        <is>
          <t>Tray</t>
        </is>
      </c>
      <c r="T678" s="16" t="n">
        <v>1566</v>
      </c>
      <c r="U678" s="16" t="n">
        <v>200</v>
      </c>
      <c r="V678" s="16">
        <f>ROUNDUP((T678+U678+2*'Read Me'!$B$13)*(1+'Read Me'!$B$12),-1)</f>
        <v/>
      </c>
      <c r="W678" s="16">
        <f>V678*N678*O678</f>
        <v/>
      </c>
      <c r="X678" s="12">
        <f>IF(LEFT(I678,2)="MV",2*N678*IF(L678="1/C",O678,1),0)</f>
        <v/>
      </c>
      <c r="Y678" s="12">
        <f>IF(OR(LEFT(K678,4)="LVAX",LEFT(K678,6)="MV15AX",LEFT(K678,4)="CTAX",LEFT(K678,2)="W|"),2*N678*O678,0)</f>
        <v/>
      </c>
      <c r="Z678" s="12" t="inlineStr"/>
      <c r="AA678" s="12">
        <f>N678*O678</f>
        <v/>
      </c>
    </row>
    <row r="679">
      <c r="A679" s="12" t="inlineStr">
        <is>
          <t>A-F-0015</t>
        </is>
      </c>
      <c r="B679" s="12" t="inlineStr">
        <is>
          <t>A</t>
        </is>
      </c>
      <c r="C679" s="12" t="inlineStr">
        <is>
          <t>Power block</t>
        </is>
      </c>
      <c r="D679" s="12" t="inlineStr">
        <is>
          <t>Plant network / DCS fibre</t>
        </is>
      </c>
      <c r="E679" s="12" t="inlineStr">
        <is>
          <t>CR</t>
        </is>
      </c>
      <c r="F679" s="12" t="inlineStr">
        <is>
          <t>Control / admin building (main control room)</t>
        </is>
      </c>
      <c r="G679" s="12" t="inlineStr">
        <is>
          <t>R2C</t>
        </is>
      </c>
      <c r="H679" s="12" t="inlineStr">
        <is>
          <t>R2C: unit / HRSG electrical e-house (32 x 40 ft)</t>
        </is>
      </c>
      <c r="I679" s="12" t="inlineStr">
        <is>
          <t>Fibre / data</t>
        </is>
      </c>
      <c r="J679" s="12" t="inlineStr">
        <is>
          <t>Fibre optic, single-mode, 12-fibre, armored, orange jacket</t>
        </is>
      </c>
      <c r="K679" s="12" t="inlineStr">
        <is>
          <t>FO|12 SM|-</t>
        </is>
      </c>
      <c r="L679" s="12" t="inlineStr">
        <is>
          <t>12 SM</t>
        </is>
      </c>
      <c r="M679" s="12" t="inlineStr">
        <is>
          <t>-</t>
        </is>
      </c>
      <c r="N679" s="12" t="n">
        <v>1</v>
      </c>
      <c r="O679" s="12" t="n">
        <v>1</v>
      </c>
      <c r="P679" s="12" t="n"/>
      <c r="Q679" s="12" t="n"/>
      <c r="R679" s="12" t="n"/>
      <c r="S679" s="12" t="inlineStr">
        <is>
          <t>Tray</t>
        </is>
      </c>
      <c r="T679" s="16" t="n">
        <v>1726</v>
      </c>
      <c r="U679" s="16" t="n">
        <v>200</v>
      </c>
      <c r="V679" s="16">
        <f>ROUNDUP((T679+U679+2*'Read Me'!$B$13)*(1+'Read Me'!$B$12),-1)</f>
        <v/>
      </c>
      <c r="W679" s="16">
        <f>V679*N679*O679</f>
        <v/>
      </c>
      <c r="X679" s="12">
        <f>IF(LEFT(I679,2)="MV",2*N679*IF(L679="1/C",O679,1),0)</f>
        <v/>
      </c>
      <c r="Y679" s="12">
        <f>IF(OR(LEFT(K679,4)="LVAX",LEFT(K679,6)="MV15AX",LEFT(K679,4)="CTAX",LEFT(K679,2)="W|"),2*N679*O679,0)</f>
        <v/>
      </c>
      <c r="Z679" s="12" t="inlineStr"/>
      <c r="AA679" s="12">
        <f>N679*O679</f>
        <v/>
      </c>
    </row>
    <row r="680">
      <c r="A680" s="12" t="inlineStr">
        <is>
          <t>A-F-0016</t>
        </is>
      </c>
      <c r="B680" s="12" t="inlineStr">
        <is>
          <t>A</t>
        </is>
      </c>
      <c r="C680" s="12" t="inlineStr">
        <is>
          <t>Power block</t>
        </is>
      </c>
      <c r="D680" s="12" t="inlineStr">
        <is>
          <t>Plant network / DCS fibre</t>
        </is>
      </c>
      <c r="E680" s="12" t="inlineStr">
        <is>
          <t>CR</t>
        </is>
      </c>
      <c r="F680" s="12" t="inlineStr">
        <is>
          <t>Control / admin building (main control room)</t>
        </is>
      </c>
      <c r="G680" s="12" t="inlineStr">
        <is>
          <t>R3</t>
        </is>
      </c>
      <c r="H680" s="12" t="inlineStr">
        <is>
          <t>R3: ST auxiliary electrical e-house (40 x 65 ft)</t>
        </is>
      </c>
      <c r="I680" s="12" t="inlineStr">
        <is>
          <t>Fibre / data</t>
        </is>
      </c>
      <c r="J680" s="12" t="inlineStr">
        <is>
          <t>Fibre optic, single-mode, 12-fibre, armored, orange jacket</t>
        </is>
      </c>
      <c r="K680" s="12" t="inlineStr">
        <is>
          <t>FO|12 SM|-</t>
        </is>
      </c>
      <c r="L680" s="12" t="inlineStr">
        <is>
          <t>12 SM</t>
        </is>
      </c>
      <c r="M680" s="12" t="inlineStr">
        <is>
          <t>-</t>
        </is>
      </c>
      <c r="N680" s="12" t="n">
        <v>1</v>
      </c>
      <c r="O680" s="12" t="n">
        <v>1</v>
      </c>
      <c r="P680" s="12" t="n"/>
      <c r="Q680" s="12" t="n"/>
      <c r="R680" s="12" t="n"/>
      <c r="S680" s="12" t="inlineStr">
        <is>
          <t>Tray</t>
        </is>
      </c>
      <c r="T680" s="16" t="n">
        <v>1302</v>
      </c>
      <c r="U680" s="16" t="n">
        <v>188</v>
      </c>
      <c r="V680" s="16">
        <f>ROUNDUP((T680+U680+2*'Read Me'!$B$13)*(1+'Read Me'!$B$12),-1)</f>
        <v/>
      </c>
      <c r="W680" s="16">
        <f>V680*N680*O680</f>
        <v/>
      </c>
      <c r="X680" s="12">
        <f>IF(LEFT(I680,2)="MV",2*N680*IF(L680="1/C",O680,1),0)</f>
        <v/>
      </c>
      <c r="Y680" s="12">
        <f>IF(OR(LEFT(K680,4)="LVAX",LEFT(K680,6)="MV15AX",LEFT(K680,4)="CTAX",LEFT(K680,2)="W|"),2*N680*O680,0)</f>
        <v/>
      </c>
      <c r="Z680" s="12" t="inlineStr"/>
      <c r="AA680" s="12">
        <f>N680*O680</f>
        <v/>
      </c>
    </row>
    <row r="681">
      <c r="A681" s="12" t="inlineStr">
        <is>
          <t>A-F-0017</t>
        </is>
      </c>
      <c r="B681" s="12" t="inlineStr">
        <is>
          <t>A</t>
        </is>
      </c>
      <c r="C681" s="12" t="inlineStr">
        <is>
          <t>Power block</t>
        </is>
      </c>
      <c r="D681" s="12" t="inlineStr">
        <is>
          <t>Plant network / DCS fibre</t>
        </is>
      </c>
      <c r="E681" s="12" t="inlineStr">
        <is>
          <t>CR</t>
        </is>
      </c>
      <c r="F681" s="12" t="inlineStr">
        <is>
          <t>Control / admin building (main control room)</t>
        </is>
      </c>
      <c r="G681" s="12" t="inlineStr">
        <is>
          <t>SPC-1</t>
        </is>
      </c>
      <c r="H681" s="12" t="inlineStr">
        <is>
          <t>SPC-1: surge-protection and VT cubicle on the IPB (GTG-1)</t>
        </is>
      </c>
      <c r="I681" s="12" t="inlineStr">
        <is>
          <t>Fibre / data</t>
        </is>
      </c>
      <c r="J681" s="12" t="inlineStr">
        <is>
          <t>Fibre optic, single-mode, 12-fibre, armored, orange jacket</t>
        </is>
      </c>
      <c r="K681" s="12" t="inlineStr">
        <is>
          <t>FO|12 SM|-</t>
        </is>
      </c>
      <c r="L681" s="12" t="inlineStr">
        <is>
          <t>12 SM</t>
        </is>
      </c>
      <c r="M681" s="12" t="inlineStr">
        <is>
          <t>-</t>
        </is>
      </c>
      <c r="N681" s="12" t="n">
        <v>1</v>
      </c>
      <c r="O681" s="12" t="n">
        <v>1</v>
      </c>
      <c r="P681" s="12" t="n"/>
      <c r="Q681" s="12" t="n"/>
      <c r="R681" s="12" t="n"/>
      <c r="S681" s="12" t="inlineStr">
        <is>
          <t>Duct bank</t>
        </is>
      </c>
      <c r="T681" s="16" t="n">
        <v>964</v>
      </c>
      <c r="U681" s="16" t="n">
        <v>44</v>
      </c>
      <c r="V681" s="16">
        <f>ROUNDUP((T681+U681+2*'Read Me'!$B$13)*(1+'Read Me'!$B$12),-1)</f>
        <v/>
      </c>
      <c r="W681" s="16">
        <f>V681*N681*O681</f>
        <v/>
      </c>
      <c r="X681" s="12">
        <f>IF(LEFT(I681,2)="MV",2*N681*IF(L681="1/C",O681,1),0)</f>
        <v/>
      </c>
      <c r="Y681" s="12">
        <f>IF(OR(LEFT(K681,4)="LVAX",LEFT(K681,6)="MV15AX",LEFT(K681,4)="CTAX",LEFT(K681,2)="W|"),2*N681*O681,0)</f>
        <v/>
      </c>
      <c r="Z681" s="12" t="inlineStr"/>
      <c r="AA681" s="12">
        <f>N681*O681</f>
        <v/>
      </c>
    </row>
    <row r="682">
      <c r="A682" s="12" t="inlineStr">
        <is>
          <t>A-F-0018</t>
        </is>
      </c>
      <c r="B682" s="12" t="inlineStr">
        <is>
          <t>A</t>
        </is>
      </c>
      <c r="C682" s="12" t="inlineStr">
        <is>
          <t>Power block</t>
        </is>
      </c>
      <c r="D682" s="12" t="inlineStr">
        <is>
          <t>Plant network / DCS fibre</t>
        </is>
      </c>
      <c r="E682" s="12" t="inlineStr">
        <is>
          <t>CR</t>
        </is>
      </c>
      <c r="F682" s="12" t="inlineStr">
        <is>
          <t>Control / admin building (main control room)</t>
        </is>
      </c>
      <c r="G682" s="12" t="inlineStr">
        <is>
          <t>SPC-2</t>
        </is>
      </c>
      <c r="H682" s="12" t="inlineStr">
        <is>
          <t>SPC-2: surge-protection and VT cubicle on the IPB (GTG-2)</t>
        </is>
      </c>
      <c r="I682" s="12" t="inlineStr">
        <is>
          <t>Fibre / data</t>
        </is>
      </c>
      <c r="J682" s="12" t="inlineStr">
        <is>
          <t>Fibre optic, single-mode, 12-fibre, armored, orange jacket</t>
        </is>
      </c>
      <c r="K682" s="12" t="inlineStr">
        <is>
          <t>FO|12 SM|-</t>
        </is>
      </c>
      <c r="L682" s="12" t="inlineStr">
        <is>
          <t>12 SM</t>
        </is>
      </c>
      <c r="M682" s="12" t="inlineStr">
        <is>
          <t>-</t>
        </is>
      </c>
      <c r="N682" s="12" t="n">
        <v>1</v>
      </c>
      <c r="O682" s="12" t="n">
        <v>1</v>
      </c>
      <c r="P682" s="12" t="n"/>
      <c r="Q682" s="12" t="n"/>
      <c r="R682" s="12" t="n"/>
      <c r="S682" s="12" t="inlineStr">
        <is>
          <t>Duct bank</t>
        </is>
      </c>
      <c r="T682" s="16" t="n">
        <v>1124</v>
      </c>
      <c r="U682" s="16" t="n">
        <v>44</v>
      </c>
      <c r="V682" s="16">
        <f>ROUNDUP((T682+U682+2*'Read Me'!$B$13)*(1+'Read Me'!$B$12),-1)</f>
        <v/>
      </c>
      <c r="W682" s="16">
        <f>V682*N682*O682</f>
        <v/>
      </c>
      <c r="X682" s="12">
        <f>IF(LEFT(I682,2)="MV",2*N682*IF(L682="1/C",O682,1),0)</f>
        <v/>
      </c>
      <c r="Y682" s="12">
        <f>IF(OR(LEFT(K682,4)="LVAX",LEFT(K682,6)="MV15AX",LEFT(K682,4)="CTAX",LEFT(K682,2)="W|"),2*N682*O682,0)</f>
        <v/>
      </c>
      <c r="Z682" s="12" t="inlineStr"/>
      <c r="AA682" s="12">
        <f>N682*O682</f>
        <v/>
      </c>
    </row>
    <row r="683">
      <c r="A683" s="12" t="inlineStr">
        <is>
          <t>A-F-0019</t>
        </is>
      </c>
      <c r="B683" s="12" t="inlineStr">
        <is>
          <t>A</t>
        </is>
      </c>
      <c r="C683" s="12" t="inlineStr">
        <is>
          <t>Power block</t>
        </is>
      </c>
      <c r="D683" s="12" t="inlineStr">
        <is>
          <t>Plant network / DCS fibre</t>
        </is>
      </c>
      <c r="E683" s="12" t="inlineStr">
        <is>
          <t>CR</t>
        </is>
      </c>
      <c r="F683" s="12" t="inlineStr">
        <is>
          <t>Control / admin building (main control room)</t>
        </is>
      </c>
      <c r="G683" s="12" t="inlineStr">
        <is>
          <t>SPC-3</t>
        </is>
      </c>
      <c r="H683" s="12" t="inlineStr">
        <is>
          <t>SPC-3: surge-protection and VT cubicle on the IPB (GTG-3)</t>
        </is>
      </c>
      <c r="I683" s="12" t="inlineStr">
        <is>
          <t>Fibre / data</t>
        </is>
      </c>
      <c r="J683" s="12" t="inlineStr">
        <is>
          <t>Fibre optic, single-mode, 12-fibre, armored, orange jacket</t>
        </is>
      </c>
      <c r="K683" s="12" t="inlineStr">
        <is>
          <t>FO|12 SM|-</t>
        </is>
      </c>
      <c r="L683" s="12" t="inlineStr">
        <is>
          <t>12 SM</t>
        </is>
      </c>
      <c r="M683" s="12" t="inlineStr">
        <is>
          <t>-</t>
        </is>
      </c>
      <c r="N683" s="12" t="n">
        <v>1</v>
      </c>
      <c r="O683" s="12" t="n">
        <v>1</v>
      </c>
      <c r="P683" s="12" t="n"/>
      <c r="Q683" s="12" t="n"/>
      <c r="R683" s="12" t="n"/>
      <c r="S683" s="12" t="inlineStr">
        <is>
          <t>Duct bank</t>
        </is>
      </c>
      <c r="T683" s="16" t="n">
        <v>1284</v>
      </c>
      <c r="U683" s="16" t="n">
        <v>44</v>
      </c>
      <c r="V683" s="16">
        <f>ROUNDUP((T683+U683+2*'Read Me'!$B$13)*(1+'Read Me'!$B$12),-1)</f>
        <v/>
      </c>
      <c r="W683" s="16">
        <f>V683*N683*O683</f>
        <v/>
      </c>
      <c r="X683" s="12">
        <f>IF(LEFT(I683,2)="MV",2*N683*IF(L683="1/C",O683,1),0)</f>
        <v/>
      </c>
      <c r="Y683" s="12">
        <f>IF(OR(LEFT(K683,4)="LVAX",LEFT(K683,6)="MV15AX",LEFT(K683,4)="CTAX",LEFT(K683,2)="W|"),2*N683*O683,0)</f>
        <v/>
      </c>
      <c r="Z683" s="12" t="inlineStr"/>
      <c r="AA683" s="12">
        <f>N683*O683</f>
        <v/>
      </c>
    </row>
    <row r="684">
      <c r="A684" s="12" t="inlineStr">
        <is>
          <t>A-FA-0001</t>
        </is>
      </c>
      <c r="B684" s="12" t="inlineStr">
        <is>
          <t>A</t>
        </is>
      </c>
      <c r="C684" s="12" t="inlineStr">
        <is>
          <t>Power block</t>
        </is>
      </c>
      <c r="D684" s="12" t="inlineStr">
        <is>
          <t>Fire alarm / F&amp;G loop (to the local FACP / F&amp;G node)</t>
        </is>
      </c>
      <c r="E684" s="12" t="inlineStr">
        <is>
          <t>R2A</t>
        </is>
      </c>
      <c r="F684" s="12" t="inlineStr">
        <is>
          <t>R2A: unit / HRSG electrical e-house (32 x 40 ft)</t>
        </is>
      </c>
      <c r="G684" s="12" t="inlineStr">
        <is>
          <t>CEMS-1</t>
        </is>
      </c>
      <c r="H684" s="12" t="inlineStr">
        <is>
          <t>CEMS shelter, HRSG 1</t>
        </is>
      </c>
      <c r="I684" s="12" t="inlineStr">
        <is>
          <t>Fire alarm</t>
        </is>
      </c>
      <c r="J684" s="12" t="inlineStr">
        <is>
          <t>Fire alarm FPLR 2/C #14 shielded, red jacket (NEC 760)</t>
        </is>
      </c>
      <c r="K684" s="12" t="inlineStr">
        <is>
          <t>FA|2/C|14</t>
        </is>
      </c>
      <c r="L684" s="12" t="inlineStr">
        <is>
          <t>2/C</t>
        </is>
      </c>
      <c r="M684" s="12" t="inlineStr">
        <is>
          <t>14</t>
        </is>
      </c>
      <c r="N684" s="12" t="n">
        <v>1</v>
      </c>
      <c r="O684" s="12" t="n">
        <v>1</v>
      </c>
      <c r="P684" s="12" t="n"/>
      <c r="Q684" s="12" t="n"/>
      <c r="R684" s="12" t="n"/>
      <c r="S684" s="12" t="inlineStr">
        <is>
          <t>Tray</t>
        </is>
      </c>
      <c r="T684" s="16" t="n">
        <v>277</v>
      </c>
      <c r="U684" s="16" t="n">
        <v>97</v>
      </c>
      <c r="V684" s="16">
        <f>ROUNDUP((T684+U684+2*'Read Me'!$B$13)*(1+'Read Me'!$B$12),-1)</f>
        <v/>
      </c>
      <c r="W684" s="16">
        <f>V684*N684*O684</f>
        <v/>
      </c>
      <c r="X684" s="12">
        <f>IF(LEFT(I684,2)="MV",2*N684*IF(L684="1/C",O684,1),0)</f>
        <v/>
      </c>
      <c r="Y684" s="12">
        <f>IF(OR(LEFT(K684,4)="LVAX",LEFT(K684,6)="MV15AX",LEFT(K684,4)="CTAX",LEFT(K684,2)="W|"),2*N684*O684,0)</f>
        <v/>
      </c>
      <c r="Z684" s="12" t="inlineStr"/>
      <c r="AA684" s="12">
        <f>N684*O684</f>
        <v/>
      </c>
    </row>
    <row r="685">
      <c r="A685" s="12" t="inlineStr">
        <is>
          <t>A-FA-0002</t>
        </is>
      </c>
      <c r="B685" s="12" t="inlineStr">
        <is>
          <t>A</t>
        </is>
      </c>
      <c r="C685" s="12" t="inlineStr">
        <is>
          <t>Power block</t>
        </is>
      </c>
      <c r="D685" s="12" t="inlineStr">
        <is>
          <t>Fire alarm / F&amp;G loop (to the local FACP / F&amp;G node)</t>
        </is>
      </c>
      <c r="E685" s="12" t="inlineStr">
        <is>
          <t>R2B</t>
        </is>
      </c>
      <c r="F685" s="12" t="inlineStr">
        <is>
          <t>R2B: unit / HRSG electrical e-house (32 x 40 ft)</t>
        </is>
      </c>
      <c r="G685" s="12" t="inlineStr">
        <is>
          <t>CEMS-2</t>
        </is>
      </c>
      <c r="H685" s="12" t="inlineStr">
        <is>
          <t>CEMS shelter, HRSG 2</t>
        </is>
      </c>
      <c r="I685" s="12" t="inlineStr">
        <is>
          <t>Fire alarm</t>
        </is>
      </c>
      <c r="J685" s="12" t="inlineStr">
        <is>
          <t>Fire alarm FPLR 2/C #14 shielded, red jacket (NEC 760)</t>
        </is>
      </c>
      <c r="K685" s="12" t="inlineStr">
        <is>
          <t>FA|2/C|14</t>
        </is>
      </c>
      <c r="L685" s="12" t="inlineStr">
        <is>
          <t>2/C</t>
        </is>
      </c>
      <c r="M685" s="12" t="inlineStr">
        <is>
          <t>14</t>
        </is>
      </c>
      <c r="N685" s="12" t="n">
        <v>1</v>
      </c>
      <c r="O685" s="12" t="n">
        <v>1</v>
      </c>
      <c r="P685" s="12" t="n"/>
      <c r="Q685" s="12" t="n"/>
      <c r="R685" s="12" t="n"/>
      <c r="S685" s="12" t="inlineStr">
        <is>
          <t>Tray</t>
        </is>
      </c>
      <c r="T685" s="16" t="n">
        <v>273</v>
      </c>
      <c r="U685" s="16" t="n">
        <v>93</v>
      </c>
      <c r="V685" s="16">
        <f>ROUNDUP((T685+U685+2*'Read Me'!$B$13)*(1+'Read Me'!$B$12),-1)</f>
        <v/>
      </c>
      <c r="W685" s="16">
        <f>V685*N685*O685</f>
        <v/>
      </c>
      <c r="X685" s="12">
        <f>IF(LEFT(I685,2)="MV",2*N685*IF(L685="1/C",O685,1),0)</f>
        <v/>
      </c>
      <c r="Y685" s="12">
        <f>IF(OR(LEFT(K685,4)="LVAX",LEFT(K685,6)="MV15AX",LEFT(K685,4)="CTAX",LEFT(K685,2)="W|"),2*N685*O685,0)</f>
        <v/>
      </c>
      <c r="Z685" s="12" t="inlineStr"/>
      <c r="AA685" s="12">
        <f>N685*O685</f>
        <v/>
      </c>
    </row>
    <row r="686">
      <c r="A686" s="12" t="inlineStr">
        <is>
          <t>A-FA-0003</t>
        </is>
      </c>
      <c r="B686" s="12" t="inlineStr">
        <is>
          <t>A</t>
        </is>
      </c>
      <c r="C686" s="12" t="inlineStr">
        <is>
          <t>Power block</t>
        </is>
      </c>
      <c r="D686" s="12" t="inlineStr">
        <is>
          <t>Fire alarm / F&amp;G loop (to the local FACP / F&amp;G node)</t>
        </is>
      </c>
      <c r="E686" s="12" t="inlineStr">
        <is>
          <t>R2C</t>
        </is>
      </c>
      <c r="F686" s="12" t="inlineStr">
        <is>
          <t>R2C: unit / HRSG electrical e-house (32 x 40 ft)</t>
        </is>
      </c>
      <c r="G686" s="12" t="inlineStr">
        <is>
          <t>CEMS-3</t>
        </is>
      </c>
      <c r="H686" s="12" t="inlineStr">
        <is>
          <t>CEMS shelter, HRSG 3</t>
        </is>
      </c>
      <c r="I686" s="12" t="inlineStr">
        <is>
          <t>Fire alarm</t>
        </is>
      </c>
      <c r="J686" s="12" t="inlineStr">
        <is>
          <t>Fire alarm FPLR 2/C #14 shielded, red jacket (NEC 760)</t>
        </is>
      </c>
      <c r="K686" s="12" t="inlineStr">
        <is>
          <t>FA|2/C|14</t>
        </is>
      </c>
      <c r="L686" s="12" t="inlineStr">
        <is>
          <t>2/C</t>
        </is>
      </c>
      <c r="M686" s="12" t="inlineStr">
        <is>
          <t>14</t>
        </is>
      </c>
      <c r="N686" s="12" t="n">
        <v>1</v>
      </c>
      <c r="O686" s="12" t="n">
        <v>1</v>
      </c>
      <c r="P686" s="12" t="n"/>
      <c r="Q686" s="12" t="n"/>
      <c r="R686" s="12" t="n"/>
      <c r="S686" s="12" t="inlineStr">
        <is>
          <t>Tray</t>
        </is>
      </c>
      <c r="T686" s="16" t="n">
        <v>277</v>
      </c>
      <c r="U686" s="16" t="n">
        <v>97</v>
      </c>
      <c r="V686" s="16">
        <f>ROUNDUP((T686+U686+2*'Read Me'!$B$13)*(1+'Read Me'!$B$12),-1)</f>
        <v/>
      </c>
      <c r="W686" s="16">
        <f>V686*N686*O686</f>
        <v/>
      </c>
      <c r="X686" s="12">
        <f>IF(LEFT(I686,2)="MV",2*N686*IF(L686="1/C",O686,1),0)</f>
        <v/>
      </c>
      <c r="Y686" s="12">
        <f>IF(OR(LEFT(K686,4)="LVAX",LEFT(K686,6)="MV15AX",LEFT(K686,4)="CTAX",LEFT(K686,2)="W|"),2*N686*O686,0)</f>
        <v/>
      </c>
      <c r="Z686" s="12" t="inlineStr"/>
      <c r="AA686" s="12">
        <f>N686*O686</f>
        <v/>
      </c>
    </row>
    <row r="687">
      <c r="A687" s="12" t="inlineStr">
        <is>
          <t>A-FA-0004</t>
        </is>
      </c>
      <c r="B687" s="12" t="inlineStr">
        <is>
          <t>A</t>
        </is>
      </c>
      <c r="C687" s="12" t="inlineStr">
        <is>
          <t>Power block</t>
        </is>
      </c>
      <c r="D687" s="12" t="inlineStr">
        <is>
          <t>Fire alarm / F&amp;G loop (to the local FACP / F&amp;G node)</t>
        </is>
      </c>
      <c r="E687" s="12" t="inlineStr">
        <is>
          <t>R2B</t>
        </is>
      </c>
      <c r="F687" s="12" t="inlineStr">
        <is>
          <t>R2B: unit / HRSG electrical e-house (32 x 40 ft)</t>
        </is>
      </c>
      <c r="G687" s="12" t="inlineStr">
        <is>
          <t>HALL</t>
        </is>
      </c>
      <c r="H687" s="12" t="inlineStr">
        <is>
          <t>Common turbine hall</t>
        </is>
      </c>
      <c r="I687" s="12" t="inlineStr">
        <is>
          <t>Fire alarm</t>
        </is>
      </c>
      <c r="J687" s="12" t="inlineStr">
        <is>
          <t>Fire alarm FPLR 2/C #14 shielded, red jacket (NEC 760)</t>
        </is>
      </c>
      <c r="K687" s="12" t="inlineStr">
        <is>
          <t>FA|2/C|14</t>
        </is>
      </c>
      <c r="L687" s="12" t="inlineStr">
        <is>
          <t>2/C</t>
        </is>
      </c>
      <c r="M687" s="12" t="inlineStr">
        <is>
          <t>14</t>
        </is>
      </c>
      <c r="N687" s="12" t="n">
        <v>1</v>
      </c>
      <c r="O687" s="12" t="n">
        <v>1</v>
      </c>
      <c r="P687" s="12" t="n"/>
      <c r="Q687" s="12" t="n"/>
      <c r="R687" s="12" t="n"/>
      <c r="S687" s="12" t="inlineStr">
        <is>
          <t>Tray</t>
        </is>
      </c>
      <c r="T687" s="16" t="n">
        <v>1069</v>
      </c>
      <c r="U687" s="16" t="n">
        <v>184</v>
      </c>
      <c r="V687" s="16">
        <f>ROUNDUP((T687+U687+2*'Read Me'!$B$13)*(1+'Read Me'!$B$12),-1)</f>
        <v/>
      </c>
      <c r="W687" s="16">
        <f>V687*N687*O687</f>
        <v/>
      </c>
      <c r="X687" s="12">
        <f>IF(LEFT(I687,2)="MV",2*N687*IF(L687="1/C",O687,1),0)</f>
        <v/>
      </c>
      <c r="Y687" s="12">
        <f>IF(OR(LEFT(K687,4)="LVAX",LEFT(K687,6)="MV15AX",LEFT(K687,4)="CTAX",LEFT(K687,2)="W|"),2*N687*O687,0)</f>
        <v/>
      </c>
      <c r="Z687" s="12" t="inlineStr"/>
      <c r="AA687" s="12">
        <f>N687*O687</f>
        <v/>
      </c>
    </row>
    <row r="688">
      <c r="A688" s="12" t="inlineStr">
        <is>
          <t>A-FA-0005</t>
        </is>
      </c>
      <c r="B688" s="12" t="inlineStr">
        <is>
          <t>A</t>
        </is>
      </c>
      <c r="C688" s="12" t="inlineStr">
        <is>
          <t>Power block</t>
        </is>
      </c>
      <c r="D688" s="12" t="inlineStr">
        <is>
          <t>Fire alarm / F&amp;G loop (to the local FACP / F&amp;G node)</t>
        </is>
      </c>
      <c r="E688" s="12" t="inlineStr">
        <is>
          <t>R2A</t>
        </is>
      </c>
      <c r="F688" s="12" t="inlineStr">
        <is>
          <t>R2A: unit / HRSG electrical e-house (32 x 40 ft)</t>
        </is>
      </c>
      <c r="G688" s="12" t="inlineStr">
        <is>
          <t>EXC-1</t>
        </is>
      </c>
      <c r="H688" s="12" t="inlineStr">
        <is>
          <t>EXC-1: static excitation cubicles (GTG-1)</t>
        </is>
      </c>
      <c r="I688" s="12" t="inlineStr">
        <is>
          <t>Fire alarm</t>
        </is>
      </c>
      <c r="J688" s="12" t="inlineStr">
        <is>
          <t>Fire alarm FPLR 2/C #14 shielded, red jacket (NEC 760)</t>
        </is>
      </c>
      <c r="K688" s="12" t="inlineStr">
        <is>
          <t>FA|2/C|14</t>
        </is>
      </c>
      <c r="L688" s="12" t="inlineStr">
        <is>
          <t>2/C</t>
        </is>
      </c>
      <c r="M688" s="12" t="inlineStr">
        <is>
          <t>14</t>
        </is>
      </c>
      <c r="N688" s="12" t="n">
        <v>1</v>
      </c>
      <c r="O688" s="12" t="n">
        <v>1</v>
      </c>
      <c r="P688" s="12" t="n"/>
      <c r="Q688" s="12" t="n"/>
      <c r="R688" s="12" t="n"/>
      <c r="S688" s="12" t="inlineStr">
        <is>
          <t>Tray</t>
        </is>
      </c>
      <c r="T688" s="16" t="n">
        <v>366</v>
      </c>
      <c r="U688" s="16" t="n">
        <v>106</v>
      </c>
      <c r="V688" s="16">
        <f>ROUNDUP((T688+U688+2*'Read Me'!$B$13)*(1+'Read Me'!$B$12),-1)</f>
        <v/>
      </c>
      <c r="W688" s="16">
        <f>V688*N688*O688</f>
        <v/>
      </c>
      <c r="X688" s="12">
        <f>IF(LEFT(I688,2)="MV",2*N688*IF(L688="1/C",O688,1),0)</f>
        <v/>
      </c>
      <c r="Y688" s="12">
        <f>IF(OR(LEFT(K688,4)="LVAX",LEFT(K688,6)="MV15AX",LEFT(K688,4)="CTAX",LEFT(K688,2)="W|"),2*N688*O688,0)</f>
        <v/>
      </c>
      <c r="Z688" s="12" t="inlineStr"/>
      <c r="AA688" s="12">
        <f>N688*O688</f>
        <v/>
      </c>
    </row>
    <row r="689">
      <c r="A689" s="12" t="inlineStr">
        <is>
          <t>A-FA-0006</t>
        </is>
      </c>
      <c r="B689" s="12" t="inlineStr">
        <is>
          <t>A</t>
        </is>
      </c>
      <c r="C689" s="12" t="inlineStr">
        <is>
          <t>Power block</t>
        </is>
      </c>
      <c r="D689" s="12" t="inlineStr">
        <is>
          <t>Fire alarm / F&amp;G loop (to the local FACP / F&amp;G node)</t>
        </is>
      </c>
      <c r="E689" s="12" t="inlineStr">
        <is>
          <t>R2B</t>
        </is>
      </c>
      <c r="F689" s="12" t="inlineStr">
        <is>
          <t>R2B: unit / HRSG electrical e-house (32 x 40 ft)</t>
        </is>
      </c>
      <c r="G689" s="12" t="inlineStr">
        <is>
          <t>EXC-2</t>
        </is>
      </c>
      <c r="H689" s="12" t="inlineStr">
        <is>
          <t>EXC-2: static excitation cubicles (GTG-2)</t>
        </is>
      </c>
      <c r="I689" s="12" t="inlineStr">
        <is>
          <t>Fire alarm</t>
        </is>
      </c>
      <c r="J689" s="12" t="inlineStr">
        <is>
          <t>Fire alarm FPLR 2/C #14 shielded, red jacket (NEC 760)</t>
        </is>
      </c>
      <c r="K689" s="12" t="inlineStr">
        <is>
          <t>FA|2/C|14</t>
        </is>
      </c>
      <c r="L689" s="12" t="inlineStr">
        <is>
          <t>2/C</t>
        </is>
      </c>
      <c r="M689" s="12" t="inlineStr">
        <is>
          <t>14</t>
        </is>
      </c>
      <c r="N689" s="12" t="n">
        <v>1</v>
      </c>
      <c r="O689" s="12" t="n">
        <v>1</v>
      </c>
      <c r="P689" s="12" t="n"/>
      <c r="Q689" s="12" t="n"/>
      <c r="R689" s="12" t="n"/>
      <c r="S689" s="12" t="inlineStr">
        <is>
          <t>Tray</t>
        </is>
      </c>
      <c r="T689" s="16" t="n">
        <v>1240</v>
      </c>
      <c r="U689" s="16" t="n">
        <v>196</v>
      </c>
      <c r="V689" s="16">
        <f>ROUNDUP((T689+U689+2*'Read Me'!$B$13)*(1+'Read Me'!$B$12),-1)</f>
        <v/>
      </c>
      <c r="W689" s="16">
        <f>V689*N689*O689</f>
        <v/>
      </c>
      <c r="X689" s="12">
        <f>IF(LEFT(I689,2)="MV",2*N689*IF(L689="1/C",O689,1),0)</f>
        <v/>
      </c>
      <c r="Y689" s="12">
        <f>IF(OR(LEFT(K689,4)="LVAX",LEFT(K689,6)="MV15AX",LEFT(K689,4)="CTAX",LEFT(K689,2)="W|"),2*N689*O689,0)</f>
        <v/>
      </c>
      <c r="Z689" s="12" t="inlineStr"/>
      <c r="AA689" s="12">
        <f>N689*O689</f>
        <v/>
      </c>
    </row>
    <row r="690">
      <c r="A690" s="12" t="inlineStr">
        <is>
          <t>A-FA-0007</t>
        </is>
      </c>
      <c r="B690" s="12" t="inlineStr">
        <is>
          <t>A</t>
        </is>
      </c>
      <c r="C690" s="12" t="inlineStr">
        <is>
          <t>Power block</t>
        </is>
      </c>
      <c r="D690" s="12" t="inlineStr">
        <is>
          <t>Fire alarm / F&amp;G loop (to the local FACP / F&amp;G node)</t>
        </is>
      </c>
      <c r="E690" s="12" t="inlineStr">
        <is>
          <t>R2C</t>
        </is>
      </c>
      <c r="F690" s="12" t="inlineStr">
        <is>
          <t>R2C: unit / HRSG electrical e-house (32 x 40 ft)</t>
        </is>
      </c>
      <c r="G690" s="12" t="inlineStr">
        <is>
          <t>EXC-3</t>
        </is>
      </c>
      <c r="H690" s="12" t="inlineStr">
        <is>
          <t>EXC-3: static excitation cubicles (GTG-3)</t>
        </is>
      </c>
      <c r="I690" s="12" t="inlineStr">
        <is>
          <t>Fire alarm</t>
        </is>
      </c>
      <c r="J690" s="12" t="inlineStr">
        <is>
          <t>Fire alarm FPLR 2/C #14 shielded, red jacket (NEC 760)</t>
        </is>
      </c>
      <c r="K690" s="12" t="inlineStr">
        <is>
          <t>FA|2/C|14</t>
        </is>
      </c>
      <c r="L690" s="12" t="inlineStr">
        <is>
          <t>2/C</t>
        </is>
      </c>
      <c r="M690" s="12" t="inlineStr">
        <is>
          <t>14</t>
        </is>
      </c>
      <c r="N690" s="12" t="n">
        <v>1</v>
      </c>
      <c r="O690" s="12" t="n">
        <v>1</v>
      </c>
      <c r="P690" s="12" t="n"/>
      <c r="Q690" s="12" t="n"/>
      <c r="R690" s="12" t="n"/>
      <c r="S690" s="12" t="inlineStr">
        <is>
          <t>Duct bank</t>
        </is>
      </c>
      <c r="T690" s="16" t="n">
        <v>1260</v>
      </c>
      <c r="U690" s="16" t="n">
        <v>148</v>
      </c>
      <c r="V690" s="16">
        <f>ROUNDUP((T690+U690+2*'Read Me'!$B$13)*(1+'Read Me'!$B$12),-1)</f>
        <v/>
      </c>
      <c r="W690" s="16">
        <f>V690*N690*O690</f>
        <v/>
      </c>
      <c r="X690" s="12">
        <f>IF(LEFT(I690,2)="MV",2*N690*IF(L690="1/C",O690,1),0)</f>
        <v/>
      </c>
      <c r="Y690" s="12">
        <f>IF(OR(LEFT(K690,4)="LVAX",LEFT(K690,6)="MV15AX",LEFT(K690,4)="CTAX",LEFT(K690,2)="W|"),2*N690*O690,0)</f>
        <v/>
      </c>
      <c r="Z690" s="12" t="inlineStr"/>
      <c r="AA690" s="12">
        <f>N690*O690</f>
        <v/>
      </c>
    </row>
    <row r="691">
      <c r="A691" s="12" t="inlineStr">
        <is>
          <t>A-FA-0008</t>
        </is>
      </c>
      <c r="B691" s="12" t="inlineStr">
        <is>
          <t>A</t>
        </is>
      </c>
      <c r="C691" s="12" t="inlineStr">
        <is>
          <t>Power block</t>
        </is>
      </c>
      <c r="D691" s="12" t="inlineStr">
        <is>
          <t>Fire alarm / F&amp;G loop (to the local FACP / F&amp;G node)</t>
        </is>
      </c>
      <c r="E691" s="12" t="inlineStr">
        <is>
          <t>R3</t>
        </is>
      </c>
      <c r="F691" s="12" t="inlineStr">
        <is>
          <t>R3: ST auxiliary electrical e-house (40 x 65 ft)</t>
        </is>
      </c>
      <c r="G691" s="12" t="inlineStr">
        <is>
          <t>EXC-ST</t>
        </is>
      </c>
      <c r="H691" s="12" t="inlineStr">
        <is>
          <t>EXC-ST: static excitation cubicles (STG)</t>
        </is>
      </c>
      <c r="I691" s="12" t="inlineStr">
        <is>
          <t>Fire alarm</t>
        </is>
      </c>
      <c r="J691" s="12" t="inlineStr">
        <is>
          <t>Fire alarm FPLR 2/C #14 shielded, red jacket (NEC 760)</t>
        </is>
      </c>
      <c r="K691" s="12" t="inlineStr">
        <is>
          <t>FA|2/C|14</t>
        </is>
      </c>
      <c r="L691" s="12" t="inlineStr">
        <is>
          <t>2/C</t>
        </is>
      </c>
      <c r="M691" s="12" t="inlineStr">
        <is>
          <t>14</t>
        </is>
      </c>
      <c r="N691" s="12" t="n">
        <v>1</v>
      </c>
      <c r="O691" s="12" t="n">
        <v>1</v>
      </c>
      <c r="P691" s="12" t="n"/>
      <c r="Q691" s="12" t="n"/>
      <c r="R691" s="12" t="n"/>
      <c r="S691" s="12" t="inlineStr">
        <is>
          <t>Tray</t>
        </is>
      </c>
      <c r="T691" s="16" t="n">
        <v>392</v>
      </c>
      <c r="U691" s="16" t="n">
        <v>96</v>
      </c>
      <c r="V691" s="16">
        <f>ROUNDUP((T691+U691+2*'Read Me'!$B$13)*(1+'Read Me'!$B$12),-1)</f>
        <v/>
      </c>
      <c r="W691" s="16">
        <f>V691*N691*O691</f>
        <v/>
      </c>
      <c r="X691" s="12">
        <f>IF(LEFT(I691,2)="MV",2*N691*IF(L691="1/C",O691,1),0)</f>
        <v/>
      </c>
      <c r="Y691" s="12">
        <f>IF(OR(LEFT(K691,4)="LVAX",LEFT(K691,6)="MV15AX",LEFT(K691,4)="CTAX",LEFT(K691,2)="W|"),2*N691*O691,0)</f>
        <v/>
      </c>
      <c r="Z691" s="12" t="inlineStr"/>
      <c r="AA691" s="12">
        <f>N691*O691</f>
        <v/>
      </c>
    </row>
    <row r="692">
      <c r="A692" s="12" t="inlineStr">
        <is>
          <t>A-FA-0009</t>
        </is>
      </c>
      <c r="B692" s="12" t="inlineStr">
        <is>
          <t>A</t>
        </is>
      </c>
      <c r="C692" s="12" t="inlineStr">
        <is>
          <t>Power block</t>
        </is>
      </c>
      <c r="D692" s="12" t="inlineStr">
        <is>
          <t>Fire alarm / F&amp;G loop (to the local FACP / F&amp;G node)</t>
        </is>
      </c>
      <c r="E692" s="12" t="inlineStr">
        <is>
          <t>R2A</t>
        </is>
      </c>
      <c r="F692" s="12" t="inlineStr">
        <is>
          <t>R2A: unit / HRSG electrical e-house (32 x 40 ft)</t>
        </is>
      </c>
      <c r="G692" s="12" t="inlineStr">
        <is>
          <t>GT1</t>
        </is>
      </c>
      <c r="H692" s="12" t="inlineStr">
        <is>
          <t>GT1: H-class gas turbine (60 Hz)</t>
        </is>
      </c>
      <c r="I692" s="12" t="inlineStr">
        <is>
          <t>Fire alarm</t>
        </is>
      </c>
      <c r="J692" s="12" t="inlineStr">
        <is>
          <t>Fire alarm FPLR 2/C #14 shielded, red jacket (NEC 760)</t>
        </is>
      </c>
      <c r="K692" s="12" t="inlineStr">
        <is>
          <t>FA|2/C|14</t>
        </is>
      </c>
      <c r="L692" s="12" t="inlineStr">
        <is>
          <t>2/C</t>
        </is>
      </c>
      <c r="M692" s="12" t="inlineStr">
        <is>
          <t>14</t>
        </is>
      </c>
      <c r="N692" s="12" t="n">
        <v>1</v>
      </c>
      <c r="O692" s="12" t="n">
        <v>1</v>
      </c>
      <c r="P692" s="12" t="n"/>
      <c r="Q692" s="12" t="n"/>
      <c r="R692" s="12" t="n"/>
      <c r="S692" s="12" t="inlineStr">
        <is>
          <t>Tray</t>
        </is>
      </c>
      <c r="T692" s="16" t="n">
        <v>154</v>
      </c>
      <c r="U692" s="16" t="n">
        <v>103</v>
      </c>
      <c r="V692" s="16">
        <f>ROUNDUP((T692+U692+2*'Read Me'!$B$13)*(1+'Read Me'!$B$12),-1)</f>
        <v/>
      </c>
      <c r="W692" s="16">
        <f>V692*N692*O692</f>
        <v/>
      </c>
      <c r="X692" s="12">
        <f>IF(LEFT(I692,2)="MV",2*N692*IF(L692="1/C",O692,1),0)</f>
        <v/>
      </c>
      <c r="Y692" s="12">
        <f>IF(OR(LEFT(K692,4)="LVAX",LEFT(K692,6)="MV15AX",LEFT(K692,4)="CTAX",LEFT(K692,2)="W|"),2*N692*O692,0)</f>
        <v/>
      </c>
      <c r="Z692" s="12" t="inlineStr"/>
      <c r="AA692" s="12">
        <f>N692*O692</f>
        <v/>
      </c>
    </row>
    <row r="693">
      <c r="A693" s="12" t="inlineStr">
        <is>
          <t>A-FA-0010</t>
        </is>
      </c>
      <c r="B693" s="12" t="inlineStr">
        <is>
          <t>A</t>
        </is>
      </c>
      <c r="C693" s="12" t="inlineStr">
        <is>
          <t>Power block</t>
        </is>
      </c>
      <c r="D693" s="12" t="inlineStr">
        <is>
          <t>Fire alarm / F&amp;G loop (to the local FACP / F&amp;G node)</t>
        </is>
      </c>
      <c r="E693" s="12" t="inlineStr">
        <is>
          <t>R2B</t>
        </is>
      </c>
      <c r="F693" s="12" t="inlineStr">
        <is>
          <t>R2B: unit / HRSG electrical e-house (32 x 40 ft)</t>
        </is>
      </c>
      <c r="G693" s="12" t="inlineStr">
        <is>
          <t>GT2</t>
        </is>
      </c>
      <c r="H693" s="12" t="inlineStr">
        <is>
          <t>GT2: H-class gas turbine (60 Hz)</t>
        </is>
      </c>
      <c r="I693" s="12" t="inlineStr">
        <is>
          <t>Fire alarm</t>
        </is>
      </c>
      <c r="J693" s="12" t="inlineStr">
        <is>
          <t>Fire alarm FPLR 2/C #14 shielded, red jacket (NEC 760)</t>
        </is>
      </c>
      <c r="K693" s="12" t="inlineStr">
        <is>
          <t>FA|2/C|14</t>
        </is>
      </c>
      <c r="L693" s="12" t="inlineStr">
        <is>
          <t>2/C</t>
        </is>
      </c>
      <c r="M693" s="12" t="inlineStr">
        <is>
          <t>14</t>
        </is>
      </c>
      <c r="N693" s="12" t="n">
        <v>1</v>
      </c>
      <c r="O693" s="12" t="n">
        <v>1</v>
      </c>
      <c r="P693" s="12" t="n"/>
      <c r="Q693" s="12" t="n"/>
      <c r="R693" s="12" t="n"/>
      <c r="S693" s="12" t="inlineStr">
        <is>
          <t>Tray</t>
        </is>
      </c>
      <c r="T693" s="16" t="n">
        <v>1046</v>
      </c>
      <c r="U693" s="16" t="n">
        <v>197</v>
      </c>
      <c r="V693" s="16">
        <f>ROUNDUP((T693+U693+2*'Read Me'!$B$13)*(1+'Read Me'!$B$12),-1)</f>
        <v/>
      </c>
      <c r="W693" s="16">
        <f>V693*N693*O693</f>
        <v/>
      </c>
      <c r="X693" s="12">
        <f>IF(LEFT(I693,2)="MV",2*N693*IF(L693="1/C",O693,1),0)</f>
        <v/>
      </c>
      <c r="Y693" s="12">
        <f>IF(OR(LEFT(K693,4)="LVAX",LEFT(K693,6)="MV15AX",LEFT(K693,4)="CTAX",LEFT(K693,2)="W|"),2*N693*O693,0)</f>
        <v/>
      </c>
      <c r="Z693" s="12" t="inlineStr"/>
      <c r="AA693" s="12">
        <f>N693*O693</f>
        <v/>
      </c>
    </row>
    <row r="694">
      <c r="A694" s="12" t="inlineStr">
        <is>
          <t>A-FA-0011</t>
        </is>
      </c>
      <c r="B694" s="12" t="inlineStr">
        <is>
          <t>A</t>
        </is>
      </c>
      <c r="C694" s="12" t="inlineStr">
        <is>
          <t>Power block</t>
        </is>
      </c>
      <c r="D694" s="12" t="inlineStr">
        <is>
          <t>Fire alarm / F&amp;G loop (to the local FACP / F&amp;G node)</t>
        </is>
      </c>
      <c r="E694" s="12" t="inlineStr">
        <is>
          <t>R2C</t>
        </is>
      </c>
      <c r="F694" s="12" t="inlineStr">
        <is>
          <t>R2C: unit / HRSG electrical e-house (32 x 40 ft)</t>
        </is>
      </c>
      <c r="G694" s="12" t="inlineStr">
        <is>
          <t>GT3</t>
        </is>
      </c>
      <c r="H694" s="12" t="inlineStr">
        <is>
          <t>GT3: H-class gas turbine (60 Hz)</t>
        </is>
      </c>
      <c r="I694" s="12" t="inlineStr">
        <is>
          <t>Fire alarm</t>
        </is>
      </c>
      <c r="J694" s="12" t="inlineStr">
        <is>
          <t>Fire alarm FPLR 2/C #14 shielded, red jacket (NEC 760)</t>
        </is>
      </c>
      <c r="K694" s="12" t="inlineStr">
        <is>
          <t>FA|2/C|14</t>
        </is>
      </c>
      <c r="L694" s="12" t="inlineStr">
        <is>
          <t>2/C</t>
        </is>
      </c>
      <c r="M694" s="12" t="inlineStr">
        <is>
          <t>14</t>
        </is>
      </c>
      <c r="N694" s="12" t="n">
        <v>1</v>
      </c>
      <c r="O694" s="12" t="n">
        <v>1</v>
      </c>
      <c r="P694" s="12" t="n"/>
      <c r="Q694" s="12" t="n"/>
      <c r="R694" s="12" t="n"/>
      <c r="S694" s="12" t="inlineStr">
        <is>
          <t>Tray</t>
        </is>
      </c>
      <c r="T694" s="16" t="n">
        <v>986</v>
      </c>
      <c r="U694" s="16" t="n">
        <v>249</v>
      </c>
      <c r="V694" s="16">
        <f>ROUNDUP((T694+U694+2*'Read Me'!$B$13)*(1+'Read Me'!$B$12),-1)</f>
        <v/>
      </c>
      <c r="W694" s="16">
        <f>V694*N694*O694</f>
        <v/>
      </c>
      <c r="X694" s="12">
        <f>IF(LEFT(I694,2)="MV",2*N694*IF(L694="1/C",O694,1),0)</f>
        <v/>
      </c>
      <c r="Y694" s="12">
        <f>IF(OR(LEFT(K694,4)="LVAX",LEFT(K694,6)="MV15AX",LEFT(K694,4)="CTAX",LEFT(K694,2)="W|"),2*N694*O694,0)</f>
        <v/>
      </c>
      <c r="Z694" s="12" t="inlineStr"/>
      <c r="AA694" s="12">
        <f>N694*O694</f>
        <v/>
      </c>
    </row>
    <row r="695">
      <c r="A695" s="12" t="inlineStr">
        <is>
          <t>A-FA-0012</t>
        </is>
      </c>
      <c r="B695" s="12" t="inlineStr">
        <is>
          <t>A</t>
        </is>
      </c>
      <c r="C695" s="12" t="inlineStr">
        <is>
          <t>Power block</t>
        </is>
      </c>
      <c r="D695" s="12" t="inlineStr">
        <is>
          <t>Fire alarm / F&amp;G loop (to the local FACP / F&amp;G node)</t>
        </is>
      </c>
      <c r="E695" s="12" t="inlineStr">
        <is>
          <t>R2A</t>
        </is>
      </c>
      <c r="F695" s="12" t="inlineStr">
        <is>
          <t>R2A: unit / HRSG electrical e-house (32 x 40 ft)</t>
        </is>
      </c>
      <c r="G695" s="12" t="inlineStr">
        <is>
          <t>NGT-1</t>
        </is>
      </c>
      <c r="H695" s="12" t="inlineStr">
        <is>
          <t>NGT-1: neutral grounding cubicle (GTG-1)</t>
        </is>
      </c>
      <c r="I695" s="12" t="inlineStr">
        <is>
          <t>Fire alarm</t>
        </is>
      </c>
      <c r="J695" s="12" t="inlineStr">
        <is>
          <t>Fire alarm FPLR 2/C #14 shielded, red jacket (NEC 760)</t>
        </is>
      </c>
      <c r="K695" s="12" t="inlineStr">
        <is>
          <t>FA|2/C|14</t>
        </is>
      </c>
      <c r="L695" s="12" t="inlineStr">
        <is>
          <t>2/C</t>
        </is>
      </c>
      <c r="M695" s="12" t="inlineStr">
        <is>
          <t>14</t>
        </is>
      </c>
      <c r="N695" s="12" t="n">
        <v>1</v>
      </c>
      <c r="O695" s="12" t="n">
        <v>1</v>
      </c>
      <c r="P695" s="12" t="n"/>
      <c r="Q695" s="12" t="n"/>
      <c r="R695" s="12" t="n"/>
      <c r="S695" s="12" t="inlineStr">
        <is>
          <t>Tray</t>
        </is>
      </c>
      <c r="T695" s="16" t="n">
        <v>359</v>
      </c>
      <c r="U695" s="16" t="n">
        <v>120</v>
      </c>
      <c r="V695" s="16">
        <f>ROUNDUP((T695+U695+2*'Read Me'!$B$13)*(1+'Read Me'!$B$12),-1)</f>
        <v/>
      </c>
      <c r="W695" s="16">
        <f>V695*N695*O695</f>
        <v/>
      </c>
      <c r="X695" s="12">
        <f>IF(LEFT(I695,2)="MV",2*N695*IF(L695="1/C",O695,1),0)</f>
        <v/>
      </c>
      <c r="Y695" s="12">
        <f>IF(OR(LEFT(K695,4)="LVAX",LEFT(K695,6)="MV15AX",LEFT(K695,4)="CTAX",LEFT(K695,2)="W|"),2*N695*O695,0)</f>
        <v/>
      </c>
      <c r="Z695" s="12" t="inlineStr"/>
      <c r="AA695" s="12">
        <f>N695*O695</f>
        <v/>
      </c>
    </row>
    <row r="696">
      <c r="A696" s="12" t="inlineStr">
        <is>
          <t>A-FA-0013</t>
        </is>
      </c>
      <c r="B696" s="12" t="inlineStr">
        <is>
          <t>A</t>
        </is>
      </c>
      <c r="C696" s="12" t="inlineStr">
        <is>
          <t>Power block</t>
        </is>
      </c>
      <c r="D696" s="12" t="inlineStr">
        <is>
          <t>Fire alarm / F&amp;G loop (to the local FACP / F&amp;G node)</t>
        </is>
      </c>
      <c r="E696" s="12" t="inlineStr">
        <is>
          <t>R2B</t>
        </is>
      </c>
      <c r="F696" s="12" t="inlineStr">
        <is>
          <t>R2B: unit / HRSG electrical e-house (32 x 40 ft)</t>
        </is>
      </c>
      <c r="G696" s="12" t="inlineStr">
        <is>
          <t>NGT-2</t>
        </is>
      </c>
      <c r="H696" s="12" t="inlineStr">
        <is>
          <t>NGT-2: neutral grounding cubicle (GTG-2)</t>
        </is>
      </c>
      <c r="I696" s="12" t="inlineStr">
        <is>
          <t>Fire alarm</t>
        </is>
      </c>
      <c r="J696" s="12" t="inlineStr">
        <is>
          <t>Fire alarm FPLR 2/C #14 shielded, red jacket (NEC 760)</t>
        </is>
      </c>
      <c r="K696" s="12" t="inlineStr">
        <is>
          <t>FA|2/C|14</t>
        </is>
      </c>
      <c r="L696" s="12" t="inlineStr">
        <is>
          <t>2/C</t>
        </is>
      </c>
      <c r="M696" s="12" t="inlineStr">
        <is>
          <t>14</t>
        </is>
      </c>
      <c r="N696" s="12" t="n">
        <v>1</v>
      </c>
      <c r="O696" s="12" t="n">
        <v>1</v>
      </c>
      <c r="P696" s="12" t="n"/>
      <c r="Q696" s="12" t="n"/>
      <c r="R696" s="12" t="n"/>
      <c r="S696" s="12" t="inlineStr">
        <is>
          <t>Tray</t>
        </is>
      </c>
      <c r="T696" s="16" t="n">
        <v>1233</v>
      </c>
      <c r="U696" s="16" t="n">
        <v>210</v>
      </c>
      <c r="V696" s="16">
        <f>ROUNDUP((T696+U696+2*'Read Me'!$B$13)*(1+'Read Me'!$B$12),-1)</f>
        <v/>
      </c>
      <c r="W696" s="16">
        <f>V696*N696*O696</f>
        <v/>
      </c>
      <c r="X696" s="12">
        <f>IF(LEFT(I696,2)="MV",2*N696*IF(L696="1/C",O696,1),0)</f>
        <v/>
      </c>
      <c r="Y696" s="12">
        <f>IF(OR(LEFT(K696,4)="LVAX",LEFT(K696,6)="MV15AX",LEFT(K696,4)="CTAX",LEFT(K696,2)="W|"),2*N696*O696,0)</f>
        <v/>
      </c>
      <c r="Z696" s="12" t="inlineStr"/>
      <c r="AA696" s="12">
        <f>N696*O696</f>
        <v/>
      </c>
    </row>
    <row r="697">
      <c r="A697" s="12" t="inlineStr">
        <is>
          <t>A-FA-0014</t>
        </is>
      </c>
      <c r="B697" s="12" t="inlineStr">
        <is>
          <t>A</t>
        </is>
      </c>
      <c r="C697" s="12" t="inlineStr">
        <is>
          <t>Power block</t>
        </is>
      </c>
      <c r="D697" s="12" t="inlineStr">
        <is>
          <t>Fire alarm / F&amp;G loop (to the local FACP / F&amp;G node)</t>
        </is>
      </c>
      <c r="E697" s="12" t="inlineStr">
        <is>
          <t>R2C</t>
        </is>
      </c>
      <c r="F697" s="12" t="inlineStr">
        <is>
          <t>R2C: unit / HRSG electrical e-house (32 x 40 ft)</t>
        </is>
      </c>
      <c r="G697" s="12" t="inlineStr">
        <is>
          <t>NGT-3</t>
        </is>
      </c>
      <c r="H697" s="12" t="inlineStr">
        <is>
          <t>NGT-3: neutral grounding cubicle (GTG-3)</t>
        </is>
      </c>
      <c r="I697" s="12" t="inlineStr">
        <is>
          <t>Fire alarm</t>
        </is>
      </c>
      <c r="J697" s="12" t="inlineStr">
        <is>
          <t>Fire alarm FPLR 2/C #14 shielded, red jacket (NEC 760)</t>
        </is>
      </c>
      <c r="K697" s="12" t="inlineStr">
        <is>
          <t>FA|2/C|14</t>
        </is>
      </c>
      <c r="L697" s="12" t="inlineStr">
        <is>
          <t>2/C</t>
        </is>
      </c>
      <c r="M697" s="12" t="inlineStr">
        <is>
          <t>14</t>
        </is>
      </c>
      <c r="N697" s="12" t="n">
        <v>1</v>
      </c>
      <c r="O697" s="12" t="n">
        <v>1</v>
      </c>
      <c r="P697" s="12" t="n"/>
      <c r="Q697" s="12" t="n"/>
      <c r="R697" s="12" t="n"/>
      <c r="S697" s="12" t="inlineStr">
        <is>
          <t>Duct bank</t>
        </is>
      </c>
      <c r="T697" s="16" t="n">
        <v>1229</v>
      </c>
      <c r="U697" s="16" t="n">
        <v>198</v>
      </c>
      <c r="V697" s="16">
        <f>ROUNDUP((T697+U697+2*'Read Me'!$B$13)*(1+'Read Me'!$B$12),-1)</f>
        <v/>
      </c>
      <c r="W697" s="16">
        <f>V697*N697*O697</f>
        <v/>
      </c>
      <c r="X697" s="12">
        <f>IF(LEFT(I697,2)="MV",2*N697*IF(L697="1/C",O697,1),0)</f>
        <v/>
      </c>
      <c r="Y697" s="12">
        <f>IF(OR(LEFT(K697,4)="LVAX",LEFT(K697,6)="MV15AX",LEFT(K697,4)="CTAX",LEFT(K697,2)="W|"),2*N697*O697,0)</f>
        <v/>
      </c>
      <c r="Z697" s="12" t="inlineStr"/>
      <c r="AA697" s="12">
        <f>N697*O697</f>
        <v/>
      </c>
    </row>
    <row r="698">
      <c r="A698" s="12" t="inlineStr">
        <is>
          <t>A-FA-0015</t>
        </is>
      </c>
      <c r="B698" s="12" t="inlineStr">
        <is>
          <t>A</t>
        </is>
      </c>
      <c r="C698" s="12" t="inlineStr">
        <is>
          <t>Power block</t>
        </is>
      </c>
      <c r="D698" s="12" t="inlineStr">
        <is>
          <t>Fire alarm / F&amp;G loop (to the local FACP / F&amp;G node)</t>
        </is>
      </c>
      <c r="E698" s="12" t="inlineStr">
        <is>
          <t>R3</t>
        </is>
      </c>
      <c r="F698" s="12" t="inlineStr">
        <is>
          <t>R3: ST auxiliary electrical e-house (40 x 65 ft)</t>
        </is>
      </c>
      <c r="G698" s="12" t="inlineStr">
        <is>
          <t>NGT-ST</t>
        </is>
      </c>
      <c r="H698" s="12" t="inlineStr">
        <is>
          <t>NGT-ST: neutral grounding cubicle (STG)</t>
        </is>
      </c>
      <c r="I698" s="12" t="inlineStr">
        <is>
          <t>Fire alarm</t>
        </is>
      </c>
      <c r="J698" s="12" t="inlineStr">
        <is>
          <t>Fire alarm FPLR 2/C #14 shielded, red jacket (NEC 760)</t>
        </is>
      </c>
      <c r="K698" s="12" t="inlineStr">
        <is>
          <t>FA|2/C|14</t>
        </is>
      </c>
      <c r="L698" s="12" t="inlineStr">
        <is>
          <t>2/C</t>
        </is>
      </c>
      <c r="M698" s="12" t="inlineStr">
        <is>
          <t>14</t>
        </is>
      </c>
      <c r="N698" s="12" t="n">
        <v>1</v>
      </c>
      <c r="O698" s="12" t="n">
        <v>1</v>
      </c>
      <c r="P698" s="12" t="n"/>
      <c r="Q698" s="12" t="n"/>
      <c r="R698" s="12" t="n"/>
      <c r="S698" s="12" t="inlineStr">
        <is>
          <t>Tray</t>
        </is>
      </c>
      <c r="T698" s="16" t="n">
        <v>392</v>
      </c>
      <c r="U698" s="16" t="n">
        <v>105</v>
      </c>
      <c r="V698" s="16">
        <f>ROUNDUP((T698+U698+2*'Read Me'!$B$13)*(1+'Read Me'!$B$12),-1)</f>
        <v/>
      </c>
      <c r="W698" s="16">
        <f>V698*N698*O698</f>
        <v/>
      </c>
      <c r="X698" s="12">
        <f>IF(LEFT(I698,2)="MV",2*N698*IF(L698="1/C",O698,1),0)</f>
        <v/>
      </c>
      <c r="Y698" s="12">
        <f>IF(OR(LEFT(K698,4)="LVAX",LEFT(K698,6)="MV15AX",LEFT(K698,4)="CTAX",LEFT(K698,2)="W|"),2*N698*O698,0)</f>
        <v/>
      </c>
      <c r="Z698" s="12" t="inlineStr"/>
      <c r="AA698" s="12">
        <f>N698*O698</f>
        <v/>
      </c>
    </row>
    <row r="699">
      <c r="A699" s="12" t="inlineStr">
        <is>
          <t>A-FA-0016</t>
        </is>
      </c>
      <c r="B699" s="12" t="inlineStr">
        <is>
          <t>A</t>
        </is>
      </c>
      <c r="C699" s="12" t="inlineStr">
        <is>
          <t>Power block</t>
        </is>
      </c>
      <c r="D699" s="12" t="inlineStr">
        <is>
          <t>Fire alarm / F&amp;G loop (to the local FACP / F&amp;G node)</t>
        </is>
      </c>
      <c r="E699" s="12" t="inlineStr">
        <is>
          <t>R1</t>
        </is>
      </c>
      <c r="F699" s="12" t="inlineStr">
        <is>
          <t>R1: main electrical building (64 x 180 ft)</t>
        </is>
      </c>
      <c r="G699" s="12" t="inlineStr">
        <is>
          <t>EMCC</t>
        </is>
      </c>
      <c r="H699" s="12" t="inlineStr">
        <is>
          <t>R1 EMCC (emergency MCC)</t>
        </is>
      </c>
      <c r="I699" s="12" t="inlineStr">
        <is>
          <t>Fire alarm</t>
        </is>
      </c>
      <c r="J699" s="12" t="inlineStr">
        <is>
          <t>Fire alarm FPLR 2/C #14 shielded, red jacket (NEC 760)</t>
        </is>
      </c>
      <c r="K699" s="12" t="inlineStr">
        <is>
          <t>FA|2/C|14</t>
        </is>
      </c>
      <c r="L699" s="12" t="inlineStr">
        <is>
          <t>2/C</t>
        </is>
      </c>
      <c r="M699" s="12" t="inlineStr">
        <is>
          <t>14</t>
        </is>
      </c>
      <c r="N699" s="12" t="n">
        <v>1</v>
      </c>
      <c r="O699" s="12" t="n">
        <v>1</v>
      </c>
      <c r="P699" s="12" t="n"/>
      <c r="Q699" s="12" t="n"/>
      <c r="R699" s="12" t="n"/>
      <c r="S699" s="12" t="inlineStr">
        <is>
          <t>Tray</t>
        </is>
      </c>
      <c r="T699" s="16" t="n">
        <v>635</v>
      </c>
      <c r="U699" s="16" t="n">
        <v>144</v>
      </c>
      <c r="V699" s="16">
        <f>ROUNDUP((T699+U699+2*'Read Me'!$B$13)*(1+'Read Me'!$B$12),-1)</f>
        <v/>
      </c>
      <c r="W699" s="16">
        <f>V699*N699*O699</f>
        <v/>
      </c>
      <c r="X699" s="12">
        <f>IF(LEFT(I699,2)="MV",2*N699*IF(L699="1/C",O699,1),0)</f>
        <v/>
      </c>
      <c r="Y699" s="12">
        <f>IF(OR(LEFT(K699,4)="LVAX",LEFT(K699,6)="MV15AX",LEFT(K699,4)="CTAX",LEFT(K699,2)="W|"),2*N699*O699,0)</f>
        <v/>
      </c>
      <c r="Z699" s="12" t="inlineStr"/>
      <c r="AA699" s="12">
        <f>N699*O699</f>
        <v/>
      </c>
    </row>
    <row r="700">
      <c r="A700" s="12" t="inlineStr">
        <is>
          <t>A-FA-0017</t>
        </is>
      </c>
      <c r="B700" s="12" t="inlineStr">
        <is>
          <t>A</t>
        </is>
      </c>
      <c r="C700" s="12" t="inlineStr">
        <is>
          <t>Power block</t>
        </is>
      </c>
      <c r="D700" s="12" t="inlineStr">
        <is>
          <t>Fire alarm / F&amp;G loop (to the local FACP / F&amp;G node)</t>
        </is>
      </c>
      <c r="E700" s="12" t="inlineStr">
        <is>
          <t>R1</t>
        </is>
      </c>
      <c r="F700" s="12" t="inlineStr">
        <is>
          <t>R1: main electrical building (64 x 180 ft)</t>
        </is>
      </c>
      <c r="G700" s="12" t="inlineStr">
        <is>
          <t>LC-480-A</t>
        </is>
      </c>
      <c r="H700" s="12" t="inlineStr">
        <is>
          <t>R1 LC-480-A (480 V switchgear)</t>
        </is>
      </c>
      <c r="I700" s="12" t="inlineStr">
        <is>
          <t>Fire alarm</t>
        </is>
      </c>
      <c r="J700" s="12" t="inlineStr">
        <is>
          <t>Fire alarm FPLR 2/C #14 shielded, red jacket (NEC 760)</t>
        </is>
      </c>
      <c r="K700" s="12" t="inlineStr">
        <is>
          <t>FA|2/C|14</t>
        </is>
      </c>
      <c r="L700" s="12" t="inlineStr">
        <is>
          <t>2/C</t>
        </is>
      </c>
      <c r="M700" s="12" t="inlineStr">
        <is>
          <t>14</t>
        </is>
      </c>
      <c r="N700" s="12" t="n">
        <v>1</v>
      </c>
      <c r="O700" s="12" t="n">
        <v>1</v>
      </c>
      <c r="P700" s="12" t="n"/>
      <c r="Q700" s="12" t="n"/>
      <c r="R700" s="12" t="n"/>
      <c r="S700" s="12" t="inlineStr">
        <is>
          <t>Tray</t>
        </is>
      </c>
      <c r="T700" s="16" t="n">
        <v>624</v>
      </c>
      <c r="U700" s="16" t="n">
        <v>155</v>
      </c>
      <c r="V700" s="16">
        <f>ROUNDUP((T700+U700+2*'Read Me'!$B$13)*(1+'Read Me'!$B$12),-1)</f>
        <v/>
      </c>
      <c r="W700" s="16">
        <f>V700*N700*O700</f>
        <v/>
      </c>
      <c r="X700" s="12">
        <f>IF(LEFT(I700,2)="MV",2*N700*IF(L700="1/C",O700,1),0)</f>
        <v/>
      </c>
      <c r="Y700" s="12">
        <f>IF(OR(LEFT(K700,4)="LVAX",LEFT(K700,6)="MV15AX",LEFT(K700,4)="CTAX",LEFT(K700,2)="W|"),2*N700*O700,0)</f>
        <v/>
      </c>
      <c r="Z700" s="12" t="inlineStr"/>
      <c r="AA700" s="12">
        <f>N700*O700</f>
        <v/>
      </c>
    </row>
    <row r="701">
      <c r="A701" s="12" t="inlineStr">
        <is>
          <t>A-FA-0018</t>
        </is>
      </c>
      <c r="B701" s="12" t="inlineStr">
        <is>
          <t>A</t>
        </is>
      </c>
      <c r="C701" s="12" t="inlineStr">
        <is>
          <t>Power block</t>
        </is>
      </c>
      <c r="D701" s="12" t="inlineStr">
        <is>
          <t>Fire alarm / F&amp;G loop (to the local FACP / F&amp;G node)</t>
        </is>
      </c>
      <c r="E701" s="12" t="inlineStr">
        <is>
          <t>R1</t>
        </is>
      </c>
      <c r="F701" s="12" t="inlineStr">
        <is>
          <t>R1: main electrical building (64 x 180 ft)</t>
        </is>
      </c>
      <c r="G701" s="12" t="inlineStr">
        <is>
          <t>LC-480-B</t>
        </is>
      </c>
      <c r="H701" s="12" t="inlineStr">
        <is>
          <t>R1 LC-480-B (480 V switchgear)</t>
        </is>
      </c>
      <c r="I701" s="12" t="inlineStr">
        <is>
          <t>Fire alarm</t>
        </is>
      </c>
      <c r="J701" s="12" t="inlineStr">
        <is>
          <t>Fire alarm FPLR 2/C #14 shielded, red jacket (NEC 760)</t>
        </is>
      </c>
      <c r="K701" s="12" t="inlineStr">
        <is>
          <t>FA|2/C|14</t>
        </is>
      </c>
      <c r="L701" s="12" t="inlineStr">
        <is>
          <t>2/C</t>
        </is>
      </c>
      <c r="M701" s="12" t="inlineStr">
        <is>
          <t>14</t>
        </is>
      </c>
      <c r="N701" s="12" t="n">
        <v>1</v>
      </c>
      <c r="O701" s="12" t="n">
        <v>1</v>
      </c>
      <c r="P701" s="12" t="n"/>
      <c r="Q701" s="12" t="n"/>
      <c r="R701" s="12" t="n"/>
      <c r="S701" s="12" t="inlineStr">
        <is>
          <t>Tray</t>
        </is>
      </c>
      <c r="T701" s="16" t="n">
        <v>624</v>
      </c>
      <c r="U701" s="16" t="n">
        <v>144</v>
      </c>
      <c r="V701" s="16">
        <f>ROUNDUP((T701+U701+2*'Read Me'!$B$13)*(1+'Read Me'!$B$12),-1)</f>
        <v/>
      </c>
      <c r="W701" s="16">
        <f>V701*N701*O701</f>
        <v/>
      </c>
      <c r="X701" s="12">
        <f>IF(LEFT(I701,2)="MV",2*N701*IF(L701="1/C",O701,1),0)</f>
        <v/>
      </c>
      <c r="Y701" s="12">
        <f>IF(OR(LEFT(K701,4)="LVAX",LEFT(K701,6)="MV15AX",LEFT(K701,4)="CTAX",LEFT(K701,2)="W|"),2*N701*O701,0)</f>
        <v/>
      </c>
      <c r="Z701" s="12" t="inlineStr"/>
      <c r="AA701" s="12">
        <f>N701*O701</f>
        <v/>
      </c>
    </row>
    <row r="702">
      <c r="A702" s="12" t="inlineStr">
        <is>
          <t>A-FA-0019</t>
        </is>
      </c>
      <c r="B702" s="12" t="inlineStr">
        <is>
          <t>A</t>
        </is>
      </c>
      <c r="C702" s="12" t="inlineStr">
        <is>
          <t>Power block</t>
        </is>
      </c>
      <c r="D702" s="12" t="inlineStr">
        <is>
          <t>Fire alarm / F&amp;G loop (to the local FACP / F&amp;G node)</t>
        </is>
      </c>
      <c r="E702" s="12" t="inlineStr">
        <is>
          <t>R1</t>
        </is>
      </c>
      <c r="F702" s="12" t="inlineStr">
        <is>
          <t>R1: main electrical building (64 x 180 ft)</t>
        </is>
      </c>
      <c r="G702" s="12" t="inlineStr">
        <is>
          <t>MCC-C1</t>
        </is>
      </c>
      <c r="H702" s="12" t="inlineStr">
        <is>
          <t>R1 MCC-C1</t>
        </is>
      </c>
      <c r="I702" s="12" t="inlineStr">
        <is>
          <t>Fire alarm</t>
        </is>
      </c>
      <c r="J702" s="12" t="inlineStr">
        <is>
          <t>Fire alarm FPLR 2/C #14 shielded, red jacket (NEC 760)</t>
        </is>
      </c>
      <c r="K702" s="12" t="inlineStr">
        <is>
          <t>FA|2/C|14</t>
        </is>
      </c>
      <c r="L702" s="12" t="inlineStr">
        <is>
          <t>2/C</t>
        </is>
      </c>
      <c r="M702" s="12" t="inlineStr">
        <is>
          <t>14</t>
        </is>
      </c>
      <c r="N702" s="12" t="n">
        <v>1</v>
      </c>
      <c r="O702" s="12" t="n">
        <v>1</v>
      </c>
      <c r="P702" s="12" t="n"/>
      <c r="Q702" s="12" t="n"/>
      <c r="R702" s="12" t="n"/>
      <c r="S702" s="12" t="inlineStr">
        <is>
          <t>Tray</t>
        </is>
      </c>
      <c r="T702" s="16" t="n">
        <v>624</v>
      </c>
      <c r="U702" s="16" t="n">
        <v>181</v>
      </c>
      <c r="V702" s="16">
        <f>ROUNDUP((T702+U702+2*'Read Me'!$B$13)*(1+'Read Me'!$B$12),-1)</f>
        <v/>
      </c>
      <c r="W702" s="16">
        <f>V702*N702*O702</f>
        <v/>
      </c>
      <c r="X702" s="12">
        <f>IF(LEFT(I702,2)="MV",2*N702*IF(L702="1/C",O702,1),0)</f>
        <v/>
      </c>
      <c r="Y702" s="12">
        <f>IF(OR(LEFT(K702,4)="LVAX",LEFT(K702,6)="MV15AX",LEFT(K702,4)="CTAX",LEFT(K702,2)="W|"),2*N702*O702,0)</f>
        <v/>
      </c>
      <c r="Z702" s="12" t="inlineStr"/>
      <c r="AA702" s="12">
        <f>N702*O702</f>
        <v/>
      </c>
    </row>
    <row r="703">
      <c r="A703" s="12" t="inlineStr">
        <is>
          <t>A-FA-0020</t>
        </is>
      </c>
      <c r="B703" s="12" t="inlineStr">
        <is>
          <t>A</t>
        </is>
      </c>
      <c r="C703" s="12" t="inlineStr">
        <is>
          <t>Power block</t>
        </is>
      </c>
      <c r="D703" s="12" t="inlineStr">
        <is>
          <t>Fire alarm / F&amp;G loop (to the local FACP / F&amp;G node)</t>
        </is>
      </c>
      <c r="E703" s="12" t="inlineStr">
        <is>
          <t>R1</t>
        </is>
      </c>
      <c r="F703" s="12" t="inlineStr">
        <is>
          <t>R1: main electrical building (64 x 180 ft)</t>
        </is>
      </c>
      <c r="G703" s="12" t="inlineStr">
        <is>
          <t>MCC-C2</t>
        </is>
      </c>
      <c r="H703" s="12" t="inlineStr">
        <is>
          <t>R1 MCC-C2</t>
        </is>
      </c>
      <c r="I703" s="12" t="inlineStr">
        <is>
          <t>Fire alarm</t>
        </is>
      </c>
      <c r="J703" s="12" t="inlineStr">
        <is>
          <t>Fire alarm FPLR 2/C #14 shielded, red jacket (NEC 760)</t>
        </is>
      </c>
      <c r="K703" s="12" t="inlineStr">
        <is>
          <t>FA|2/C|14</t>
        </is>
      </c>
      <c r="L703" s="12" t="inlineStr">
        <is>
          <t>2/C</t>
        </is>
      </c>
      <c r="M703" s="12" t="inlineStr">
        <is>
          <t>14</t>
        </is>
      </c>
      <c r="N703" s="12" t="n">
        <v>1</v>
      </c>
      <c r="O703" s="12" t="n">
        <v>1</v>
      </c>
      <c r="P703" s="12" t="n"/>
      <c r="Q703" s="12" t="n"/>
      <c r="R703" s="12" t="n"/>
      <c r="S703" s="12" t="inlineStr">
        <is>
          <t>Tray</t>
        </is>
      </c>
      <c r="T703" s="16" t="n">
        <v>624</v>
      </c>
      <c r="U703" s="16" t="n">
        <v>165</v>
      </c>
      <c r="V703" s="16">
        <f>ROUNDUP((T703+U703+2*'Read Me'!$B$13)*(1+'Read Me'!$B$12),-1)</f>
        <v/>
      </c>
      <c r="W703" s="16">
        <f>V703*N703*O703</f>
        <v/>
      </c>
      <c r="X703" s="12">
        <f>IF(LEFT(I703,2)="MV",2*N703*IF(L703="1/C",O703,1),0)</f>
        <v/>
      </c>
      <c r="Y703" s="12">
        <f>IF(OR(LEFT(K703,4)="LVAX",LEFT(K703,6)="MV15AX",LEFT(K703,4)="CTAX",LEFT(K703,2)="W|"),2*N703*O703,0)</f>
        <v/>
      </c>
      <c r="Z703" s="12" t="inlineStr"/>
      <c r="AA703" s="12">
        <f>N703*O703</f>
        <v/>
      </c>
    </row>
    <row r="704">
      <c r="A704" s="12" t="inlineStr">
        <is>
          <t>A-FA-0021</t>
        </is>
      </c>
      <c r="B704" s="12" t="inlineStr">
        <is>
          <t>A</t>
        </is>
      </c>
      <c r="C704" s="12" t="inlineStr">
        <is>
          <t>Power block</t>
        </is>
      </c>
      <c r="D704" s="12" t="inlineStr">
        <is>
          <t>Fire alarm / F&amp;G loop (to the local FACP / F&amp;G node)</t>
        </is>
      </c>
      <c r="E704" s="12" t="inlineStr">
        <is>
          <t>R2A</t>
        </is>
      </c>
      <c r="F704" s="12" t="inlineStr">
        <is>
          <t>R2A: unit / HRSG electrical e-house (32 x 40 ft)</t>
        </is>
      </c>
      <c r="G704" s="12" t="inlineStr">
        <is>
          <t>MCC-GT1</t>
        </is>
      </c>
      <c r="H704" s="12" t="inlineStr">
        <is>
          <t>R1 MCC-GT1</t>
        </is>
      </c>
      <c r="I704" s="12" t="inlineStr">
        <is>
          <t>Fire alarm</t>
        </is>
      </c>
      <c r="J704" s="12" t="inlineStr">
        <is>
          <t>Fire alarm FPLR 2/C #14 shielded, red jacket (NEC 760)</t>
        </is>
      </c>
      <c r="K704" s="12" t="inlineStr">
        <is>
          <t>FA|2/C|14</t>
        </is>
      </c>
      <c r="L704" s="12" t="inlineStr">
        <is>
          <t>2/C</t>
        </is>
      </c>
      <c r="M704" s="12" t="inlineStr">
        <is>
          <t>14</t>
        </is>
      </c>
      <c r="N704" s="12" t="n">
        <v>1</v>
      </c>
      <c r="O704" s="12" t="n">
        <v>1</v>
      </c>
      <c r="P704" s="12" t="n"/>
      <c r="Q704" s="12" t="n"/>
      <c r="R704" s="12" t="n"/>
      <c r="S704" s="12" t="inlineStr">
        <is>
          <t>Tray</t>
        </is>
      </c>
      <c r="T704" s="16" t="n">
        <v>90</v>
      </c>
      <c r="U704" s="16" t="n">
        <v>123</v>
      </c>
      <c r="V704" s="16">
        <f>ROUNDUP((T704+U704+2*'Read Me'!$B$13)*(1+'Read Me'!$B$12),-1)</f>
        <v/>
      </c>
      <c r="W704" s="16">
        <f>V704*N704*O704</f>
        <v/>
      </c>
      <c r="X704" s="12">
        <f>IF(LEFT(I704,2)="MV",2*N704*IF(L704="1/C",O704,1),0)</f>
        <v/>
      </c>
      <c r="Y704" s="12">
        <f>IF(OR(LEFT(K704,4)="LVAX",LEFT(K704,6)="MV15AX",LEFT(K704,4)="CTAX",LEFT(K704,2)="W|"),2*N704*O704,0)</f>
        <v/>
      </c>
      <c r="Z704" s="12" t="inlineStr"/>
      <c r="AA704" s="12">
        <f>N704*O704</f>
        <v/>
      </c>
    </row>
    <row r="705">
      <c r="A705" s="12" t="inlineStr">
        <is>
          <t>A-FA-0022</t>
        </is>
      </c>
      <c r="B705" s="12" t="inlineStr">
        <is>
          <t>A</t>
        </is>
      </c>
      <c r="C705" s="12" t="inlineStr">
        <is>
          <t>Power block</t>
        </is>
      </c>
      <c r="D705" s="12" t="inlineStr">
        <is>
          <t>Fire alarm / F&amp;G loop (to the local FACP / F&amp;G node)</t>
        </is>
      </c>
      <c r="E705" s="12" t="inlineStr">
        <is>
          <t>R2B</t>
        </is>
      </c>
      <c r="F705" s="12" t="inlineStr">
        <is>
          <t>R2B: unit / HRSG electrical e-house (32 x 40 ft)</t>
        </is>
      </c>
      <c r="G705" s="12" t="inlineStr">
        <is>
          <t>MCC-GT2</t>
        </is>
      </c>
      <c r="H705" s="12" t="inlineStr">
        <is>
          <t>R1 MCC-GT2</t>
        </is>
      </c>
      <c r="I705" s="12" t="inlineStr">
        <is>
          <t>Fire alarm</t>
        </is>
      </c>
      <c r="J705" s="12" t="inlineStr">
        <is>
          <t>Fire alarm FPLR 2/C #14 shielded, red jacket (NEC 760)</t>
        </is>
      </c>
      <c r="K705" s="12" t="inlineStr">
        <is>
          <t>FA|2/C|14</t>
        </is>
      </c>
      <c r="L705" s="12" t="inlineStr">
        <is>
          <t>2/C</t>
        </is>
      </c>
      <c r="M705" s="12" t="inlineStr">
        <is>
          <t>14</t>
        </is>
      </c>
      <c r="N705" s="12" t="n">
        <v>1</v>
      </c>
      <c r="O705" s="12" t="n">
        <v>1</v>
      </c>
      <c r="P705" s="12" t="n"/>
      <c r="Q705" s="12" t="n"/>
      <c r="R705" s="12" t="n"/>
      <c r="S705" s="12" t="inlineStr">
        <is>
          <t>Tray</t>
        </is>
      </c>
      <c r="T705" s="16" t="n">
        <v>1114</v>
      </c>
      <c r="U705" s="16" t="n">
        <v>223</v>
      </c>
      <c r="V705" s="16">
        <f>ROUNDUP((T705+U705+2*'Read Me'!$B$13)*(1+'Read Me'!$B$12),-1)</f>
        <v/>
      </c>
      <c r="W705" s="16">
        <f>V705*N705*O705</f>
        <v/>
      </c>
      <c r="X705" s="12">
        <f>IF(LEFT(I705,2)="MV",2*N705*IF(L705="1/C",O705,1),0)</f>
        <v/>
      </c>
      <c r="Y705" s="12">
        <f>IF(OR(LEFT(K705,4)="LVAX",LEFT(K705,6)="MV15AX",LEFT(K705,4)="CTAX",LEFT(K705,2)="W|"),2*N705*O705,0)</f>
        <v/>
      </c>
      <c r="Z705" s="12" t="inlineStr"/>
      <c r="AA705" s="12">
        <f>N705*O705</f>
        <v/>
      </c>
    </row>
    <row r="706">
      <c r="A706" s="12" t="inlineStr">
        <is>
          <t>A-FA-0023</t>
        </is>
      </c>
      <c r="B706" s="12" t="inlineStr">
        <is>
          <t>A</t>
        </is>
      </c>
      <c r="C706" s="12" t="inlineStr">
        <is>
          <t>Power block</t>
        </is>
      </c>
      <c r="D706" s="12" t="inlineStr">
        <is>
          <t>Fire alarm / F&amp;G loop (to the local FACP / F&amp;G node)</t>
        </is>
      </c>
      <c r="E706" s="12" t="inlineStr">
        <is>
          <t>R2C</t>
        </is>
      </c>
      <c r="F706" s="12" t="inlineStr">
        <is>
          <t>R2C: unit / HRSG electrical e-house (32 x 40 ft)</t>
        </is>
      </c>
      <c r="G706" s="12" t="inlineStr">
        <is>
          <t>MCC-GT3</t>
        </is>
      </c>
      <c r="H706" s="12" t="inlineStr">
        <is>
          <t>R1 MCC-GT3</t>
        </is>
      </c>
      <c r="I706" s="12" t="inlineStr">
        <is>
          <t>Fire alarm</t>
        </is>
      </c>
      <c r="J706" s="12" t="inlineStr">
        <is>
          <t>Fire alarm FPLR 2/C #14 shielded, red jacket (NEC 760)</t>
        </is>
      </c>
      <c r="K706" s="12" t="inlineStr">
        <is>
          <t>FA|2/C|14</t>
        </is>
      </c>
      <c r="L706" s="12" t="inlineStr">
        <is>
          <t>2/C</t>
        </is>
      </c>
      <c r="M706" s="12" t="inlineStr">
        <is>
          <t>14</t>
        </is>
      </c>
      <c r="N706" s="12" t="n">
        <v>1</v>
      </c>
      <c r="O706" s="12" t="n">
        <v>1</v>
      </c>
      <c r="P706" s="12" t="n"/>
      <c r="Q706" s="12" t="n"/>
      <c r="R706" s="12" t="n"/>
      <c r="S706" s="12" t="inlineStr">
        <is>
          <t>Tray</t>
        </is>
      </c>
      <c r="T706" s="16" t="n">
        <v>726</v>
      </c>
      <c r="U706" s="16" t="n">
        <v>181</v>
      </c>
      <c r="V706" s="16">
        <f>ROUNDUP((T706+U706+2*'Read Me'!$B$13)*(1+'Read Me'!$B$12),-1)</f>
        <v/>
      </c>
      <c r="W706" s="16">
        <f>V706*N706*O706</f>
        <v/>
      </c>
      <c r="X706" s="12">
        <f>IF(LEFT(I706,2)="MV",2*N706*IF(L706="1/C",O706,1),0)</f>
        <v/>
      </c>
      <c r="Y706" s="12">
        <f>IF(OR(LEFT(K706,4)="LVAX",LEFT(K706,6)="MV15AX",LEFT(K706,4)="CTAX",LEFT(K706,2)="W|"),2*N706*O706,0)</f>
        <v/>
      </c>
      <c r="Z706" s="12" t="inlineStr"/>
      <c r="AA706" s="12">
        <f>N706*O706</f>
        <v/>
      </c>
    </row>
    <row r="707">
      <c r="A707" s="12" t="inlineStr">
        <is>
          <t>A-FA-0024</t>
        </is>
      </c>
      <c r="B707" s="12" t="inlineStr">
        <is>
          <t>A</t>
        </is>
      </c>
      <c r="C707" s="12" t="inlineStr">
        <is>
          <t>Power block</t>
        </is>
      </c>
      <c r="D707" s="12" t="inlineStr">
        <is>
          <t>Fire alarm / F&amp;G loop (to the local FACP / F&amp;G node)</t>
        </is>
      </c>
      <c r="E707" s="12" t="inlineStr">
        <is>
          <t>R1</t>
        </is>
      </c>
      <c r="F707" s="12" t="inlineStr">
        <is>
          <t>R1: main electrical building (64 x 180 ft)</t>
        </is>
      </c>
      <c r="G707" s="12" t="inlineStr">
        <is>
          <t>SWGR-13.8-1</t>
        </is>
      </c>
      <c r="H707" s="12" t="inlineStr">
        <is>
          <t>R1 SWGR-13.8-1 (11 x 36 in cubicles, 15 kV metal-clad)</t>
        </is>
      </c>
      <c r="I707" s="12" t="inlineStr">
        <is>
          <t>Fire alarm</t>
        </is>
      </c>
      <c r="J707" s="12" t="inlineStr">
        <is>
          <t>Fire alarm FPLR 2/C #14 shielded, red jacket (NEC 760)</t>
        </is>
      </c>
      <c r="K707" s="12" t="inlineStr">
        <is>
          <t>FA|2/C|14</t>
        </is>
      </c>
      <c r="L707" s="12" t="inlineStr">
        <is>
          <t>2/C</t>
        </is>
      </c>
      <c r="M707" s="12" t="inlineStr">
        <is>
          <t>14</t>
        </is>
      </c>
      <c r="N707" s="12" t="n">
        <v>1</v>
      </c>
      <c r="O707" s="12" t="n">
        <v>1</v>
      </c>
      <c r="P707" s="12" t="n"/>
      <c r="Q707" s="12" t="n"/>
      <c r="R707" s="12" t="n"/>
      <c r="S707" s="12" t="inlineStr">
        <is>
          <t>Duct bank</t>
        </is>
      </c>
      <c r="T707" s="16" t="n">
        <v>66</v>
      </c>
      <c r="U707" s="16" t="n">
        <v>54</v>
      </c>
      <c r="V707" s="16">
        <f>ROUNDUP((T707+U707+2*'Read Me'!$B$13)*(1+'Read Me'!$B$12),-1)</f>
        <v/>
      </c>
      <c r="W707" s="16">
        <f>V707*N707*O707</f>
        <v/>
      </c>
      <c r="X707" s="12">
        <f>IF(LEFT(I707,2)="MV",2*N707*IF(L707="1/C",O707,1),0)</f>
        <v/>
      </c>
      <c r="Y707" s="12">
        <f>IF(OR(LEFT(K707,4)="LVAX",LEFT(K707,6)="MV15AX",LEFT(K707,4)="CTAX",LEFT(K707,2)="W|"),2*N707*O707,0)</f>
        <v/>
      </c>
      <c r="Z707" s="12" t="inlineStr"/>
      <c r="AA707" s="12">
        <f>N707*O707</f>
        <v/>
      </c>
    </row>
    <row r="708">
      <c r="A708" s="12" t="inlineStr">
        <is>
          <t>A-FA-0025</t>
        </is>
      </c>
      <c r="B708" s="12" t="inlineStr">
        <is>
          <t>A</t>
        </is>
      </c>
      <c r="C708" s="12" t="inlineStr">
        <is>
          <t>Power block</t>
        </is>
      </c>
      <c r="D708" s="12" t="inlineStr">
        <is>
          <t>Fire alarm / F&amp;G loop (to the local FACP / F&amp;G node)</t>
        </is>
      </c>
      <c r="E708" s="12" t="inlineStr">
        <is>
          <t>R1</t>
        </is>
      </c>
      <c r="F708" s="12" t="inlineStr">
        <is>
          <t>R1: main electrical building (64 x 180 ft)</t>
        </is>
      </c>
      <c r="G708" s="12" t="inlineStr">
        <is>
          <t>SWGR-13.8-2</t>
        </is>
      </c>
      <c r="H708" s="12" t="inlineStr">
        <is>
          <t>R1 SWGR-13.8-2 (11 x 36 in cubicles, 15 kV metal-clad)</t>
        </is>
      </c>
      <c r="I708" s="12" t="inlineStr">
        <is>
          <t>Fire alarm</t>
        </is>
      </c>
      <c r="J708" s="12" t="inlineStr">
        <is>
          <t>Fire alarm FPLR 2/C #14 shielded, red jacket (NEC 760)</t>
        </is>
      </c>
      <c r="K708" s="12" t="inlineStr">
        <is>
          <t>FA|2/C|14</t>
        </is>
      </c>
      <c r="L708" s="12" t="inlineStr">
        <is>
          <t>2/C</t>
        </is>
      </c>
      <c r="M708" s="12" t="inlineStr">
        <is>
          <t>14</t>
        </is>
      </c>
      <c r="N708" s="12" t="n">
        <v>1</v>
      </c>
      <c r="O708" s="12" t="n">
        <v>1</v>
      </c>
      <c r="P708" s="12" t="n"/>
      <c r="Q708" s="12" t="n"/>
      <c r="R708" s="12" t="n"/>
      <c r="S708" s="12" t="inlineStr">
        <is>
          <t>Duct bank</t>
        </is>
      </c>
      <c r="T708" s="16" t="n">
        <v>86</v>
      </c>
      <c r="U708" s="16" t="n">
        <v>71</v>
      </c>
      <c r="V708" s="16">
        <f>ROUNDUP((T708+U708+2*'Read Me'!$B$13)*(1+'Read Me'!$B$12),-1)</f>
        <v/>
      </c>
      <c r="W708" s="16">
        <f>V708*N708*O708</f>
        <v/>
      </c>
      <c r="X708" s="12">
        <f>IF(LEFT(I708,2)="MV",2*N708*IF(L708="1/C",O708,1),0)</f>
        <v/>
      </c>
      <c r="Y708" s="12">
        <f>IF(OR(LEFT(K708,4)="LVAX",LEFT(K708,6)="MV15AX",LEFT(K708,4)="CTAX",LEFT(K708,2)="W|"),2*N708*O708,0)</f>
        <v/>
      </c>
      <c r="Z708" s="12" t="inlineStr"/>
      <c r="AA708" s="12">
        <f>N708*O708</f>
        <v/>
      </c>
    </row>
    <row r="709">
      <c r="A709" s="12" t="inlineStr">
        <is>
          <t>A-FA-0026</t>
        </is>
      </c>
      <c r="B709" s="12" t="inlineStr">
        <is>
          <t>A</t>
        </is>
      </c>
      <c r="C709" s="12" t="inlineStr">
        <is>
          <t>Power block</t>
        </is>
      </c>
      <c r="D709" s="12" t="inlineStr">
        <is>
          <t>Fire alarm / F&amp;G loop (to the local FACP / F&amp;G node)</t>
        </is>
      </c>
      <c r="E709" s="12" t="inlineStr">
        <is>
          <t>R1</t>
        </is>
      </c>
      <c r="F709" s="12" t="inlineStr">
        <is>
          <t>R1: main electrical building (64 x 180 ft)</t>
        </is>
      </c>
      <c r="G709" s="12" t="inlineStr">
        <is>
          <t>SWGR-13.8-3</t>
        </is>
      </c>
      <c r="H709" s="12" t="inlineStr">
        <is>
          <t>R1 SWGR-13.8-3 (11 x 36 in cubicles, 15 kV metal-clad)</t>
        </is>
      </c>
      <c r="I709" s="12" t="inlineStr">
        <is>
          <t>Fire alarm</t>
        </is>
      </c>
      <c r="J709" s="12" t="inlineStr">
        <is>
          <t>Fire alarm FPLR 2/C #14 shielded, red jacket (NEC 760)</t>
        </is>
      </c>
      <c r="K709" s="12" t="inlineStr">
        <is>
          <t>FA|2/C|14</t>
        </is>
      </c>
      <c r="L709" s="12" t="inlineStr">
        <is>
          <t>2/C</t>
        </is>
      </c>
      <c r="M709" s="12" t="inlineStr">
        <is>
          <t>14</t>
        </is>
      </c>
      <c r="N709" s="12" t="n">
        <v>1</v>
      </c>
      <c r="O709" s="12" t="n">
        <v>1</v>
      </c>
      <c r="P709" s="12" t="n"/>
      <c r="Q709" s="12" t="n"/>
      <c r="R709" s="12" t="n"/>
      <c r="S709" s="12" t="inlineStr">
        <is>
          <t>Tray</t>
        </is>
      </c>
      <c r="T709" s="16" t="n">
        <v>624</v>
      </c>
      <c r="U709" s="16" t="n">
        <v>128</v>
      </c>
      <c r="V709" s="16">
        <f>ROUNDUP((T709+U709+2*'Read Me'!$B$13)*(1+'Read Me'!$B$12),-1)</f>
        <v/>
      </c>
      <c r="W709" s="16">
        <f>V709*N709*O709</f>
        <v/>
      </c>
      <c r="X709" s="12">
        <f>IF(LEFT(I709,2)="MV",2*N709*IF(L709="1/C",O709,1),0)</f>
        <v/>
      </c>
      <c r="Y709" s="12">
        <f>IF(OR(LEFT(K709,4)="LVAX",LEFT(K709,6)="MV15AX",LEFT(K709,4)="CTAX",LEFT(K709,2)="W|"),2*N709*O709,0)</f>
        <v/>
      </c>
      <c r="Z709" s="12" t="inlineStr"/>
      <c r="AA709" s="12">
        <f>N709*O709</f>
        <v/>
      </c>
    </row>
    <row r="710">
      <c r="A710" s="12" t="inlineStr">
        <is>
          <t>A-FA-0027</t>
        </is>
      </c>
      <c r="B710" s="12" t="inlineStr">
        <is>
          <t>A</t>
        </is>
      </c>
      <c r="C710" s="12" t="inlineStr">
        <is>
          <t>Power block</t>
        </is>
      </c>
      <c r="D710" s="12" t="inlineStr">
        <is>
          <t>Fire alarm / F&amp;G loop (to the local FACP / F&amp;G node)</t>
        </is>
      </c>
      <c r="E710" s="12" t="inlineStr">
        <is>
          <t>R1</t>
        </is>
      </c>
      <c r="F710" s="12" t="inlineStr">
        <is>
          <t>R1: main electrical building (64 x 180 ft)</t>
        </is>
      </c>
      <c r="G710" s="12" t="inlineStr">
        <is>
          <t>SWGR-4.16-A</t>
        </is>
      </c>
      <c r="H710" s="12" t="inlineStr">
        <is>
          <t>R1 SWGR-4.16-A (9 x 36 in cubicles, 5 kV metal-clad)</t>
        </is>
      </c>
      <c r="I710" s="12" t="inlineStr">
        <is>
          <t>Fire alarm</t>
        </is>
      </c>
      <c r="J710" s="12" t="inlineStr">
        <is>
          <t>Fire alarm FPLR 2/C #14 shielded, red jacket (NEC 760)</t>
        </is>
      </c>
      <c r="K710" s="12" t="inlineStr">
        <is>
          <t>FA|2/C|14</t>
        </is>
      </c>
      <c r="L710" s="12" t="inlineStr">
        <is>
          <t>2/C</t>
        </is>
      </c>
      <c r="M710" s="12" t="inlineStr">
        <is>
          <t>14</t>
        </is>
      </c>
      <c r="N710" s="12" t="n">
        <v>1</v>
      </c>
      <c r="O710" s="12" t="n">
        <v>1</v>
      </c>
      <c r="P710" s="12" t="n"/>
      <c r="Q710" s="12" t="n"/>
      <c r="R710" s="12" t="n"/>
      <c r="S710" s="12" t="inlineStr">
        <is>
          <t>Duct bank</t>
        </is>
      </c>
      <c r="T710" s="16" t="n">
        <v>66</v>
      </c>
      <c r="U710" s="16" t="n">
        <v>70</v>
      </c>
      <c r="V710" s="16">
        <f>ROUNDUP((T710+U710+2*'Read Me'!$B$13)*(1+'Read Me'!$B$12),-1)</f>
        <v/>
      </c>
      <c r="W710" s="16">
        <f>V710*N710*O710</f>
        <v/>
      </c>
      <c r="X710" s="12">
        <f>IF(LEFT(I710,2)="MV",2*N710*IF(L710="1/C",O710,1),0)</f>
        <v/>
      </c>
      <c r="Y710" s="12">
        <f>IF(OR(LEFT(K710,4)="LVAX",LEFT(K710,6)="MV15AX",LEFT(K710,4)="CTAX",LEFT(K710,2)="W|"),2*N710*O710,0)</f>
        <v/>
      </c>
      <c r="Z710" s="12" t="inlineStr"/>
      <c r="AA710" s="12">
        <f>N710*O710</f>
        <v/>
      </c>
    </row>
    <row r="711">
      <c r="A711" s="12" t="inlineStr">
        <is>
          <t>A-FA-0028</t>
        </is>
      </c>
      <c r="B711" s="12" t="inlineStr">
        <is>
          <t>A</t>
        </is>
      </c>
      <c r="C711" s="12" t="inlineStr">
        <is>
          <t>Power block</t>
        </is>
      </c>
      <c r="D711" s="12" t="inlineStr">
        <is>
          <t>Fire alarm / F&amp;G loop (to the local FACP / F&amp;G node)</t>
        </is>
      </c>
      <c r="E711" s="12" t="inlineStr">
        <is>
          <t>R1</t>
        </is>
      </c>
      <c r="F711" s="12" t="inlineStr">
        <is>
          <t>R1: main electrical building (64 x 180 ft)</t>
        </is>
      </c>
      <c r="G711" s="12" t="inlineStr">
        <is>
          <t>R1</t>
        </is>
      </c>
      <c r="H711" s="12" t="inlineStr">
        <is>
          <t>R1: main electrical building (64 x 180 ft)</t>
        </is>
      </c>
      <c r="I711" s="12" t="inlineStr">
        <is>
          <t>Fire alarm</t>
        </is>
      </c>
      <c r="J711" s="12" t="inlineStr">
        <is>
          <t>Fire alarm FPLR 2/C #14 shielded, red jacket (NEC 760)</t>
        </is>
      </c>
      <c r="K711" s="12" t="inlineStr">
        <is>
          <t>FA|2/C|14</t>
        </is>
      </c>
      <c r="L711" s="12" t="inlineStr">
        <is>
          <t>2/C</t>
        </is>
      </c>
      <c r="M711" s="12" t="inlineStr">
        <is>
          <t>14</t>
        </is>
      </c>
      <c r="N711" s="12" t="n">
        <v>1</v>
      </c>
      <c r="O711" s="12" t="n">
        <v>1</v>
      </c>
      <c r="P711" s="12" t="n"/>
      <c r="Q711" s="12" t="n"/>
      <c r="R711" s="12" t="n"/>
      <c r="S711" s="12" t="inlineStr">
        <is>
          <t>Tray</t>
        </is>
      </c>
      <c r="T711" s="16" t="n">
        <v>0</v>
      </c>
      <c r="U711" s="16" t="n">
        <v>32</v>
      </c>
      <c r="V711" s="16">
        <f>ROUNDUP((T711+U711+2*'Read Me'!$B$13)*(1+'Read Me'!$B$12),-1)</f>
        <v/>
      </c>
      <c r="W711" s="16">
        <f>V711*N711*O711</f>
        <v/>
      </c>
      <c r="X711" s="12">
        <f>IF(LEFT(I711,2)="MV",2*N711*IF(L711="1/C",O711,1),0)</f>
        <v/>
      </c>
      <c r="Y711" s="12">
        <f>IF(OR(LEFT(K711,4)="LVAX",LEFT(K711,6)="MV15AX",LEFT(K711,4)="CTAX",LEFT(K711,2)="W|"),2*N711*O711,0)</f>
        <v/>
      </c>
      <c r="Z711" s="12" t="inlineStr"/>
      <c r="AA711" s="12">
        <f>N711*O711</f>
        <v/>
      </c>
    </row>
    <row r="712">
      <c r="A712" s="12" t="inlineStr">
        <is>
          <t>A-FA-0029</t>
        </is>
      </c>
      <c r="B712" s="12" t="inlineStr">
        <is>
          <t>A</t>
        </is>
      </c>
      <c r="C712" s="12" t="inlineStr">
        <is>
          <t>Power block</t>
        </is>
      </c>
      <c r="D712" s="12" t="inlineStr">
        <is>
          <t>Fire alarm / F&amp;G loop (to the local FACP / F&amp;G node)</t>
        </is>
      </c>
      <c r="E712" s="12" t="inlineStr">
        <is>
          <t>R2A</t>
        </is>
      </c>
      <c r="F712" s="12" t="inlineStr">
        <is>
          <t>R2A: unit / HRSG electrical e-house (32 x 40 ft)</t>
        </is>
      </c>
      <c r="G712" s="12" t="inlineStr">
        <is>
          <t>R2A</t>
        </is>
      </c>
      <c r="H712" s="12" t="inlineStr">
        <is>
          <t>R2A: unit / HRSG electrical e-house (32 x 40 ft)</t>
        </is>
      </c>
      <c r="I712" s="12" t="inlineStr">
        <is>
          <t>Fire alarm</t>
        </is>
      </c>
      <c r="J712" s="12" t="inlineStr">
        <is>
          <t>Fire alarm FPLR 2/C #14 shielded, red jacket (NEC 760)</t>
        </is>
      </c>
      <c r="K712" s="12" t="inlineStr">
        <is>
          <t>FA|2/C|14</t>
        </is>
      </c>
      <c r="L712" s="12" t="inlineStr">
        <is>
          <t>2/C</t>
        </is>
      </c>
      <c r="M712" s="12" t="inlineStr">
        <is>
          <t>14</t>
        </is>
      </c>
      <c r="N712" s="12" t="n">
        <v>1</v>
      </c>
      <c r="O712" s="12" t="n">
        <v>1</v>
      </c>
      <c r="P712" s="12" t="n"/>
      <c r="Q712" s="12" t="n"/>
      <c r="R712" s="12" t="n"/>
      <c r="S712" s="12" t="inlineStr">
        <is>
          <t>Tray</t>
        </is>
      </c>
      <c r="T712" s="16" t="n">
        <v>0</v>
      </c>
      <c r="U712" s="16" t="n">
        <v>72</v>
      </c>
      <c r="V712" s="16">
        <f>ROUNDUP((T712+U712+2*'Read Me'!$B$13)*(1+'Read Me'!$B$12),-1)</f>
        <v/>
      </c>
      <c r="W712" s="16">
        <f>V712*N712*O712</f>
        <v/>
      </c>
      <c r="X712" s="12">
        <f>IF(LEFT(I712,2)="MV",2*N712*IF(L712="1/C",O712,1),0)</f>
        <v/>
      </c>
      <c r="Y712" s="12">
        <f>IF(OR(LEFT(K712,4)="LVAX",LEFT(K712,6)="MV15AX",LEFT(K712,4)="CTAX",LEFT(K712,2)="W|"),2*N712*O712,0)</f>
        <v/>
      </c>
      <c r="Z712" s="12" t="inlineStr"/>
      <c r="AA712" s="12">
        <f>N712*O712</f>
        <v/>
      </c>
    </row>
    <row r="713">
      <c r="A713" s="12" t="inlineStr">
        <is>
          <t>A-FA-0030</t>
        </is>
      </c>
      <c r="B713" s="12" t="inlineStr">
        <is>
          <t>A</t>
        </is>
      </c>
      <c r="C713" s="12" t="inlineStr">
        <is>
          <t>Power block</t>
        </is>
      </c>
      <c r="D713" s="12" t="inlineStr">
        <is>
          <t>Fire alarm / F&amp;G loop (to the local FACP / F&amp;G node)</t>
        </is>
      </c>
      <c r="E713" s="12" t="inlineStr">
        <is>
          <t>R2B</t>
        </is>
      </c>
      <c r="F713" s="12" t="inlineStr">
        <is>
          <t>R2B: unit / HRSG electrical e-house (32 x 40 ft)</t>
        </is>
      </c>
      <c r="G713" s="12" t="inlineStr">
        <is>
          <t>R2B</t>
        </is>
      </c>
      <c r="H713" s="12" t="inlineStr">
        <is>
          <t>R2B: unit / HRSG electrical e-house (32 x 40 ft)</t>
        </is>
      </c>
      <c r="I713" s="12" t="inlineStr">
        <is>
          <t>Fire alarm</t>
        </is>
      </c>
      <c r="J713" s="12" t="inlineStr">
        <is>
          <t>Fire alarm FPLR 2/C #14 shielded, red jacket (NEC 760)</t>
        </is>
      </c>
      <c r="K713" s="12" t="inlineStr">
        <is>
          <t>FA|2/C|14</t>
        </is>
      </c>
      <c r="L713" s="12" t="inlineStr">
        <is>
          <t>2/C</t>
        </is>
      </c>
      <c r="M713" s="12" t="inlineStr">
        <is>
          <t>14</t>
        </is>
      </c>
      <c r="N713" s="12" t="n">
        <v>1</v>
      </c>
      <c r="O713" s="12" t="n">
        <v>1</v>
      </c>
      <c r="P713" s="12" t="n"/>
      <c r="Q713" s="12" t="n"/>
      <c r="R713" s="12" t="n"/>
      <c r="S713" s="12" t="inlineStr">
        <is>
          <t>Tray</t>
        </is>
      </c>
      <c r="T713" s="16" t="n">
        <v>0</v>
      </c>
      <c r="U713" s="16" t="n">
        <v>72</v>
      </c>
      <c r="V713" s="16">
        <f>ROUNDUP((T713+U713+2*'Read Me'!$B$13)*(1+'Read Me'!$B$12),-1)</f>
        <v/>
      </c>
      <c r="W713" s="16">
        <f>V713*N713*O713</f>
        <v/>
      </c>
      <c r="X713" s="12">
        <f>IF(LEFT(I713,2)="MV",2*N713*IF(L713="1/C",O713,1),0)</f>
        <v/>
      </c>
      <c r="Y713" s="12">
        <f>IF(OR(LEFT(K713,4)="LVAX",LEFT(K713,6)="MV15AX",LEFT(K713,4)="CTAX",LEFT(K713,2)="W|"),2*N713*O713,0)</f>
        <v/>
      </c>
      <c r="Z713" s="12" t="inlineStr"/>
      <c r="AA713" s="12">
        <f>N713*O713</f>
        <v/>
      </c>
    </row>
    <row r="714">
      <c r="A714" s="12" t="inlineStr">
        <is>
          <t>A-FA-0031</t>
        </is>
      </c>
      <c r="B714" s="12" t="inlineStr">
        <is>
          <t>A</t>
        </is>
      </c>
      <c r="C714" s="12" t="inlineStr">
        <is>
          <t>Power block</t>
        </is>
      </c>
      <c r="D714" s="12" t="inlineStr">
        <is>
          <t>Fire alarm / F&amp;G loop (to the local FACP / F&amp;G node)</t>
        </is>
      </c>
      <c r="E714" s="12" t="inlineStr">
        <is>
          <t>R2C</t>
        </is>
      </c>
      <c r="F714" s="12" t="inlineStr">
        <is>
          <t>R2C: unit / HRSG electrical e-house (32 x 40 ft)</t>
        </is>
      </c>
      <c r="G714" s="12" t="inlineStr">
        <is>
          <t>R2C</t>
        </is>
      </c>
      <c r="H714" s="12" t="inlineStr">
        <is>
          <t>R2C: unit / HRSG electrical e-house (32 x 40 ft)</t>
        </is>
      </c>
      <c r="I714" s="12" t="inlineStr">
        <is>
          <t>Fire alarm</t>
        </is>
      </c>
      <c r="J714" s="12" t="inlineStr">
        <is>
          <t>Fire alarm FPLR 2/C #14 shielded, red jacket (NEC 760)</t>
        </is>
      </c>
      <c r="K714" s="12" t="inlineStr">
        <is>
          <t>FA|2/C|14</t>
        </is>
      </c>
      <c r="L714" s="12" t="inlineStr">
        <is>
          <t>2/C</t>
        </is>
      </c>
      <c r="M714" s="12" t="inlineStr">
        <is>
          <t>14</t>
        </is>
      </c>
      <c r="N714" s="12" t="n">
        <v>1</v>
      </c>
      <c r="O714" s="12" t="n">
        <v>1</v>
      </c>
      <c r="P714" s="12" t="n"/>
      <c r="Q714" s="12" t="n"/>
      <c r="R714" s="12" t="n"/>
      <c r="S714" s="12" t="inlineStr">
        <is>
          <t>Tray</t>
        </is>
      </c>
      <c r="T714" s="16" t="n">
        <v>0</v>
      </c>
      <c r="U714" s="16" t="n">
        <v>72</v>
      </c>
      <c r="V714" s="16">
        <f>ROUNDUP((T714+U714+2*'Read Me'!$B$13)*(1+'Read Me'!$B$12),-1)</f>
        <v/>
      </c>
      <c r="W714" s="16">
        <f>V714*N714*O714</f>
        <v/>
      </c>
      <c r="X714" s="12">
        <f>IF(LEFT(I714,2)="MV",2*N714*IF(L714="1/C",O714,1),0)</f>
        <v/>
      </c>
      <c r="Y714" s="12">
        <f>IF(OR(LEFT(K714,4)="LVAX",LEFT(K714,6)="MV15AX",LEFT(K714,4)="CTAX",LEFT(K714,2)="W|"),2*N714*O714,0)</f>
        <v/>
      </c>
      <c r="Z714" s="12" t="inlineStr"/>
      <c r="AA714" s="12">
        <f>N714*O714</f>
        <v/>
      </c>
    </row>
    <row r="715">
      <c r="A715" s="12" t="inlineStr">
        <is>
          <t>A-FA-0032</t>
        </is>
      </c>
      <c r="B715" s="12" t="inlineStr">
        <is>
          <t>A</t>
        </is>
      </c>
      <c r="C715" s="12" t="inlineStr">
        <is>
          <t>Power block</t>
        </is>
      </c>
      <c r="D715" s="12" t="inlineStr">
        <is>
          <t>Fire alarm / F&amp;G loop (to the local FACP / F&amp;G node)</t>
        </is>
      </c>
      <c r="E715" s="12" t="inlineStr">
        <is>
          <t>R3</t>
        </is>
      </c>
      <c r="F715" s="12" t="inlineStr">
        <is>
          <t>R3: ST auxiliary electrical e-house (40 x 65 ft)</t>
        </is>
      </c>
      <c r="G715" s="12" t="inlineStr">
        <is>
          <t>R3</t>
        </is>
      </c>
      <c r="H715" s="12" t="inlineStr">
        <is>
          <t>R3: ST auxiliary electrical e-house (40 x 65 ft)</t>
        </is>
      </c>
      <c r="I715" s="12" t="inlineStr">
        <is>
          <t>Fire alarm</t>
        </is>
      </c>
      <c r="J715" s="12" t="inlineStr">
        <is>
          <t>Fire alarm FPLR 2/C #14 shielded, red jacket (NEC 760)</t>
        </is>
      </c>
      <c r="K715" s="12" t="inlineStr">
        <is>
          <t>FA|2/C|14</t>
        </is>
      </c>
      <c r="L715" s="12" t="inlineStr">
        <is>
          <t>2/C</t>
        </is>
      </c>
      <c r="M715" s="12" t="inlineStr">
        <is>
          <t>14</t>
        </is>
      </c>
      <c r="N715" s="12" t="n">
        <v>1</v>
      </c>
      <c r="O715" s="12" t="n">
        <v>1</v>
      </c>
      <c r="P715" s="12" t="n"/>
      <c r="Q715" s="12" t="n"/>
      <c r="R715" s="12" t="n"/>
      <c r="S715" s="12" t="inlineStr">
        <is>
          <t>Tray</t>
        </is>
      </c>
      <c r="T715" s="16" t="n">
        <v>0</v>
      </c>
      <c r="U715" s="16" t="n">
        <v>32</v>
      </c>
      <c r="V715" s="16">
        <f>ROUNDUP((T715+U715+2*'Read Me'!$B$13)*(1+'Read Me'!$B$12),-1)</f>
        <v/>
      </c>
      <c r="W715" s="16">
        <f>V715*N715*O715</f>
        <v/>
      </c>
      <c r="X715" s="12">
        <f>IF(LEFT(I715,2)="MV",2*N715*IF(L715="1/C",O715,1),0)</f>
        <v/>
      </c>
      <c r="Y715" s="12">
        <f>IF(OR(LEFT(K715,4)="LVAX",LEFT(K715,6)="MV15AX",LEFT(K715,4)="CTAX",LEFT(K715,2)="W|"),2*N715*O715,0)</f>
        <v/>
      </c>
      <c r="Z715" s="12" t="inlineStr"/>
      <c r="AA715" s="12">
        <f>N715*O715</f>
        <v/>
      </c>
    </row>
    <row r="716">
      <c r="A716" s="12" t="inlineStr">
        <is>
          <t>A-FA-0033</t>
        </is>
      </c>
      <c r="B716" s="12" t="inlineStr">
        <is>
          <t>A</t>
        </is>
      </c>
      <c r="C716" s="12" t="inlineStr">
        <is>
          <t>Power block</t>
        </is>
      </c>
      <c r="D716" s="12" t="inlineStr">
        <is>
          <t>Fire alarm / F&amp;G loop (to the local FACP / F&amp;G node)</t>
        </is>
      </c>
      <c r="E716" s="12" t="inlineStr">
        <is>
          <t>R2A</t>
        </is>
      </c>
      <c r="F716" s="12" t="inlineStr">
        <is>
          <t>R2A: unit / HRSG electrical e-house (32 x 40 ft)</t>
        </is>
      </c>
      <c r="G716" s="12" t="inlineStr">
        <is>
          <t>SOS-1</t>
        </is>
      </c>
      <c r="H716" s="12" t="inlineStr">
        <is>
          <t>SOS-1: GTG-1 seal-oil and H2 / CO2 gas-control skid</t>
        </is>
      </c>
      <c r="I716" s="12" t="inlineStr">
        <is>
          <t>Fire alarm</t>
        </is>
      </c>
      <c r="J716" s="12" t="inlineStr">
        <is>
          <t>Fire alarm FPLR 2/C #14 shielded, red jacket (NEC 760)</t>
        </is>
      </c>
      <c r="K716" s="12" t="inlineStr">
        <is>
          <t>FA|2/C|14</t>
        </is>
      </c>
      <c r="L716" s="12" t="inlineStr">
        <is>
          <t>2/C</t>
        </is>
      </c>
      <c r="M716" s="12" t="inlineStr">
        <is>
          <t>14</t>
        </is>
      </c>
      <c r="N716" s="12" t="n">
        <v>1</v>
      </c>
      <c r="O716" s="12" t="n">
        <v>1</v>
      </c>
      <c r="P716" s="12" t="n"/>
      <c r="Q716" s="12" t="n"/>
      <c r="R716" s="12" t="n"/>
      <c r="S716" s="12" t="inlineStr">
        <is>
          <t>Tray</t>
        </is>
      </c>
      <c r="T716" s="16" t="n">
        <v>403</v>
      </c>
      <c r="U716" s="16" t="n">
        <v>138</v>
      </c>
      <c r="V716" s="16">
        <f>ROUNDUP((T716+U716+2*'Read Me'!$B$13)*(1+'Read Me'!$B$12),-1)</f>
        <v/>
      </c>
      <c r="W716" s="16">
        <f>V716*N716*O716</f>
        <v/>
      </c>
      <c r="X716" s="12">
        <f>IF(LEFT(I716,2)="MV",2*N716*IF(L716="1/C",O716,1),0)</f>
        <v/>
      </c>
      <c r="Y716" s="12">
        <f>IF(OR(LEFT(K716,4)="LVAX",LEFT(K716,6)="MV15AX",LEFT(K716,4)="CTAX",LEFT(K716,2)="W|"),2*N716*O716,0)</f>
        <v/>
      </c>
      <c r="Z716" s="12" t="inlineStr"/>
      <c r="AA716" s="12">
        <f>N716*O716</f>
        <v/>
      </c>
    </row>
    <row r="717">
      <c r="A717" s="12" t="inlineStr">
        <is>
          <t>A-FA-0034</t>
        </is>
      </c>
      <c r="B717" s="12" t="inlineStr">
        <is>
          <t>A</t>
        </is>
      </c>
      <c r="C717" s="12" t="inlineStr">
        <is>
          <t>Power block</t>
        </is>
      </c>
      <c r="D717" s="12" t="inlineStr">
        <is>
          <t>Fire alarm / F&amp;G loop (to the local FACP / F&amp;G node)</t>
        </is>
      </c>
      <c r="E717" s="12" t="inlineStr">
        <is>
          <t>R2B</t>
        </is>
      </c>
      <c r="F717" s="12" t="inlineStr">
        <is>
          <t>R2B: unit / HRSG electrical e-house (32 x 40 ft)</t>
        </is>
      </c>
      <c r="G717" s="12" t="inlineStr">
        <is>
          <t>SOS-2</t>
        </is>
      </c>
      <c r="H717" s="12" t="inlineStr">
        <is>
          <t>SOS-2: GTG-2 seal-oil and H2 / CO2 gas-control skid</t>
        </is>
      </c>
      <c r="I717" s="12" t="inlineStr">
        <is>
          <t>Fire alarm</t>
        </is>
      </c>
      <c r="J717" s="12" t="inlineStr">
        <is>
          <t>Fire alarm FPLR 2/C #14 shielded, red jacket (NEC 760)</t>
        </is>
      </c>
      <c r="K717" s="12" t="inlineStr">
        <is>
          <t>FA|2/C|14</t>
        </is>
      </c>
      <c r="L717" s="12" t="inlineStr">
        <is>
          <t>2/C</t>
        </is>
      </c>
      <c r="M717" s="12" t="inlineStr">
        <is>
          <t>14</t>
        </is>
      </c>
      <c r="N717" s="12" t="n">
        <v>1</v>
      </c>
      <c r="O717" s="12" t="n">
        <v>1</v>
      </c>
      <c r="P717" s="12" t="n"/>
      <c r="Q717" s="12" t="n"/>
      <c r="R717" s="12" t="n"/>
      <c r="S717" s="12" t="inlineStr">
        <is>
          <t>Tray</t>
        </is>
      </c>
      <c r="T717" s="16" t="n">
        <v>1277</v>
      </c>
      <c r="U717" s="16" t="n">
        <v>228</v>
      </c>
      <c r="V717" s="16">
        <f>ROUNDUP((T717+U717+2*'Read Me'!$B$13)*(1+'Read Me'!$B$12),-1)</f>
        <v/>
      </c>
      <c r="W717" s="16">
        <f>V717*N717*O717</f>
        <v/>
      </c>
      <c r="X717" s="12">
        <f>IF(LEFT(I717,2)="MV",2*N717*IF(L717="1/C",O717,1),0)</f>
        <v/>
      </c>
      <c r="Y717" s="12">
        <f>IF(OR(LEFT(K717,4)="LVAX",LEFT(K717,6)="MV15AX",LEFT(K717,4)="CTAX",LEFT(K717,2)="W|"),2*N717*O717,0)</f>
        <v/>
      </c>
      <c r="Z717" s="12" t="inlineStr"/>
      <c r="AA717" s="12">
        <f>N717*O717</f>
        <v/>
      </c>
    </row>
    <row r="718">
      <c r="A718" s="12" t="inlineStr">
        <is>
          <t>A-FA-0035</t>
        </is>
      </c>
      <c r="B718" s="12" t="inlineStr">
        <is>
          <t>A</t>
        </is>
      </c>
      <c r="C718" s="12" t="inlineStr">
        <is>
          <t>Power block</t>
        </is>
      </c>
      <c r="D718" s="12" t="inlineStr">
        <is>
          <t>Fire alarm / F&amp;G loop (to the local FACP / F&amp;G node)</t>
        </is>
      </c>
      <c r="E718" s="12" t="inlineStr">
        <is>
          <t>R2C</t>
        </is>
      </c>
      <c r="F718" s="12" t="inlineStr">
        <is>
          <t>R2C: unit / HRSG electrical e-house (32 x 40 ft)</t>
        </is>
      </c>
      <c r="G718" s="12" t="inlineStr">
        <is>
          <t>SOS-3</t>
        </is>
      </c>
      <c r="H718" s="12" t="inlineStr">
        <is>
          <t>SOS-3: GTG-3 seal-oil and H2 / CO2 gas-control skid</t>
        </is>
      </c>
      <c r="I718" s="12" t="inlineStr">
        <is>
          <t>Fire alarm</t>
        </is>
      </c>
      <c r="J718" s="12" t="inlineStr">
        <is>
          <t>Fire alarm FPLR 2/C #14 shielded, red jacket (NEC 760)</t>
        </is>
      </c>
      <c r="K718" s="12" t="inlineStr">
        <is>
          <t>FA|2/C|14</t>
        </is>
      </c>
      <c r="L718" s="12" t="inlineStr">
        <is>
          <t>2/C</t>
        </is>
      </c>
      <c r="M718" s="12" t="inlineStr">
        <is>
          <t>14</t>
        </is>
      </c>
      <c r="N718" s="12" t="n">
        <v>1</v>
      </c>
      <c r="O718" s="12" t="n">
        <v>1</v>
      </c>
      <c r="P718" s="12" t="n"/>
      <c r="Q718" s="12" t="n"/>
      <c r="R718" s="12" t="n"/>
      <c r="S718" s="12" t="inlineStr">
        <is>
          <t>Duct bank</t>
        </is>
      </c>
      <c r="T718" s="16" t="n">
        <v>1214</v>
      </c>
      <c r="U718" s="16" t="n">
        <v>126</v>
      </c>
      <c r="V718" s="16">
        <f>ROUNDUP((T718+U718+2*'Read Me'!$B$13)*(1+'Read Me'!$B$12),-1)</f>
        <v/>
      </c>
      <c r="W718" s="16">
        <f>V718*N718*O718</f>
        <v/>
      </c>
      <c r="X718" s="12">
        <f>IF(LEFT(I718,2)="MV",2*N718*IF(L718="1/C",O718,1),0)</f>
        <v/>
      </c>
      <c r="Y718" s="12">
        <f>IF(OR(LEFT(K718,4)="LVAX",LEFT(K718,6)="MV15AX",LEFT(K718,4)="CTAX",LEFT(K718,2)="W|"),2*N718*O718,0)</f>
        <v/>
      </c>
      <c r="Z718" s="12" t="inlineStr"/>
      <c r="AA718" s="12">
        <f>N718*O718</f>
        <v/>
      </c>
    </row>
    <row r="719">
      <c r="A719" s="12" t="inlineStr">
        <is>
          <t>A-FA-0036</t>
        </is>
      </c>
      <c r="B719" s="12" t="inlineStr">
        <is>
          <t>A</t>
        </is>
      </c>
      <c r="C719" s="12" t="inlineStr">
        <is>
          <t>Power block</t>
        </is>
      </c>
      <c r="D719" s="12" t="inlineStr">
        <is>
          <t>Fire alarm / F&amp;G loop (to the local FACP / F&amp;G node)</t>
        </is>
      </c>
      <c r="E719" s="12" t="inlineStr">
        <is>
          <t>R2A</t>
        </is>
      </c>
      <c r="F719" s="12" t="inlineStr">
        <is>
          <t>R2A: unit / HRSG electrical e-house (32 x 40 ft)</t>
        </is>
      </c>
      <c r="G719" s="12" t="inlineStr">
        <is>
          <t>SPC-1</t>
        </is>
      </c>
      <c r="H719" s="12" t="inlineStr">
        <is>
          <t>SPC-1: surge-protection and VT cubicle on the IPB (GTG-1)</t>
        </is>
      </c>
      <c r="I719" s="12" t="inlineStr">
        <is>
          <t>Fire alarm</t>
        </is>
      </c>
      <c r="J719" s="12" t="inlineStr">
        <is>
          <t>Fire alarm FPLR 2/C #14 shielded, red jacket (NEC 760)</t>
        </is>
      </c>
      <c r="K719" s="12" t="inlineStr">
        <is>
          <t>FA|2/C|14</t>
        </is>
      </c>
      <c r="L719" s="12" t="inlineStr">
        <is>
          <t>2/C</t>
        </is>
      </c>
      <c r="M719" s="12" t="inlineStr">
        <is>
          <t>14</t>
        </is>
      </c>
      <c r="N719" s="12" t="n">
        <v>1</v>
      </c>
      <c r="O719" s="12" t="n">
        <v>1</v>
      </c>
      <c r="P719" s="12" t="n"/>
      <c r="Q719" s="12" t="n"/>
      <c r="R719" s="12" t="n"/>
      <c r="S719" s="12" t="inlineStr">
        <is>
          <t>Tray</t>
        </is>
      </c>
      <c r="T719" s="16" t="n">
        <v>395</v>
      </c>
      <c r="U719" s="16" t="n">
        <v>124</v>
      </c>
      <c r="V719" s="16">
        <f>ROUNDUP((T719+U719+2*'Read Me'!$B$13)*(1+'Read Me'!$B$12),-1)</f>
        <v/>
      </c>
      <c r="W719" s="16">
        <f>V719*N719*O719</f>
        <v/>
      </c>
      <c r="X719" s="12">
        <f>IF(LEFT(I719,2)="MV",2*N719*IF(L719="1/C",O719,1),0)</f>
        <v/>
      </c>
      <c r="Y719" s="12">
        <f>IF(OR(LEFT(K719,4)="LVAX",LEFT(K719,6)="MV15AX",LEFT(K719,4)="CTAX",LEFT(K719,2)="W|"),2*N719*O719,0)</f>
        <v/>
      </c>
      <c r="Z719" s="12" t="inlineStr"/>
      <c r="AA719" s="12">
        <f>N719*O719</f>
        <v/>
      </c>
    </row>
    <row r="720">
      <c r="A720" s="12" t="inlineStr">
        <is>
          <t>A-FA-0037</t>
        </is>
      </c>
      <c r="B720" s="12" t="inlineStr">
        <is>
          <t>A</t>
        </is>
      </c>
      <c r="C720" s="12" t="inlineStr">
        <is>
          <t>Power block</t>
        </is>
      </c>
      <c r="D720" s="12" t="inlineStr">
        <is>
          <t>Fire alarm / F&amp;G loop (to the local FACP / F&amp;G node)</t>
        </is>
      </c>
      <c r="E720" s="12" t="inlineStr">
        <is>
          <t>R2B</t>
        </is>
      </c>
      <c r="F720" s="12" t="inlineStr">
        <is>
          <t>R2B: unit / HRSG electrical e-house (32 x 40 ft)</t>
        </is>
      </c>
      <c r="G720" s="12" t="inlineStr">
        <is>
          <t>SPC-2</t>
        </is>
      </c>
      <c r="H720" s="12" t="inlineStr">
        <is>
          <t>SPC-2: surge-protection and VT cubicle on the IPB (GTG-2)</t>
        </is>
      </c>
      <c r="I720" s="12" t="inlineStr">
        <is>
          <t>Fire alarm</t>
        </is>
      </c>
      <c r="J720" s="12" t="inlineStr">
        <is>
          <t>Fire alarm FPLR 2/C #14 shielded, red jacket (NEC 760)</t>
        </is>
      </c>
      <c r="K720" s="12" t="inlineStr">
        <is>
          <t>FA|2/C|14</t>
        </is>
      </c>
      <c r="L720" s="12" t="inlineStr">
        <is>
          <t>2/C</t>
        </is>
      </c>
      <c r="M720" s="12" t="inlineStr">
        <is>
          <t>14</t>
        </is>
      </c>
      <c r="N720" s="12" t="n">
        <v>1</v>
      </c>
      <c r="O720" s="12" t="n">
        <v>1</v>
      </c>
      <c r="P720" s="12" t="n"/>
      <c r="Q720" s="12" t="n"/>
      <c r="R720" s="12" t="n"/>
      <c r="S720" s="12" t="inlineStr">
        <is>
          <t>Tray</t>
        </is>
      </c>
      <c r="T720" s="16" t="n">
        <v>1269</v>
      </c>
      <c r="U720" s="16" t="n">
        <v>214</v>
      </c>
      <c r="V720" s="16">
        <f>ROUNDUP((T720+U720+2*'Read Me'!$B$13)*(1+'Read Me'!$B$12),-1)</f>
        <v/>
      </c>
      <c r="W720" s="16">
        <f>V720*N720*O720</f>
        <v/>
      </c>
      <c r="X720" s="12">
        <f>IF(LEFT(I720,2)="MV",2*N720*IF(L720="1/C",O720,1),0)</f>
        <v/>
      </c>
      <c r="Y720" s="12">
        <f>IF(OR(LEFT(K720,4)="LVAX",LEFT(K720,6)="MV15AX",LEFT(K720,4)="CTAX",LEFT(K720,2)="W|"),2*N720*O720,0)</f>
        <v/>
      </c>
      <c r="Z720" s="12" t="inlineStr"/>
      <c r="AA720" s="12">
        <f>N720*O720</f>
        <v/>
      </c>
    </row>
    <row r="721">
      <c r="A721" s="12" t="inlineStr">
        <is>
          <t>A-FA-0038</t>
        </is>
      </c>
      <c r="B721" s="12" t="inlineStr">
        <is>
          <t>A</t>
        </is>
      </c>
      <c r="C721" s="12" t="inlineStr">
        <is>
          <t>Power block</t>
        </is>
      </c>
      <c r="D721" s="12" t="inlineStr">
        <is>
          <t>Fire alarm / F&amp;G loop (to the local FACP / F&amp;G node)</t>
        </is>
      </c>
      <c r="E721" s="12" t="inlineStr">
        <is>
          <t>R2C</t>
        </is>
      </c>
      <c r="F721" s="12" t="inlineStr">
        <is>
          <t>R2C: unit / HRSG electrical e-house (32 x 40 ft)</t>
        </is>
      </c>
      <c r="G721" s="12" t="inlineStr">
        <is>
          <t>SPC-3</t>
        </is>
      </c>
      <c r="H721" s="12" t="inlineStr">
        <is>
          <t>SPC-3: surge-protection and VT cubicle on the IPB (GTG-3)</t>
        </is>
      </c>
      <c r="I721" s="12" t="inlineStr">
        <is>
          <t>Fire alarm</t>
        </is>
      </c>
      <c r="J721" s="12" t="inlineStr">
        <is>
          <t>Fire alarm FPLR 2/C #14 shielded, red jacket (NEC 760)</t>
        </is>
      </c>
      <c r="K721" s="12" t="inlineStr">
        <is>
          <t>FA|2/C|14</t>
        </is>
      </c>
      <c r="L721" s="12" t="inlineStr">
        <is>
          <t>2/C</t>
        </is>
      </c>
      <c r="M721" s="12" t="inlineStr">
        <is>
          <t>14</t>
        </is>
      </c>
      <c r="N721" s="12" t="n">
        <v>1</v>
      </c>
      <c r="O721" s="12" t="n">
        <v>1</v>
      </c>
      <c r="P721" s="12" t="n"/>
      <c r="Q721" s="12" t="n"/>
      <c r="R721" s="12" t="n"/>
      <c r="S721" s="12" t="inlineStr">
        <is>
          <t>Duct bank</t>
        </is>
      </c>
      <c r="T721" s="16" t="n">
        <v>1193</v>
      </c>
      <c r="U721" s="16" t="n">
        <v>114</v>
      </c>
      <c r="V721" s="16">
        <f>ROUNDUP((T721+U721+2*'Read Me'!$B$13)*(1+'Read Me'!$B$12),-1)</f>
        <v/>
      </c>
      <c r="W721" s="16">
        <f>V721*N721*O721</f>
        <v/>
      </c>
      <c r="X721" s="12">
        <f>IF(LEFT(I721,2)="MV",2*N721*IF(L721="1/C",O721,1),0)</f>
        <v/>
      </c>
      <c r="Y721" s="12">
        <f>IF(OR(LEFT(K721,4)="LVAX",LEFT(K721,6)="MV15AX",LEFT(K721,4)="CTAX",LEFT(K721,2)="W|"),2*N721*O721,0)</f>
        <v/>
      </c>
      <c r="Z721" s="12" t="inlineStr"/>
      <c r="AA721" s="12">
        <f>N721*O721</f>
        <v/>
      </c>
    </row>
    <row r="722">
      <c r="A722" s="12" t="inlineStr">
        <is>
          <t>A-FA-0039</t>
        </is>
      </c>
      <c r="B722" s="12" t="inlineStr">
        <is>
          <t>A</t>
        </is>
      </c>
      <c r="C722" s="12" t="inlineStr">
        <is>
          <t>Power block</t>
        </is>
      </c>
      <c r="D722" s="12" t="inlineStr">
        <is>
          <t>Fire alarm / F&amp;G loop (to the local FACP / F&amp;G node)</t>
        </is>
      </c>
      <c r="E722" s="12" t="inlineStr">
        <is>
          <t>R2B</t>
        </is>
      </c>
      <c r="F722" s="12" t="inlineStr">
        <is>
          <t>R2B: unit / HRSG electrical e-house (32 x 40 ft)</t>
        </is>
      </c>
      <c r="G722" s="12" t="inlineStr"/>
      <c r="H722" s="12" t="inlineStr">
        <is>
          <t>Turbine hall exterior electrical: MC-cable risers, roof exhausters, wa</t>
        </is>
      </c>
      <c r="I722" s="12" t="inlineStr">
        <is>
          <t>Fire alarm</t>
        </is>
      </c>
      <c r="J722" s="12" t="inlineStr">
        <is>
          <t>Fire alarm FPLR 2/C #14 shielded, red jacket (NEC 760)</t>
        </is>
      </c>
      <c r="K722" s="12" t="inlineStr">
        <is>
          <t>FA|2/C|14</t>
        </is>
      </c>
      <c r="L722" s="12" t="inlineStr">
        <is>
          <t>2/C</t>
        </is>
      </c>
      <c r="M722" s="12" t="inlineStr">
        <is>
          <t>14</t>
        </is>
      </c>
      <c r="N722" s="12" t="n">
        <v>1</v>
      </c>
      <c r="O722" s="12" t="n">
        <v>1</v>
      </c>
      <c r="P722" s="12" t="n"/>
      <c r="Q722" s="12" t="n"/>
      <c r="R722" s="12" t="n"/>
      <c r="S722" s="12" t="inlineStr">
        <is>
          <t>Tray</t>
        </is>
      </c>
      <c r="T722" s="16" t="n">
        <v>1069</v>
      </c>
      <c r="U722" s="16" t="n">
        <v>184</v>
      </c>
      <c r="V722" s="16">
        <f>ROUNDUP((T722+U722+2*'Read Me'!$B$13)*(1+'Read Me'!$B$12),-1)</f>
        <v/>
      </c>
      <c r="W722" s="16">
        <f>V722*N722*O722</f>
        <v/>
      </c>
      <c r="X722" s="12">
        <f>IF(LEFT(I722,2)="MV",2*N722*IF(L722="1/C",O722,1),0)</f>
        <v/>
      </c>
      <c r="Y722" s="12">
        <f>IF(OR(LEFT(K722,4)="LVAX",LEFT(K722,6)="MV15AX",LEFT(K722,4)="CTAX",LEFT(K722,2)="W|"),2*N722*O722,0)</f>
        <v/>
      </c>
      <c r="Z722" s="12" t="inlineStr"/>
      <c r="AA722" s="12">
        <f>N722*O722</f>
        <v/>
      </c>
    </row>
    <row r="723">
      <c r="A723" s="12" t="inlineStr">
        <is>
          <t>A-I-0001</t>
        </is>
      </c>
      <c r="B723" s="12" t="inlineStr">
        <is>
          <t>A</t>
        </is>
      </c>
      <c r="C723" s="12" t="inlineStr">
        <is>
          <t>Power block</t>
        </is>
      </c>
      <c r="D723" s="12" t="inlineStr">
        <is>
          <t>Analog instrument to JB JB-AC-A/B/C-AI01: 15 x 1 pr (field cables)</t>
        </is>
      </c>
      <c r="E723" s="12" t="inlineStr">
        <is>
          <t>AC-A/B/C</t>
        </is>
      </c>
      <c r="F723" s="12" t="inlineStr">
        <is>
          <t>Air compressors AC-A/B/C</t>
        </is>
      </c>
      <c r="G723" s="12" t="inlineStr">
        <is>
          <t>JB-AC-A/B/C-AI01</t>
        </is>
      </c>
      <c r="H723" s="12" t="inlineStr">
        <is>
          <t>Air compressors AC-A/B/C</t>
        </is>
      </c>
      <c r="I723" s="12" t="inlineStr">
        <is>
          <t>Instrumentation</t>
        </is>
      </c>
      <c r="J723" s="12" t="inlineStr">
        <is>
          <t>Instrumentation ITC / PLTC, IS, #18 shielded pairs, blue jacket</t>
        </is>
      </c>
      <c r="K723" s="12" t="inlineStr">
        <is>
          <t>ITC|1 pr|16</t>
        </is>
      </c>
      <c r="L723" s="12" t="inlineStr">
        <is>
          <t>1 pr</t>
        </is>
      </c>
      <c r="M723" s="12" t="inlineStr">
        <is>
          <t>16</t>
        </is>
      </c>
      <c r="N723" s="12" t="n">
        <v>15</v>
      </c>
      <c r="O723" s="12" t="n">
        <v>1</v>
      </c>
      <c r="P723" s="12" t="n"/>
      <c r="Q723" s="12" t="n"/>
      <c r="R723" s="12" t="n"/>
      <c r="S723" s="12" t="inlineStr">
        <is>
          <t>Tray / conduit</t>
        </is>
      </c>
      <c r="T723" s="16" t="n">
        <v>88</v>
      </c>
      <c r="U723" s="16" t="n">
        <v>10</v>
      </c>
      <c r="V723" s="16">
        <f>ROUNDUP((T723+U723+2*'Read Me'!$B$13)*(1+'Read Me'!$B$12),-1)</f>
        <v/>
      </c>
      <c r="W723" s="16">
        <f>V723*N723*O723</f>
        <v/>
      </c>
      <c r="X723" s="12">
        <f>IF(LEFT(I723,2)="MV",2*N723*IF(L723="1/C",O723,1),0)</f>
        <v/>
      </c>
      <c r="Y723" s="12">
        <f>IF(OR(LEFT(K723,4)="LVAX",LEFT(K723,6)="MV15AX",LEFT(K723,4)="CTAX",LEFT(K723,2)="W|"),2*N723*O723,0)</f>
        <v/>
      </c>
      <c r="Z723" s="12" t="inlineStr">
        <is>
          <t>device-to-JB field wiring, one cable per device</t>
        </is>
      </c>
      <c r="AA723" s="12">
        <f>N723*O723</f>
        <v/>
      </c>
    </row>
    <row r="724">
      <c r="A724" s="12" t="inlineStr">
        <is>
          <t>A-I-0002</t>
        </is>
      </c>
      <c r="B724" s="12" t="inlineStr">
        <is>
          <t>A</t>
        </is>
      </c>
      <c r="C724" s="12" t="inlineStr">
        <is>
          <t>Power block</t>
        </is>
      </c>
      <c r="D724" s="12" t="inlineStr">
        <is>
          <t>Home run JB-AC-A/B/C-AI01 to the control / marshalling room</t>
        </is>
      </c>
      <c r="E724" s="12" t="inlineStr">
        <is>
          <t>R3</t>
        </is>
      </c>
      <c r="F724" s="12" t="inlineStr">
        <is>
          <t>R3: ST auxiliary electrical e-house (40 x 65 ft)</t>
        </is>
      </c>
      <c r="G724" s="12" t="inlineStr">
        <is>
          <t>JB-AC-A/B/C-AI01</t>
        </is>
      </c>
      <c r="H724" s="12" t="inlineStr">
        <is>
          <t>Air compressors AC-A/B/C</t>
        </is>
      </c>
      <c r="I724" s="12" t="inlineStr">
        <is>
          <t>Instrumentation</t>
        </is>
      </c>
      <c r="J724" s="12" t="inlineStr">
        <is>
          <t>Instrumentation ITC / PLTC, IS, #18 shielded pairs, blue jacket</t>
        </is>
      </c>
      <c r="K724" s="12" t="inlineStr">
        <is>
          <t>ITC|24 pr|18</t>
        </is>
      </c>
      <c r="L724" s="12" t="inlineStr">
        <is>
          <t>24 pr</t>
        </is>
      </c>
      <c r="M724" s="12" t="inlineStr">
        <is>
          <t>18</t>
        </is>
      </c>
      <c r="N724" s="12" t="n">
        <v>1</v>
      </c>
      <c r="O724" s="12" t="n">
        <v>1</v>
      </c>
      <c r="P724" s="12" t="n"/>
      <c r="Q724" s="12" t="n"/>
      <c r="R724" s="12" t="n"/>
      <c r="S724" s="12" t="inlineStr">
        <is>
          <t>Tray</t>
        </is>
      </c>
      <c r="T724" s="16" t="n">
        <v>88</v>
      </c>
      <c r="U724" s="16" t="n">
        <v>84</v>
      </c>
      <c r="V724" s="16">
        <f>ROUNDUP((T724+U724+2*'Read Me'!$B$13)*(1+'Read Me'!$B$12),-1)</f>
        <v/>
      </c>
      <c r="W724" s="16">
        <f>V724*N724*O724</f>
        <v/>
      </c>
      <c r="X724" s="12">
        <f>IF(LEFT(I724,2)="MV",2*N724*IF(L724="1/C",O724,1),0)</f>
        <v/>
      </c>
      <c r="Y724" s="12">
        <f>IF(OR(LEFT(K724,4)="LVAX",LEFT(K724,6)="MV15AX",LEFT(K724,4)="CTAX",LEFT(K724,2)="W|"),2*N724*O724,0)</f>
        <v/>
      </c>
      <c r="Z724" s="12" t="inlineStr"/>
      <c r="AA724" s="12">
        <f>N724*O724</f>
        <v/>
      </c>
    </row>
    <row r="725">
      <c r="A725" s="12" t="inlineStr">
        <is>
          <t>A-I-0003</t>
        </is>
      </c>
      <c r="B725" s="12" t="inlineStr">
        <is>
          <t>A</t>
        </is>
      </c>
      <c r="C725" s="12" t="inlineStr">
        <is>
          <t>Power block</t>
        </is>
      </c>
      <c r="D725" s="12" t="inlineStr">
        <is>
          <t>Discrete device to JB JB-AC-A/B/C-DI01: 15 x 1 pr (field cables)</t>
        </is>
      </c>
      <c r="E725" s="12" t="inlineStr">
        <is>
          <t>AC-A/B/C</t>
        </is>
      </c>
      <c r="F725" s="12" t="inlineStr">
        <is>
          <t>Air compressors AC-A/B/C</t>
        </is>
      </c>
      <c r="G725" s="12" t="inlineStr">
        <is>
          <t>JB-AC-A/B/C-DI01</t>
        </is>
      </c>
      <c r="H725" s="12" t="inlineStr">
        <is>
          <t>Air compressors AC-A/B/C</t>
        </is>
      </c>
      <c r="I725" s="12" t="inlineStr">
        <is>
          <t>Instrumentation</t>
        </is>
      </c>
      <c r="J725" s="12" t="inlineStr">
        <is>
          <t>Instrumentation ITC / PLTC, IS, #18 shielded pairs, blue jacket</t>
        </is>
      </c>
      <c r="K725" s="12" t="inlineStr">
        <is>
          <t>ITC|1 pr|16</t>
        </is>
      </c>
      <c r="L725" s="12" t="inlineStr">
        <is>
          <t>1 pr</t>
        </is>
      </c>
      <c r="M725" s="12" t="inlineStr">
        <is>
          <t>16</t>
        </is>
      </c>
      <c r="N725" s="12" t="n">
        <v>15</v>
      </c>
      <c r="O725" s="12" t="n">
        <v>1</v>
      </c>
      <c r="P725" s="12" t="n"/>
      <c r="Q725" s="12" t="n"/>
      <c r="R725" s="12" t="n"/>
      <c r="S725" s="12" t="inlineStr">
        <is>
          <t>Tray / conduit</t>
        </is>
      </c>
      <c r="T725" s="16" t="n">
        <v>88</v>
      </c>
      <c r="U725" s="16" t="n">
        <v>10</v>
      </c>
      <c r="V725" s="16">
        <f>ROUNDUP((T725+U725+2*'Read Me'!$B$13)*(1+'Read Me'!$B$12),-1)</f>
        <v/>
      </c>
      <c r="W725" s="16">
        <f>V725*N725*O725</f>
        <v/>
      </c>
      <c r="X725" s="12">
        <f>IF(LEFT(I725,2)="MV",2*N725*IF(L725="1/C",O725,1),0)</f>
        <v/>
      </c>
      <c r="Y725" s="12">
        <f>IF(OR(LEFT(K725,4)="LVAX",LEFT(K725,6)="MV15AX",LEFT(K725,4)="CTAX",LEFT(K725,2)="W|"),2*N725*O725,0)</f>
        <v/>
      </c>
      <c r="Z725" s="12" t="inlineStr">
        <is>
          <t>device-to-JB field wiring, one cable per device</t>
        </is>
      </c>
      <c r="AA725" s="12">
        <f>N725*O725</f>
        <v/>
      </c>
    </row>
    <row r="726">
      <c r="A726" s="12" t="inlineStr">
        <is>
          <t>A-I-0004</t>
        </is>
      </c>
      <c r="B726" s="12" t="inlineStr">
        <is>
          <t>A</t>
        </is>
      </c>
      <c r="C726" s="12" t="inlineStr">
        <is>
          <t>Power block</t>
        </is>
      </c>
      <c r="D726" s="12" t="inlineStr">
        <is>
          <t>Home run JB-AC-A/B/C-DI01 to the control / marshalling room</t>
        </is>
      </c>
      <c r="E726" s="12" t="inlineStr">
        <is>
          <t>R3</t>
        </is>
      </c>
      <c r="F726" s="12" t="inlineStr">
        <is>
          <t>R3: ST auxiliary electrical e-house (40 x 65 ft)</t>
        </is>
      </c>
      <c r="G726" s="12" t="inlineStr">
        <is>
          <t>JB-AC-A/B/C-DI01</t>
        </is>
      </c>
      <c r="H726" s="12" t="inlineStr">
        <is>
          <t>Air compressors AC-A/B/C</t>
        </is>
      </c>
      <c r="I726" s="12" t="inlineStr">
        <is>
          <t>Instrumentation</t>
        </is>
      </c>
      <c r="J726" s="12" t="inlineStr">
        <is>
          <t>Instrumentation ITC / PLTC, IS, #18 shielded pairs, blue jacket</t>
        </is>
      </c>
      <c r="K726" s="12" t="inlineStr">
        <is>
          <t>ITC|24 pr|18</t>
        </is>
      </c>
      <c r="L726" s="12" t="inlineStr">
        <is>
          <t>24 pr</t>
        </is>
      </c>
      <c r="M726" s="12" t="inlineStr">
        <is>
          <t>18</t>
        </is>
      </c>
      <c r="N726" s="12" t="n">
        <v>1</v>
      </c>
      <c r="O726" s="12" t="n">
        <v>1</v>
      </c>
      <c r="P726" s="12" t="n"/>
      <c r="Q726" s="12" t="n"/>
      <c r="R726" s="12" t="n"/>
      <c r="S726" s="12" t="inlineStr">
        <is>
          <t>Tray</t>
        </is>
      </c>
      <c r="T726" s="16" t="n">
        <v>88</v>
      </c>
      <c r="U726" s="16" t="n">
        <v>84</v>
      </c>
      <c r="V726" s="16">
        <f>ROUNDUP((T726+U726+2*'Read Me'!$B$13)*(1+'Read Me'!$B$12),-1)</f>
        <v/>
      </c>
      <c r="W726" s="16">
        <f>V726*N726*O726</f>
        <v/>
      </c>
      <c r="X726" s="12">
        <f>IF(LEFT(I726,2)="MV",2*N726*IF(L726="1/C",O726,1),0)</f>
        <v/>
      </c>
      <c r="Y726" s="12">
        <f>IF(OR(LEFT(K726,4)="LVAX",LEFT(K726,6)="MV15AX",LEFT(K726,4)="CTAX",LEFT(K726,2)="W|"),2*N726*O726,0)</f>
        <v/>
      </c>
      <c r="Z726" s="12" t="inlineStr"/>
      <c r="AA726" s="12">
        <f>N726*O726</f>
        <v/>
      </c>
    </row>
    <row r="727">
      <c r="A727" s="12" t="inlineStr">
        <is>
          <t>A-I-0005</t>
        </is>
      </c>
      <c r="B727" s="12" t="inlineStr">
        <is>
          <t>A</t>
        </is>
      </c>
      <c r="C727" s="12" t="inlineStr">
        <is>
          <t>Power block</t>
        </is>
      </c>
      <c r="D727" s="12" t="inlineStr">
        <is>
          <t>Analog instrument to JB JB-BFP-1-AI01: 20 x 1 pr (field cables)</t>
        </is>
      </c>
      <c r="E727" s="12" t="inlineStr">
        <is>
          <t>BFP-1</t>
        </is>
      </c>
      <c r="F727" s="12" t="inlineStr">
        <is>
          <t>BFP-1A/B: boiler feed pumps (13.8 kV DOL)</t>
        </is>
      </c>
      <c r="G727" s="12" t="inlineStr">
        <is>
          <t>JB-BFP-1-AI01</t>
        </is>
      </c>
      <c r="H727" s="12" t="inlineStr">
        <is>
          <t>BFP-1A/B: boiler feed pumps (13.8 kV DOL)</t>
        </is>
      </c>
      <c r="I727" s="12" t="inlineStr">
        <is>
          <t>Instrumentation</t>
        </is>
      </c>
      <c r="J727" s="12" t="inlineStr">
        <is>
          <t>Instrumentation PLTC / TC-ER 300 V, #18 twisted shielded pairs, overall shield</t>
        </is>
      </c>
      <c r="K727" s="12" t="inlineStr">
        <is>
          <t>PLTC|1 pr|16</t>
        </is>
      </c>
      <c r="L727" s="12" t="inlineStr">
        <is>
          <t>1 pr</t>
        </is>
      </c>
      <c r="M727" s="12" t="inlineStr">
        <is>
          <t>16</t>
        </is>
      </c>
      <c r="N727" s="12" t="n">
        <v>20</v>
      </c>
      <c r="O727" s="12" t="n">
        <v>1</v>
      </c>
      <c r="P727" s="12" t="n"/>
      <c r="Q727" s="12" t="n"/>
      <c r="R727" s="12" t="n"/>
      <c r="S727" s="12" t="inlineStr">
        <is>
          <t>Tray / conduit</t>
        </is>
      </c>
      <c r="T727" s="16" t="n">
        <v>68</v>
      </c>
      <c r="U727" s="16" t="n">
        <v>10</v>
      </c>
      <c r="V727" s="16">
        <f>ROUNDUP((T727+U727+2*'Read Me'!$B$13)*(1+'Read Me'!$B$12),-1)</f>
        <v/>
      </c>
      <c r="W727" s="16">
        <f>V727*N727*O727</f>
        <v/>
      </c>
      <c r="X727" s="12">
        <f>IF(LEFT(I727,2)="MV",2*N727*IF(L727="1/C",O727,1),0)</f>
        <v/>
      </c>
      <c r="Y727" s="12">
        <f>IF(OR(LEFT(K727,4)="LVAX",LEFT(K727,6)="MV15AX",LEFT(K727,4)="CTAX",LEFT(K727,2)="W|"),2*N727*O727,0)</f>
        <v/>
      </c>
      <c r="Z727" s="12" t="inlineStr">
        <is>
          <t>device-to-JB field wiring, one cable per device</t>
        </is>
      </c>
      <c r="AA727" s="12">
        <f>N727*O727</f>
        <v/>
      </c>
    </row>
    <row r="728">
      <c r="A728" s="12" t="inlineStr">
        <is>
          <t>A-I-0006</t>
        </is>
      </c>
      <c r="B728" s="12" t="inlineStr">
        <is>
          <t>A</t>
        </is>
      </c>
      <c r="C728" s="12" t="inlineStr">
        <is>
          <t>Power block</t>
        </is>
      </c>
      <c r="D728" s="12" t="inlineStr">
        <is>
          <t>Home run JB-BFP-1-AI01 to the control / marshalling room</t>
        </is>
      </c>
      <c r="E728" s="12" t="inlineStr">
        <is>
          <t>R2A</t>
        </is>
      </c>
      <c r="F728" s="12" t="inlineStr">
        <is>
          <t>R2A: unit / HRSG electrical e-house (32 x 40 ft)</t>
        </is>
      </c>
      <c r="G728" s="12" t="inlineStr">
        <is>
          <t>JB-BFP-1-AI01</t>
        </is>
      </c>
      <c r="H728" s="12" t="inlineStr">
        <is>
          <t>BFP-1A/B: boiler feed pumps (13.8 kV DOL)</t>
        </is>
      </c>
      <c r="I728" s="12" t="inlineStr">
        <is>
          <t>Instrumentation</t>
        </is>
      </c>
      <c r="J728" s="12" t="inlineStr">
        <is>
          <t>Instrumentation PLTC / TC-ER 300 V, #18 twisted shielded pairs, overall shield</t>
        </is>
      </c>
      <c r="K728" s="12" t="inlineStr">
        <is>
          <t>PLTC|24 pr|18</t>
        </is>
      </c>
      <c r="L728" s="12" t="inlineStr">
        <is>
          <t>24 pr</t>
        </is>
      </c>
      <c r="M728" s="12" t="inlineStr">
        <is>
          <t>18</t>
        </is>
      </c>
      <c r="N728" s="12" t="n">
        <v>1</v>
      </c>
      <c r="O728" s="12" t="n">
        <v>1</v>
      </c>
      <c r="P728" s="12" t="n"/>
      <c r="Q728" s="12" t="n"/>
      <c r="R728" s="12" t="n"/>
      <c r="S728" s="12" t="inlineStr">
        <is>
          <t>Tray</t>
        </is>
      </c>
      <c r="T728" s="16" t="n">
        <v>481</v>
      </c>
      <c r="U728" s="16" t="n">
        <v>84</v>
      </c>
      <c r="V728" s="16">
        <f>ROUNDUP((T728+U728+2*'Read Me'!$B$13)*(1+'Read Me'!$B$12),-1)</f>
        <v/>
      </c>
      <c r="W728" s="16">
        <f>V728*N728*O728</f>
        <v/>
      </c>
      <c r="X728" s="12">
        <f>IF(LEFT(I728,2)="MV",2*N728*IF(L728="1/C",O728,1),0)</f>
        <v/>
      </c>
      <c r="Y728" s="12">
        <f>IF(OR(LEFT(K728,4)="LVAX",LEFT(K728,6)="MV15AX",LEFT(K728,4)="CTAX",LEFT(K728,2)="W|"),2*N728*O728,0)</f>
        <v/>
      </c>
      <c r="Z728" s="12" t="inlineStr"/>
      <c r="AA728" s="12">
        <f>N728*O728</f>
        <v/>
      </c>
    </row>
    <row r="729">
      <c r="A729" s="12" t="inlineStr">
        <is>
          <t>A-I-0007</t>
        </is>
      </c>
      <c r="B729" s="12" t="inlineStr">
        <is>
          <t>A</t>
        </is>
      </c>
      <c r="C729" s="12" t="inlineStr">
        <is>
          <t>Power block</t>
        </is>
      </c>
      <c r="D729" s="12" t="inlineStr">
        <is>
          <t>Analog instrument to JB JB-BFP-1-AI02: 10 x 1 pr (field cables)</t>
        </is>
      </c>
      <c r="E729" s="12" t="inlineStr">
        <is>
          <t>BFP-1</t>
        </is>
      </c>
      <c r="F729" s="12" t="inlineStr">
        <is>
          <t>BFP-1A/B: boiler feed pumps (13.8 kV DOL)</t>
        </is>
      </c>
      <c r="G729" s="12" t="inlineStr">
        <is>
          <t>JB-BFP-1-AI02</t>
        </is>
      </c>
      <c r="H729" s="12" t="inlineStr">
        <is>
          <t>BFP-1A/B: boiler feed pumps (13.8 kV DOL)</t>
        </is>
      </c>
      <c r="I729" s="12" t="inlineStr">
        <is>
          <t>Instrumentation</t>
        </is>
      </c>
      <c r="J729" s="12" t="inlineStr">
        <is>
          <t>Instrumentation PLTC / TC-ER 300 V, #18 twisted shielded pairs, overall shield</t>
        </is>
      </c>
      <c r="K729" s="12" t="inlineStr">
        <is>
          <t>PLTC|1 pr|16</t>
        </is>
      </c>
      <c r="L729" s="12" t="inlineStr">
        <is>
          <t>1 pr</t>
        </is>
      </c>
      <c r="M729" s="12" t="inlineStr">
        <is>
          <t>16</t>
        </is>
      </c>
      <c r="N729" s="12" t="n">
        <v>10</v>
      </c>
      <c r="O729" s="12" t="n">
        <v>1</v>
      </c>
      <c r="P729" s="12" t="n"/>
      <c r="Q729" s="12" t="n"/>
      <c r="R729" s="12" t="n"/>
      <c r="S729" s="12" t="inlineStr">
        <is>
          <t>Tray / conduit</t>
        </is>
      </c>
      <c r="T729" s="16" t="n">
        <v>68</v>
      </c>
      <c r="U729" s="16" t="n">
        <v>10</v>
      </c>
      <c r="V729" s="16">
        <f>ROUNDUP((T729+U729+2*'Read Me'!$B$13)*(1+'Read Me'!$B$12),-1)</f>
        <v/>
      </c>
      <c r="W729" s="16">
        <f>V729*N729*O729</f>
        <v/>
      </c>
      <c r="X729" s="12">
        <f>IF(LEFT(I729,2)="MV",2*N729*IF(L729="1/C",O729,1),0)</f>
        <v/>
      </c>
      <c r="Y729" s="12">
        <f>IF(OR(LEFT(K729,4)="LVAX",LEFT(K729,6)="MV15AX",LEFT(K729,4)="CTAX",LEFT(K729,2)="W|"),2*N729*O729,0)</f>
        <v/>
      </c>
      <c r="Z729" s="12" t="inlineStr">
        <is>
          <t>device-to-JB field wiring, one cable per device</t>
        </is>
      </c>
      <c r="AA729" s="12">
        <f>N729*O729</f>
        <v/>
      </c>
    </row>
    <row r="730">
      <c r="A730" s="12" t="inlineStr">
        <is>
          <t>A-I-0008</t>
        </is>
      </c>
      <c r="B730" s="12" t="inlineStr">
        <is>
          <t>A</t>
        </is>
      </c>
      <c r="C730" s="12" t="inlineStr">
        <is>
          <t>Power block</t>
        </is>
      </c>
      <c r="D730" s="12" t="inlineStr">
        <is>
          <t>Home run JB-BFP-1-AI02 to the control / marshalling room</t>
        </is>
      </c>
      <c r="E730" s="12" t="inlineStr">
        <is>
          <t>R2A</t>
        </is>
      </c>
      <c r="F730" s="12" t="inlineStr">
        <is>
          <t>R2A: unit / HRSG electrical e-house (32 x 40 ft)</t>
        </is>
      </c>
      <c r="G730" s="12" t="inlineStr">
        <is>
          <t>JB-BFP-1-AI02</t>
        </is>
      </c>
      <c r="H730" s="12" t="inlineStr">
        <is>
          <t>BFP-1A/B: boiler feed pumps (13.8 kV DOL)</t>
        </is>
      </c>
      <c r="I730" s="12" t="inlineStr">
        <is>
          <t>Instrumentation</t>
        </is>
      </c>
      <c r="J730" s="12" t="inlineStr">
        <is>
          <t>Instrumentation PLTC / TC-ER 300 V, #18 twisted shielded pairs, overall shield</t>
        </is>
      </c>
      <c r="K730" s="12" t="inlineStr">
        <is>
          <t>PLTC|24 pr|18</t>
        </is>
      </c>
      <c r="L730" s="12" t="inlineStr">
        <is>
          <t>24 pr</t>
        </is>
      </c>
      <c r="M730" s="12" t="inlineStr">
        <is>
          <t>18</t>
        </is>
      </c>
      <c r="N730" s="12" t="n">
        <v>1</v>
      </c>
      <c r="O730" s="12" t="n">
        <v>1</v>
      </c>
      <c r="P730" s="12" t="n"/>
      <c r="Q730" s="12" t="n"/>
      <c r="R730" s="12" t="n"/>
      <c r="S730" s="12" t="inlineStr">
        <is>
          <t>Tray</t>
        </is>
      </c>
      <c r="T730" s="16" t="n">
        <v>481</v>
      </c>
      <c r="U730" s="16" t="n">
        <v>84</v>
      </c>
      <c r="V730" s="16">
        <f>ROUNDUP((T730+U730+2*'Read Me'!$B$13)*(1+'Read Me'!$B$12),-1)</f>
        <v/>
      </c>
      <c r="W730" s="16">
        <f>V730*N730*O730</f>
        <v/>
      </c>
      <c r="X730" s="12">
        <f>IF(LEFT(I730,2)="MV",2*N730*IF(L730="1/C",O730,1),0)</f>
        <v/>
      </c>
      <c r="Y730" s="12">
        <f>IF(OR(LEFT(K730,4)="LVAX",LEFT(K730,6)="MV15AX",LEFT(K730,4)="CTAX",LEFT(K730,2)="W|"),2*N730*O730,0)</f>
        <v/>
      </c>
      <c r="Z730" s="12" t="inlineStr"/>
      <c r="AA730" s="12">
        <f>N730*O730</f>
        <v/>
      </c>
    </row>
    <row r="731">
      <c r="A731" s="12" t="inlineStr">
        <is>
          <t>A-I-0009</t>
        </is>
      </c>
      <c r="B731" s="12" t="inlineStr">
        <is>
          <t>A</t>
        </is>
      </c>
      <c r="C731" s="12" t="inlineStr">
        <is>
          <t>Power block</t>
        </is>
      </c>
      <c r="D731" s="12" t="inlineStr">
        <is>
          <t>Discrete device to JB JB-BFP-1-DI01: 20 x 1 pr (field cables)</t>
        </is>
      </c>
      <c r="E731" s="12" t="inlineStr">
        <is>
          <t>BFP-1</t>
        </is>
      </c>
      <c r="F731" s="12" t="inlineStr">
        <is>
          <t>BFP-1A/B: boiler feed pumps (13.8 kV DOL)</t>
        </is>
      </c>
      <c r="G731" s="12" t="inlineStr">
        <is>
          <t>JB-BFP-1-DI01</t>
        </is>
      </c>
      <c r="H731" s="12" t="inlineStr">
        <is>
          <t>BFP-1A/B: boiler feed pumps (13.8 kV DOL)</t>
        </is>
      </c>
      <c r="I731" s="12" t="inlineStr">
        <is>
          <t>Instrumentation</t>
        </is>
      </c>
      <c r="J731" s="12" t="inlineStr">
        <is>
          <t>Instrumentation PLTC / TC-ER 300 V, #18 twisted shielded pairs, overall shield</t>
        </is>
      </c>
      <c r="K731" s="12" t="inlineStr">
        <is>
          <t>PLTC|1 pr|16</t>
        </is>
      </c>
      <c r="L731" s="12" t="inlineStr">
        <is>
          <t>1 pr</t>
        </is>
      </c>
      <c r="M731" s="12" t="inlineStr">
        <is>
          <t>16</t>
        </is>
      </c>
      <c r="N731" s="12" t="n">
        <v>20</v>
      </c>
      <c r="O731" s="12" t="n">
        <v>1</v>
      </c>
      <c r="P731" s="12" t="n"/>
      <c r="Q731" s="12" t="n"/>
      <c r="R731" s="12" t="n"/>
      <c r="S731" s="12" t="inlineStr">
        <is>
          <t>Tray / conduit</t>
        </is>
      </c>
      <c r="T731" s="16" t="n">
        <v>68</v>
      </c>
      <c r="U731" s="16" t="n">
        <v>10</v>
      </c>
      <c r="V731" s="16">
        <f>ROUNDUP((T731+U731+2*'Read Me'!$B$13)*(1+'Read Me'!$B$12),-1)</f>
        <v/>
      </c>
      <c r="W731" s="16">
        <f>V731*N731*O731</f>
        <v/>
      </c>
      <c r="X731" s="12">
        <f>IF(LEFT(I731,2)="MV",2*N731*IF(L731="1/C",O731,1),0)</f>
        <v/>
      </c>
      <c r="Y731" s="12">
        <f>IF(OR(LEFT(K731,4)="LVAX",LEFT(K731,6)="MV15AX",LEFT(K731,4)="CTAX",LEFT(K731,2)="W|"),2*N731*O731,0)</f>
        <v/>
      </c>
      <c r="Z731" s="12" t="inlineStr">
        <is>
          <t>device-to-JB field wiring, one cable per device</t>
        </is>
      </c>
      <c r="AA731" s="12">
        <f>N731*O731</f>
        <v/>
      </c>
    </row>
    <row r="732">
      <c r="A732" s="12" t="inlineStr">
        <is>
          <t>A-I-0010</t>
        </is>
      </c>
      <c r="B732" s="12" t="inlineStr">
        <is>
          <t>A</t>
        </is>
      </c>
      <c r="C732" s="12" t="inlineStr">
        <is>
          <t>Power block</t>
        </is>
      </c>
      <c r="D732" s="12" t="inlineStr">
        <is>
          <t>Home run JB-BFP-1-DI01 to the control / marshalling room</t>
        </is>
      </c>
      <c r="E732" s="12" t="inlineStr">
        <is>
          <t>R2A</t>
        </is>
      </c>
      <c r="F732" s="12" t="inlineStr">
        <is>
          <t>R2A: unit / HRSG electrical e-house (32 x 40 ft)</t>
        </is>
      </c>
      <c r="G732" s="12" t="inlineStr">
        <is>
          <t>JB-BFP-1-DI01</t>
        </is>
      </c>
      <c r="H732" s="12" t="inlineStr">
        <is>
          <t>BFP-1A/B: boiler feed pumps (13.8 kV DOL)</t>
        </is>
      </c>
      <c r="I732" s="12" t="inlineStr">
        <is>
          <t>Instrumentation</t>
        </is>
      </c>
      <c r="J732" s="12" t="inlineStr">
        <is>
          <t>Instrumentation PLTC / TC-ER 300 V, #18 twisted shielded pairs, overall shield</t>
        </is>
      </c>
      <c r="K732" s="12" t="inlineStr">
        <is>
          <t>PLTC|24 pr|18</t>
        </is>
      </c>
      <c r="L732" s="12" t="inlineStr">
        <is>
          <t>24 pr</t>
        </is>
      </c>
      <c r="M732" s="12" t="inlineStr">
        <is>
          <t>18</t>
        </is>
      </c>
      <c r="N732" s="12" t="n">
        <v>1</v>
      </c>
      <c r="O732" s="12" t="n">
        <v>1</v>
      </c>
      <c r="P732" s="12" t="n"/>
      <c r="Q732" s="12" t="n"/>
      <c r="R732" s="12" t="n"/>
      <c r="S732" s="12" t="inlineStr">
        <is>
          <t>Tray</t>
        </is>
      </c>
      <c r="T732" s="16" t="n">
        <v>481</v>
      </c>
      <c r="U732" s="16" t="n">
        <v>84</v>
      </c>
      <c r="V732" s="16">
        <f>ROUNDUP((T732+U732+2*'Read Me'!$B$13)*(1+'Read Me'!$B$12),-1)</f>
        <v/>
      </c>
      <c r="W732" s="16">
        <f>V732*N732*O732</f>
        <v/>
      </c>
      <c r="X732" s="12">
        <f>IF(LEFT(I732,2)="MV",2*N732*IF(L732="1/C",O732,1),0)</f>
        <v/>
      </c>
      <c r="Y732" s="12">
        <f>IF(OR(LEFT(K732,4)="LVAX",LEFT(K732,6)="MV15AX",LEFT(K732,4)="CTAX",LEFT(K732,2)="W|"),2*N732*O732,0)</f>
        <v/>
      </c>
      <c r="Z732" s="12" t="inlineStr"/>
      <c r="AA732" s="12">
        <f>N732*O732</f>
        <v/>
      </c>
    </row>
    <row r="733">
      <c r="A733" s="12" t="inlineStr">
        <is>
          <t>A-I-0011</t>
        </is>
      </c>
      <c r="B733" s="12" t="inlineStr">
        <is>
          <t>A</t>
        </is>
      </c>
      <c r="C733" s="12" t="inlineStr">
        <is>
          <t>Power block</t>
        </is>
      </c>
      <c r="D733" s="12" t="inlineStr">
        <is>
          <t>RTD to JB JB-BFP-1-RTD01: 10 x 1 tri (field cables)</t>
        </is>
      </c>
      <c r="E733" s="12" t="inlineStr">
        <is>
          <t>BFP-1</t>
        </is>
      </c>
      <c r="F733" s="12" t="inlineStr">
        <is>
          <t>BFP-1A/B: boiler feed pumps (13.8 kV DOL)</t>
        </is>
      </c>
      <c r="G733" s="12" t="inlineStr">
        <is>
          <t>JB-BFP-1-RTD01</t>
        </is>
      </c>
      <c r="H733" s="12" t="inlineStr">
        <is>
          <t>BFP-1A/B: boiler feed pumps (13.8 kV DOL)</t>
        </is>
      </c>
      <c r="I733" s="12" t="inlineStr">
        <is>
          <t>Instrumentation</t>
        </is>
      </c>
      <c r="J733" s="12" t="inlineStr">
        <is>
          <t>RTD cable, #18 shielded triads, PLTC</t>
        </is>
      </c>
      <c r="K733" s="12" t="inlineStr">
        <is>
          <t>RTD|1 tri|18</t>
        </is>
      </c>
      <c r="L733" s="12" t="inlineStr">
        <is>
          <t>1 tri</t>
        </is>
      </c>
      <c r="M733" s="12" t="inlineStr">
        <is>
          <t>18</t>
        </is>
      </c>
      <c r="N733" s="12" t="n">
        <v>10</v>
      </c>
      <c r="O733" s="12" t="n">
        <v>1</v>
      </c>
      <c r="P733" s="12" t="n"/>
      <c r="Q733" s="12" t="n"/>
      <c r="R733" s="12" t="n"/>
      <c r="S733" s="12" t="inlineStr">
        <is>
          <t>Tray / conduit</t>
        </is>
      </c>
      <c r="T733" s="16" t="n">
        <v>68</v>
      </c>
      <c r="U733" s="16" t="n">
        <v>10</v>
      </c>
      <c r="V733" s="16">
        <f>ROUNDUP((T733+U733+2*'Read Me'!$B$13)*(1+'Read Me'!$B$12),-1)</f>
        <v/>
      </c>
      <c r="W733" s="16">
        <f>V733*N733*O733</f>
        <v/>
      </c>
      <c r="X733" s="12">
        <f>IF(LEFT(I733,2)="MV",2*N733*IF(L733="1/C",O733,1),0)</f>
        <v/>
      </c>
      <c r="Y733" s="12">
        <f>IF(OR(LEFT(K733,4)="LVAX",LEFT(K733,6)="MV15AX",LEFT(K733,4)="CTAX",LEFT(K733,2)="W|"),2*N733*O733,0)</f>
        <v/>
      </c>
      <c r="Z733" s="12" t="inlineStr">
        <is>
          <t>device-to-JB field wiring, one cable per device</t>
        </is>
      </c>
      <c r="AA733" s="12">
        <f>N733*O733</f>
        <v/>
      </c>
    </row>
    <row r="734">
      <c r="A734" s="12" t="inlineStr">
        <is>
          <t>A-I-0012</t>
        </is>
      </c>
      <c r="B734" s="12" t="inlineStr">
        <is>
          <t>A</t>
        </is>
      </c>
      <c r="C734" s="12" t="inlineStr">
        <is>
          <t>Power block</t>
        </is>
      </c>
      <c r="D734" s="12" t="inlineStr">
        <is>
          <t>Home run JB-BFP-1-RTD01 to the control / marshalling room</t>
        </is>
      </c>
      <c r="E734" s="12" t="inlineStr">
        <is>
          <t>R2A</t>
        </is>
      </c>
      <c r="F734" s="12" t="inlineStr">
        <is>
          <t>R2A: unit / HRSG electrical e-house (32 x 40 ft)</t>
        </is>
      </c>
      <c r="G734" s="12" t="inlineStr">
        <is>
          <t>JB-BFP-1-RTD01</t>
        </is>
      </c>
      <c r="H734" s="12" t="inlineStr">
        <is>
          <t>BFP-1A/B: boiler feed pumps (13.8 kV DOL)</t>
        </is>
      </c>
      <c r="I734" s="12" t="inlineStr">
        <is>
          <t>Instrumentation</t>
        </is>
      </c>
      <c r="J734" s="12" t="inlineStr">
        <is>
          <t>RTD cable, #18 shielded triads, PLTC</t>
        </is>
      </c>
      <c r="K734" s="12" t="inlineStr">
        <is>
          <t>RTD|12 tri|18</t>
        </is>
      </c>
      <c r="L734" s="12" t="inlineStr">
        <is>
          <t>12 tri</t>
        </is>
      </c>
      <c r="M734" s="12" t="inlineStr">
        <is>
          <t>18</t>
        </is>
      </c>
      <c r="N734" s="12" t="n">
        <v>1</v>
      </c>
      <c r="O734" s="12" t="n">
        <v>1</v>
      </c>
      <c r="P734" s="12" t="n"/>
      <c r="Q734" s="12" t="n"/>
      <c r="R734" s="12" t="n"/>
      <c r="S734" s="12" t="inlineStr">
        <is>
          <t>Tray</t>
        </is>
      </c>
      <c r="T734" s="16" t="n">
        <v>481</v>
      </c>
      <c r="U734" s="16" t="n">
        <v>84</v>
      </c>
      <c r="V734" s="16">
        <f>ROUNDUP((T734+U734+2*'Read Me'!$B$13)*(1+'Read Me'!$B$12),-1)</f>
        <v/>
      </c>
      <c r="W734" s="16">
        <f>V734*N734*O734</f>
        <v/>
      </c>
      <c r="X734" s="12">
        <f>IF(LEFT(I734,2)="MV",2*N734*IF(L734="1/C",O734,1),0)</f>
        <v/>
      </c>
      <c r="Y734" s="12">
        <f>IF(OR(LEFT(K734,4)="LVAX",LEFT(K734,6)="MV15AX",LEFT(K734,4)="CTAX",LEFT(K734,2)="W|"),2*N734*O734,0)</f>
        <v/>
      </c>
      <c r="Z734" s="12" t="inlineStr"/>
      <c r="AA734" s="12">
        <f>N734*O734</f>
        <v/>
      </c>
    </row>
    <row r="735">
      <c r="A735" s="12" t="inlineStr">
        <is>
          <t>A-I-0013</t>
        </is>
      </c>
      <c r="B735" s="12" t="inlineStr">
        <is>
          <t>A</t>
        </is>
      </c>
      <c r="C735" s="12" t="inlineStr">
        <is>
          <t>Power block</t>
        </is>
      </c>
      <c r="D735" s="12" t="inlineStr">
        <is>
          <t>RTD to JB JB-BFP-1-RTD02: 10 x 1 tri (field cables)</t>
        </is>
      </c>
      <c r="E735" s="12" t="inlineStr">
        <is>
          <t>BFP-1</t>
        </is>
      </c>
      <c r="F735" s="12" t="inlineStr">
        <is>
          <t>BFP-1A/B: boiler feed pumps (13.8 kV DOL)</t>
        </is>
      </c>
      <c r="G735" s="12" t="inlineStr">
        <is>
          <t>JB-BFP-1-RTD02</t>
        </is>
      </c>
      <c r="H735" s="12" t="inlineStr">
        <is>
          <t>BFP-1A/B: boiler feed pumps (13.8 kV DOL)</t>
        </is>
      </c>
      <c r="I735" s="12" t="inlineStr">
        <is>
          <t>Instrumentation</t>
        </is>
      </c>
      <c r="J735" s="12" t="inlineStr">
        <is>
          <t>RTD cable, #18 shielded triads, PLTC</t>
        </is>
      </c>
      <c r="K735" s="12" t="inlineStr">
        <is>
          <t>RTD|1 tri|18</t>
        </is>
      </c>
      <c r="L735" s="12" t="inlineStr">
        <is>
          <t>1 tri</t>
        </is>
      </c>
      <c r="M735" s="12" t="inlineStr">
        <is>
          <t>18</t>
        </is>
      </c>
      <c r="N735" s="12" t="n">
        <v>10</v>
      </c>
      <c r="O735" s="12" t="n">
        <v>1</v>
      </c>
      <c r="P735" s="12" t="n"/>
      <c r="Q735" s="12" t="n"/>
      <c r="R735" s="12" t="n"/>
      <c r="S735" s="12" t="inlineStr">
        <is>
          <t>Tray / conduit</t>
        </is>
      </c>
      <c r="T735" s="16" t="n">
        <v>68</v>
      </c>
      <c r="U735" s="16" t="n">
        <v>10</v>
      </c>
      <c r="V735" s="16">
        <f>ROUNDUP((T735+U735+2*'Read Me'!$B$13)*(1+'Read Me'!$B$12),-1)</f>
        <v/>
      </c>
      <c r="W735" s="16">
        <f>V735*N735*O735</f>
        <v/>
      </c>
      <c r="X735" s="12">
        <f>IF(LEFT(I735,2)="MV",2*N735*IF(L735="1/C",O735,1),0)</f>
        <v/>
      </c>
      <c r="Y735" s="12">
        <f>IF(OR(LEFT(K735,4)="LVAX",LEFT(K735,6)="MV15AX",LEFT(K735,4)="CTAX",LEFT(K735,2)="W|"),2*N735*O735,0)</f>
        <v/>
      </c>
      <c r="Z735" s="12" t="inlineStr">
        <is>
          <t>device-to-JB field wiring, one cable per device</t>
        </is>
      </c>
      <c r="AA735" s="12">
        <f>N735*O735</f>
        <v/>
      </c>
    </row>
    <row r="736">
      <c r="A736" s="12" t="inlineStr">
        <is>
          <t>A-I-0014</t>
        </is>
      </c>
      <c r="B736" s="12" t="inlineStr">
        <is>
          <t>A</t>
        </is>
      </c>
      <c r="C736" s="12" t="inlineStr">
        <is>
          <t>Power block</t>
        </is>
      </c>
      <c r="D736" s="12" t="inlineStr">
        <is>
          <t>Home run JB-BFP-1-RTD02 to the control / marshalling room</t>
        </is>
      </c>
      <c r="E736" s="12" t="inlineStr">
        <is>
          <t>R2A</t>
        </is>
      </c>
      <c r="F736" s="12" t="inlineStr">
        <is>
          <t>R2A: unit / HRSG electrical e-house (32 x 40 ft)</t>
        </is>
      </c>
      <c r="G736" s="12" t="inlineStr">
        <is>
          <t>JB-BFP-1-RTD02</t>
        </is>
      </c>
      <c r="H736" s="12" t="inlineStr">
        <is>
          <t>BFP-1A/B: boiler feed pumps (13.8 kV DOL)</t>
        </is>
      </c>
      <c r="I736" s="12" t="inlineStr">
        <is>
          <t>Instrumentation</t>
        </is>
      </c>
      <c r="J736" s="12" t="inlineStr">
        <is>
          <t>RTD cable, #18 shielded triads, PLTC</t>
        </is>
      </c>
      <c r="K736" s="12" t="inlineStr">
        <is>
          <t>RTD|12 tri|18</t>
        </is>
      </c>
      <c r="L736" s="12" t="inlineStr">
        <is>
          <t>12 tri</t>
        </is>
      </c>
      <c r="M736" s="12" t="inlineStr">
        <is>
          <t>18</t>
        </is>
      </c>
      <c r="N736" s="12" t="n">
        <v>1</v>
      </c>
      <c r="O736" s="12" t="n">
        <v>1</v>
      </c>
      <c r="P736" s="12" t="n"/>
      <c r="Q736" s="12" t="n"/>
      <c r="R736" s="12" t="n"/>
      <c r="S736" s="12" t="inlineStr">
        <is>
          <t>Tray</t>
        </is>
      </c>
      <c r="T736" s="16" t="n">
        <v>481</v>
      </c>
      <c r="U736" s="16" t="n">
        <v>84</v>
      </c>
      <c r="V736" s="16">
        <f>ROUNDUP((T736+U736+2*'Read Me'!$B$13)*(1+'Read Me'!$B$12),-1)</f>
        <v/>
      </c>
      <c r="W736" s="16">
        <f>V736*N736*O736</f>
        <v/>
      </c>
      <c r="X736" s="12">
        <f>IF(LEFT(I736,2)="MV",2*N736*IF(L736="1/C",O736,1),0)</f>
        <v/>
      </c>
      <c r="Y736" s="12">
        <f>IF(OR(LEFT(K736,4)="LVAX",LEFT(K736,6)="MV15AX",LEFT(K736,4)="CTAX",LEFT(K736,2)="W|"),2*N736*O736,0)</f>
        <v/>
      </c>
      <c r="Z736" s="12" t="inlineStr"/>
      <c r="AA736" s="12">
        <f>N736*O736</f>
        <v/>
      </c>
    </row>
    <row r="737">
      <c r="A737" s="12" t="inlineStr">
        <is>
          <t>A-I-0015</t>
        </is>
      </c>
      <c r="B737" s="12" t="inlineStr">
        <is>
          <t>A</t>
        </is>
      </c>
      <c r="C737" s="12" t="inlineStr">
        <is>
          <t>Power block</t>
        </is>
      </c>
      <c r="D737" s="12" t="inlineStr">
        <is>
          <t>RTD to JB JB-BFP-1-RTD03: 4 x 1 tri (field cables)</t>
        </is>
      </c>
      <c r="E737" s="12" t="inlineStr">
        <is>
          <t>BFP-1</t>
        </is>
      </c>
      <c r="F737" s="12" t="inlineStr">
        <is>
          <t>BFP-1A/B: boiler feed pumps (13.8 kV DOL)</t>
        </is>
      </c>
      <c r="G737" s="12" t="inlineStr">
        <is>
          <t>JB-BFP-1-RTD03</t>
        </is>
      </c>
      <c r="H737" s="12" t="inlineStr">
        <is>
          <t>BFP-1A/B: boiler feed pumps (13.8 kV DOL)</t>
        </is>
      </c>
      <c r="I737" s="12" t="inlineStr">
        <is>
          <t>Instrumentation</t>
        </is>
      </c>
      <c r="J737" s="12" t="inlineStr">
        <is>
          <t>RTD cable, #18 shielded triads, PLTC</t>
        </is>
      </c>
      <c r="K737" s="12" t="inlineStr">
        <is>
          <t>RTD|1 tri|18</t>
        </is>
      </c>
      <c r="L737" s="12" t="inlineStr">
        <is>
          <t>1 tri</t>
        </is>
      </c>
      <c r="M737" s="12" t="inlineStr">
        <is>
          <t>18</t>
        </is>
      </c>
      <c r="N737" s="12" t="n">
        <v>4</v>
      </c>
      <c r="O737" s="12" t="n">
        <v>1</v>
      </c>
      <c r="P737" s="12" t="n"/>
      <c r="Q737" s="12" t="n"/>
      <c r="R737" s="12" t="n"/>
      <c r="S737" s="12" t="inlineStr">
        <is>
          <t>Tray / conduit</t>
        </is>
      </c>
      <c r="T737" s="16" t="n">
        <v>68</v>
      </c>
      <c r="U737" s="16" t="n">
        <v>10</v>
      </c>
      <c r="V737" s="16">
        <f>ROUNDUP((T737+U737+2*'Read Me'!$B$13)*(1+'Read Me'!$B$12),-1)</f>
        <v/>
      </c>
      <c r="W737" s="16">
        <f>V737*N737*O737</f>
        <v/>
      </c>
      <c r="X737" s="12">
        <f>IF(LEFT(I737,2)="MV",2*N737*IF(L737="1/C",O737,1),0)</f>
        <v/>
      </c>
      <c r="Y737" s="12">
        <f>IF(OR(LEFT(K737,4)="LVAX",LEFT(K737,6)="MV15AX",LEFT(K737,4)="CTAX",LEFT(K737,2)="W|"),2*N737*O737,0)</f>
        <v/>
      </c>
      <c r="Z737" s="12" t="inlineStr">
        <is>
          <t>device-to-JB field wiring, one cable per device</t>
        </is>
      </c>
      <c r="AA737" s="12">
        <f>N737*O737</f>
        <v/>
      </c>
    </row>
    <row r="738">
      <c r="A738" s="12" t="inlineStr">
        <is>
          <t>A-I-0016</t>
        </is>
      </c>
      <c r="B738" s="12" t="inlineStr">
        <is>
          <t>A</t>
        </is>
      </c>
      <c r="C738" s="12" t="inlineStr">
        <is>
          <t>Power block</t>
        </is>
      </c>
      <c r="D738" s="12" t="inlineStr">
        <is>
          <t>Home run JB-BFP-1-RTD03 to the control / marshalling room</t>
        </is>
      </c>
      <c r="E738" s="12" t="inlineStr">
        <is>
          <t>R2A</t>
        </is>
      </c>
      <c r="F738" s="12" t="inlineStr">
        <is>
          <t>R2A: unit / HRSG electrical e-house (32 x 40 ft)</t>
        </is>
      </c>
      <c r="G738" s="12" t="inlineStr">
        <is>
          <t>JB-BFP-1-RTD03</t>
        </is>
      </c>
      <c r="H738" s="12" t="inlineStr">
        <is>
          <t>BFP-1A/B: boiler feed pumps (13.8 kV DOL)</t>
        </is>
      </c>
      <c r="I738" s="12" t="inlineStr">
        <is>
          <t>Instrumentation</t>
        </is>
      </c>
      <c r="J738" s="12" t="inlineStr">
        <is>
          <t>RTD cable, #18 shielded triads, PLTC</t>
        </is>
      </c>
      <c r="K738" s="12" t="inlineStr">
        <is>
          <t>RTD|12 tri|18</t>
        </is>
      </c>
      <c r="L738" s="12" t="inlineStr">
        <is>
          <t>12 tri</t>
        </is>
      </c>
      <c r="M738" s="12" t="inlineStr">
        <is>
          <t>18</t>
        </is>
      </c>
      <c r="N738" s="12" t="n">
        <v>1</v>
      </c>
      <c r="O738" s="12" t="n">
        <v>1</v>
      </c>
      <c r="P738" s="12" t="n"/>
      <c r="Q738" s="12" t="n"/>
      <c r="R738" s="12" t="n"/>
      <c r="S738" s="12" t="inlineStr">
        <is>
          <t>Tray</t>
        </is>
      </c>
      <c r="T738" s="16" t="n">
        <v>481</v>
      </c>
      <c r="U738" s="16" t="n">
        <v>84</v>
      </c>
      <c r="V738" s="16">
        <f>ROUNDUP((T738+U738+2*'Read Me'!$B$13)*(1+'Read Me'!$B$12),-1)</f>
        <v/>
      </c>
      <c r="W738" s="16">
        <f>V738*N738*O738</f>
        <v/>
      </c>
      <c r="X738" s="12">
        <f>IF(LEFT(I738,2)="MV",2*N738*IF(L738="1/C",O738,1),0)</f>
        <v/>
      </c>
      <c r="Y738" s="12">
        <f>IF(OR(LEFT(K738,4)="LVAX",LEFT(K738,6)="MV15AX",LEFT(K738,4)="CTAX",LEFT(K738,2)="W|"),2*N738*O738,0)</f>
        <v/>
      </c>
      <c r="Z738" s="12" t="inlineStr"/>
      <c r="AA738" s="12">
        <f>N738*O738</f>
        <v/>
      </c>
    </row>
    <row r="739">
      <c r="A739" s="12" t="inlineStr">
        <is>
          <t>A-I-0017</t>
        </is>
      </c>
      <c r="B739" s="12" t="inlineStr">
        <is>
          <t>A</t>
        </is>
      </c>
      <c r="C739" s="12" t="inlineStr">
        <is>
          <t>Power block</t>
        </is>
      </c>
      <c r="D739" s="12" t="inlineStr">
        <is>
          <t>Analog instrument to JB JB-BFP-2-AI01: 20 x 1 pr (field cables)</t>
        </is>
      </c>
      <c r="E739" s="12" t="inlineStr">
        <is>
          <t>BFP-2</t>
        </is>
      </c>
      <c r="F739" s="12" t="inlineStr">
        <is>
          <t>BFP-2A/B: boiler feed pumps (13.8 kV DOL)</t>
        </is>
      </c>
      <c r="G739" s="12" t="inlineStr">
        <is>
          <t>JB-BFP-2-AI01</t>
        </is>
      </c>
      <c r="H739" s="12" t="inlineStr">
        <is>
          <t>BFP-2A/B: boiler feed pumps (13.8 kV DOL)</t>
        </is>
      </c>
      <c r="I739" s="12" t="inlineStr">
        <is>
          <t>Instrumentation</t>
        </is>
      </c>
      <c r="J739" s="12" t="inlineStr">
        <is>
          <t>Instrumentation PLTC / TC-ER 300 V, #18 twisted shielded pairs, overall shield</t>
        </is>
      </c>
      <c r="K739" s="12" t="inlineStr">
        <is>
          <t>PLTC|1 pr|16</t>
        </is>
      </c>
      <c r="L739" s="12" t="inlineStr">
        <is>
          <t>1 pr</t>
        </is>
      </c>
      <c r="M739" s="12" t="inlineStr">
        <is>
          <t>16</t>
        </is>
      </c>
      <c r="N739" s="12" t="n">
        <v>20</v>
      </c>
      <c r="O739" s="12" t="n">
        <v>1</v>
      </c>
      <c r="P739" s="12" t="n"/>
      <c r="Q739" s="12" t="n"/>
      <c r="R739" s="12" t="n"/>
      <c r="S739" s="12" t="inlineStr">
        <is>
          <t>Tray / conduit</t>
        </is>
      </c>
      <c r="T739" s="16" t="n">
        <v>68</v>
      </c>
      <c r="U739" s="16" t="n">
        <v>10</v>
      </c>
      <c r="V739" s="16">
        <f>ROUNDUP((T739+U739+2*'Read Me'!$B$13)*(1+'Read Me'!$B$12),-1)</f>
        <v/>
      </c>
      <c r="W739" s="16">
        <f>V739*N739*O739</f>
        <v/>
      </c>
      <c r="X739" s="12">
        <f>IF(LEFT(I739,2)="MV",2*N739*IF(L739="1/C",O739,1),0)</f>
        <v/>
      </c>
      <c r="Y739" s="12">
        <f>IF(OR(LEFT(K739,4)="LVAX",LEFT(K739,6)="MV15AX",LEFT(K739,4)="CTAX",LEFT(K739,2)="W|"),2*N739*O739,0)</f>
        <v/>
      </c>
      <c r="Z739" s="12" t="inlineStr">
        <is>
          <t>device-to-JB field wiring, one cable per device</t>
        </is>
      </c>
      <c r="AA739" s="12">
        <f>N739*O739</f>
        <v/>
      </c>
    </row>
    <row r="740">
      <c r="A740" s="12" t="inlineStr">
        <is>
          <t>A-I-0018</t>
        </is>
      </c>
      <c r="B740" s="12" t="inlineStr">
        <is>
          <t>A</t>
        </is>
      </c>
      <c r="C740" s="12" t="inlineStr">
        <is>
          <t>Power block</t>
        </is>
      </c>
      <c r="D740" s="12" t="inlineStr">
        <is>
          <t>Home run JB-BFP-2-AI01 to the control / marshalling room</t>
        </is>
      </c>
      <c r="E740" s="12" t="inlineStr">
        <is>
          <t>R2B</t>
        </is>
      </c>
      <c r="F740" s="12" t="inlineStr">
        <is>
          <t>R2B: unit / HRSG electrical e-house (32 x 40 ft)</t>
        </is>
      </c>
      <c r="G740" s="12" t="inlineStr">
        <is>
          <t>JB-BFP-2-AI01</t>
        </is>
      </c>
      <c r="H740" s="12" t="inlineStr">
        <is>
          <t>BFP-2A/B: boiler feed pumps (13.8 kV DOL)</t>
        </is>
      </c>
      <c r="I740" s="12" t="inlineStr">
        <is>
          <t>Instrumentation</t>
        </is>
      </c>
      <c r="J740" s="12" t="inlineStr">
        <is>
          <t>Instrumentation PLTC / TC-ER 300 V, #18 twisted shielded pairs, overall shield</t>
        </is>
      </c>
      <c r="K740" s="12" t="inlineStr">
        <is>
          <t>PLTC|24 pr|18</t>
        </is>
      </c>
      <c r="L740" s="12" t="inlineStr">
        <is>
          <t>24 pr</t>
        </is>
      </c>
      <c r="M740" s="12" t="inlineStr">
        <is>
          <t>18</t>
        </is>
      </c>
      <c r="N740" s="12" t="n">
        <v>1</v>
      </c>
      <c r="O740" s="12" t="n">
        <v>1</v>
      </c>
      <c r="P740" s="12" t="n"/>
      <c r="Q740" s="12" t="n"/>
      <c r="R740" s="12" t="n"/>
      <c r="S740" s="12" t="inlineStr">
        <is>
          <t>Tray</t>
        </is>
      </c>
      <c r="T740" s="16" t="n">
        <v>479</v>
      </c>
      <c r="U740" s="16" t="n">
        <v>84</v>
      </c>
      <c r="V740" s="16">
        <f>ROUNDUP((T740+U740+2*'Read Me'!$B$13)*(1+'Read Me'!$B$12),-1)</f>
        <v/>
      </c>
      <c r="W740" s="16">
        <f>V740*N740*O740</f>
        <v/>
      </c>
      <c r="X740" s="12">
        <f>IF(LEFT(I740,2)="MV",2*N740*IF(L740="1/C",O740,1),0)</f>
        <v/>
      </c>
      <c r="Y740" s="12">
        <f>IF(OR(LEFT(K740,4)="LVAX",LEFT(K740,6)="MV15AX",LEFT(K740,4)="CTAX",LEFT(K740,2)="W|"),2*N740*O740,0)</f>
        <v/>
      </c>
      <c r="Z740" s="12" t="inlineStr"/>
      <c r="AA740" s="12">
        <f>N740*O740</f>
        <v/>
      </c>
    </row>
    <row r="741">
      <c r="A741" s="12" t="inlineStr">
        <is>
          <t>A-I-0019</t>
        </is>
      </c>
      <c r="B741" s="12" t="inlineStr">
        <is>
          <t>A</t>
        </is>
      </c>
      <c r="C741" s="12" t="inlineStr">
        <is>
          <t>Power block</t>
        </is>
      </c>
      <c r="D741" s="12" t="inlineStr">
        <is>
          <t>Analog instrument to JB JB-BFP-2-AI02: 10 x 1 pr (field cables)</t>
        </is>
      </c>
      <c r="E741" s="12" t="inlineStr">
        <is>
          <t>BFP-2</t>
        </is>
      </c>
      <c r="F741" s="12" t="inlineStr">
        <is>
          <t>BFP-2A/B: boiler feed pumps (13.8 kV DOL)</t>
        </is>
      </c>
      <c r="G741" s="12" t="inlineStr">
        <is>
          <t>JB-BFP-2-AI02</t>
        </is>
      </c>
      <c r="H741" s="12" t="inlineStr">
        <is>
          <t>BFP-2A/B: boiler feed pumps (13.8 kV DOL)</t>
        </is>
      </c>
      <c r="I741" s="12" t="inlineStr">
        <is>
          <t>Instrumentation</t>
        </is>
      </c>
      <c r="J741" s="12" t="inlineStr">
        <is>
          <t>Instrumentation PLTC / TC-ER 300 V, #18 twisted shielded pairs, overall shield</t>
        </is>
      </c>
      <c r="K741" s="12" t="inlineStr">
        <is>
          <t>PLTC|1 pr|16</t>
        </is>
      </c>
      <c r="L741" s="12" t="inlineStr">
        <is>
          <t>1 pr</t>
        </is>
      </c>
      <c r="M741" s="12" t="inlineStr">
        <is>
          <t>16</t>
        </is>
      </c>
      <c r="N741" s="12" t="n">
        <v>10</v>
      </c>
      <c r="O741" s="12" t="n">
        <v>1</v>
      </c>
      <c r="P741" s="12" t="n"/>
      <c r="Q741" s="12" t="n"/>
      <c r="R741" s="12" t="n"/>
      <c r="S741" s="12" t="inlineStr">
        <is>
          <t>Tray / conduit</t>
        </is>
      </c>
      <c r="T741" s="16" t="n">
        <v>68</v>
      </c>
      <c r="U741" s="16" t="n">
        <v>10</v>
      </c>
      <c r="V741" s="16">
        <f>ROUNDUP((T741+U741+2*'Read Me'!$B$13)*(1+'Read Me'!$B$12),-1)</f>
        <v/>
      </c>
      <c r="W741" s="16">
        <f>V741*N741*O741</f>
        <v/>
      </c>
      <c r="X741" s="12">
        <f>IF(LEFT(I741,2)="MV",2*N741*IF(L741="1/C",O741,1),0)</f>
        <v/>
      </c>
      <c r="Y741" s="12">
        <f>IF(OR(LEFT(K741,4)="LVAX",LEFT(K741,6)="MV15AX",LEFT(K741,4)="CTAX",LEFT(K741,2)="W|"),2*N741*O741,0)</f>
        <v/>
      </c>
      <c r="Z741" s="12" t="inlineStr">
        <is>
          <t>device-to-JB field wiring, one cable per device</t>
        </is>
      </c>
      <c r="AA741" s="12">
        <f>N741*O741</f>
        <v/>
      </c>
    </row>
    <row r="742">
      <c r="A742" s="12" t="inlineStr">
        <is>
          <t>A-I-0020</t>
        </is>
      </c>
      <c r="B742" s="12" t="inlineStr">
        <is>
          <t>A</t>
        </is>
      </c>
      <c r="C742" s="12" t="inlineStr">
        <is>
          <t>Power block</t>
        </is>
      </c>
      <c r="D742" s="12" t="inlineStr">
        <is>
          <t>Home run JB-BFP-2-AI02 to the control / marshalling room</t>
        </is>
      </c>
      <c r="E742" s="12" t="inlineStr">
        <is>
          <t>R2B</t>
        </is>
      </c>
      <c r="F742" s="12" t="inlineStr">
        <is>
          <t>R2B: unit / HRSG electrical e-house (32 x 40 ft)</t>
        </is>
      </c>
      <c r="G742" s="12" t="inlineStr">
        <is>
          <t>JB-BFP-2-AI02</t>
        </is>
      </c>
      <c r="H742" s="12" t="inlineStr">
        <is>
          <t>BFP-2A/B: boiler feed pumps (13.8 kV DOL)</t>
        </is>
      </c>
      <c r="I742" s="12" t="inlineStr">
        <is>
          <t>Instrumentation</t>
        </is>
      </c>
      <c r="J742" s="12" t="inlineStr">
        <is>
          <t>Instrumentation PLTC / TC-ER 300 V, #18 twisted shielded pairs, overall shield</t>
        </is>
      </c>
      <c r="K742" s="12" t="inlineStr">
        <is>
          <t>PLTC|24 pr|18</t>
        </is>
      </c>
      <c r="L742" s="12" t="inlineStr">
        <is>
          <t>24 pr</t>
        </is>
      </c>
      <c r="M742" s="12" t="inlineStr">
        <is>
          <t>18</t>
        </is>
      </c>
      <c r="N742" s="12" t="n">
        <v>1</v>
      </c>
      <c r="O742" s="12" t="n">
        <v>1</v>
      </c>
      <c r="P742" s="12" t="n"/>
      <c r="Q742" s="12" t="n"/>
      <c r="R742" s="12" t="n"/>
      <c r="S742" s="12" t="inlineStr">
        <is>
          <t>Tray</t>
        </is>
      </c>
      <c r="T742" s="16" t="n">
        <v>479</v>
      </c>
      <c r="U742" s="16" t="n">
        <v>84</v>
      </c>
      <c r="V742" s="16">
        <f>ROUNDUP((T742+U742+2*'Read Me'!$B$13)*(1+'Read Me'!$B$12),-1)</f>
        <v/>
      </c>
      <c r="W742" s="16">
        <f>V742*N742*O742</f>
        <v/>
      </c>
      <c r="X742" s="12">
        <f>IF(LEFT(I742,2)="MV",2*N742*IF(L742="1/C",O742,1),0)</f>
        <v/>
      </c>
      <c r="Y742" s="12">
        <f>IF(OR(LEFT(K742,4)="LVAX",LEFT(K742,6)="MV15AX",LEFT(K742,4)="CTAX",LEFT(K742,2)="W|"),2*N742*O742,0)</f>
        <v/>
      </c>
      <c r="Z742" s="12" t="inlineStr"/>
      <c r="AA742" s="12">
        <f>N742*O742</f>
        <v/>
      </c>
    </row>
    <row r="743">
      <c r="A743" s="12" t="inlineStr">
        <is>
          <t>A-I-0021</t>
        </is>
      </c>
      <c r="B743" s="12" t="inlineStr">
        <is>
          <t>A</t>
        </is>
      </c>
      <c r="C743" s="12" t="inlineStr">
        <is>
          <t>Power block</t>
        </is>
      </c>
      <c r="D743" s="12" t="inlineStr">
        <is>
          <t>Discrete device to JB JB-BFP-2-DI01: 20 x 1 pr (field cables)</t>
        </is>
      </c>
      <c r="E743" s="12" t="inlineStr">
        <is>
          <t>BFP-2</t>
        </is>
      </c>
      <c r="F743" s="12" t="inlineStr">
        <is>
          <t>BFP-2A/B: boiler feed pumps (13.8 kV DOL)</t>
        </is>
      </c>
      <c r="G743" s="12" t="inlineStr">
        <is>
          <t>JB-BFP-2-DI01</t>
        </is>
      </c>
      <c r="H743" s="12" t="inlineStr">
        <is>
          <t>BFP-2A/B: boiler feed pumps (13.8 kV DOL)</t>
        </is>
      </c>
      <c r="I743" s="12" t="inlineStr">
        <is>
          <t>Instrumentation</t>
        </is>
      </c>
      <c r="J743" s="12" t="inlineStr">
        <is>
          <t>Instrumentation PLTC / TC-ER 300 V, #18 twisted shielded pairs, overall shield</t>
        </is>
      </c>
      <c r="K743" s="12" t="inlineStr">
        <is>
          <t>PLTC|1 pr|16</t>
        </is>
      </c>
      <c r="L743" s="12" t="inlineStr">
        <is>
          <t>1 pr</t>
        </is>
      </c>
      <c r="M743" s="12" t="inlineStr">
        <is>
          <t>16</t>
        </is>
      </c>
      <c r="N743" s="12" t="n">
        <v>20</v>
      </c>
      <c r="O743" s="12" t="n">
        <v>1</v>
      </c>
      <c r="P743" s="12" t="n"/>
      <c r="Q743" s="12" t="n"/>
      <c r="R743" s="12" t="n"/>
      <c r="S743" s="12" t="inlineStr">
        <is>
          <t>Tray / conduit</t>
        </is>
      </c>
      <c r="T743" s="16" t="n">
        <v>68</v>
      </c>
      <c r="U743" s="16" t="n">
        <v>10</v>
      </c>
      <c r="V743" s="16">
        <f>ROUNDUP((T743+U743+2*'Read Me'!$B$13)*(1+'Read Me'!$B$12),-1)</f>
        <v/>
      </c>
      <c r="W743" s="16">
        <f>V743*N743*O743</f>
        <v/>
      </c>
      <c r="X743" s="12">
        <f>IF(LEFT(I743,2)="MV",2*N743*IF(L743="1/C",O743,1),0)</f>
        <v/>
      </c>
      <c r="Y743" s="12">
        <f>IF(OR(LEFT(K743,4)="LVAX",LEFT(K743,6)="MV15AX",LEFT(K743,4)="CTAX",LEFT(K743,2)="W|"),2*N743*O743,0)</f>
        <v/>
      </c>
      <c r="Z743" s="12" t="inlineStr">
        <is>
          <t>device-to-JB field wiring, one cable per device</t>
        </is>
      </c>
      <c r="AA743" s="12">
        <f>N743*O743</f>
        <v/>
      </c>
    </row>
    <row r="744">
      <c r="A744" s="12" t="inlineStr">
        <is>
          <t>A-I-0022</t>
        </is>
      </c>
      <c r="B744" s="12" t="inlineStr">
        <is>
          <t>A</t>
        </is>
      </c>
      <c r="C744" s="12" t="inlineStr">
        <is>
          <t>Power block</t>
        </is>
      </c>
      <c r="D744" s="12" t="inlineStr">
        <is>
          <t>Home run JB-BFP-2-DI01 to the control / marshalling room</t>
        </is>
      </c>
      <c r="E744" s="12" t="inlineStr">
        <is>
          <t>R2B</t>
        </is>
      </c>
      <c r="F744" s="12" t="inlineStr">
        <is>
          <t>R2B: unit / HRSG electrical e-house (32 x 40 ft)</t>
        </is>
      </c>
      <c r="G744" s="12" t="inlineStr">
        <is>
          <t>JB-BFP-2-DI01</t>
        </is>
      </c>
      <c r="H744" s="12" t="inlineStr">
        <is>
          <t>BFP-2A/B: boiler feed pumps (13.8 kV DOL)</t>
        </is>
      </c>
      <c r="I744" s="12" t="inlineStr">
        <is>
          <t>Instrumentation</t>
        </is>
      </c>
      <c r="J744" s="12" t="inlineStr">
        <is>
          <t>Instrumentation PLTC / TC-ER 300 V, #18 twisted shielded pairs, overall shield</t>
        </is>
      </c>
      <c r="K744" s="12" t="inlineStr">
        <is>
          <t>PLTC|24 pr|18</t>
        </is>
      </c>
      <c r="L744" s="12" t="inlineStr">
        <is>
          <t>24 pr</t>
        </is>
      </c>
      <c r="M744" s="12" t="inlineStr">
        <is>
          <t>18</t>
        </is>
      </c>
      <c r="N744" s="12" t="n">
        <v>1</v>
      </c>
      <c r="O744" s="12" t="n">
        <v>1</v>
      </c>
      <c r="P744" s="12" t="n"/>
      <c r="Q744" s="12" t="n"/>
      <c r="R744" s="12" t="n"/>
      <c r="S744" s="12" t="inlineStr">
        <is>
          <t>Tray</t>
        </is>
      </c>
      <c r="T744" s="16" t="n">
        <v>479</v>
      </c>
      <c r="U744" s="16" t="n">
        <v>84</v>
      </c>
      <c r="V744" s="16">
        <f>ROUNDUP((T744+U744+2*'Read Me'!$B$13)*(1+'Read Me'!$B$12),-1)</f>
        <v/>
      </c>
      <c r="W744" s="16">
        <f>V744*N744*O744</f>
        <v/>
      </c>
      <c r="X744" s="12">
        <f>IF(LEFT(I744,2)="MV",2*N744*IF(L744="1/C",O744,1),0)</f>
        <v/>
      </c>
      <c r="Y744" s="12">
        <f>IF(OR(LEFT(K744,4)="LVAX",LEFT(K744,6)="MV15AX",LEFT(K744,4)="CTAX",LEFT(K744,2)="W|"),2*N744*O744,0)</f>
        <v/>
      </c>
      <c r="Z744" s="12" t="inlineStr"/>
      <c r="AA744" s="12">
        <f>N744*O744</f>
        <v/>
      </c>
    </row>
    <row r="745">
      <c r="A745" s="12" t="inlineStr">
        <is>
          <t>A-I-0023</t>
        </is>
      </c>
      <c r="B745" s="12" t="inlineStr">
        <is>
          <t>A</t>
        </is>
      </c>
      <c r="C745" s="12" t="inlineStr">
        <is>
          <t>Power block</t>
        </is>
      </c>
      <c r="D745" s="12" t="inlineStr">
        <is>
          <t>RTD to JB JB-BFP-2-RTD01: 10 x 1 tri (field cables)</t>
        </is>
      </c>
      <c r="E745" s="12" t="inlineStr">
        <is>
          <t>BFP-2</t>
        </is>
      </c>
      <c r="F745" s="12" t="inlineStr">
        <is>
          <t>BFP-2A/B: boiler feed pumps (13.8 kV DOL)</t>
        </is>
      </c>
      <c r="G745" s="12" t="inlineStr">
        <is>
          <t>JB-BFP-2-RTD01</t>
        </is>
      </c>
      <c r="H745" s="12" t="inlineStr">
        <is>
          <t>BFP-2A/B: boiler feed pumps (13.8 kV DOL)</t>
        </is>
      </c>
      <c r="I745" s="12" t="inlineStr">
        <is>
          <t>Instrumentation</t>
        </is>
      </c>
      <c r="J745" s="12" t="inlineStr">
        <is>
          <t>RTD cable, #18 shielded triads, PLTC</t>
        </is>
      </c>
      <c r="K745" s="12" t="inlineStr">
        <is>
          <t>RTD|1 tri|18</t>
        </is>
      </c>
      <c r="L745" s="12" t="inlineStr">
        <is>
          <t>1 tri</t>
        </is>
      </c>
      <c r="M745" s="12" t="inlineStr">
        <is>
          <t>18</t>
        </is>
      </c>
      <c r="N745" s="12" t="n">
        <v>10</v>
      </c>
      <c r="O745" s="12" t="n">
        <v>1</v>
      </c>
      <c r="P745" s="12" t="n"/>
      <c r="Q745" s="12" t="n"/>
      <c r="R745" s="12" t="n"/>
      <c r="S745" s="12" t="inlineStr">
        <is>
          <t>Tray / conduit</t>
        </is>
      </c>
      <c r="T745" s="16" t="n">
        <v>68</v>
      </c>
      <c r="U745" s="16" t="n">
        <v>10</v>
      </c>
      <c r="V745" s="16">
        <f>ROUNDUP((T745+U745+2*'Read Me'!$B$13)*(1+'Read Me'!$B$12),-1)</f>
        <v/>
      </c>
      <c r="W745" s="16">
        <f>V745*N745*O745</f>
        <v/>
      </c>
      <c r="X745" s="12">
        <f>IF(LEFT(I745,2)="MV",2*N745*IF(L745="1/C",O745,1),0)</f>
        <v/>
      </c>
      <c r="Y745" s="12">
        <f>IF(OR(LEFT(K745,4)="LVAX",LEFT(K745,6)="MV15AX",LEFT(K745,4)="CTAX",LEFT(K745,2)="W|"),2*N745*O745,0)</f>
        <v/>
      </c>
      <c r="Z745" s="12" t="inlineStr">
        <is>
          <t>device-to-JB field wiring, one cable per device</t>
        </is>
      </c>
      <c r="AA745" s="12">
        <f>N745*O745</f>
        <v/>
      </c>
    </row>
    <row r="746">
      <c r="A746" s="12" t="inlineStr">
        <is>
          <t>A-I-0024</t>
        </is>
      </c>
      <c r="B746" s="12" t="inlineStr">
        <is>
          <t>A</t>
        </is>
      </c>
      <c r="C746" s="12" t="inlineStr">
        <is>
          <t>Power block</t>
        </is>
      </c>
      <c r="D746" s="12" t="inlineStr">
        <is>
          <t>Home run JB-BFP-2-RTD01 to the control / marshalling room</t>
        </is>
      </c>
      <c r="E746" s="12" t="inlineStr">
        <is>
          <t>R2B</t>
        </is>
      </c>
      <c r="F746" s="12" t="inlineStr">
        <is>
          <t>R2B: unit / HRSG electrical e-house (32 x 40 ft)</t>
        </is>
      </c>
      <c r="G746" s="12" t="inlineStr">
        <is>
          <t>JB-BFP-2-RTD01</t>
        </is>
      </c>
      <c r="H746" s="12" t="inlineStr">
        <is>
          <t>BFP-2A/B: boiler feed pumps (13.8 kV DOL)</t>
        </is>
      </c>
      <c r="I746" s="12" t="inlineStr">
        <is>
          <t>Instrumentation</t>
        </is>
      </c>
      <c r="J746" s="12" t="inlineStr">
        <is>
          <t>RTD cable, #18 shielded triads, PLTC</t>
        </is>
      </c>
      <c r="K746" s="12" t="inlineStr">
        <is>
          <t>RTD|12 tri|18</t>
        </is>
      </c>
      <c r="L746" s="12" t="inlineStr">
        <is>
          <t>12 tri</t>
        </is>
      </c>
      <c r="M746" s="12" t="inlineStr">
        <is>
          <t>18</t>
        </is>
      </c>
      <c r="N746" s="12" t="n">
        <v>1</v>
      </c>
      <c r="O746" s="12" t="n">
        <v>1</v>
      </c>
      <c r="P746" s="12" t="n"/>
      <c r="Q746" s="12" t="n"/>
      <c r="R746" s="12" t="n"/>
      <c r="S746" s="12" t="inlineStr">
        <is>
          <t>Tray</t>
        </is>
      </c>
      <c r="T746" s="16" t="n">
        <v>479</v>
      </c>
      <c r="U746" s="16" t="n">
        <v>84</v>
      </c>
      <c r="V746" s="16">
        <f>ROUNDUP((T746+U746+2*'Read Me'!$B$13)*(1+'Read Me'!$B$12),-1)</f>
        <v/>
      </c>
      <c r="W746" s="16">
        <f>V746*N746*O746</f>
        <v/>
      </c>
      <c r="X746" s="12">
        <f>IF(LEFT(I746,2)="MV",2*N746*IF(L746="1/C",O746,1),0)</f>
        <v/>
      </c>
      <c r="Y746" s="12">
        <f>IF(OR(LEFT(K746,4)="LVAX",LEFT(K746,6)="MV15AX",LEFT(K746,4)="CTAX",LEFT(K746,2)="W|"),2*N746*O746,0)</f>
        <v/>
      </c>
      <c r="Z746" s="12" t="inlineStr"/>
      <c r="AA746" s="12">
        <f>N746*O746</f>
        <v/>
      </c>
    </row>
    <row r="747">
      <c r="A747" s="12" t="inlineStr">
        <is>
          <t>A-I-0025</t>
        </is>
      </c>
      <c r="B747" s="12" t="inlineStr">
        <is>
          <t>A</t>
        </is>
      </c>
      <c r="C747" s="12" t="inlineStr">
        <is>
          <t>Power block</t>
        </is>
      </c>
      <c r="D747" s="12" t="inlineStr">
        <is>
          <t>RTD to JB JB-BFP-2-RTD02: 10 x 1 tri (field cables)</t>
        </is>
      </c>
      <c r="E747" s="12" t="inlineStr">
        <is>
          <t>BFP-2</t>
        </is>
      </c>
      <c r="F747" s="12" t="inlineStr">
        <is>
          <t>BFP-2A/B: boiler feed pumps (13.8 kV DOL)</t>
        </is>
      </c>
      <c r="G747" s="12" t="inlineStr">
        <is>
          <t>JB-BFP-2-RTD02</t>
        </is>
      </c>
      <c r="H747" s="12" t="inlineStr">
        <is>
          <t>BFP-2A/B: boiler feed pumps (13.8 kV DOL)</t>
        </is>
      </c>
      <c r="I747" s="12" t="inlineStr">
        <is>
          <t>Instrumentation</t>
        </is>
      </c>
      <c r="J747" s="12" t="inlineStr">
        <is>
          <t>RTD cable, #18 shielded triads, PLTC</t>
        </is>
      </c>
      <c r="K747" s="12" t="inlineStr">
        <is>
          <t>RTD|1 tri|18</t>
        </is>
      </c>
      <c r="L747" s="12" t="inlineStr">
        <is>
          <t>1 tri</t>
        </is>
      </c>
      <c r="M747" s="12" t="inlineStr">
        <is>
          <t>18</t>
        </is>
      </c>
      <c r="N747" s="12" t="n">
        <v>10</v>
      </c>
      <c r="O747" s="12" t="n">
        <v>1</v>
      </c>
      <c r="P747" s="12" t="n"/>
      <c r="Q747" s="12" t="n"/>
      <c r="R747" s="12" t="n"/>
      <c r="S747" s="12" t="inlineStr">
        <is>
          <t>Tray / conduit</t>
        </is>
      </c>
      <c r="T747" s="16" t="n">
        <v>68</v>
      </c>
      <c r="U747" s="16" t="n">
        <v>10</v>
      </c>
      <c r="V747" s="16">
        <f>ROUNDUP((T747+U747+2*'Read Me'!$B$13)*(1+'Read Me'!$B$12),-1)</f>
        <v/>
      </c>
      <c r="W747" s="16">
        <f>V747*N747*O747</f>
        <v/>
      </c>
      <c r="X747" s="12">
        <f>IF(LEFT(I747,2)="MV",2*N747*IF(L747="1/C",O747,1),0)</f>
        <v/>
      </c>
      <c r="Y747" s="12">
        <f>IF(OR(LEFT(K747,4)="LVAX",LEFT(K747,6)="MV15AX",LEFT(K747,4)="CTAX",LEFT(K747,2)="W|"),2*N747*O747,0)</f>
        <v/>
      </c>
      <c r="Z747" s="12" t="inlineStr">
        <is>
          <t>device-to-JB field wiring, one cable per device</t>
        </is>
      </c>
      <c r="AA747" s="12">
        <f>N747*O747</f>
        <v/>
      </c>
    </row>
    <row r="748">
      <c r="A748" s="12" t="inlineStr">
        <is>
          <t>A-I-0026</t>
        </is>
      </c>
      <c r="B748" s="12" t="inlineStr">
        <is>
          <t>A</t>
        </is>
      </c>
      <c r="C748" s="12" t="inlineStr">
        <is>
          <t>Power block</t>
        </is>
      </c>
      <c r="D748" s="12" t="inlineStr">
        <is>
          <t>Home run JB-BFP-2-RTD02 to the control / marshalling room</t>
        </is>
      </c>
      <c r="E748" s="12" t="inlineStr">
        <is>
          <t>R2B</t>
        </is>
      </c>
      <c r="F748" s="12" t="inlineStr">
        <is>
          <t>R2B: unit / HRSG electrical e-house (32 x 40 ft)</t>
        </is>
      </c>
      <c r="G748" s="12" t="inlineStr">
        <is>
          <t>JB-BFP-2-RTD02</t>
        </is>
      </c>
      <c r="H748" s="12" t="inlineStr">
        <is>
          <t>BFP-2A/B: boiler feed pumps (13.8 kV DOL)</t>
        </is>
      </c>
      <c r="I748" s="12" t="inlineStr">
        <is>
          <t>Instrumentation</t>
        </is>
      </c>
      <c r="J748" s="12" t="inlineStr">
        <is>
          <t>RTD cable, #18 shielded triads, PLTC</t>
        </is>
      </c>
      <c r="K748" s="12" t="inlineStr">
        <is>
          <t>RTD|12 tri|18</t>
        </is>
      </c>
      <c r="L748" s="12" t="inlineStr">
        <is>
          <t>12 tri</t>
        </is>
      </c>
      <c r="M748" s="12" t="inlineStr">
        <is>
          <t>18</t>
        </is>
      </c>
      <c r="N748" s="12" t="n">
        <v>1</v>
      </c>
      <c r="O748" s="12" t="n">
        <v>1</v>
      </c>
      <c r="P748" s="12" t="n"/>
      <c r="Q748" s="12" t="n"/>
      <c r="R748" s="12" t="n"/>
      <c r="S748" s="12" t="inlineStr">
        <is>
          <t>Tray</t>
        </is>
      </c>
      <c r="T748" s="16" t="n">
        <v>479</v>
      </c>
      <c r="U748" s="16" t="n">
        <v>84</v>
      </c>
      <c r="V748" s="16">
        <f>ROUNDUP((T748+U748+2*'Read Me'!$B$13)*(1+'Read Me'!$B$12),-1)</f>
        <v/>
      </c>
      <c r="W748" s="16">
        <f>V748*N748*O748</f>
        <v/>
      </c>
      <c r="X748" s="12">
        <f>IF(LEFT(I748,2)="MV",2*N748*IF(L748="1/C",O748,1),0)</f>
        <v/>
      </c>
      <c r="Y748" s="12">
        <f>IF(OR(LEFT(K748,4)="LVAX",LEFT(K748,6)="MV15AX",LEFT(K748,4)="CTAX",LEFT(K748,2)="W|"),2*N748*O748,0)</f>
        <v/>
      </c>
      <c r="Z748" s="12" t="inlineStr"/>
      <c r="AA748" s="12">
        <f>N748*O748</f>
        <v/>
      </c>
    </row>
    <row r="749">
      <c r="A749" s="12" t="inlineStr">
        <is>
          <t>A-I-0027</t>
        </is>
      </c>
      <c r="B749" s="12" t="inlineStr">
        <is>
          <t>A</t>
        </is>
      </c>
      <c r="C749" s="12" t="inlineStr">
        <is>
          <t>Power block</t>
        </is>
      </c>
      <c r="D749" s="12" t="inlineStr">
        <is>
          <t>RTD to JB JB-BFP-2-RTD03: 4 x 1 tri (field cables)</t>
        </is>
      </c>
      <c r="E749" s="12" t="inlineStr">
        <is>
          <t>BFP-2</t>
        </is>
      </c>
      <c r="F749" s="12" t="inlineStr">
        <is>
          <t>BFP-2A/B: boiler feed pumps (13.8 kV DOL)</t>
        </is>
      </c>
      <c r="G749" s="12" t="inlineStr">
        <is>
          <t>JB-BFP-2-RTD03</t>
        </is>
      </c>
      <c r="H749" s="12" t="inlineStr">
        <is>
          <t>BFP-2A/B: boiler feed pumps (13.8 kV DOL)</t>
        </is>
      </c>
      <c r="I749" s="12" t="inlineStr">
        <is>
          <t>Instrumentation</t>
        </is>
      </c>
      <c r="J749" s="12" t="inlineStr">
        <is>
          <t>RTD cable, #18 shielded triads, PLTC</t>
        </is>
      </c>
      <c r="K749" s="12" t="inlineStr">
        <is>
          <t>RTD|1 tri|18</t>
        </is>
      </c>
      <c r="L749" s="12" t="inlineStr">
        <is>
          <t>1 tri</t>
        </is>
      </c>
      <c r="M749" s="12" t="inlineStr">
        <is>
          <t>18</t>
        </is>
      </c>
      <c r="N749" s="12" t="n">
        <v>4</v>
      </c>
      <c r="O749" s="12" t="n">
        <v>1</v>
      </c>
      <c r="P749" s="12" t="n"/>
      <c r="Q749" s="12" t="n"/>
      <c r="R749" s="12" t="n"/>
      <c r="S749" s="12" t="inlineStr">
        <is>
          <t>Tray / conduit</t>
        </is>
      </c>
      <c r="T749" s="16" t="n">
        <v>68</v>
      </c>
      <c r="U749" s="16" t="n">
        <v>10</v>
      </c>
      <c r="V749" s="16">
        <f>ROUNDUP((T749+U749+2*'Read Me'!$B$13)*(1+'Read Me'!$B$12),-1)</f>
        <v/>
      </c>
      <c r="W749" s="16">
        <f>V749*N749*O749</f>
        <v/>
      </c>
      <c r="X749" s="12">
        <f>IF(LEFT(I749,2)="MV",2*N749*IF(L749="1/C",O749,1),0)</f>
        <v/>
      </c>
      <c r="Y749" s="12">
        <f>IF(OR(LEFT(K749,4)="LVAX",LEFT(K749,6)="MV15AX",LEFT(K749,4)="CTAX",LEFT(K749,2)="W|"),2*N749*O749,0)</f>
        <v/>
      </c>
      <c r="Z749" s="12" t="inlineStr">
        <is>
          <t>device-to-JB field wiring, one cable per device</t>
        </is>
      </c>
      <c r="AA749" s="12">
        <f>N749*O749</f>
        <v/>
      </c>
    </row>
    <row r="750">
      <c r="A750" s="12" t="inlineStr">
        <is>
          <t>A-I-0028</t>
        </is>
      </c>
      <c r="B750" s="12" t="inlineStr">
        <is>
          <t>A</t>
        </is>
      </c>
      <c r="C750" s="12" t="inlineStr">
        <is>
          <t>Power block</t>
        </is>
      </c>
      <c r="D750" s="12" t="inlineStr">
        <is>
          <t>Home run JB-BFP-2-RTD03 to the control / marshalling room</t>
        </is>
      </c>
      <c r="E750" s="12" t="inlineStr">
        <is>
          <t>R2B</t>
        </is>
      </c>
      <c r="F750" s="12" t="inlineStr">
        <is>
          <t>R2B: unit / HRSG electrical e-house (32 x 40 ft)</t>
        </is>
      </c>
      <c r="G750" s="12" t="inlineStr">
        <is>
          <t>JB-BFP-2-RTD03</t>
        </is>
      </c>
      <c r="H750" s="12" t="inlineStr">
        <is>
          <t>BFP-2A/B: boiler feed pumps (13.8 kV DOL)</t>
        </is>
      </c>
      <c r="I750" s="12" t="inlineStr">
        <is>
          <t>Instrumentation</t>
        </is>
      </c>
      <c r="J750" s="12" t="inlineStr">
        <is>
          <t>RTD cable, #18 shielded triads, PLTC</t>
        </is>
      </c>
      <c r="K750" s="12" t="inlineStr">
        <is>
          <t>RTD|12 tri|18</t>
        </is>
      </c>
      <c r="L750" s="12" t="inlineStr">
        <is>
          <t>12 tri</t>
        </is>
      </c>
      <c r="M750" s="12" t="inlineStr">
        <is>
          <t>18</t>
        </is>
      </c>
      <c r="N750" s="12" t="n">
        <v>1</v>
      </c>
      <c r="O750" s="12" t="n">
        <v>1</v>
      </c>
      <c r="P750" s="12" t="n"/>
      <c r="Q750" s="12" t="n"/>
      <c r="R750" s="12" t="n"/>
      <c r="S750" s="12" t="inlineStr">
        <is>
          <t>Tray</t>
        </is>
      </c>
      <c r="T750" s="16" t="n">
        <v>479</v>
      </c>
      <c r="U750" s="16" t="n">
        <v>84</v>
      </c>
      <c r="V750" s="16">
        <f>ROUNDUP((T750+U750+2*'Read Me'!$B$13)*(1+'Read Me'!$B$12),-1)</f>
        <v/>
      </c>
      <c r="W750" s="16">
        <f>V750*N750*O750</f>
        <v/>
      </c>
      <c r="X750" s="12">
        <f>IF(LEFT(I750,2)="MV",2*N750*IF(L750="1/C",O750,1),0)</f>
        <v/>
      </c>
      <c r="Y750" s="12">
        <f>IF(OR(LEFT(K750,4)="LVAX",LEFT(K750,6)="MV15AX",LEFT(K750,4)="CTAX",LEFT(K750,2)="W|"),2*N750*O750,0)</f>
        <v/>
      </c>
      <c r="Z750" s="12" t="inlineStr"/>
      <c r="AA750" s="12">
        <f>N750*O750</f>
        <v/>
      </c>
    </row>
    <row r="751">
      <c r="A751" s="12" t="inlineStr">
        <is>
          <t>A-I-0029</t>
        </is>
      </c>
      <c r="B751" s="12" t="inlineStr">
        <is>
          <t>A</t>
        </is>
      </c>
      <c r="C751" s="12" t="inlineStr">
        <is>
          <t>Power block</t>
        </is>
      </c>
      <c r="D751" s="12" t="inlineStr">
        <is>
          <t>Analog instrument to JB JB-BFP-3-AI01: 20 x 1 pr (field cables)</t>
        </is>
      </c>
      <c r="E751" s="12" t="inlineStr">
        <is>
          <t>BFP-3</t>
        </is>
      </c>
      <c r="F751" s="12" t="inlineStr">
        <is>
          <t>BFP-3A/B: boiler feed pumps (13.8 kV DOL)</t>
        </is>
      </c>
      <c r="G751" s="12" t="inlineStr">
        <is>
          <t>JB-BFP-3-AI01</t>
        </is>
      </c>
      <c r="H751" s="12" t="inlineStr">
        <is>
          <t>BFP-3A/B: boiler feed pumps (13.8 kV DOL)</t>
        </is>
      </c>
      <c r="I751" s="12" t="inlineStr">
        <is>
          <t>Instrumentation</t>
        </is>
      </c>
      <c r="J751" s="12" t="inlineStr">
        <is>
          <t>Instrumentation PLTC / TC-ER 300 V, #18 twisted shielded pairs, overall shield</t>
        </is>
      </c>
      <c r="K751" s="12" t="inlineStr">
        <is>
          <t>PLTC|1 pr|16</t>
        </is>
      </c>
      <c r="L751" s="12" t="inlineStr">
        <is>
          <t>1 pr</t>
        </is>
      </c>
      <c r="M751" s="12" t="inlineStr">
        <is>
          <t>16</t>
        </is>
      </c>
      <c r="N751" s="12" t="n">
        <v>20</v>
      </c>
      <c r="O751" s="12" t="n">
        <v>1</v>
      </c>
      <c r="P751" s="12" t="n"/>
      <c r="Q751" s="12" t="n"/>
      <c r="R751" s="12" t="n"/>
      <c r="S751" s="12" t="inlineStr">
        <is>
          <t>Tray / conduit</t>
        </is>
      </c>
      <c r="T751" s="16" t="n">
        <v>68</v>
      </c>
      <c r="U751" s="16" t="n">
        <v>10</v>
      </c>
      <c r="V751" s="16">
        <f>ROUNDUP((T751+U751+2*'Read Me'!$B$13)*(1+'Read Me'!$B$12),-1)</f>
        <v/>
      </c>
      <c r="W751" s="16">
        <f>V751*N751*O751</f>
        <v/>
      </c>
      <c r="X751" s="12">
        <f>IF(LEFT(I751,2)="MV",2*N751*IF(L751="1/C",O751,1),0)</f>
        <v/>
      </c>
      <c r="Y751" s="12">
        <f>IF(OR(LEFT(K751,4)="LVAX",LEFT(K751,6)="MV15AX",LEFT(K751,4)="CTAX",LEFT(K751,2)="W|"),2*N751*O751,0)</f>
        <v/>
      </c>
      <c r="Z751" s="12" t="inlineStr">
        <is>
          <t>device-to-JB field wiring, one cable per device</t>
        </is>
      </c>
      <c r="AA751" s="12">
        <f>N751*O751</f>
        <v/>
      </c>
    </row>
    <row r="752">
      <c r="A752" s="12" t="inlineStr">
        <is>
          <t>A-I-0030</t>
        </is>
      </c>
      <c r="B752" s="12" t="inlineStr">
        <is>
          <t>A</t>
        </is>
      </c>
      <c r="C752" s="12" t="inlineStr">
        <is>
          <t>Power block</t>
        </is>
      </c>
      <c r="D752" s="12" t="inlineStr">
        <is>
          <t>Home run JB-BFP-3-AI01 to the control / marshalling room</t>
        </is>
      </c>
      <c r="E752" s="12" t="inlineStr">
        <is>
          <t>R2C</t>
        </is>
      </c>
      <c r="F752" s="12" t="inlineStr">
        <is>
          <t>R2C: unit / HRSG electrical e-house (32 x 40 ft)</t>
        </is>
      </c>
      <c r="G752" s="12" t="inlineStr">
        <is>
          <t>JB-BFP-3-AI01</t>
        </is>
      </c>
      <c r="H752" s="12" t="inlineStr">
        <is>
          <t>BFP-3A/B: boiler feed pumps (13.8 kV DOL)</t>
        </is>
      </c>
      <c r="I752" s="12" t="inlineStr">
        <is>
          <t>Instrumentation</t>
        </is>
      </c>
      <c r="J752" s="12" t="inlineStr">
        <is>
          <t>Instrumentation PLTC / TC-ER 300 V, #18 twisted shielded pairs, overall shield</t>
        </is>
      </c>
      <c r="K752" s="12" t="inlineStr">
        <is>
          <t>PLTC|24 pr|18</t>
        </is>
      </c>
      <c r="L752" s="12" t="inlineStr">
        <is>
          <t>24 pr</t>
        </is>
      </c>
      <c r="M752" s="12" t="inlineStr">
        <is>
          <t>18</t>
        </is>
      </c>
      <c r="N752" s="12" t="n">
        <v>1</v>
      </c>
      <c r="O752" s="12" t="n">
        <v>1</v>
      </c>
      <c r="P752" s="12" t="n"/>
      <c r="Q752" s="12" t="n"/>
      <c r="R752" s="12" t="n"/>
      <c r="S752" s="12" t="inlineStr">
        <is>
          <t>Tray</t>
        </is>
      </c>
      <c r="T752" s="16" t="n">
        <v>481</v>
      </c>
      <c r="U752" s="16" t="n">
        <v>84</v>
      </c>
      <c r="V752" s="16">
        <f>ROUNDUP((T752+U752+2*'Read Me'!$B$13)*(1+'Read Me'!$B$12),-1)</f>
        <v/>
      </c>
      <c r="W752" s="16">
        <f>V752*N752*O752</f>
        <v/>
      </c>
      <c r="X752" s="12">
        <f>IF(LEFT(I752,2)="MV",2*N752*IF(L752="1/C",O752,1),0)</f>
        <v/>
      </c>
      <c r="Y752" s="12">
        <f>IF(OR(LEFT(K752,4)="LVAX",LEFT(K752,6)="MV15AX",LEFT(K752,4)="CTAX",LEFT(K752,2)="W|"),2*N752*O752,0)</f>
        <v/>
      </c>
      <c r="Z752" s="12" t="inlineStr"/>
      <c r="AA752" s="12">
        <f>N752*O752</f>
        <v/>
      </c>
    </row>
    <row r="753">
      <c r="A753" s="12" t="inlineStr">
        <is>
          <t>A-I-0031</t>
        </is>
      </c>
      <c r="B753" s="12" t="inlineStr">
        <is>
          <t>A</t>
        </is>
      </c>
      <c r="C753" s="12" t="inlineStr">
        <is>
          <t>Power block</t>
        </is>
      </c>
      <c r="D753" s="12" t="inlineStr">
        <is>
          <t>Analog instrument to JB JB-BFP-3-AI02: 10 x 1 pr (field cables)</t>
        </is>
      </c>
      <c r="E753" s="12" t="inlineStr">
        <is>
          <t>BFP-3</t>
        </is>
      </c>
      <c r="F753" s="12" t="inlineStr">
        <is>
          <t>BFP-3A/B: boiler feed pumps (13.8 kV DOL)</t>
        </is>
      </c>
      <c r="G753" s="12" t="inlineStr">
        <is>
          <t>JB-BFP-3-AI02</t>
        </is>
      </c>
      <c r="H753" s="12" t="inlineStr">
        <is>
          <t>BFP-3A/B: boiler feed pumps (13.8 kV DOL)</t>
        </is>
      </c>
      <c r="I753" s="12" t="inlineStr">
        <is>
          <t>Instrumentation</t>
        </is>
      </c>
      <c r="J753" s="12" t="inlineStr">
        <is>
          <t>Instrumentation PLTC / TC-ER 300 V, #18 twisted shielded pairs, overall shield</t>
        </is>
      </c>
      <c r="K753" s="12" t="inlineStr">
        <is>
          <t>PLTC|1 pr|16</t>
        </is>
      </c>
      <c r="L753" s="12" t="inlineStr">
        <is>
          <t>1 pr</t>
        </is>
      </c>
      <c r="M753" s="12" t="inlineStr">
        <is>
          <t>16</t>
        </is>
      </c>
      <c r="N753" s="12" t="n">
        <v>10</v>
      </c>
      <c r="O753" s="12" t="n">
        <v>1</v>
      </c>
      <c r="P753" s="12" t="n"/>
      <c r="Q753" s="12" t="n"/>
      <c r="R753" s="12" t="n"/>
      <c r="S753" s="12" t="inlineStr">
        <is>
          <t>Tray / conduit</t>
        </is>
      </c>
      <c r="T753" s="16" t="n">
        <v>68</v>
      </c>
      <c r="U753" s="16" t="n">
        <v>10</v>
      </c>
      <c r="V753" s="16">
        <f>ROUNDUP((T753+U753+2*'Read Me'!$B$13)*(1+'Read Me'!$B$12),-1)</f>
        <v/>
      </c>
      <c r="W753" s="16">
        <f>V753*N753*O753</f>
        <v/>
      </c>
      <c r="X753" s="12">
        <f>IF(LEFT(I753,2)="MV",2*N753*IF(L753="1/C",O753,1),0)</f>
        <v/>
      </c>
      <c r="Y753" s="12">
        <f>IF(OR(LEFT(K753,4)="LVAX",LEFT(K753,6)="MV15AX",LEFT(K753,4)="CTAX",LEFT(K753,2)="W|"),2*N753*O753,0)</f>
        <v/>
      </c>
      <c r="Z753" s="12" t="inlineStr">
        <is>
          <t>device-to-JB field wiring, one cable per device</t>
        </is>
      </c>
      <c r="AA753" s="12">
        <f>N753*O753</f>
        <v/>
      </c>
    </row>
    <row r="754">
      <c r="A754" s="12" t="inlineStr">
        <is>
          <t>A-I-0032</t>
        </is>
      </c>
      <c r="B754" s="12" t="inlineStr">
        <is>
          <t>A</t>
        </is>
      </c>
      <c r="C754" s="12" t="inlineStr">
        <is>
          <t>Power block</t>
        </is>
      </c>
      <c r="D754" s="12" t="inlineStr">
        <is>
          <t>Home run JB-BFP-3-AI02 to the control / marshalling room</t>
        </is>
      </c>
      <c r="E754" s="12" t="inlineStr">
        <is>
          <t>R2C</t>
        </is>
      </c>
      <c r="F754" s="12" t="inlineStr">
        <is>
          <t>R2C: unit / HRSG electrical e-house (32 x 40 ft)</t>
        </is>
      </c>
      <c r="G754" s="12" t="inlineStr">
        <is>
          <t>JB-BFP-3-AI02</t>
        </is>
      </c>
      <c r="H754" s="12" t="inlineStr">
        <is>
          <t>BFP-3A/B: boiler feed pumps (13.8 kV DOL)</t>
        </is>
      </c>
      <c r="I754" s="12" t="inlineStr">
        <is>
          <t>Instrumentation</t>
        </is>
      </c>
      <c r="J754" s="12" t="inlineStr">
        <is>
          <t>Instrumentation PLTC / TC-ER 300 V, #18 twisted shielded pairs, overall shield</t>
        </is>
      </c>
      <c r="K754" s="12" t="inlineStr">
        <is>
          <t>PLTC|24 pr|18</t>
        </is>
      </c>
      <c r="L754" s="12" t="inlineStr">
        <is>
          <t>24 pr</t>
        </is>
      </c>
      <c r="M754" s="12" t="inlineStr">
        <is>
          <t>18</t>
        </is>
      </c>
      <c r="N754" s="12" t="n">
        <v>1</v>
      </c>
      <c r="O754" s="12" t="n">
        <v>1</v>
      </c>
      <c r="P754" s="12" t="n"/>
      <c r="Q754" s="12" t="n"/>
      <c r="R754" s="12" t="n"/>
      <c r="S754" s="12" t="inlineStr">
        <is>
          <t>Tray</t>
        </is>
      </c>
      <c r="T754" s="16" t="n">
        <v>481</v>
      </c>
      <c r="U754" s="16" t="n">
        <v>84</v>
      </c>
      <c r="V754" s="16">
        <f>ROUNDUP((T754+U754+2*'Read Me'!$B$13)*(1+'Read Me'!$B$12),-1)</f>
        <v/>
      </c>
      <c r="W754" s="16">
        <f>V754*N754*O754</f>
        <v/>
      </c>
      <c r="X754" s="12">
        <f>IF(LEFT(I754,2)="MV",2*N754*IF(L754="1/C",O754,1),0)</f>
        <v/>
      </c>
      <c r="Y754" s="12">
        <f>IF(OR(LEFT(K754,4)="LVAX",LEFT(K754,6)="MV15AX",LEFT(K754,4)="CTAX",LEFT(K754,2)="W|"),2*N754*O754,0)</f>
        <v/>
      </c>
      <c r="Z754" s="12" t="inlineStr"/>
      <c r="AA754" s="12">
        <f>N754*O754</f>
        <v/>
      </c>
    </row>
    <row r="755">
      <c r="A755" s="12" t="inlineStr">
        <is>
          <t>A-I-0033</t>
        </is>
      </c>
      <c r="B755" s="12" t="inlineStr">
        <is>
          <t>A</t>
        </is>
      </c>
      <c r="C755" s="12" t="inlineStr">
        <is>
          <t>Power block</t>
        </is>
      </c>
      <c r="D755" s="12" t="inlineStr">
        <is>
          <t>Discrete device to JB JB-BFP-3-DI01: 20 x 1 pr (field cables)</t>
        </is>
      </c>
      <c r="E755" s="12" t="inlineStr">
        <is>
          <t>BFP-3</t>
        </is>
      </c>
      <c r="F755" s="12" t="inlineStr">
        <is>
          <t>BFP-3A/B: boiler feed pumps (13.8 kV DOL)</t>
        </is>
      </c>
      <c r="G755" s="12" t="inlineStr">
        <is>
          <t>JB-BFP-3-DI01</t>
        </is>
      </c>
      <c r="H755" s="12" t="inlineStr">
        <is>
          <t>BFP-3A/B: boiler feed pumps (13.8 kV DOL)</t>
        </is>
      </c>
      <c r="I755" s="12" t="inlineStr">
        <is>
          <t>Instrumentation</t>
        </is>
      </c>
      <c r="J755" s="12" t="inlineStr">
        <is>
          <t>Instrumentation PLTC / TC-ER 300 V, #18 twisted shielded pairs, overall shield</t>
        </is>
      </c>
      <c r="K755" s="12" t="inlineStr">
        <is>
          <t>PLTC|1 pr|16</t>
        </is>
      </c>
      <c r="L755" s="12" t="inlineStr">
        <is>
          <t>1 pr</t>
        </is>
      </c>
      <c r="M755" s="12" t="inlineStr">
        <is>
          <t>16</t>
        </is>
      </c>
      <c r="N755" s="12" t="n">
        <v>20</v>
      </c>
      <c r="O755" s="12" t="n">
        <v>1</v>
      </c>
      <c r="P755" s="12" t="n"/>
      <c r="Q755" s="12" t="n"/>
      <c r="R755" s="12" t="n"/>
      <c r="S755" s="12" t="inlineStr">
        <is>
          <t>Tray / conduit</t>
        </is>
      </c>
      <c r="T755" s="16" t="n">
        <v>68</v>
      </c>
      <c r="U755" s="16" t="n">
        <v>10</v>
      </c>
      <c r="V755" s="16">
        <f>ROUNDUP((T755+U755+2*'Read Me'!$B$13)*(1+'Read Me'!$B$12),-1)</f>
        <v/>
      </c>
      <c r="W755" s="16">
        <f>V755*N755*O755</f>
        <v/>
      </c>
      <c r="X755" s="12">
        <f>IF(LEFT(I755,2)="MV",2*N755*IF(L755="1/C",O755,1),0)</f>
        <v/>
      </c>
      <c r="Y755" s="12">
        <f>IF(OR(LEFT(K755,4)="LVAX",LEFT(K755,6)="MV15AX",LEFT(K755,4)="CTAX",LEFT(K755,2)="W|"),2*N755*O755,0)</f>
        <v/>
      </c>
      <c r="Z755" s="12" t="inlineStr">
        <is>
          <t>device-to-JB field wiring, one cable per device</t>
        </is>
      </c>
      <c r="AA755" s="12">
        <f>N755*O755</f>
        <v/>
      </c>
    </row>
    <row r="756">
      <c r="A756" s="12" t="inlineStr">
        <is>
          <t>A-I-0034</t>
        </is>
      </c>
      <c r="B756" s="12" t="inlineStr">
        <is>
          <t>A</t>
        </is>
      </c>
      <c r="C756" s="12" t="inlineStr">
        <is>
          <t>Power block</t>
        </is>
      </c>
      <c r="D756" s="12" t="inlineStr">
        <is>
          <t>Home run JB-BFP-3-DI01 to the control / marshalling room</t>
        </is>
      </c>
      <c r="E756" s="12" t="inlineStr">
        <is>
          <t>R2C</t>
        </is>
      </c>
      <c r="F756" s="12" t="inlineStr">
        <is>
          <t>R2C: unit / HRSG electrical e-house (32 x 40 ft)</t>
        </is>
      </c>
      <c r="G756" s="12" t="inlineStr">
        <is>
          <t>JB-BFP-3-DI01</t>
        </is>
      </c>
      <c r="H756" s="12" t="inlineStr">
        <is>
          <t>BFP-3A/B: boiler feed pumps (13.8 kV DOL)</t>
        </is>
      </c>
      <c r="I756" s="12" t="inlineStr">
        <is>
          <t>Instrumentation</t>
        </is>
      </c>
      <c r="J756" s="12" t="inlineStr">
        <is>
          <t>Instrumentation PLTC / TC-ER 300 V, #18 twisted shielded pairs, overall shield</t>
        </is>
      </c>
      <c r="K756" s="12" t="inlineStr">
        <is>
          <t>PLTC|24 pr|18</t>
        </is>
      </c>
      <c r="L756" s="12" t="inlineStr">
        <is>
          <t>24 pr</t>
        </is>
      </c>
      <c r="M756" s="12" t="inlineStr">
        <is>
          <t>18</t>
        </is>
      </c>
      <c r="N756" s="12" t="n">
        <v>1</v>
      </c>
      <c r="O756" s="12" t="n">
        <v>1</v>
      </c>
      <c r="P756" s="12" t="n"/>
      <c r="Q756" s="12" t="n"/>
      <c r="R756" s="12" t="n"/>
      <c r="S756" s="12" t="inlineStr">
        <is>
          <t>Tray</t>
        </is>
      </c>
      <c r="T756" s="16" t="n">
        <v>481</v>
      </c>
      <c r="U756" s="16" t="n">
        <v>84</v>
      </c>
      <c r="V756" s="16">
        <f>ROUNDUP((T756+U756+2*'Read Me'!$B$13)*(1+'Read Me'!$B$12),-1)</f>
        <v/>
      </c>
      <c r="W756" s="16">
        <f>V756*N756*O756</f>
        <v/>
      </c>
      <c r="X756" s="12">
        <f>IF(LEFT(I756,2)="MV",2*N756*IF(L756="1/C",O756,1),0)</f>
        <v/>
      </c>
      <c r="Y756" s="12">
        <f>IF(OR(LEFT(K756,4)="LVAX",LEFT(K756,6)="MV15AX",LEFT(K756,4)="CTAX",LEFT(K756,2)="W|"),2*N756*O756,0)</f>
        <v/>
      </c>
      <c r="Z756" s="12" t="inlineStr"/>
      <c r="AA756" s="12">
        <f>N756*O756</f>
        <v/>
      </c>
    </row>
    <row r="757">
      <c r="A757" s="12" t="inlineStr">
        <is>
          <t>A-I-0035</t>
        </is>
      </c>
      <c r="B757" s="12" t="inlineStr">
        <is>
          <t>A</t>
        </is>
      </c>
      <c r="C757" s="12" t="inlineStr">
        <is>
          <t>Power block</t>
        </is>
      </c>
      <c r="D757" s="12" t="inlineStr">
        <is>
          <t>RTD to JB JB-BFP-3-RTD01: 10 x 1 tri (field cables)</t>
        </is>
      </c>
      <c r="E757" s="12" t="inlineStr">
        <is>
          <t>BFP-3</t>
        </is>
      </c>
      <c r="F757" s="12" t="inlineStr">
        <is>
          <t>BFP-3A/B: boiler feed pumps (13.8 kV DOL)</t>
        </is>
      </c>
      <c r="G757" s="12" t="inlineStr">
        <is>
          <t>JB-BFP-3-RTD01</t>
        </is>
      </c>
      <c r="H757" s="12" t="inlineStr">
        <is>
          <t>BFP-3A/B: boiler feed pumps (13.8 kV DOL)</t>
        </is>
      </c>
      <c r="I757" s="12" t="inlineStr">
        <is>
          <t>Instrumentation</t>
        </is>
      </c>
      <c r="J757" s="12" t="inlineStr">
        <is>
          <t>RTD cable, #18 shielded triads, PLTC</t>
        </is>
      </c>
      <c r="K757" s="12" t="inlineStr">
        <is>
          <t>RTD|1 tri|18</t>
        </is>
      </c>
      <c r="L757" s="12" t="inlineStr">
        <is>
          <t>1 tri</t>
        </is>
      </c>
      <c r="M757" s="12" t="inlineStr">
        <is>
          <t>18</t>
        </is>
      </c>
      <c r="N757" s="12" t="n">
        <v>10</v>
      </c>
      <c r="O757" s="12" t="n">
        <v>1</v>
      </c>
      <c r="P757" s="12" t="n"/>
      <c r="Q757" s="12" t="n"/>
      <c r="R757" s="12" t="n"/>
      <c r="S757" s="12" t="inlineStr">
        <is>
          <t>Tray / conduit</t>
        </is>
      </c>
      <c r="T757" s="16" t="n">
        <v>68</v>
      </c>
      <c r="U757" s="16" t="n">
        <v>10</v>
      </c>
      <c r="V757" s="16">
        <f>ROUNDUP((T757+U757+2*'Read Me'!$B$13)*(1+'Read Me'!$B$12),-1)</f>
        <v/>
      </c>
      <c r="W757" s="16">
        <f>V757*N757*O757</f>
        <v/>
      </c>
      <c r="X757" s="12">
        <f>IF(LEFT(I757,2)="MV",2*N757*IF(L757="1/C",O757,1),0)</f>
        <v/>
      </c>
      <c r="Y757" s="12">
        <f>IF(OR(LEFT(K757,4)="LVAX",LEFT(K757,6)="MV15AX",LEFT(K757,4)="CTAX",LEFT(K757,2)="W|"),2*N757*O757,0)</f>
        <v/>
      </c>
      <c r="Z757" s="12" t="inlineStr">
        <is>
          <t>device-to-JB field wiring, one cable per device</t>
        </is>
      </c>
      <c r="AA757" s="12">
        <f>N757*O757</f>
        <v/>
      </c>
    </row>
    <row r="758">
      <c r="A758" s="12" t="inlineStr">
        <is>
          <t>A-I-0036</t>
        </is>
      </c>
      <c r="B758" s="12" t="inlineStr">
        <is>
          <t>A</t>
        </is>
      </c>
      <c r="C758" s="12" t="inlineStr">
        <is>
          <t>Power block</t>
        </is>
      </c>
      <c r="D758" s="12" t="inlineStr">
        <is>
          <t>Home run JB-BFP-3-RTD01 to the control / marshalling room</t>
        </is>
      </c>
      <c r="E758" s="12" t="inlineStr">
        <is>
          <t>R2C</t>
        </is>
      </c>
      <c r="F758" s="12" t="inlineStr">
        <is>
          <t>R2C: unit / HRSG electrical e-house (32 x 40 ft)</t>
        </is>
      </c>
      <c r="G758" s="12" t="inlineStr">
        <is>
          <t>JB-BFP-3-RTD01</t>
        </is>
      </c>
      <c r="H758" s="12" t="inlineStr">
        <is>
          <t>BFP-3A/B: boiler feed pumps (13.8 kV DOL)</t>
        </is>
      </c>
      <c r="I758" s="12" t="inlineStr">
        <is>
          <t>Instrumentation</t>
        </is>
      </c>
      <c r="J758" s="12" t="inlineStr">
        <is>
          <t>RTD cable, #18 shielded triads, PLTC</t>
        </is>
      </c>
      <c r="K758" s="12" t="inlineStr">
        <is>
          <t>RTD|12 tri|18</t>
        </is>
      </c>
      <c r="L758" s="12" t="inlineStr">
        <is>
          <t>12 tri</t>
        </is>
      </c>
      <c r="M758" s="12" t="inlineStr">
        <is>
          <t>18</t>
        </is>
      </c>
      <c r="N758" s="12" t="n">
        <v>1</v>
      </c>
      <c r="O758" s="12" t="n">
        <v>1</v>
      </c>
      <c r="P758" s="12" t="n"/>
      <c r="Q758" s="12" t="n"/>
      <c r="R758" s="12" t="n"/>
      <c r="S758" s="12" t="inlineStr">
        <is>
          <t>Tray</t>
        </is>
      </c>
      <c r="T758" s="16" t="n">
        <v>481</v>
      </c>
      <c r="U758" s="16" t="n">
        <v>84</v>
      </c>
      <c r="V758" s="16">
        <f>ROUNDUP((T758+U758+2*'Read Me'!$B$13)*(1+'Read Me'!$B$12),-1)</f>
        <v/>
      </c>
      <c r="W758" s="16">
        <f>V758*N758*O758</f>
        <v/>
      </c>
      <c r="X758" s="12">
        <f>IF(LEFT(I758,2)="MV",2*N758*IF(L758="1/C",O758,1),0)</f>
        <v/>
      </c>
      <c r="Y758" s="12">
        <f>IF(OR(LEFT(K758,4)="LVAX",LEFT(K758,6)="MV15AX",LEFT(K758,4)="CTAX",LEFT(K758,2)="W|"),2*N758*O758,0)</f>
        <v/>
      </c>
      <c r="Z758" s="12" t="inlineStr"/>
      <c r="AA758" s="12">
        <f>N758*O758</f>
        <v/>
      </c>
    </row>
    <row r="759">
      <c r="A759" s="12" t="inlineStr">
        <is>
          <t>A-I-0037</t>
        </is>
      </c>
      <c r="B759" s="12" t="inlineStr">
        <is>
          <t>A</t>
        </is>
      </c>
      <c r="C759" s="12" t="inlineStr">
        <is>
          <t>Power block</t>
        </is>
      </c>
      <c r="D759" s="12" t="inlineStr">
        <is>
          <t>RTD to JB JB-BFP-3-RTD02: 10 x 1 tri (field cables)</t>
        </is>
      </c>
      <c r="E759" s="12" t="inlineStr">
        <is>
          <t>BFP-3</t>
        </is>
      </c>
      <c r="F759" s="12" t="inlineStr">
        <is>
          <t>BFP-3A/B: boiler feed pumps (13.8 kV DOL)</t>
        </is>
      </c>
      <c r="G759" s="12" t="inlineStr">
        <is>
          <t>JB-BFP-3-RTD02</t>
        </is>
      </c>
      <c r="H759" s="12" t="inlineStr">
        <is>
          <t>BFP-3A/B: boiler feed pumps (13.8 kV DOL)</t>
        </is>
      </c>
      <c r="I759" s="12" t="inlineStr">
        <is>
          <t>Instrumentation</t>
        </is>
      </c>
      <c r="J759" s="12" t="inlineStr">
        <is>
          <t>RTD cable, #18 shielded triads, PLTC</t>
        </is>
      </c>
      <c r="K759" s="12" t="inlineStr">
        <is>
          <t>RTD|1 tri|18</t>
        </is>
      </c>
      <c r="L759" s="12" t="inlineStr">
        <is>
          <t>1 tri</t>
        </is>
      </c>
      <c r="M759" s="12" t="inlineStr">
        <is>
          <t>18</t>
        </is>
      </c>
      <c r="N759" s="12" t="n">
        <v>10</v>
      </c>
      <c r="O759" s="12" t="n">
        <v>1</v>
      </c>
      <c r="P759" s="12" t="n"/>
      <c r="Q759" s="12" t="n"/>
      <c r="R759" s="12" t="n"/>
      <c r="S759" s="12" t="inlineStr">
        <is>
          <t>Tray / conduit</t>
        </is>
      </c>
      <c r="T759" s="16" t="n">
        <v>68</v>
      </c>
      <c r="U759" s="16" t="n">
        <v>10</v>
      </c>
      <c r="V759" s="16">
        <f>ROUNDUP((T759+U759+2*'Read Me'!$B$13)*(1+'Read Me'!$B$12),-1)</f>
        <v/>
      </c>
      <c r="W759" s="16">
        <f>V759*N759*O759</f>
        <v/>
      </c>
      <c r="X759" s="12">
        <f>IF(LEFT(I759,2)="MV",2*N759*IF(L759="1/C",O759,1),0)</f>
        <v/>
      </c>
      <c r="Y759" s="12">
        <f>IF(OR(LEFT(K759,4)="LVAX",LEFT(K759,6)="MV15AX",LEFT(K759,4)="CTAX",LEFT(K759,2)="W|"),2*N759*O759,0)</f>
        <v/>
      </c>
      <c r="Z759" s="12" t="inlineStr">
        <is>
          <t>device-to-JB field wiring, one cable per device</t>
        </is>
      </c>
      <c r="AA759" s="12">
        <f>N759*O759</f>
        <v/>
      </c>
    </row>
    <row r="760">
      <c r="A760" s="12" t="inlineStr">
        <is>
          <t>A-I-0038</t>
        </is>
      </c>
      <c r="B760" s="12" t="inlineStr">
        <is>
          <t>A</t>
        </is>
      </c>
      <c r="C760" s="12" t="inlineStr">
        <is>
          <t>Power block</t>
        </is>
      </c>
      <c r="D760" s="12" t="inlineStr">
        <is>
          <t>Home run JB-BFP-3-RTD02 to the control / marshalling room</t>
        </is>
      </c>
      <c r="E760" s="12" t="inlineStr">
        <is>
          <t>R2C</t>
        </is>
      </c>
      <c r="F760" s="12" t="inlineStr">
        <is>
          <t>R2C: unit / HRSG electrical e-house (32 x 40 ft)</t>
        </is>
      </c>
      <c r="G760" s="12" t="inlineStr">
        <is>
          <t>JB-BFP-3-RTD02</t>
        </is>
      </c>
      <c r="H760" s="12" t="inlineStr">
        <is>
          <t>BFP-3A/B: boiler feed pumps (13.8 kV DOL)</t>
        </is>
      </c>
      <c r="I760" s="12" t="inlineStr">
        <is>
          <t>Instrumentation</t>
        </is>
      </c>
      <c r="J760" s="12" t="inlineStr">
        <is>
          <t>RTD cable, #18 shielded triads, PLTC</t>
        </is>
      </c>
      <c r="K760" s="12" t="inlineStr">
        <is>
          <t>RTD|12 tri|18</t>
        </is>
      </c>
      <c r="L760" s="12" t="inlineStr">
        <is>
          <t>12 tri</t>
        </is>
      </c>
      <c r="M760" s="12" t="inlineStr">
        <is>
          <t>18</t>
        </is>
      </c>
      <c r="N760" s="12" t="n">
        <v>1</v>
      </c>
      <c r="O760" s="12" t="n">
        <v>1</v>
      </c>
      <c r="P760" s="12" t="n"/>
      <c r="Q760" s="12" t="n"/>
      <c r="R760" s="12" t="n"/>
      <c r="S760" s="12" t="inlineStr">
        <is>
          <t>Tray</t>
        </is>
      </c>
      <c r="T760" s="16" t="n">
        <v>481</v>
      </c>
      <c r="U760" s="16" t="n">
        <v>84</v>
      </c>
      <c r="V760" s="16">
        <f>ROUNDUP((T760+U760+2*'Read Me'!$B$13)*(1+'Read Me'!$B$12),-1)</f>
        <v/>
      </c>
      <c r="W760" s="16">
        <f>V760*N760*O760</f>
        <v/>
      </c>
      <c r="X760" s="12">
        <f>IF(LEFT(I760,2)="MV",2*N760*IF(L760="1/C",O760,1),0)</f>
        <v/>
      </c>
      <c r="Y760" s="12">
        <f>IF(OR(LEFT(K760,4)="LVAX",LEFT(K760,6)="MV15AX",LEFT(K760,4)="CTAX",LEFT(K760,2)="W|"),2*N760*O760,0)</f>
        <v/>
      </c>
      <c r="Z760" s="12" t="inlineStr"/>
      <c r="AA760" s="12">
        <f>N760*O760</f>
        <v/>
      </c>
    </row>
    <row r="761">
      <c r="A761" s="12" t="inlineStr">
        <is>
          <t>A-I-0039</t>
        </is>
      </c>
      <c r="B761" s="12" t="inlineStr">
        <is>
          <t>A</t>
        </is>
      </c>
      <c r="C761" s="12" t="inlineStr">
        <is>
          <t>Power block</t>
        </is>
      </c>
      <c r="D761" s="12" t="inlineStr">
        <is>
          <t>RTD to JB JB-BFP-3-RTD03: 4 x 1 tri (field cables)</t>
        </is>
      </c>
      <c r="E761" s="12" t="inlineStr">
        <is>
          <t>BFP-3</t>
        </is>
      </c>
      <c r="F761" s="12" t="inlineStr">
        <is>
          <t>BFP-3A/B: boiler feed pumps (13.8 kV DOL)</t>
        </is>
      </c>
      <c r="G761" s="12" t="inlineStr">
        <is>
          <t>JB-BFP-3-RTD03</t>
        </is>
      </c>
      <c r="H761" s="12" t="inlineStr">
        <is>
          <t>BFP-3A/B: boiler feed pumps (13.8 kV DOL)</t>
        </is>
      </c>
      <c r="I761" s="12" t="inlineStr">
        <is>
          <t>Instrumentation</t>
        </is>
      </c>
      <c r="J761" s="12" t="inlineStr">
        <is>
          <t>RTD cable, #18 shielded triads, PLTC</t>
        </is>
      </c>
      <c r="K761" s="12" t="inlineStr">
        <is>
          <t>RTD|1 tri|18</t>
        </is>
      </c>
      <c r="L761" s="12" t="inlineStr">
        <is>
          <t>1 tri</t>
        </is>
      </c>
      <c r="M761" s="12" t="inlineStr">
        <is>
          <t>18</t>
        </is>
      </c>
      <c r="N761" s="12" t="n">
        <v>4</v>
      </c>
      <c r="O761" s="12" t="n">
        <v>1</v>
      </c>
      <c r="P761" s="12" t="n"/>
      <c r="Q761" s="12" t="n"/>
      <c r="R761" s="12" t="n"/>
      <c r="S761" s="12" t="inlineStr">
        <is>
          <t>Tray / conduit</t>
        </is>
      </c>
      <c r="T761" s="16" t="n">
        <v>68</v>
      </c>
      <c r="U761" s="16" t="n">
        <v>10</v>
      </c>
      <c r="V761" s="16">
        <f>ROUNDUP((T761+U761+2*'Read Me'!$B$13)*(1+'Read Me'!$B$12),-1)</f>
        <v/>
      </c>
      <c r="W761" s="16">
        <f>V761*N761*O761</f>
        <v/>
      </c>
      <c r="X761" s="12">
        <f>IF(LEFT(I761,2)="MV",2*N761*IF(L761="1/C",O761,1),0)</f>
        <v/>
      </c>
      <c r="Y761" s="12">
        <f>IF(OR(LEFT(K761,4)="LVAX",LEFT(K761,6)="MV15AX",LEFT(K761,4)="CTAX",LEFT(K761,2)="W|"),2*N761*O761,0)</f>
        <v/>
      </c>
      <c r="Z761" s="12" t="inlineStr">
        <is>
          <t>device-to-JB field wiring, one cable per device</t>
        </is>
      </c>
      <c r="AA761" s="12">
        <f>N761*O761</f>
        <v/>
      </c>
    </row>
    <row r="762">
      <c r="A762" s="12" t="inlineStr">
        <is>
          <t>A-I-0040</t>
        </is>
      </c>
      <c r="B762" s="12" t="inlineStr">
        <is>
          <t>A</t>
        </is>
      </c>
      <c r="C762" s="12" t="inlineStr">
        <is>
          <t>Power block</t>
        </is>
      </c>
      <c r="D762" s="12" t="inlineStr">
        <is>
          <t>Home run JB-BFP-3-RTD03 to the control / marshalling room</t>
        </is>
      </c>
      <c r="E762" s="12" t="inlineStr">
        <is>
          <t>R2C</t>
        </is>
      </c>
      <c r="F762" s="12" t="inlineStr">
        <is>
          <t>R2C: unit / HRSG electrical e-house (32 x 40 ft)</t>
        </is>
      </c>
      <c r="G762" s="12" t="inlineStr">
        <is>
          <t>JB-BFP-3-RTD03</t>
        </is>
      </c>
      <c r="H762" s="12" t="inlineStr">
        <is>
          <t>BFP-3A/B: boiler feed pumps (13.8 kV DOL)</t>
        </is>
      </c>
      <c r="I762" s="12" t="inlineStr">
        <is>
          <t>Instrumentation</t>
        </is>
      </c>
      <c r="J762" s="12" t="inlineStr">
        <is>
          <t>RTD cable, #18 shielded triads, PLTC</t>
        </is>
      </c>
      <c r="K762" s="12" t="inlineStr">
        <is>
          <t>RTD|12 tri|18</t>
        </is>
      </c>
      <c r="L762" s="12" t="inlineStr">
        <is>
          <t>12 tri</t>
        </is>
      </c>
      <c r="M762" s="12" t="inlineStr">
        <is>
          <t>18</t>
        </is>
      </c>
      <c r="N762" s="12" t="n">
        <v>1</v>
      </c>
      <c r="O762" s="12" t="n">
        <v>1</v>
      </c>
      <c r="P762" s="12" t="n"/>
      <c r="Q762" s="12" t="n"/>
      <c r="R762" s="12" t="n"/>
      <c r="S762" s="12" t="inlineStr">
        <is>
          <t>Tray</t>
        </is>
      </c>
      <c r="T762" s="16" t="n">
        <v>481</v>
      </c>
      <c r="U762" s="16" t="n">
        <v>84</v>
      </c>
      <c r="V762" s="16">
        <f>ROUNDUP((T762+U762+2*'Read Me'!$B$13)*(1+'Read Me'!$B$12),-1)</f>
        <v/>
      </c>
      <c r="W762" s="16">
        <f>V762*N762*O762</f>
        <v/>
      </c>
      <c r="X762" s="12">
        <f>IF(LEFT(I762,2)="MV",2*N762*IF(L762="1/C",O762,1),0)</f>
        <v/>
      </c>
      <c r="Y762" s="12">
        <f>IF(OR(LEFT(K762,4)="LVAX",LEFT(K762,6)="MV15AX",LEFT(K762,4)="CTAX",LEFT(K762,2)="W|"),2*N762*O762,0)</f>
        <v/>
      </c>
      <c r="Z762" s="12" t="inlineStr"/>
      <c r="AA762" s="12">
        <f>N762*O762</f>
        <v/>
      </c>
    </row>
    <row r="763">
      <c r="A763" s="12" t="inlineStr">
        <is>
          <t>A-I-0041</t>
        </is>
      </c>
      <c r="B763" s="12" t="inlineStr">
        <is>
          <t>A</t>
        </is>
      </c>
      <c r="C763" s="12" t="inlineStr">
        <is>
          <t>Power block</t>
        </is>
      </c>
      <c r="D763" s="12" t="inlineStr">
        <is>
          <t>Analog instrument to JB JB-CEMS-1-AI01: 12 x 1 pr (field cables)</t>
        </is>
      </c>
      <c r="E763" s="12" t="inlineStr">
        <is>
          <t>CEMS-1</t>
        </is>
      </c>
      <c r="F763" s="12" t="inlineStr">
        <is>
          <t>CEMS shelter, HRSG 1</t>
        </is>
      </c>
      <c r="G763" s="12" t="inlineStr">
        <is>
          <t>JB-CEMS-1-AI01</t>
        </is>
      </c>
      <c r="H763" s="12" t="inlineStr">
        <is>
          <t>CEMS shelter, HRSG 1</t>
        </is>
      </c>
      <c r="I763" s="12" t="inlineStr">
        <is>
          <t>Instrumentation</t>
        </is>
      </c>
      <c r="J763" s="12" t="inlineStr">
        <is>
          <t>Instrumentation PLTC / TC-ER 300 V, #18 twisted shielded pairs, overall shield</t>
        </is>
      </c>
      <c r="K763" s="12" t="inlineStr">
        <is>
          <t>PLTC|1 pr|16</t>
        </is>
      </c>
      <c r="L763" s="12" t="inlineStr">
        <is>
          <t>1 pr</t>
        </is>
      </c>
      <c r="M763" s="12" t="inlineStr">
        <is>
          <t>16</t>
        </is>
      </c>
      <c r="N763" s="12" t="n">
        <v>12</v>
      </c>
      <c r="O763" s="12" t="n">
        <v>1</v>
      </c>
      <c r="P763" s="12" t="n"/>
      <c r="Q763" s="12" t="n"/>
      <c r="R763" s="12" t="n"/>
      <c r="S763" s="12" t="inlineStr">
        <is>
          <t>Tray / conduit</t>
        </is>
      </c>
      <c r="T763" s="16" t="n">
        <v>45</v>
      </c>
      <c r="U763" s="16" t="n">
        <v>10</v>
      </c>
      <c r="V763" s="16">
        <f>ROUNDUP((T763+U763+2*'Read Me'!$B$13)*(1+'Read Me'!$B$12),-1)</f>
        <v/>
      </c>
      <c r="W763" s="16">
        <f>V763*N763*O763</f>
        <v/>
      </c>
      <c r="X763" s="12">
        <f>IF(LEFT(I763,2)="MV",2*N763*IF(L763="1/C",O763,1),0)</f>
        <v/>
      </c>
      <c r="Y763" s="12">
        <f>IF(OR(LEFT(K763,4)="LVAX",LEFT(K763,6)="MV15AX",LEFT(K763,4)="CTAX",LEFT(K763,2)="W|"),2*N763*O763,0)</f>
        <v/>
      </c>
      <c r="Z763" s="12" t="inlineStr">
        <is>
          <t>device-to-JB field wiring, one cable per device</t>
        </is>
      </c>
      <c r="AA763" s="12">
        <f>N763*O763</f>
        <v/>
      </c>
    </row>
    <row r="764">
      <c r="A764" s="12" t="inlineStr">
        <is>
          <t>A-I-0042</t>
        </is>
      </c>
      <c r="B764" s="12" t="inlineStr">
        <is>
          <t>A</t>
        </is>
      </c>
      <c r="C764" s="12" t="inlineStr">
        <is>
          <t>Power block</t>
        </is>
      </c>
      <c r="D764" s="12" t="inlineStr">
        <is>
          <t>Home run JB-CEMS-1-AI01 to the control / marshalling room</t>
        </is>
      </c>
      <c r="E764" s="12" t="inlineStr">
        <is>
          <t>R2A</t>
        </is>
      </c>
      <c r="F764" s="12" t="inlineStr">
        <is>
          <t>R2A: unit / HRSG electrical e-house (32 x 40 ft)</t>
        </is>
      </c>
      <c r="G764" s="12" t="inlineStr">
        <is>
          <t>JB-CEMS-1-AI01</t>
        </is>
      </c>
      <c r="H764" s="12" t="inlineStr">
        <is>
          <t>CEMS shelter, HRSG 1</t>
        </is>
      </c>
      <c r="I764" s="12" t="inlineStr">
        <is>
          <t>Instrumentation</t>
        </is>
      </c>
      <c r="J764" s="12" t="inlineStr">
        <is>
          <t>Instrumentation PLTC / TC-ER 300 V, #18 twisted shielded pairs, overall shield</t>
        </is>
      </c>
      <c r="K764" s="12" t="inlineStr">
        <is>
          <t>PLTC|24 pr|18</t>
        </is>
      </c>
      <c r="L764" s="12" t="inlineStr">
        <is>
          <t>24 pr</t>
        </is>
      </c>
      <c r="M764" s="12" t="inlineStr">
        <is>
          <t>18</t>
        </is>
      </c>
      <c r="N764" s="12" t="n">
        <v>1</v>
      </c>
      <c r="O764" s="12" t="n">
        <v>1</v>
      </c>
      <c r="P764" s="12" t="n"/>
      <c r="Q764" s="12" t="n"/>
      <c r="R764" s="12" t="n"/>
      <c r="S764" s="12" t="inlineStr">
        <is>
          <t>Tray</t>
        </is>
      </c>
      <c r="T764" s="16" t="n">
        <v>277</v>
      </c>
      <c r="U764" s="16" t="n">
        <v>97</v>
      </c>
      <c r="V764" s="16">
        <f>ROUNDUP((T764+U764+2*'Read Me'!$B$13)*(1+'Read Me'!$B$12),-1)</f>
        <v/>
      </c>
      <c r="W764" s="16">
        <f>V764*N764*O764</f>
        <v/>
      </c>
      <c r="X764" s="12">
        <f>IF(LEFT(I764,2)="MV",2*N764*IF(L764="1/C",O764,1),0)</f>
        <v/>
      </c>
      <c r="Y764" s="12">
        <f>IF(OR(LEFT(K764,4)="LVAX",LEFT(K764,6)="MV15AX",LEFT(K764,4)="CTAX",LEFT(K764,2)="W|"),2*N764*O764,0)</f>
        <v/>
      </c>
      <c r="Z764" s="12" t="inlineStr"/>
      <c r="AA764" s="12">
        <f>N764*O764</f>
        <v/>
      </c>
    </row>
    <row r="765">
      <c r="A765" s="12" t="inlineStr">
        <is>
          <t>A-I-0043</t>
        </is>
      </c>
      <c r="B765" s="12" t="inlineStr">
        <is>
          <t>A</t>
        </is>
      </c>
      <c r="C765" s="12" t="inlineStr">
        <is>
          <t>Power block</t>
        </is>
      </c>
      <c r="D765" s="12" t="inlineStr">
        <is>
          <t>Discrete device to JB JB-CEMS-1-DI01: 10 x 1 pr (field cables)</t>
        </is>
      </c>
      <c r="E765" s="12" t="inlineStr">
        <is>
          <t>CEMS-1</t>
        </is>
      </c>
      <c r="F765" s="12" t="inlineStr">
        <is>
          <t>CEMS shelter, HRSG 1</t>
        </is>
      </c>
      <c r="G765" s="12" t="inlineStr">
        <is>
          <t>JB-CEMS-1-DI01</t>
        </is>
      </c>
      <c r="H765" s="12" t="inlineStr">
        <is>
          <t>CEMS shelter, HRSG 1</t>
        </is>
      </c>
      <c r="I765" s="12" t="inlineStr">
        <is>
          <t>Instrumentation</t>
        </is>
      </c>
      <c r="J765" s="12" t="inlineStr">
        <is>
          <t>Instrumentation PLTC / TC-ER 300 V, #18 twisted shielded pairs, overall shield</t>
        </is>
      </c>
      <c r="K765" s="12" t="inlineStr">
        <is>
          <t>PLTC|1 pr|16</t>
        </is>
      </c>
      <c r="L765" s="12" t="inlineStr">
        <is>
          <t>1 pr</t>
        </is>
      </c>
      <c r="M765" s="12" t="inlineStr">
        <is>
          <t>16</t>
        </is>
      </c>
      <c r="N765" s="12" t="n">
        <v>10</v>
      </c>
      <c r="O765" s="12" t="n">
        <v>1</v>
      </c>
      <c r="P765" s="12" t="n"/>
      <c r="Q765" s="12" t="n"/>
      <c r="R765" s="12" t="n"/>
      <c r="S765" s="12" t="inlineStr">
        <is>
          <t>Tray / conduit</t>
        </is>
      </c>
      <c r="T765" s="16" t="n">
        <v>45</v>
      </c>
      <c r="U765" s="16" t="n">
        <v>10</v>
      </c>
      <c r="V765" s="16">
        <f>ROUNDUP((T765+U765+2*'Read Me'!$B$13)*(1+'Read Me'!$B$12),-1)</f>
        <v/>
      </c>
      <c r="W765" s="16">
        <f>V765*N765*O765</f>
        <v/>
      </c>
      <c r="X765" s="12">
        <f>IF(LEFT(I765,2)="MV",2*N765*IF(L765="1/C",O765,1),0)</f>
        <v/>
      </c>
      <c r="Y765" s="12">
        <f>IF(OR(LEFT(K765,4)="LVAX",LEFT(K765,6)="MV15AX",LEFT(K765,4)="CTAX",LEFT(K765,2)="W|"),2*N765*O765,0)</f>
        <v/>
      </c>
      <c r="Z765" s="12" t="inlineStr">
        <is>
          <t>device-to-JB field wiring, one cable per device</t>
        </is>
      </c>
      <c r="AA765" s="12">
        <f>N765*O765</f>
        <v/>
      </c>
    </row>
    <row r="766">
      <c r="A766" s="12" t="inlineStr">
        <is>
          <t>A-I-0044</t>
        </is>
      </c>
      <c r="B766" s="12" t="inlineStr">
        <is>
          <t>A</t>
        </is>
      </c>
      <c r="C766" s="12" t="inlineStr">
        <is>
          <t>Power block</t>
        </is>
      </c>
      <c r="D766" s="12" t="inlineStr">
        <is>
          <t>Home run JB-CEMS-1-DI01 to the control / marshalling room</t>
        </is>
      </c>
      <c r="E766" s="12" t="inlineStr">
        <is>
          <t>R2A</t>
        </is>
      </c>
      <c r="F766" s="12" t="inlineStr">
        <is>
          <t>R2A: unit / HRSG electrical e-house (32 x 40 ft)</t>
        </is>
      </c>
      <c r="G766" s="12" t="inlineStr">
        <is>
          <t>JB-CEMS-1-DI01</t>
        </is>
      </c>
      <c r="H766" s="12" t="inlineStr">
        <is>
          <t>CEMS shelter, HRSG 1</t>
        </is>
      </c>
      <c r="I766" s="12" t="inlineStr">
        <is>
          <t>Instrumentation</t>
        </is>
      </c>
      <c r="J766" s="12" t="inlineStr">
        <is>
          <t>Instrumentation PLTC / TC-ER 300 V, #18 twisted shielded pairs, overall shield</t>
        </is>
      </c>
      <c r="K766" s="12" t="inlineStr">
        <is>
          <t>PLTC|24 pr|18</t>
        </is>
      </c>
      <c r="L766" s="12" t="inlineStr">
        <is>
          <t>24 pr</t>
        </is>
      </c>
      <c r="M766" s="12" t="inlineStr">
        <is>
          <t>18</t>
        </is>
      </c>
      <c r="N766" s="12" t="n">
        <v>1</v>
      </c>
      <c r="O766" s="12" t="n">
        <v>1</v>
      </c>
      <c r="P766" s="12" t="n"/>
      <c r="Q766" s="12" t="n"/>
      <c r="R766" s="12" t="n"/>
      <c r="S766" s="12" t="inlineStr">
        <is>
          <t>Tray</t>
        </is>
      </c>
      <c r="T766" s="16" t="n">
        <v>277</v>
      </c>
      <c r="U766" s="16" t="n">
        <v>97</v>
      </c>
      <c r="V766" s="16">
        <f>ROUNDUP((T766+U766+2*'Read Me'!$B$13)*(1+'Read Me'!$B$12),-1)</f>
        <v/>
      </c>
      <c r="W766" s="16">
        <f>V766*N766*O766</f>
        <v/>
      </c>
      <c r="X766" s="12">
        <f>IF(LEFT(I766,2)="MV",2*N766*IF(L766="1/C",O766,1),0)</f>
        <v/>
      </c>
      <c r="Y766" s="12">
        <f>IF(OR(LEFT(K766,4)="LVAX",LEFT(K766,6)="MV15AX",LEFT(K766,4)="CTAX",LEFT(K766,2)="W|"),2*N766*O766,0)</f>
        <v/>
      </c>
      <c r="Z766" s="12" t="inlineStr"/>
      <c r="AA766" s="12">
        <f>N766*O766</f>
        <v/>
      </c>
    </row>
    <row r="767">
      <c r="A767" s="12" t="inlineStr">
        <is>
          <t>A-I-0045</t>
        </is>
      </c>
      <c r="B767" s="12" t="inlineStr">
        <is>
          <t>A</t>
        </is>
      </c>
      <c r="C767" s="12" t="inlineStr">
        <is>
          <t>Power block</t>
        </is>
      </c>
      <c r="D767" s="12" t="inlineStr">
        <is>
          <t>Analog instrument to JB JB-CEMS-2-AI01: 12 x 1 pr (field cables)</t>
        </is>
      </c>
      <c r="E767" s="12" t="inlineStr">
        <is>
          <t>CEMS-2</t>
        </is>
      </c>
      <c r="F767" s="12" t="inlineStr">
        <is>
          <t>CEMS shelter, HRSG 2</t>
        </is>
      </c>
      <c r="G767" s="12" t="inlineStr">
        <is>
          <t>JB-CEMS-2-AI01</t>
        </is>
      </c>
      <c r="H767" s="12" t="inlineStr">
        <is>
          <t>CEMS shelter, HRSG 2</t>
        </is>
      </c>
      <c r="I767" s="12" t="inlineStr">
        <is>
          <t>Instrumentation</t>
        </is>
      </c>
      <c r="J767" s="12" t="inlineStr">
        <is>
          <t>Instrumentation PLTC / TC-ER 300 V, #18 twisted shielded pairs, overall shield</t>
        </is>
      </c>
      <c r="K767" s="12" t="inlineStr">
        <is>
          <t>PLTC|1 pr|16</t>
        </is>
      </c>
      <c r="L767" s="12" t="inlineStr">
        <is>
          <t>1 pr</t>
        </is>
      </c>
      <c r="M767" s="12" t="inlineStr">
        <is>
          <t>16</t>
        </is>
      </c>
      <c r="N767" s="12" t="n">
        <v>12</v>
      </c>
      <c r="O767" s="12" t="n">
        <v>1</v>
      </c>
      <c r="P767" s="12" t="n"/>
      <c r="Q767" s="12" t="n"/>
      <c r="R767" s="12" t="n"/>
      <c r="S767" s="12" t="inlineStr">
        <is>
          <t>Tray / conduit</t>
        </is>
      </c>
      <c r="T767" s="16" t="n">
        <v>45</v>
      </c>
      <c r="U767" s="16" t="n">
        <v>10</v>
      </c>
      <c r="V767" s="16">
        <f>ROUNDUP((T767+U767+2*'Read Me'!$B$13)*(1+'Read Me'!$B$12),-1)</f>
        <v/>
      </c>
      <c r="W767" s="16">
        <f>V767*N767*O767</f>
        <v/>
      </c>
      <c r="X767" s="12">
        <f>IF(LEFT(I767,2)="MV",2*N767*IF(L767="1/C",O767,1),0)</f>
        <v/>
      </c>
      <c r="Y767" s="12">
        <f>IF(OR(LEFT(K767,4)="LVAX",LEFT(K767,6)="MV15AX",LEFT(K767,4)="CTAX",LEFT(K767,2)="W|"),2*N767*O767,0)</f>
        <v/>
      </c>
      <c r="Z767" s="12" t="inlineStr">
        <is>
          <t>device-to-JB field wiring, one cable per device</t>
        </is>
      </c>
      <c r="AA767" s="12">
        <f>N767*O767</f>
        <v/>
      </c>
    </row>
    <row r="768">
      <c r="A768" s="12" t="inlineStr">
        <is>
          <t>A-I-0046</t>
        </is>
      </c>
      <c r="B768" s="12" t="inlineStr">
        <is>
          <t>A</t>
        </is>
      </c>
      <c r="C768" s="12" t="inlineStr">
        <is>
          <t>Power block</t>
        </is>
      </c>
      <c r="D768" s="12" t="inlineStr">
        <is>
          <t>Home run JB-CEMS-2-AI01 to the control / marshalling room</t>
        </is>
      </c>
      <c r="E768" s="12" t="inlineStr">
        <is>
          <t>R2B</t>
        </is>
      </c>
      <c r="F768" s="12" t="inlineStr">
        <is>
          <t>R2B: unit / HRSG electrical e-house (32 x 40 ft)</t>
        </is>
      </c>
      <c r="G768" s="12" t="inlineStr">
        <is>
          <t>JB-CEMS-2-AI01</t>
        </is>
      </c>
      <c r="H768" s="12" t="inlineStr">
        <is>
          <t>CEMS shelter, HRSG 2</t>
        </is>
      </c>
      <c r="I768" s="12" t="inlineStr">
        <is>
          <t>Instrumentation</t>
        </is>
      </c>
      <c r="J768" s="12" t="inlineStr">
        <is>
          <t>Instrumentation PLTC / TC-ER 300 V, #18 twisted shielded pairs, overall shield</t>
        </is>
      </c>
      <c r="K768" s="12" t="inlineStr">
        <is>
          <t>PLTC|24 pr|18</t>
        </is>
      </c>
      <c r="L768" s="12" t="inlineStr">
        <is>
          <t>24 pr</t>
        </is>
      </c>
      <c r="M768" s="12" t="inlineStr">
        <is>
          <t>18</t>
        </is>
      </c>
      <c r="N768" s="12" t="n">
        <v>1</v>
      </c>
      <c r="O768" s="12" t="n">
        <v>1</v>
      </c>
      <c r="P768" s="12" t="n"/>
      <c r="Q768" s="12" t="n"/>
      <c r="R768" s="12" t="n"/>
      <c r="S768" s="12" t="inlineStr">
        <is>
          <t>Tray</t>
        </is>
      </c>
      <c r="T768" s="16" t="n">
        <v>273</v>
      </c>
      <c r="U768" s="16" t="n">
        <v>93</v>
      </c>
      <c r="V768" s="16">
        <f>ROUNDUP((T768+U768+2*'Read Me'!$B$13)*(1+'Read Me'!$B$12),-1)</f>
        <v/>
      </c>
      <c r="W768" s="16">
        <f>V768*N768*O768</f>
        <v/>
      </c>
      <c r="X768" s="12">
        <f>IF(LEFT(I768,2)="MV",2*N768*IF(L768="1/C",O768,1),0)</f>
        <v/>
      </c>
      <c r="Y768" s="12">
        <f>IF(OR(LEFT(K768,4)="LVAX",LEFT(K768,6)="MV15AX",LEFT(K768,4)="CTAX",LEFT(K768,2)="W|"),2*N768*O768,0)</f>
        <v/>
      </c>
      <c r="Z768" s="12" t="inlineStr"/>
      <c r="AA768" s="12">
        <f>N768*O768</f>
        <v/>
      </c>
    </row>
    <row r="769">
      <c r="A769" s="12" t="inlineStr">
        <is>
          <t>A-I-0047</t>
        </is>
      </c>
      <c r="B769" s="12" t="inlineStr">
        <is>
          <t>A</t>
        </is>
      </c>
      <c r="C769" s="12" t="inlineStr">
        <is>
          <t>Power block</t>
        </is>
      </c>
      <c r="D769" s="12" t="inlineStr">
        <is>
          <t>Discrete device to JB JB-CEMS-2-DI01: 10 x 1 pr (field cables)</t>
        </is>
      </c>
      <c r="E769" s="12" t="inlineStr">
        <is>
          <t>CEMS-2</t>
        </is>
      </c>
      <c r="F769" s="12" t="inlineStr">
        <is>
          <t>CEMS shelter, HRSG 2</t>
        </is>
      </c>
      <c r="G769" s="12" t="inlineStr">
        <is>
          <t>JB-CEMS-2-DI01</t>
        </is>
      </c>
      <c r="H769" s="12" t="inlineStr">
        <is>
          <t>CEMS shelter, HRSG 2</t>
        </is>
      </c>
      <c r="I769" s="12" t="inlineStr">
        <is>
          <t>Instrumentation</t>
        </is>
      </c>
      <c r="J769" s="12" t="inlineStr">
        <is>
          <t>Instrumentation PLTC / TC-ER 300 V, #18 twisted shielded pairs, overall shield</t>
        </is>
      </c>
      <c r="K769" s="12" t="inlineStr">
        <is>
          <t>PLTC|1 pr|16</t>
        </is>
      </c>
      <c r="L769" s="12" t="inlineStr">
        <is>
          <t>1 pr</t>
        </is>
      </c>
      <c r="M769" s="12" t="inlineStr">
        <is>
          <t>16</t>
        </is>
      </c>
      <c r="N769" s="12" t="n">
        <v>10</v>
      </c>
      <c r="O769" s="12" t="n">
        <v>1</v>
      </c>
      <c r="P769" s="12" t="n"/>
      <c r="Q769" s="12" t="n"/>
      <c r="R769" s="12" t="n"/>
      <c r="S769" s="12" t="inlineStr">
        <is>
          <t>Tray / conduit</t>
        </is>
      </c>
      <c r="T769" s="16" t="n">
        <v>45</v>
      </c>
      <c r="U769" s="16" t="n">
        <v>10</v>
      </c>
      <c r="V769" s="16">
        <f>ROUNDUP((T769+U769+2*'Read Me'!$B$13)*(1+'Read Me'!$B$12),-1)</f>
        <v/>
      </c>
      <c r="W769" s="16">
        <f>V769*N769*O769</f>
        <v/>
      </c>
      <c r="X769" s="12">
        <f>IF(LEFT(I769,2)="MV",2*N769*IF(L769="1/C",O769,1),0)</f>
        <v/>
      </c>
      <c r="Y769" s="12">
        <f>IF(OR(LEFT(K769,4)="LVAX",LEFT(K769,6)="MV15AX",LEFT(K769,4)="CTAX",LEFT(K769,2)="W|"),2*N769*O769,0)</f>
        <v/>
      </c>
      <c r="Z769" s="12" t="inlineStr">
        <is>
          <t>device-to-JB field wiring, one cable per device</t>
        </is>
      </c>
      <c r="AA769" s="12">
        <f>N769*O769</f>
        <v/>
      </c>
    </row>
    <row r="770">
      <c r="A770" s="12" t="inlineStr">
        <is>
          <t>A-I-0048</t>
        </is>
      </c>
      <c r="B770" s="12" t="inlineStr">
        <is>
          <t>A</t>
        </is>
      </c>
      <c r="C770" s="12" t="inlineStr">
        <is>
          <t>Power block</t>
        </is>
      </c>
      <c r="D770" s="12" t="inlineStr">
        <is>
          <t>Home run JB-CEMS-2-DI01 to the control / marshalling room</t>
        </is>
      </c>
      <c r="E770" s="12" t="inlineStr">
        <is>
          <t>R2B</t>
        </is>
      </c>
      <c r="F770" s="12" t="inlineStr">
        <is>
          <t>R2B: unit / HRSG electrical e-house (32 x 40 ft)</t>
        </is>
      </c>
      <c r="G770" s="12" t="inlineStr">
        <is>
          <t>JB-CEMS-2-DI01</t>
        </is>
      </c>
      <c r="H770" s="12" t="inlineStr">
        <is>
          <t>CEMS shelter, HRSG 2</t>
        </is>
      </c>
      <c r="I770" s="12" t="inlineStr">
        <is>
          <t>Instrumentation</t>
        </is>
      </c>
      <c r="J770" s="12" t="inlineStr">
        <is>
          <t>Instrumentation PLTC / TC-ER 300 V, #18 twisted shielded pairs, overall shield</t>
        </is>
      </c>
      <c r="K770" s="12" t="inlineStr">
        <is>
          <t>PLTC|24 pr|18</t>
        </is>
      </c>
      <c r="L770" s="12" t="inlineStr">
        <is>
          <t>24 pr</t>
        </is>
      </c>
      <c r="M770" s="12" t="inlineStr">
        <is>
          <t>18</t>
        </is>
      </c>
      <c r="N770" s="12" t="n">
        <v>1</v>
      </c>
      <c r="O770" s="12" t="n">
        <v>1</v>
      </c>
      <c r="P770" s="12" t="n"/>
      <c r="Q770" s="12" t="n"/>
      <c r="R770" s="12" t="n"/>
      <c r="S770" s="12" t="inlineStr">
        <is>
          <t>Tray</t>
        </is>
      </c>
      <c r="T770" s="16" t="n">
        <v>273</v>
      </c>
      <c r="U770" s="16" t="n">
        <v>93</v>
      </c>
      <c r="V770" s="16">
        <f>ROUNDUP((T770+U770+2*'Read Me'!$B$13)*(1+'Read Me'!$B$12),-1)</f>
        <v/>
      </c>
      <c r="W770" s="16">
        <f>V770*N770*O770</f>
        <v/>
      </c>
      <c r="X770" s="12">
        <f>IF(LEFT(I770,2)="MV",2*N770*IF(L770="1/C",O770,1),0)</f>
        <v/>
      </c>
      <c r="Y770" s="12">
        <f>IF(OR(LEFT(K770,4)="LVAX",LEFT(K770,6)="MV15AX",LEFT(K770,4)="CTAX",LEFT(K770,2)="W|"),2*N770*O770,0)</f>
        <v/>
      </c>
      <c r="Z770" s="12" t="inlineStr"/>
      <c r="AA770" s="12">
        <f>N770*O770</f>
        <v/>
      </c>
    </row>
    <row r="771">
      <c r="A771" s="12" t="inlineStr">
        <is>
          <t>A-I-0049</t>
        </is>
      </c>
      <c r="B771" s="12" t="inlineStr">
        <is>
          <t>A</t>
        </is>
      </c>
      <c r="C771" s="12" t="inlineStr">
        <is>
          <t>Power block</t>
        </is>
      </c>
      <c r="D771" s="12" t="inlineStr">
        <is>
          <t>Analog instrument to JB JB-CEMS-3-AI01: 12 x 1 pr (field cables)</t>
        </is>
      </c>
      <c r="E771" s="12" t="inlineStr">
        <is>
          <t>CEMS-3</t>
        </is>
      </c>
      <c r="F771" s="12" t="inlineStr">
        <is>
          <t>CEMS shelter, HRSG 3</t>
        </is>
      </c>
      <c r="G771" s="12" t="inlineStr">
        <is>
          <t>JB-CEMS-3-AI01</t>
        </is>
      </c>
      <c r="H771" s="12" t="inlineStr">
        <is>
          <t>CEMS shelter, HRSG 3</t>
        </is>
      </c>
      <c r="I771" s="12" t="inlineStr">
        <is>
          <t>Instrumentation</t>
        </is>
      </c>
      <c r="J771" s="12" t="inlineStr">
        <is>
          <t>Instrumentation PLTC / TC-ER 300 V, #18 twisted shielded pairs, overall shield</t>
        </is>
      </c>
      <c r="K771" s="12" t="inlineStr">
        <is>
          <t>PLTC|1 pr|16</t>
        </is>
      </c>
      <c r="L771" s="12" t="inlineStr">
        <is>
          <t>1 pr</t>
        </is>
      </c>
      <c r="M771" s="12" t="inlineStr">
        <is>
          <t>16</t>
        </is>
      </c>
      <c r="N771" s="12" t="n">
        <v>12</v>
      </c>
      <c r="O771" s="12" t="n">
        <v>1</v>
      </c>
      <c r="P771" s="12" t="n"/>
      <c r="Q771" s="12" t="n"/>
      <c r="R771" s="12" t="n"/>
      <c r="S771" s="12" t="inlineStr">
        <is>
          <t>Tray / conduit</t>
        </is>
      </c>
      <c r="T771" s="16" t="n">
        <v>45</v>
      </c>
      <c r="U771" s="16" t="n">
        <v>10</v>
      </c>
      <c r="V771" s="16">
        <f>ROUNDUP((T771+U771+2*'Read Me'!$B$13)*(1+'Read Me'!$B$12),-1)</f>
        <v/>
      </c>
      <c r="W771" s="16">
        <f>V771*N771*O771</f>
        <v/>
      </c>
      <c r="X771" s="12">
        <f>IF(LEFT(I771,2)="MV",2*N771*IF(L771="1/C",O771,1),0)</f>
        <v/>
      </c>
      <c r="Y771" s="12">
        <f>IF(OR(LEFT(K771,4)="LVAX",LEFT(K771,6)="MV15AX",LEFT(K771,4)="CTAX",LEFT(K771,2)="W|"),2*N771*O771,0)</f>
        <v/>
      </c>
      <c r="Z771" s="12" t="inlineStr">
        <is>
          <t>device-to-JB field wiring, one cable per device</t>
        </is>
      </c>
      <c r="AA771" s="12">
        <f>N771*O771</f>
        <v/>
      </c>
    </row>
    <row r="772">
      <c r="A772" s="12" t="inlineStr">
        <is>
          <t>A-I-0050</t>
        </is>
      </c>
      <c r="B772" s="12" t="inlineStr">
        <is>
          <t>A</t>
        </is>
      </c>
      <c r="C772" s="12" t="inlineStr">
        <is>
          <t>Power block</t>
        </is>
      </c>
      <c r="D772" s="12" t="inlineStr">
        <is>
          <t>Home run JB-CEMS-3-AI01 to the control / marshalling room</t>
        </is>
      </c>
      <c r="E772" s="12" t="inlineStr">
        <is>
          <t>R2C</t>
        </is>
      </c>
      <c r="F772" s="12" t="inlineStr">
        <is>
          <t>R2C: unit / HRSG electrical e-house (32 x 40 ft)</t>
        </is>
      </c>
      <c r="G772" s="12" t="inlineStr">
        <is>
          <t>JB-CEMS-3-AI01</t>
        </is>
      </c>
      <c r="H772" s="12" t="inlineStr">
        <is>
          <t>CEMS shelter, HRSG 3</t>
        </is>
      </c>
      <c r="I772" s="12" t="inlineStr">
        <is>
          <t>Instrumentation</t>
        </is>
      </c>
      <c r="J772" s="12" t="inlineStr">
        <is>
          <t>Instrumentation PLTC / TC-ER 300 V, #18 twisted shielded pairs, overall shield</t>
        </is>
      </c>
      <c r="K772" s="12" t="inlineStr">
        <is>
          <t>PLTC|24 pr|18</t>
        </is>
      </c>
      <c r="L772" s="12" t="inlineStr">
        <is>
          <t>24 pr</t>
        </is>
      </c>
      <c r="M772" s="12" t="inlineStr">
        <is>
          <t>18</t>
        </is>
      </c>
      <c r="N772" s="12" t="n">
        <v>1</v>
      </c>
      <c r="O772" s="12" t="n">
        <v>1</v>
      </c>
      <c r="P772" s="12" t="n"/>
      <c r="Q772" s="12" t="n"/>
      <c r="R772" s="12" t="n"/>
      <c r="S772" s="12" t="inlineStr">
        <is>
          <t>Tray</t>
        </is>
      </c>
      <c r="T772" s="16" t="n">
        <v>277</v>
      </c>
      <c r="U772" s="16" t="n">
        <v>97</v>
      </c>
      <c r="V772" s="16">
        <f>ROUNDUP((T772+U772+2*'Read Me'!$B$13)*(1+'Read Me'!$B$12),-1)</f>
        <v/>
      </c>
      <c r="W772" s="16">
        <f>V772*N772*O772</f>
        <v/>
      </c>
      <c r="X772" s="12">
        <f>IF(LEFT(I772,2)="MV",2*N772*IF(L772="1/C",O772,1),0)</f>
        <v/>
      </c>
      <c r="Y772" s="12">
        <f>IF(OR(LEFT(K772,4)="LVAX",LEFT(K772,6)="MV15AX",LEFT(K772,4)="CTAX",LEFT(K772,2)="W|"),2*N772*O772,0)</f>
        <v/>
      </c>
      <c r="Z772" s="12" t="inlineStr"/>
      <c r="AA772" s="12">
        <f>N772*O772</f>
        <v/>
      </c>
    </row>
    <row r="773">
      <c r="A773" s="12" t="inlineStr">
        <is>
          <t>A-I-0051</t>
        </is>
      </c>
      <c r="B773" s="12" t="inlineStr">
        <is>
          <t>A</t>
        </is>
      </c>
      <c r="C773" s="12" t="inlineStr">
        <is>
          <t>Power block</t>
        </is>
      </c>
      <c r="D773" s="12" t="inlineStr">
        <is>
          <t>Discrete device to JB JB-CEMS-3-DI01: 10 x 1 pr (field cables)</t>
        </is>
      </c>
      <c r="E773" s="12" t="inlineStr">
        <is>
          <t>CEMS-3</t>
        </is>
      </c>
      <c r="F773" s="12" t="inlineStr">
        <is>
          <t>CEMS shelter, HRSG 3</t>
        </is>
      </c>
      <c r="G773" s="12" t="inlineStr">
        <is>
          <t>JB-CEMS-3-DI01</t>
        </is>
      </c>
      <c r="H773" s="12" t="inlineStr">
        <is>
          <t>CEMS shelter, HRSG 3</t>
        </is>
      </c>
      <c r="I773" s="12" t="inlineStr">
        <is>
          <t>Instrumentation</t>
        </is>
      </c>
      <c r="J773" s="12" t="inlineStr">
        <is>
          <t>Instrumentation PLTC / TC-ER 300 V, #18 twisted shielded pairs, overall shield</t>
        </is>
      </c>
      <c r="K773" s="12" t="inlineStr">
        <is>
          <t>PLTC|1 pr|16</t>
        </is>
      </c>
      <c r="L773" s="12" t="inlineStr">
        <is>
          <t>1 pr</t>
        </is>
      </c>
      <c r="M773" s="12" t="inlineStr">
        <is>
          <t>16</t>
        </is>
      </c>
      <c r="N773" s="12" t="n">
        <v>10</v>
      </c>
      <c r="O773" s="12" t="n">
        <v>1</v>
      </c>
      <c r="P773" s="12" t="n"/>
      <c r="Q773" s="12" t="n"/>
      <c r="R773" s="12" t="n"/>
      <c r="S773" s="12" t="inlineStr">
        <is>
          <t>Tray / conduit</t>
        </is>
      </c>
      <c r="T773" s="16" t="n">
        <v>45</v>
      </c>
      <c r="U773" s="16" t="n">
        <v>10</v>
      </c>
      <c r="V773" s="16">
        <f>ROUNDUP((T773+U773+2*'Read Me'!$B$13)*(1+'Read Me'!$B$12),-1)</f>
        <v/>
      </c>
      <c r="W773" s="16">
        <f>V773*N773*O773</f>
        <v/>
      </c>
      <c r="X773" s="12">
        <f>IF(LEFT(I773,2)="MV",2*N773*IF(L773="1/C",O773,1),0)</f>
        <v/>
      </c>
      <c r="Y773" s="12">
        <f>IF(OR(LEFT(K773,4)="LVAX",LEFT(K773,6)="MV15AX",LEFT(K773,4)="CTAX",LEFT(K773,2)="W|"),2*N773*O773,0)</f>
        <v/>
      </c>
      <c r="Z773" s="12" t="inlineStr">
        <is>
          <t>device-to-JB field wiring, one cable per device</t>
        </is>
      </c>
      <c r="AA773" s="12">
        <f>N773*O773</f>
        <v/>
      </c>
    </row>
    <row r="774">
      <c r="A774" s="12" t="inlineStr">
        <is>
          <t>A-I-0052</t>
        </is>
      </c>
      <c r="B774" s="12" t="inlineStr">
        <is>
          <t>A</t>
        </is>
      </c>
      <c r="C774" s="12" t="inlineStr">
        <is>
          <t>Power block</t>
        </is>
      </c>
      <c r="D774" s="12" t="inlineStr">
        <is>
          <t>Home run JB-CEMS-3-DI01 to the control / marshalling room</t>
        </is>
      </c>
      <c r="E774" s="12" t="inlineStr">
        <is>
          <t>R2C</t>
        </is>
      </c>
      <c r="F774" s="12" t="inlineStr">
        <is>
          <t>R2C: unit / HRSG electrical e-house (32 x 40 ft)</t>
        </is>
      </c>
      <c r="G774" s="12" t="inlineStr">
        <is>
          <t>JB-CEMS-3-DI01</t>
        </is>
      </c>
      <c r="H774" s="12" t="inlineStr">
        <is>
          <t>CEMS shelter, HRSG 3</t>
        </is>
      </c>
      <c r="I774" s="12" t="inlineStr">
        <is>
          <t>Instrumentation</t>
        </is>
      </c>
      <c r="J774" s="12" t="inlineStr">
        <is>
          <t>Instrumentation PLTC / TC-ER 300 V, #18 twisted shielded pairs, overall shield</t>
        </is>
      </c>
      <c r="K774" s="12" t="inlineStr">
        <is>
          <t>PLTC|24 pr|18</t>
        </is>
      </c>
      <c r="L774" s="12" t="inlineStr">
        <is>
          <t>24 pr</t>
        </is>
      </c>
      <c r="M774" s="12" t="inlineStr">
        <is>
          <t>18</t>
        </is>
      </c>
      <c r="N774" s="12" t="n">
        <v>1</v>
      </c>
      <c r="O774" s="12" t="n">
        <v>1</v>
      </c>
      <c r="P774" s="12" t="n"/>
      <c r="Q774" s="12" t="n"/>
      <c r="R774" s="12" t="n"/>
      <c r="S774" s="12" t="inlineStr">
        <is>
          <t>Tray</t>
        </is>
      </c>
      <c r="T774" s="16" t="n">
        <v>277</v>
      </c>
      <c r="U774" s="16" t="n">
        <v>97</v>
      </c>
      <c r="V774" s="16">
        <f>ROUNDUP((T774+U774+2*'Read Me'!$B$13)*(1+'Read Me'!$B$12),-1)</f>
        <v/>
      </c>
      <c r="W774" s="16">
        <f>V774*N774*O774</f>
        <v/>
      </c>
      <c r="X774" s="12">
        <f>IF(LEFT(I774,2)="MV",2*N774*IF(L774="1/C",O774,1),0)</f>
        <v/>
      </c>
      <c r="Y774" s="12">
        <f>IF(OR(LEFT(K774,4)="LVAX",LEFT(K774,6)="MV15AX",LEFT(K774,4)="CTAX",LEFT(K774,2)="W|"),2*N774*O774,0)</f>
        <v/>
      </c>
      <c r="Z774" s="12" t="inlineStr"/>
      <c r="AA774" s="12">
        <f>N774*O774</f>
        <v/>
      </c>
    </row>
    <row r="775">
      <c r="A775" s="12" t="inlineStr">
        <is>
          <t>A-I-0053</t>
        </is>
      </c>
      <c r="B775" s="12" t="inlineStr">
        <is>
          <t>A</t>
        </is>
      </c>
      <c r="C775" s="12" t="inlineStr">
        <is>
          <t>Power block</t>
        </is>
      </c>
      <c r="D775" s="12" t="inlineStr">
        <is>
          <t>Analog instrument to JB JB-Chem feed-AI01: 8 x 1 pr (field cables)</t>
        </is>
      </c>
      <c r="E775" s="12" t="inlineStr">
        <is>
          <t>Chem feed</t>
        </is>
      </c>
      <c r="F775" s="12" t="inlineStr">
        <is>
          <t>Chemical feed</t>
        </is>
      </c>
      <c r="G775" s="12" t="inlineStr">
        <is>
          <t>JB-Chem feed-AI01</t>
        </is>
      </c>
      <c r="H775" s="12" t="inlineStr">
        <is>
          <t>Chemical feed</t>
        </is>
      </c>
      <c r="I775" s="12" t="inlineStr">
        <is>
          <t>Instrumentation</t>
        </is>
      </c>
      <c r="J775" s="12" t="inlineStr">
        <is>
          <t>Instrumentation PLTC / TC-ER 300 V, #18 twisted shielded pairs, overall shield</t>
        </is>
      </c>
      <c r="K775" s="12" t="inlineStr">
        <is>
          <t>PLTC|1 pr|16</t>
        </is>
      </c>
      <c r="L775" s="12" t="inlineStr">
        <is>
          <t>1 pr</t>
        </is>
      </c>
      <c r="M775" s="12" t="inlineStr">
        <is>
          <t>16</t>
        </is>
      </c>
      <c r="N775" s="12" t="n">
        <v>8</v>
      </c>
      <c r="O775" s="12" t="n">
        <v>1</v>
      </c>
      <c r="P775" s="12" t="n"/>
      <c r="Q775" s="12" t="n"/>
      <c r="R775" s="12" t="n"/>
      <c r="S775" s="12" t="inlineStr">
        <is>
          <t>Tray / conduit</t>
        </is>
      </c>
      <c r="T775" s="16" t="n">
        <v>75</v>
      </c>
      <c r="U775" s="16" t="n">
        <v>10</v>
      </c>
      <c r="V775" s="16">
        <f>ROUNDUP((T775+U775+2*'Read Me'!$B$13)*(1+'Read Me'!$B$12),-1)</f>
        <v/>
      </c>
      <c r="W775" s="16">
        <f>V775*N775*O775</f>
        <v/>
      </c>
      <c r="X775" s="12">
        <f>IF(LEFT(I775,2)="MV",2*N775*IF(L775="1/C",O775,1),0)</f>
        <v/>
      </c>
      <c r="Y775" s="12">
        <f>IF(OR(LEFT(K775,4)="LVAX",LEFT(K775,6)="MV15AX",LEFT(K775,4)="CTAX",LEFT(K775,2)="W|"),2*N775*O775,0)</f>
        <v/>
      </c>
      <c r="Z775" s="12" t="inlineStr">
        <is>
          <t>device-to-JB field wiring, one cable per device</t>
        </is>
      </c>
      <c r="AA775" s="12">
        <f>N775*O775</f>
        <v/>
      </c>
    </row>
    <row r="776">
      <c r="A776" s="12" t="inlineStr">
        <is>
          <t>A-I-0054</t>
        </is>
      </c>
      <c r="B776" s="12" t="inlineStr">
        <is>
          <t>A</t>
        </is>
      </c>
      <c r="C776" s="12" t="inlineStr">
        <is>
          <t>Power block</t>
        </is>
      </c>
      <c r="D776" s="12" t="inlineStr">
        <is>
          <t>Home run JB-Chem feed-AI01 to the control / marshalling room</t>
        </is>
      </c>
      <c r="E776" s="12" t="inlineStr">
        <is>
          <t>R3</t>
        </is>
      </c>
      <c r="F776" s="12" t="inlineStr">
        <is>
          <t>R3: ST auxiliary electrical e-house (40 x 65 ft)</t>
        </is>
      </c>
      <c r="G776" s="12" t="inlineStr">
        <is>
          <t>JB-Chem feed-AI01</t>
        </is>
      </c>
      <c r="H776" s="12" t="inlineStr">
        <is>
          <t>Chemical feed</t>
        </is>
      </c>
      <c r="I776" s="12" t="inlineStr">
        <is>
          <t>Instrumentation</t>
        </is>
      </c>
      <c r="J776" s="12" t="inlineStr">
        <is>
          <t>Instrumentation PLTC / TC-ER 300 V, #18 twisted shielded pairs, overall shield</t>
        </is>
      </c>
      <c r="K776" s="12" t="inlineStr">
        <is>
          <t>PLTC|24 pr|18</t>
        </is>
      </c>
      <c r="L776" s="12" t="inlineStr">
        <is>
          <t>24 pr</t>
        </is>
      </c>
      <c r="M776" s="12" t="inlineStr">
        <is>
          <t>18</t>
        </is>
      </c>
      <c r="N776" s="12" t="n">
        <v>1</v>
      </c>
      <c r="O776" s="12" t="n">
        <v>1</v>
      </c>
      <c r="P776" s="12" t="n"/>
      <c r="Q776" s="12" t="n"/>
      <c r="R776" s="12" t="n"/>
      <c r="S776" s="12" t="inlineStr">
        <is>
          <t>Duct bank</t>
        </is>
      </c>
      <c r="T776" s="16" t="n">
        <v>258</v>
      </c>
      <c r="U776" s="16" t="n">
        <v>35</v>
      </c>
      <c r="V776" s="16">
        <f>ROUNDUP((T776+U776+2*'Read Me'!$B$13)*(1+'Read Me'!$B$12),-1)</f>
        <v/>
      </c>
      <c r="W776" s="16">
        <f>V776*N776*O776</f>
        <v/>
      </c>
      <c r="X776" s="12">
        <f>IF(LEFT(I776,2)="MV",2*N776*IF(L776="1/C",O776,1),0)</f>
        <v/>
      </c>
      <c r="Y776" s="12">
        <f>IF(OR(LEFT(K776,4)="LVAX",LEFT(K776,6)="MV15AX",LEFT(K776,4)="CTAX",LEFT(K776,2)="W|"),2*N776*O776,0)</f>
        <v/>
      </c>
      <c r="Z776" s="12" t="inlineStr"/>
      <c r="AA776" s="12">
        <f>N776*O776</f>
        <v/>
      </c>
    </row>
    <row r="777">
      <c r="A777" s="12" t="inlineStr">
        <is>
          <t>A-I-0055</t>
        </is>
      </c>
      <c r="B777" s="12" t="inlineStr">
        <is>
          <t>A</t>
        </is>
      </c>
      <c r="C777" s="12" t="inlineStr">
        <is>
          <t>Power block</t>
        </is>
      </c>
      <c r="D777" s="12" t="inlineStr">
        <is>
          <t>Discrete device to JB JB-Chem feed-DI01: 12 x 1 pr (field cables)</t>
        </is>
      </c>
      <c r="E777" s="12" t="inlineStr">
        <is>
          <t>Chem feed</t>
        </is>
      </c>
      <c r="F777" s="12" t="inlineStr">
        <is>
          <t>Chemical feed</t>
        </is>
      </c>
      <c r="G777" s="12" t="inlineStr">
        <is>
          <t>JB-Chem feed-DI01</t>
        </is>
      </c>
      <c r="H777" s="12" t="inlineStr">
        <is>
          <t>Chemical feed</t>
        </is>
      </c>
      <c r="I777" s="12" t="inlineStr">
        <is>
          <t>Instrumentation</t>
        </is>
      </c>
      <c r="J777" s="12" t="inlineStr">
        <is>
          <t>Instrumentation PLTC / TC-ER 300 V, #18 twisted shielded pairs, overall shield</t>
        </is>
      </c>
      <c r="K777" s="12" t="inlineStr">
        <is>
          <t>PLTC|1 pr|16</t>
        </is>
      </c>
      <c r="L777" s="12" t="inlineStr">
        <is>
          <t>1 pr</t>
        </is>
      </c>
      <c r="M777" s="12" t="inlineStr">
        <is>
          <t>16</t>
        </is>
      </c>
      <c r="N777" s="12" t="n">
        <v>12</v>
      </c>
      <c r="O777" s="12" t="n">
        <v>1</v>
      </c>
      <c r="P777" s="12" t="n"/>
      <c r="Q777" s="12" t="n"/>
      <c r="R777" s="12" t="n"/>
      <c r="S777" s="12" t="inlineStr">
        <is>
          <t>Tray / conduit</t>
        </is>
      </c>
      <c r="T777" s="16" t="n">
        <v>75</v>
      </c>
      <c r="U777" s="16" t="n">
        <v>10</v>
      </c>
      <c r="V777" s="16">
        <f>ROUNDUP((T777+U777+2*'Read Me'!$B$13)*(1+'Read Me'!$B$12),-1)</f>
        <v/>
      </c>
      <c r="W777" s="16">
        <f>V777*N777*O777</f>
        <v/>
      </c>
      <c r="X777" s="12">
        <f>IF(LEFT(I777,2)="MV",2*N777*IF(L777="1/C",O777,1),0)</f>
        <v/>
      </c>
      <c r="Y777" s="12">
        <f>IF(OR(LEFT(K777,4)="LVAX",LEFT(K777,6)="MV15AX",LEFT(K777,4)="CTAX",LEFT(K777,2)="W|"),2*N777*O777,0)</f>
        <v/>
      </c>
      <c r="Z777" s="12" t="inlineStr">
        <is>
          <t>device-to-JB field wiring, one cable per device</t>
        </is>
      </c>
      <c r="AA777" s="12">
        <f>N777*O777</f>
        <v/>
      </c>
    </row>
    <row r="778">
      <c r="A778" s="12" t="inlineStr">
        <is>
          <t>A-I-0056</t>
        </is>
      </c>
      <c r="B778" s="12" t="inlineStr">
        <is>
          <t>A</t>
        </is>
      </c>
      <c r="C778" s="12" t="inlineStr">
        <is>
          <t>Power block</t>
        </is>
      </c>
      <c r="D778" s="12" t="inlineStr">
        <is>
          <t>Home run JB-Chem feed-DI01 to the control / marshalling room</t>
        </is>
      </c>
      <c r="E778" s="12" t="inlineStr">
        <is>
          <t>R3</t>
        </is>
      </c>
      <c r="F778" s="12" t="inlineStr">
        <is>
          <t>R3: ST auxiliary electrical e-house (40 x 65 ft)</t>
        </is>
      </c>
      <c r="G778" s="12" t="inlineStr">
        <is>
          <t>JB-Chem feed-DI01</t>
        </is>
      </c>
      <c r="H778" s="12" t="inlineStr">
        <is>
          <t>Chemical feed</t>
        </is>
      </c>
      <c r="I778" s="12" t="inlineStr">
        <is>
          <t>Instrumentation</t>
        </is>
      </c>
      <c r="J778" s="12" t="inlineStr">
        <is>
          <t>Instrumentation PLTC / TC-ER 300 V, #18 twisted shielded pairs, overall shield</t>
        </is>
      </c>
      <c r="K778" s="12" t="inlineStr">
        <is>
          <t>PLTC|24 pr|18</t>
        </is>
      </c>
      <c r="L778" s="12" t="inlineStr">
        <is>
          <t>24 pr</t>
        </is>
      </c>
      <c r="M778" s="12" t="inlineStr">
        <is>
          <t>18</t>
        </is>
      </c>
      <c r="N778" s="12" t="n">
        <v>1</v>
      </c>
      <c r="O778" s="12" t="n">
        <v>1</v>
      </c>
      <c r="P778" s="12" t="n"/>
      <c r="Q778" s="12" t="n"/>
      <c r="R778" s="12" t="n"/>
      <c r="S778" s="12" t="inlineStr">
        <is>
          <t>Duct bank</t>
        </is>
      </c>
      <c r="T778" s="16" t="n">
        <v>258</v>
      </c>
      <c r="U778" s="16" t="n">
        <v>35</v>
      </c>
      <c r="V778" s="16">
        <f>ROUNDUP((T778+U778+2*'Read Me'!$B$13)*(1+'Read Me'!$B$12),-1)</f>
        <v/>
      </c>
      <c r="W778" s="16">
        <f>V778*N778*O778</f>
        <v/>
      </c>
      <c r="X778" s="12">
        <f>IF(LEFT(I778,2)="MV",2*N778*IF(L778="1/C",O778,1),0)</f>
        <v/>
      </c>
      <c r="Y778" s="12">
        <f>IF(OR(LEFT(K778,4)="LVAX",LEFT(K778,6)="MV15AX",LEFT(K778,4)="CTAX",LEFT(K778,2)="W|"),2*N778*O778,0)</f>
        <v/>
      </c>
      <c r="Z778" s="12" t="inlineStr"/>
      <c r="AA778" s="12">
        <f>N778*O778</f>
        <v/>
      </c>
    </row>
    <row r="779">
      <c r="A779" s="12" t="inlineStr">
        <is>
          <t>A-I-0057</t>
        </is>
      </c>
      <c r="B779" s="12" t="inlineStr">
        <is>
          <t>A</t>
        </is>
      </c>
      <c r="C779" s="12" t="inlineStr">
        <is>
          <t>Power block</t>
        </is>
      </c>
      <c r="D779" s="12" t="inlineStr">
        <is>
          <t>Analog instrument to JB JB-EHC-ST-AI01: 10 x 1 pr (field cables)</t>
        </is>
      </c>
      <c r="E779" s="12" t="inlineStr">
        <is>
          <t>EHC-ST</t>
        </is>
      </c>
      <c r="F779" s="12" t="inlineStr">
        <is>
          <t>EHC-ST: ST electro-hydraulic control power unit</t>
        </is>
      </c>
      <c r="G779" s="12" t="inlineStr">
        <is>
          <t>JB-EHC-ST-AI01</t>
        </is>
      </c>
      <c r="H779" s="12" t="inlineStr">
        <is>
          <t>EHC-ST: ST electro-hydraulic control power unit</t>
        </is>
      </c>
      <c r="I779" s="12" t="inlineStr">
        <is>
          <t>Instrumentation</t>
        </is>
      </c>
      <c r="J779" s="12" t="inlineStr">
        <is>
          <t>Instrumentation PLTC / TC-ER 300 V, #18 twisted shielded pairs, overall shield</t>
        </is>
      </c>
      <c r="K779" s="12" t="inlineStr">
        <is>
          <t>PLTC|1 pr|16</t>
        </is>
      </c>
      <c r="L779" s="12" t="inlineStr">
        <is>
          <t>1 pr</t>
        </is>
      </c>
      <c r="M779" s="12" t="inlineStr">
        <is>
          <t>16</t>
        </is>
      </c>
      <c r="N779" s="12" t="n">
        <v>10</v>
      </c>
      <c r="O779" s="12" t="n">
        <v>1</v>
      </c>
      <c r="P779" s="12" t="n"/>
      <c r="Q779" s="12" t="n"/>
      <c r="R779" s="12" t="n"/>
      <c r="S779" s="12" t="inlineStr">
        <is>
          <t>Tray / conduit</t>
        </is>
      </c>
      <c r="T779" s="16" t="n">
        <v>53</v>
      </c>
      <c r="U779" s="16" t="n">
        <v>10</v>
      </c>
      <c r="V779" s="16">
        <f>ROUNDUP((T779+U779+2*'Read Me'!$B$13)*(1+'Read Me'!$B$12),-1)</f>
        <v/>
      </c>
      <c r="W779" s="16">
        <f>V779*N779*O779</f>
        <v/>
      </c>
      <c r="X779" s="12">
        <f>IF(LEFT(I779,2)="MV",2*N779*IF(L779="1/C",O779,1),0)</f>
        <v/>
      </c>
      <c r="Y779" s="12">
        <f>IF(OR(LEFT(K779,4)="LVAX",LEFT(K779,6)="MV15AX",LEFT(K779,4)="CTAX",LEFT(K779,2)="W|"),2*N779*O779,0)</f>
        <v/>
      </c>
      <c r="Z779" s="12" t="inlineStr">
        <is>
          <t>device-to-JB field wiring, one cable per device</t>
        </is>
      </c>
      <c r="AA779" s="12">
        <f>N779*O779</f>
        <v/>
      </c>
    </row>
    <row r="780">
      <c r="A780" s="12" t="inlineStr">
        <is>
          <t>A-I-0058</t>
        </is>
      </c>
      <c r="B780" s="12" t="inlineStr">
        <is>
          <t>A</t>
        </is>
      </c>
      <c r="C780" s="12" t="inlineStr">
        <is>
          <t>Power block</t>
        </is>
      </c>
      <c r="D780" s="12" t="inlineStr">
        <is>
          <t>Home run JB-EHC-ST-AI01 to the control / marshalling room</t>
        </is>
      </c>
      <c r="E780" s="12" t="inlineStr">
        <is>
          <t>R3</t>
        </is>
      </c>
      <c r="F780" s="12" t="inlineStr">
        <is>
          <t>R3: ST auxiliary electrical e-house (40 x 65 ft)</t>
        </is>
      </c>
      <c r="G780" s="12" t="inlineStr">
        <is>
          <t>JB-EHC-ST-AI01</t>
        </is>
      </c>
      <c r="H780" s="12" t="inlineStr">
        <is>
          <t>EHC-ST: ST electro-hydraulic control power unit</t>
        </is>
      </c>
      <c r="I780" s="12" t="inlineStr">
        <is>
          <t>Instrumentation</t>
        </is>
      </c>
      <c r="J780" s="12" t="inlineStr">
        <is>
          <t>Instrumentation PLTC / TC-ER 300 V, #18 twisted shielded pairs, overall shield</t>
        </is>
      </c>
      <c r="K780" s="12" t="inlineStr">
        <is>
          <t>PLTC|24 pr|18</t>
        </is>
      </c>
      <c r="L780" s="12" t="inlineStr">
        <is>
          <t>24 pr</t>
        </is>
      </c>
      <c r="M780" s="12" t="inlineStr">
        <is>
          <t>18</t>
        </is>
      </c>
      <c r="N780" s="12" t="n">
        <v>1</v>
      </c>
      <c r="O780" s="12" t="n">
        <v>1</v>
      </c>
      <c r="P780" s="12" t="n"/>
      <c r="Q780" s="12" t="n"/>
      <c r="R780" s="12" t="n"/>
      <c r="S780" s="12" t="inlineStr">
        <is>
          <t>Tray</t>
        </is>
      </c>
      <c r="T780" s="16" t="n">
        <v>67</v>
      </c>
      <c r="U780" s="16" t="n">
        <v>89</v>
      </c>
      <c r="V780" s="16">
        <f>ROUNDUP((T780+U780+2*'Read Me'!$B$13)*(1+'Read Me'!$B$12),-1)</f>
        <v/>
      </c>
      <c r="W780" s="16">
        <f>V780*N780*O780</f>
        <v/>
      </c>
      <c r="X780" s="12">
        <f>IF(LEFT(I780,2)="MV",2*N780*IF(L780="1/C",O780,1),0)</f>
        <v/>
      </c>
      <c r="Y780" s="12">
        <f>IF(OR(LEFT(K780,4)="LVAX",LEFT(K780,6)="MV15AX",LEFT(K780,4)="CTAX",LEFT(K780,2)="W|"),2*N780*O780,0)</f>
        <v/>
      </c>
      <c r="Z780" s="12" t="inlineStr"/>
      <c r="AA780" s="12">
        <f>N780*O780</f>
        <v/>
      </c>
    </row>
    <row r="781">
      <c r="A781" s="12" t="inlineStr">
        <is>
          <t>A-I-0059</t>
        </is>
      </c>
      <c r="B781" s="12" t="inlineStr">
        <is>
          <t>A</t>
        </is>
      </c>
      <c r="C781" s="12" t="inlineStr">
        <is>
          <t>Power block</t>
        </is>
      </c>
      <c r="D781" s="12" t="inlineStr">
        <is>
          <t>Discrete device to JB JB-EHC-ST-DI01: 10 x 1 pr (field cables)</t>
        </is>
      </c>
      <c r="E781" s="12" t="inlineStr">
        <is>
          <t>EHC-ST</t>
        </is>
      </c>
      <c r="F781" s="12" t="inlineStr">
        <is>
          <t>EHC-ST: ST electro-hydraulic control power unit</t>
        </is>
      </c>
      <c r="G781" s="12" t="inlineStr">
        <is>
          <t>JB-EHC-ST-DI01</t>
        </is>
      </c>
      <c r="H781" s="12" t="inlineStr">
        <is>
          <t>EHC-ST: ST electro-hydraulic control power unit</t>
        </is>
      </c>
      <c r="I781" s="12" t="inlineStr">
        <is>
          <t>Instrumentation</t>
        </is>
      </c>
      <c r="J781" s="12" t="inlineStr">
        <is>
          <t>Instrumentation PLTC / TC-ER 300 V, #18 twisted shielded pairs, overall shield</t>
        </is>
      </c>
      <c r="K781" s="12" t="inlineStr">
        <is>
          <t>PLTC|1 pr|16</t>
        </is>
      </c>
      <c r="L781" s="12" t="inlineStr">
        <is>
          <t>1 pr</t>
        </is>
      </c>
      <c r="M781" s="12" t="inlineStr">
        <is>
          <t>16</t>
        </is>
      </c>
      <c r="N781" s="12" t="n">
        <v>10</v>
      </c>
      <c r="O781" s="12" t="n">
        <v>1</v>
      </c>
      <c r="P781" s="12" t="n"/>
      <c r="Q781" s="12" t="n"/>
      <c r="R781" s="12" t="n"/>
      <c r="S781" s="12" t="inlineStr">
        <is>
          <t>Tray / conduit</t>
        </is>
      </c>
      <c r="T781" s="16" t="n">
        <v>53</v>
      </c>
      <c r="U781" s="16" t="n">
        <v>10</v>
      </c>
      <c r="V781" s="16">
        <f>ROUNDUP((T781+U781+2*'Read Me'!$B$13)*(1+'Read Me'!$B$12),-1)</f>
        <v/>
      </c>
      <c r="W781" s="16">
        <f>V781*N781*O781</f>
        <v/>
      </c>
      <c r="X781" s="12">
        <f>IF(LEFT(I781,2)="MV",2*N781*IF(L781="1/C",O781,1),0)</f>
        <v/>
      </c>
      <c r="Y781" s="12">
        <f>IF(OR(LEFT(K781,4)="LVAX",LEFT(K781,6)="MV15AX",LEFT(K781,4)="CTAX",LEFT(K781,2)="W|"),2*N781*O781,0)</f>
        <v/>
      </c>
      <c r="Z781" s="12" t="inlineStr">
        <is>
          <t>device-to-JB field wiring, one cable per device</t>
        </is>
      </c>
      <c r="AA781" s="12">
        <f>N781*O781</f>
        <v/>
      </c>
    </row>
    <row r="782">
      <c r="A782" s="12" t="inlineStr">
        <is>
          <t>A-I-0060</t>
        </is>
      </c>
      <c r="B782" s="12" t="inlineStr">
        <is>
          <t>A</t>
        </is>
      </c>
      <c r="C782" s="12" t="inlineStr">
        <is>
          <t>Power block</t>
        </is>
      </c>
      <c r="D782" s="12" t="inlineStr">
        <is>
          <t>Home run JB-EHC-ST-DI01 to the control / marshalling room</t>
        </is>
      </c>
      <c r="E782" s="12" t="inlineStr">
        <is>
          <t>R3</t>
        </is>
      </c>
      <c r="F782" s="12" t="inlineStr">
        <is>
          <t>R3: ST auxiliary electrical e-house (40 x 65 ft)</t>
        </is>
      </c>
      <c r="G782" s="12" t="inlineStr">
        <is>
          <t>JB-EHC-ST-DI01</t>
        </is>
      </c>
      <c r="H782" s="12" t="inlineStr">
        <is>
          <t>EHC-ST: ST electro-hydraulic control power unit</t>
        </is>
      </c>
      <c r="I782" s="12" t="inlineStr">
        <is>
          <t>Instrumentation</t>
        </is>
      </c>
      <c r="J782" s="12" t="inlineStr">
        <is>
          <t>Instrumentation PLTC / TC-ER 300 V, #18 twisted shielded pairs, overall shield</t>
        </is>
      </c>
      <c r="K782" s="12" t="inlineStr">
        <is>
          <t>PLTC|24 pr|18</t>
        </is>
      </c>
      <c r="L782" s="12" t="inlineStr">
        <is>
          <t>24 pr</t>
        </is>
      </c>
      <c r="M782" s="12" t="inlineStr">
        <is>
          <t>18</t>
        </is>
      </c>
      <c r="N782" s="12" t="n">
        <v>1</v>
      </c>
      <c r="O782" s="12" t="n">
        <v>1</v>
      </c>
      <c r="P782" s="12" t="n"/>
      <c r="Q782" s="12" t="n"/>
      <c r="R782" s="12" t="n"/>
      <c r="S782" s="12" t="inlineStr">
        <is>
          <t>Tray</t>
        </is>
      </c>
      <c r="T782" s="16" t="n">
        <v>67</v>
      </c>
      <c r="U782" s="16" t="n">
        <v>89</v>
      </c>
      <c r="V782" s="16">
        <f>ROUNDUP((T782+U782+2*'Read Me'!$B$13)*(1+'Read Me'!$B$12),-1)</f>
        <v/>
      </c>
      <c r="W782" s="16">
        <f>V782*N782*O782</f>
        <v/>
      </c>
      <c r="X782" s="12">
        <f>IF(LEFT(I782,2)="MV",2*N782*IF(L782="1/C",O782,1),0)</f>
        <v/>
      </c>
      <c r="Y782" s="12">
        <f>IF(OR(LEFT(K782,4)="LVAX",LEFT(K782,6)="MV15AX",LEFT(K782,4)="CTAX",LEFT(K782,2)="W|"),2*N782*O782,0)</f>
        <v/>
      </c>
      <c r="Z782" s="12" t="inlineStr"/>
      <c r="AA782" s="12">
        <f>N782*O782</f>
        <v/>
      </c>
    </row>
    <row r="783">
      <c r="A783" s="12" t="inlineStr">
        <is>
          <t>A-I-0061</t>
        </is>
      </c>
      <c r="B783" s="12" t="inlineStr">
        <is>
          <t>A</t>
        </is>
      </c>
      <c r="C783" s="12" t="inlineStr">
        <is>
          <t>Power block</t>
        </is>
      </c>
      <c r="D783" s="12" t="inlineStr">
        <is>
          <t>Instrumentation</t>
        </is>
      </c>
      <c r="E783" s="12" t="inlineStr">
        <is>
          <t>R2A</t>
        </is>
      </c>
      <c r="F783" s="12" t="inlineStr">
        <is>
          <t>R2A: unit / HRSG electrical e-house (32 x 40 ft)</t>
        </is>
      </c>
      <c r="G783" s="12" t="inlineStr">
        <is>
          <t>ET-1</t>
        </is>
      </c>
      <c r="H783" s="12" t="inlineStr">
        <is>
          <t>ET-1: excitation transformer (dry type, GTG-1 terminals)</t>
        </is>
      </c>
      <c r="I783" s="12" t="inlineStr">
        <is>
          <t>Instrumentation</t>
        </is>
      </c>
      <c r="J783" s="12" t="inlineStr">
        <is>
          <t>Instrumentation PLTC / TC-ER 300 V, #18 twisted shielded pairs, overall shield</t>
        </is>
      </c>
      <c r="K783" s="12" t="inlineStr">
        <is>
          <t>PLTC|4 pr|18</t>
        </is>
      </c>
      <c r="L783" s="12" t="inlineStr">
        <is>
          <t>4 pr</t>
        </is>
      </c>
      <c r="M783" s="12" t="inlineStr">
        <is>
          <t>18</t>
        </is>
      </c>
      <c r="N783" s="12" t="n">
        <v>1</v>
      </c>
      <c r="O783" s="12" t="n">
        <v>1</v>
      </c>
      <c r="P783" s="12" t="n"/>
      <c r="Q783" s="12" t="n"/>
      <c r="R783" s="12" t="n"/>
      <c r="S783" s="12" t="inlineStr">
        <is>
          <t>Tray</t>
        </is>
      </c>
      <c r="T783" s="16" t="n">
        <v>403</v>
      </c>
      <c r="U783" s="16" t="n">
        <v>119</v>
      </c>
      <c r="V783" s="16">
        <f>ROUNDUP((T783+U783+2*'Read Me'!$B$13)*(1+'Read Me'!$B$12),-1)</f>
        <v/>
      </c>
      <c r="W783" s="16">
        <f>V783*N783*O783</f>
        <v/>
      </c>
      <c r="X783" s="12">
        <f>IF(LEFT(I783,2)="MV",2*N783*IF(L783="1/C",O783,1),0)</f>
        <v/>
      </c>
      <c r="Y783" s="12">
        <f>IF(OR(LEFT(K783,4)="LVAX",LEFT(K783,6)="MV15AX",LEFT(K783,4)="CTAX",LEFT(K783,2)="W|"),2*N783*O783,0)</f>
        <v/>
      </c>
      <c r="Z783" s="12" t="inlineStr"/>
      <c r="AA783" s="12">
        <f>N783*O783</f>
        <v/>
      </c>
    </row>
    <row r="784">
      <c r="A784" s="12" t="inlineStr">
        <is>
          <t>A-I-0062</t>
        </is>
      </c>
      <c r="B784" s="12" t="inlineStr">
        <is>
          <t>A</t>
        </is>
      </c>
      <c r="C784" s="12" t="inlineStr">
        <is>
          <t>Power block</t>
        </is>
      </c>
      <c r="D784" s="12" t="inlineStr">
        <is>
          <t>Instrumentation</t>
        </is>
      </c>
      <c r="E784" s="12" t="inlineStr">
        <is>
          <t>R2A</t>
        </is>
      </c>
      <c r="F784" s="12" t="inlineStr">
        <is>
          <t>R2A: unit / HRSG electrical e-house (32 x 40 ft)</t>
        </is>
      </c>
      <c r="G784" s="12" t="inlineStr">
        <is>
          <t>ET-1</t>
        </is>
      </c>
      <c r="H784" s="12" t="inlineStr">
        <is>
          <t>ET-1: excitation transformer (dry type, GTG-1 terminals)</t>
        </is>
      </c>
      <c r="I784" s="12" t="inlineStr">
        <is>
          <t>Instrumentation</t>
        </is>
      </c>
      <c r="J784" s="12" t="inlineStr">
        <is>
          <t>Instrumentation PLTC / TC-ER 300 V, #18 twisted shielded pairs, overall shield</t>
        </is>
      </c>
      <c r="K784" s="12" t="inlineStr">
        <is>
          <t>PLTC|4 pr|18</t>
        </is>
      </c>
      <c r="L784" s="12" t="inlineStr">
        <is>
          <t>4 pr</t>
        </is>
      </c>
      <c r="M784" s="12" t="inlineStr">
        <is>
          <t>18</t>
        </is>
      </c>
      <c r="N784" s="12" t="n">
        <v>1</v>
      </c>
      <c r="O784" s="12" t="n">
        <v>1</v>
      </c>
      <c r="P784" s="12" t="n"/>
      <c r="Q784" s="12" t="n"/>
      <c r="R784" s="12" t="n"/>
      <c r="S784" s="12" t="inlineStr">
        <is>
          <t>Tray</t>
        </is>
      </c>
      <c r="T784" s="16" t="n">
        <v>403</v>
      </c>
      <c r="U784" s="16" t="n">
        <v>119</v>
      </c>
      <c r="V784" s="16">
        <f>ROUNDUP((T784+U784+2*'Read Me'!$B$13)*(1+'Read Me'!$B$12),-1)</f>
        <v/>
      </c>
      <c r="W784" s="16">
        <f>V784*N784*O784</f>
        <v/>
      </c>
      <c r="X784" s="12">
        <f>IF(LEFT(I784,2)="MV",2*N784*IF(L784="1/C",O784,1),0)</f>
        <v/>
      </c>
      <c r="Y784" s="12">
        <f>IF(OR(LEFT(K784,4)="LVAX",LEFT(K784,6)="MV15AX",LEFT(K784,4)="CTAX",LEFT(K784,2)="W|"),2*N784*O784,0)</f>
        <v/>
      </c>
      <c r="Z784" s="12" t="inlineStr"/>
      <c r="AA784" s="12">
        <f>N784*O784</f>
        <v/>
      </c>
    </row>
    <row r="785">
      <c r="A785" s="12" t="inlineStr">
        <is>
          <t>A-I-0063</t>
        </is>
      </c>
      <c r="B785" s="12" t="inlineStr">
        <is>
          <t>A</t>
        </is>
      </c>
      <c r="C785" s="12" t="inlineStr">
        <is>
          <t>Power block</t>
        </is>
      </c>
      <c r="D785" s="12" t="inlineStr">
        <is>
          <t>Instrumentation</t>
        </is>
      </c>
      <c r="E785" s="12" t="inlineStr">
        <is>
          <t>R2A</t>
        </is>
      </c>
      <c r="F785" s="12" t="inlineStr">
        <is>
          <t>R2A: unit / HRSG electrical e-house (32 x 40 ft)</t>
        </is>
      </c>
      <c r="G785" s="12" t="inlineStr">
        <is>
          <t>ET-1</t>
        </is>
      </c>
      <c r="H785" s="12" t="inlineStr">
        <is>
          <t>ET-1: excitation transformer (dry type, GTG-1 terminals)</t>
        </is>
      </c>
      <c r="I785" s="12" t="inlineStr">
        <is>
          <t>Instrumentation</t>
        </is>
      </c>
      <c r="J785" s="12" t="inlineStr">
        <is>
          <t>Instrumentation PLTC / TC-ER 300 V, #18 twisted shielded pairs, overall shield</t>
        </is>
      </c>
      <c r="K785" s="12" t="inlineStr">
        <is>
          <t>PLTC|12 pr|18</t>
        </is>
      </c>
      <c r="L785" s="12" t="inlineStr">
        <is>
          <t>12 pr</t>
        </is>
      </c>
      <c r="M785" s="12" t="inlineStr">
        <is>
          <t>18</t>
        </is>
      </c>
      <c r="N785" s="12" t="n">
        <v>1</v>
      </c>
      <c r="O785" s="12" t="n">
        <v>1</v>
      </c>
      <c r="P785" s="12" t="n"/>
      <c r="Q785" s="12" t="n"/>
      <c r="R785" s="12" t="n"/>
      <c r="S785" s="12" t="inlineStr">
        <is>
          <t>Tray</t>
        </is>
      </c>
      <c r="T785" s="16" t="n">
        <v>403</v>
      </c>
      <c r="U785" s="16" t="n">
        <v>119</v>
      </c>
      <c r="V785" s="16">
        <f>ROUNDUP((T785+U785+2*'Read Me'!$B$13)*(1+'Read Me'!$B$12),-1)</f>
        <v/>
      </c>
      <c r="W785" s="16">
        <f>V785*N785*O785</f>
        <v/>
      </c>
      <c r="X785" s="12">
        <f>IF(LEFT(I785,2)="MV",2*N785*IF(L785="1/C",O785,1),0)</f>
        <v/>
      </c>
      <c r="Y785" s="12">
        <f>IF(OR(LEFT(K785,4)="LVAX",LEFT(K785,6)="MV15AX",LEFT(K785,4)="CTAX",LEFT(K785,2)="W|"),2*N785*O785,0)</f>
        <v/>
      </c>
      <c r="Z785" s="12" t="inlineStr"/>
      <c r="AA785" s="12">
        <f>N785*O785</f>
        <v/>
      </c>
    </row>
    <row r="786">
      <c r="A786" s="12" t="inlineStr">
        <is>
          <t>A-I-0064</t>
        </is>
      </c>
      <c r="B786" s="12" t="inlineStr">
        <is>
          <t>A</t>
        </is>
      </c>
      <c r="C786" s="12" t="inlineStr">
        <is>
          <t>Power block</t>
        </is>
      </c>
      <c r="D786" s="12" t="inlineStr">
        <is>
          <t>Instrumentation</t>
        </is>
      </c>
      <c r="E786" s="12" t="inlineStr">
        <is>
          <t>R2A</t>
        </is>
      </c>
      <c r="F786" s="12" t="inlineStr">
        <is>
          <t>R2A: unit / HRSG electrical e-house (32 x 40 ft)</t>
        </is>
      </c>
      <c r="G786" s="12" t="inlineStr">
        <is>
          <t>ET-1</t>
        </is>
      </c>
      <c r="H786" s="12" t="inlineStr">
        <is>
          <t>ET-1: excitation transformer (dry type, GTG-1 terminals)</t>
        </is>
      </c>
      <c r="I786" s="12" t="inlineStr">
        <is>
          <t>Instrumentation</t>
        </is>
      </c>
      <c r="J786" s="12" t="inlineStr">
        <is>
          <t>Instrumentation PLTC / TC-ER 300 V, #18 twisted shielded pairs, overall shield</t>
        </is>
      </c>
      <c r="K786" s="12" t="inlineStr">
        <is>
          <t>PLTC|12 pr|18</t>
        </is>
      </c>
      <c r="L786" s="12" t="inlineStr">
        <is>
          <t>12 pr</t>
        </is>
      </c>
      <c r="M786" s="12" t="inlineStr">
        <is>
          <t>18</t>
        </is>
      </c>
      <c r="N786" s="12" t="n">
        <v>1</v>
      </c>
      <c r="O786" s="12" t="n">
        <v>1</v>
      </c>
      <c r="P786" s="12" t="n"/>
      <c r="Q786" s="12" t="n"/>
      <c r="R786" s="12" t="n"/>
      <c r="S786" s="12" t="inlineStr">
        <is>
          <t>Tray</t>
        </is>
      </c>
      <c r="T786" s="16" t="n">
        <v>403</v>
      </c>
      <c r="U786" s="16" t="n">
        <v>119</v>
      </c>
      <c r="V786" s="16">
        <f>ROUNDUP((T786+U786+2*'Read Me'!$B$13)*(1+'Read Me'!$B$12),-1)</f>
        <v/>
      </c>
      <c r="W786" s="16">
        <f>V786*N786*O786</f>
        <v/>
      </c>
      <c r="X786" s="12">
        <f>IF(LEFT(I786,2)="MV",2*N786*IF(L786="1/C",O786,1),0)</f>
        <v/>
      </c>
      <c r="Y786" s="12">
        <f>IF(OR(LEFT(K786,4)="LVAX",LEFT(K786,6)="MV15AX",LEFT(K786,4)="CTAX",LEFT(K786,2)="W|"),2*N786*O786,0)</f>
        <v/>
      </c>
      <c r="Z786" s="12" t="inlineStr"/>
      <c r="AA786" s="12">
        <f>N786*O786</f>
        <v/>
      </c>
    </row>
    <row r="787">
      <c r="A787" s="12" t="inlineStr">
        <is>
          <t>A-I-0065</t>
        </is>
      </c>
      <c r="B787" s="12" t="inlineStr">
        <is>
          <t>A</t>
        </is>
      </c>
      <c r="C787" s="12" t="inlineStr">
        <is>
          <t>Power block</t>
        </is>
      </c>
      <c r="D787" s="12" t="inlineStr">
        <is>
          <t>Instrumentation</t>
        </is>
      </c>
      <c r="E787" s="12" t="inlineStr">
        <is>
          <t>R2A</t>
        </is>
      </c>
      <c r="F787" s="12" t="inlineStr">
        <is>
          <t>R2A: unit / HRSG electrical e-house (32 x 40 ft)</t>
        </is>
      </c>
      <c r="G787" s="12" t="inlineStr">
        <is>
          <t>ET-1</t>
        </is>
      </c>
      <c r="H787" s="12" t="inlineStr">
        <is>
          <t>ET-1: excitation transformer (dry type, GTG-1 terminals)</t>
        </is>
      </c>
      <c r="I787" s="12" t="inlineStr">
        <is>
          <t>Instrumentation</t>
        </is>
      </c>
      <c r="J787" s="12" t="inlineStr">
        <is>
          <t>Instrumentation PLTC / TC-ER 300 V, #18 twisted shielded pairs, overall shield</t>
        </is>
      </c>
      <c r="K787" s="12" t="inlineStr">
        <is>
          <t>PLTC|12 pr|18</t>
        </is>
      </c>
      <c r="L787" s="12" t="inlineStr">
        <is>
          <t>12 pr</t>
        </is>
      </c>
      <c r="M787" s="12" t="inlineStr">
        <is>
          <t>18</t>
        </is>
      </c>
      <c r="N787" s="12" t="n">
        <v>1</v>
      </c>
      <c r="O787" s="12" t="n">
        <v>1</v>
      </c>
      <c r="P787" s="12" t="n"/>
      <c r="Q787" s="12" t="n"/>
      <c r="R787" s="12" t="n"/>
      <c r="S787" s="12" t="inlineStr">
        <is>
          <t>Tray</t>
        </is>
      </c>
      <c r="T787" s="16" t="n">
        <v>403</v>
      </c>
      <c r="U787" s="16" t="n">
        <v>119</v>
      </c>
      <c r="V787" s="16">
        <f>ROUNDUP((T787+U787+2*'Read Me'!$B$13)*(1+'Read Me'!$B$12),-1)</f>
        <v/>
      </c>
      <c r="W787" s="16">
        <f>V787*N787*O787</f>
        <v/>
      </c>
      <c r="X787" s="12">
        <f>IF(LEFT(I787,2)="MV",2*N787*IF(L787="1/C",O787,1),0)</f>
        <v/>
      </c>
      <c r="Y787" s="12">
        <f>IF(OR(LEFT(K787,4)="LVAX",LEFT(K787,6)="MV15AX",LEFT(K787,4)="CTAX",LEFT(K787,2)="W|"),2*N787*O787,0)</f>
        <v/>
      </c>
      <c r="Z787" s="12" t="inlineStr"/>
      <c r="AA787" s="12">
        <f>N787*O787</f>
        <v/>
      </c>
    </row>
    <row r="788">
      <c r="A788" s="12" t="inlineStr">
        <is>
          <t>A-I-0066</t>
        </is>
      </c>
      <c r="B788" s="12" t="inlineStr">
        <is>
          <t>A</t>
        </is>
      </c>
      <c r="C788" s="12" t="inlineStr">
        <is>
          <t>Power block</t>
        </is>
      </c>
      <c r="D788" s="12" t="inlineStr">
        <is>
          <t>Instrumentation</t>
        </is>
      </c>
      <c r="E788" s="12" t="inlineStr">
        <is>
          <t>R2A</t>
        </is>
      </c>
      <c r="F788" s="12" t="inlineStr">
        <is>
          <t>R2A: unit / HRSG electrical e-house (32 x 40 ft)</t>
        </is>
      </c>
      <c r="G788" s="12" t="inlineStr">
        <is>
          <t>ET-1</t>
        </is>
      </c>
      <c r="H788" s="12" t="inlineStr">
        <is>
          <t>ET-1: excitation transformer (dry type, GTG-1 terminals)</t>
        </is>
      </c>
      <c r="I788" s="12" t="inlineStr">
        <is>
          <t>Instrumentation</t>
        </is>
      </c>
      <c r="J788" s="12" t="inlineStr">
        <is>
          <t>Instrumentation PLTC / TC-ER 300 V, #18 twisted shielded pairs, overall shield</t>
        </is>
      </c>
      <c r="K788" s="12" t="inlineStr">
        <is>
          <t>PLTC|12 pr|18</t>
        </is>
      </c>
      <c r="L788" s="12" t="inlineStr">
        <is>
          <t>12 pr</t>
        </is>
      </c>
      <c r="M788" s="12" t="inlineStr">
        <is>
          <t>18</t>
        </is>
      </c>
      <c r="N788" s="12" t="n">
        <v>1</v>
      </c>
      <c r="O788" s="12" t="n">
        <v>1</v>
      </c>
      <c r="P788" s="12" t="n"/>
      <c r="Q788" s="12" t="n"/>
      <c r="R788" s="12" t="n"/>
      <c r="S788" s="12" t="inlineStr">
        <is>
          <t>Tray</t>
        </is>
      </c>
      <c r="T788" s="16" t="n">
        <v>403</v>
      </c>
      <c r="U788" s="16" t="n">
        <v>119</v>
      </c>
      <c r="V788" s="16">
        <f>ROUNDUP((T788+U788+2*'Read Me'!$B$13)*(1+'Read Me'!$B$12),-1)</f>
        <v/>
      </c>
      <c r="W788" s="16">
        <f>V788*N788*O788</f>
        <v/>
      </c>
      <c r="X788" s="12">
        <f>IF(LEFT(I788,2)="MV",2*N788*IF(L788="1/C",O788,1),0)</f>
        <v/>
      </c>
      <c r="Y788" s="12">
        <f>IF(OR(LEFT(K788,4)="LVAX",LEFT(K788,6)="MV15AX",LEFT(K788,4)="CTAX",LEFT(K788,2)="W|"),2*N788*O788,0)</f>
        <v/>
      </c>
      <c r="Z788" s="12" t="inlineStr"/>
      <c r="AA788" s="12">
        <f>N788*O788</f>
        <v/>
      </c>
    </row>
    <row r="789">
      <c r="A789" s="12" t="inlineStr">
        <is>
          <t>A-I-0067</t>
        </is>
      </c>
      <c r="B789" s="12" t="inlineStr">
        <is>
          <t>A</t>
        </is>
      </c>
      <c r="C789" s="12" t="inlineStr">
        <is>
          <t>Power block</t>
        </is>
      </c>
      <c r="D789" s="12" t="inlineStr">
        <is>
          <t>Instrumentation</t>
        </is>
      </c>
      <c r="E789" s="12" t="inlineStr">
        <is>
          <t>R2A</t>
        </is>
      </c>
      <c r="F789" s="12" t="inlineStr">
        <is>
          <t>R2A: unit / HRSG electrical e-house (32 x 40 ft)</t>
        </is>
      </c>
      <c r="G789" s="12" t="inlineStr">
        <is>
          <t>ET-1</t>
        </is>
      </c>
      <c r="H789" s="12" t="inlineStr">
        <is>
          <t>ET-1: excitation transformer (dry type, GTG-1 terminals)</t>
        </is>
      </c>
      <c r="I789" s="12" t="inlineStr">
        <is>
          <t>Instrumentation</t>
        </is>
      </c>
      <c r="J789" s="12" t="inlineStr">
        <is>
          <t>Instrumentation PLTC / TC-ER 300 V, #18 twisted shielded pairs, overall shield</t>
        </is>
      </c>
      <c r="K789" s="12" t="inlineStr">
        <is>
          <t>PLTC|12 pr|18</t>
        </is>
      </c>
      <c r="L789" s="12" t="inlineStr">
        <is>
          <t>12 pr</t>
        </is>
      </c>
      <c r="M789" s="12" t="inlineStr">
        <is>
          <t>18</t>
        </is>
      </c>
      <c r="N789" s="12" t="n">
        <v>1</v>
      </c>
      <c r="O789" s="12" t="n">
        <v>1</v>
      </c>
      <c r="P789" s="12" t="n"/>
      <c r="Q789" s="12" t="n"/>
      <c r="R789" s="12" t="n"/>
      <c r="S789" s="12" t="inlineStr">
        <is>
          <t>Tray</t>
        </is>
      </c>
      <c r="T789" s="16" t="n">
        <v>403</v>
      </c>
      <c r="U789" s="16" t="n">
        <v>119</v>
      </c>
      <c r="V789" s="16">
        <f>ROUNDUP((T789+U789+2*'Read Me'!$B$13)*(1+'Read Me'!$B$12),-1)</f>
        <v/>
      </c>
      <c r="W789" s="16">
        <f>V789*N789*O789</f>
        <v/>
      </c>
      <c r="X789" s="12">
        <f>IF(LEFT(I789,2)="MV",2*N789*IF(L789="1/C",O789,1),0)</f>
        <v/>
      </c>
      <c r="Y789" s="12">
        <f>IF(OR(LEFT(K789,4)="LVAX",LEFT(K789,6)="MV15AX",LEFT(K789,4)="CTAX",LEFT(K789,2)="W|"),2*N789*O789,0)</f>
        <v/>
      </c>
      <c r="Z789" s="12" t="inlineStr"/>
      <c r="AA789" s="12">
        <f>N789*O789</f>
        <v/>
      </c>
    </row>
    <row r="790">
      <c r="A790" s="12" t="inlineStr">
        <is>
          <t>A-I-0068</t>
        </is>
      </c>
      <c r="B790" s="12" t="inlineStr">
        <is>
          <t>A</t>
        </is>
      </c>
      <c r="C790" s="12" t="inlineStr">
        <is>
          <t>Power block</t>
        </is>
      </c>
      <c r="D790" s="12" t="inlineStr">
        <is>
          <t>Instrumentation</t>
        </is>
      </c>
      <c r="E790" s="12" t="inlineStr">
        <is>
          <t>R2A</t>
        </is>
      </c>
      <c r="F790" s="12" t="inlineStr">
        <is>
          <t>R2A: unit / HRSG electrical e-house (32 x 40 ft)</t>
        </is>
      </c>
      <c r="G790" s="12" t="inlineStr">
        <is>
          <t>ET-1</t>
        </is>
      </c>
      <c r="H790" s="12" t="inlineStr">
        <is>
          <t>ET-1: excitation transformer (dry type, GTG-1 terminals)</t>
        </is>
      </c>
      <c r="I790" s="12" t="inlineStr">
        <is>
          <t>Instrumentation</t>
        </is>
      </c>
      <c r="J790" s="12" t="inlineStr">
        <is>
          <t>Instrumentation PLTC / TC-ER 300 V, #18 twisted shielded pairs, overall shield</t>
        </is>
      </c>
      <c r="K790" s="12" t="inlineStr">
        <is>
          <t>PLTC|12 pr|18</t>
        </is>
      </c>
      <c r="L790" s="12" t="inlineStr">
        <is>
          <t>12 pr</t>
        </is>
      </c>
      <c r="M790" s="12" t="inlineStr">
        <is>
          <t>18</t>
        </is>
      </c>
      <c r="N790" s="12" t="n">
        <v>1</v>
      </c>
      <c r="O790" s="12" t="n">
        <v>1</v>
      </c>
      <c r="P790" s="12" t="n"/>
      <c r="Q790" s="12" t="n"/>
      <c r="R790" s="12" t="n"/>
      <c r="S790" s="12" t="inlineStr">
        <is>
          <t>Tray</t>
        </is>
      </c>
      <c r="T790" s="16" t="n">
        <v>403</v>
      </c>
      <c r="U790" s="16" t="n">
        <v>119</v>
      </c>
      <c r="V790" s="16">
        <f>ROUNDUP((T790+U790+2*'Read Me'!$B$13)*(1+'Read Me'!$B$12),-1)</f>
        <v/>
      </c>
      <c r="W790" s="16">
        <f>V790*N790*O790</f>
        <v/>
      </c>
      <c r="X790" s="12">
        <f>IF(LEFT(I790,2)="MV",2*N790*IF(L790="1/C",O790,1),0)</f>
        <v/>
      </c>
      <c r="Y790" s="12">
        <f>IF(OR(LEFT(K790,4)="LVAX",LEFT(K790,6)="MV15AX",LEFT(K790,4)="CTAX",LEFT(K790,2)="W|"),2*N790*O790,0)</f>
        <v/>
      </c>
      <c r="Z790" s="12" t="inlineStr"/>
      <c r="AA790" s="12">
        <f>N790*O790</f>
        <v/>
      </c>
    </row>
    <row r="791">
      <c r="A791" s="12" t="inlineStr">
        <is>
          <t>A-I-0069</t>
        </is>
      </c>
      <c r="B791" s="12" t="inlineStr">
        <is>
          <t>A</t>
        </is>
      </c>
      <c r="C791" s="12" t="inlineStr">
        <is>
          <t>Power block</t>
        </is>
      </c>
      <c r="D791" s="12" t="inlineStr">
        <is>
          <t>Instrumentation</t>
        </is>
      </c>
      <c r="E791" s="12" t="inlineStr">
        <is>
          <t>R2A</t>
        </is>
      </c>
      <c r="F791" s="12" t="inlineStr">
        <is>
          <t>R2A: unit / HRSG electrical e-house (32 x 40 ft)</t>
        </is>
      </c>
      <c r="G791" s="12" t="inlineStr">
        <is>
          <t>ET-1</t>
        </is>
      </c>
      <c r="H791" s="12" t="inlineStr">
        <is>
          <t>ET-1: excitation transformer (dry type, GTG-1 terminals)</t>
        </is>
      </c>
      <c r="I791" s="12" t="inlineStr">
        <is>
          <t>Instrumentation</t>
        </is>
      </c>
      <c r="J791" s="12" t="inlineStr">
        <is>
          <t>Instrumentation PLTC / TC-ER 300 V, #18 twisted shielded pairs, overall shield</t>
        </is>
      </c>
      <c r="K791" s="12" t="inlineStr">
        <is>
          <t>PLTC|12 pr|18</t>
        </is>
      </c>
      <c r="L791" s="12" t="inlineStr">
        <is>
          <t>12 pr</t>
        </is>
      </c>
      <c r="M791" s="12" t="inlineStr">
        <is>
          <t>18</t>
        </is>
      </c>
      <c r="N791" s="12" t="n">
        <v>1</v>
      </c>
      <c r="O791" s="12" t="n">
        <v>1</v>
      </c>
      <c r="P791" s="12" t="n"/>
      <c r="Q791" s="12" t="n"/>
      <c r="R791" s="12" t="n"/>
      <c r="S791" s="12" t="inlineStr">
        <is>
          <t>Tray</t>
        </is>
      </c>
      <c r="T791" s="16" t="n">
        <v>403</v>
      </c>
      <c r="U791" s="16" t="n">
        <v>119</v>
      </c>
      <c r="V791" s="16">
        <f>ROUNDUP((T791+U791+2*'Read Me'!$B$13)*(1+'Read Me'!$B$12),-1)</f>
        <v/>
      </c>
      <c r="W791" s="16">
        <f>V791*N791*O791</f>
        <v/>
      </c>
      <c r="X791" s="12">
        <f>IF(LEFT(I791,2)="MV",2*N791*IF(L791="1/C",O791,1),0)</f>
        <v/>
      </c>
      <c r="Y791" s="12">
        <f>IF(OR(LEFT(K791,4)="LVAX",LEFT(K791,6)="MV15AX",LEFT(K791,4)="CTAX",LEFT(K791,2)="W|"),2*N791*O791,0)</f>
        <v/>
      </c>
      <c r="Z791" s="12" t="inlineStr"/>
      <c r="AA791" s="12">
        <f>N791*O791</f>
        <v/>
      </c>
    </row>
    <row r="792">
      <c r="A792" s="12" t="inlineStr">
        <is>
          <t>A-I-0070</t>
        </is>
      </c>
      <c r="B792" s="12" t="inlineStr">
        <is>
          <t>A</t>
        </is>
      </c>
      <c r="C792" s="12" t="inlineStr">
        <is>
          <t>Power block</t>
        </is>
      </c>
      <c r="D792" s="12" t="inlineStr">
        <is>
          <t>Instrumentation</t>
        </is>
      </c>
      <c r="E792" s="12" t="inlineStr">
        <is>
          <t>R2A</t>
        </is>
      </c>
      <c r="F792" s="12" t="inlineStr">
        <is>
          <t>R2A: unit / HRSG electrical e-house (32 x 40 ft)</t>
        </is>
      </c>
      <c r="G792" s="12" t="inlineStr">
        <is>
          <t>ET-1</t>
        </is>
      </c>
      <c r="H792" s="12" t="inlineStr">
        <is>
          <t>ET-1: excitation transformer (dry type, GTG-1 terminals)</t>
        </is>
      </c>
      <c r="I792" s="12" t="inlineStr">
        <is>
          <t>Instrumentation</t>
        </is>
      </c>
      <c r="J792" s="12" t="inlineStr">
        <is>
          <t>Instrumentation PLTC / TC-ER 300 V, #18 twisted shielded pairs, overall shield</t>
        </is>
      </c>
      <c r="K792" s="12" t="inlineStr">
        <is>
          <t>PLTC|12 pr|18</t>
        </is>
      </c>
      <c r="L792" s="12" t="inlineStr">
        <is>
          <t>12 pr</t>
        </is>
      </c>
      <c r="M792" s="12" t="inlineStr">
        <is>
          <t>18</t>
        </is>
      </c>
      <c r="N792" s="12" t="n">
        <v>1</v>
      </c>
      <c r="O792" s="12" t="n">
        <v>1</v>
      </c>
      <c r="P792" s="12" t="n"/>
      <c r="Q792" s="12" t="n"/>
      <c r="R792" s="12" t="n"/>
      <c r="S792" s="12" t="inlineStr">
        <is>
          <t>Tray</t>
        </is>
      </c>
      <c r="T792" s="16" t="n">
        <v>403</v>
      </c>
      <c r="U792" s="16" t="n">
        <v>119</v>
      </c>
      <c r="V792" s="16">
        <f>ROUNDUP((T792+U792+2*'Read Me'!$B$13)*(1+'Read Me'!$B$12),-1)</f>
        <v/>
      </c>
      <c r="W792" s="16">
        <f>V792*N792*O792</f>
        <v/>
      </c>
      <c r="X792" s="12">
        <f>IF(LEFT(I792,2)="MV",2*N792*IF(L792="1/C",O792,1),0)</f>
        <v/>
      </c>
      <c r="Y792" s="12">
        <f>IF(OR(LEFT(K792,4)="LVAX",LEFT(K792,6)="MV15AX",LEFT(K792,4)="CTAX",LEFT(K792,2)="W|"),2*N792*O792,0)</f>
        <v/>
      </c>
      <c r="Z792" s="12" t="inlineStr"/>
      <c r="AA792" s="12">
        <f>N792*O792</f>
        <v/>
      </c>
    </row>
    <row r="793">
      <c r="A793" s="12" t="inlineStr">
        <is>
          <t>A-I-0071</t>
        </is>
      </c>
      <c r="B793" s="12" t="inlineStr">
        <is>
          <t>A</t>
        </is>
      </c>
      <c r="C793" s="12" t="inlineStr">
        <is>
          <t>Power block</t>
        </is>
      </c>
      <c r="D793" s="12" t="inlineStr">
        <is>
          <t>Instrumentation</t>
        </is>
      </c>
      <c r="E793" s="12" t="inlineStr">
        <is>
          <t>R2B</t>
        </is>
      </c>
      <c r="F793" s="12" t="inlineStr">
        <is>
          <t>R2B: unit / HRSG electrical e-house (32 x 40 ft)</t>
        </is>
      </c>
      <c r="G793" s="12" t="inlineStr">
        <is>
          <t>ET-2</t>
        </is>
      </c>
      <c r="H793" s="12" t="inlineStr">
        <is>
          <t>ET-2: excitation transformer (dry type, GTG-2 terminals)</t>
        </is>
      </c>
      <c r="I793" s="12" t="inlineStr">
        <is>
          <t>Instrumentation</t>
        </is>
      </c>
      <c r="J793" s="12" t="inlineStr">
        <is>
          <t>Instrumentation PLTC / TC-ER 300 V, #18 twisted shielded pairs, overall shield</t>
        </is>
      </c>
      <c r="K793" s="12" t="inlineStr">
        <is>
          <t>PLTC|4 pr|18</t>
        </is>
      </c>
      <c r="L793" s="12" t="inlineStr">
        <is>
          <t>4 pr</t>
        </is>
      </c>
      <c r="M793" s="12" t="inlineStr">
        <is>
          <t>18</t>
        </is>
      </c>
      <c r="N793" s="12" t="n">
        <v>1</v>
      </c>
      <c r="O793" s="12" t="n">
        <v>1</v>
      </c>
      <c r="P793" s="12" t="n"/>
      <c r="Q793" s="12" t="n"/>
      <c r="R793" s="12" t="n"/>
      <c r="S793" s="12" t="inlineStr">
        <is>
          <t>Tray</t>
        </is>
      </c>
      <c r="T793" s="16" t="n">
        <v>1277</v>
      </c>
      <c r="U793" s="16" t="n">
        <v>209</v>
      </c>
      <c r="V793" s="16">
        <f>ROUNDUP((T793+U793+2*'Read Me'!$B$13)*(1+'Read Me'!$B$12),-1)</f>
        <v/>
      </c>
      <c r="W793" s="16">
        <f>V793*N793*O793</f>
        <v/>
      </c>
      <c r="X793" s="12">
        <f>IF(LEFT(I793,2)="MV",2*N793*IF(L793="1/C",O793,1),0)</f>
        <v/>
      </c>
      <c r="Y793" s="12">
        <f>IF(OR(LEFT(K793,4)="LVAX",LEFT(K793,6)="MV15AX",LEFT(K793,4)="CTAX",LEFT(K793,2)="W|"),2*N793*O793,0)</f>
        <v/>
      </c>
      <c r="Z793" s="12" t="inlineStr"/>
      <c r="AA793" s="12">
        <f>N793*O793</f>
        <v/>
      </c>
    </row>
    <row r="794">
      <c r="A794" s="12" t="inlineStr">
        <is>
          <t>A-I-0072</t>
        </is>
      </c>
      <c r="B794" s="12" t="inlineStr">
        <is>
          <t>A</t>
        </is>
      </c>
      <c r="C794" s="12" t="inlineStr">
        <is>
          <t>Power block</t>
        </is>
      </c>
      <c r="D794" s="12" t="inlineStr">
        <is>
          <t>Instrumentation</t>
        </is>
      </c>
      <c r="E794" s="12" t="inlineStr">
        <is>
          <t>R2B</t>
        </is>
      </c>
      <c r="F794" s="12" t="inlineStr">
        <is>
          <t>R2B: unit / HRSG electrical e-house (32 x 40 ft)</t>
        </is>
      </c>
      <c r="G794" s="12" t="inlineStr">
        <is>
          <t>ET-2</t>
        </is>
      </c>
      <c r="H794" s="12" t="inlineStr">
        <is>
          <t>ET-2: excitation transformer (dry type, GTG-2 terminals)</t>
        </is>
      </c>
      <c r="I794" s="12" t="inlineStr">
        <is>
          <t>Instrumentation</t>
        </is>
      </c>
      <c r="J794" s="12" t="inlineStr">
        <is>
          <t>Instrumentation PLTC / TC-ER 300 V, #18 twisted shielded pairs, overall shield</t>
        </is>
      </c>
      <c r="K794" s="12" t="inlineStr">
        <is>
          <t>PLTC|4 pr|18</t>
        </is>
      </c>
      <c r="L794" s="12" t="inlineStr">
        <is>
          <t>4 pr</t>
        </is>
      </c>
      <c r="M794" s="12" t="inlineStr">
        <is>
          <t>18</t>
        </is>
      </c>
      <c r="N794" s="12" t="n">
        <v>1</v>
      </c>
      <c r="O794" s="12" t="n">
        <v>1</v>
      </c>
      <c r="P794" s="12" t="n"/>
      <c r="Q794" s="12" t="n"/>
      <c r="R794" s="12" t="n"/>
      <c r="S794" s="12" t="inlineStr">
        <is>
          <t>Tray</t>
        </is>
      </c>
      <c r="T794" s="16" t="n">
        <v>1277</v>
      </c>
      <c r="U794" s="16" t="n">
        <v>209</v>
      </c>
      <c r="V794" s="16">
        <f>ROUNDUP((T794+U794+2*'Read Me'!$B$13)*(1+'Read Me'!$B$12),-1)</f>
        <v/>
      </c>
      <c r="W794" s="16">
        <f>V794*N794*O794</f>
        <v/>
      </c>
      <c r="X794" s="12">
        <f>IF(LEFT(I794,2)="MV",2*N794*IF(L794="1/C",O794,1),0)</f>
        <v/>
      </c>
      <c r="Y794" s="12">
        <f>IF(OR(LEFT(K794,4)="LVAX",LEFT(K794,6)="MV15AX",LEFT(K794,4)="CTAX",LEFT(K794,2)="W|"),2*N794*O794,0)</f>
        <v/>
      </c>
      <c r="Z794" s="12" t="inlineStr"/>
      <c r="AA794" s="12">
        <f>N794*O794</f>
        <v/>
      </c>
    </row>
    <row r="795">
      <c r="A795" s="12" t="inlineStr">
        <is>
          <t>A-I-0073</t>
        </is>
      </c>
      <c r="B795" s="12" t="inlineStr">
        <is>
          <t>A</t>
        </is>
      </c>
      <c r="C795" s="12" t="inlineStr">
        <is>
          <t>Power block</t>
        </is>
      </c>
      <c r="D795" s="12" t="inlineStr">
        <is>
          <t>Instrumentation</t>
        </is>
      </c>
      <c r="E795" s="12" t="inlineStr">
        <is>
          <t>R2B</t>
        </is>
      </c>
      <c r="F795" s="12" t="inlineStr">
        <is>
          <t>R2B: unit / HRSG electrical e-house (32 x 40 ft)</t>
        </is>
      </c>
      <c r="G795" s="12" t="inlineStr">
        <is>
          <t>ET-2</t>
        </is>
      </c>
      <c r="H795" s="12" t="inlineStr">
        <is>
          <t>ET-2: excitation transformer (dry type, GTG-2 terminals)</t>
        </is>
      </c>
      <c r="I795" s="12" t="inlineStr">
        <is>
          <t>Instrumentation</t>
        </is>
      </c>
      <c r="J795" s="12" t="inlineStr">
        <is>
          <t>Instrumentation PLTC / TC-ER 300 V, #18 twisted shielded pairs, overall shield</t>
        </is>
      </c>
      <c r="K795" s="12" t="inlineStr">
        <is>
          <t>PLTC|12 pr|18</t>
        </is>
      </c>
      <c r="L795" s="12" t="inlineStr">
        <is>
          <t>12 pr</t>
        </is>
      </c>
      <c r="M795" s="12" t="inlineStr">
        <is>
          <t>18</t>
        </is>
      </c>
      <c r="N795" s="12" t="n">
        <v>1</v>
      </c>
      <c r="O795" s="12" t="n">
        <v>1</v>
      </c>
      <c r="P795" s="12" t="n"/>
      <c r="Q795" s="12" t="n"/>
      <c r="R795" s="12" t="n"/>
      <c r="S795" s="12" t="inlineStr">
        <is>
          <t>Tray</t>
        </is>
      </c>
      <c r="T795" s="16" t="n">
        <v>1277</v>
      </c>
      <c r="U795" s="16" t="n">
        <v>209</v>
      </c>
      <c r="V795" s="16">
        <f>ROUNDUP((T795+U795+2*'Read Me'!$B$13)*(1+'Read Me'!$B$12),-1)</f>
        <v/>
      </c>
      <c r="W795" s="16">
        <f>V795*N795*O795</f>
        <v/>
      </c>
      <c r="X795" s="12">
        <f>IF(LEFT(I795,2)="MV",2*N795*IF(L795="1/C",O795,1),0)</f>
        <v/>
      </c>
      <c r="Y795" s="12">
        <f>IF(OR(LEFT(K795,4)="LVAX",LEFT(K795,6)="MV15AX",LEFT(K795,4)="CTAX",LEFT(K795,2)="W|"),2*N795*O795,0)</f>
        <v/>
      </c>
      <c r="Z795" s="12" t="inlineStr"/>
      <c r="AA795" s="12">
        <f>N795*O795</f>
        <v/>
      </c>
    </row>
    <row r="796">
      <c r="A796" s="12" t="inlineStr">
        <is>
          <t>A-I-0074</t>
        </is>
      </c>
      <c r="B796" s="12" t="inlineStr">
        <is>
          <t>A</t>
        </is>
      </c>
      <c r="C796" s="12" t="inlineStr">
        <is>
          <t>Power block</t>
        </is>
      </c>
      <c r="D796" s="12" t="inlineStr">
        <is>
          <t>Instrumentation</t>
        </is>
      </c>
      <c r="E796" s="12" t="inlineStr">
        <is>
          <t>R2B</t>
        </is>
      </c>
      <c r="F796" s="12" t="inlineStr">
        <is>
          <t>R2B: unit / HRSG electrical e-house (32 x 40 ft)</t>
        </is>
      </c>
      <c r="G796" s="12" t="inlineStr">
        <is>
          <t>ET-2</t>
        </is>
      </c>
      <c r="H796" s="12" t="inlineStr">
        <is>
          <t>ET-2: excitation transformer (dry type, GTG-2 terminals)</t>
        </is>
      </c>
      <c r="I796" s="12" t="inlineStr">
        <is>
          <t>Instrumentation</t>
        </is>
      </c>
      <c r="J796" s="12" t="inlineStr">
        <is>
          <t>Instrumentation PLTC / TC-ER 300 V, #18 twisted shielded pairs, overall shield</t>
        </is>
      </c>
      <c r="K796" s="12" t="inlineStr">
        <is>
          <t>PLTC|12 pr|18</t>
        </is>
      </c>
      <c r="L796" s="12" t="inlineStr">
        <is>
          <t>12 pr</t>
        </is>
      </c>
      <c r="M796" s="12" t="inlineStr">
        <is>
          <t>18</t>
        </is>
      </c>
      <c r="N796" s="12" t="n">
        <v>1</v>
      </c>
      <c r="O796" s="12" t="n">
        <v>1</v>
      </c>
      <c r="P796" s="12" t="n"/>
      <c r="Q796" s="12" t="n"/>
      <c r="R796" s="12" t="n"/>
      <c r="S796" s="12" t="inlineStr">
        <is>
          <t>Tray</t>
        </is>
      </c>
      <c r="T796" s="16" t="n">
        <v>1277</v>
      </c>
      <c r="U796" s="16" t="n">
        <v>209</v>
      </c>
      <c r="V796" s="16">
        <f>ROUNDUP((T796+U796+2*'Read Me'!$B$13)*(1+'Read Me'!$B$12),-1)</f>
        <v/>
      </c>
      <c r="W796" s="16">
        <f>V796*N796*O796</f>
        <v/>
      </c>
      <c r="X796" s="12">
        <f>IF(LEFT(I796,2)="MV",2*N796*IF(L796="1/C",O796,1),0)</f>
        <v/>
      </c>
      <c r="Y796" s="12">
        <f>IF(OR(LEFT(K796,4)="LVAX",LEFT(K796,6)="MV15AX",LEFT(K796,4)="CTAX",LEFT(K796,2)="W|"),2*N796*O796,0)</f>
        <v/>
      </c>
      <c r="Z796" s="12" t="inlineStr"/>
      <c r="AA796" s="12">
        <f>N796*O796</f>
        <v/>
      </c>
    </row>
    <row r="797">
      <c r="A797" s="12" t="inlineStr">
        <is>
          <t>A-I-0075</t>
        </is>
      </c>
      <c r="B797" s="12" t="inlineStr">
        <is>
          <t>A</t>
        </is>
      </c>
      <c r="C797" s="12" t="inlineStr">
        <is>
          <t>Power block</t>
        </is>
      </c>
      <c r="D797" s="12" t="inlineStr">
        <is>
          <t>Instrumentation</t>
        </is>
      </c>
      <c r="E797" s="12" t="inlineStr">
        <is>
          <t>R2B</t>
        </is>
      </c>
      <c r="F797" s="12" t="inlineStr">
        <is>
          <t>R2B: unit / HRSG electrical e-house (32 x 40 ft)</t>
        </is>
      </c>
      <c r="G797" s="12" t="inlineStr">
        <is>
          <t>ET-2</t>
        </is>
      </c>
      <c r="H797" s="12" t="inlineStr">
        <is>
          <t>ET-2: excitation transformer (dry type, GTG-2 terminals)</t>
        </is>
      </c>
      <c r="I797" s="12" t="inlineStr">
        <is>
          <t>Instrumentation</t>
        </is>
      </c>
      <c r="J797" s="12" t="inlineStr">
        <is>
          <t>Instrumentation PLTC / TC-ER 300 V, #18 twisted shielded pairs, overall shield</t>
        </is>
      </c>
      <c r="K797" s="12" t="inlineStr">
        <is>
          <t>PLTC|12 pr|18</t>
        </is>
      </c>
      <c r="L797" s="12" t="inlineStr">
        <is>
          <t>12 pr</t>
        </is>
      </c>
      <c r="M797" s="12" t="inlineStr">
        <is>
          <t>18</t>
        </is>
      </c>
      <c r="N797" s="12" t="n">
        <v>1</v>
      </c>
      <c r="O797" s="12" t="n">
        <v>1</v>
      </c>
      <c r="P797" s="12" t="n"/>
      <c r="Q797" s="12" t="n"/>
      <c r="R797" s="12" t="n"/>
      <c r="S797" s="12" t="inlineStr">
        <is>
          <t>Tray</t>
        </is>
      </c>
      <c r="T797" s="16" t="n">
        <v>1277</v>
      </c>
      <c r="U797" s="16" t="n">
        <v>209</v>
      </c>
      <c r="V797" s="16">
        <f>ROUNDUP((T797+U797+2*'Read Me'!$B$13)*(1+'Read Me'!$B$12),-1)</f>
        <v/>
      </c>
      <c r="W797" s="16">
        <f>V797*N797*O797</f>
        <v/>
      </c>
      <c r="X797" s="12">
        <f>IF(LEFT(I797,2)="MV",2*N797*IF(L797="1/C",O797,1),0)</f>
        <v/>
      </c>
      <c r="Y797" s="12">
        <f>IF(OR(LEFT(K797,4)="LVAX",LEFT(K797,6)="MV15AX",LEFT(K797,4)="CTAX",LEFT(K797,2)="W|"),2*N797*O797,0)</f>
        <v/>
      </c>
      <c r="Z797" s="12" t="inlineStr"/>
      <c r="AA797" s="12">
        <f>N797*O797</f>
        <v/>
      </c>
    </row>
    <row r="798">
      <c r="A798" s="12" t="inlineStr">
        <is>
          <t>A-I-0076</t>
        </is>
      </c>
      <c r="B798" s="12" t="inlineStr">
        <is>
          <t>A</t>
        </is>
      </c>
      <c r="C798" s="12" t="inlineStr">
        <is>
          <t>Power block</t>
        </is>
      </c>
      <c r="D798" s="12" t="inlineStr">
        <is>
          <t>Instrumentation</t>
        </is>
      </c>
      <c r="E798" s="12" t="inlineStr">
        <is>
          <t>R2B</t>
        </is>
      </c>
      <c r="F798" s="12" t="inlineStr">
        <is>
          <t>R2B: unit / HRSG electrical e-house (32 x 40 ft)</t>
        </is>
      </c>
      <c r="G798" s="12" t="inlineStr">
        <is>
          <t>ET-2</t>
        </is>
      </c>
      <c r="H798" s="12" t="inlineStr">
        <is>
          <t>ET-2: excitation transformer (dry type, GTG-2 terminals)</t>
        </is>
      </c>
      <c r="I798" s="12" t="inlineStr">
        <is>
          <t>Instrumentation</t>
        </is>
      </c>
      <c r="J798" s="12" t="inlineStr">
        <is>
          <t>Instrumentation PLTC / TC-ER 300 V, #18 twisted shielded pairs, overall shield</t>
        </is>
      </c>
      <c r="K798" s="12" t="inlineStr">
        <is>
          <t>PLTC|12 pr|18</t>
        </is>
      </c>
      <c r="L798" s="12" t="inlineStr">
        <is>
          <t>12 pr</t>
        </is>
      </c>
      <c r="M798" s="12" t="inlineStr">
        <is>
          <t>18</t>
        </is>
      </c>
      <c r="N798" s="12" t="n">
        <v>1</v>
      </c>
      <c r="O798" s="12" t="n">
        <v>1</v>
      </c>
      <c r="P798" s="12" t="n"/>
      <c r="Q798" s="12" t="n"/>
      <c r="R798" s="12" t="n"/>
      <c r="S798" s="12" t="inlineStr">
        <is>
          <t>Tray</t>
        </is>
      </c>
      <c r="T798" s="16" t="n">
        <v>1277</v>
      </c>
      <c r="U798" s="16" t="n">
        <v>209</v>
      </c>
      <c r="V798" s="16">
        <f>ROUNDUP((T798+U798+2*'Read Me'!$B$13)*(1+'Read Me'!$B$12),-1)</f>
        <v/>
      </c>
      <c r="W798" s="16">
        <f>V798*N798*O798</f>
        <v/>
      </c>
      <c r="X798" s="12">
        <f>IF(LEFT(I798,2)="MV",2*N798*IF(L798="1/C",O798,1),0)</f>
        <v/>
      </c>
      <c r="Y798" s="12">
        <f>IF(OR(LEFT(K798,4)="LVAX",LEFT(K798,6)="MV15AX",LEFT(K798,4)="CTAX",LEFT(K798,2)="W|"),2*N798*O798,0)</f>
        <v/>
      </c>
      <c r="Z798" s="12" t="inlineStr"/>
      <c r="AA798" s="12">
        <f>N798*O798</f>
        <v/>
      </c>
    </row>
    <row r="799">
      <c r="A799" s="12" t="inlineStr">
        <is>
          <t>A-I-0077</t>
        </is>
      </c>
      <c r="B799" s="12" t="inlineStr">
        <is>
          <t>A</t>
        </is>
      </c>
      <c r="C799" s="12" t="inlineStr">
        <is>
          <t>Power block</t>
        </is>
      </c>
      <c r="D799" s="12" t="inlineStr">
        <is>
          <t>Instrumentation</t>
        </is>
      </c>
      <c r="E799" s="12" t="inlineStr">
        <is>
          <t>R2B</t>
        </is>
      </c>
      <c r="F799" s="12" t="inlineStr">
        <is>
          <t>R2B: unit / HRSG electrical e-house (32 x 40 ft)</t>
        </is>
      </c>
      <c r="G799" s="12" t="inlineStr">
        <is>
          <t>ET-2</t>
        </is>
      </c>
      <c r="H799" s="12" t="inlineStr">
        <is>
          <t>ET-2: excitation transformer (dry type, GTG-2 terminals)</t>
        </is>
      </c>
      <c r="I799" s="12" t="inlineStr">
        <is>
          <t>Instrumentation</t>
        </is>
      </c>
      <c r="J799" s="12" t="inlineStr">
        <is>
          <t>Instrumentation PLTC / TC-ER 300 V, #18 twisted shielded pairs, overall shield</t>
        </is>
      </c>
      <c r="K799" s="12" t="inlineStr">
        <is>
          <t>PLTC|12 pr|18</t>
        </is>
      </c>
      <c r="L799" s="12" t="inlineStr">
        <is>
          <t>12 pr</t>
        </is>
      </c>
      <c r="M799" s="12" t="inlineStr">
        <is>
          <t>18</t>
        </is>
      </c>
      <c r="N799" s="12" t="n">
        <v>1</v>
      </c>
      <c r="O799" s="12" t="n">
        <v>1</v>
      </c>
      <c r="P799" s="12" t="n"/>
      <c r="Q799" s="12" t="n"/>
      <c r="R799" s="12" t="n"/>
      <c r="S799" s="12" t="inlineStr">
        <is>
          <t>Tray</t>
        </is>
      </c>
      <c r="T799" s="16" t="n">
        <v>1277</v>
      </c>
      <c r="U799" s="16" t="n">
        <v>209</v>
      </c>
      <c r="V799" s="16">
        <f>ROUNDUP((T799+U799+2*'Read Me'!$B$13)*(1+'Read Me'!$B$12),-1)</f>
        <v/>
      </c>
      <c r="W799" s="16">
        <f>V799*N799*O799</f>
        <v/>
      </c>
      <c r="X799" s="12">
        <f>IF(LEFT(I799,2)="MV",2*N799*IF(L799="1/C",O799,1),0)</f>
        <v/>
      </c>
      <c r="Y799" s="12">
        <f>IF(OR(LEFT(K799,4)="LVAX",LEFT(K799,6)="MV15AX",LEFT(K799,4)="CTAX",LEFT(K799,2)="W|"),2*N799*O799,0)</f>
        <v/>
      </c>
      <c r="Z799" s="12" t="inlineStr"/>
      <c r="AA799" s="12">
        <f>N799*O799</f>
        <v/>
      </c>
    </row>
    <row r="800">
      <c r="A800" s="12" t="inlineStr">
        <is>
          <t>A-I-0078</t>
        </is>
      </c>
      <c r="B800" s="12" t="inlineStr">
        <is>
          <t>A</t>
        </is>
      </c>
      <c r="C800" s="12" t="inlineStr">
        <is>
          <t>Power block</t>
        </is>
      </c>
      <c r="D800" s="12" t="inlineStr">
        <is>
          <t>Instrumentation</t>
        </is>
      </c>
      <c r="E800" s="12" t="inlineStr">
        <is>
          <t>R2B</t>
        </is>
      </c>
      <c r="F800" s="12" t="inlineStr">
        <is>
          <t>R2B: unit / HRSG electrical e-house (32 x 40 ft)</t>
        </is>
      </c>
      <c r="G800" s="12" t="inlineStr">
        <is>
          <t>ET-2</t>
        </is>
      </c>
      <c r="H800" s="12" t="inlineStr">
        <is>
          <t>ET-2: excitation transformer (dry type, GTG-2 terminals)</t>
        </is>
      </c>
      <c r="I800" s="12" t="inlineStr">
        <is>
          <t>Instrumentation</t>
        </is>
      </c>
      <c r="J800" s="12" t="inlineStr">
        <is>
          <t>Instrumentation PLTC / TC-ER 300 V, #18 twisted shielded pairs, overall shield</t>
        </is>
      </c>
      <c r="K800" s="12" t="inlineStr">
        <is>
          <t>PLTC|12 pr|18</t>
        </is>
      </c>
      <c r="L800" s="12" t="inlineStr">
        <is>
          <t>12 pr</t>
        </is>
      </c>
      <c r="M800" s="12" t="inlineStr">
        <is>
          <t>18</t>
        </is>
      </c>
      <c r="N800" s="12" t="n">
        <v>1</v>
      </c>
      <c r="O800" s="12" t="n">
        <v>1</v>
      </c>
      <c r="P800" s="12" t="n"/>
      <c r="Q800" s="12" t="n"/>
      <c r="R800" s="12" t="n"/>
      <c r="S800" s="12" t="inlineStr">
        <is>
          <t>Tray</t>
        </is>
      </c>
      <c r="T800" s="16" t="n">
        <v>1277</v>
      </c>
      <c r="U800" s="16" t="n">
        <v>209</v>
      </c>
      <c r="V800" s="16">
        <f>ROUNDUP((T800+U800+2*'Read Me'!$B$13)*(1+'Read Me'!$B$12),-1)</f>
        <v/>
      </c>
      <c r="W800" s="16">
        <f>V800*N800*O800</f>
        <v/>
      </c>
      <c r="X800" s="12">
        <f>IF(LEFT(I800,2)="MV",2*N800*IF(L800="1/C",O800,1),0)</f>
        <v/>
      </c>
      <c r="Y800" s="12">
        <f>IF(OR(LEFT(K800,4)="LVAX",LEFT(K800,6)="MV15AX",LEFT(K800,4)="CTAX",LEFT(K800,2)="W|"),2*N800*O800,0)</f>
        <v/>
      </c>
      <c r="Z800" s="12" t="inlineStr"/>
      <c r="AA800" s="12">
        <f>N800*O800</f>
        <v/>
      </c>
    </row>
    <row r="801">
      <c r="A801" s="12" t="inlineStr">
        <is>
          <t>A-I-0079</t>
        </is>
      </c>
      <c r="B801" s="12" t="inlineStr">
        <is>
          <t>A</t>
        </is>
      </c>
      <c r="C801" s="12" t="inlineStr">
        <is>
          <t>Power block</t>
        </is>
      </c>
      <c r="D801" s="12" t="inlineStr">
        <is>
          <t>Instrumentation</t>
        </is>
      </c>
      <c r="E801" s="12" t="inlineStr">
        <is>
          <t>R2B</t>
        </is>
      </c>
      <c r="F801" s="12" t="inlineStr">
        <is>
          <t>R2B: unit / HRSG electrical e-house (32 x 40 ft)</t>
        </is>
      </c>
      <c r="G801" s="12" t="inlineStr">
        <is>
          <t>ET-2</t>
        </is>
      </c>
      <c r="H801" s="12" t="inlineStr">
        <is>
          <t>ET-2: excitation transformer (dry type, GTG-2 terminals)</t>
        </is>
      </c>
      <c r="I801" s="12" t="inlineStr">
        <is>
          <t>Instrumentation</t>
        </is>
      </c>
      <c r="J801" s="12" t="inlineStr">
        <is>
          <t>Instrumentation PLTC / TC-ER 300 V, #18 twisted shielded pairs, overall shield</t>
        </is>
      </c>
      <c r="K801" s="12" t="inlineStr">
        <is>
          <t>PLTC|12 pr|18</t>
        </is>
      </c>
      <c r="L801" s="12" t="inlineStr">
        <is>
          <t>12 pr</t>
        </is>
      </c>
      <c r="M801" s="12" t="inlineStr">
        <is>
          <t>18</t>
        </is>
      </c>
      <c r="N801" s="12" t="n">
        <v>1</v>
      </c>
      <c r="O801" s="12" t="n">
        <v>1</v>
      </c>
      <c r="P801" s="12" t="n"/>
      <c r="Q801" s="12" t="n"/>
      <c r="R801" s="12" t="n"/>
      <c r="S801" s="12" t="inlineStr">
        <is>
          <t>Tray</t>
        </is>
      </c>
      <c r="T801" s="16" t="n">
        <v>1277</v>
      </c>
      <c r="U801" s="16" t="n">
        <v>209</v>
      </c>
      <c r="V801" s="16">
        <f>ROUNDUP((T801+U801+2*'Read Me'!$B$13)*(1+'Read Me'!$B$12),-1)</f>
        <v/>
      </c>
      <c r="W801" s="16">
        <f>V801*N801*O801</f>
        <v/>
      </c>
      <c r="X801" s="12">
        <f>IF(LEFT(I801,2)="MV",2*N801*IF(L801="1/C",O801,1),0)</f>
        <v/>
      </c>
      <c r="Y801" s="12">
        <f>IF(OR(LEFT(K801,4)="LVAX",LEFT(K801,6)="MV15AX",LEFT(K801,4)="CTAX",LEFT(K801,2)="W|"),2*N801*O801,0)</f>
        <v/>
      </c>
      <c r="Z801" s="12" t="inlineStr"/>
      <c r="AA801" s="12">
        <f>N801*O801</f>
        <v/>
      </c>
    </row>
    <row r="802">
      <c r="A802" s="12" t="inlineStr">
        <is>
          <t>A-I-0080</t>
        </is>
      </c>
      <c r="B802" s="12" t="inlineStr">
        <is>
          <t>A</t>
        </is>
      </c>
      <c r="C802" s="12" t="inlineStr">
        <is>
          <t>Power block</t>
        </is>
      </c>
      <c r="D802" s="12" t="inlineStr">
        <is>
          <t>Instrumentation</t>
        </is>
      </c>
      <c r="E802" s="12" t="inlineStr">
        <is>
          <t>R2B</t>
        </is>
      </c>
      <c r="F802" s="12" t="inlineStr">
        <is>
          <t>R2B: unit / HRSG electrical e-house (32 x 40 ft)</t>
        </is>
      </c>
      <c r="G802" s="12" t="inlineStr">
        <is>
          <t>ET-2</t>
        </is>
      </c>
      <c r="H802" s="12" t="inlineStr">
        <is>
          <t>ET-2: excitation transformer (dry type, GTG-2 terminals)</t>
        </is>
      </c>
      <c r="I802" s="12" t="inlineStr">
        <is>
          <t>Instrumentation</t>
        </is>
      </c>
      <c r="J802" s="12" t="inlineStr">
        <is>
          <t>Instrumentation PLTC / TC-ER 300 V, #18 twisted shielded pairs, overall shield</t>
        </is>
      </c>
      <c r="K802" s="12" t="inlineStr">
        <is>
          <t>PLTC|12 pr|18</t>
        </is>
      </c>
      <c r="L802" s="12" t="inlineStr">
        <is>
          <t>12 pr</t>
        </is>
      </c>
      <c r="M802" s="12" t="inlineStr">
        <is>
          <t>18</t>
        </is>
      </c>
      <c r="N802" s="12" t="n">
        <v>1</v>
      </c>
      <c r="O802" s="12" t="n">
        <v>1</v>
      </c>
      <c r="P802" s="12" t="n"/>
      <c r="Q802" s="12" t="n"/>
      <c r="R802" s="12" t="n"/>
      <c r="S802" s="12" t="inlineStr">
        <is>
          <t>Tray</t>
        </is>
      </c>
      <c r="T802" s="16" t="n">
        <v>1277</v>
      </c>
      <c r="U802" s="16" t="n">
        <v>209</v>
      </c>
      <c r="V802" s="16">
        <f>ROUNDUP((T802+U802+2*'Read Me'!$B$13)*(1+'Read Me'!$B$12),-1)</f>
        <v/>
      </c>
      <c r="W802" s="16">
        <f>V802*N802*O802</f>
        <v/>
      </c>
      <c r="X802" s="12">
        <f>IF(LEFT(I802,2)="MV",2*N802*IF(L802="1/C",O802,1),0)</f>
        <v/>
      </c>
      <c r="Y802" s="12">
        <f>IF(OR(LEFT(K802,4)="LVAX",LEFT(K802,6)="MV15AX",LEFT(K802,4)="CTAX",LEFT(K802,2)="W|"),2*N802*O802,0)</f>
        <v/>
      </c>
      <c r="Z802" s="12" t="inlineStr"/>
      <c r="AA802" s="12">
        <f>N802*O802</f>
        <v/>
      </c>
    </row>
    <row r="803">
      <c r="A803" s="12" t="inlineStr">
        <is>
          <t>A-I-0081</t>
        </is>
      </c>
      <c r="B803" s="12" t="inlineStr">
        <is>
          <t>A</t>
        </is>
      </c>
      <c r="C803" s="12" t="inlineStr">
        <is>
          <t>Power block</t>
        </is>
      </c>
      <c r="D803" s="12" t="inlineStr">
        <is>
          <t>Instrumentation</t>
        </is>
      </c>
      <c r="E803" s="12" t="inlineStr">
        <is>
          <t>R2C</t>
        </is>
      </c>
      <c r="F803" s="12" t="inlineStr">
        <is>
          <t>R2C: unit / HRSG electrical e-house (32 x 40 ft)</t>
        </is>
      </c>
      <c r="G803" s="12" t="inlineStr">
        <is>
          <t>ET-3</t>
        </is>
      </c>
      <c r="H803" s="12" t="inlineStr">
        <is>
          <t>ET-3: excitation transformer (dry type, GTG-3 terminals)</t>
        </is>
      </c>
      <c r="I803" s="12" t="inlineStr">
        <is>
          <t>Instrumentation</t>
        </is>
      </c>
      <c r="J803" s="12" t="inlineStr">
        <is>
          <t>Instrumentation PLTC / TC-ER 300 V, #18 twisted shielded pairs, overall shield</t>
        </is>
      </c>
      <c r="K803" s="12" t="inlineStr">
        <is>
          <t>PLTC|4 pr|18</t>
        </is>
      </c>
      <c r="L803" s="12" t="inlineStr">
        <is>
          <t>4 pr</t>
        </is>
      </c>
      <c r="M803" s="12" t="inlineStr">
        <is>
          <t>18</t>
        </is>
      </c>
      <c r="N803" s="12" t="n">
        <v>1</v>
      </c>
      <c r="O803" s="12" t="n">
        <v>1</v>
      </c>
      <c r="P803" s="12" t="n"/>
      <c r="Q803" s="12" t="n"/>
      <c r="R803" s="12" t="n"/>
      <c r="S803" s="12" t="inlineStr">
        <is>
          <t>Duct bank</t>
        </is>
      </c>
      <c r="T803" s="16" t="n">
        <v>1214</v>
      </c>
      <c r="U803" s="16" t="n">
        <v>102</v>
      </c>
      <c r="V803" s="16">
        <f>ROUNDUP((T803+U803+2*'Read Me'!$B$13)*(1+'Read Me'!$B$12),-1)</f>
        <v/>
      </c>
      <c r="W803" s="16">
        <f>V803*N803*O803</f>
        <v/>
      </c>
      <c r="X803" s="12">
        <f>IF(LEFT(I803,2)="MV",2*N803*IF(L803="1/C",O803,1),0)</f>
        <v/>
      </c>
      <c r="Y803" s="12">
        <f>IF(OR(LEFT(K803,4)="LVAX",LEFT(K803,6)="MV15AX",LEFT(K803,4)="CTAX",LEFT(K803,2)="W|"),2*N803*O803,0)</f>
        <v/>
      </c>
      <c r="Z803" s="12" t="inlineStr"/>
      <c r="AA803" s="12">
        <f>N803*O803</f>
        <v/>
      </c>
    </row>
    <row r="804">
      <c r="A804" s="12" t="inlineStr">
        <is>
          <t>A-I-0082</t>
        </is>
      </c>
      <c r="B804" s="12" t="inlineStr">
        <is>
          <t>A</t>
        </is>
      </c>
      <c r="C804" s="12" t="inlineStr">
        <is>
          <t>Power block</t>
        </is>
      </c>
      <c r="D804" s="12" t="inlineStr">
        <is>
          <t>Instrumentation</t>
        </is>
      </c>
      <c r="E804" s="12" t="inlineStr">
        <is>
          <t>R2C</t>
        </is>
      </c>
      <c r="F804" s="12" t="inlineStr">
        <is>
          <t>R2C: unit / HRSG electrical e-house (32 x 40 ft)</t>
        </is>
      </c>
      <c r="G804" s="12" t="inlineStr">
        <is>
          <t>ET-3</t>
        </is>
      </c>
      <c r="H804" s="12" t="inlineStr">
        <is>
          <t>ET-3: excitation transformer (dry type, GTG-3 terminals)</t>
        </is>
      </c>
      <c r="I804" s="12" t="inlineStr">
        <is>
          <t>Instrumentation</t>
        </is>
      </c>
      <c r="J804" s="12" t="inlineStr">
        <is>
          <t>Instrumentation PLTC / TC-ER 300 V, #18 twisted shielded pairs, overall shield</t>
        </is>
      </c>
      <c r="K804" s="12" t="inlineStr">
        <is>
          <t>PLTC|4 pr|18</t>
        </is>
      </c>
      <c r="L804" s="12" t="inlineStr">
        <is>
          <t>4 pr</t>
        </is>
      </c>
      <c r="M804" s="12" t="inlineStr">
        <is>
          <t>18</t>
        </is>
      </c>
      <c r="N804" s="12" t="n">
        <v>1</v>
      </c>
      <c r="O804" s="12" t="n">
        <v>1</v>
      </c>
      <c r="P804" s="12" t="n"/>
      <c r="Q804" s="12" t="n"/>
      <c r="R804" s="12" t="n"/>
      <c r="S804" s="12" t="inlineStr">
        <is>
          <t>Duct bank</t>
        </is>
      </c>
      <c r="T804" s="16" t="n">
        <v>1214</v>
      </c>
      <c r="U804" s="16" t="n">
        <v>102</v>
      </c>
      <c r="V804" s="16">
        <f>ROUNDUP((T804+U804+2*'Read Me'!$B$13)*(1+'Read Me'!$B$12),-1)</f>
        <v/>
      </c>
      <c r="W804" s="16">
        <f>V804*N804*O804</f>
        <v/>
      </c>
      <c r="X804" s="12">
        <f>IF(LEFT(I804,2)="MV",2*N804*IF(L804="1/C",O804,1),0)</f>
        <v/>
      </c>
      <c r="Y804" s="12">
        <f>IF(OR(LEFT(K804,4)="LVAX",LEFT(K804,6)="MV15AX",LEFT(K804,4)="CTAX",LEFT(K804,2)="W|"),2*N804*O804,0)</f>
        <v/>
      </c>
      <c r="Z804" s="12" t="inlineStr"/>
      <c r="AA804" s="12">
        <f>N804*O804</f>
        <v/>
      </c>
    </row>
    <row r="805">
      <c r="A805" s="12" t="inlineStr">
        <is>
          <t>A-I-0083</t>
        </is>
      </c>
      <c r="B805" s="12" t="inlineStr">
        <is>
          <t>A</t>
        </is>
      </c>
      <c r="C805" s="12" t="inlineStr">
        <is>
          <t>Power block</t>
        </is>
      </c>
      <c r="D805" s="12" t="inlineStr">
        <is>
          <t>Instrumentation</t>
        </is>
      </c>
      <c r="E805" s="12" t="inlineStr">
        <is>
          <t>R2C</t>
        </is>
      </c>
      <c r="F805" s="12" t="inlineStr">
        <is>
          <t>R2C: unit / HRSG electrical e-house (32 x 40 ft)</t>
        </is>
      </c>
      <c r="G805" s="12" t="inlineStr">
        <is>
          <t>ET-3</t>
        </is>
      </c>
      <c r="H805" s="12" t="inlineStr">
        <is>
          <t>ET-3: excitation transformer (dry type, GTG-3 terminals)</t>
        </is>
      </c>
      <c r="I805" s="12" t="inlineStr">
        <is>
          <t>Instrumentation</t>
        </is>
      </c>
      <c r="J805" s="12" t="inlineStr">
        <is>
          <t>Instrumentation PLTC / TC-ER 300 V, #18 twisted shielded pairs, overall shield</t>
        </is>
      </c>
      <c r="K805" s="12" t="inlineStr">
        <is>
          <t>PLTC|12 pr|18</t>
        </is>
      </c>
      <c r="L805" s="12" t="inlineStr">
        <is>
          <t>12 pr</t>
        </is>
      </c>
      <c r="M805" s="12" t="inlineStr">
        <is>
          <t>18</t>
        </is>
      </c>
      <c r="N805" s="12" t="n">
        <v>1</v>
      </c>
      <c r="O805" s="12" t="n">
        <v>1</v>
      </c>
      <c r="P805" s="12" t="n"/>
      <c r="Q805" s="12" t="n"/>
      <c r="R805" s="12" t="n"/>
      <c r="S805" s="12" t="inlineStr">
        <is>
          <t>Duct bank</t>
        </is>
      </c>
      <c r="T805" s="16" t="n">
        <v>1214</v>
      </c>
      <c r="U805" s="16" t="n">
        <v>102</v>
      </c>
      <c r="V805" s="16">
        <f>ROUNDUP((T805+U805+2*'Read Me'!$B$13)*(1+'Read Me'!$B$12),-1)</f>
        <v/>
      </c>
      <c r="W805" s="16">
        <f>V805*N805*O805</f>
        <v/>
      </c>
      <c r="X805" s="12">
        <f>IF(LEFT(I805,2)="MV",2*N805*IF(L805="1/C",O805,1),0)</f>
        <v/>
      </c>
      <c r="Y805" s="12">
        <f>IF(OR(LEFT(K805,4)="LVAX",LEFT(K805,6)="MV15AX",LEFT(K805,4)="CTAX",LEFT(K805,2)="W|"),2*N805*O805,0)</f>
        <v/>
      </c>
      <c r="Z805" s="12" t="inlineStr"/>
      <c r="AA805" s="12">
        <f>N805*O805</f>
        <v/>
      </c>
    </row>
    <row r="806">
      <c r="A806" s="12" t="inlineStr">
        <is>
          <t>A-I-0084</t>
        </is>
      </c>
      <c r="B806" s="12" t="inlineStr">
        <is>
          <t>A</t>
        </is>
      </c>
      <c r="C806" s="12" t="inlineStr">
        <is>
          <t>Power block</t>
        </is>
      </c>
      <c r="D806" s="12" t="inlineStr">
        <is>
          <t>Instrumentation</t>
        </is>
      </c>
      <c r="E806" s="12" t="inlineStr">
        <is>
          <t>R2C</t>
        </is>
      </c>
      <c r="F806" s="12" t="inlineStr">
        <is>
          <t>R2C: unit / HRSG electrical e-house (32 x 40 ft)</t>
        </is>
      </c>
      <c r="G806" s="12" t="inlineStr">
        <is>
          <t>ET-3</t>
        </is>
      </c>
      <c r="H806" s="12" t="inlineStr">
        <is>
          <t>ET-3: excitation transformer (dry type, GTG-3 terminals)</t>
        </is>
      </c>
      <c r="I806" s="12" t="inlineStr">
        <is>
          <t>Instrumentation</t>
        </is>
      </c>
      <c r="J806" s="12" t="inlineStr">
        <is>
          <t>Instrumentation PLTC / TC-ER 300 V, #18 twisted shielded pairs, overall shield</t>
        </is>
      </c>
      <c r="K806" s="12" t="inlineStr">
        <is>
          <t>PLTC|12 pr|18</t>
        </is>
      </c>
      <c r="L806" s="12" t="inlineStr">
        <is>
          <t>12 pr</t>
        </is>
      </c>
      <c r="M806" s="12" t="inlineStr">
        <is>
          <t>18</t>
        </is>
      </c>
      <c r="N806" s="12" t="n">
        <v>1</v>
      </c>
      <c r="O806" s="12" t="n">
        <v>1</v>
      </c>
      <c r="P806" s="12" t="n"/>
      <c r="Q806" s="12" t="n"/>
      <c r="R806" s="12" t="n"/>
      <c r="S806" s="12" t="inlineStr">
        <is>
          <t>Duct bank</t>
        </is>
      </c>
      <c r="T806" s="16" t="n">
        <v>1214</v>
      </c>
      <c r="U806" s="16" t="n">
        <v>102</v>
      </c>
      <c r="V806" s="16">
        <f>ROUNDUP((T806+U806+2*'Read Me'!$B$13)*(1+'Read Me'!$B$12),-1)</f>
        <v/>
      </c>
      <c r="W806" s="16">
        <f>V806*N806*O806</f>
        <v/>
      </c>
      <c r="X806" s="12">
        <f>IF(LEFT(I806,2)="MV",2*N806*IF(L806="1/C",O806,1),0)</f>
        <v/>
      </c>
      <c r="Y806" s="12">
        <f>IF(OR(LEFT(K806,4)="LVAX",LEFT(K806,6)="MV15AX",LEFT(K806,4)="CTAX",LEFT(K806,2)="W|"),2*N806*O806,0)</f>
        <v/>
      </c>
      <c r="Z806" s="12" t="inlineStr"/>
      <c r="AA806" s="12">
        <f>N806*O806</f>
        <v/>
      </c>
    </row>
    <row r="807">
      <c r="A807" s="12" t="inlineStr">
        <is>
          <t>A-I-0085</t>
        </is>
      </c>
      <c r="B807" s="12" t="inlineStr">
        <is>
          <t>A</t>
        </is>
      </c>
      <c r="C807" s="12" t="inlineStr">
        <is>
          <t>Power block</t>
        </is>
      </c>
      <c r="D807" s="12" t="inlineStr">
        <is>
          <t>Instrumentation</t>
        </is>
      </c>
      <c r="E807" s="12" t="inlineStr">
        <is>
          <t>R2C</t>
        </is>
      </c>
      <c r="F807" s="12" t="inlineStr">
        <is>
          <t>R2C: unit / HRSG electrical e-house (32 x 40 ft)</t>
        </is>
      </c>
      <c r="G807" s="12" t="inlineStr">
        <is>
          <t>ET-3</t>
        </is>
      </c>
      <c r="H807" s="12" t="inlineStr">
        <is>
          <t>ET-3: excitation transformer (dry type, GTG-3 terminals)</t>
        </is>
      </c>
      <c r="I807" s="12" t="inlineStr">
        <is>
          <t>Instrumentation</t>
        </is>
      </c>
      <c r="J807" s="12" t="inlineStr">
        <is>
          <t>Instrumentation PLTC / TC-ER 300 V, #18 twisted shielded pairs, overall shield</t>
        </is>
      </c>
      <c r="K807" s="12" t="inlineStr">
        <is>
          <t>PLTC|12 pr|18</t>
        </is>
      </c>
      <c r="L807" s="12" t="inlineStr">
        <is>
          <t>12 pr</t>
        </is>
      </c>
      <c r="M807" s="12" t="inlineStr">
        <is>
          <t>18</t>
        </is>
      </c>
      <c r="N807" s="12" t="n">
        <v>1</v>
      </c>
      <c r="O807" s="12" t="n">
        <v>1</v>
      </c>
      <c r="P807" s="12" t="n"/>
      <c r="Q807" s="12" t="n"/>
      <c r="R807" s="12" t="n"/>
      <c r="S807" s="12" t="inlineStr">
        <is>
          <t>Duct bank</t>
        </is>
      </c>
      <c r="T807" s="16" t="n">
        <v>1214</v>
      </c>
      <c r="U807" s="16" t="n">
        <v>102</v>
      </c>
      <c r="V807" s="16">
        <f>ROUNDUP((T807+U807+2*'Read Me'!$B$13)*(1+'Read Me'!$B$12),-1)</f>
        <v/>
      </c>
      <c r="W807" s="16">
        <f>V807*N807*O807</f>
        <v/>
      </c>
      <c r="X807" s="12">
        <f>IF(LEFT(I807,2)="MV",2*N807*IF(L807="1/C",O807,1),0)</f>
        <v/>
      </c>
      <c r="Y807" s="12">
        <f>IF(OR(LEFT(K807,4)="LVAX",LEFT(K807,6)="MV15AX",LEFT(K807,4)="CTAX",LEFT(K807,2)="W|"),2*N807*O807,0)</f>
        <v/>
      </c>
      <c r="Z807" s="12" t="inlineStr"/>
      <c r="AA807" s="12">
        <f>N807*O807</f>
        <v/>
      </c>
    </row>
    <row r="808">
      <c r="A808" s="12" t="inlineStr">
        <is>
          <t>A-I-0086</t>
        </is>
      </c>
      <c r="B808" s="12" t="inlineStr">
        <is>
          <t>A</t>
        </is>
      </c>
      <c r="C808" s="12" t="inlineStr">
        <is>
          <t>Power block</t>
        </is>
      </c>
      <c r="D808" s="12" t="inlineStr">
        <is>
          <t>Instrumentation</t>
        </is>
      </c>
      <c r="E808" s="12" t="inlineStr">
        <is>
          <t>R2C</t>
        </is>
      </c>
      <c r="F808" s="12" t="inlineStr">
        <is>
          <t>R2C: unit / HRSG electrical e-house (32 x 40 ft)</t>
        </is>
      </c>
      <c r="G808" s="12" t="inlineStr">
        <is>
          <t>ET-3</t>
        </is>
      </c>
      <c r="H808" s="12" t="inlineStr">
        <is>
          <t>ET-3: excitation transformer (dry type, GTG-3 terminals)</t>
        </is>
      </c>
      <c r="I808" s="12" t="inlineStr">
        <is>
          <t>Instrumentation</t>
        </is>
      </c>
      <c r="J808" s="12" t="inlineStr">
        <is>
          <t>Instrumentation PLTC / TC-ER 300 V, #18 twisted shielded pairs, overall shield</t>
        </is>
      </c>
      <c r="K808" s="12" t="inlineStr">
        <is>
          <t>PLTC|12 pr|18</t>
        </is>
      </c>
      <c r="L808" s="12" t="inlineStr">
        <is>
          <t>12 pr</t>
        </is>
      </c>
      <c r="M808" s="12" t="inlineStr">
        <is>
          <t>18</t>
        </is>
      </c>
      <c r="N808" s="12" t="n">
        <v>1</v>
      </c>
      <c r="O808" s="12" t="n">
        <v>1</v>
      </c>
      <c r="P808" s="12" t="n"/>
      <c r="Q808" s="12" t="n"/>
      <c r="R808" s="12" t="n"/>
      <c r="S808" s="12" t="inlineStr">
        <is>
          <t>Duct bank</t>
        </is>
      </c>
      <c r="T808" s="16" t="n">
        <v>1214</v>
      </c>
      <c r="U808" s="16" t="n">
        <v>102</v>
      </c>
      <c r="V808" s="16">
        <f>ROUNDUP((T808+U808+2*'Read Me'!$B$13)*(1+'Read Me'!$B$12),-1)</f>
        <v/>
      </c>
      <c r="W808" s="16">
        <f>V808*N808*O808</f>
        <v/>
      </c>
      <c r="X808" s="12">
        <f>IF(LEFT(I808,2)="MV",2*N808*IF(L808="1/C",O808,1),0)</f>
        <v/>
      </c>
      <c r="Y808" s="12">
        <f>IF(OR(LEFT(K808,4)="LVAX",LEFT(K808,6)="MV15AX",LEFT(K808,4)="CTAX",LEFT(K808,2)="W|"),2*N808*O808,0)</f>
        <v/>
      </c>
      <c r="Z808" s="12" t="inlineStr"/>
      <c r="AA808" s="12">
        <f>N808*O808</f>
        <v/>
      </c>
    </row>
    <row r="809">
      <c r="A809" s="12" t="inlineStr">
        <is>
          <t>A-I-0087</t>
        </is>
      </c>
      <c r="B809" s="12" t="inlineStr">
        <is>
          <t>A</t>
        </is>
      </c>
      <c r="C809" s="12" t="inlineStr">
        <is>
          <t>Power block</t>
        </is>
      </c>
      <c r="D809" s="12" t="inlineStr">
        <is>
          <t>Instrumentation</t>
        </is>
      </c>
      <c r="E809" s="12" t="inlineStr">
        <is>
          <t>R2C</t>
        </is>
      </c>
      <c r="F809" s="12" t="inlineStr">
        <is>
          <t>R2C: unit / HRSG electrical e-house (32 x 40 ft)</t>
        </is>
      </c>
      <c r="G809" s="12" t="inlineStr">
        <is>
          <t>ET-3</t>
        </is>
      </c>
      <c r="H809" s="12" t="inlineStr">
        <is>
          <t>ET-3: excitation transformer (dry type, GTG-3 terminals)</t>
        </is>
      </c>
      <c r="I809" s="12" t="inlineStr">
        <is>
          <t>Instrumentation</t>
        </is>
      </c>
      <c r="J809" s="12" t="inlineStr">
        <is>
          <t>Instrumentation PLTC / TC-ER 300 V, #18 twisted shielded pairs, overall shield</t>
        </is>
      </c>
      <c r="K809" s="12" t="inlineStr">
        <is>
          <t>PLTC|12 pr|18</t>
        </is>
      </c>
      <c r="L809" s="12" t="inlineStr">
        <is>
          <t>12 pr</t>
        </is>
      </c>
      <c r="M809" s="12" t="inlineStr">
        <is>
          <t>18</t>
        </is>
      </c>
      <c r="N809" s="12" t="n">
        <v>1</v>
      </c>
      <c r="O809" s="12" t="n">
        <v>1</v>
      </c>
      <c r="P809" s="12" t="n"/>
      <c r="Q809" s="12" t="n"/>
      <c r="R809" s="12" t="n"/>
      <c r="S809" s="12" t="inlineStr">
        <is>
          <t>Duct bank</t>
        </is>
      </c>
      <c r="T809" s="16" t="n">
        <v>1214</v>
      </c>
      <c r="U809" s="16" t="n">
        <v>102</v>
      </c>
      <c r="V809" s="16">
        <f>ROUNDUP((T809+U809+2*'Read Me'!$B$13)*(1+'Read Me'!$B$12),-1)</f>
        <v/>
      </c>
      <c r="W809" s="16">
        <f>V809*N809*O809</f>
        <v/>
      </c>
      <c r="X809" s="12">
        <f>IF(LEFT(I809,2)="MV",2*N809*IF(L809="1/C",O809,1),0)</f>
        <v/>
      </c>
      <c r="Y809" s="12">
        <f>IF(OR(LEFT(K809,4)="LVAX",LEFT(K809,6)="MV15AX",LEFT(K809,4)="CTAX",LEFT(K809,2)="W|"),2*N809*O809,0)</f>
        <v/>
      </c>
      <c r="Z809" s="12" t="inlineStr"/>
      <c r="AA809" s="12">
        <f>N809*O809</f>
        <v/>
      </c>
    </row>
    <row r="810">
      <c r="A810" s="12" t="inlineStr">
        <is>
          <t>A-I-0088</t>
        </is>
      </c>
      <c r="B810" s="12" t="inlineStr">
        <is>
          <t>A</t>
        </is>
      </c>
      <c r="C810" s="12" t="inlineStr">
        <is>
          <t>Power block</t>
        </is>
      </c>
      <c r="D810" s="12" t="inlineStr">
        <is>
          <t>Instrumentation</t>
        </is>
      </c>
      <c r="E810" s="12" t="inlineStr">
        <is>
          <t>R2C</t>
        </is>
      </c>
      <c r="F810" s="12" t="inlineStr">
        <is>
          <t>R2C: unit / HRSG electrical e-house (32 x 40 ft)</t>
        </is>
      </c>
      <c r="G810" s="12" t="inlineStr">
        <is>
          <t>ET-3</t>
        </is>
      </c>
      <c r="H810" s="12" t="inlineStr">
        <is>
          <t>ET-3: excitation transformer (dry type, GTG-3 terminals)</t>
        </is>
      </c>
      <c r="I810" s="12" t="inlineStr">
        <is>
          <t>Instrumentation</t>
        </is>
      </c>
      <c r="J810" s="12" t="inlineStr">
        <is>
          <t>Instrumentation PLTC / TC-ER 300 V, #18 twisted shielded pairs, overall shield</t>
        </is>
      </c>
      <c r="K810" s="12" t="inlineStr">
        <is>
          <t>PLTC|12 pr|18</t>
        </is>
      </c>
      <c r="L810" s="12" t="inlineStr">
        <is>
          <t>12 pr</t>
        </is>
      </c>
      <c r="M810" s="12" t="inlineStr">
        <is>
          <t>18</t>
        </is>
      </c>
      <c r="N810" s="12" t="n">
        <v>1</v>
      </c>
      <c r="O810" s="12" t="n">
        <v>1</v>
      </c>
      <c r="P810" s="12" t="n"/>
      <c r="Q810" s="12" t="n"/>
      <c r="R810" s="12" t="n"/>
      <c r="S810" s="12" t="inlineStr">
        <is>
          <t>Duct bank</t>
        </is>
      </c>
      <c r="T810" s="16" t="n">
        <v>1214</v>
      </c>
      <c r="U810" s="16" t="n">
        <v>102</v>
      </c>
      <c r="V810" s="16">
        <f>ROUNDUP((T810+U810+2*'Read Me'!$B$13)*(1+'Read Me'!$B$12),-1)</f>
        <v/>
      </c>
      <c r="W810" s="16">
        <f>V810*N810*O810</f>
        <v/>
      </c>
      <c r="X810" s="12">
        <f>IF(LEFT(I810,2)="MV",2*N810*IF(L810="1/C",O810,1),0)</f>
        <v/>
      </c>
      <c r="Y810" s="12">
        <f>IF(OR(LEFT(K810,4)="LVAX",LEFT(K810,6)="MV15AX",LEFT(K810,4)="CTAX",LEFT(K810,2)="W|"),2*N810*O810,0)</f>
        <v/>
      </c>
      <c r="Z810" s="12" t="inlineStr"/>
      <c r="AA810" s="12">
        <f>N810*O810</f>
        <v/>
      </c>
    </row>
    <row r="811">
      <c r="A811" s="12" t="inlineStr">
        <is>
          <t>A-I-0089</t>
        </is>
      </c>
      <c r="B811" s="12" t="inlineStr">
        <is>
          <t>A</t>
        </is>
      </c>
      <c r="C811" s="12" t="inlineStr">
        <is>
          <t>Power block</t>
        </is>
      </c>
      <c r="D811" s="12" t="inlineStr">
        <is>
          <t>Instrumentation</t>
        </is>
      </c>
      <c r="E811" s="12" t="inlineStr">
        <is>
          <t>R2C</t>
        </is>
      </c>
      <c r="F811" s="12" t="inlineStr">
        <is>
          <t>R2C: unit / HRSG electrical e-house (32 x 40 ft)</t>
        </is>
      </c>
      <c r="G811" s="12" t="inlineStr">
        <is>
          <t>ET-3</t>
        </is>
      </c>
      <c r="H811" s="12" t="inlineStr">
        <is>
          <t>ET-3: excitation transformer (dry type, GTG-3 terminals)</t>
        </is>
      </c>
      <c r="I811" s="12" t="inlineStr">
        <is>
          <t>Instrumentation</t>
        </is>
      </c>
      <c r="J811" s="12" t="inlineStr">
        <is>
          <t>Instrumentation PLTC / TC-ER 300 V, #18 twisted shielded pairs, overall shield</t>
        </is>
      </c>
      <c r="K811" s="12" t="inlineStr">
        <is>
          <t>PLTC|12 pr|18</t>
        </is>
      </c>
      <c r="L811" s="12" t="inlineStr">
        <is>
          <t>12 pr</t>
        </is>
      </c>
      <c r="M811" s="12" t="inlineStr">
        <is>
          <t>18</t>
        </is>
      </c>
      <c r="N811" s="12" t="n">
        <v>1</v>
      </c>
      <c r="O811" s="12" t="n">
        <v>1</v>
      </c>
      <c r="P811" s="12" t="n"/>
      <c r="Q811" s="12" t="n"/>
      <c r="R811" s="12" t="n"/>
      <c r="S811" s="12" t="inlineStr">
        <is>
          <t>Duct bank</t>
        </is>
      </c>
      <c r="T811" s="16" t="n">
        <v>1214</v>
      </c>
      <c r="U811" s="16" t="n">
        <v>102</v>
      </c>
      <c r="V811" s="16">
        <f>ROUNDUP((T811+U811+2*'Read Me'!$B$13)*(1+'Read Me'!$B$12),-1)</f>
        <v/>
      </c>
      <c r="W811" s="16">
        <f>V811*N811*O811</f>
        <v/>
      </c>
      <c r="X811" s="12">
        <f>IF(LEFT(I811,2)="MV",2*N811*IF(L811="1/C",O811,1),0)</f>
        <v/>
      </c>
      <c r="Y811" s="12">
        <f>IF(OR(LEFT(K811,4)="LVAX",LEFT(K811,6)="MV15AX",LEFT(K811,4)="CTAX",LEFT(K811,2)="W|"),2*N811*O811,0)</f>
        <v/>
      </c>
      <c r="Z811" s="12" t="inlineStr"/>
      <c r="AA811" s="12">
        <f>N811*O811</f>
        <v/>
      </c>
    </row>
    <row r="812">
      <c r="A812" s="12" t="inlineStr">
        <is>
          <t>A-I-0090</t>
        </is>
      </c>
      <c r="B812" s="12" t="inlineStr">
        <is>
          <t>A</t>
        </is>
      </c>
      <c r="C812" s="12" t="inlineStr">
        <is>
          <t>Power block</t>
        </is>
      </c>
      <c r="D812" s="12" t="inlineStr">
        <is>
          <t>Instrumentation</t>
        </is>
      </c>
      <c r="E812" s="12" t="inlineStr">
        <is>
          <t>R2C</t>
        </is>
      </c>
      <c r="F812" s="12" t="inlineStr">
        <is>
          <t>R2C: unit / HRSG electrical e-house (32 x 40 ft)</t>
        </is>
      </c>
      <c r="G812" s="12" t="inlineStr">
        <is>
          <t>ET-3</t>
        </is>
      </c>
      <c r="H812" s="12" t="inlineStr">
        <is>
          <t>ET-3: excitation transformer (dry type, GTG-3 terminals)</t>
        </is>
      </c>
      <c r="I812" s="12" t="inlineStr">
        <is>
          <t>Instrumentation</t>
        </is>
      </c>
      <c r="J812" s="12" t="inlineStr">
        <is>
          <t>Instrumentation PLTC / TC-ER 300 V, #18 twisted shielded pairs, overall shield</t>
        </is>
      </c>
      <c r="K812" s="12" t="inlineStr">
        <is>
          <t>PLTC|12 pr|18</t>
        </is>
      </c>
      <c r="L812" s="12" t="inlineStr">
        <is>
          <t>12 pr</t>
        </is>
      </c>
      <c r="M812" s="12" t="inlineStr">
        <is>
          <t>18</t>
        </is>
      </c>
      <c r="N812" s="12" t="n">
        <v>1</v>
      </c>
      <c r="O812" s="12" t="n">
        <v>1</v>
      </c>
      <c r="P812" s="12" t="n"/>
      <c r="Q812" s="12" t="n"/>
      <c r="R812" s="12" t="n"/>
      <c r="S812" s="12" t="inlineStr">
        <is>
          <t>Duct bank</t>
        </is>
      </c>
      <c r="T812" s="16" t="n">
        <v>1214</v>
      </c>
      <c r="U812" s="16" t="n">
        <v>102</v>
      </c>
      <c r="V812" s="16">
        <f>ROUNDUP((T812+U812+2*'Read Me'!$B$13)*(1+'Read Me'!$B$12),-1)</f>
        <v/>
      </c>
      <c r="W812" s="16">
        <f>V812*N812*O812</f>
        <v/>
      </c>
      <c r="X812" s="12">
        <f>IF(LEFT(I812,2)="MV",2*N812*IF(L812="1/C",O812,1),0)</f>
        <v/>
      </c>
      <c r="Y812" s="12">
        <f>IF(OR(LEFT(K812,4)="LVAX",LEFT(K812,6)="MV15AX",LEFT(K812,4)="CTAX",LEFT(K812,2)="W|"),2*N812*O812,0)</f>
        <v/>
      </c>
      <c r="Z812" s="12" t="inlineStr"/>
      <c r="AA812" s="12">
        <f>N812*O812</f>
        <v/>
      </c>
    </row>
    <row r="813">
      <c r="A813" s="12" t="inlineStr">
        <is>
          <t>A-I-0091</t>
        </is>
      </c>
      <c r="B813" s="12" t="inlineStr">
        <is>
          <t>A</t>
        </is>
      </c>
      <c r="C813" s="12" t="inlineStr">
        <is>
          <t>Power block</t>
        </is>
      </c>
      <c r="D813" s="12" t="inlineStr">
        <is>
          <t>Analog instrument to JB JB-EXC-1-AI01: 10 x 1 pr (field cables)</t>
        </is>
      </c>
      <c r="E813" s="12" t="inlineStr">
        <is>
          <t>EXC-1</t>
        </is>
      </c>
      <c r="F813" s="12" t="inlineStr">
        <is>
          <t>EXC-1: static excitation cubicles (GTG-1)</t>
        </is>
      </c>
      <c r="G813" s="12" t="inlineStr">
        <is>
          <t>JB-EXC-1-AI01</t>
        </is>
      </c>
      <c r="H813" s="12" t="inlineStr">
        <is>
          <t>EXC-1: static excitation cubicles (GTG-1)</t>
        </is>
      </c>
      <c r="I813" s="12" t="inlineStr">
        <is>
          <t>Instrumentation</t>
        </is>
      </c>
      <c r="J813" s="12" t="inlineStr">
        <is>
          <t>Instrumentation PLTC / TC-ER 300 V, #18 twisted shielded pairs, overall shield</t>
        </is>
      </c>
      <c r="K813" s="12" t="inlineStr">
        <is>
          <t>PLTC|1 pr|16</t>
        </is>
      </c>
      <c r="L813" s="12" t="inlineStr">
        <is>
          <t>1 pr</t>
        </is>
      </c>
      <c r="M813" s="12" t="inlineStr">
        <is>
          <t>16</t>
        </is>
      </c>
      <c r="N813" s="12" t="n">
        <v>10</v>
      </c>
      <c r="O813" s="12" t="n">
        <v>1</v>
      </c>
      <c r="P813" s="12" t="n"/>
      <c r="Q813" s="12" t="n"/>
      <c r="R813" s="12" t="n"/>
      <c r="S813" s="12" t="inlineStr">
        <is>
          <t>Tray / conduit</t>
        </is>
      </c>
      <c r="T813" s="16" t="n">
        <v>41</v>
      </c>
      <c r="U813" s="16" t="n">
        <v>10</v>
      </c>
      <c r="V813" s="16">
        <f>ROUNDUP((T813+U813+2*'Read Me'!$B$13)*(1+'Read Me'!$B$12),-1)</f>
        <v/>
      </c>
      <c r="W813" s="16">
        <f>V813*N813*O813</f>
        <v/>
      </c>
      <c r="X813" s="12">
        <f>IF(LEFT(I813,2)="MV",2*N813*IF(L813="1/C",O813,1),0)</f>
        <v/>
      </c>
      <c r="Y813" s="12">
        <f>IF(OR(LEFT(K813,4)="LVAX",LEFT(K813,6)="MV15AX",LEFT(K813,4)="CTAX",LEFT(K813,2)="W|"),2*N813*O813,0)</f>
        <v/>
      </c>
      <c r="Z813" s="12" t="inlineStr">
        <is>
          <t>device-to-JB field wiring, one cable per device</t>
        </is>
      </c>
      <c r="AA813" s="12">
        <f>N813*O813</f>
        <v/>
      </c>
    </row>
    <row r="814">
      <c r="A814" s="12" t="inlineStr">
        <is>
          <t>A-I-0092</t>
        </is>
      </c>
      <c r="B814" s="12" t="inlineStr">
        <is>
          <t>A</t>
        </is>
      </c>
      <c r="C814" s="12" t="inlineStr">
        <is>
          <t>Power block</t>
        </is>
      </c>
      <c r="D814" s="12" t="inlineStr">
        <is>
          <t>Home run JB-EXC-1-AI01 to the control / marshalling room</t>
        </is>
      </c>
      <c r="E814" s="12" t="inlineStr">
        <is>
          <t>R2A</t>
        </is>
      </c>
      <c r="F814" s="12" t="inlineStr">
        <is>
          <t>R2A: unit / HRSG electrical e-house (32 x 40 ft)</t>
        </is>
      </c>
      <c r="G814" s="12" t="inlineStr">
        <is>
          <t>JB-EXC-1-AI01</t>
        </is>
      </c>
      <c r="H814" s="12" t="inlineStr">
        <is>
          <t>EXC-1: static excitation cubicles (GTG-1)</t>
        </is>
      </c>
      <c r="I814" s="12" t="inlineStr">
        <is>
          <t>Instrumentation</t>
        </is>
      </c>
      <c r="J814" s="12" t="inlineStr">
        <is>
          <t>Instrumentation PLTC / TC-ER 300 V, #18 twisted shielded pairs, overall shield</t>
        </is>
      </c>
      <c r="K814" s="12" t="inlineStr">
        <is>
          <t>PLTC|24 pr|18</t>
        </is>
      </c>
      <c r="L814" s="12" t="inlineStr">
        <is>
          <t>24 pr</t>
        </is>
      </c>
      <c r="M814" s="12" t="inlineStr">
        <is>
          <t>18</t>
        </is>
      </c>
      <c r="N814" s="12" t="n">
        <v>1</v>
      </c>
      <c r="O814" s="12" t="n">
        <v>1</v>
      </c>
      <c r="P814" s="12" t="n"/>
      <c r="Q814" s="12" t="n"/>
      <c r="R814" s="12" t="n"/>
      <c r="S814" s="12" t="inlineStr">
        <is>
          <t>Tray</t>
        </is>
      </c>
      <c r="T814" s="16" t="n">
        <v>366</v>
      </c>
      <c r="U814" s="16" t="n">
        <v>106</v>
      </c>
      <c r="V814" s="16">
        <f>ROUNDUP((T814+U814+2*'Read Me'!$B$13)*(1+'Read Me'!$B$12),-1)</f>
        <v/>
      </c>
      <c r="W814" s="16">
        <f>V814*N814*O814</f>
        <v/>
      </c>
      <c r="X814" s="12">
        <f>IF(LEFT(I814,2)="MV",2*N814*IF(L814="1/C",O814,1),0)</f>
        <v/>
      </c>
      <c r="Y814" s="12">
        <f>IF(OR(LEFT(K814,4)="LVAX",LEFT(K814,6)="MV15AX",LEFT(K814,4)="CTAX",LEFT(K814,2)="W|"),2*N814*O814,0)</f>
        <v/>
      </c>
      <c r="Z814" s="12" t="inlineStr"/>
      <c r="AA814" s="12">
        <f>N814*O814</f>
        <v/>
      </c>
    </row>
    <row r="815">
      <c r="A815" s="12" t="inlineStr">
        <is>
          <t>A-I-0093</t>
        </is>
      </c>
      <c r="B815" s="12" t="inlineStr">
        <is>
          <t>A</t>
        </is>
      </c>
      <c r="C815" s="12" t="inlineStr">
        <is>
          <t>Power block</t>
        </is>
      </c>
      <c r="D815" s="12" t="inlineStr">
        <is>
          <t>Discrete device to JB JB-EXC-1-DI01: 20 x 1 pr (field cables)</t>
        </is>
      </c>
      <c r="E815" s="12" t="inlineStr">
        <is>
          <t>EXC-1</t>
        </is>
      </c>
      <c r="F815" s="12" t="inlineStr">
        <is>
          <t>EXC-1: static excitation cubicles (GTG-1)</t>
        </is>
      </c>
      <c r="G815" s="12" t="inlineStr">
        <is>
          <t>JB-EXC-1-DI01</t>
        </is>
      </c>
      <c r="H815" s="12" t="inlineStr">
        <is>
          <t>EXC-1: static excitation cubicles (GTG-1)</t>
        </is>
      </c>
      <c r="I815" s="12" t="inlineStr">
        <is>
          <t>Instrumentation</t>
        </is>
      </c>
      <c r="J815" s="12" t="inlineStr">
        <is>
          <t>Instrumentation PLTC / TC-ER 300 V, #18 twisted shielded pairs, overall shield</t>
        </is>
      </c>
      <c r="K815" s="12" t="inlineStr">
        <is>
          <t>PLTC|1 pr|16</t>
        </is>
      </c>
      <c r="L815" s="12" t="inlineStr">
        <is>
          <t>1 pr</t>
        </is>
      </c>
      <c r="M815" s="12" t="inlineStr">
        <is>
          <t>16</t>
        </is>
      </c>
      <c r="N815" s="12" t="n">
        <v>20</v>
      </c>
      <c r="O815" s="12" t="n">
        <v>1</v>
      </c>
      <c r="P815" s="12" t="n"/>
      <c r="Q815" s="12" t="n"/>
      <c r="R815" s="12" t="n"/>
      <c r="S815" s="12" t="inlineStr">
        <is>
          <t>Tray / conduit</t>
        </is>
      </c>
      <c r="T815" s="16" t="n">
        <v>41</v>
      </c>
      <c r="U815" s="16" t="n">
        <v>10</v>
      </c>
      <c r="V815" s="16">
        <f>ROUNDUP((T815+U815+2*'Read Me'!$B$13)*(1+'Read Me'!$B$12),-1)</f>
        <v/>
      </c>
      <c r="W815" s="16">
        <f>V815*N815*O815</f>
        <v/>
      </c>
      <c r="X815" s="12">
        <f>IF(LEFT(I815,2)="MV",2*N815*IF(L815="1/C",O815,1),0)</f>
        <v/>
      </c>
      <c r="Y815" s="12">
        <f>IF(OR(LEFT(K815,4)="LVAX",LEFT(K815,6)="MV15AX",LEFT(K815,4)="CTAX",LEFT(K815,2)="W|"),2*N815*O815,0)</f>
        <v/>
      </c>
      <c r="Z815" s="12" t="inlineStr">
        <is>
          <t>device-to-JB field wiring, one cable per device</t>
        </is>
      </c>
      <c r="AA815" s="12">
        <f>N815*O815</f>
        <v/>
      </c>
    </row>
    <row r="816">
      <c r="A816" s="12" t="inlineStr">
        <is>
          <t>A-I-0094</t>
        </is>
      </c>
      <c r="B816" s="12" t="inlineStr">
        <is>
          <t>A</t>
        </is>
      </c>
      <c r="C816" s="12" t="inlineStr">
        <is>
          <t>Power block</t>
        </is>
      </c>
      <c r="D816" s="12" t="inlineStr">
        <is>
          <t>Home run JB-EXC-1-DI01 to the control / marshalling room</t>
        </is>
      </c>
      <c r="E816" s="12" t="inlineStr">
        <is>
          <t>R2A</t>
        </is>
      </c>
      <c r="F816" s="12" t="inlineStr">
        <is>
          <t>R2A: unit / HRSG electrical e-house (32 x 40 ft)</t>
        </is>
      </c>
      <c r="G816" s="12" t="inlineStr">
        <is>
          <t>JB-EXC-1-DI01</t>
        </is>
      </c>
      <c r="H816" s="12" t="inlineStr">
        <is>
          <t>EXC-1: static excitation cubicles (GTG-1)</t>
        </is>
      </c>
      <c r="I816" s="12" t="inlineStr">
        <is>
          <t>Instrumentation</t>
        </is>
      </c>
      <c r="J816" s="12" t="inlineStr">
        <is>
          <t>Instrumentation PLTC / TC-ER 300 V, #18 twisted shielded pairs, overall shield</t>
        </is>
      </c>
      <c r="K816" s="12" t="inlineStr">
        <is>
          <t>PLTC|24 pr|18</t>
        </is>
      </c>
      <c r="L816" s="12" t="inlineStr">
        <is>
          <t>24 pr</t>
        </is>
      </c>
      <c r="M816" s="12" t="inlineStr">
        <is>
          <t>18</t>
        </is>
      </c>
      <c r="N816" s="12" t="n">
        <v>1</v>
      </c>
      <c r="O816" s="12" t="n">
        <v>1</v>
      </c>
      <c r="P816" s="12" t="n"/>
      <c r="Q816" s="12" t="n"/>
      <c r="R816" s="12" t="n"/>
      <c r="S816" s="12" t="inlineStr">
        <is>
          <t>Tray</t>
        </is>
      </c>
      <c r="T816" s="16" t="n">
        <v>366</v>
      </c>
      <c r="U816" s="16" t="n">
        <v>106</v>
      </c>
      <c r="V816" s="16">
        <f>ROUNDUP((T816+U816+2*'Read Me'!$B$13)*(1+'Read Me'!$B$12),-1)</f>
        <v/>
      </c>
      <c r="W816" s="16">
        <f>V816*N816*O816</f>
        <v/>
      </c>
      <c r="X816" s="12">
        <f>IF(LEFT(I816,2)="MV",2*N816*IF(L816="1/C",O816,1),0)</f>
        <v/>
      </c>
      <c r="Y816" s="12">
        <f>IF(OR(LEFT(K816,4)="LVAX",LEFT(K816,6)="MV15AX",LEFT(K816,4)="CTAX",LEFT(K816,2)="W|"),2*N816*O816,0)</f>
        <v/>
      </c>
      <c r="Z816" s="12" t="inlineStr"/>
      <c r="AA816" s="12">
        <f>N816*O816</f>
        <v/>
      </c>
    </row>
    <row r="817">
      <c r="A817" s="12" t="inlineStr">
        <is>
          <t>A-I-0095</t>
        </is>
      </c>
      <c r="B817" s="12" t="inlineStr">
        <is>
          <t>A</t>
        </is>
      </c>
      <c r="C817" s="12" t="inlineStr">
        <is>
          <t>Power block</t>
        </is>
      </c>
      <c r="D817" s="12" t="inlineStr">
        <is>
          <t>Analog instrument to JB JB-EXC-2-AI01: 10 x 1 pr (field cables)</t>
        </is>
      </c>
      <c r="E817" s="12" t="inlineStr">
        <is>
          <t>EXC-2</t>
        </is>
      </c>
      <c r="F817" s="12" t="inlineStr">
        <is>
          <t>EXC-2: static excitation cubicles (GTG-2)</t>
        </is>
      </c>
      <c r="G817" s="12" t="inlineStr">
        <is>
          <t>JB-EXC-2-AI01</t>
        </is>
      </c>
      <c r="H817" s="12" t="inlineStr">
        <is>
          <t>EXC-2: static excitation cubicles (GTG-2)</t>
        </is>
      </c>
      <c r="I817" s="12" t="inlineStr">
        <is>
          <t>Instrumentation</t>
        </is>
      </c>
      <c r="J817" s="12" t="inlineStr">
        <is>
          <t>Instrumentation PLTC / TC-ER 300 V, #18 twisted shielded pairs, overall shield</t>
        </is>
      </c>
      <c r="K817" s="12" t="inlineStr">
        <is>
          <t>PLTC|1 pr|16</t>
        </is>
      </c>
      <c r="L817" s="12" t="inlineStr">
        <is>
          <t>1 pr</t>
        </is>
      </c>
      <c r="M817" s="12" t="inlineStr">
        <is>
          <t>16</t>
        </is>
      </c>
      <c r="N817" s="12" t="n">
        <v>10</v>
      </c>
      <c r="O817" s="12" t="n">
        <v>1</v>
      </c>
      <c r="P817" s="12" t="n"/>
      <c r="Q817" s="12" t="n"/>
      <c r="R817" s="12" t="n"/>
      <c r="S817" s="12" t="inlineStr">
        <is>
          <t>Tray / conduit</t>
        </is>
      </c>
      <c r="T817" s="16" t="n">
        <v>41</v>
      </c>
      <c r="U817" s="16" t="n">
        <v>10</v>
      </c>
      <c r="V817" s="16">
        <f>ROUNDUP((T817+U817+2*'Read Me'!$B$13)*(1+'Read Me'!$B$12),-1)</f>
        <v/>
      </c>
      <c r="W817" s="16">
        <f>V817*N817*O817</f>
        <v/>
      </c>
      <c r="X817" s="12">
        <f>IF(LEFT(I817,2)="MV",2*N817*IF(L817="1/C",O817,1),0)</f>
        <v/>
      </c>
      <c r="Y817" s="12">
        <f>IF(OR(LEFT(K817,4)="LVAX",LEFT(K817,6)="MV15AX",LEFT(K817,4)="CTAX",LEFT(K817,2)="W|"),2*N817*O817,0)</f>
        <v/>
      </c>
      <c r="Z817" s="12" t="inlineStr">
        <is>
          <t>device-to-JB field wiring, one cable per device</t>
        </is>
      </c>
      <c r="AA817" s="12">
        <f>N817*O817</f>
        <v/>
      </c>
    </row>
    <row r="818">
      <c r="A818" s="12" t="inlineStr">
        <is>
          <t>A-I-0096</t>
        </is>
      </c>
      <c r="B818" s="12" t="inlineStr">
        <is>
          <t>A</t>
        </is>
      </c>
      <c r="C818" s="12" t="inlineStr">
        <is>
          <t>Power block</t>
        </is>
      </c>
      <c r="D818" s="12" t="inlineStr">
        <is>
          <t>Home run JB-EXC-2-AI01 to the control / marshalling room</t>
        </is>
      </c>
      <c r="E818" s="12" t="inlineStr">
        <is>
          <t>R2B</t>
        </is>
      </c>
      <c r="F818" s="12" t="inlineStr">
        <is>
          <t>R2B: unit / HRSG electrical e-house (32 x 40 ft)</t>
        </is>
      </c>
      <c r="G818" s="12" t="inlineStr">
        <is>
          <t>JB-EXC-2-AI01</t>
        </is>
      </c>
      <c r="H818" s="12" t="inlineStr">
        <is>
          <t>EXC-2: static excitation cubicles (GTG-2)</t>
        </is>
      </c>
      <c r="I818" s="12" t="inlineStr">
        <is>
          <t>Instrumentation</t>
        </is>
      </c>
      <c r="J818" s="12" t="inlineStr">
        <is>
          <t>Instrumentation PLTC / TC-ER 300 V, #18 twisted shielded pairs, overall shield</t>
        </is>
      </c>
      <c r="K818" s="12" t="inlineStr">
        <is>
          <t>PLTC|24 pr|18</t>
        </is>
      </c>
      <c r="L818" s="12" t="inlineStr">
        <is>
          <t>24 pr</t>
        </is>
      </c>
      <c r="M818" s="12" t="inlineStr">
        <is>
          <t>18</t>
        </is>
      </c>
      <c r="N818" s="12" t="n">
        <v>1</v>
      </c>
      <c r="O818" s="12" t="n">
        <v>1</v>
      </c>
      <c r="P818" s="12" t="n"/>
      <c r="Q818" s="12" t="n"/>
      <c r="R818" s="12" t="n"/>
      <c r="S818" s="12" t="inlineStr">
        <is>
          <t>Tray</t>
        </is>
      </c>
      <c r="T818" s="16" t="n">
        <v>1240</v>
      </c>
      <c r="U818" s="16" t="n">
        <v>196</v>
      </c>
      <c r="V818" s="16">
        <f>ROUNDUP((T818+U818+2*'Read Me'!$B$13)*(1+'Read Me'!$B$12),-1)</f>
        <v/>
      </c>
      <c r="W818" s="16">
        <f>V818*N818*O818</f>
        <v/>
      </c>
      <c r="X818" s="12">
        <f>IF(LEFT(I818,2)="MV",2*N818*IF(L818="1/C",O818,1),0)</f>
        <v/>
      </c>
      <c r="Y818" s="12">
        <f>IF(OR(LEFT(K818,4)="LVAX",LEFT(K818,6)="MV15AX",LEFT(K818,4)="CTAX",LEFT(K818,2)="W|"),2*N818*O818,0)</f>
        <v/>
      </c>
      <c r="Z818" s="12" t="inlineStr"/>
      <c r="AA818" s="12">
        <f>N818*O818</f>
        <v/>
      </c>
    </row>
    <row r="819">
      <c r="A819" s="12" t="inlineStr">
        <is>
          <t>A-I-0097</t>
        </is>
      </c>
      <c r="B819" s="12" t="inlineStr">
        <is>
          <t>A</t>
        </is>
      </c>
      <c r="C819" s="12" t="inlineStr">
        <is>
          <t>Power block</t>
        </is>
      </c>
      <c r="D819" s="12" t="inlineStr">
        <is>
          <t>Discrete device to JB JB-EXC-2-DI01: 20 x 1 pr (field cables)</t>
        </is>
      </c>
      <c r="E819" s="12" t="inlineStr">
        <is>
          <t>EXC-2</t>
        </is>
      </c>
      <c r="F819" s="12" t="inlineStr">
        <is>
          <t>EXC-2: static excitation cubicles (GTG-2)</t>
        </is>
      </c>
      <c r="G819" s="12" t="inlineStr">
        <is>
          <t>JB-EXC-2-DI01</t>
        </is>
      </c>
      <c r="H819" s="12" t="inlineStr">
        <is>
          <t>EXC-2: static excitation cubicles (GTG-2)</t>
        </is>
      </c>
      <c r="I819" s="12" t="inlineStr">
        <is>
          <t>Instrumentation</t>
        </is>
      </c>
      <c r="J819" s="12" t="inlineStr">
        <is>
          <t>Instrumentation PLTC / TC-ER 300 V, #18 twisted shielded pairs, overall shield</t>
        </is>
      </c>
      <c r="K819" s="12" t="inlineStr">
        <is>
          <t>PLTC|1 pr|16</t>
        </is>
      </c>
      <c r="L819" s="12" t="inlineStr">
        <is>
          <t>1 pr</t>
        </is>
      </c>
      <c r="M819" s="12" t="inlineStr">
        <is>
          <t>16</t>
        </is>
      </c>
      <c r="N819" s="12" t="n">
        <v>20</v>
      </c>
      <c r="O819" s="12" t="n">
        <v>1</v>
      </c>
      <c r="P819" s="12" t="n"/>
      <c r="Q819" s="12" t="n"/>
      <c r="R819" s="12" t="n"/>
      <c r="S819" s="12" t="inlineStr">
        <is>
          <t>Tray / conduit</t>
        </is>
      </c>
      <c r="T819" s="16" t="n">
        <v>41</v>
      </c>
      <c r="U819" s="16" t="n">
        <v>10</v>
      </c>
      <c r="V819" s="16">
        <f>ROUNDUP((T819+U819+2*'Read Me'!$B$13)*(1+'Read Me'!$B$12),-1)</f>
        <v/>
      </c>
      <c r="W819" s="16">
        <f>V819*N819*O819</f>
        <v/>
      </c>
      <c r="X819" s="12">
        <f>IF(LEFT(I819,2)="MV",2*N819*IF(L819="1/C",O819,1),0)</f>
        <v/>
      </c>
      <c r="Y819" s="12">
        <f>IF(OR(LEFT(K819,4)="LVAX",LEFT(K819,6)="MV15AX",LEFT(K819,4)="CTAX",LEFT(K819,2)="W|"),2*N819*O819,0)</f>
        <v/>
      </c>
      <c r="Z819" s="12" t="inlineStr">
        <is>
          <t>device-to-JB field wiring, one cable per device</t>
        </is>
      </c>
      <c r="AA819" s="12">
        <f>N819*O819</f>
        <v/>
      </c>
    </row>
    <row r="820">
      <c r="A820" s="12" t="inlineStr">
        <is>
          <t>A-I-0098</t>
        </is>
      </c>
      <c r="B820" s="12" t="inlineStr">
        <is>
          <t>A</t>
        </is>
      </c>
      <c r="C820" s="12" t="inlineStr">
        <is>
          <t>Power block</t>
        </is>
      </c>
      <c r="D820" s="12" t="inlineStr">
        <is>
          <t>Home run JB-EXC-2-DI01 to the control / marshalling room</t>
        </is>
      </c>
      <c r="E820" s="12" t="inlineStr">
        <is>
          <t>R2B</t>
        </is>
      </c>
      <c r="F820" s="12" t="inlineStr">
        <is>
          <t>R2B: unit / HRSG electrical e-house (32 x 40 ft)</t>
        </is>
      </c>
      <c r="G820" s="12" t="inlineStr">
        <is>
          <t>JB-EXC-2-DI01</t>
        </is>
      </c>
      <c r="H820" s="12" t="inlineStr">
        <is>
          <t>EXC-2: static excitation cubicles (GTG-2)</t>
        </is>
      </c>
      <c r="I820" s="12" t="inlineStr">
        <is>
          <t>Instrumentation</t>
        </is>
      </c>
      <c r="J820" s="12" t="inlineStr">
        <is>
          <t>Instrumentation PLTC / TC-ER 300 V, #18 twisted shielded pairs, overall shield</t>
        </is>
      </c>
      <c r="K820" s="12" t="inlineStr">
        <is>
          <t>PLTC|24 pr|18</t>
        </is>
      </c>
      <c r="L820" s="12" t="inlineStr">
        <is>
          <t>24 pr</t>
        </is>
      </c>
      <c r="M820" s="12" t="inlineStr">
        <is>
          <t>18</t>
        </is>
      </c>
      <c r="N820" s="12" t="n">
        <v>1</v>
      </c>
      <c r="O820" s="12" t="n">
        <v>1</v>
      </c>
      <c r="P820" s="12" t="n"/>
      <c r="Q820" s="12" t="n"/>
      <c r="R820" s="12" t="n"/>
      <c r="S820" s="12" t="inlineStr">
        <is>
          <t>Tray</t>
        </is>
      </c>
      <c r="T820" s="16" t="n">
        <v>1240</v>
      </c>
      <c r="U820" s="16" t="n">
        <v>196</v>
      </c>
      <c r="V820" s="16">
        <f>ROUNDUP((T820+U820+2*'Read Me'!$B$13)*(1+'Read Me'!$B$12),-1)</f>
        <v/>
      </c>
      <c r="W820" s="16">
        <f>V820*N820*O820</f>
        <v/>
      </c>
      <c r="X820" s="12">
        <f>IF(LEFT(I820,2)="MV",2*N820*IF(L820="1/C",O820,1),0)</f>
        <v/>
      </c>
      <c r="Y820" s="12">
        <f>IF(OR(LEFT(K820,4)="LVAX",LEFT(K820,6)="MV15AX",LEFT(K820,4)="CTAX",LEFT(K820,2)="W|"),2*N820*O820,0)</f>
        <v/>
      </c>
      <c r="Z820" s="12" t="inlineStr"/>
      <c r="AA820" s="12">
        <f>N820*O820</f>
        <v/>
      </c>
    </row>
    <row r="821">
      <c r="A821" s="12" t="inlineStr">
        <is>
          <t>A-I-0099</t>
        </is>
      </c>
      <c r="B821" s="12" t="inlineStr">
        <is>
          <t>A</t>
        </is>
      </c>
      <c r="C821" s="12" t="inlineStr">
        <is>
          <t>Power block</t>
        </is>
      </c>
      <c r="D821" s="12" t="inlineStr">
        <is>
          <t>Analog instrument to JB JB-EXC-3-AI01: 10 x 1 pr (field cables)</t>
        </is>
      </c>
      <c r="E821" s="12" t="inlineStr">
        <is>
          <t>EXC-3</t>
        </is>
      </c>
      <c r="F821" s="12" t="inlineStr">
        <is>
          <t>EXC-3: static excitation cubicles (GTG-3)</t>
        </is>
      </c>
      <c r="G821" s="12" t="inlineStr">
        <is>
          <t>JB-EXC-3-AI01</t>
        </is>
      </c>
      <c r="H821" s="12" t="inlineStr">
        <is>
          <t>EXC-3: static excitation cubicles (GTG-3)</t>
        </is>
      </c>
      <c r="I821" s="12" t="inlineStr">
        <is>
          <t>Instrumentation</t>
        </is>
      </c>
      <c r="J821" s="12" t="inlineStr">
        <is>
          <t>Instrumentation PLTC / TC-ER 300 V, #18 twisted shielded pairs, overall shield</t>
        </is>
      </c>
      <c r="K821" s="12" t="inlineStr">
        <is>
          <t>PLTC|1 pr|16</t>
        </is>
      </c>
      <c r="L821" s="12" t="inlineStr">
        <is>
          <t>1 pr</t>
        </is>
      </c>
      <c r="M821" s="12" t="inlineStr">
        <is>
          <t>16</t>
        </is>
      </c>
      <c r="N821" s="12" t="n">
        <v>10</v>
      </c>
      <c r="O821" s="12" t="n">
        <v>1</v>
      </c>
      <c r="P821" s="12" t="n"/>
      <c r="Q821" s="12" t="n"/>
      <c r="R821" s="12" t="n"/>
      <c r="S821" s="12" t="inlineStr">
        <is>
          <t>Tray / conduit</t>
        </is>
      </c>
      <c r="T821" s="16" t="n">
        <v>41</v>
      </c>
      <c r="U821" s="16" t="n">
        <v>10</v>
      </c>
      <c r="V821" s="16">
        <f>ROUNDUP((T821+U821+2*'Read Me'!$B$13)*(1+'Read Me'!$B$12),-1)</f>
        <v/>
      </c>
      <c r="W821" s="16">
        <f>V821*N821*O821</f>
        <v/>
      </c>
      <c r="X821" s="12">
        <f>IF(LEFT(I821,2)="MV",2*N821*IF(L821="1/C",O821,1),0)</f>
        <v/>
      </c>
      <c r="Y821" s="12">
        <f>IF(OR(LEFT(K821,4)="LVAX",LEFT(K821,6)="MV15AX",LEFT(K821,4)="CTAX",LEFT(K821,2)="W|"),2*N821*O821,0)</f>
        <v/>
      </c>
      <c r="Z821" s="12" t="inlineStr">
        <is>
          <t>device-to-JB field wiring, one cable per device</t>
        </is>
      </c>
      <c r="AA821" s="12">
        <f>N821*O821</f>
        <v/>
      </c>
    </row>
    <row r="822">
      <c r="A822" s="12" t="inlineStr">
        <is>
          <t>A-I-0100</t>
        </is>
      </c>
      <c r="B822" s="12" t="inlineStr">
        <is>
          <t>A</t>
        </is>
      </c>
      <c r="C822" s="12" t="inlineStr">
        <is>
          <t>Power block</t>
        </is>
      </c>
      <c r="D822" s="12" t="inlineStr">
        <is>
          <t>Home run JB-EXC-3-AI01 to the control / marshalling room</t>
        </is>
      </c>
      <c r="E822" s="12" t="inlineStr">
        <is>
          <t>R2C</t>
        </is>
      </c>
      <c r="F822" s="12" t="inlineStr">
        <is>
          <t>R2C: unit / HRSG electrical e-house (32 x 40 ft)</t>
        </is>
      </c>
      <c r="G822" s="12" t="inlineStr">
        <is>
          <t>JB-EXC-3-AI01</t>
        </is>
      </c>
      <c r="H822" s="12" t="inlineStr">
        <is>
          <t>EXC-3: static excitation cubicles (GTG-3)</t>
        </is>
      </c>
      <c r="I822" s="12" t="inlineStr">
        <is>
          <t>Instrumentation</t>
        </is>
      </c>
      <c r="J822" s="12" t="inlineStr">
        <is>
          <t>Instrumentation PLTC / TC-ER 300 V, #18 twisted shielded pairs, overall shield</t>
        </is>
      </c>
      <c r="K822" s="12" t="inlineStr">
        <is>
          <t>PLTC|24 pr|18</t>
        </is>
      </c>
      <c r="L822" s="12" t="inlineStr">
        <is>
          <t>24 pr</t>
        </is>
      </c>
      <c r="M822" s="12" t="inlineStr">
        <is>
          <t>18</t>
        </is>
      </c>
      <c r="N822" s="12" t="n">
        <v>1</v>
      </c>
      <c r="O822" s="12" t="n">
        <v>1</v>
      </c>
      <c r="P822" s="12" t="n"/>
      <c r="Q822" s="12" t="n"/>
      <c r="R822" s="12" t="n"/>
      <c r="S822" s="12" t="inlineStr">
        <is>
          <t>Duct bank</t>
        </is>
      </c>
      <c r="T822" s="16" t="n">
        <v>1260</v>
      </c>
      <c r="U822" s="16" t="n">
        <v>148</v>
      </c>
      <c r="V822" s="16">
        <f>ROUNDUP((T822+U822+2*'Read Me'!$B$13)*(1+'Read Me'!$B$12),-1)</f>
        <v/>
      </c>
      <c r="W822" s="16">
        <f>V822*N822*O822</f>
        <v/>
      </c>
      <c r="X822" s="12">
        <f>IF(LEFT(I822,2)="MV",2*N822*IF(L822="1/C",O822,1),0)</f>
        <v/>
      </c>
      <c r="Y822" s="12">
        <f>IF(OR(LEFT(K822,4)="LVAX",LEFT(K822,6)="MV15AX",LEFT(K822,4)="CTAX",LEFT(K822,2)="W|"),2*N822*O822,0)</f>
        <v/>
      </c>
      <c r="Z822" s="12" t="inlineStr"/>
      <c r="AA822" s="12">
        <f>N822*O822</f>
        <v/>
      </c>
    </row>
    <row r="823">
      <c r="A823" s="12" t="inlineStr">
        <is>
          <t>A-I-0101</t>
        </is>
      </c>
      <c r="B823" s="12" t="inlineStr">
        <is>
          <t>A</t>
        </is>
      </c>
      <c r="C823" s="12" t="inlineStr">
        <is>
          <t>Power block</t>
        </is>
      </c>
      <c r="D823" s="12" t="inlineStr">
        <is>
          <t>Discrete device to JB JB-EXC-3-DI01: 20 x 1 pr (field cables)</t>
        </is>
      </c>
      <c r="E823" s="12" t="inlineStr">
        <is>
          <t>EXC-3</t>
        </is>
      </c>
      <c r="F823" s="12" t="inlineStr">
        <is>
          <t>EXC-3: static excitation cubicles (GTG-3)</t>
        </is>
      </c>
      <c r="G823" s="12" t="inlineStr">
        <is>
          <t>JB-EXC-3-DI01</t>
        </is>
      </c>
      <c r="H823" s="12" t="inlineStr">
        <is>
          <t>EXC-3: static excitation cubicles (GTG-3)</t>
        </is>
      </c>
      <c r="I823" s="12" t="inlineStr">
        <is>
          <t>Instrumentation</t>
        </is>
      </c>
      <c r="J823" s="12" t="inlineStr">
        <is>
          <t>Instrumentation PLTC / TC-ER 300 V, #18 twisted shielded pairs, overall shield</t>
        </is>
      </c>
      <c r="K823" s="12" t="inlineStr">
        <is>
          <t>PLTC|1 pr|16</t>
        </is>
      </c>
      <c r="L823" s="12" t="inlineStr">
        <is>
          <t>1 pr</t>
        </is>
      </c>
      <c r="M823" s="12" t="inlineStr">
        <is>
          <t>16</t>
        </is>
      </c>
      <c r="N823" s="12" t="n">
        <v>20</v>
      </c>
      <c r="O823" s="12" t="n">
        <v>1</v>
      </c>
      <c r="P823" s="12" t="n"/>
      <c r="Q823" s="12" t="n"/>
      <c r="R823" s="12" t="n"/>
      <c r="S823" s="12" t="inlineStr">
        <is>
          <t>Tray / conduit</t>
        </is>
      </c>
      <c r="T823" s="16" t="n">
        <v>41</v>
      </c>
      <c r="U823" s="16" t="n">
        <v>10</v>
      </c>
      <c r="V823" s="16">
        <f>ROUNDUP((T823+U823+2*'Read Me'!$B$13)*(1+'Read Me'!$B$12),-1)</f>
        <v/>
      </c>
      <c r="W823" s="16">
        <f>V823*N823*O823</f>
        <v/>
      </c>
      <c r="X823" s="12">
        <f>IF(LEFT(I823,2)="MV",2*N823*IF(L823="1/C",O823,1),0)</f>
        <v/>
      </c>
      <c r="Y823" s="12">
        <f>IF(OR(LEFT(K823,4)="LVAX",LEFT(K823,6)="MV15AX",LEFT(K823,4)="CTAX",LEFT(K823,2)="W|"),2*N823*O823,0)</f>
        <v/>
      </c>
      <c r="Z823" s="12" t="inlineStr">
        <is>
          <t>device-to-JB field wiring, one cable per device</t>
        </is>
      </c>
      <c r="AA823" s="12">
        <f>N823*O823</f>
        <v/>
      </c>
    </row>
    <row r="824">
      <c r="A824" s="12" t="inlineStr">
        <is>
          <t>A-I-0102</t>
        </is>
      </c>
      <c r="B824" s="12" t="inlineStr">
        <is>
          <t>A</t>
        </is>
      </c>
      <c r="C824" s="12" t="inlineStr">
        <is>
          <t>Power block</t>
        </is>
      </c>
      <c r="D824" s="12" t="inlineStr">
        <is>
          <t>Home run JB-EXC-3-DI01 to the control / marshalling room</t>
        </is>
      </c>
      <c r="E824" s="12" t="inlineStr">
        <is>
          <t>R2C</t>
        </is>
      </c>
      <c r="F824" s="12" t="inlineStr">
        <is>
          <t>R2C: unit / HRSG electrical e-house (32 x 40 ft)</t>
        </is>
      </c>
      <c r="G824" s="12" t="inlineStr">
        <is>
          <t>JB-EXC-3-DI01</t>
        </is>
      </c>
      <c r="H824" s="12" t="inlineStr">
        <is>
          <t>EXC-3: static excitation cubicles (GTG-3)</t>
        </is>
      </c>
      <c r="I824" s="12" t="inlineStr">
        <is>
          <t>Instrumentation</t>
        </is>
      </c>
      <c r="J824" s="12" t="inlineStr">
        <is>
          <t>Instrumentation PLTC / TC-ER 300 V, #18 twisted shielded pairs, overall shield</t>
        </is>
      </c>
      <c r="K824" s="12" t="inlineStr">
        <is>
          <t>PLTC|24 pr|18</t>
        </is>
      </c>
      <c r="L824" s="12" t="inlineStr">
        <is>
          <t>24 pr</t>
        </is>
      </c>
      <c r="M824" s="12" t="inlineStr">
        <is>
          <t>18</t>
        </is>
      </c>
      <c r="N824" s="12" t="n">
        <v>1</v>
      </c>
      <c r="O824" s="12" t="n">
        <v>1</v>
      </c>
      <c r="P824" s="12" t="n"/>
      <c r="Q824" s="12" t="n"/>
      <c r="R824" s="12" t="n"/>
      <c r="S824" s="12" t="inlineStr">
        <is>
          <t>Duct bank</t>
        </is>
      </c>
      <c r="T824" s="16" t="n">
        <v>1260</v>
      </c>
      <c r="U824" s="16" t="n">
        <v>148</v>
      </c>
      <c r="V824" s="16">
        <f>ROUNDUP((T824+U824+2*'Read Me'!$B$13)*(1+'Read Me'!$B$12),-1)</f>
        <v/>
      </c>
      <c r="W824" s="16">
        <f>V824*N824*O824</f>
        <v/>
      </c>
      <c r="X824" s="12">
        <f>IF(LEFT(I824,2)="MV",2*N824*IF(L824="1/C",O824,1),0)</f>
        <v/>
      </c>
      <c r="Y824" s="12">
        <f>IF(OR(LEFT(K824,4)="LVAX",LEFT(K824,6)="MV15AX",LEFT(K824,4)="CTAX",LEFT(K824,2)="W|"),2*N824*O824,0)</f>
        <v/>
      </c>
      <c r="Z824" s="12" t="inlineStr"/>
      <c r="AA824" s="12">
        <f>N824*O824</f>
        <v/>
      </c>
    </row>
    <row r="825">
      <c r="A825" s="12" t="inlineStr">
        <is>
          <t>A-I-0103</t>
        </is>
      </c>
      <c r="B825" s="12" t="inlineStr">
        <is>
          <t>A</t>
        </is>
      </c>
      <c r="C825" s="12" t="inlineStr">
        <is>
          <t>Power block</t>
        </is>
      </c>
      <c r="D825" s="12" t="inlineStr">
        <is>
          <t>Analog instrument to JB JB-EXC-ST-AI01: 10 x 1 pr (field cables)</t>
        </is>
      </c>
      <c r="E825" s="12" t="inlineStr">
        <is>
          <t>EXC-ST</t>
        </is>
      </c>
      <c r="F825" s="12" t="inlineStr">
        <is>
          <t>EXC-ST: static excitation cubicles (STG)</t>
        </is>
      </c>
      <c r="G825" s="12" t="inlineStr">
        <is>
          <t>JB-EXC-ST-AI01</t>
        </is>
      </c>
      <c r="H825" s="12" t="inlineStr">
        <is>
          <t>EXC-ST: static excitation cubicles (STG)</t>
        </is>
      </c>
      <c r="I825" s="12" t="inlineStr">
        <is>
          <t>Instrumentation</t>
        </is>
      </c>
      <c r="J825" s="12" t="inlineStr">
        <is>
          <t>Instrumentation PLTC / TC-ER 300 V, #18 twisted shielded pairs, overall shield</t>
        </is>
      </c>
      <c r="K825" s="12" t="inlineStr">
        <is>
          <t>PLTC|1 pr|16</t>
        </is>
      </c>
      <c r="L825" s="12" t="inlineStr">
        <is>
          <t>1 pr</t>
        </is>
      </c>
      <c r="M825" s="12" t="inlineStr">
        <is>
          <t>16</t>
        </is>
      </c>
      <c r="N825" s="12" t="n">
        <v>10</v>
      </c>
      <c r="O825" s="12" t="n">
        <v>1</v>
      </c>
      <c r="P825" s="12" t="n"/>
      <c r="Q825" s="12" t="n"/>
      <c r="R825" s="12" t="n"/>
      <c r="S825" s="12" t="inlineStr">
        <is>
          <t>Tray / conduit</t>
        </is>
      </c>
      <c r="T825" s="16" t="n">
        <v>41</v>
      </c>
      <c r="U825" s="16" t="n">
        <v>10</v>
      </c>
      <c r="V825" s="16">
        <f>ROUNDUP((T825+U825+2*'Read Me'!$B$13)*(1+'Read Me'!$B$12),-1)</f>
        <v/>
      </c>
      <c r="W825" s="16">
        <f>V825*N825*O825</f>
        <v/>
      </c>
      <c r="X825" s="12">
        <f>IF(LEFT(I825,2)="MV",2*N825*IF(L825="1/C",O825,1),0)</f>
        <v/>
      </c>
      <c r="Y825" s="12">
        <f>IF(OR(LEFT(K825,4)="LVAX",LEFT(K825,6)="MV15AX",LEFT(K825,4)="CTAX",LEFT(K825,2)="W|"),2*N825*O825,0)</f>
        <v/>
      </c>
      <c r="Z825" s="12" t="inlineStr">
        <is>
          <t>device-to-JB field wiring, one cable per device</t>
        </is>
      </c>
      <c r="AA825" s="12">
        <f>N825*O825</f>
        <v/>
      </c>
    </row>
    <row r="826">
      <c r="A826" s="12" t="inlineStr">
        <is>
          <t>A-I-0104</t>
        </is>
      </c>
      <c r="B826" s="12" t="inlineStr">
        <is>
          <t>A</t>
        </is>
      </c>
      <c r="C826" s="12" t="inlineStr">
        <is>
          <t>Power block</t>
        </is>
      </c>
      <c r="D826" s="12" t="inlineStr">
        <is>
          <t>Home run JB-EXC-ST-AI01 to the control / marshalling room</t>
        </is>
      </c>
      <c r="E826" s="12" t="inlineStr">
        <is>
          <t>R3</t>
        </is>
      </c>
      <c r="F826" s="12" t="inlineStr">
        <is>
          <t>R3: ST auxiliary electrical e-house (40 x 65 ft)</t>
        </is>
      </c>
      <c r="G826" s="12" t="inlineStr">
        <is>
          <t>JB-EXC-ST-AI01</t>
        </is>
      </c>
      <c r="H826" s="12" t="inlineStr">
        <is>
          <t>EXC-ST: static excitation cubicles (STG)</t>
        </is>
      </c>
      <c r="I826" s="12" t="inlineStr">
        <is>
          <t>Instrumentation</t>
        </is>
      </c>
      <c r="J826" s="12" t="inlineStr">
        <is>
          <t>Instrumentation PLTC / TC-ER 300 V, #18 twisted shielded pairs, overall shield</t>
        </is>
      </c>
      <c r="K826" s="12" t="inlineStr">
        <is>
          <t>PLTC|24 pr|18</t>
        </is>
      </c>
      <c r="L826" s="12" t="inlineStr">
        <is>
          <t>24 pr</t>
        </is>
      </c>
      <c r="M826" s="12" t="inlineStr">
        <is>
          <t>18</t>
        </is>
      </c>
      <c r="N826" s="12" t="n">
        <v>1</v>
      </c>
      <c r="O826" s="12" t="n">
        <v>1</v>
      </c>
      <c r="P826" s="12" t="n"/>
      <c r="Q826" s="12" t="n"/>
      <c r="R826" s="12" t="n"/>
      <c r="S826" s="12" t="inlineStr">
        <is>
          <t>Tray</t>
        </is>
      </c>
      <c r="T826" s="16" t="n">
        <v>392</v>
      </c>
      <c r="U826" s="16" t="n">
        <v>96</v>
      </c>
      <c r="V826" s="16">
        <f>ROUNDUP((T826+U826+2*'Read Me'!$B$13)*(1+'Read Me'!$B$12),-1)</f>
        <v/>
      </c>
      <c r="W826" s="16">
        <f>V826*N826*O826</f>
        <v/>
      </c>
      <c r="X826" s="12">
        <f>IF(LEFT(I826,2)="MV",2*N826*IF(L826="1/C",O826,1),0)</f>
        <v/>
      </c>
      <c r="Y826" s="12">
        <f>IF(OR(LEFT(K826,4)="LVAX",LEFT(K826,6)="MV15AX",LEFT(K826,4)="CTAX",LEFT(K826,2)="W|"),2*N826*O826,0)</f>
        <v/>
      </c>
      <c r="Z826" s="12" t="inlineStr"/>
      <c r="AA826" s="12">
        <f>N826*O826</f>
        <v/>
      </c>
    </row>
    <row r="827">
      <c r="A827" s="12" t="inlineStr">
        <is>
          <t>A-I-0105</t>
        </is>
      </c>
      <c r="B827" s="12" t="inlineStr">
        <is>
          <t>A</t>
        </is>
      </c>
      <c r="C827" s="12" t="inlineStr">
        <is>
          <t>Power block</t>
        </is>
      </c>
      <c r="D827" s="12" t="inlineStr">
        <is>
          <t>Discrete device to JB JB-EXC-ST-DI01: 20 x 1 pr (field cables)</t>
        </is>
      </c>
      <c r="E827" s="12" t="inlineStr">
        <is>
          <t>EXC-ST</t>
        </is>
      </c>
      <c r="F827" s="12" t="inlineStr">
        <is>
          <t>EXC-ST: static excitation cubicles (STG)</t>
        </is>
      </c>
      <c r="G827" s="12" t="inlineStr">
        <is>
          <t>JB-EXC-ST-DI01</t>
        </is>
      </c>
      <c r="H827" s="12" t="inlineStr">
        <is>
          <t>EXC-ST: static excitation cubicles (STG)</t>
        </is>
      </c>
      <c r="I827" s="12" t="inlineStr">
        <is>
          <t>Instrumentation</t>
        </is>
      </c>
      <c r="J827" s="12" t="inlineStr">
        <is>
          <t>Instrumentation PLTC / TC-ER 300 V, #18 twisted shielded pairs, overall shield</t>
        </is>
      </c>
      <c r="K827" s="12" t="inlineStr">
        <is>
          <t>PLTC|1 pr|16</t>
        </is>
      </c>
      <c r="L827" s="12" t="inlineStr">
        <is>
          <t>1 pr</t>
        </is>
      </c>
      <c r="M827" s="12" t="inlineStr">
        <is>
          <t>16</t>
        </is>
      </c>
      <c r="N827" s="12" t="n">
        <v>20</v>
      </c>
      <c r="O827" s="12" t="n">
        <v>1</v>
      </c>
      <c r="P827" s="12" t="n"/>
      <c r="Q827" s="12" t="n"/>
      <c r="R827" s="12" t="n"/>
      <c r="S827" s="12" t="inlineStr">
        <is>
          <t>Tray / conduit</t>
        </is>
      </c>
      <c r="T827" s="16" t="n">
        <v>41</v>
      </c>
      <c r="U827" s="16" t="n">
        <v>10</v>
      </c>
      <c r="V827" s="16">
        <f>ROUNDUP((T827+U827+2*'Read Me'!$B$13)*(1+'Read Me'!$B$12),-1)</f>
        <v/>
      </c>
      <c r="W827" s="16">
        <f>V827*N827*O827</f>
        <v/>
      </c>
      <c r="X827" s="12">
        <f>IF(LEFT(I827,2)="MV",2*N827*IF(L827="1/C",O827,1),0)</f>
        <v/>
      </c>
      <c r="Y827" s="12">
        <f>IF(OR(LEFT(K827,4)="LVAX",LEFT(K827,6)="MV15AX",LEFT(K827,4)="CTAX",LEFT(K827,2)="W|"),2*N827*O827,0)</f>
        <v/>
      </c>
      <c r="Z827" s="12" t="inlineStr">
        <is>
          <t>device-to-JB field wiring, one cable per device</t>
        </is>
      </c>
      <c r="AA827" s="12">
        <f>N827*O827</f>
        <v/>
      </c>
    </row>
    <row r="828">
      <c r="A828" s="12" t="inlineStr">
        <is>
          <t>A-I-0106</t>
        </is>
      </c>
      <c r="B828" s="12" t="inlineStr">
        <is>
          <t>A</t>
        </is>
      </c>
      <c r="C828" s="12" t="inlineStr">
        <is>
          <t>Power block</t>
        </is>
      </c>
      <c r="D828" s="12" t="inlineStr">
        <is>
          <t>Home run JB-EXC-ST-DI01 to the control / marshalling room</t>
        </is>
      </c>
      <c r="E828" s="12" t="inlineStr">
        <is>
          <t>R3</t>
        </is>
      </c>
      <c r="F828" s="12" t="inlineStr">
        <is>
          <t>R3: ST auxiliary electrical e-house (40 x 65 ft)</t>
        </is>
      </c>
      <c r="G828" s="12" t="inlineStr">
        <is>
          <t>JB-EXC-ST-DI01</t>
        </is>
      </c>
      <c r="H828" s="12" t="inlineStr">
        <is>
          <t>EXC-ST: static excitation cubicles (STG)</t>
        </is>
      </c>
      <c r="I828" s="12" t="inlineStr">
        <is>
          <t>Instrumentation</t>
        </is>
      </c>
      <c r="J828" s="12" t="inlineStr">
        <is>
          <t>Instrumentation PLTC / TC-ER 300 V, #18 twisted shielded pairs, overall shield</t>
        </is>
      </c>
      <c r="K828" s="12" t="inlineStr">
        <is>
          <t>PLTC|24 pr|18</t>
        </is>
      </c>
      <c r="L828" s="12" t="inlineStr">
        <is>
          <t>24 pr</t>
        </is>
      </c>
      <c r="M828" s="12" t="inlineStr">
        <is>
          <t>18</t>
        </is>
      </c>
      <c r="N828" s="12" t="n">
        <v>1</v>
      </c>
      <c r="O828" s="12" t="n">
        <v>1</v>
      </c>
      <c r="P828" s="12" t="n"/>
      <c r="Q828" s="12" t="n"/>
      <c r="R828" s="12" t="n"/>
      <c r="S828" s="12" t="inlineStr">
        <is>
          <t>Tray</t>
        </is>
      </c>
      <c r="T828" s="16" t="n">
        <v>392</v>
      </c>
      <c r="U828" s="16" t="n">
        <v>96</v>
      </c>
      <c r="V828" s="16">
        <f>ROUNDUP((T828+U828+2*'Read Me'!$B$13)*(1+'Read Me'!$B$12),-1)</f>
        <v/>
      </c>
      <c r="W828" s="16">
        <f>V828*N828*O828</f>
        <v/>
      </c>
      <c r="X828" s="12">
        <f>IF(LEFT(I828,2)="MV",2*N828*IF(L828="1/C",O828,1),0)</f>
        <v/>
      </c>
      <c r="Y828" s="12">
        <f>IF(OR(LEFT(K828,4)="LVAX",LEFT(K828,6)="MV15AX",LEFT(K828,4)="CTAX",LEFT(K828,2)="W|"),2*N828*O828,0)</f>
        <v/>
      </c>
      <c r="Z828" s="12" t="inlineStr"/>
      <c r="AA828" s="12">
        <f>N828*O828</f>
        <v/>
      </c>
    </row>
    <row r="829">
      <c r="A829" s="12" t="inlineStr">
        <is>
          <t>A-I-0107</t>
        </is>
      </c>
      <c r="B829" s="12" t="inlineStr">
        <is>
          <t>A</t>
        </is>
      </c>
      <c r="C829" s="12" t="inlineStr">
        <is>
          <t>Power block</t>
        </is>
      </c>
      <c r="D829" s="12" t="inlineStr">
        <is>
          <t>Analog instrument to JB JB-FH-1-AI01: 10 x 1 pr (field cables)</t>
        </is>
      </c>
      <c r="E829" s="12" t="inlineStr">
        <is>
          <t>FH-1</t>
        </is>
      </c>
      <c r="F829" s="12" t="inlineStr">
        <is>
          <t>FH-1: GT inlet filter house on its own frame</t>
        </is>
      </c>
      <c r="G829" s="12" t="inlineStr">
        <is>
          <t>JB-FH-1-AI01</t>
        </is>
      </c>
      <c r="H829" s="12" t="inlineStr">
        <is>
          <t>FH-1: GT inlet filter house on its own frame</t>
        </is>
      </c>
      <c r="I829" s="12" t="inlineStr">
        <is>
          <t>Instrumentation</t>
        </is>
      </c>
      <c r="J829" s="12" t="inlineStr">
        <is>
          <t>Instrumentation PLTC / TC-ER 300 V, #18 twisted shielded pairs, overall shield</t>
        </is>
      </c>
      <c r="K829" s="12" t="inlineStr">
        <is>
          <t>PLTC|1 pr|16</t>
        </is>
      </c>
      <c r="L829" s="12" t="inlineStr">
        <is>
          <t>1 pr</t>
        </is>
      </c>
      <c r="M829" s="12" t="inlineStr">
        <is>
          <t>16</t>
        </is>
      </c>
      <c r="N829" s="12" t="n">
        <v>10</v>
      </c>
      <c r="O829" s="12" t="n">
        <v>1</v>
      </c>
      <c r="P829" s="12" t="n"/>
      <c r="Q829" s="12" t="n"/>
      <c r="R829" s="12" t="n"/>
      <c r="S829" s="12" t="inlineStr">
        <is>
          <t>Tray / conduit</t>
        </is>
      </c>
      <c r="T829" s="16" t="n">
        <v>140</v>
      </c>
      <c r="U829" s="16" t="n">
        <v>10</v>
      </c>
      <c r="V829" s="16">
        <f>ROUNDUP((T829+U829+2*'Read Me'!$B$13)*(1+'Read Me'!$B$12),-1)</f>
        <v/>
      </c>
      <c r="W829" s="16">
        <f>V829*N829*O829</f>
        <v/>
      </c>
      <c r="X829" s="12">
        <f>IF(LEFT(I829,2)="MV",2*N829*IF(L829="1/C",O829,1),0)</f>
        <v/>
      </c>
      <c r="Y829" s="12">
        <f>IF(OR(LEFT(K829,4)="LVAX",LEFT(K829,6)="MV15AX",LEFT(K829,4)="CTAX",LEFT(K829,2)="W|"),2*N829*O829,0)</f>
        <v/>
      </c>
      <c r="Z829" s="12" t="inlineStr">
        <is>
          <t>device-to-JB field wiring, one cable per device</t>
        </is>
      </c>
      <c r="AA829" s="12">
        <f>N829*O829</f>
        <v/>
      </c>
    </row>
    <row r="830">
      <c r="A830" s="12" t="inlineStr">
        <is>
          <t>A-I-0108</t>
        </is>
      </c>
      <c r="B830" s="12" t="inlineStr">
        <is>
          <t>A</t>
        </is>
      </c>
      <c r="C830" s="12" t="inlineStr">
        <is>
          <t>Power block</t>
        </is>
      </c>
      <c r="D830" s="12" t="inlineStr">
        <is>
          <t>Home run JB-FH-1-AI01 to the control / marshalling room</t>
        </is>
      </c>
      <c r="E830" s="12" t="inlineStr">
        <is>
          <t>R2A</t>
        </is>
      </c>
      <c r="F830" s="12" t="inlineStr">
        <is>
          <t>R2A: unit / HRSG electrical e-house (32 x 40 ft)</t>
        </is>
      </c>
      <c r="G830" s="12" t="inlineStr">
        <is>
          <t>JB-FH-1-AI01</t>
        </is>
      </c>
      <c r="H830" s="12" t="inlineStr">
        <is>
          <t>FH-1: GT inlet filter house on its own frame</t>
        </is>
      </c>
      <c r="I830" s="12" t="inlineStr">
        <is>
          <t>Instrumentation</t>
        </is>
      </c>
      <c r="J830" s="12" t="inlineStr">
        <is>
          <t>Instrumentation PLTC / TC-ER 300 V, #18 twisted shielded pairs, overall shield</t>
        </is>
      </c>
      <c r="K830" s="12" t="inlineStr">
        <is>
          <t>PLTC|24 pr|18</t>
        </is>
      </c>
      <c r="L830" s="12" t="inlineStr">
        <is>
          <t>24 pr</t>
        </is>
      </c>
      <c r="M830" s="12" t="inlineStr">
        <is>
          <t>18</t>
        </is>
      </c>
      <c r="N830" s="12" t="n">
        <v>1</v>
      </c>
      <c r="O830" s="12" t="n">
        <v>1</v>
      </c>
      <c r="P830" s="12" t="n"/>
      <c r="Q830" s="12" t="n"/>
      <c r="R830" s="12" t="n"/>
      <c r="S830" s="12" t="inlineStr">
        <is>
          <t>Tray</t>
        </is>
      </c>
      <c r="T830" s="16" t="n">
        <v>373</v>
      </c>
      <c r="U830" s="16" t="n">
        <v>106</v>
      </c>
      <c r="V830" s="16">
        <f>ROUNDUP((T830+U830+2*'Read Me'!$B$13)*(1+'Read Me'!$B$12),-1)</f>
        <v/>
      </c>
      <c r="W830" s="16">
        <f>V830*N830*O830</f>
        <v/>
      </c>
      <c r="X830" s="12">
        <f>IF(LEFT(I830,2)="MV",2*N830*IF(L830="1/C",O830,1),0)</f>
        <v/>
      </c>
      <c r="Y830" s="12">
        <f>IF(OR(LEFT(K830,4)="LVAX",LEFT(K830,6)="MV15AX",LEFT(K830,4)="CTAX",LEFT(K830,2)="W|"),2*N830*O830,0)</f>
        <v/>
      </c>
      <c r="Z830" s="12" t="inlineStr"/>
      <c r="AA830" s="12">
        <f>N830*O830</f>
        <v/>
      </c>
    </row>
    <row r="831">
      <c r="A831" s="12" t="inlineStr">
        <is>
          <t>A-I-0109</t>
        </is>
      </c>
      <c r="B831" s="12" t="inlineStr">
        <is>
          <t>A</t>
        </is>
      </c>
      <c r="C831" s="12" t="inlineStr">
        <is>
          <t>Power block</t>
        </is>
      </c>
      <c r="D831" s="12" t="inlineStr">
        <is>
          <t>Discrete device to JB JB-FH-1-DI01: 20 x 1 pr (field cables)</t>
        </is>
      </c>
      <c r="E831" s="12" t="inlineStr">
        <is>
          <t>FH-1</t>
        </is>
      </c>
      <c r="F831" s="12" t="inlineStr">
        <is>
          <t>FH-1: GT inlet filter house on its own frame</t>
        </is>
      </c>
      <c r="G831" s="12" t="inlineStr">
        <is>
          <t>JB-FH-1-DI01</t>
        </is>
      </c>
      <c r="H831" s="12" t="inlineStr">
        <is>
          <t>FH-1: GT inlet filter house on its own frame</t>
        </is>
      </c>
      <c r="I831" s="12" t="inlineStr">
        <is>
          <t>Instrumentation</t>
        </is>
      </c>
      <c r="J831" s="12" t="inlineStr">
        <is>
          <t>Instrumentation PLTC / TC-ER 300 V, #18 twisted shielded pairs, overall shield</t>
        </is>
      </c>
      <c r="K831" s="12" t="inlineStr">
        <is>
          <t>PLTC|1 pr|16</t>
        </is>
      </c>
      <c r="L831" s="12" t="inlineStr">
        <is>
          <t>1 pr</t>
        </is>
      </c>
      <c r="M831" s="12" t="inlineStr">
        <is>
          <t>16</t>
        </is>
      </c>
      <c r="N831" s="12" t="n">
        <v>20</v>
      </c>
      <c r="O831" s="12" t="n">
        <v>1</v>
      </c>
      <c r="P831" s="12" t="n"/>
      <c r="Q831" s="12" t="n"/>
      <c r="R831" s="12" t="n"/>
      <c r="S831" s="12" t="inlineStr">
        <is>
          <t>Tray / conduit</t>
        </is>
      </c>
      <c r="T831" s="16" t="n">
        <v>140</v>
      </c>
      <c r="U831" s="16" t="n">
        <v>10</v>
      </c>
      <c r="V831" s="16">
        <f>ROUNDUP((T831+U831+2*'Read Me'!$B$13)*(1+'Read Me'!$B$12),-1)</f>
        <v/>
      </c>
      <c r="W831" s="16">
        <f>V831*N831*O831</f>
        <v/>
      </c>
      <c r="X831" s="12">
        <f>IF(LEFT(I831,2)="MV",2*N831*IF(L831="1/C",O831,1),0)</f>
        <v/>
      </c>
      <c r="Y831" s="12">
        <f>IF(OR(LEFT(K831,4)="LVAX",LEFT(K831,6)="MV15AX",LEFT(K831,4)="CTAX",LEFT(K831,2)="W|"),2*N831*O831,0)</f>
        <v/>
      </c>
      <c r="Z831" s="12" t="inlineStr">
        <is>
          <t>device-to-JB field wiring, one cable per device</t>
        </is>
      </c>
      <c r="AA831" s="12">
        <f>N831*O831</f>
        <v/>
      </c>
    </row>
    <row r="832">
      <c r="A832" s="12" t="inlineStr">
        <is>
          <t>A-I-0110</t>
        </is>
      </c>
      <c r="B832" s="12" t="inlineStr">
        <is>
          <t>A</t>
        </is>
      </c>
      <c r="C832" s="12" t="inlineStr">
        <is>
          <t>Power block</t>
        </is>
      </c>
      <c r="D832" s="12" t="inlineStr">
        <is>
          <t>Home run JB-FH-1-DI01 to the control / marshalling room</t>
        </is>
      </c>
      <c r="E832" s="12" t="inlineStr">
        <is>
          <t>R2A</t>
        </is>
      </c>
      <c r="F832" s="12" t="inlineStr">
        <is>
          <t>R2A: unit / HRSG electrical e-house (32 x 40 ft)</t>
        </is>
      </c>
      <c r="G832" s="12" t="inlineStr">
        <is>
          <t>JB-FH-1-DI01</t>
        </is>
      </c>
      <c r="H832" s="12" t="inlineStr">
        <is>
          <t>FH-1: GT inlet filter house on its own frame</t>
        </is>
      </c>
      <c r="I832" s="12" t="inlineStr">
        <is>
          <t>Instrumentation</t>
        </is>
      </c>
      <c r="J832" s="12" t="inlineStr">
        <is>
          <t>Instrumentation PLTC / TC-ER 300 V, #18 twisted shielded pairs, overall shield</t>
        </is>
      </c>
      <c r="K832" s="12" t="inlineStr">
        <is>
          <t>PLTC|24 pr|18</t>
        </is>
      </c>
      <c r="L832" s="12" t="inlineStr">
        <is>
          <t>24 pr</t>
        </is>
      </c>
      <c r="M832" s="12" t="inlineStr">
        <is>
          <t>18</t>
        </is>
      </c>
      <c r="N832" s="12" t="n">
        <v>1</v>
      </c>
      <c r="O832" s="12" t="n">
        <v>1</v>
      </c>
      <c r="P832" s="12" t="n"/>
      <c r="Q832" s="12" t="n"/>
      <c r="R832" s="12" t="n"/>
      <c r="S832" s="12" t="inlineStr">
        <is>
          <t>Tray</t>
        </is>
      </c>
      <c r="T832" s="16" t="n">
        <v>373</v>
      </c>
      <c r="U832" s="16" t="n">
        <v>106</v>
      </c>
      <c r="V832" s="16">
        <f>ROUNDUP((T832+U832+2*'Read Me'!$B$13)*(1+'Read Me'!$B$12),-1)</f>
        <v/>
      </c>
      <c r="W832" s="16">
        <f>V832*N832*O832</f>
        <v/>
      </c>
      <c r="X832" s="12">
        <f>IF(LEFT(I832,2)="MV",2*N832*IF(L832="1/C",O832,1),0)</f>
        <v/>
      </c>
      <c r="Y832" s="12">
        <f>IF(OR(LEFT(K832,4)="LVAX",LEFT(K832,6)="MV15AX",LEFT(K832,4)="CTAX",LEFT(K832,2)="W|"),2*N832*O832,0)</f>
        <v/>
      </c>
      <c r="Z832" s="12" t="inlineStr"/>
      <c r="AA832" s="12">
        <f>N832*O832</f>
        <v/>
      </c>
    </row>
    <row r="833">
      <c r="A833" s="12" t="inlineStr">
        <is>
          <t>A-I-0111</t>
        </is>
      </c>
      <c r="B833" s="12" t="inlineStr">
        <is>
          <t>A</t>
        </is>
      </c>
      <c r="C833" s="12" t="inlineStr">
        <is>
          <t>Power block</t>
        </is>
      </c>
      <c r="D833" s="12" t="inlineStr">
        <is>
          <t>Discrete device to JB JB-FH-1-DI02: 10 x 1 pr (field cables)</t>
        </is>
      </c>
      <c r="E833" s="12" t="inlineStr">
        <is>
          <t>FH-1</t>
        </is>
      </c>
      <c r="F833" s="12" t="inlineStr">
        <is>
          <t>FH-1: GT inlet filter house on its own frame</t>
        </is>
      </c>
      <c r="G833" s="12" t="inlineStr">
        <is>
          <t>JB-FH-1-DI02</t>
        </is>
      </c>
      <c r="H833" s="12" t="inlineStr">
        <is>
          <t>FH-1: GT inlet filter house on its own frame</t>
        </is>
      </c>
      <c r="I833" s="12" t="inlineStr">
        <is>
          <t>Instrumentation</t>
        </is>
      </c>
      <c r="J833" s="12" t="inlineStr">
        <is>
          <t>Instrumentation PLTC / TC-ER 300 V, #18 twisted shielded pairs, overall shield</t>
        </is>
      </c>
      <c r="K833" s="12" t="inlineStr">
        <is>
          <t>PLTC|1 pr|16</t>
        </is>
      </c>
      <c r="L833" s="12" t="inlineStr">
        <is>
          <t>1 pr</t>
        </is>
      </c>
      <c r="M833" s="12" t="inlineStr">
        <is>
          <t>16</t>
        </is>
      </c>
      <c r="N833" s="12" t="n">
        <v>10</v>
      </c>
      <c r="O833" s="12" t="n">
        <v>1</v>
      </c>
      <c r="P833" s="12" t="n"/>
      <c r="Q833" s="12" t="n"/>
      <c r="R833" s="12" t="n"/>
      <c r="S833" s="12" t="inlineStr">
        <is>
          <t>Tray / conduit</t>
        </is>
      </c>
      <c r="T833" s="16" t="n">
        <v>140</v>
      </c>
      <c r="U833" s="16" t="n">
        <v>10</v>
      </c>
      <c r="V833" s="16">
        <f>ROUNDUP((T833+U833+2*'Read Me'!$B$13)*(1+'Read Me'!$B$12),-1)</f>
        <v/>
      </c>
      <c r="W833" s="16">
        <f>V833*N833*O833</f>
        <v/>
      </c>
      <c r="X833" s="12">
        <f>IF(LEFT(I833,2)="MV",2*N833*IF(L833="1/C",O833,1),0)</f>
        <v/>
      </c>
      <c r="Y833" s="12">
        <f>IF(OR(LEFT(K833,4)="LVAX",LEFT(K833,6)="MV15AX",LEFT(K833,4)="CTAX",LEFT(K833,2)="W|"),2*N833*O833,0)</f>
        <v/>
      </c>
      <c r="Z833" s="12" t="inlineStr">
        <is>
          <t>device-to-JB field wiring, one cable per device</t>
        </is>
      </c>
      <c r="AA833" s="12">
        <f>N833*O833</f>
        <v/>
      </c>
    </row>
    <row r="834">
      <c r="A834" s="12" t="inlineStr">
        <is>
          <t>A-I-0112</t>
        </is>
      </c>
      <c r="B834" s="12" t="inlineStr">
        <is>
          <t>A</t>
        </is>
      </c>
      <c r="C834" s="12" t="inlineStr">
        <is>
          <t>Power block</t>
        </is>
      </c>
      <c r="D834" s="12" t="inlineStr">
        <is>
          <t>Home run JB-FH-1-DI02 to the control / marshalling room</t>
        </is>
      </c>
      <c r="E834" s="12" t="inlineStr">
        <is>
          <t>R2A</t>
        </is>
      </c>
      <c r="F834" s="12" t="inlineStr">
        <is>
          <t>R2A: unit / HRSG electrical e-house (32 x 40 ft)</t>
        </is>
      </c>
      <c r="G834" s="12" t="inlineStr">
        <is>
          <t>JB-FH-1-DI02</t>
        </is>
      </c>
      <c r="H834" s="12" t="inlineStr">
        <is>
          <t>FH-1: GT inlet filter house on its own frame</t>
        </is>
      </c>
      <c r="I834" s="12" t="inlineStr">
        <is>
          <t>Instrumentation</t>
        </is>
      </c>
      <c r="J834" s="12" t="inlineStr">
        <is>
          <t>Instrumentation PLTC / TC-ER 300 V, #18 twisted shielded pairs, overall shield</t>
        </is>
      </c>
      <c r="K834" s="12" t="inlineStr">
        <is>
          <t>PLTC|24 pr|18</t>
        </is>
      </c>
      <c r="L834" s="12" t="inlineStr">
        <is>
          <t>24 pr</t>
        </is>
      </c>
      <c r="M834" s="12" t="inlineStr">
        <is>
          <t>18</t>
        </is>
      </c>
      <c r="N834" s="12" t="n">
        <v>1</v>
      </c>
      <c r="O834" s="12" t="n">
        <v>1</v>
      </c>
      <c r="P834" s="12" t="n"/>
      <c r="Q834" s="12" t="n"/>
      <c r="R834" s="12" t="n"/>
      <c r="S834" s="12" t="inlineStr">
        <is>
          <t>Tray</t>
        </is>
      </c>
      <c r="T834" s="16" t="n">
        <v>373</v>
      </c>
      <c r="U834" s="16" t="n">
        <v>106</v>
      </c>
      <c r="V834" s="16">
        <f>ROUNDUP((T834+U834+2*'Read Me'!$B$13)*(1+'Read Me'!$B$12),-1)</f>
        <v/>
      </c>
      <c r="W834" s="16">
        <f>V834*N834*O834</f>
        <v/>
      </c>
      <c r="X834" s="12">
        <f>IF(LEFT(I834,2)="MV",2*N834*IF(L834="1/C",O834,1),0)</f>
        <v/>
      </c>
      <c r="Y834" s="12">
        <f>IF(OR(LEFT(K834,4)="LVAX",LEFT(K834,6)="MV15AX",LEFT(K834,4)="CTAX",LEFT(K834,2)="W|"),2*N834*O834,0)</f>
        <v/>
      </c>
      <c r="Z834" s="12" t="inlineStr"/>
      <c r="AA834" s="12">
        <f>N834*O834</f>
        <v/>
      </c>
    </row>
    <row r="835">
      <c r="A835" s="12" t="inlineStr">
        <is>
          <t>A-I-0113</t>
        </is>
      </c>
      <c r="B835" s="12" t="inlineStr">
        <is>
          <t>A</t>
        </is>
      </c>
      <c r="C835" s="12" t="inlineStr">
        <is>
          <t>Power block</t>
        </is>
      </c>
      <c r="D835" s="12" t="inlineStr">
        <is>
          <t>Analog instrument to JB JB-FH-2-AI01: 10 x 1 pr (field cables)</t>
        </is>
      </c>
      <c r="E835" s="12" t="inlineStr">
        <is>
          <t>FH-2</t>
        </is>
      </c>
      <c r="F835" s="12" t="inlineStr">
        <is>
          <t>FH-2: GT inlet filter house on its own frame</t>
        </is>
      </c>
      <c r="G835" s="12" t="inlineStr">
        <is>
          <t>JB-FH-2-AI01</t>
        </is>
      </c>
      <c r="H835" s="12" t="inlineStr">
        <is>
          <t>FH-2: GT inlet filter house on its own frame</t>
        </is>
      </c>
      <c r="I835" s="12" t="inlineStr">
        <is>
          <t>Instrumentation</t>
        </is>
      </c>
      <c r="J835" s="12" t="inlineStr">
        <is>
          <t>Instrumentation PLTC / TC-ER 300 V, #18 twisted shielded pairs, overall shield</t>
        </is>
      </c>
      <c r="K835" s="12" t="inlineStr">
        <is>
          <t>PLTC|1 pr|16</t>
        </is>
      </c>
      <c r="L835" s="12" t="inlineStr">
        <is>
          <t>1 pr</t>
        </is>
      </c>
      <c r="M835" s="12" t="inlineStr">
        <is>
          <t>16</t>
        </is>
      </c>
      <c r="N835" s="12" t="n">
        <v>10</v>
      </c>
      <c r="O835" s="12" t="n">
        <v>1</v>
      </c>
      <c r="P835" s="12" t="n"/>
      <c r="Q835" s="12" t="n"/>
      <c r="R835" s="12" t="n"/>
      <c r="S835" s="12" t="inlineStr">
        <is>
          <t>Tray / conduit</t>
        </is>
      </c>
      <c r="T835" s="16" t="n">
        <v>140</v>
      </c>
      <c r="U835" s="16" t="n">
        <v>10</v>
      </c>
      <c r="V835" s="16">
        <f>ROUNDUP((T835+U835+2*'Read Me'!$B$13)*(1+'Read Me'!$B$12),-1)</f>
        <v/>
      </c>
      <c r="W835" s="16">
        <f>V835*N835*O835</f>
        <v/>
      </c>
      <c r="X835" s="12">
        <f>IF(LEFT(I835,2)="MV",2*N835*IF(L835="1/C",O835,1),0)</f>
        <v/>
      </c>
      <c r="Y835" s="12">
        <f>IF(OR(LEFT(K835,4)="LVAX",LEFT(K835,6)="MV15AX",LEFT(K835,4)="CTAX",LEFT(K835,2)="W|"),2*N835*O835,0)</f>
        <v/>
      </c>
      <c r="Z835" s="12" t="inlineStr">
        <is>
          <t>device-to-JB field wiring, one cable per device</t>
        </is>
      </c>
      <c r="AA835" s="12">
        <f>N835*O835</f>
        <v/>
      </c>
    </row>
    <row r="836">
      <c r="A836" s="12" t="inlineStr">
        <is>
          <t>A-I-0114</t>
        </is>
      </c>
      <c r="B836" s="12" t="inlineStr">
        <is>
          <t>A</t>
        </is>
      </c>
      <c r="C836" s="12" t="inlineStr">
        <is>
          <t>Power block</t>
        </is>
      </c>
      <c r="D836" s="12" t="inlineStr">
        <is>
          <t>Home run JB-FH-2-AI01 to the control / marshalling room</t>
        </is>
      </c>
      <c r="E836" s="12" t="inlineStr">
        <is>
          <t>R2B</t>
        </is>
      </c>
      <c r="F836" s="12" t="inlineStr">
        <is>
          <t>R2B: unit / HRSG electrical e-house (32 x 40 ft)</t>
        </is>
      </c>
      <c r="G836" s="12" t="inlineStr">
        <is>
          <t>JB-FH-2-AI01</t>
        </is>
      </c>
      <c r="H836" s="12" t="inlineStr">
        <is>
          <t>FH-2: GT inlet filter house on its own frame</t>
        </is>
      </c>
      <c r="I836" s="12" t="inlineStr">
        <is>
          <t>Instrumentation</t>
        </is>
      </c>
      <c r="J836" s="12" t="inlineStr">
        <is>
          <t>Instrumentation PLTC / TC-ER 300 V, #18 twisted shielded pairs, overall shield</t>
        </is>
      </c>
      <c r="K836" s="12" t="inlineStr">
        <is>
          <t>PLTC|24 pr|18</t>
        </is>
      </c>
      <c r="L836" s="12" t="inlineStr">
        <is>
          <t>24 pr</t>
        </is>
      </c>
      <c r="M836" s="12" t="inlineStr">
        <is>
          <t>18</t>
        </is>
      </c>
      <c r="N836" s="12" t="n">
        <v>1</v>
      </c>
      <c r="O836" s="12" t="n">
        <v>1</v>
      </c>
      <c r="P836" s="12" t="n"/>
      <c r="Q836" s="12" t="n"/>
      <c r="R836" s="12" t="n"/>
      <c r="S836" s="12" t="inlineStr">
        <is>
          <t>Tray</t>
        </is>
      </c>
      <c r="T836" s="16" t="n">
        <v>1247</v>
      </c>
      <c r="U836" s="16" t="n">
        <v>196</v>
      </c>
      <c r="V836" s="16">
        <f>ROUNDUP((T836+U836+2*'Read Me'!$B$13)*(1+'Read Me'!$B$12),-1)</f>
        <v/>
      </c>
      <c r="W836" s="16">
        <f>V836*N836*O836</f>
        <v/>
      </c>
      <c r="X836" s="12">
        <f>IF(LEFT(I836,2)="MV",2*N836*IF(L836="1/C",O836,1),0)</f>
        <v/>
      </c>
      <c r="Y836" s="12">
        <f>IF(OR(LEFT(K836,4)="LVAX",LEFT(K836,6)="MV15AX",LEFT(K836,4)="CTAX",LEFT(K836,2)="W|"),2*N836*O836,0)</f>
        <v/>
      </c>
      <c r="Z836" s="12" t="inlineStr"/>
      <c r="AA836" s="12">
        <f>N836*O836</f>
        <v/>
      </c>
    </row>
    <row r="837">
      <c r="A837" s="12" t="inlineStr">
        <is>
          <t>A-I-0115</t>
        </is>
      </c>
      <c r="B837" s="12" t="inlineStr">
        <is>
          <t>A</t>
        </is>
      </c>
      <c r="C837" s="12" t="inlineStr">
        <is>
          <t>Power block</t>
        </is>
      </c>
      <c r="D837" s="12" t="inlineStr">
        <is>
          <t>Discrete device to JB JB-FH-2-DI01: 20 x 1 pr (field cables)</t>
        </is>
      </c>
      <c r="E837" s="12" t="inlineStr">
        <is>
          <t>FH-2</t>
        </is>
      </c>
      <c r="F837" s="12" t="inlineStr">
        <is>
          <t>FH-2: GT inlet filter house on its own frame</t>
        </is>
      </c>
      <c r="G837" s="12" t="inlineStr">
        <is>
          <t>JB-FH-2-DI01</t>
        </is>
      </c>
      <c r="H837" s="12" t="inlineStr">
        <is>
          <t>FH-2: GT inlet filter house on its own frame</t>
        </is>
      </c>
      <c r="I837" s="12" t="inlineStr">
        <is>
          <t>Instrumentation</t>
        </is>
      </c>
      <c r="J837" s="12" t="inlineStr">
        <is>
          <t>Instrumentation PLTC / TC-ER 300 V, #18 twisted shielded pairs, overall shield</t>
        </is>
      </c>
      <c r="K837" s="12" t="inlineStr">
        <is>
          <t>PLTC|1 pr|16</t>
        </is>
      </c>
      <c r="L837" s="12" t="inlineStr">
        <is>
          <t>1 pr</t>
        </is>
      </c>
      <c r="M837" s="12" t="inlineStr">
        <is>
          <t>16</t>
        </is>
      </c>
      <c r="N837" s="12" t="n">
        <v>20</v>
      </c>
      <c r="O837" s="12" t="n">
        <v>1</v>
      </c>
      <c r="P837" s="12" t="n"/>
      <c r="Q837" s="12" t="n"/>
      <c r="R837" s="12" t="n"/>
      <c r="S837" s="12" t="inlineStr">
        <is>
          <t>Tray / conduit</t>
        </is>
      </c>
      <c r="T837" s="16" t="n">
        <v>140</v>
      </c>
      <c r="U837" s="16" t="n">
        <v>10</v>
      </c>
      <c r="V837" s="16">
        <f>ROUNDUP((T837+U837+2*'Read Me'!$B$13)*(1+'Read Me'!$B$12),-1)</f>
        <v/>
      </c>
      <c r="W837" s="16">
        <f>V837*N837*O837</f>
        <v/>
      </c>
      <c r="X837" s="12">
        <f>IF(LEFT(I837,2)="MV",2*N837*IF(L837="1/C",O837,1),0)</f>
        <v/>
      </c>
      <c r="Y837" s="12">
        <f>IF(OR(LEFT(K837,4)="LVAX",LEFT(K837,6)="MV15AX",LEFT(K837,4)="CTAX",LEFT(K837,2)="W|"),2*N837*O837,0)</f>
        <v/>
      </c>
      <c r="Z837" s="12" t="inlineStr">
        <is>
          <t>device-to-JB field wiring, one cable per device</t>
        </is>
      </c>
      <c r="AA837" s="12">
        <f>N837*O837</f>
        <v/>
      </c>
    </row>
    <row r="838">
      <c r="A838" s="12" t="inlineStr">
        <is>
          <t>A-I-0116</t>
        </is>
      </c>
      <c r="B838" s="12" t="inlineStr">
        <is>
          <t>A</t>
        </is>
      </c>
      <c r="C838" s="12" t="inlineStr">
        <is>
          <t>Power block</t>
        </is>
      </c>
      <c r="D838" s="12" t="inlineStr">
        <is>
          <t>Home run JB-FH-2-DI01 to the control / marshalling room</t>
        </is>
      </c>
      <c r="E838" s="12" t="inlineStr">
        <is>
          <t>R2B</t>
        </is>
      </c>
      <c r="F838" s="12" t="inlineStr">
        <is>
          <t>R2B: unit / HRSG electrical e-house (32 x 40 ft)</t>
        </is>
      </c>
      <c r="G838" s="12" t="inlineStr">
        <is>
          <t>JB-FH-2-DI01</t>
        </is>
      </c>
      <c r="H838" s="12" t="inlineStr">
        <is>
          <t>FH-2: GT inlet filter house on its own frame</t>
        </is>
      </c>
      <c r="I838" s="12" t="inlineStr">
        <is>
          <t>Instrumentation</t>
        </is>
      </c>
      <c r="J838" s="12" t="inlineStr">
        <is>
          <t>Instrumentation PLTC / TC-ER 300 V, #18 twisted shielded pairs, overall shield</t>
        </is>
      </c>
      <c r="K838" s="12" t="inlineStr">
        <is>
          <t>PLTC|24 pr|18</t>
        </is>
      </c>
      <c r="L838" s="12" t="inlineStr">
        <is>
          <t>24 pr</t>
        </is>
      </c>
      <c r="M838" s="12" t="inlineStr">
        <is>
          <t>18</t>
        </is>
      </c>
      <c r="N838" s="12" t="n">
        <v>1</v>
      </c>
      <c r="O838" s="12" t="n">
        <v>1</v>
      </c>
      <c r="P838" s="12" t="n"/>
      <c r="Q838" s="12" t="n"/>
      <c r="R838" s="12" t="n"/>
      <c r="S838" s="12" t="inlineStr">
        <is>
          <t>Tray</t>
        </is>
      </c>
      <c r="T838" s="16" t="n">
        <v>1247</v>
      </c>
      <c r="U838" s="16" t="n">
        <v>196</v>
      </c>
      <c r="V838" s="16">
        <f>ROUNDUP((T838+U838+2*'Read Me'!$B$13)*(1+'Read Me'!$B$12),-1)</f>
        <v/>
      </c>
      <c r="W838" s="16">
        <f>V838*N838*O838</f>
        <v/>
      </c>
      <c r="X838" s="12">
        <f>IF(LEFT(I838,2)="MV",2*N838*IF(L838="1/C",O838,1),0)</f>
        <v/>
      </c>
      <c r="Y838" s="12">
        <f>IF(OR(LEFT(K838,4)="LVAX",LEFT(K838,6)="MV15AX",LEFT(K838,4)="CTAX",LEFT(K838,2)="W|"),2*N838*O838,0)</f>
        <v/>
      </c>
      <c r="Z838" s="12" t="inlineStr"/>
      <c r="AA838" s="12">
        <f>N838*O838</f>
        <v/>
      </c>
    </row>
    <row r="839">
      <c r="A839" s="12" t="inlineStr">
        <is>
          <t>A-I-0117</t>
        </is>
      </c>
      <c r="B839" s="12" t="inlineStr">
        <is>
          <t>A</t>
        </is>
      </c>
      <c r="C839" s="12" t="inlineStr">
        <is>
          <t>Power block</t>
        </is>
      </c>
      <c r="D839" s="12" t="inlineStr">
        <is>
          <t>Discrete device to JB JB-FH-2-DI02: 10 x 1 pr (field cables)</t>
        </is>
      </c>
      <c r="E839" s="12" t="inlineStr">
        <is>
          <t>FH-2</t>
        </is>
      </c>
      <c r="F839" s="12" t="inlineStr">
        <is>
          <t>FH-2: GT inlet filter house on its own frame</t>
        </is>
      </c>
      <c r="G839" s="12" t="inlineStr">
        <is>
          <t>JB-FH-2-DI02</t>
        </is>
      </c>
      <c r="H839" s="12" t="inlineStr">
        <is>
          <t>FH-2: GT inlet filter house on its own frame</t>
        </is>
      </c>
      <c r="I839" s="12" t="inlineStr">
        <is>
          <t>Instrumentation</t>
        </is>
      </c>
      <c r="J839" s="12" t="inlineStr">
        <is>
          <t>Instrumentation PLTC / TC-ER 300 V, #18 twisted shielded pairs, overall shield</t>
        </is>
      </c>
      <c r="K839" s="12" t="inlineStr">
        <is>
          <t>PLTC|1 pr|16</t>
        </is>
      </c>
      <c r="L839" s="12" t="inlineStr">
        <is>
          <t>1 pr</t>
        </is>
      </c>
      <c r="M839" s="12" t="inlineStr">
        <is>
          <t>16</t>
        </is>
      </c>
      <c r="N839" s="12" t="n">
        <v>10</v>
      </c>
      <c r="O839" s="12" t="n">
        <v>1</v>
      </c>
      <c r="P839" s="12" t="n"/>
      <c r="Q839" s="12" t="n"/>
      <c r="R839" s="12" t="n"/>
      <c r="S839" s="12" t="inlineStr">
        <is>
          <t>Tray / conduit</t>
        </is>
      </c>
      <c r="T839" s="16" t="n">
        <v>140</v>
      </c>
      <c r="U839" s="16" t="n">
        <v>10</v>
      </c>
      <c r="V839" s="16">
        <f>ROUNDUP((T839+U839+2*'Read Me'!$B$13)*(1+'Read Me'!$B$12),-1)</f>
        <v/>
      </c>
      <c r="W839" s="16">
        <f>V839*N839*O839</f>
        <v/>
      </c>
      <c r="X839" s="12">
        <f>IF(LEFT(I839,2)="MV",2*N839*IF(L839="1/C",O839,1),0)</f>
        <v/>
      </c>
      <c r="Y839" s="12">
        <f>IF(OR(LEFT(K839,4)="LVAX",LEFT(K839,6)="MV15AX",LEFT(K839,4)="CTAX",LEFT(K839,2)="W|"),2*N839*O839,0)</f>
        <v/>
      </c>
      <c r="Z839" s="12" t="inlineStr">
        <is>
          <t>device-to-JB field wiring, one cable per device</t>
        </is>
      </c>
      <c r="AA839" s="12">
        <f>N839*O839</f>
        <v/>
      </c>
    </row>
    <row r="840">
      <c r="A840" s="12" t="inlineStr">
        <is>
          <t>A-I-0118</t>
        </is>
      </c>
      <c r="B840" s="12" t="inlineStr">
        <is>
          <t>A</t>
        </is>
      </c>
      <c r="C840" s="12" t="inlineStr">
        <is>
          <t>Power block</t>
        </is>
      </c>
      <c r="D840" s="12" t="inlineStr">
        <is>
          <t>Home run JB-FH-2-DI02 to the control / marshalling room</t>
        </is>
      </c>
      <c r="E840" s="12" t="inlineStr">
        <is>
          <t>R2B</t>
        </is>
      </c>
      <c r="F840" s="12" t="inlineStr">
        <is>
          <t>R2B: unit / HRSG electrical e-house (32 x 40 ft)</t>
        </is>
      </c>
      <c r="G840" s="12" t="inlineStr">
        <is>
          <t>JB-FH-2-DI02</t>
        </is>
      </c>
      <c r="H840" s="12" t="inlineStr">
        <is>
          <t>FH-2: GT inlet filter house on its own frame</t>
        </is>
      </c>
      <c r="I840" s="12" t="inlineStr">
        <is>
          <t>Instrumentation</t>
        </is>
      </c>
      <c r="J840" s="12" t="inlineStr">
        <is>
          <t>Instrumentation PLTC / TC-ER 300 V, #18 twisted shielded pairs, overall shield</t>
        </is>
      </c>
      <c r="K840" s="12" t="inlineStr">
        <is>
          <t>PLTC|24 pr|18</t>
        </is>
      </c>
      <c r="L840" s="12" t="inlineStr">
        <is>
          <t>24 pr</t>
        </is>
      </c>
      <c r="M840" s="12" t="inlineStr">
        <is>
          <t>18</t>
        </is>
      </c>
      <c r="N840" s="12" t="n">
        <v>1</v>
      </c>
      <c r="O840" s="12" t="n">
        <v>1</v>
      </c>
      <c r="P840" s="12" t="n"/>
      <c r="Q840" s="12" t="n"/>
      <c r="R840" s="12" t="n"/>
      <c r="S840" s="12" t="inlineStr">
        <is>
          <t>Tray</t>
        </is>
      </c>
      <c r="T840" s="16" t="n">
        <v>1247</v>
      </c>
      <c r="U840" s="16" t="n">
        <v>196</v>
      </c>
      <c r="V840" s="16">
        <f>ROUNDUP((T840+U840+2*'Read Me'!$B$13)*(1+'Read Me'!$B$12),-1)</f>
        <v/>
      </c>
      <c r="W840" s="16">
        <f>V840*N840*O840</f>
        <v/>
      </c>
      <c r="X840" s="12">
        <f>IF(LEFT(I840,2)="MV",2*N840*IF(L840="1/C",O840,1),0)</f>
        <v/>
      </c>
      <c r="Y840" s="12">
        <f>IF(OR(LEFT(K840,4)="LVAX",LEFT(K840,6)="MV15AX",LEFT(K840,4)="CTAX",LEFT(K840,2)="W|"),2*N840*O840,0)</f>
        <v/>
      </c>
      <c r="Z840" s="12" t="inlineStr"/>
      <c r="AA840" s="12">
        <f>N840*O840</f>
        <v/>
      </c>
    </row>
    <row r="841">
      <c r="A841" s="12" t="inlineStr">
        <is>
          <t>A-I-0119</t>
        </is>
      </c>
      <c r="B841" s="12" t="inlineStr">
        <is>
          <t>A</t>
        </is>
      </c>
      <c r="C841" s="12" t="inlineStr">
        <is>
          <t>Power block</t>
        </is>
      </c>
      <c r="D841" s="12" t="inlineStr">
        <is>
          <t>Analog instrument to JB JB-FH-3-AI01: 10 x 1 pr (field cables)</t>
        </is>
      </c>
      <c r="E841" s="12" t="inlineStr">
        <is>
          <t>FH-3</t>
        </is>
      </c>
      <c r="F841" s="12" t="inlineStr">
        <is>
          <t>FH-3: GT inlet filter house on its own frame</t>
        </is>
      </c>
      <c r="G841" s="12" t="inlineStr">
        <is>
          <t>JB-FH-3-AI01</t>
        </is>
      </c>
      <c r="H841" s="12" t="inlineStr">
        <is>
          <t>FH-3: GT inlet filter house on its own frame</t>
        </is>
      </c>
      <c r="I841" s="12" t="inlineStr">
        <is>
          <t>Instrumentation</t>
        </is>
      </c>
      <c r="J841" s="12" t="inlineStr">
        <is>
          <t>Instrumentation PLTC / TC-ER 300 V, #18 twisted shielded pairs, overall shield</t>
        </is>
      </c>
      <c r="K841" s="12" t="inlineStr">
        <is>
          <t>PLTC|1 pr|16</t>
        </is>
      </c>
      <c r="L841" s="12" t="inlineStr">
        <is>
          <t>1 pr</t>
        </is>
      </c>
      <c r="M841" s="12" t="inlineStr">
        <is>
          <t>16</t>
        </is>
      </c>
      <c r="N841" s="12" t="n">
        <v>10</v>
      </c>
      <c r="O841" s="12" t="n">
        <v>1</v>
      </c>
      <c r="P841" s="12" t="n"/>
      <c r="Q841" s="12" t="n"/>
      <c r="R841" s="12" t="n"/>
      <c r="S841" s="12" t="inlineStr">
        <is>
          <t>Tray / conduit</t>
        </is>
      </c>
      <c r="T841" s="16" t="n">
        <v>140</v>
      </c>
      <c r="U841" s="16" t="n">
        <v>10</v>
      </c>
      <c r="V841" s="16">
        <f>ROUNDUP((T841+U841+2*'Read Me'!$B$13)*(1+'Read Me'!$B$12),-1)</f>
        <v/>
      </c>
      <c r="W841" s="16">
        <f>V841*N841*O841</f>
        <v/>
      </c>
      <c r="X841" s="12">
        <f>IF(LEFT(I841,2)="MV",2*N841*IF(L841="1/C",O841,1),0)</f>
        <v/>
      </c>
      <c r="Y841" s="12">
        <f>IF(OR(LEFT(K841,4)="LVAX",LEFT(K841,6)="MV15AX",LEFT(K841,4)="CTAX",LEFT(K841,2)="W|"),2*N841*O841,0)</f>
        <v/>
      </c>
      <c r="Z841" s="12" t="inlineStr">
        <is>
          <t>device-to-JB field wiring, one cable per device</t>
        </is>
      </c>
      <c r="AA841" s="12">
        <f>N841*O841</f>
        <v/>
      </c>
    </row>
    <row r="842">
      <c r="A842" s="12" t="inlineStr">
        <is>
          <t>A-I-0120</t>
        </is>
      </c>
      <c r="B842" s="12" t="inlineStr">
        <is>
          <t>A</t>
        </is>
      </c>
      <c r="C842" s="12" t="inlineStr">
        <is>
          <t>Power block</t>
        </is>
      </c>
      <c r="D842" s="12" t="inlineStr">
        <is>
          <t>Home run JB-FH-3-AI01 to the control / marshalling room</t>
        </is>
      </c>
      <c r="E842" s="12" t="inlineStr">
        <is>
          <t>R2C</t>
        </is>
      </c>
      <c r="F842" s="12" t="inlineStr">
        <is>
          <t>R2C: unit / HRSG electrical e-house (32 x 40 ft)</t>
        </is>
      </c>
      <c r="G842" s="12" t="inlineStr">
        <is>
          <t>JB-FH-3-AI01</t>
        </is>
      </c>
      <c r="H842" s="12" t="inlineStr">
        <is>
          <t>FH-3: GT inlet filter house on its own frame</t>
        </is>
      </c>
      <c r="I842" s="12" t="inlineStr">
        <is>
          <t>Instrumentation</t>
        </is>
      </c>
      <c r="J842" s="12" t="inlineStr">
        <is>
          <t>Instrumentation PLTC / TC-ER 300 V, #18 twisted shielded pairs, overall shield</t>
        </is>
      </c>
      <c r="K842" s="12" t="inlineStr">
        <is>
          <t>PLTC|24 pr|18</t>
        </is>
      </c>
      <c r="L842" s="12" t="inlineStr">
        <is>
          <t>24 pr</t>
        </is>
      </c>
      <c r="M842" s="12" t="inlineStr">
        <is>
          <t>18</t>
        </is>
      </c>
      <c r="N842" s="12" t="n">
        <v>1</v>
      </c>
      <c r="O842" s="12" t="n">
        <v>1</v>
      </c>
      <c r="P842" s="12" t="n"/>
      <c r="Q842" s="12" t="n"/>
      <c r="R842" s="12" t="n"/>
      <c r="S842" s="12" t="inlineStr">
        <is>
          <t>Duct bank</t>
        </is>
      </c>
      <c r="T842" s="16" t="n">
        <v>1193</v>
      </c>
      <c r="U842" s="16" t="n">
        <v>96</v>
      </c>
      <c r="V842" s="16">
        <f>ROUNDUP((T842+U842+2*'Read Me'!$B$13)*(1+'Read Me'!$B$12),-1)</f>
        <v/>
      </c>
      <c r="W842" s="16">
        <f>V842*N842*O842</f>
        <v/>
      </c>
      <c r="X842" s="12">
        <f>IF(LEFT(I842,2)="MV",2*N842*IF(L842="1/C",O842,1),0)</f>
        <v/>
      </c>
      <c r="Y842" s="12">
        <f>IF(OR(LEFT(K842,4)="LVAX",LEFT(K842,6)="MV15AX",LEFT(K842,4)="CTAX",LEFT(K842,2)="W|"),2*N842*O842,0)</f>
        <v/>
      </c>
      <c r="Z842" s="12" t="inlineStr"/>
      <c r="AA842" s="12">
        <f>N842*O842</f>
        <v/>
      </c>
    </row>
    <row r="843">
      <c r="A843" s="12" t="inlineStr">
        <is>
          <t>A-I-0121</t>
        </is>
      </c>
      <c r="B843" s="12" t="inlineStr">
        <is>
          <t>A</t>
        </is>
      </c>
      <c r="C843" s="12" t="inlineStr">
        <is>
          <t>Power block</t>
        </is>
      </c>
      <c r="D843" s="12" t="inlineStr">
        <is>
          <t>Discrete device to JB JB-FH-3-DI01: 20 x 1 pr (field cables)</t>
        </is>
      </c>
      <c r="E843" s="12" t="inlineStr">
        <is>
          <t>FH-3</t>
        </is>
      </c>
      <c r="F843" s="12" t="inlineStr">
        <is>
          <t>FH-3: GT inlet filter house on its own frame</t>
        </is>
      </c>
      <c r="G843" s="12" t="inlineStr">
        <is>
          <t>JB-FH-3-DI01</t>
        </is>
      </c>
      <c r="H843" s="12" t="inlineStr">
        <is>
          <t>FH-3: GT inlet filter house on its own frame</t>
        </is>
      </c>
      <c r="I843" s="12" t="inlineStr">
        <is>
          <t>Instrumentation</t>
        </is>
      </c>
      <c r="J843" s="12" t="inlineStr">
        <is>
          <t>Instrumentation PLTC / TC-ER 300 V, #18 twisted shielded pairs, overall shield</t>
        </is>
      </c>
      <c r="K843" s="12" t="inlineStr">
        <is>
          <t>PLTC|1 pr|16</t>
        </is>
      </c>
      <c r="L843" s="12" t="inlineStr">
        <is>
          <t>1 pr</t>
        </is>
      </c>
      <c r="M843" s="12" t="inlineStr">
        <is>
          <t>16</t>
        </is>
      </c>
      <c r="N843" s="12" t="n">
        <v>20</v>
      </c>
      <c r="O843" s="12" t="n">
        <v>1</v>
      </c>
      <c r="P843" s="12" t="n"/>
      <c r="Q843" s="12" t="n"/>
      <c r="R843" s="12" t="n"/>
      <c r="S843" s="12" t="inlineStr">
        <is>
          <t>Tray / conduit</t>
        </is>
      </c>
      <c r="T843" s="16" t="n">
        <v>140</v>
      </c>
      <c r="U843" s="16" t="n">
        <v>10</v>
      </c>
      <c r="V843" s="16">
        <f>ROUNDUP((T843+U843+2*'Read Me'!$B$13)*(1+'Read Me'!$B$12),-1)</f>
        <v/>
      </c>
      <c r="W843" s="16">
        <f>V843*N843*O843</f>
        <v/>
      </c>
      <c r="X843" s="12">
        <f>IF(LEFT(I843,2)="MV",2*N843*IF(L843="1/C",O843,1),0)</f>
        <v/>
      </c>
      <c r="Y843" s="12">
        <f>IF(OR(LEFT(K843,4)="LVAX",LEFT(K843,6)="MV15AX",LEFT(K843,4)="CTAX",LEFT(K843,2)="W|"),2*N843*O843,0)</f>
        <v/>
      </c>
      <c r="Z843" s="12" t="inlineStr">
        <is>
          <t>device-to-JB field wiring, one cable per device</t>
        </is>
      </c>
      <c r="AA843" s="12">
        <f>N843*O843</f>
        <v/>
      </c>
    </row>
    <row r="844">
      <c r="A844" s="12" t="inlineStr">
        <is>
          <t>A-I-0122</t>
        </is>
      </c>
      <c r="B844" s="12" t="inlineStr">
        <is>
          <t>A</t>
        </is>
      </c>
      <c r="C844" s="12" t="inlineStr">
        <is>
          <t>Power block</t>
        </is>
      </c>
      <c r="D844" s="12" t="inlineStr">
        <is>
          <t>Home run JB-FH-3-DI01 to the control / marshalling room</t>
        </is>
      </c>
      <c r="E844" s="12" t="inlineStr">
        <is>
          <t>R2C</t>
        </is>
      </c>
      <c r="F844" s="12" t="inlineStr">
        <is>
          <t>R2C: unit / HRSG electrical e-house (32 x 40 ft)</t>
        </is>
      </c>
      <c r="G844" s="12" t="inlineStr">
        <is>
          <t>JB-FH-3-DI01</t>
        </is>
      </c>
      <c r="H844" s="12" t="inlineStr">
        <is>
          <t>FH-3: GT inlet filter house on its own frame</t>
        </is>
      </c>
      <c r="I844" s="12" t="inlineStr">
        <is>
          <t>Instrumentation</t>
        </is>
      </c>
      <c r="J844" s="12" t="inlineStr">
        <is>
          <t>Instrumentation PLTC / TC-ER 300 V, #18 twisted shielded pairs, overall shield</t>
        </is>
      </c>
      <c r="K844" s="12" t="inlineStr">
        <is>
          <t>PLTC|24 pr|18</t>
        </is>
      </c>
      <c r="L844" s="12" t="inlineStr">
        <is>
          <t>24 pr</t>
        </is>
      </c>
      <c r="M844" s="12" t="inlineStr">
        <is>
          <t>18</t>
        </is>
      </c>
      <c r="N844" s="12" t="n">
        <v>1</v>
      </c>
      <c r="O844" s="12" t="n">
        <v>1</v>
      </c>
      <c r="P844" s="12" t="n"/>
      <c r="Q844" s="12" t="n"/>
      <c r="R844" s="12" t="n"/>
      <c r="S844" s="12" t="inlineStr">
        <is>
          <t>Duct bank</t>
        </is>
      </c>
      <c r="T844" s="16" t="n">
        <v>1193</v>
      </c>
      <c r="U844" s="16" t="n">
        <v>96</v>
      </c>
      <c r="V844" s="16">
        <f>ROUNDUP((T844+U844+2*'Read Me'!$B$13)*(1+'Read Me'!$B$12),-1)</f>
        <v/>
      </c>
      <c r="W844" s="16">
        <f>V844*N844*O844</f>
        <v/>
      </c>
      <c r="X844" s="12">
        <f>IF(LEFT(I844,2)="MV",2*N844*IF(L844="1/C",O844,1),0)</f>
        <v/>
      </c>
      <c r="Y844" s="12">
        <f>IF(OR(LEFT(K844,4)="LVAX",LEFT(K844,6)="MV15AX",LEFT(K844,4)="CTAX",LEFT(K844,2)="W|"),2*N844*O844,0)</f>
        <v/>
      </c>
      <c r="Z844" s="12" t="inlineStr"/>
      <c r="AA844" s="12">
        <f>N844*O844</f>
        <v/>
      </c>
    </row>
    <row r="845">
      <c r="A845" s="12" t="inlineStr">
        <is>
          <t>A-I-0123</t>
        </is>
      </c>
      <c r="B845" s="12" t="inlineStr">
        <is>
          <t>A</t>
        </is>
      </c>
      <c r="C845" s="12" t="inlineStr">
        <is>
          <t>Power block</t>
        </is>
      </c>
      <c r="D845" s="12" t="inlineStr">
        <is>
          <t>Discrete device to JB JB-FH-3-DI02: 10 x 1 pr (field cables)</t>
        </is>
      </c>
      <c r="E845" s="12" t="inlineStr">
        <is>
          <t>FH-3</t>
        </is>
      </c>
      <c r="F845" s="12" t="inlineStr">
        <is>
          <t>FH-3: GT inlet filter house on its own frame</t>
        </is>
      </c>
      <c r="G845" s="12" t="inlineStr">
        <is>
          <t>JB-FH-3-DI02</t>
        </is>
      </c>
      <c r="H845" s="12" t="inlineStr">
        <is>
          <t>FH-3: GT inlet filter house on its own frame</t>
        </is>
      </c>
      <c r="I845" s="12" t="inlineStr">
        <is>
          <t>Instrumentation</t>
        </is>
      </c>
      <c r="J845" s="12" t="inlineStr">
        <is>
          <t>Instrumentation PLTC / TC-ER 300 V, #18 twisted shielded pairs, overall shield</t>
        </is>
      </c>
      <c r="K845" s="12" t="inlineStr">
        <is>
          <t>PLTC|1 pr|16</t>
        </is>
      </c>
      <c r="L845" s="12" t="inlineStr">
        <is>
          <t>1 pr</t>
        </is>
      </c>
      <c r="M845" s="12" t="inlineStr">
        <is>
          <t>16</t>
        </is>
      </c>
      <c r="N845" s="12" t="n">
        <v>10</v>
      </c>
      <c r="O845" s="12" t="n">
        <v>1</v>
      </c>
      <c r="P845" s="12" t="n"/>
      <c r="Q845" s="12" t="n"/>
      <c r="R845" s="12" t="n"/>
      <c r="S845" s="12" t="inlineStr">
        <is>
          <t>Tray / conduit</t>
        </is>
      </c>
      <c r="T845" s="16" t="n">
        <v>140</v>
      </c>
      <c r="U845" s="16" t="n">
        <v>10</v>
      </c>
      <c r="V845" s="16">
        <f>ROUNDUP((T845+U845+2*'Read Me'!$B$13)*(1+'Read Me'!$B$12),-1)</f>
        <v/>
      </c>
      <c r="W845" s="16">
        <f>V845*N845*O845</f>
        <v/>
      </c>
      <c r="X845" s="12">
        <f>IF(LEFT(I845,2)="MV",2*N845*IF(L845="1/C",O845,1),0)</f>
        <v/>
      </c>
      <c r="Y845" s="12">
        <f>IF(OR(LEFT(K845,4)="LVAX",LEFT(K845,6)="MV15AX",LEFT(K845,4)="CTAX",LEFT(K845,2)="W|"),2*N845*O845,0)</f>
        <v/>
      </c>
      <c r="Z845" s="12" t="inlineStr">
        <is>
          <t>device-to-JB field wiring, one cable per device</t>
        </is>
      </c>
      <c r="AA845" s="12">
        <f>N845*O845</f>
        <v/>
      </c>
    </row>
    <row r="846">
      <c r="A846" s="12" t="inlineStr">
        <is>
          <t>A-I-0124</t>
        </is>
      </c>
      <c r="B846" s="12" t="inlineStr">
        <is>
          <t>A</t>
        </is>
      </c>
      <c r="C846" s="12" t="inlineStr">
        <is>
          <t>Power block</t>
        </is>
      </c>
      <c r="D846" s="12" t="inlineStr">
        <is>
          <t>Home run JB-FH-3-DI02 to the control / marshalling room</t>
        </is>
      </c>
      <c r="E846" s="12" t="inlineStr">
        <is>
          <t>R2C</t>
        </is>
      </c>
      <c r="F846" s="12" t="inlineStr">
        <is>
          <t>R2C: unit / HRSG electrical e-house (32 x 40 ft)</t>
        </is>
      </c>
      <c r="G846" s="12" t="inlineStr">
        <is>
          <t>JB-FH-3-DI02</t>
        </is>
      </c>
      <c r="H846" s="12" t="inlineStr">
        <is>
          <t>FH-3: GT inlet filter house on its own frame</t>
        </is>
      </c>
      <c r="I846" s="12" t="inlineStr">
        <is>
          <t>Instrumentation</t>
        </is>
      </c>
      <c r="J846" s="12" t="inlineStr">
        <is>
          <t>Instrumentation PLTC / TC-ER 300 V, #18 twisted shielded pairs, overall shield</t>
        </is>
      </c>
      <c r="K846" s="12" t="inlineStr">
        <is>
          <t>PLTC|24 pr|18</t>
        </is>
      </c>
      <c r="L846" s="12" t="inlineStr">
        <is>
          <t>24 pr</t>
        </is>
      </c>
      <c r="M846" s="12" t="inlineStr">
        <is>
          <t>18</t>
        </is>
      </c>
      <c r="N846" s="12" t="n">
        <v>1</v>
      </c>
      <c r="O846" s="12" t="n">
        <v>1</v>
      </c>
      <c r="P846" s="12" t="n"/>
      <c r="Q846" s="12" t="n"/>
      <c r="R846" s="12" t="n"/>
      <c r="S846" s="12" t="inlineStr">
        <is>
          <t>Duct bank</t>
        </is>
      </c>
      <c r="T846" s="16" t="n">
        <v>1193</v>
      </c>
      <c r="U846" s="16" t="n">
        <v>96</v>
      </c>
      <c r="V846" s="16">
        <f>ROUNDUP((T846+U846+2*'Read Me'!$B$13)*(1+'Read Me'!$B$12),-1)</f>
        <v/>
      </c>
      <c r="W846" s="16">
        <f>V846*N846*O846</f>
        <v/>
      </c>
      <c r="X846" s="12">
        <f>IF(LEFT(I846,2)="MV",2*N846*IF(L846="1/C",O846,1),0)</f>
        <v/>
      </c>
      <c r="Y846" s="12">
        <f>IF(OR(LEFT(K846,4)="LVAX",LEFT(K846,6)="MV15AX",LEFT(K846,4)="CTAX",LEFT(K846,2)="W|"),2*N846*O846,0)</f>
        <v/>
      </c>
      <c r="Z846" s="12" t="inlineStr"/>
      <c r="AA846" s="12">
        <f>N846*O846</f>
        <v/>
      </c>
    </row>
    <row r="847">
      <c r="A847" s="12" t="inlineStr">
        <is>
          <t>A-I-0125</t>
        </is>
      </c>
      <c r="B847" s="12" t="inlineStr">
        <is>
          <t>A</t>
        </is>
      </c>
      <c r="C847" s="12" t="inlineStr">
        <is>
          <t>Power block</t>
        </is>
      </c>
      <c r="D847" s="12" t="inlineStr">
        <is>
          <t>Analog instrument to JB JB-FS-GT1-AI01: 4 x 1 pr (field cables)</t>
        </is>
      </c>
      <c r="E847" s="12" t="inlineStr">
        <is>
          <t>FS-GT1</t>
        </is>
      </c>
      <c r="F847" s="12" t="inlineStr">
        <is>
          <t>FS-GT1: CO2 fire-suppression skid</t>
        </is>
      </c>
      <c r="G847" s="12" t="inlineStr">
        <is>
          <t>JB-FS-GT1-AI01</t>
        </is>
      </c>
      <c r="H847" s="12" t="inlineStr">
        <is>
          <t>FS-GT1: CO2 fire-suppression skid</t>
        </is>
      </c>
      <c r="I847" s="12" t="inlineStr">
        <is>
          <t>Instrumentation</t>
        </is>
      </c>
      <c r="J847" s="12" t="inlineStr">
        <is>
          <t>Instrumentation PLTC / TC-ER 300 V, #18 twisted shielded pairs, overall shield</t>
        </is>
      </c>
      <c r="K847" s="12" t="inlineStr">
        <is>
          <t>PLTC|1 pr|16</t>
        </is>
      </c>
      <c r="L847" s="12" t="inlineStr">
        <is>
          <t>1 pr</t>
        </is>
      </c>
      <c r="M847" s="12" t="inlineStr">
        <is>
          <t>16</t>
        </is>
      </c>
      <c r="N847" s="12" t="n">
        <v>4</v>
      </c>
      <c r="O847" s="12" t="n">
        <v>1</v>
      </c>
      <c r="P847" s="12" t="n"/>
      <c r="Q847" s="12" t="n"/>
      <c r="R847" s="12" t="n"/>
      <c r="S847" s="12" t="inlineStr">
        <is>
          <t>Tray / conduit</t>
        </is>
      </c>
      <c r="T847" s="16" t="n">
        <v>54</v>
      </c>
      <c r="U847" s="16" t="n">
        <v>10</v>
      </c>
      <c r="V847" s="16">
        <f>ROUNDUP((T847+U847+2*'Read Me'!$B$13)*(1+'Read Me'!$B$12),-1)</f>
        <v/>
      </c>
      <c r="W847" s="16">
        <f>V847*N847*O847</f>
        <v/>
      </c>
      <c r="X847" s="12">
        <f>IF(LEFT(I847,2)="MV",2*N847*IF(L847="1/C",O847,1),0)</f>
        <v/>
      </c>
      <c r="Y847" s="12">
        <f>IF(OR(LEFT(K847,4)="LVAX",LEFT(K847,6)="MV15AX",LEFT(K847,4)="CTAX",LEFT(K847,2)="W|"),2*N847*O847,0)</f>
        <v/>
      </c>
      <c r="Z847" s="12" t="inlineStr">
        <is>
          <t>device-to-JB field wiring, one cable per device</t>
        </is>
      </c>
      <c r="AA847" s="12">
        <f>N847*O847</f>
        <v/>
      </c>
    </row>
    <row r="848">
      <c r="A848" s="12" t="inlineStr">
        <is>
          <t>A-I-0126</t>
        </is>
      </c>
      <c r="B848" s="12" t="inlineStr">
        <is>
          <t>A</t>
        </is>
      </c>
      <c r="C848" s="12" t="inlineStr">
        <is>
          <t>Power block</t>
        </is>
      </c>
      <c r="D848" s="12" t="inlineStr">
        <is>
          <t>Home run JB-FS-GT1-AI01 to the control / marshalling room</t>
        </is>
      </c>
      <c r="E848" s="12" t="inlineStr">
        <is>
          <t>R2A</t>
        </is>
      </c>
      <c r="F848" s="12" t="inlineStr">
        <is>
          <t>R2A: unit / HRSG electrical e-house (32 x 40 ft)</t>
        </is>
      </c>
      <c r="G848" s="12" t="inlineStr">
        <is>
          <t>JB-FS-GT1-AI01</t>
        </is>
      </c>
      <c r="H848" s="12" t="inlineStr">
        <is>
          <t>FS-GT1: CO2 fire-suppression skid</t>
        </is>
      </c>
      <c r="I848" s="12" t="inlineStr">
        <is>
          <t>Instrumentation</t>
        </is>
      </c>
      <c r="J848" s="12" t="inlineStr">
        <is>
          <t>Instrumentation PLTC / TC-ER 300 V, #18 twisted shielded pairs, overall shield</t>
        </is>
      </c>
      <c r="K848" s="12" t="inlineStr">
        <is>
          <t>PLTC|24 pr|18</t>
        </is>
      </c>
      <c r="L848" s="12" t="inlineStr">
        <is>
          <t>24 pr</t>
        </is>
      </c>
      <c r="M848" s="12" t="inlineStr">
        <is>
          <t>18</t>
        </is>
      </c>
      <c r="N848" s="12" t="n">
        <v>1</v>
      </c>
      <c r="O848" s="12" t="n">
        <v>1</v>
      </c>
      <c r="P848" s="12" t="n"/>
      <c r="Q848" s="12" t="n"/>
      <c r="R848" s="12" t="n"/>
      <c r="S848" s="12" t="inlineStr">
        <is>
          <t>Tray</t>
        </is>
      </c>
      <c r="T848" s="16" t="n">
        <v>210</v>
      </c>
      <c r="U848" s="16" t="n">
        <v>104</v>
      </c>
      <c r="V848" s="16">
        <f>ROUNDUP((T848+U848+2*'Read Me'!$B$13)*(1+'Read Me'!$B$12),-1)</f>
        <v/>
      </c>
      <c r="W848" s="16">
        <f>V848*N848*O848</f>
        <v/>
      </c>
      <c r="X848" s="12">
        <f>IF(LEFT(I848,2)="MV",2*N848*IF(L848="1/C",O848,1),0)</f>
        <v/>
      </c>
      <c r="Y848" s="12">
        <f>IF(OR(LEFT(K848,4)="LVAX",LEFT(K848,6)="MV15AX",LEFT(K848,4)="CTAX",LEFT(K848,2)="W|"),2*N848*O848,0)</f>
        <v/>
      </c>
      <c r="Z848" s="12" t="inlineStr"/>
      <c r="AA848" s="12">
        <f>N848*O848</f>
        <v/>
      </c>
    </row>
    <row r="849">
      <c r="A849" s="12" t="inlineStr">
        <is>
          <t>A-I-0127</t>
        </is>
      </c>
      <c r="B849" s="12" t="inlineStr">
        <is>
          <t>A</t>
        </is>
      </c>
      <c r="C849" s="12" t="inlineStr">
        <is>
          <t>Power block</t>
        </is>
      </c>
      <c r="D849" s="12" t="inlineStr">
        <is>
          <t>Discrete device to JB JB-FS-GT1-DI01: 20 x 1 pr (field cables)</t>
        </is>
      </c>
      <c r="E849" s="12" t="inlineStr">
        <is>
          <t>FS-GT1</t>
        </is>
      </c>
      <c r="F849" s="12" t="inlineStr">
        <is>
          <t>FS-GT1: CO2 fire-suppression skid</t>
        </is>
      </c>
      <c r="G849" s="12" t="inlineStr">
        <is>
          <t>JB-FS-GT1-DI01</t>
        </is>
      </c>
      <c r="H849" s="12" t="inlineStr">
        <is>
          <t>FS-GT1: CO2 fire-suppression skid</t>
        </is>
      </c>
      <c r="I849" s="12" t="inlineStr">
        <is>
          <t>Instrumentation</t>
        </is>
      </c>
      <c r="J849" s="12" t="inlineStr">
        <is>
          <t>Instrumentation PLTC / TC-ER 300 V, #18 twisted shielded pairs, overall shield</t>
        </is>
      </c>
      <c r="K849" s="12" t="inlineStr">
        <is>
          <t>PLTC|1 pr|16</t>
        </is>
      </c>
      <c r="L849" s="12" t="inlineStr">
        <is>
          <t>1 pr</t>
        </is>
      </c>
      <c r="M849" s="12" t="inlineStr">
        <is>
          <t>16</t>
        </is>
      </c>
      <c r="N849" s="12" t="n">
        <v>20</v>
      </c>
      <c r="O849" s="12" t="n">
        <v>1</v>
      </c>
      <c r="P849" s="12" t="n"/>
      <c r="Q849" s="12" t="n"/>
      <c r="R849" s="12" t="n"/>
      <c r="S849" s="12" t="inlineStr">
        <is>
          <t>Tray / conduit</t>
        </is>
      </c>
      <c r="T849" s="16" t="n">
        <v>54</v>
      </c>
      <c r="U849" s="16" t="n">
        <v>10</v>
      </c>
      <c r="V849" s="16">
        <f>ROUNDUP((T849+U849+2*'Read Me'!$B$13)*(1+'Read Me'!$B$12),-1)</f>
        <v/>
      </c>
      <c r="W849" s="16">
        <f>V849*N849*O849</f>
        <v/>
      </c>
      <c r="X849" s="12">
        <f>IF(LEFT(I849,2)="MV",2*N849*IF(L849="1/C",O849,1),0)</f>
        <v/>
      </c>
      <c r="Y849" s="12">
        <f>IF(OR(LEFT(K849,4)="LVAX",LEFT(K849,6)="MV15AX",LEFT(K849,4)="CTAX",LEFT(K849,2)="W|"),2*N849*O849,0)</f>
        <v/>
      </c>
      <c r="Z849" s="12" t="inlineStr">
        <is>
          <t>device-to-JB field wiring, one cable per device</t>
        </is>
      </c>
      <c r="AA849" s="12">
        <f>N849*O849</f>
        <v/>
      </c>
    </row>
    <row r="850">
      <c r="A850" s="12" t="inlineStr">
        <is>
          <t>A-I-0128</t>
        </is>
      </c>
      <c r="B850" s="12" t="inlineStr">
        <is>
          <t>A</t>
        </is>
      </c>
      <c r="C850" s="12" t="inlineStr">
        <is>
          <t>Power block</t>
        </is>
      </c>
      <c r="D850" s="12" t="inlineStr">
        <is>
          <t>Home run JB-FS-GT1-DI01 to the control / marshalling room</t>
        </is>
      </c>
      <c r="E850" s="12" t="inlineStr">
        <is>
          <t>R2A</t>
        </is>
      </c>
      <c r="F850" s="12" t="inlineStr">
        <is>
          <t>R2A: unit / HRSG electrical e-house (32 x 40 ft)</t>
        </is>
      </c>
      <c r="G850" s="12" t="inlineStr">
        <is>
          <t>JB-FS-GT1-DI01</t>
        </is>
      </c>
      <c r="H850" s="12" t="inlineStr">
        <is>
          <t>FS-GT1: CO2 fire-suppression skid</t>
        </is>
      </c>
      <c r="I850" s="12" t="inlineStr">
        <is>
          <t>Instrumentation</t>
        </is>
      </c>
      <c r="J850" s="12" t="inlineStr">
        <is>
          <t>Instrumentation PLTC / TC-ER 300 V, #18 twisted shielded pairs, overall shield</t>
        </is>
      </c>
      <c r="K850" s="12" t="inlineStr">
        <is>
          <t>PLTC|24 pr|18</t>
        </is>
      </c>
      <c r="L850" s="12" t="inlineStr">
        <is>
          <t>24 pr</t>
        </is>
      </c>
      <c r="M850" s="12" t="inlineStr">
        <is>
          <t>18</t>
        </is>
      </c>
      <c r="N850" s="12" t="n">
        <v>1</v>
      </c>
      <c r="O850" s="12" t="n">
        <v>1</v>
      </c>
      <c r="P850" s="12" t="n"/>
      <c r="Q850" s="12" t="n"/>
      <c r="R850" s="12" t="n"/>
      <c r="S850" s="12" t="inlineStr">
        <is>
          <t>Tray</t>
        </is>
      </c>
      <c r="T850" s="16" t="n">
        <v>210</v>
      </c>
      <c r="U850" s="16" t="n">
        <v>104</v>
      </c>
      <c r="V850" s="16">
        <f>ROUNDUP((T850+U850+2*'Read Me'!$B$13)*(1+'Read Me'!$B$12),-1)</f>
        <v/>
      </c>
      <c r="W850" s="16">
        <f>V850*N850*O850</f>
        <v/>
      </c>
      <c r="X850" s="12">
        <f>IF(LEFT(I850,2)="MV",2*N850*IF(L850="1/C",O850,1),0)</f>
        <v/>
      </c>
      <c r="Y850" s="12">
        <f>IF(OR(LEFT(K850,4)="LVAX",LEFT(K850,6)="MV15AX",LEFT(K850,4)="CTAX",LEFT(K850,2)="W|"),2*N850*O850,0)</f>
        <v/>
      </c>
      <c r="Z850" s="12" t="inlineStr"/>
      <c r="AA850" s="12">
        <f>N850*O850</f>
        <v/>
      </c>
    </row>
    <row r="851">
      <c r="A851" s="12" t="inlineStr">
        <is>
          <t>A-I-0129</t>
        </is>
      </c>
      <c r="B851" s="12" t="inlineStr">
        <is>
          <t>A</t>
        </is>
      </c>
      <c r="C851" s="12" t="inlineStr">
        <is>
          <t>Power block</t>
        </is>
      </c>
      <c r="D851" s="12" t="inlineStr">
        <is>
          <t>Analog instrument to JB JB-FS-GT2-AI01: 4 x 1 pr (field cables)</t>
        </is>
      </c>
      <c r="E851" s="12" t="inlineStr">
        <is>
          <t>FS-GT2</t>
        </is>
      </c>
      <c r="F851" s="12" t="inlineStr">
        <is>
          <t>FS-GT2: CO2 fire-suppression skid</t>
        </is>
      </c>
      <c r="G851" s="12" t="inlineStr">
        <is>
          <t>JB-FS-GT2-AI01</t>
        </is>
      </c>
      <c r="H851" s="12" t="inlineStr">
        <is>
          <t>FS-GT2: CO2 fire-suppression skid</t>
        </is>
      </c>
      <c r="I851" s="12" t="inlineStr">
        <is>
          <t>Instrumentation</t>
        </is>
      </c>
      <c r="J851" s="12" t="inlineStr">
        <is>
          <t>Instrumentation PLTC / TC-ER 300 V, #18 twisted shielded pairs, overall shield</t>
        </is>
      </c>
      <c r="K851" s="12" t="inlineStr">
        <is>
          <t>PLTC|1 pr|16</t>
        </is>
      </c>
      <c r="L851" s="12" t="inlineStr">
        <is>
          <t>1 pr</t>
        </is>
      </c>
      <c r="M851" s="12" t="inlineStr">
        <is>
          <t>16</t>
        </is>
      </c>
      <c r="N851" s="12" t="n">
        <v>4</v>
      </c>
      <c r="O851" s="12" t="n">
        <v>1</v>
      </c>
      <c r="P851" s="12" t="n"/>
      <c r="Q851" s="12" t="n"/>
      <c r="R851" s="12" t="n"/>
      <c r="S851" s="12" t="inlineStr">
        <is>
          <t>Tray / conduit</t>
        </is>
      </c>
      <c r="T851" s="16" t="n">
        <v>54</v>
      </c>
      <c r="U851" s="16" t="n">
        <v>10</v>
      </c>
      <c r="V851" s="16">
        <f>ROUNDUP((T851+U851+2*'Read Me'!$B$13)*(1+'Read Me'!$B$12),-1)</f>
        <v/>
      </c>
      <c r="W851" s="16">
        <f>V851*N851*O851</f>
        <v/>
      </c>
      <c r="X851" s="12">
        <f>IF(LEFT(I851,2)="MV",2*N851*IF(L851="1/C",O851,1),0)</f>
        <v/>
      </c>
      <c r="Y851" s="12">
        <f>IF(OR(LEFT(K851,4)="LVAX",LEFT(K851,6)="MV15AX",LEFT(K851,4)="CTAX",LEFT(K851,2)="W|"),2*N851*O851,0)</f>
        <v/>
      </c>
      <c r="Z851" s="12" t="inlineStr">
        <is>
          <t>device-to-JB field wiring, one cable per device</t>
        </is>
      </c>
      <c r="AA851" s="12">
        <f>N851*O851</f>
        <v/>
      </c>
    </row>
    <row r="852">
      <c r="A852" s="12" t="inlineStr">
        <is>
          <t>A-I-0130</t>
        </is>
      </c>
      <c r="B852" s="12" t="inlineStr">
        <is>
          <t>A</t>
        </is>
      </c>
      <c r="C852" s="12" t="inlineStr">
        <is>
          <t>Power block</t>
        </is>
      </c>
      <c r="D852" s="12" t="inlineStr">
        <is>
          <t>Home run JB-FS-GT2-AI01 to the control / marshalling room</t>
        </is>
      </c>
      <c r="E852" s="12" t="inlineStr">
        <is>
          <t>R2B</t>
        </is>
      </c>
      <c r="F852" s="12" t="inlineStr">
        <is>
          <t>R2B: unit / HRSG electrical e-house (32 x 40 ft)</t>
        </is>
      </c>
      <c r="G852" s="12" t="inlineStr">
        <is>
          <t>JB-FS-GT2-AI01</t>
        </is>
      </c>
      <c r="H852" s="12" t="inlineStr">
        <is>
          <t>FS-GT2: CO2 fire-suppression skid</t>
        </is>
      </c>
      <c r="I852" s="12" t="inlineStr">
        <is>
          <t>Instrumentation</t>
        </is>
      </c>
      <c r="J852" s="12" t="inlineStr">
        <is>
          <t>Instrumentation PLTC / TC-ER 300 V, #18 twisted shielded pairs, overall shield</t>
        </is>
      </c>
      <c r="K852" s="12" t="inlineStr">
        <is>
          <t>PLTC|24 pr|18</t>
        </is>
      </c>
      <c r="L852" s="12" t="inlineStr">
        <is>
          <t>24 pr</t>
        </is>
      </c>
      <c r="M852" s="12" t="inlineStr">
        <is>
          <t>18</t>
        </is>
      </c>
      <c r="N852" s="12" t="n">
        <v>1</v>
      </c>
      <c r="O852" s="12" t="n">
        <v>1</v>
      </c>
      <c r="P852" s="12" t="n"/>
      <c r="Q852" s="12" t="n"/>
      <c r="R852" s="12" t="n"/>
      <c r="S852" s="12" t="inlineStr">
        <is>
          <t>Tray</t>
        </is>
      </c>
      <c r="T852" s="16" t="n">
        <v>1102</v>
      </c>
      <c r="U852" s="16" t="n">
        <v>198</v>
      </c>
      <c r="V852" s="16">
        <f>ROUNDUP((T852+U852+2*'Read Me'!$B$13)*(1+'Read Me'!$B$12),-1)</f>
        <v/>
      </c>
      <c r="W852" s="16">
        <f>V852*N852*O852</f>
        <v/>
      </c>
      <c r="X852" s="12">
        <f>IF(LEFT(I852,2)="MV",2*N852*IF(L852="1/C",O852,1),0)</f>
        <v/>
      </c>
      <c r="Y852" s="12">
        <f>IF(OR(LEFT(K852,4)="LVAX",LEFT(K852,6)="MV15AX",LEFT(K852,4)="CTAX",LEFT(K852,2)="W|"),2*N852*O852,0)</f>
        <v/>
      </c>
      <c r="Z852" s="12" t="inlineStr"/>
      <c r="AA852" s="12">
        <f>N852*O852</f>
        <v/>
      </c>
    </row>
    <row r="853">
      <c r="A853" s="12" t="inlineStr">
        <is>
          <t>A-I-0131</t>
        </is>
      </c>
      <c r="B853" s="12" t="inlineStr">
        <is>
          <t>A</t>
        </is>
      </c>
      <c r="C853" s="12" t="inlineStr">
        <is>
          <t>Power block</t>
        </is>
      </c>
      <c r="D853" s="12" t="inlineStr">
        <is>
          <t>Discrete device to JB JB-FS-GT2-DI01: 20 x 1 pr (field cables)</t>
        </is>
      </c>
      <c r="E853" s="12" t="inlineStr">
        <is>
          <t>FS-GT2</t>
        </is>
      </c>
      <c r="F853" s="12" t="inlineStr">
        <is>
          <t>FS-GT2: CO2 fire-suppression skid</t>
        </is>
      </c>
      <c r="G853" s="12" t="inlineStr">
        <is>
          <t>JB-FS-GT2-DI01</t>
        </is>
      </c>
      <c r="H853" s="12" t="inlineStr">
        <is>
          <t>FS-GT2: CO2 fire-suppression skid</t>
        </is>
      </c>
      <c r="I853" s="12" t="inlineStr">
        <is>
          <t>Instrumentation</t>
        </is>
      </c>
      <c r="J853" s="12" t="inlineStr">
        <is>
          <t>Instrumentation PLTC / TC-ER 300 V, #18 twisted shielded pairs, overall shield</t>
        </is>
      </c>
      <c r="K853" s="12" t="inlineStr">
        <is>
          <t>PLTC|1 pr|16</t>
        </is>
      </c>
      <c r="L853" s="12" t="inlineStr">
        <is>
          <t>1 pr</t>
        </is>
      </c>
      <c r="M853" s="12" t="inlineStr">
        <is>
          <t>16</t>
        </is>
      </c>
      <c r="N853" s="12" t="n">
        <v>20</v>
      </c>
      <c r="O853" s="12" t="n">
        <v>1</v>
      </c>
      <c r="P853" s="12" t="n"/>
      <c r="Q853" s="12" t="n"/>
      <c r="R853" s="12" t="n"/>
      <c r="S853" s="12" t="inlineStr">
        <is>
          <t>Tray / conduit</t>
        </is>
      </c>
      <c r="T853" s="16" t="n">
        <v>54</v>
      </c>
      <c r="U853" s="16" t="n">
        <v>10</v>
      </c>
      <c r="V853" s="16">
        <f>ROUNDUP((T853+U853+2*'Read Me'!$B$13)*(1+'Read Me'!$B$12),-1)</f>
        <v/>
      </c>
      <c r="W853" s="16">
        <f>V853*N853*O853</f>
        <v/>
      </c>
      <c r="X853" s="12">
        <f>IF(LEFT(I853,2)="MV",2*N853*IF(L853="1/C",O853,1),0)</f>
        <v/>
      </c>
      <c r="Y853" s="12">
        <f>IF(OR(LEFT(K853,4)="LVAX",LEFT(K853,6)="MV15AX",LEFT(K853,4)="CTAX",LEFT(K853,2)="W|"),2*N853*O853,0)</f>
        <v/>
      </c>
      <c r="Z853" s="12" t="inlineStr">
        <is>
          <t>device-to-JB field wiring, one cable per device</t>
        </is>
      </c>
      <c r="AA853" s="12">
        <f>N853*O853</f>
        <v/>
      </c>
    </row>
    <row r="854">
      <c r="A854" s="12" t="inlineStr">
        <is>
          <t>A-I-0132</t>
        </is>
      </c>
      <c r="B854" s="12" t="inlineStr">
        <is>
          <t>A</t>
        </is>
      </c>
      <c r="C854" s="12" t="inlineStr">
        <is>
          <t>Power block</t>
        </is>
      </c>
      <c r="D854" s="12" t="inlineStr">
        <is>
          <t>Home run JB-FS-GT2-DI01 to the control / marshalling room</t>
        </is>
      </c>
      <c r="E854" s="12" t="inlineStr">
        <is>
          <t>R2B</t>
        </is>
      </c>
      <c r="F854" s="12" t="inlineStr">
        <is>
          <t>R2B: unit / HRSG electrical e-house (32 x 40 ft)</t>
        </is>
      </c>
      <c r="G854" s="12" t="inlineStr">
        <is>
          <t>JB-FS-GT2-DI01</t>
        </is>
      </c>
      <c r="H854" s="12" t="inlineStr">
        <is>
          <t>FS-GT2: CO2 fire-suppression skid</t>
        </is>
      </c>
      <c r="I854" s="12" t="inlineStr">
        <is>
          <t>Instrumentation</t>
        </is>
      </c>
      <c r="J854" s="12" t="inlineStr">
        <is>
          <t>Instrumentation PLTC / TC-ER 300 V, #18 twisted shielded pairs, overall shield</t>
        </is>
      </c>
      <c r="K854" s="12" t="inlineStr">
        <is>
          <t>PLTC|24 pr|18</t>
        </is>
      </c>
      <c r="L854" s="12" t="inlineStr">
        <is>
          <t>24 pr</t>
        </is>
      </c>
      <c r="M854" s="12" t="inlineStr">
        <is>
          <t>18</t>
        </is>
      </c>
      <c r="N854" s="12" t="n">
        <v>1</v>
      </c>
      <c r="O854" s="12" t="n">
        <v>1</v>
      </c>
      <c r="P854" s="12" t="n"/>
      <c r="Q854" s="12" t="n"/>
      <c r="R854" s="12" t="n"/>
      <c r="S854" s="12" t="inlineStr">
        <is>
          <t>Tray</t>
        </is>
      </c>
      <c r="T854" s="16" t="n">
        <v>1102</v>
      </c>
      <c r="U854" s="16" t="n">
        <v>198</v>
      </c>
      <c r="V854" s="16">
        <f>ROUNDUP((T854+U854+2*'Read Me'!$B$13)*(1+'Read Me'!$B$12),-1)</f>
        <v/>
      </c>
      <c r="W854" s="16">
        <f>V854*N854*O854</f>
        <v/>
      </c>
      <c r="X854" s="12">
        <f>IF(LEFT(I854,2)="MV",2*N854*IF(L854="1/C",O854,1),0)</f>
        <v/>
      </c>
      <c r="Y854" s="12">
        <f>IF(OR(LEFT(K854,4)="LVAX",LEFT(K854,6)="MV15AX",LEFT(K854,4)="CTAX",LEFT(K854,2)="W|"),2*N854*O854,0)</f>
        <v/>
      </c>
      <c r="Z854" s="12" t="inlineStr"/>
      <c r="AA854" s="12">
        <f>N854*O854</f>
        <v/>
      </c>
    </row>
    <row r="855">
      <c r="A855" s="12" t="inlineStr">
        <is>
          <t>A-I-0133</t>
        </is>
      </c>
      <c r="B855" s="12" t="inlineStr">
        <is>
          <t>A</t>
        </is>
      </c>
      <c r="C855" s="12" t="inlineStr">
        <is>
          <t>Power block</t>
        </is>
      </c>
      <c r="D855" s="12" t="inlineStr">
        <is>
          <t>Analog instrument to JB JB-FS-GT3-AI01: 4 x 1 pr (field cables)</t>
        </is>
      </c>
      <c r="E855" s="12" t="inlineStr">
        <is>
          <t>FS-GT3</t>
        </is>
      </c>
      <c r="F855" s="12" t="inlineStr">
        <is>
          <t>FS-GT3: CO2 fire-suppression skid</t>
        </is>
      </c>
      <c r="G855" s="12" t="inlineStr">
        <is>
          <t>JB-FS-GT3-AI01</t>
        </is>
      </c>
      <c r="H855" s="12" t="inlineStr">
        <is>
          <t>FS-GT3: CO2 fire-suppression skid</t>
        </is>
      </c>
      <c r="I855" s="12" t="inlineStr">
        <is>
          <t>Instrumentation</t>
        </is>
      </c>
      <c r="J855" s="12" t="inlineStr">
        <is>
          <t>Instrumentation PLTC / TC-ER 300 V, #18 twisted shielded pairs, overall shield</t>
        </is>
      </c>
      <c r="K855" s="12" t="inlineStr">
        <is>
          <t>PLTC|1 pr|16</t>
        </is>
      </c>
      <c r="L855" s="12" t="inlineStr">
        <is>
          <t>1 pr</t>
        </is>
      </c>
      <c r="M855" s="12" t="inlineStr">
        <is>
          <t>16</t>
        </is>
      </c>
      <c r="N855" s="12" t="n">
        <v>4</v>
      </c>
      <c r="O855" s="12" t="n">
        <v>1</v>
      </c>
      <c r="P855" s="12" t="n"/>
      <c r="Q855" s="12" t="n"/>
      <c r="R855" s="12" t="n"/>
      <c r="S855" s="12" t="inlineStr">
        <is>
          <t>Tray / conduit</t>
        </is>
      </c>
      <c r="T855" s="16" t="n">
        <v>54</v>
      </c>
      <c r="U855" s="16" t="n">
        <v>10</v>
      </c>
      <c r="V855" s="16">
        <f>ROUNDUP((T855+U855+2*'Read Me'!$B$13)*(1+'Read Me'!$B$12),-1)</f>
        <v/>
      </c>
      <c r="W855" s="16">
        <f>V855*N855*O855</f>
        <v/>
      </c>
      <c r="X855" s="12">
        <f>IF(LEFT(I855,2)="MV",2*N855*IF(L855="1/C",O855,1),0)</f>
        <v/>
      </c>
      <c r="Y855" s="12">
        <f>IF(OR(LEFT(K855,4)="LVAX",LEFT(K855,6)="MV15AX",LEFT(K855,4)="CTAX",LEFT(K855,2)="W|"),2*N855*O855,0)</f>
        <v/>
      </c>
      <c r="Z855" s="12" t="inlineStr">
        <is>
          <t>device-to-JB field wiring, one cable per device</t>
        </is>
      </c>
      <c r="AA855" s="12">
        <f>N855*O855</f>
        <v/>
      </c>
    </row>
    <row r="856">
      <c r="A856" s="12" t="inlineStr">
        <is>
          <t>A-I-0134</t>
        </is>
      </c>
      <c r="B856" s="12" t="inlineStr">
        <is>
          <t>A</t>
        </is>
      </c>
      <c r="C856" s="12" t="inlineStr">
        <is>
          <t>Power block</t>
        </is>
      </c>
      <c r="D856" s="12" t="inlineStr">
        <is>
          <t>Home run JB-FS-GT3-AI01 to the control / marshalling room</t>
        </is>
      </c>
      <c r="E856" s="12" t="inlineStr">
        <is>
          <t>R2C</t>
        </is>
      </c>
      <c r="F856" s="12" t="inlineStr">
        <is>
          <t>R2C: unit / HRSG electrical e-house (32 x 40 ft)</t>
        </is>
      </c>
      <c r="G856" s="12" t="inlineStr">
        <is>
          <t>JB-FS-GT3-AI01</t>
        </is>
      </c>
      <c r="H856" s="12" t="inlineStr">
        <is>
          <t>FS-GT3: CO2 fire-suppression skid</t>
        </is>
      </c>
      <c r="I856" s="12" t="inlineStr">
        <is>
          <t>Instrumentation</t>
        </is>
      </c>
      <c r="J856" s="12" t="inlineStr">
        <is>
          <t>Instrumentation PLTC / TC-ER 300 V, #18 twisted shielded pairs, overall shield</t>
        </is>
      </c>
      <c r="K856" s="12" t="inlineStr">
        <is>
          <t>PLTC|24 pr|18</t>
        </is>
      </c>
      <c r="L856" s="12" t="inlineStr">
        <is>
          <t>24 pr</t>
        </is>
      </c>
      <c r="M856" s="12" t="inlineStr">
        <is>
          <t>18</t>
        </is>
      </c>
      <c r="N856" s="12" t="n">
        <v>1</v>
      </c>
      <c r="O856" s="12" t="n">
        <v>1</v>
      </c>
      <c r="P856" s="12" t="n"/>
      <c r="Q856" s="12" t="n"/>
      <c r="R856" s="12" t="n"/>
      <c r="S856" s="12" t="inlineStr">
        <is>
          <t>Tray</t>
        </is>
      </c>
      <c r="T856" s="16" t="n">
        <v>908</v>
      </c>
      <c r="U856" s="16" t="n">
        <v>238</v>
      </c>
      <c r="V856" s="16">
        <f>ROUNDUP((T856+U856+2*'Read Me'!$B$13)*(1+'Read Me'!$B$12),-1)</f>
        <v/>
      </c>
      <c r="W856" s="16">
        <f>V856*N856*O856</f>
        <v/>
      </c>
      <c r="X856" s="12">
        <f>IF(LEFT(I856,2)="MV",2*N856*IF(L856="1/C",O856,1),0)</f>
        <v/>
      </c>
      <c r="Y856" s="12">
        <f>IF(OR(LEFT(K856,4)="LVAX",LEFT(K856,6)="MV15AX",LEFT(K856,4)="CTAX",LEFT(K856,2)="W|"),2*N856*O856,0)</f>
        <v/>
      </c>
      <c r="Z856" s="12" t="inlineStr"/>
      <c r="AA856" s="12">
        <f>N856*O856</f>
        <v/>
      </c>
    </row>
    <row r="857">
      <c r="A857" s="12" t="inlineStr">
        <is>
          <t>A-I-0135</t>
        </is>
      </c>
      <c r="B857" s="12" t="inlineStr">
        <is>
          <t>A</t>
        </is>
      </c>
      <c r="C857" s="12" t="inlineStr">
        <is>
          <t>Power block</t>
        </is>
      </c>
      <c r="D857" s="12" t="inlineStr">
        <is>
          <t>Discrete device to JB JB-FS-GT3-DI01: 20 x 1 pr (field cables)</t>
        </is>
      </c>
      <c r="E857" s="12" t="inlineStr">
        <is>
          <t>FS-GT3</t>
        </is>
      </c>
      <c r="F857" s="12" t="inlineStr">
        <is>
          <t>FS-GT3: CO2 fire-suppression skid</t>
        </is>
      </c>
      <c r="G857" s="12" t="inlineStr">
        <is>
          <t>JB-FS-GT3-DI01</t>
        </is>
      </c>
      <c r="H857" s="12" t="inlineStr">
        <is>
          <t>FS-GT3: CO2 fire-suppression skid</t>
        </is>
      </c>
      <c r="I857" s="12" t="inlineStr">
        <is>
          <t>Instrumentation</t>
        </is>
      </c>
      <c r="J857" s="12" t="inlineStr">
        <is>
          <t>Instrumentation PLTC / TC-ER 300 V, #18 twisted shielded pairs, overall shield</t>
        </is>
      </c>
      <c r="K857" s="12" t="inlineStr">
        <is>
          <t>PLTC|1 pr|16</t>
        </is>
      </c>
      <c r="L857" s="12" t="inlineStr">
        <is>
          <t>1 pr</t>
        </is>
      </c>
      <c r="M857" s="12" t="inlineStr">
        <is>
          <t>16</t>
        </is>
      </c>
      <c r="N857" s="12" t="n">
        <v>20</v>
      </c>
      <c r="O857" s="12" t="n">
        <v>1</v>
      </c>
      <c r="P857" s="12" t="n"/>
      <c r="Q857" s="12" t="n"/>
      <c r="R857" s="12" t="n"/>
      <c r="S857" s="12" t="inlineStr">
        <is>
          <t>Tray / conduit</t>
        </is>
      </c>
      <c r="T857" s="16" t="n">
        <v>54</v>
      </c>
      <c r="U857" s="16" t="n">
        <v>10</v>
      </c>
      <c r="V857" s="16">
        <f>ROUNDUP((T857+U857+2*'Read Me'!$B$13)*(1+'Read Me'!$B$12),-1)</f>
        <v/>
      </c>
      <c r="W857" s="16">
        <f>V857*N857*O857</f>
        <v/>
      </c>
      <c r="X857" s="12">
        <f>IF(LEFT(I857,2)="MV",2*N857*IF(L857="1/C",O857,1),0)</f>
        <v/>
      </c>
      <c r="Y857" s="12">
        <f>IF(OR(LEFT(K857,4)="LVAX",LEFT(K857,6)="MV15AX",LEFT(K857,4)="CTAX",LEFT(K857,2)="W|"),2*N857*O857,0)</f>
        <v/>
      </c>
      <c r="Z857" s="12" t="inlineStr">
        <is>
          <t>device-to-JB field wiring, one cable per device</t>
        </is>
      </c>
      <c r="AA857" s="12">
        <f>N857*O857</f>
        <v/>
      </c>
    </row>
    <row r="858">
      <c r="A858" s="12" t="inlineStr">
        <is>
          <t>A-I-0136</t>
        </is>
      </c>
      <c r="B858" s="12" t="inlineStr">
        <is>
          <t>A</t>
        </is>
      </c>
      <c r="C858" s="12" t="inlineStr">
        <is>
          <t>Power block</t>
        </is>
      </c>
      <c r="D858" s="12" t="inlineStr">
        <is>
          <t>Home run JB-FS-GT3-DI01 to the control / marshalling room</t>
        </is>
      </c>
      <c r="E858" s="12" t="inlineStr">
        <is>
          <t>R2C</t>
        </is>
      </c>
      <c r="F858" s="12" t="inlineStr">
        <is>
          <t>R2C: unit / HRSG electrical e-house (32 x 40 ft)</t>
        </is>
      </c>
      <c r="G858" s="12" t="inlineStr">
        <is>
          <t>JB-FS-GT3-DI01</t>
        </is>
      </c>
      <c r="H858" s="12" t="inlineStr">
        <is>
          <t>FS-GT3: CO2 fire-suppression skid</t>
        </is>
      </c>
      <c r="I858" s="12" t="inlineStr">
        <is>
          <t>Instrumentation</t>
        </is>
      </c>
      <c r="J858" s="12" t="inlineStr">
        <is>
          <t>Instrumentation PLTC / TC-ER 300 V, #18 twisted shielded pairs, overall shield</t>
        </is>
      </c>
      <c r="K858" s="12" t="inlineStr">
        <is>
          <t>PLTC|24 pr|18</t>
        </is>
      </c>
      <c r="L858" s="12" t="inlineStr">
        <is>
          <t>24 pr</t>
        </is>
      </c>
      <c r="M858" s="12" t="inlineStr">
        <is>
          <t>18</t>
        </is>
      </c>
      <c r="N858" s="12" t="n">
        <v>1</v>
      </c>
      <c r="O858" s="12" t="n">
        <v>1</v>
      </c>
      <c r="P858" s="12" t="n"/>
      <c r="Q858" s="12" t="n"/>
      <c r="R858" s="12" t="n"/>
      <c r="S858" s="12" t="inlineStr">
        <is>
          <t>Tray</t>
        </is>
      </c>
      <c r="T858" s="16" t="n">
        <v>908</v>
      </c>
      <c r="U858" s="16" t="n">
        <v>238</v>
      </c>
      <c r="V858" s="16">
        <f>ROUNDUP((T858+U858+2*'Read Me'!$B$13)*(1+'Read Me'!$B$12),-1)</f>
        <v/>
      </c>
      <c r="W858" s="16">
        <f>V858*N858*O858</f>
        <v/>
      </c>
      <c r="X858" s="12">
        <f>IF(LEFT(I858,2)="MV",2*N858*IF(L858="1/C",O858,1),0)</f>
        <v/>
      </c>
      <c r="Y858" s="12">
        <f>IF(OR(LEFT(K858,4)="LVAX",LEFT(K858,6)="MV15AX",LEFT(K858,4)="CTAX",LEFT(K858,2)="W|"),2*N858*O858,0)</f>
        <v/>
      </c>
      <c r="Z858" s="12" t="inlineStr"/>
      <c r="AA858" s="12">
        <f>N858*O858</f>
        <v/>
      </c>
    </row>
    <row r="859">
      <c r="A859" s="12" t="inlineStr">
        <is>
          <t>A-I-0137</t>
        </is>
      </c>
      <c r="B859" s="12" t="inlineStr">
        <is>
          <t>A</t>
        </is>
      </c>
      <c r="C859" s="12" t="inlineStr">
        <is>
          <t>Power block</t>
        </is>
      </c>
      <c r="D859" s="12" t="inlineStr">
        <is>
          <t>Discrete device to JB JB-GCB-1-DI01: 20 x 1 pr (field cables)</t>
        </is>
      </c>
      <c r="E859" s="12" t="inlineStr">
        <is>
          <t>GCB-1</t>
        </is>
      </c>
      <c r="F859" s="12" t="inlineStr">
        <is>
          <t>GCB-1: generator circuit breaker</t>
        </is>
      </c>
      <c r="G859" s="12" t="inlineStr">
        <is>
          <t>JB-GCB-1-DI01</t>
        </is>
      </c>
      <c r="H859" s="12" t="inlineStr">
        <is>
          <t>GCB-1: generator circuit breaker</t>
        </is>
      </c>
      <c r="I859" s="12" t="inlineStr">
        <is>
          <t>Instrumentation</t>
        </is>
      </c>
      <c r="J859" s="12" t="inlineStr">
        <is>
          <t>Instrumentation PLTC / TC-ER 300 V, #18 twisted shielded pairs, overall shield</t>
        </is>
      </c>
      <c r="K859" s="12" t="inlineStr">
        <is>
          <t>PLTC|1 pr|16</t>
        </is>
      </c>
      <c r="L859" s="12" t="inlineStr">
        <is>
          <t>1 pr</t>
        </is>
      </c>
      <c r="M859" s="12" t="inlineStr">
        <is>
          <t>16</t>
        </is>
      </c>
      <c r="N859" s="12" t="n">
        <v>20</v>
      </c>
      <c r="O859" s="12" t="n">
        <v>1</v>
      </c>
      <c r="P859" s="12" t="n"/>
      <c r="Q859" s="12" t="n"/>
      <c r="R859" s="12" t="n"/>
      <c r="S859" s="12" t="inlineStr">
        <is>
          <t>Tray / conduit</t>
        </is>
      </c>
      <c r="T859" s="16" t="n">
        <v>47</v>
      </c>
      <c r="U859" s="16" t="n">
        <v>10</v>
      </c>
      <c r="V859" s="16">
        <f>ROUNDUP((T859+U859+2*'Read Me'!$B$13)*(1+'Read Me'!$B$12),-1)</f>
        <v/>
      </c>
      <c r="W859" s="16">
        <f>V859*N859*O859</f>
        <v/>
      </c>
      <c r="X859" s="12">
        <f>IF(LEFT(I859,2)="MV",2*N859*IF(L859="1/C",O859,1),0)</f>
        <v/>
      </c>
      <c r="Y859" s="12">
        <f>IF(OR(LEFT(K859,4)="LVAX",LEFT(K859,6)="MV15AX",LEFT(K859,4)="CTAX",LEFT(K859,2)="W|"),2*N859*O859,0)</f>
        <v/>
      </c>
      <c r="Z859" s="12" t="inlineStr">
        <is>
          <t>device-to-JB field wiring, one cable per device</t>
        </is>
      </c>
      <c r="AA859" s="12">
        <f>N859*O859</f>
        <v/>
      </c>
    </row>
    <row r="860">
      <c r="A860" s="12" t="inlineStr">
        <is>
          <t>A-I-0138</t>
        </is>
      </c>
      <c r="B860" s="12" t="inlineStr">
        <is>
          <t>A</t>
        </is>
      </c>
      <c r="C860" s="12" t="inlineStr">
        <is>
          <t>Power block</t>
        </is>
      </c>
      <c r="D860" s="12" t="inlineStr">
        <is>
          <t>Home run JB-GCB-1-DI01 to the control / marshalling room</t>
        </is>
      </c>
      <c r="E860" s="12" t="inlineStr">
        <is>
          <t>R2A</t>
        </is>
      </c>
      <c r="F860" s="12" t="inlineStr">
        <is>
          <t>R2A: unit / HRSG electrical e-house (32 x 40 ft)</t>
        </is>
      </c>
      <c r="G860" s="12" t="inlineStr">
        <is>
          <t>JB-GCB-1-DI01</t>
        </is>
      </c>
      <c r="H860" s="12" t="inlineStr">
        <is>
          <t>GCB-1: generator circuit breaker</t>
        </is>
      </c>
      <c r="I860" s="12" t="inlineStr">
        <is>
          <t>Instrumentation</t>
        </is>
      </c>
      <c r="J860" s="12" t="inlineStr">
        <is>
          <t>Instrumentation PLTC / TC-ER 300 V, #18 twisted shielded pairs, overall shield</t>
        </is>
      </c>
      <c r="K860" s="12" t="inlineStr">
        <is>
          <t>PLTC|24 pr|18</t>
        </is>
      </c>
      <c r="L860" s="12" t="inlineStr">
        <is>
          <t>24 pr</t>
        </is>
      </c>
      <c r="M860" s="12" t="inlineStr">
        <is>
          <t>18</t>
        </is>
      </c>
      <c r="N860" s="12" t="n">
        <v>1</v>
      </c>
      <c r="O860" s="12" t="n">
        <v>1</v>
      </c>
      <c r="P860" s="12" t="n"/>
      <c r="Q860" s="12" t="n"/>
      <c r="R860" s="12" t="n"/>
      <c r="S860" s="12" t="inlineStr">
        <is>
          <t>Tray</t>
        </is>
      </c>
      <c r="T860" s="16" t="n">
        <v>373</v>
      </c>
      <c r="U860" s="16" t="n">
        <v>118</v>
      </c>
      <c r="V860" s="16">
        <f>ROUNDUP((T860+U860+2*'Read Me'!$B$13)*(1+'Read Me'!$B$12),-1)</f>
        <v/>
      </c>
      <c r="W860" s="16">
        <f>V860*N860*O860</f>
        <v/>
      </c>
      <c r="X860" s="12">
        <f>IF(LEFT(I860,2)="MV",2*N860*IF(L860="1/C",O860,1),0)</f>
        <v/>
      </c>
      <c r="Y860" s="12">
        <f>IF(OR(LEFT(K860,4)="LVAX",LEFT(K860,6)="MV15AX",LEFT(K860,4)="CTAX",LEFT(K860,2)="W|"),2*N860*O860,0)</f>
        <v/>
      </c>
      <c r="Z860" s="12" t="inlineStr"/>
      <c r="AA860" s="12">
        <f>N860*O860</f>
        <v/>
      </c>
    </row>
    <row r="861">
      <c r="A861" s="12" t="inlineStr">
        <is>
          <t>A-I-0139</t>
        </is>
      </c>
      <c r="B861" s="12" t="inlineStr">
        <is>
          <t>A</t>
        </is>
      </c>
      <c r="C861" s="12" t="inlineStr">
        <is>
          <t>Power block</t>
        </is>
      </c>
      <c r="D861" s="12" t="inlineStr">
        <is>
          <t>Discrete device to JB JB-GCB-2-DI01: 20 x 1 pr (field cables)</t>
        </is>
      </c>
      <c r="E861" s="12" t="inlineStr">
        <is>
          <t>GCB-2</t>
        </is>
      </c>
      <c r="F861" s="12" t="inlineStr">
        <is>
          <t>GCB-2: generator circuit breaker</t>
        </is>
      </c>
      <c r="G861" s="12" t="inlineStr">
        <is>
          <t>JB-GCB-2-DI01</t>
        </is>
      </c>
      <c r="H861" s="12" t="inlineStr">
        <is>
          <t>GCB-2: generator circuit breaker</t>
        </is>
      </c>
      <c r="I861" s="12" t="inlineStr">
        <is>
          <t>Instrumentation</t>
        </is>
      </c>
      <c r="J861" s="12" t="inlineStr">
        <is>
          <t>Instrumentation PLTC / TC-ER 300 V, #18 twisted shielded pairs, overall shield</t>
        </is>
      </c>
      <c r="K861" s="12" t="inlineStr">
        <is>
          <t>PLTC|1 pr|16</t>
        </is>
      </c>
      <c r="L861" s="12" t="inlineStr">
        <is>
          <t>1 pr</t>
        </is>
      </c>
      <c r="M861" s="12" t="inlineStr">
        <is>
          <t>16</t>
        </is>
      </c>
      <c r="N861" s="12" t="n">
        <v>20</v>
      </c>
      <c r="O861" s="12" t="n">
        <v>1</v>
      </c>
      <c r="P861" s="12" t="n"/>
      <c r="Q861" s="12" t="n"/>
      <c r="R861" s="12" t="n"/>
      <c r="S861" s="12" t="inlineStr">
        <is>
          <t>Tray / conduit</t>
        </is>
      </c>
      <c r="T861" s="16" t="n">
        <v>47</v>
      </c>
      <c r="U861" s="16" t="n">
        <v>10</v>
      </c>
      <c r="V861" s="16">
        <f>ROUNDUP((T861+U861+2*'Read Me'!$B$13)*(1+'Read Me'!$B$12),-1)</f>
        <v/>
      </c>
      <c r="W861" s="16">
        <f>V861*N861*O861</f>
        <v/>
      </c>
      <c r="X861" s="12">
        <f>IF(LEFT(I861,2)="MV",2*N861*IF(L861="1/C",O861,1),0)</f>
        <v/>
      </c>
      <c r="Y861" s="12">
        <f>IF(OR(LEFT(K861,4)="LVAX",LEFT(K861,6)="MV15AX",LEFT(K861,4)="CTAX",LEFT(K861,2)="W|"),2*N861*O861,0)</f>
        <v/>
      </c>
      <c r="Z861" s="12" t="inlineStr">
        <is>
          <t>device-to-JB field wiring, one cable per device</t>
        </is>
      </c>
      <c r="AA861" s="12">
        <f>N861*O861</f>
        <v/>
      </c>
    </row>
    <row r="862">
      <c r="A862" s="12" t="inlineStr">
        <is>
          <t>A-I-0140</t>
        </is>
      </c>
      <c r="B862" s="12" t="inlineStr">
        <is>
          <t>A</t>
        </is>
      </c>
      <c r="C862" s="12" t="inlineStr">
        <is>
          <t>Power block</t>
        </is>
      </c>
      <c r="D862" s="12" t="inlineStr">
        <is>
          <t>Home run JB-GCB-2-DI01 to the control / marshalling room</t>
        </is>
      </c>
      <c r="E862" s="12" t="inlineStr">
        <is>
          <t>R2B</t>
        </is>
      </c>
      <c r="F862" s="12" t="inlineStr">
        <is>
          <t>R2B: unit / HRSG electrical e-house (32 x 40 ft)</t>
        </is>
      </c>
      <c r="G862" s="12" t="inlineStr">
        <is>
          <t>JB-GCB-2-DI01</t>
        </is>
      </c>
      <c r="H862" s="12" t="inlineStr">
        <is>
          <t>GCB-2: generator circuit breaker</t>
        </is>
      </c>
      <c r="I862" s="12" t="inlineStr">
        <is>
          <t>Instrumentation</t>
        </is>
      </c>
      <c r="J862" s="12" t="inlineStr">
        <is>
          <t>Instrumentation PLTC / TC-ER 300 V, #18 twisted shielded pairs, overall shield</t>
        </is>
      </c>
      <c r="K862" s="12" t="inlineStr">
        <is>
          <t>PLTC|24 pr|18</t>
        </is>
      </c>
      <c r="L862" s="12" t="inlineStr">
        <is>
          <t>24 pr</t>
        </is>
      </c>
      <c r="M862" s="12" t="inlineStr">
        <is>
          <t>18</t>
        </is>
      </c>
      <c r="N862" s="12" t="n">
        <v>1</v>
      </c>
      <c r="O862" s="12" t="n">
        <v>1</v>
      </c>
      <c r="P862" s="12" t="n"/>
      <c r="Q862" s="12" t="n"/>
      <c r="R862" s="12" t="n"/>
      <c r="S862" s="12" t="inlineStr">
        <is>
          <t>Tray</t>
        </is>
      </c>
      <c r="T862" s="16" t="n">
        <v>1247</v>
      </c>
      <c r="U862" s="16" t="n">
        <v>208</v>
      </c>
      <c r="V862" s="16">
        <f>ROUNDUP((T862+U862+2*'Read Me'!$B$13)*(1+'Read Me'!$B$12),-1)</f>
        <v/>
      </c>
      <c r="W862" s="16">
        <f>V862*N862*O862</f>
        <v/>
      </c>
      <c r="X862" s="12">
        <f>IF(LEFT(I862,2)="MV",2*N862*IF(L862="1/C",O862,1),0)</f>
        <v/>
      </c>
      <c r="Y862" s="12">
        <f>IF(OR(LEFT(K862,4)="LVAX",LEFT(K862,6)="MV15AX",LEFT(K862,4)="CTAX",LEFT(K862,2)="W|"),2*N862*O862,0)</f>
        <v/>
      </c>
      <c r="Z862" s="12" t="inlineStr"/>
      <c r="AA862" s="12">
        <f>N862*O862</f>
        <v/>
      </c>
    </row>
    <row r="863">
      <c r="A863" s="12" t="inlineStr">
        <is>
          <t>A-I-0141</t>
        </is>
      </c>
      <c r="B863" s="12" t="inlineStr">
        <is>
          <t>A</t>
        </is>
      </c>
      <c r="C863" s="12" t="inlineStr">
        <is>
          <t>Power block</t>
        </is>
      </c>
      <c r="D863" s="12" t="inlineStr">
        <is>
          <t>Discrete device to JB JB-GCB-3-DI01: 20 x 1 pr (field cables)</t>
        </is>
      </c>
      <c r="E863" s="12" t="inlineStr">
        <is>
          <t>GCB-3</t>
        </is>
      </c>
      <c r="F863" s="12" t="inlineStr">
        <is>
          <t>GCB-3: generator circuit breaker</t>
        </is>
      </c>
      <c r="G863" s="12" t="inlineStr">
        <is>
          <t>JB-GCB-3-DI01</t>
        </is>
      </c>
      <c r="H863" s="12" t="inlineStr">
        <is>
          <t>GCB-3: generator circuit breaker</t>
        </is>
      </c>
      <c r="I863" s="12" t="inlineStr">
        <is>
          <t>Instrumentation</t>
        </is>
      </c>
      <c r="J863" s="12" t="inlineStr">
        <is>
          <t>Instrumentation PLTC / TC-ER 300 V, #18 twisted shielded pairs, overall shield</t>
        </is>
      </c>
      <c r="K863" s="12" t="inlineStr">
        <is>
          <t>PLTC|1 pr|16</t>
        </is>
      </c>
      <c r="L863" s="12" t="inlineStr">
        <is>
          <t>1 pr</t>
        </is>
      </c>
      <c r="M863" s="12" t="inlineStr">
        <is>
          <t>16</t>
        </is>
      </c>
      <c r="N863" s="12" t="n">
        <v>20</v>
      </c>
      <c r="O863" s="12" t="n">
        <v>1</v>
      </c>
      <c r="P863" s="12" t="n"/>
      <c r="Q863" s="12" t="n"/>
      <c r="R863" s="12" t="n"/>
      <c r="S863" s="12" t="inlineStr">
        <is>
          <t>Tray / conduit</t>
        </is>
      </c>
      <c r="T863" s="16" t="n">
        <v>47</v>
      </c>
      <c r="U863" s="16" t="n">
        <v>10</v>
      </c>
      <c r="V863" s="16">
        <f>ROUNDUP((T863+U863+2*'Read Me'!$B$13)*(1+'Read Me'!$B$12),-1)</f>
        <v/>
      </c>
      <c r="W863" s="16">
        <f>V863*N863*O863</f>
        <v/>
      </c>
      <c r="X863" s="12">
        <f>IF(LEFT(I863,2)="MV",2*N863*IF(L863="1/C",O863,1),0)</f>
        <v/>
      </c>
      <c r="Y863" s="12">
        <f>IF(OR(LEFT(K863,4)="LVAX",LEFT(K863,6)="MV15AX",LEFT(K863,4)="CTAX",LEFT(K863,2)="W|"),2*N863*O863,0)</f>
        <v/>
      </c>
      <c r="Z863" s="12" t="inlineStr">
        <is>
          <t>device-to-JB field wiring, one cable per device</t>
        </is>
      </c>
      <c r="AA863" s="12">
        <f>N863*O863</f>
        <v/>
      </c>
    </row>
    <row r="864">
      <c r="A864" s="12" t="inlineStr">
        <is>
          <t>A-I-0142</t>
        </is>
      </c>
      <c r="B864" s="12" t="inlineStr">
        <is>
          <t>A</t>
        </is>
      </c>
      <c r="C864" s="12" t="inlineStr">
        <is>
          <t>Power block</t>
        </is>
      </c>
      <c r="D864" s="12" t="inlineStr">
        <is>
          <t>Home run JB-GCB-3-DI01 to the control / marshalling room</t>
        </is>
      </c>
      <c r="E864" s="12" t="inlineStr">
        <is>
          <t>R2C</t>
        </is>
      </c>
      <c r="F864" s="12" t="inlineStr">
        <is>
          <t>R2C: unit / HRSG electrical e-house (32 x 40 ft)</t>
        </is>
      </c>
      <c r="G864" s="12" t="inlineStr">
        <is>
          <t>JB-GCB-3-DI01</t>
        </is>
      </c>
      <c r="H864" s="12" t="inlineStr">
        <is>
          <t>GCB-3: generator circuit breaker</t>
        </is>
      </c>
      <c r="I864" s="12" t="inlineStr">
        <is>
          <t>Instrumentation</t>
        </is>
      </c>
      <c r="J864" s="12" t="inlineStr">
        <is>
          <t>Instrumentation PLTC / TC-ER 300 V, #18 twisted shielded pairs, overall shield</t>
        </is>
      </c>
      <c r="K864" s="12" t="inlineStr">
        <is>
          <t>PLTC|24 pr|18</t>
        </is>
      </c>
      <c r="L864" s="12" t="inlineStr">
        <is>
          <t>24 pr</t>
        </is>
      </c>
      <c r="M864" s="12" t="inlineStr">
        <is>
          <t>18</t>
        </is>
      </c>
      <c r="N864" s="12" t="n">
        <v>1</v>
      </c>
      <c r="O864" s="12" t="n">
        <v>1</v>
      </c>
      <c r="P864" s="12" t="n"/>
      <c r="Q864" s="12" t="n"/>
      <c r="R864" s="12" t="n"/>
      <c r="S864" s="12" t="inlineStr">
        <is>
          <t>Duct bank</t>
        </is>
      </c>
      <c r="T864" s="16" t="n">
        <v>1193</v>
      </c>
      <c r="U864" s="16" t="n">
        <v>97</v>
      </c>
      <c r="V864" s="16">
        <f>ROUNDUP((T864+U864+2*'Read Me'!$B$13)*(1+'Read Me'!$B$12),-1)</f>
        <v/>
      </c>
      <c r="W864" s="16">
        <f>V864*N864*O864</f>
        <v/>
      </c>
      <c r="X864" s="12">
        <f>IF(LEFT(I864,2)="MV",2*N864*IF(L864="1/C",O864,1),0)</f>
        <v/>
      </c>
      <c r="Y864" s="12">
        <f>IF(OR(LEFT(K864,4)="LVAX",LEFT(K864,6)="MV15AX",LEFT(K864,4)="CTAX",LEFT(K864,2)="W|"),2*N864*O864,0)</f>
        <v/>
      </c>
      <c r="Z864" s="12" t="inlineStr"/>
      <c r="AA864" s="12">
        <f>N864*O864</f>
        <v/>
      </c>
    </row>
    <row r="865">
      <c r="A865" s="12" t="inlineStr">
        <is>
          <t>A-I-0143</t>
        </is>
      </c>
      <c r="B865" s="12" t="inlineStr">
        <is>
          <t>A</t>
        </is>
      </c>
      <c r="C865" s="12" t="inlineStr">
        <is>
          <t>Power block</t>
        </is>
      </c>
      <c r="D865" s="12" t="inlineStr">
        <is>
          <t>Discrete device to JB JB-GCB-ST-DI01: 20 x 1 pr (field cables)</t>
        </is>
      </c>
      <c r="E865" s="12" t="inlineStr">
        <is>
          <t>GCB-ST</t>
        </is>
      </c>
      <c r="F865" s="12" t="inlineStr">
        <is>
          <t>GCB-ST</t>
        </is>
      </c>
      <c r="G865" s="12" t="inlineStr">
        <is>
          <t>JB-GCB-ST-DI01</t>
        </is>
      </c>
      <c r="H865" s="12" t="inlineStr">
        <is>
          <t>GCB-ST</t>
        </is>
      </c>
      <c r="I865" s="12" t="inlineStr">
        <is>
          <t>Instrumentation</t>
        </is>
      </c>
      <c r="J865" s="12" t="inlineStr">
        <is>
          <t>Instrumentation PLTC / TC-ER 300 V, #18 twisted shielded pairs, overall shield</t>
        </is>
      </c>
      <c r="K865" s="12" t="inlineStr">
        <is>
          <t>PLTC|1 pr|16</t>
        </is>
      </c>
      <c r="L865" s="12" t="inlineStr">
        <is>
          <t>1 pr</t>
        </is>
      </c>
      <c r="M865" s="12" t="inlineStr">
        <is>
          <t>16</t>
        </is>
      </c>
      <c r="N865" s="12" t="n">
        <v>20</v>
      </c>
      <c r="O865" s="12" t="n">
        <v>1</v>
      </c>
      <c r="P865" s="12" t="n"/>
      <c r="Q865" s="12" t="n"/>
      <c r="R865" s="12" t="n"/>
      <c r="S865" s="12" t="inlineStr">
        <is>
          <t>Tray / conduit</t>
        </is>
      </c>
      <c r="T865" s="16" t="n">
        <v>47</v>
      </c>
      <c r="U865" s="16" t="n">
        <v>10</v>
      </c>
      <c r="V865" s="16">
        <f>ROUNDUP((T865+U865+2*'Read Me'!$B$13)*(1+'Read Me'!$B$12),-1)</f>
        <v/>
      </c>
      <c r="W865" s="16">
        <f>V865*N865*O865</f>
        <v/>
      </c>
      <c r="X865" s="12">
        <f>IF(LEFT(I865,2)="MV",2*N865*IF(L865="1/C",O865,1),0)</f>
        <v/>
      </c>
      <c r="Y865" s="12">
        <f>IF(OR(LEFT(K865,4)="LVAX",LEFT(K865,6)="MV15AX",LEFT(K865,4)="CTAX",LEFT(K865,2)="W|"),2*N865*O865,0)</f>
        <v/>
      </c>
      <c r="Z865" s="12" t="inlineStr">
        <is>
          <t>device-to-JB field wiring, one cable per device</t>
        </is>
      </c>
      <c r="AA865" s="12">
        <f>N865*O865</f>
        <v/>
      </c>
    </row>
    <row r="866">
      <c r="A866" s="12" t="inlineStr">
        <is>
          <t>A-I-0144</t>
        </is>
      </c>
      <c r="B866" s="12" t="inlineStr">
        <is>
          <t>A</t>
        </is>
      </c>
      <c r="C866" s="12" t="inlineStr">
        <is>
          <t>Power block</t>
        </is>
      </c>
      <c r="D866" s="12" t="inlineStr">
        <is>
          <t>Home run JB-GCB-ST-DI01 to the control / marshalling room</t>
        </is>
      </c>
      <c r="E866" s="12" t="inlineStr">
        <is>
          <t>R3</t>
        </is>
      </c>
      <c r="F866" s="12" t="inlineStr">
        <is>
          <t>R3: ST auxiliary electrical e-house (40 x 65 ft)</t>
        </is>
      </c>
      <c r="G866" s="12" t="inlineStr">
        <is>
          <t>JB-GCB-ST-DI01</t>
        </is>
      </c>
      <c r="H866" s="12" t="inlineStr">
        <is>
          <t>GCB-ST</t>
        </is>
      </c>
      <c r="I866" s="12" t="inlineStr">
        <is>
          <t>Instrumentation</t>
        </is>
      </c>
      <c r="J866" s="12" t="inlineStr">
        <is>
          <t>Instrumentation PLTC / TC-ER 300 V, #18 twisted shielded pairs, overall shield</t>
        </is>
      </c>
      <c r="K866" s="12" t="inlineStr">
        <is>
          <t>PLTC|24 pr|18</t>
        </is>
      </c>
      <c r="L866" s="12" t="inlineStr">
        <is>
          <t>24 pr</t>
        </is>
      </c>
      <c r="M866" s="12" t="inlineStr">
        <is>
          <t>18</t>
        </is>
      </c>
      <c r="N866" s="12" t="n">
        <v>1</v>
      </c>
      <c r="O866" s="12" t="n">
        <v>1</v>
      </c>
      <c r="P866" s="12" t="n"/>
      <c r="Q866" s="12" t="n"/>
      <c r="R866" s="12" t="n"/>
      <c r="S866" s="12" t="inlineStr">
        <is>
          <t>Tray</t>
        </is>
      </c>
      <c r="T866" s="16" t="n">
        <v>366</v>
      </c>
      <c r="U866" s="16" t="n">
        <v>111</v>
      </c>
      <c r="V866" s="16">
        <f>ROUNDUP((T866+U866+2*'Read Me'!$B$13)*(1+'Read Me'!$B$12),-1)</f>
        <v/>
      </c>
      <c r="W866" s="16">
        <f>V866*N866*O866</f>
        <v/>
      </c>
      <c r="X866" s="12">
        <f>IF(LEFT(I866,2)="MV",2*N866*IF(L866="1/C",O866,1),0)</f>
        <v/>
      </c>
      <c r="Y866" s="12">
        <f>IF(OR(LEFT(K866,4)="LVAX",LEFT(K866,6)="MV15AX",LEFT(K866,4)="CTAX",LEFT(K866,2)="W|"),2*N866*O866,0)</f>
        <v/>
      </c>
      <c r="Z866" s="12" t="inlineStr"/>
      <c r="AA866" s="12">
        <f>N866*O866</f>
        <v/>
      </c>
    </row>
    <row r="867">
      <c r="A867" s="12" t="inlineStr">
        <is>
          <t>A-I-0145</t>
        </is>
      </c>
      <c r="B867" s="12" t="inlineStr">
        <is>
          <t>A</t>
        </is>
      </c>
      <c r="C867" s="12" t="inlineStr">
        <is>
          <t>Power block</t>
        </is>
      </c>
      <c r="D867" s="12" t="inlineStr">
        <is>
          <t>Analog instrument to JB JB-GFM-1-AI01: 15 x 1 pr (field cables)</t>
        </is>
      </c>
      <c r="E867" s="12" t="inlineStr">
        <is>
          <t>GFM-1</t>
        </is>
      </c>
      <c r="F867" s="12" t="inlineStr">
        <is>
          <t>GFM-1: GT1 gas fuel module (stop / control valves, final strainer)</t>
        </is>
      </c>
      <c r="G867" s="12" t="inlineStr">
        <is>
          <t>JB-GFM-1-AI01</t>
        </is>
      </c>
      <c r="H867" s="12" t="inlineStr">
        <is>
          <t>GFM-1: GT1 gas fuel module (stop / control valves, final strainer)</t>
        </is>
      </c>
      <c r="I867" s="12" t="inlineStr">
        <is>
          <t>Instrumentation</t>
        </is>
      </c>
      <c r="J867" s="12" t="inlineStr">
        <is>
          <t>Instrumentation ITC / PLTC, IS, #18 shielded pairs, blue jacket</t>
        </is>
      </c>
      <c r="K867" s="12" t="inlineStr">
        <is>
          <t>ITC|1 pr|16</t>
        </is>
      </c>
      <c r="L867" s="12" t="inlineStr">
        <is>
          <t>1 pr</t>
        </is>
      </c>
      <c r="M867" s="12" t="inlineStr">
        <is>
          <t>16</t>
        </is>
      </c>
      <c r="N867" s="12" t="n">
        <v>15</v>
      </c>
      <c r="O867" s="12" t="n">
        <v>1</v>
      </c>
      <c r="P867" s="12" t="n"/>
      <c r="Q867" s="12" t="n"/>
      <c r="R867" s="12" t="n"/>
      <c r="S867" s="12" t="inlineStr">
        <is>
          <t>Tray / conduit</t>
        </is>
      </c>
      <c r="T867" s="16" t="n">
        <v>70</v>
      </c>
      <c r="U867" s="16" t="n">
        <v>10</v>
      </c>
      <c r="V867" s="16">
        <f>ROUNDUP((T867+U867+2*'Read Me'!$B$13)*(1+'Read Me'!$B$12),-1)</f>
        <v/>
      </c>
      <c r="W867" s="16">
        <f>V867*N867*O867</f>
        <v/>
      </c>
      <c r="X867" s="12">
        <f>IF(LEFT(I867,2)="MV",2*N867*IF(L867="1/C",O867,1),0)</f>
        <v/>
      </c>
      <c r="Y867" s="12">
        <f>IF(OR(LEFT(K867,4)="LVAX",LEFT(K867,6)="MV15AX",LEFT(K867,4)="CTAX",LEFT(K867,2)="W|"),2*N867*O867,0)</f>
        <v/>
      </c>
      <c r="Z867" s="12" t="inlineStr">
        <is>
          <t>device-to-JB field wiring, one cable per device</t>
        </is>
      </c>
      <c r="AA867" s="12">
        <f>N867*O867</f>
        <v/>
      </c>
    </row>
    <row r="868">
      <c r="A868" s="12" t="inlineStr">
        <is>
          <t>A-I-0146</t>
        </is>
      </c>
      <c r="B868" s="12" t="inlineStr">
        <is>
          <t>A</t>
        </is>
      </c>
      <c r="C868" s="12" t="inlineStr">
        <is>
          <t>Power block</t>
        </is>
      </c>
      <c r="D868" s="12" t="inlineStr">
        <is>
          <t>Home run JB-GFM-1-AI01 to the control / marshalling room</t>
        </is>
      </c>
      <c r="E868" s="12" t="inlineStr">
        <is>
          <t>R2A</t>
        </is>
      </c>
      <c r="F868" s="12" t="inlineStr">
        <is>
          <t>R2A: unit / HRSG electrical e-house (32 x 40 ft)</t>
        </is>
      </c>
      <c r="G868" s="12" t="inlineStr">
        <is>
          <t>JB-GFM-1-AI01</t>
        </is>
      </c>
      <c r="H868" s="12" t="inlineStr">
        <is>
          <t>GFM-1: GT1 gas fuel module (stop / control valves, final strainer)</t>
        </is>
      </c>
      <c r="I868" s="12" t="inlineStr">
        <is>
          <t>Instrumentation</t>
        </is>
      </c>
      <c r="J868" s="12" t="inlineStr">
        <is>
          <t>Instrumentation ITC / PLTC, IS, #18 shielded pairs, blue jacket</t>
        </is>
      </c>
      <c r="K868" s="12" t="inlineStr">
        <is>
          <t>ITC|24 pr|18</t>
        </is>
      </c>
      <c r="L868" s="12" t="inlineStr">
        <is>
          <t>24 pr</t>
        </is>
      </c>
      <c r="M868" s="12" t="inlineStr">
        <is>
          <t>18</t>
        </is>
      </c>
      <c r="N868" s="12" t="n">
        <v>1</v>
      </c>
      <c r="O868" s="12" t="n">
        <v>1</v>
      </c>
      <c r="P868" s="12" t="n"/>
      <c r="Q868" s="12" t="n"/>
      <c r="R868" s="12" t="n"/>
      <c r="S868" s="12" t="inlineStr">
        <is>
          <t>Tray</t>
        </is>
      </c>
      <c r="T868" s="16" t="n">
        <v>220</v>
      </c>
      <c r="U868" s="16" t="n">
        <v>94</v>
      </c>
      <c r="V868" s="16">
        <f>ROUNDUP((T868+U868+2*'Read Me'!$B$13)*(1+'Read Me'!$B$12),-1)</f>
        <v/>
      </c>
      <c r="W868" s="16">
        <f>V868*N868*O868</f>
        <v/>
      </c>
      <c r="X868" s="12">
        <f>IF(LEFT(I868,2)="MV",2*N868*IF(L868="1/C",O868,1),0)</f>
        <v/>
      </c>
      <c r="Y868" s="12">
        <f>IF(OR(LEFT(K868,4)="LVAX",LEFT(K868,6)="MV15AX",LEFT(K868,4)="CTAX",LEFT(K868,2)="W|"),2*N868*O868,0)</f>
        <v/>
      </c>
      <c r="Z868" s="12" t="inlineStr"/>
      <c r="AA868" s="12">
        <f>N868*O868</f>
        <v/>
      </c>
    </row>
    <row r="869">
      <c r="A869" s="12" t="inlineStr">
        <is>
          <t>A-I-0147</t>
        </is>
      </c>
      <c r="B869" s="12" t="inlineStr">
        <is>
          <t>A</t>
        </is>
      </c>
      <c r="C869" s="12" t="inlineStr">
        <is>
          <t>Power block</t>
        </is>
      </c>
      <c r="D869" s="12" t="inlineStr">
        <is>
          <t>Discrete device to JB JB-GFM-1-DI01: 15 x 1 pr (field cables)</t>
        </is>
      </c>
      <c r="E869" s="12" t="inlineStr">
        <is>
          <t>GFM-1</t>
        </is>
      </c>
      <c r="F869" s="12" t="inlineStr">
        <is>
          <t>GFM-1: GT1 gas fuel module (stop / control valves, final strainer)</t>
        </is>
      </c>
      <c r="G869" s="12" t="inlineStr">
        <is>
          <t>JB-GFM-1-DI01</t>
        </is>
      </c>
      <c r="H869" s="12" t="inlineStr">
        <is>
          <t>GFM-1: GT1 gas fuel module (stop / control valves, final strainer)</t>
        </is>
      </c>
      <c r="I869" s="12" t="inlineStr">
        <is>
          <t>Instrumentation</t>
        </is>
      </c>
      <c r="J869" s="12" t="inlineStr">
        <is>
          <t>Instrumentation ITC / PLTC, IS, #18 shielded pairs, blue jacket</t>
        </is>
      </c>
      <c r="K869" s="12" t="inlineStr">
        <is>
          <t>ITC|1 pr|16</t>
        </is>
      </c>
      <c r="L869" s="12" t="inlineStr">
        <is>
          <t>1 pr</t>
        </is>
      </c>
      <c r="M869" s="12" t="inlineStr">
        <is>
          <t>16</t>
        </is>
      </c>
      <c r="N869" s="12" t="n">
        <v>15</v>
      </c>
      <c r="O869" s="12" t="n">
        <v>1</v>
      </c>
      <c r="P869" s="12" t="n"/>
      <c r="Q869" s="12" t="n"/>
      <c r="R869" s="12" t="n"/>
      <c r="S869" s="12" t="inlineStr">
        <is>
          <t>Tray / conduit</t>
        </is>
      </c>
      <c r="T869" s="16" t="n">
        <v>70</v>
      </c>
      <c r="U869" s="16" t="n">
        <v>10</v>
      </c>
      <c r="V869" s="16">
        <f>ROUNDUP((T869+U869+2*'Read Me'!$B$13)*(1+'Read Me'!$B$12),-1)</f>
        <v/>
      </c>
      <c r="W869" s="16">
        <f>V869*N869*O869</f>
        <v/>
      </c>
      <c r="X869" s="12">
        <f>IF(LEFT(I869,2)="MV",2*N869*IF(L869="1/C",O869,1),0)</f>
        <v/>
      </c>
      <c r="Y869" s="12">
        <f>IF(OR(LEFT(K869,4)="LVAX",LEFT(K869,6)="MV15AX",LEFT(K869,4)="CTAX",LEFT(K869,2)="W|"),2*N869*O869,0)</f>
        <v/>
      </c>
      <c r="Z869" s="12" t="inlineStr">
        <is>
          <t>device-to-JB field wiring, one cable per device</t>
        </is>
      </c>
      <c r="AA869" s="12">
        <f>N869*O869</f>
        <v/>
      </c>
    </row>
    <row r="870">
      <c r="A870" s="12" t="inlineStr">
        <is>
          <t>A-I-0148</t>
        </is>
      </c>
      <c r="B870" s="12" t="inlineStr">
        <is>
          <t>A</t>
        </is>
      </c>
      <c r="C870" s="12" t="inlineStr">
        <is>
          <t>Power block</t>
        </is>
      </c>
      <c r="D870" s="12" t="inlineStr">
        <is>
          <t>Home run JB-GFM-1-DI01 to the control / marshalling room</t>
        </is>
      </c>
      <c r="E870" s="12" t="inlineStr">
        <is>
          <t>R2A</t>
        </is>
      </c>
      <c r="F870" s="12" t="inlineStr">
        <is>
          <t>R2A: unit / HRSG electrical e-house (32 x 40 ft)</t>
        </is>
      </c>
      <c r="G870" s="12" t="inlineStr">
        <is>
          <t>JB-GFM-1-DI01</t>
        </is>
      </c>
      <c r="H870" s="12" t="inlineStr">
        <is>
          <t>GFM-1: GT1 gas fuel module (stop / control valves, final strainer)</t>
        </is>
      </c>
      <c r="I870" s="12" t="inlineStr">
        <is>
          <t>Instrumentation</t>
        </is>
      </c>
      <c r="J870" s="12" t="inlineStr">
        <is>
          <t>Instrumentation ITC / PLTC, IS, #18 shielded pairs, blue jacket</t>
        </is>
      </c>
      <c r="K870" s="12" t="inlineStr">
        <is>
          <t>ITC|24 pr|18</t>
        </is>
      </c>
      <c r="L870" s="12" t="inlineStr">
        <is>
          <t>24 pr</t>
        </is>
      </c>
      <c r="M870" s="12" t="inlineStr">
        <is>
          <t>18</t>
        </is>
      </c>
      <c r="N870" s="12" t="n">
        <v>1</v>
      </c>
      <c r="O870" s="12" t="n">
        <v>1</v>
      </c>
      <c r="P870" s="12" t="n"/>
      <c r="Q870" s="12" t="n"/>
      <c r="R870" s="12" t="n"/>
      <c r="S870" s="12" t="inlineStr">
        <is>
          <t>Tray</t>
        </is>
      </c>
      <c r="T870" s="16" t="n">
        <v>220</v>
      </c>
      <c r="U870" s="16" t="n">
        <v>94</v>
      </c>
      <c r="V870" s="16">
        <f>ROUNDUP((T870+U870+2*'Read Me'!$B$13)*(1+'Read Me'!$B$12),-1)</f>
        <v/>
      </c>
      <c r="W870" s="16">
        <f>V870*N870*O870</f>
        <v/>
      </c>
      <c r="X870" s="12">
        <f>IF(LEFT(I870,2)="MV",2*N870*IF(L870="1/C",O870,1),0)</f>
        <v/>
      </c>
      <c r="Y870" s="12">
        <f>IF(OR(LEFT(K870,4)="LVAX",LEFT(K870,6)="MV15AX",LEFT(K870,4)="CTAX",LEFT(K870,2)="W|"),2*N870*O870,0)</f>
        <v/>
      </c>
      <c r="Z870" s="12" t="inlineStr"/>
      <c r="AA870" s="12">
        <f>N870*O870</f>
        <v/>
      </c>
    </row>
    <row r="871">
      <c r="A871" s="12" t="inlineStr">
        <is>
          <t>A-I-0149</t>
        </is>
      </c>
      <c r="B871" s="12" t="inlineStr">
        <is>
          <t>A</t>
        </is>
      </c>
      <c r="C871" s="12" t="inlineStr">
        <is>
          <t>Power block</t>
        </is>
      </c>
      <c r="D871" s="12" t="inlineStr">
        <is>
          <t>Analog instrument to JB JB-GFM-2-AI01: 15 x 1 pr (field cables)</t>
        </is>
      </c>
      <c r="E871" s="12" t="inlineStr">
        <is>
          <t>GFM-2</t>
        </is>
      </c>
      <c r="F871" s="12" t="inlineStr">
        <is>
          <t>GFM-2: GT2 gas fuel module (stop / control valves, final strainer)</t>
        </is>
      </c>
      <c r="G871" s="12" t="inlineStr">
        <is>
          <t>JB-GFM-2-AI01</t>
        </is>
      </c>
      <c r="H871" s="12" t="inlineStr">
        <is>
          <t>GFM-2: GT2 gas fuel module (stop / control valves, final strainer)</t>
        </is>
      </c>
      <c r="I871" s="12" t="inlineStr">
        <is>
          <t>Instrumentation</t>
        </is>
      </c>
      <c r="J871" s="12" t="inlineStr">
        <is>
          <t>Instrumentation ITC / PLTC, IS, #18 shielded pairs, blue jacket</t>
        </is>
      </c>
      <c r="K871" s="12" t="inlineStr">
        <is>
          <t>ITC|1 pr|16</t>
        </is>
      </c>
      <c r="L871" s="12" t="inlineStr">
        <is>
          <t>1 pr</t>
        </is>
      </c>
      <c r="M871" s="12" t="inlineStr">
        <is>
          <t>16</t>
        </is>
      </c>
      <c r="N871" s="12" t="n">
        <v>15</v>
      </c>
      <c r="O871" s="12" t="n">
        <v>1</v>
      </c>
      <c r="P871" s="12" t="n"/>
      <c r="Q871" s="12" t="n"/>
      <c r="R871" s="12" t="n"/>
      <c r="S871" s="12" t="inlineStr">
        <is>
          <t>Tray / conduit</t>
        </is>
      </c>
      <c r="T871" s="16" t="n">
        <v>70</v>
      </c>
      <c r="U871" s="16" t="n">
        <v>10</v>
      </c>
      <c r="V871" s="16">
        <f>ROUNDUP((T871+U871+2*'Read Me'!$B$13)*(1+'Read Me'!$B$12),-1)</f>
        <v/>
      </c>
      <c r="W871" s="16">
        <f>V871*N871*O871</f>
        <v/>
      </c>
      <c r="X871" s="12">
        <f>IF(LEFT(I871,2)="MV",2*N871*IF(L871="1/C",O871,1),0)</f>
        <v/>
      </c>
      <c r="Y871" s="12">
        <f>IF(OR(LEFT(K871,4)="LVAX",LEFT(K871,6)="MV15AX",LEFT(K871,4)="CTAX",LEFT(K871,2)="W|"),2*N871*O871,0)</f>
        <v/>
      </c>
      <c r="Z871" s="12" t="inlineStr">
        <is>
          <t>device-to-JB field wiring, one cable per device</t>
        </is>
      </c>
      <c r="AA871" s="12">
        <f>N871*O871</f>
        <v/>
      </c>
    </row>
    <row r="872">
      <c r="A872" s="12" t="inlineStr">
        <is>
          <t>A-I-0150</t>
        </is>
      </c>
      <c r="B872" s="12" t="inlineStr">
        <is>
          <t>A</t>
        </is>
      </c>
      <c r="C872" s="12" t="inlineStr">
        <is>
          <t>Power block</t>
        </is>
      </c>
      <c r="D872" s="12" t="inlineStr">
        <is>
          <t>Home run JB-GFM-2-AI01 to the control / marshalling room</t>
        </is>
      </c>
      <c r="E872" s="12" t="inlineStr">
        <is>
          <t>R2B</t>
        </is>
      </c>
      <c r="F872" s="12" t="inlineStr">
        <is>
          <t>R2B: unit / HRSG electrical e-house (32 x 40 ft)</t>
        </is>
      </c>
      <c r="G872" s="12" t="inlineStr">
        <is>
          <t>JB-GFM-2-AI01</t>
        </is>
      </c>
      <c r="H872" s="12" t="inlineStr">
        <is>
          <t>GFM-2: GT2 gas fuel module (stop / control valves, final strainer)</t>
        </is>
      </c>
      <c r="I872" s="12" t="inlineStr">
        <is>
          <t>Instrumentation</t>
        </is>
      </c>
      <c r="J872" s="12" t="inlineStr">
        <is>
          <t>Instrumentation ITC / PLTC, IS, #18 shielded pairs, blue jacket</t>
        </is>
      </c>
      <c r="K872" s="12" t="inlineStr">
        <is>
          <t>ITC|24 pr|18</t>
        </is>
      </c>
      <c r="L872" s="12" t="inlineStr">
        <is>
          <t>24 pr</t>
        </is>
      </c>
      <c r="M872" s="12" t="inlineStr">
        <is>
          <t>18</t>
        </is>
      </c>
      <c r="N872" s="12" t="n">
        <v>1</v>
      </c>
      <c r="O872" s="12" t="n">
        <v>1</v>
      </c>
      <c r="P872" s="12" t="n"/>
      <c r="Q872" s="12" t="n"/>
      <c r="R872" s="12" t="n"/>
      <c r="S872" s="12" t="inlineStr">
        <is>
          <t>Tray</t>
        </is>
      </c>
      <c r="T872" s="16" t="n">
        <v>1124</v>
      </c>
      <c r="U872" s="16" t="n">
        <v>188</v>
      </c>
      <c r="V872" s="16">
        <f>ROUNDUP((T872+U872+2*'Read Me'!$B$13)*(1+'Read Me'!$B$12),-1)</f>
        <v/>
      </c>
      <c r="W872" s="16">
        <f>V872*N872*O872</f>
        <v/>
      </c>
      <c r="X872" s="12">
        <f>IF(LEFT(I872,2)="MV",2*N872*IF(L872="1/C",O872,1),0)</f>
        <v/>
      </c>
      <c r="Y872" s="12">
        <f>IF(OR(LEFT(K872,4)="LVAX",LEFT(K872,6)="MV15AX",LEFT(K872,4)="CTAX",LEFT(K872,2)="W|"),2*N872*O872,0)</f>
        <v/>
      </c>
      <c r="Z872" s="12" t="inlineStr"/>
      <c r="AA872" s="12">
        <f>N872*O872</f>
        <v/>
      </c>
    </row>
    <row r="873">
      <c r="A873" s="12" t="inlineStr">
        <is>
          <t>A-I-0151</t>
        </is>
      </c>
      <c r="B873" s="12" t="inlineStr">
        <is>
          <t>A</t>
        </is>
      </c>
      <c r="C873" s="12" t="inlineStr">
        <is>
          <t>Power block</t>
        </is>
      </c>
      <c r="D873" s="12" t="inlineStr">
        <is>
          <t>Discrete device to JB JB-GFM-2-DI01: 15 x 1 pr (field cables)</t>
        </is>
      </c>
      <c r="E873" s="12" t="inlineStr">
        <is>
          <t>GFM-2</t>
        </is>
      </c>
      <c r="F873" s="12" t="inlineStr">
        <is>
          <t>GFM-2: GT2 gas fuel module (stop / control valves, final strainer)</t>
        </is>
      </c>
      <c r="G873" s="12" t="inlineStr">
        <is>
          <t>JB-GFM-2-DI01</t>
        </is>
      </c>
      <c r="H873" s="12" t="inlineStr">
        <is>
          <t>GFM-2: GT2 gas fuel module (stop / control valves, final strainer)</t>
        </is>
      </c>
      <c r="I873" s="12" t="inlineStr">
        <is>
          <t>Instrumentation</t>
        </is>
      </c>
      <c r="J873" s="12" t="inlineStr">
        <is>
          <t>Instrumentation ITC / PLTC, IS, #18 shielded pairs, blue jacket</t>
        </is>
      </c>
      <c r="K873" s="12" t="inlineStr">
        <is>
          <t>ITC|1 pr|16</t>
        </is>
      </c>
      <c r="L873" s="12" t="inlineStr">
        <is>
          <t>1 pr</t>
        </is>
      </c>
      <c r="M873" s="12" t="inlineStr">
        <is>
          <t>16</t>
        </is>
      </c>
      <c r="N873" s="12" t="n">
        <v>15</v>
      </c>
      <c r="O873" s="12" t="n">
        <v>1</v>
      </c>
      <c r="P873" s="12" t="n"/>
      <c r="Q873" s="12" t="n"/>
      <c r="R873" s="12" t="n"/>
      <c r="S873" s="12" t="inlineStr">
        <is>
          <t>Tray / conduit</t>
        </is>
      </c>
      <c r="T873" s="16" t="n">
        <v>70</v>
      </c>
      <c r="U873" s="16" t="n">
        <v>10</v>
      </c>
      <c r="V873" s="16">
        <f>ROUNDUP((T873+U873+2*'Read Me'!$B$13)*(1+'Read Me'!$B$12),-1)</f>
        <v/>
      </c>
      <c r="W873" s="16">
        <f>V873*N873*O873</f>
        <v/>
      </c>
      <c r="X873" s="12">
        <f>IF(LEFT(I873,2)="MV",2*N873*IF(L873="1/C",O873,1),0)</f>
        <v/>
      </c>
      <c r="Y873" s="12">
        <f>IF(OR(LEFT(K873,4)="LVAX",LEFT(K873,6)="MV15AX",LEFT(K873,4)="CTAX",LEFT(K873,2)="W|"),2*N873*O873,0)</f>
        <v/>
      </c>
      <c r="Z873" s="12" t="inlineStr">
        <is>
          <t>device-to-JB field wiring, one cable per device</t>
        </is>
      </c>
      <c r="AA873" s="12">
        <f>N873*O873</f>
        <v/>
      </c>
    </row>
    <row r="874">
      <c r="A874" s="12" t="inlineStr">
        <is>
          <t>A-I-0152</t>
        </is>
      </c>
      <c r="B874" s="12" t="inlineStr">
        <is>
          <t>A</t>
        </is>
      </c>
      <c r="C874" s="12" t="inlineStr">
        <is>
          <t>Power block</t>
        </is>
      </c>
      <c r="D874" s="12" t="inlineStr">
        <is>
          <t>Home run JB-GFM-2-DI01 to the control / marshalling room</t>
        </is>
      </c>
      <c r="E874" s="12" t="inlineStr">
        <is>
          <t>R2B</t>
        </is>
      </c>
      <c r="F874" s="12" t="inlineStr">
        <is>
          <t>R2B: unit / HRSG electrical e-house (32 x 40 ft)</t>
        </is>
      </c>
      <c r="G874" s="12" t="inlineStr">
        <is>
          <t>JB-GFM-2-DI01</t>
        </is>
      </c>
      <c r="H874" s="12" t="inlineStr">
        <is>
          <t>GFM-2: GT2 gas fuel module (stop / control valves, final strainer)</t>
        </is>
      </c>
      <c r="I874" s="12" t="inlineStr">
        <is>
          <t>Instrumentation</t>
        </is>
      </c>
      <c r="J874" s="12" t="inlineStr">
        <is>
          <t>Instrumentation ITC / PLTC, IS, #18 shielded pairs, blue jacket</t>
        </is>
      </c>
      <c r="K874" s="12" t="inlineStr">
        <is>
          <t>ITC|24 pr|18</t>
        </is>
      </c>
      <c r="L874" s="12" t="inlineStr">
        <is>
          <t>24 pr</t>
        </is>
      </c>
      <c r="M874" s="12" t="inlineStr">
        <is>
          <t>18</t>
        </is>
      </c>
      <c r="N874" s="12" t="n">
        <v>1</v>
      </c>
      <c r="O874" s="12" t="n">
        <v>1</v>
      </c>
      <c r="P874" s="12" t="n"/>
      <c r="Q874" s="12" t="n"/>
      <c r="R874" s="12" t="n"/>
      <c r="S874" s="12" t="inlineStr">
        <is>
          <t>Tray</t>
        </is>
      </c>
      <c r="T874" s="16" t="n">
        <v>1124</v>
      </c>
      <c r="U874" s="16" t="n">
        <v>188</v>
      </c>
      <c r="V874" s="16">
        <f>ROUNDUP((T874+U874+2*'Read Me'!$B$13)*(1+'Read Me'!$B$12),-1)</f>
        <v/>
      </c>
      <c r="W874" s="16">
        <f>V874*N874*O874</f>
        <v/>
      </c>
      <c r="X874" s="12">
        <f>IF(LEFT(I874,2)="MV",2*N874*IF(L874="1/C",O874,1),0)</f>
        <v/>
      </c>
      <c r="Y874" s="12">
        <f>IF(OR(LEFT(K874,4)="LVAX",LEFT(K874,6)="MV15AX",LEFT(K874,4)="CTAX",LEFT(K874,2)="W|"),2*N874*O874,0)</f>
        <v/>
      </c>
      <c r="Z874" s="12" t="inlineStr"/>
      <c r="AA874" s="12">
        <f>N874*O874</f>
        <v/>
      </c>
    </row>
    <row r="875">
      <c r="A875" s="12" t="inlineStr">
        <is>
          <t>A-I-0153</t>
        </is>
      </c>
      <c r="B875" s="12" t="inlineStr">
        <is>
          <t>A</t>
        </is>
      </c>
      <c r="C875" s="12" t="inlineStr">
        <is>
          <t>Power block</t>
        </is>
      </c>
      <c r="D875" s="12" t="inlineStr">
        <is>
          <t>Analog instrument to JB JB-GFM-3-AI01: 15 x 1 pr (field cables)</t>
        </is>
      </c>
      <c r="E875" s="12" t="inlineStr">
        <is>
          <t>GFM-3</t>
        </is>
      </c>
      <c r="F875" s="12" t="inlineStr">
        <is>
          <t>GFM-3: GT3 gas fuel module (stop / control valves, final strainer)</t>
        </is>
      </c>
      <c r="G875" s="12" t="inlineStr">
        <is>
          <t>JB-GFM-3-AI01</t>
        </is>
      </c>
      <c r="H875" s="12" t="inlineStr">
        <is>
          <t>GFM-3: GT3 gas fuel module (stop / control valves, final strainer)</t>
        </is>
      </c>
      <c r="I875" s="12" t="inlineStr">
        <is>
          <t>Instrumentation</t>
        </is>
      </c>
      <c r="J875" s="12" t="inlineStr">
        <is>
          <t>Instrumentation ITC / PLTC, IS, #18 shielded pairs, blue jacket</t>
        </is>
      </c>
      <c r="K875" s="12" t="inlineStr">
        <is>
          <t>ITC|1 pr|16</t>
        </is>
      </c>
      <c r="L875" s="12" t="inlineStr">
        <is>
          <t>1 pr</t>
        </is>
      </c>
      <c r="M875" s="12" t="inlineStr">
        <is>
          <t>16</t>
        </is>
      </c>
      <c r="N875" s="12" t="n">
        <v>15</v>
      </c>
      <c r="O875" s="12" t="n">
        <v>1</v>
      </c>
      <c r="P875" s="12" t="n"/>
      <c r="Q875" s="12" t="n"/>
      <c r="R875" s="12" t="n"/>
      <c r="S875" s="12" t="inlineStr">
        <is>
          <t>Tray / conduit</t>
        </is>
      </c>
      <c r="T875" s="16" t="n">
        <v>70</v>
      </c>
      <c r="U875" s="16" t="n">
        <v>10</v>
      </c>
      <c r="V875" s="16">
        <f>ROUNDUP((T875+U875+2*'Read Me'!$B$13)*(1+'Read Me'!$B$12),-1)</f>
        <v/>
      </c>
      <c r="W875" s="16">
        <f>V875*N875*O875</f>
        <v/>
      </c>
      <c r="X875" s="12">
        <f>IF(LEFT(I875,2)="MV",2*N875*IF(L875="1/C",O875,1),0)</f>
        <v/>
      </c>
      <c r="Y875" s="12">
        <f>IF(OR(LEFT(K875,4)="LVAX",LEFT(K875,6)="MV15AX",LEFT(K875,4)="CTAX",LEFT(K875,2)="W|"),2*N875*O875,0)</f>
        <v/>
      </c>
      <c r="Z875" s="12" t="inlineStr">
        <is>
          <t>device-to-JB field wiring, one cable per device</t>
        </is>
      </c>
      <c r="AA875" s="12">
        <f>N875*O875</f>
        <v/>
      </c>
    </row>
    <row r="876">
      <c r="A876" s="12" t="inlineStr">
        <is>
          <t>A-I-0154</t>
        </is>
      </c>
      <c r="B876" s="12" t="inlineStr">
        <is>
          <t>A</t>
        </is>
      </c>
      <c r="C876" s="12" t="inlineStr">
        <is>
          <t>Power block</t>
        </is>
      </c>
      <c r="D876" s="12" t="inlineStr">
        <is>
          <t>Home run JB-GFM-3-AI01 to the control / marshalling room</t>
        </is>
      </c>
      <c r="E876" s="12" t="inlineStr">
        <is>
          <t>R2C</t>
        </is>
      </c>
      <c r="F876" s="12" t="inlineStr">
        <is>
          <t>R2C: unit / HRSG electrical e-house (32 x 40 ft)</t>
        </is>
      </c>
      <c r="G876" s="12" t="inlineStr">
        <is>
          <t>JB-GFM-3-AI01</t>
        </is>
      </c>
      <c r="H876" s="12" t="inlineStr">
        <is>
          <t>GFM-3: GT3 gas fuel module (stop / control valves, final strainer)</t>
        </is>
      </c>
      <c r="I876" s="12" t="inlineStr">
        <is>
          <t>Instrumentation</t>
        </is>
      </c>
      <c r="J876" s="12" t="inlineStr">
        <is>
          <t>Instrumentation ITC / PLTC, IS, #18 shielded pairs, blue jacket</t>
        </is>
      </c>
      <c r="K876" s="12" t="inlineStr">
        <is>
          <t>ITC|24 pr|18</t>
        </is>
      </c>
      <c r="L876" s="12" t="inlineStr">
        <is>
          <t>24 pr</t>
        </is>
      </c>
      <c r="M876" s="12" t="inlineStr">
        <is>
          <t>18</t>
        </is>
      </c>
      <c r="N876" s="12" t="n">
        <v>1</v>
      </c>
      <c r="O876" s="12" t="n">
        <v>1</v>
      </c>
      <c r="P876" s="12" t="n"/>
      <c r="Q876" s="12" t="n"/>
      <c r="R876" s="12" t="n"/>
      <c r="S876" s="12" t="inlineStr">
        <is>
          <t>Tray</t>
        </is>
      </c>
      <c r="T876" s="16" t="n">
        <v>896</v>
      </c>
      <c r="U876" s="16" t="n">
        <v>212</v>
      </c>
      <c r="V876" s="16">
        <f>ROUNDUP((T876+U876+2*'Read Me'!$B$13)*(1+'Read Me'!$B$12),-1)</f>
        <v/>
      </c>
      <c r="W876" s="16">
        <f>V876*N876*O876</f>
        <v/>
      </c>
      <c r="X876" s="12">
        <f>IF(LEFT(I876,2)="MV",2*N876*IF(L876="1/C",O876,1),0)</f>
        <v/>
      </c>
      <c r="Y876" s="12">
        <f>IF(OR(LEFT(K876,4)="LVAX",LEFT(K876,6)="MV15AX",LEFT(K876,4)="CTAX",LEFT(K876,2)="W|"),2*N876*O876,0)</f>
        <v/>
      </c>
      <c r="Z876" s="12" t="inlineStr"/>
      <c r="AA876" s="12">
        <f>N876*O876</f>
        <v/>
      </c>
    </row>
    <row r="877">
      <c r="A877" s="12" t="inlineStr">
        <is>
          <t>A-I-0155</t>
        </is>
      </c>
      <c r="B877" s="12" t="inlineStr">
        <is>
          <t>A</t>
        </is>
      </c>
      <c r="C877" s="12" t="inlineStr">
        <is>
          <t>Power block</t>
        </is>
      </c>
      <c r="D877" s="12" t="inlineStr">
        <is>
          <t>Discrete device to JB JB-GFM-3-DI01: 15 x 1 pr (field cables)</t>
        </is>
      </c>
      <c r="E877" s="12" t="inlineStr">
        <is>
          <t>GFM-3</t>
        </is>
      </c>
      <c r="F877" s="12" t="inlineStr">
        <is>
          <t>GFM-3: GT3 gas fuel module (stop / control valves, final strainer)</t>
        </is>
      </c>
      <c r="G877" s="12" t="inlineStr">
        <is>
          <t>JB-GFM-3-DI01</t>
        </is>
      </c>
      <c r="H877" s="12" t="inlineStr">
        <is>
          <t>GFM-3: GT3 gas fuel module (stop / control valves, final strainer)</t>
        </is>
      </c>
      <c r="I877" s="12" t="inlineStr">
        <is>
          <t>Instrumentation</t>
        </is>
      </c>
      <c r="J877" s="12" t="inlineStr">
        <is>
          <t>Instrumentation ITC / PLTC, IS, #18 shielded pairs, blue jacket</t>
        </is>
      </c>
      <c r="K877" s="12" t="inlineStr">
        <is>
          <t>ITC|1 pr|16</t>
        </is>
      </c>
      <c r="L877" s="12" t="inlineStr">
        <is>
          <t>1 pr</t>
        </is>
      </c>
      <c r="M877" s="12" t="inlineStr">
        <is>
          <t>16</t>
        </is>
      </c>
      <c r="N877" s="12" t="n">
        <v>15</v>
      </c>
      <c r="O877" s="12" t="n">
        <v>1</v>
      </c>
      <c r="P877" s="12" t="n"/>
      <c r="Q877" s="12" t="n"/>
      <c r="R877" s="12" t="n"/>
      <c r="S877" s="12" t="inlineStr">
        <is>
          <t>Tray / conduit</t>
        </is>
      </c>
      <c r="T877" s="16" t="n">
        <v>70</v>
      </c>
      <c r="U877" s="16" t="n">
        <v>10</v>
      </c>
      <c r="V877" s="16">
        <f>ROUNDUP((T877+U877+2*'Read Me'!$B$13)*(1+'Read Me'!$B$12),-1)</f>
        <v/>
      </c>
      <c r="W877" s="16">
        <f>V877*N877*O877</f>
        <v/>
      </c>
      <c r="X877" s="12">
        <f>IF(LEFT(I877,2)="MV",2*N877*IF(L877="1/C",O877,1),0)</f>
        <v/>
      </c>
      <c r="Y877" s="12">
        <f>IF(OR(LEFT(K877,4)="LVAX",LEFT(K877,6)="MV15AX",LEFT(K877,4)="CTAX",LEFT(K877,2)="W|"),2*N877*O877,0)</f>
        <v/>
      </c>
      <c r="Z877" s="12" t="inlineStr">
        <is>
          <t>device-to-JB field wiring, one cable per device</t>
        </is>
      </c>
      <c r="AA877" s="12">
        <f>N877*O877</f>
        <v/>
      </c>
    </row>
    <row r="878">
      <c r="A878" s="12" t="inlineStr">
        <is>
          <t>A-I-0156</t>
        </is>
      </c>
      <c r="B878" s="12" t="inlineStr">
        <is>
          <t>A</t>
        </is>
      </c>
      <c r="C878" s="12" t="inlineStr">
        <is>
          <t>Power block</t>
        </is>
      </c>
      <c r="D878" s="12" t="inlineStr">
        <is>
          <t>Home run JB-GFM-3-DI01 to the control / marshalling room</t>
        </is>
      </c>
      <c r="E878" s="12" t="inlineStr">
        <is>
          <t>R2C</t>
        </is>
      </c>
      <c r="F878" s="12" t="inlineStr">
        <is>
          <t>R2C: unit / HRSG electrical e-house (32 x 40 ft)</t>
        </is>
      </c>
      <c r="G878" s="12" t="inlineStr">
        <is>
          <t>JB-GFM-3-DI01</t>
        </is>
      </c>
      <c r="H878" s="12" t="inlineStr">
        <is>
          <t>GFM-3: GT3 gas fuel module (stop / control valves, final strainer)</t>
        </is>
      </c>
      <c r="I878" s="12" t="inlineStr">
        <is>
          <t>Instrumentation</t>
        </is>
      </c>
      <c r="J878" s="12" t="inlineStr">
        <is>
          <t>Instrumentation ITC / PLTC, IS, #18 shielded pairs, blue jacket</t>
        </is>
      </c>
      <c r="K878" s="12" t="inlineStr">
        <is>
          <t>ITC|24 pr|18</t>
        </is>
      </c>
      <c r="L878" s="12" t="inlineStr">
        <is>
          <t>24 pr</t>
        </is>
      </c>
      <c r="M878" s="12" t="inlineStr">
        <is>
          <t>18</t>
        </is>
      </c>
      <c r="N878" s="12" t="n">
        <v>1</v>
      </c>
      <c r="O878" s="12" t="n">
        <v>1</v>
      </c>
      <c r="P878" s="12" t="n"/>
      <c r="Q878" s="12" t="n"/>
      <c r="R878" s="12" t="n"/>
      <c r="S878" s="12" t="inlineStr">
        <is>
          <t>Tray</t>
        </is>
      </c>
      <c r="T878" s="16" t="n">
        <v>896</v>
      </c>
      <c r="U878" s="16" t="n">
        <v>212</v>
      </c>
      <c r="V878" s="16">
        <f>ROUNDUP((T878+U878+2*'Read Me'!$B$13)*(1+'Read Me'!$B$12),-1)</f>
        <v/>
      </c>
      <c r="W878" s="16">
        <f>V878*N878*O878</f>
        <v/>
      </c>
      <c r="X878" s="12">
        <f>IF(LEFT(I878,2)="MV",2*N878*IF(L878="1/C",O878,1),0)</f>
        <v/>
      </c>
      <c r="Y878" s="12">
        <f>IF(OR(LEFT(K878,4)="LVAX",LEFT(K878,6)="MV15AX",LEFT(K878,4)="CTAX",LEFT(K878,2)="W|"),2*N878*O878,0)</f>
        <v/>
      </c>
      <c r="Z878" s="12" t="inlineStr"/>
      <c r="AA878" s="12">
        <f>N878*O878</f>
        <v/>
      </c>
    </row>
    <row r="879">
      <c r="A879" s="12" t="inlineStr">
        <is>
          <t>A-I-0157</t>
        </is>
      </c>
      <c r="B879" s="12" t="inlineStr">
        <is>
          <t>A</t>
        </is>
      </c>
      <c r="C879" s="12" t="inlineStr">
        <is>
          <t>Power block</t>
        </is>
      </c>
      <c r="D879" s="12" t="inlineStr">
        <is>
          <t>Analog instrument to JB JB-GSC-ST-AI01: 6 x 1 pr (field cables)</t>
        </is>
      </c>
      <c r="E879" s="12" t="inlineStr">
        <is>
          <t>GSC-ST</t>
        </is>
      </c>
      <c r="F879" s="12" t="inlineStr">
        <is>
          <t>GSC-ST: gland-steam condenser and exhausters</t>
        </is>
      </c>
      <c r="G879" s="12" t="inlineStr">
        <is>
          <t>JB-GSC-ST-AI01</t>
        </is>
      </c>
      <c r="H879" s="12" t="inlineStr">
        <is>
          <t>GSC-ST: gland-steam condenser and exhausters</t>
        </is>
      </c>
      <c r="I879" s="12" t="inlineStr">
        <is>
          <t>Instrumentation</t>
        </is>
      </c>
      <c r="J879" s="12" t="inlineStr">
        <is>
          <t>Instrumentation PLTC / TC-ER 300 V, #18 twisted shielded pairs, overall shield</t>
        </is>
      </c>
      <c r="K879" s="12" t="inlineStr">
        <is>
          <t>PLTC|1 pr|16</t>
        </is>
      </c>
      <c r="L879" s="12" t="inlineStr">
        <is>
          <t>1 pr</t>
        </is>
      </c>
      <c r="M879" s="12" t="inlineStr">
        <is>
          <t>16</t>
        </is>
      </c>
      <c r="N879" s="12" t="n">
        <v>6</v>
      </c>
      <c r="O879" s="12" t="n">
        <v>1</v>
      </c>
      <c r="P879" s="12" t="n"/>
      <c r="Q879" s="12" t="n"/>
      <c r="R879" s="12" t="n"/>
      <c r="S879" s="12" t="inlineStr">
        <is>
          <t>Tray / conduit</t>
        </is>
      </c>
      <c r="T879" s="16" t="n">
        <v>55</v>
      </c>
      <c r="U879" s="16" t="n">
        <v>10</v>
      </c>
      <c r="V879" s="16">
        <f>ROUNDUP((T879+U879+2*'Read Me'!$B$13)*(1+'Read Me'!$B$12),-1)</f>
        <v/>
      </c>
      <c r="W879" s="16">
        <f>V879*N879*O879</f>
        <v/>
      </c>
      <c r="X879" s="12">
        <f>IF(LEFT(I879,2)="MV",2*N879*IF(L879="1/C",O879,1),0)</f>
        <v/>
      </c>
      <c r="Y879" s="12">
        <f>IF(OR(LEFT(K879,4)="LVAX",LEFT(K879,6)="MV15AX",LEFT(K879,4)="CTAX",LEFT(K879,2)="W|"),2*N879*O879,0)</f>
        <v/>
      </c>
      <c r="Z879" s="12" t="inlineStr">
        <is>
          <t>device-to-JB field wiring, one cable per device</t>
        </is>
      </c>
      <c r="AA879" s="12">
        <f>N879*O879</f>
        <v/>
      </c>
    </row>
    <row r="880">
      <c r="A880" s="12" t="inlineStr">
        <is>
          <t>A-I-0158</t>
        </is>
      </c>
      <c r="B880" s="12" t="inlineStr">
        <is>
          <t>A</t>
        </is>
      </c>
      <c r="C880" s="12" t="inlineStr">
        <is>
          <t>Power block</t>
        </is>
      </c>
      <c r="D880" s="12" t="inlineStr">
        <is>
          <t>Home run JB-GSC-ST-AI01 to the control / marshalling room</t>
        </is>
      </c>
      <c r="E880" s="12" t="inlineStr">
        <is>
          <t>R3</t>
        </is>
      </c>
      <c r="F880" s="12" t="inlineStr">
        <is>
          <t>R3: ST auxiliary electrical e-house (40 x 65 ft)</t>
        </is>
      </c>
      <c r="G880" s="12" t="inlineStr">
        <is>
          <t>JB-GSC-ST-AI01</t>
        </is>
      </c>
      <c r="H880" s="12" t="inlineStr">
        <is>
          <t>GSC-ST: gland-steam condenser and exhausters</t>
        </is>
      </c>
      <c r="I880" s="12" t="inlineStr">
        <is>
          <t>Instrumentation</t>
        </is>
      </c>
      <c r="J880" s="12" t="inlineStr">
        <is>
          <t>Instrumentation PLTC / TC-ER 300 V, #18 twisted shielded pairs, overall shield</t>
        </is>
      </c>
      <c r="K880" s="12" t="inlineStr">
        <is>
          <t>PLTC|24 pr|18</t>
        </is>
      </c>
      <c r="L880" s="12" t="inlineStr">
        <is>
          <t>24 pr</t>
        </is>
      </c>
      <c r="M880" s="12" t="inlineStr">
        <is>
          <t>18</t>
        </is>
      </c>
      <c r="N880" s="12" t="n">
        <v>1</v>
      </c>
      <c r="O880" s="12" t="n">
        <v>1</v>
      </c>
      <c r="P880" s="12" t="n"/>
      <c r="Q880" s="12" t="n"/>
      <c r="R880" s="12" t="n"/>
      <c r="S880" s="12" t="inlineStr">
        <is>
          <t>Tray</t>
        </is>
      </c>
      <c r="T880" s="16" t="n">
        <v>72</v>
      </c>
      <c r="U880" s="16" t="n">
        <v>139</v>
      </c>
      <c r="V880" s="16">
        <f>ROUNDUP((T880+U880+2*'Read Me'!$B$13)*(1+'Read Me'!$B$12),-1)</f>
        <v/>
      </c>
      <c r="W880" s="16">
        <f>V880*N880*O880</f>
        <v/>
      </c>
      <c r="X880" s="12">
        <f>IF(LEFT(I880,2)="MV",2*N880*IF(L880="1/C",O880,1),0)</f>
        <v/>
      </c>
      <c r="Y880" s="12">
        <f>IF(OR(LEFT(K880,4)="LVAX",LEFT(K880,6)="MV15AX",LEFT(K880,4)="CTAX",LEFT(K880,2)="W|"),2*N880*O880,0)</f>
        <v/>
      </c>
      <c r="Z880" s="12" t="inlineStr"/>
      <c r="AA880" s="12">
        <f>N880*O880</f>
        <v/>
      </c>
    </row>
    <row r="881">
      <c r="A881" s="12" t="inlineStr">
        <is>
          <t>A-I-0159</t>
        </is>
      </c>
      <c r="B881" s="12" t="inlineStr">
        <is>
          <t>A</t>
        </is>
      </c>
      <c r="C881" s="12" t="inlineStr">
        <is>
          <t>Power block</t>
        </is>
      </c>
      <c r="D881" s="12" t="inlineStr">
        <is>
          <t>Discrete device to JB JB-GSC-ST-DI01: 6 x 1 pr (field cables)</t>
        </is>
      </c>
      <c r="E881" s="12" t="inlineStr">
        <is>
          <t>GSC-ST</t>
        </is>
      </c>
      <c r="F881" s="12" t="inlineStr">
        <is>
          <t>GSC-ST: gland-steam condenser and exhausters</t>
        </is>
      </c>
      <c r="G881" s="12" t="inlineStr">
        <is>
          <t>JB-GSC-ST-DI01</t>
        </is>
      </c>
      <c r="H881" s="12" t="inlineStr">
        <is>
          <t>GSC-ST: gland-steam condenser and exhausters</t>
        </is>
      </c>
      <c r="I881" s="12" t="inlineStr">
        <is>
          <t>Instrumentation</t>
        </is>
      </c>
      <c r="J881" s="12" t="inlineStr">
        <is>
          <t>Instrumentation PLTC / TC-ER 300 V, #18 twisted shielded pairs, overall shield</t>
        </is>
      </c>
      <c r="K881" s="12" t="inlineStr">
        <is>
          <t>PLTC|1 pr|16</t>
        </is>
      </c>
      <c r="L881" s="12" t="inlineStr">
        <is>
          <t>1 pr</t>
        </is>
      </c>
      <c r="M881" s="12" t="inlineStr">
        <is>
          <t>16</t>
        </is>
      </c>
      <c r="N881" s="12" t="n">
        <v>6</v>
      </c>
      <c r="O881" s="12" t="n">
        <v>1</v>
      </c>
      <c r="P881" s="12" t="n"/>
      <c r="Q881" s="12" t="n"/>
      <c r="R881" s="12" t="n"/>
      <c r="S881" s="12" t="inlineStr">
        <is>
          <t>Tray / conduit</t>
        </is>
      </c>
      <c r="T881" s="16" t="n">
        <v>55</v>
      </c>
      <c r="U881" s="16" t="n">
        <v>10</v>
      </c>
      <c r="V881" s="16">
        <f>ROUNDUP((T881+U881+2*'Read Me'!$B$13)*(1+'Read Me'!$B$12),-1)</f>
        <v/>
      </c>
      <c r="W881" s="16">
        <f>V881*N881*O881</f>
        <v/>
      </c>
      <c r="X881" s="12">
        <f>IF(LEFT(I881,2)="MV",2*N881*IF(L881="1/C",O881,1),0)</f>
        <v/>
      </c>
      <c r="Y881" s="12">
        <f>IF(OR(LEFT(K881,4)="LVAX",LEFT(K881,6)="MV15AX",LEFT(K881,4)="CTAX",LEFT(K881,2)="W|"),2*N881*O881,0)</f>
        <v/>
      </c>
      <c r="Z881" s="12" t="inlineStr">
        <is>
          <t>device-to-JB field wiring, one cable per device</t>
        </is>
      </c>
      <c r="AA881" s="12">
        <f>N881*O881</f>
        <v/>
      </c>
    </row>
    <row r="882">
      <c r="A882" s="12" t="inlineStr">
        <is>
          <t>A-I-0160</t>
        </is>
      </c>
      <c r="B882" s="12" t="inlineStr">
        <is>
          <t>A</t>
        </is>
      </c>
      <c r="C882" s="12" t="inlineStr">
        <is>
          <t>Power block</t>
        </is>
      </c>
      <c r="D882" s="12" t="inlineStr">
        <is>
          <t>Home run JB-GSC-ST-DI01 to the control / marshalling room</t>
        </is>
      </c>
      <c r="E882" s="12" t="inlineStr">
        <is>
          <t>R3</t>
        </is>
      </c>
      <c r="F882" s="12" t="inlineStr">
        <is>
          <t>R3: ST auxiliary electrical e-house (40 x 65 ft)</t>
        </is>
      </c>
      <c r="G882" s="12" t="inlineStr">
        <is>
          <t>JB-GSC-ST-DI01</t>
        </is>
      </c>
      <c r="H882" s="12" t="inlineStr">
        <is>
          <t>GSC-ST: gland-steam condenser and exhausters</t>
        </is>
      </c>
      <c r="I882" s="12" t="inlineStr">
        <is>
          <t>Instrumentation</t>
        </is>
      </c>
      <c r="J882" s="12" t="inlineStr">
        <is>
          <t>Instrumentation PLTC / TC-ER 300 V, #18 twisted shielded pairs, overall shield</t>
        </is>
      </c>
      <c r="K882" s="12" t="inlineStr">
        <is>
          <t>PLTC|24 pr|18</t>
        </is>
      </c>
      <c r="L882" s="12" t="inlineStr">
        <is>
          <t>24 pr</t>
        </is>
      </c>
      <c r="M882" s="12" t="inlineStr">
        <is>
          <t>18</t>
        </is>
      </c>
      <c r="N882" s="12" t="n">
        <v>1</v>
      </c>
      <c r="O882" s="12" t="n">
        <v>1</v>
      </c>
      <c r="P882" s="12" t="n"/>
      <c r="Q882" s="12" t="n"/>
      <c r="R882" s="12" t="n"/>
      <c r="S882" s="12" t="inlineStr">
        <is>
          <t>Tray</t>
        </is>
      </c>
      <c r="T882" s="16" t="n">
        <v>72</v>
      </c>
      <c r="U882" s="16" t="n">
        <v>139</v>
      </c>
      <c r="V882" s="16">
        <f>ROUNDUP((T882+U882+2*'Read Me'!$B$13)*(1+'Read Me'!$B$12),-1)</f>
        <v/>
      </c>
      <c r="W882" s="16">
        <f>V882*N882*O882</f>
        <v/>
      </c>
      <c r="X882" s="12">
        <f>IF(LEFT(I882,2)="MV",2*N882*IF(L882="1/C",O882,1),0)</f>
        <v/>
      </c>
      <c r="Y882" s="12">
        <f>IF(OR(LEFT(K882,4)="LVAX",LEFT(K882,6)="MV15AX",LEFT(K882,4)="CTAX",LEFT(K882,2)="W|"),2*N882*O882,0)</f>
        <v/>
      </c>
      <c r="Z882" s="12" t="inlineStr"/>
      <c r="AA882" s="12">
        <f>N882*O882</f>
        <v/>
      </c>
    </row>
    <row r="883">
      <c r="A883" s="12" t="inlineStr">
        <is>
          <t>A-I-0161</t>
        </is>
      </c>
      <c r="B883" s="12" t="inlineStr">
        <is>
          <t>A</t>
        </is>
      </c>
      <c r="C883" s="12" t="inlineStr">
        <is>
          <t>Power block</t>
        </is>
      </c>
      <c r="D883" s="12" t="inlineStr">
        <is>
          <t>Analog instrument to JB JB-GSU-1 firewall-AI01: 8 x 1 pr (field cables)</t>
        </is>
      </c>
      <c r="E883" s="12" t="inlineStr"/>
      <c r="F883" s="12" t="inlineStr">
        <is>
          <t>GSU-1 firewall</t>
        </is>
      </c>
      <c r="G883" s="12" t="inlineStr">
        <is>
          <t>JB-GSU-1 firewall-AI01</t>
        </is>
      </c>
      <c r="H883" s="12" t="inlineStr">
        <is>
          <t>GSU-1 firewall</t>
        </is>
      </c>
      <c r="I883" s="12" t="inlineStr">
        <is>
          <t>Instrumentation</t>
        </is>
      </c>
      <c r="J883" s="12" t="inlineStr">
        <is>
          <t>Instrumentation PLTC / TC-ER 300 V, #18 twisted shielded pairs, overall shield</t>
        </is>
      </c>
      <c r="K883" s="12" t="inlineStr">
        <is>
          <t>PLTC|1 pr|16</t>
        </is>
      </c>
      <c r="L883" s="12" t="inlineStr">
        <is>
          <t>1 pr</t>
        </is>
      </c>
      <c r="M883" s="12" t="inlineStr">
        <is>
          <t>16</t>
        </is>
      </c>
      <c r="N883" s="12" t="n">
        <v>8</v>
      </c>
      <c r="O883" s="12" t="n">
        <v>1</v>
      </c>
      <c r="P883" s="12" t="n"/>
      <c r="Q883" s="12" t="n"/>
      <c r="R883" s="12" t="n"/>
      <c r="S883" s="12" t="inlineStr">
        <is>
          <t>Tray / conduit</t>
        </is>
      </c>
      <c r="T883" s="16" t="n">
        <v>63</v>
      </c>
      <c r="U883" s="16" t="n">
        <v>10</v>
      </c>
      <c r="V883" s="16">
        <f>ROUNDUP((T883+U883+2*'Read Me'!$B$13)*(1+'Read Me'!$B$12),-1)</f>
        <v/>
      </c>
      <c r="W883" s="16">
        <f>V883*N883*O883</f>
        <v/>
      </c>
      <c r="X883" s="12">
        <f>IF(LEFT(I883,2)="MV",2*N883*IF(L883="1/C",O883,1),0)</f>
        <v/>
      </c>
      <c r="Y883" s="12">
        <f>IF(OR(LEFT(K883,4)="LVAX",LEFT(K883,6)="MV15AX",LEFT(K883,4)="CTAX",LEFT(K883,2)="W|"),2*N883*O883,0)</f>
        <v/>
      </c>
      <c r="Z883" s="12" t="inlineStr">
        <is>
          <t>device-to-JB field wiring, one cable per device</t>
        </is>
      </c>
      <c r="AA883" s="12">
        <f>N883*O883</f>
        <v/>
      </c>
    </row>
    <row r="884">
      <c r="A884" s="12" t="inlineStr">
        <is>
          <t>A-I-0162</t>
        </is>
      </c>
      <c r="B884" s="12" t="inlineStr">
        <is>
          <t>A</t>
        </is>
      </c>
      <c r="C884" s="12" t="inlineStr">
        <is>
          <t>Power block</t>
        </is>
      </c>
      <c r="D884" s="12" t="inlineStr">
        <is>
          <t>Home run JB-GSU-1 firewall-AI01 to the control / marshalling room</t>
        </is>
      </c>
      <c r="E884" s="12" t="inlineStr">
        <is>
          <t>R2A</t>
        </is>
      </c>
      <c r="F884" s="12" t="inlineStr">
        <is>
          <t>R2A: unit / HRSG electrical e-house (32 x 40 ft)</t>
        </is>
      </c>
      <c r="G884" s="12" t="inlineStr">
        <is>
          <t>JB-GSU-1 firewall-AI01</t>
        </is>
      </c>
      <c r="H884" s="12" t="inlineStr">
        <is>
          <t>GSU-1 firewall</t>
        </is>
      </c>
      <c r="I884" s="12" t="inlineStr">
        <is>
          <t>Instrumentation</t>
        </is>
      </c>
      <c r="J884" s="12" t="inlineStr">
        <is>
          <t>Instrumentation PLTC / TC-ER 300 V, #18 twisted shielded pairs, overall shield</t>
        </is>
      </c>
      <c r="K884" s="12" t="inlineStr">
        <is>
          <t>PLTC|24 pr|18</t>
        </is>
      </c>
      <c r="L884" s="12" t="inlineStr">
        <is>
          <t>24 pr</t>
        </is>
      </c>
      <c r="M884" s="12" t="inlineStr">
        <is>
          <t>18</t>
        </is>
      </c>
      <c r="N884" s="12" t="n">
        <v>1</v>
      </c>
      <c r="O884" s="12" t="n">
        <v>1</v>
      </c>
      <c r="P884" s="12" t="n"/>
      <c r="Q884" s="12" t="n"/>
      <c r="R884" s="12" t="n"/>
      <c r="S884" s="12" t="inlineStr">
        <is>
          <t>Tray</t>
        </is>
      </c>
      <c r="T884" s="16" t="n">
        <v>416</v>
      </c>
      <c r="U884" s="16" t="n">
        <v>181</v>
      </c>
      <c r="V884" s="16">
        <f>ROUNDUP((T884+U884+2*'Read Me'!$B$13)*(1+'Read Me'!$B$12),-1)</f>
        <v/>
      </c>
      <c r="W884" s="16">
        <f>V884*N884*O884</f>
        <v/>
      </c>
      <c r="X884" s="12">
        <f>IF(LEFT(I884,2)="MV",2*N884*IF(L884="1/C",O884,1),0)</f>
        <v/>
      </c>
      <c r="Y884" s="12">
        <f>IF(OR(LEFT(K884,4)="LVAX",LEFT(K884,6)="MV15AX",LEFT(K884,4)="CTAX",LEFT(K884,2)="W|"),2*N884*O884,0)</f>
        <v/>
      </c>
      <c r="Z884" s="12" t="inlineStr"/>
      <c r="AA884" s="12">
        <f>N884*O884</f>
        <v/>
      </c>
    </row>
    <row r="885">
      <c r="A885" s="12" t="inlineStr">
        <is>
          <t>A-I-0163</t>
        </is>
      </c>
      <c r="B885" s="12" t="inlineStr">
        <is>
          <t>A</t>
        </is>
      </c>
      <c r="C885" s="12" t="inlineStr">
        <is>
          <t>Power block</t>
        </is>
      </c>
      <c r="D885" s="12" t="inlineStr">
        <is>
          <t>Discrete device to JB JB-GSU-1 firewall-DI01: 16 x 1 pr (field cables)</t>
        </is>
      </c>
      <c r="E885" s="12" t="inlineStr"/>
      <c r="F885" s="12" t="inlineStr">
        <is>
          <t>GSU-1 firewall</t>
        </is>
      </c>
      <c r="G885" s="12" t="inlineStr">
        <is>
          <t>JB-GSU-1 firewall-DI01</t>
        </is>
      </c>
      <c r="H885" s="12" t="inlineStr">
        <is>
          <t>GSU-1 firewall</t>
        </is>
      </c>
      <c r="I885" s="12" t="inlineStr">
        <is>
          <t>Instrumentation</t>
        </is>
      </c>
      <c r="J885" s="12" t="inlineStr">
        <is>
          <t>Instrumentation PLTC / TC-ER 300 V, #18 twisted shielded pairs, overall shield</t>
        </is>
      </c>
      <c r="K885" s="12" t="inlineStr">
        <is>
          <t>PLTC|1 pr|16</t>
        </is>
      </c>
      <c r="L885" s="12" t="inlineStr">
        <is>
          <t>1 pr</t>
        </is>
      </c>
      <c r="M885" s="12" t="inlineStr">
        <is>
          <t>16</t>
        </is>
      </c>
      <c r="N885" s="12" t="n">
        <v>16</v>
      </c>
      <c r="O885" s="12" t="n">
        <v>1</v>
      </c>
      <c r="P885" s="12" t="n"/>
      <c r="Q885" s="12" t="n"/>
      <c r="R885" s="12" t="n"/>
      <c r="S885" s="12" t="inlineStr">
        <is>
          <t>Tray / conduit</t>
        </is>
      </c>
      <c r="T885" s="16" t="n">
        <v>63</v>
      </c>
      <c r="U885" s="16" t="n">
        <v>10</v>
      </c>
      <c r="V885" s="16">
        <f>ROUNDUP((T885+U885+2*'Read Me'!$B$13)*(1+'Read Me'!$B$12),-1)</f>
        <v/>
      </c>
      <c r="W885" s="16">
        <f>V885*N885*O885</f>
        <v/>
      </c>
      <c r="X885" s="12">
        <f>IF(LEFT(I885,2)="MV",2*N885*IF(L885="1/C",O885,1),0)</f>
        <v/>
      </c>
      <c r="Y885" s="12">
        <f>IF(OR(LEFT(K885,4)="LVAX",LEFT(K885,6)="MV15AX",LEFT(K885,4)="CTAX",LEFT(K885,2)="W|"),2*N885*O885,0)</f>
        <v/>
      </c>
      <c r="Z885" s="12" t="inlineStr">
        <is>
          <t>device-to-JB field wiring, one cable per device</t>
        </is>
      </c>
      <c r="AA885" s="12">
        <f>N885*O885</f>
        <v/>
      </c>
    </row>
    <row r="886">
      <c r="A886" s="12" t="inlineStr">
        <is>
          <t>A-I-0164</t>
        </is>
      </c>
      <c r="B886" s="12" t="inlineStr">
        <is>
          <t>A</t>
        </is>
      </c>
      <c r="C886" s="12" t="inlineStr">
        <is>
          <t>Power block</t>
        </is>
      </c>
      <c r="D886" s="12" t="inlineStr">
        <is>
          <t>Home run JB-GSU-1 firewall-DI01 to the control / marshalling room</t>
        </is>
      </c>
      <c r="E886" s="12" t="inlineStr">
        <is>
          <t>R2A</t>
        </is>
      </c>
      <c r="F886" s="12" t="inlineStr">
        <is>
          <t>R2A: unit / HRSG electrical e-house (32 x 40 ft)</t>
        </is>
      </c>
      <c r="G886" s="12" t="inlineStr">
        <is>
          <t>JB-GSU-1 firewall-DI01</t>
        </is>
      </c>
      <c r="H886" s="12" t="inlineStr">
        <is>
          <t>GSU-1 firewall</t>
        </is>
      </c>
      <c r="I886" s="12" t="inlineStr">
        <is>
          <t>Instrumentation</t>
        </is>
      </c>
      <c r="J886" s="12" t="inlineStr">
        <is>
          <t>Instrumentation PLTC / TC-ER 300 V, #18 twisted shielded pairs, overall shield</t>
        </is>
      </c>
      <c r="K886" s="12" t="inlineStr">
        <is>
          <t>PLTC|24 pr|18</t>
        </is>
      </c>
      <c r="L886" s="12" t="inlineStr">
        <is>
          <t>24 pr</t>
        </is>
      </c>
      <c r="M886" s="12" t="inlineStr">
        <is>
          <t>18</t>
        </is>
      </c>
      <c r="N886" s="12" t="n">
        <v>1</v>
      </c>
      <c r="O886" s="12" t="n">
        <v>1</v>
      </c>
      <c r="P886" s="12" t="n"/>
      <c r="Q886" s="12" t="n"/>
      <c r="R886" s="12" t="n"/>
      <c r="S886" s="12" t="inlineStr">
        <is>
          <t>Tray</t>
        </is>
      </c>
      <c r="T886" s="16" t="n">
        <v>416</v>
      </c>
      <c r="U886" s="16" t="n">
        <v>181</v>
      </c>
      <c r="V886" s="16">
        <f>ROUNDUP((T886+U886+2*'Read Me'!$B$13)*(1+'Read Me'!$B$12),-1)</f>
        <v/>
      </c>
      <c r="W886" s="16">
        <f>V886*N886*O886</f>
        <v/>
      </c>
      <c r="X886" s="12">
        <f>IF(LEFT(I886,2)="MV",2*N886*IF(L886="1/C",O886,1),0)</f>
        <v/>
      </c>
      <c r="Y886" s="12">
        <f>IF(OR(LEFT(K886,4)="LVAX",LEFT(K886,6)="MV15AX",LEFT(K886,4)="CTAX",LEFT(K886,2)="W|"),2*N886*O886,0)</f>
        <v/>
      </c>
      <c r="Z886" s="12" t="inlineStr"/>
      <c r="AA886" s="12">
        <f>N886*O886</f>
        <v/>
      </c>
    </row>
    <row r="887">
      <c r="A887" s="12" t="inlineStr">
        <is>
          <t>A-I-0165</t>
        </is>
      </c>
      <c r="B887" s="12" t="inlineStr">
        <is>
          <t>A</t>
        </is>
      </c>
      <c r="C887" s="12" t="inlineStr">
        <is>
          <t>Power block</t>
        </is>
      </c>
      <c r="D887" s="12" t="inlineStr">
        <is>
          <t>Analog instrument to JB JB-GSU-1-AI01: 8 x 1 pr (field cables)</t>
        </is>
      </c>
      <c r="E887" s="12" t="inlineStr">
        <is>
          <t>GSU-1</t>
        </is>
      </c>
      <c r="F887" s="12" t="inlineStr">
        <is>
          <t>GSU-1: 21/230 kV generator step-up transformer</t>
        </is>
      </c>
      <c r="G887" s="12" t="inlineStr">
        <is>
          <t>JB-GSU-1-AI01</t>
        </is>
      </c>
      <c r="H887" s="12" t="inlineStr">
        <is>
          <t>GSU-1: 21/230 kV generator step-up transformer</t>
        </is>
      </c>
      <c r="I887" s="12" t="inlineStr">
        <is>
          <t>Instrumentation</t>
        </is>
      </c>
      <c r="J887" s="12" t="inlineStr">
        <is>
          <t>Instrumentation PLTC / TC-ER 300 V, #18 twisted shielded pairs, overall shield</t>
        </is>
      </c>
      <c r="K887" s="12" t="inlineStr">
        <is>
          <t>PLTC|1 pr|16</t>
        </is>
      </c>
      <c r="L887" s="12" t="inlineStr">
        <is>
          <t>1 pr</t>
        </is>
      </c>
      <c r="M887" s="12" t="inlineStr">
        <is>
          <t>16</t>
        </is>
      </c>
      <c r="N887" s="12" t="n">
        <v>8</v>
      </c>
      <c r="O887" s="12" t="n">
        <v>1</v>
      </c>
      <c r="P887" s="12" t="n"/>
      <c r="Q887" s="12" t="n"/>
      <c r="R887" s="12" t="n"/>
      <c r="S887" s="12" t="inlineStr">
        <is>
          <t>Tray / conduit</t>
        </is>
      </c>
      <c r="T887" s="16" t="n">
        <v>83</v>
      </c>
      <c r="U887" s="16" t="n">
        <v>10</v>
      </c>
      <c r="V887" s="16">
        <f>ROUNDUP((T887+U887+2*'Read Me'!$B$13)*(1+'Read Me'!$B$12),-1)</f>
        <v/>
      </c>
      <c r="W887" s="16">
        <f>V887*N887*O887</f>
        <v/>
      </c>
      <c r="X887" s="12">
        <f>IF(LEFT(I887,2)="MV",2*N887*IF(L887="1/C",O887,1),0)</f>
        <v/>
      </c>
      <c r="Y887" s="12">
        <f>IF(OR(LEFT(K887,4)="LVAX",LEFT(K887,6)="MV15AX",LEFT(K887,4)="CTAX",LEFT(K887,2)="W|"),2*N887*O887,0)</f>
        <v/>
      </c>
      <c r="Z887" s="12" t="inlineStr">
        <is>
          <t>device-to-JB field wiring, one cable per device</t>
        </is>
      </c>
      <c r="AA887" s="12">
        <f>N887*O887</f>
        <v/>
      </c>
    </row>
    <row r="888">
      <c r="A888" s="12" t="inlineStr">
        <is>
          <t>A-I-0166</t>
        </is>
      </c>
      <c r="B888" s="12" t="inlineStr">
        <is>
          <t>A</t>
        </is>
      </c>
      <c r="C888" s="12" t="inlineStr">
        <is>
          <t>Power block</t>
        </is>
      </c>
      <c r="D888" s="12" t="inlineStr">
        <is>
          <t>Home run JB-GSU-1-AI01 to the control / marshalling room</t>
        </is>
      </c>
      <c r="E888" s="12" t="inlineStr">
        <is>
          <t>R2A</t>
        </is>
      </c>
      <c r="F888" s="12" t="inlineStr">
        <is>
          <t>R2A: unit / HRSG electrical e-house (32 x 40 ft)</t>
        </is>
      </c>
      <c r="G888" s="12" t="inlineStr">
        <is>
          <t>JB-GSU-1-AI01</t>
        </is>
      </c>
      <c r="H888" s="12" t="inlineStr">
        <is>
          <t>GSU-1: 21/230 kV generator step-up transformer</t>
        </is>
      </c>
      <c r="I888" s="12" t="inlineStr">
        <is>
          <t>Instrumentation</t>
        </is>
      </c>
      <c r="J888" s="12" t="inlineStr">
        <is>
          <t>Instrumentation PLTC / TC-ER 300 V, #18 twisted shielded pairs, overall shield</t>
        </is>
      </c>
      <c r="K888" s="12" t="inlineStr">
        <is>
          <t>PLTC|24 pr|18</t>
        </is>
      </c>
      <c r="L888" s="12" t="inlineStr">
        <is>
          <t>24 pr</t>
        </is>
      </c>
      <c r="M888" s="12" t="inlineStr">
        <is>
          <t>18</t>
        </is>
      </c>
      <c r="N888" s="12" t="n">
        <v>1</v>
      </c>
      <c r="O888" s="12" t="n">
        <v>1</v>
      </c>
      <c r="P888" s="12" t="n"/>
      <c r="Q888" s="12" t="n"/>
      <c r="R888" s="12" t="n"/>
      <c r="S888" s="12" t="inlineStr">
        <is>
          <t>Tray</t>
        </is>
      </c>
      <c r="T888" s="16" t="n">
        <v>419</v>
      </c>
      <c r="U888" s="16" t="n">
        <v>179</v>
      </c>
      <c r="V888" s="16">
        <f>ROUNDUP((T888+U888+2*'Read Me'!$B$13)*(1+'Read Me'!$B$12),-1)</f>
        <v/>
      </c>
      <c r="W888" s="16">
        <f>V888*N888*O888</f>
        <v/>
      </c>
      <c r="X888" s="12">
        <f>IF(LEFT(I888,2)="MV",2*N888*IF(L888="1/C",O888,1),0)</f>
        <v/>
      </c>
      <c r="Y888" s="12">
        <f>IF(OR(LEFT(K888,4)="LVAX",LEFT(K888,6)="MV15AX",LEFT(K888,4)="CTAX",LEFT(K888,2)="W|"),2*N888*O888,0)</f>
        <v/>
      </c>
      <c r="Z888" s="12" t="inlineStr"/>
      <c r="AA888" s="12">
        <f>N888*O888</f>
        <v/>
      </c>
    </row>
    <row r="889">
      <c r="A889" s="12" t="inlineStr">
        <is>
          <t>A-I-0167</t>
        </is>
      </c>
      <c r="B889" s="12" t="inlineStr">
        <is>
          <t>A</t>
        </is>
      </c>
      <c r="C889" s="12" t="inlineStr">
        <is>
          <t>Power block</t>
        </is>
      </c>
      <c r="D889" s="12" t="inlineStr">
        <is>
          <t>Discrete device to JB JB-GSU-1-DI01: 16 x 1 pr (field cables)</t>
        </is>
      </c>
      <c r="E889" s="12" t="inlineStr">
        <is>
          <t>GSU-1</t>
        </is>
      </c>
      <c r="F889" s="12" t="inlineStr">
        <is>
          <t>GSU-1: 21/230 kV generator step-up transformer</t>
        </is>
      </c>
      <c r="G889" s="12" t="inlineStr">
        <is>
          <t>JB-GSU-1-DI01</t>
        </is>
      </c>
      <c r="H889" s="12" t="inlineStr">
        <is>
          <t>GSU-1: 21/230 kV generator step-up transformer</t>
        </is>
      </c>
      <c r="I889" s="12" t="inlineStr">
        <is>
          <t>Instrumentation</t>
        </is>
      </c>
      <c r="J889" s="12" t="inlineStr">
        <is>
          <t>Instrumentation PLTC / TC-ER 300 V, #18 twisted shielded pairs, overall shield</t>
        </is>
      </c>
      <c r="K889" s="12" t="inlineStr">
        <is>
          <t>PLTC|1 pr|16</t>
        </is>
      </c>
      <c r="L889" s="12" t="inlineStr">
        <is>
          <t>1 pr</t>
        </is>
      </c>
      <c r="M889" s="12" t="inlineStr">
        <is>
          <t>16</t>
        </is>
      </c>
      <c r="N889" s="12" t="n">
        <v>16</v>
      </c>
      <c r="O889" s="12" t="n">
        <v>1</v>
      </c>
      <c r="P889" s="12" t="n"/>
      <c r="Q889" s="12" t="n"/>
      <c r="R889" s="12" t="n"/>
      <c r="S889" s="12" t="inlineStr">
        <is>
          <t>Tray / conduit</t>
        </is>
      </c>
      <c r="T889" s="16" t="n">
        <v>83</v>
      </c>
      <c r="U889" s="16" t="n">
        <v>10</v>
      </c>
      <c r="V889" s="16">
        <f>ROUNDUP((T889+U889+2*'Read Me'!$B$13)*(1+'Read Me'!$B$12),-1)</f>
        <v/>
      </c>
      <c r="W889" s="16">
        <f>V889*N889*O889</f>
        <v/>
      </c>
      <c r="X889" s="12">
        <f>IF(LEFT(I889,2)="MV",2*N889*IF(L889="1/C",O889,1),0)</f>
        <v/>
      </c>
      <c r="Y889" s="12">
        <f>IF(OR(LEFT(K889,4)="LVAX",LEFT(K889,6)="MV15AX",LEFT(K889,4)="CTAX",LEFT(K889,2)="W|"),2*N889*O889,0)</f>
        <v/>
      </c>
      <c r="Z889" s="12" t="inlineStr">
        <is>
          <t>device-to-JB field wiring, one cable per device</t>
        </is>
      </c>
      <c r="AA889" s="12">
        <f>N889*O889</f>
        <v/>
      </c>
    </row>
    <row r="890">
      <c r="A890" s="12" t="inlineStr">
        <is>
          <t>A-I-0168</t>
        </is>
      </c>
      <c r="B890" s="12" t="inlineStr">
        <is>
          <t>A</t>
        </is>
      </c>
      <c r="C890" s="12" t="inlineStr">
        <is>
          <t>Power block</t>
        </is>
      </c>
      <c r="D890" s="12" t="inlineStr">
        <is>
          <t>Home run JB-GSU-1-DI01 to the control / marshalling room</t>
        </is>
      </c>
      <c r="E890" s="12" t="inlineStr">
        <is>
          <t>R2A</t>
        </is>
      </c>
      <c r="F890" s="12" t="inlineStr">
        <is>
          <t>R2A: unit / HRSG electrical e-house (32 x 40 ft)</t>
        </is>
      </c>
      <c r="G890" s="12" t="inlineStr">
        <is>
          <t>JB-GSU-1-DI01</t>
        </is>
      </c>
      <c r="H890" s="12" t="inlineStr">
        <is>
          <t>GSU-1: 21/230 kV generator step-up transformer</t>
        </is>
      </c>
      <c r="I890" s="12" t="inlineStr">
        <is>
          <t>Instrumentation</t>
        </is>
      </c>
      <c r="J890" s="12" t="inlineStr">
        <is>
          <t>Instrumentation PLTC / TC-ER 300 V, #18 twisted shielded pairs, overall shield</t>
        </is>
      </c>
      <c r="K890" s="12" t="inlineStr">
        <is>
          <t>PLTC|24 pr|18</t>
        </is>
      </c>
      <c r="L890" s="12" t="inlineStr">
        <is>
          <t>24 pr</t>
        </is>
      </c>
      <c r="M890" s="12" t="inlineStr">
        <is>
          <t>18</t>
        </is>
      </c>
      <c r="N890" s="12" t="n">
        <v>1</v>
      </c>
      <c r="O890" s="12" t="n">
        <v>1</v>
      </c>
      <c r="P890" s="12" t="n"/>
      <c r="Q890" s="12" t="n"/>
      <c r="R890" s="12" t="n"/>
      <c r="S890" s="12" t="inlineStr">
        <is>
          <t>Tray</t>
        </is>
      </c>
      <c r="T890" s="16" t="n">
        <v>419</v>
      </c>
      <c r="U890" s="16" t="n">
        <v>179</v>
      </c>
      <c r="V890" s="16">
        <f>ROUNDUP((T890+U890+2*'Read Me'!$B$13)*(1+'Read Me'!$B$12),-1)</f>
        <v/>
      </c>
      <c r="W890" s="16">
        <f>V890*N890*O890</f>
        <v/>
      </c>
      <c r="X890" s="12">
        <f>IF(LEFT(I890,2)="MV",2*N890*IF(L890="1/C",O890,1),0)</f>
        <v/>
      </c>
      <c r="Y890" s="12">
        <f>IF(OR(LEFT(K890,4)="LVAX",LEFT(K890,6)="MV15AX",LEFT(K890,4)="CTAX",LEFT(K890,2)="W|"),2*N890*O890,0)</f>
        <v/>
      </c>
      <c r="Z890" s="12" t="inlineStr"/>
      <c r="AA890" s="12">
        <f>N890*O890</f>
        <v/>
      </c>
    </row>
    <row r="891">
      <c r="A891" s="12" t="inlineStr">
        <is>
          <t>A-I-0169</t>
        </is>
      </c>
      <c r="B891" s="12" t="inlineStr">
        <is>
          <t>A</t>
        </is>
      </c>
      <c r="C891" s="12" t="inlineStr">
        <is>
          <t>Power block</t>
        </is>
      </c>
      <c r="D891" s="12" t="inlineStr">
        <is>
          <t>Analog instrument to JB JB-GSU-2 firewall-AI01: 8 x 1 pr (field cables)</t>
        </is>
      </c>
      <c r="E891" s="12" t="inlineStr"/>
      <c r="F891" s="12" t="inlineStr">
        <is>
          <t>GSU-2 firewall</t>
        </is>
      </c>
      <c r="G891" s="12" t="inlineStr">
        <is>
          <t>JB-GSU-2 firewall-AI01</t>
        </is>
      </c>
      <c r="H891" s="12" t="inlineStr">
        <is>
          <t>GSU-2 firewall</t>
        </is>
      </c>
      <c r="I891" s="12" t="inlineStr">
        <is>
          <t>Instrumentation</t>
        </is>
      </c>
      <c r="J891" s="12" t="inlineStr">
        <is>
          <t>Instrumentation PLTC / TC-ER 300 V, #18 twisted shielded pairs, overall shield</t>
        </is>
      </c>
      <c r="K891" s="12" t="inlineStr">
        <is>
          <t>PLTC|1 pr|16</t>
        </is>
      </c>
      <c r="L891" s="12" t="inlineStr">
        <is>
          <t>1 pr</t>
        </is>
      </c>
      <c r="M891" s="12" t="inlineStr">
        <is>
          <t>16</t>
        </is>
      </c>
      <c r="N891" s="12" t="n">
        <v>8</v>
      </c>
      <c r="O891" s="12" t="n">
        <v>1</v>
      </c>
      <c r="P891" s="12" t="n"/>
      <c r="Q891" s="12" t="n"/>
      <c r="R891" s="12" t="n"/>
      <c r="S891" s="12" t="inlineStr">
        <is>
          <t>Tray / conduit</t>
        </is>
      </c>
      <c r="T891" s="16" t="n">
        <v>63</v>
      </c>
      <c r="U891" s="16" t="n">
        <v>10</v>
      </c>
      <c r="V891" s="16">
        <f>ROUNDUP((T891+U891+2*'Read Me'!$B$13)*(1+'Read Me'!$B$12),-1)</f>
        <v/>
      </c>
      <c r="W891" s="16">
        <f>V891*N891*O891</f>
        <v/>
      </c>
      <c r="X891" s="12">
        <f>IF(LEFT(I891,2)="MV",2*N891*IF(L891="1/C",O891,1),0)</f>
        <v/>
      </c>
      <c r="Y891" s="12">
        <f>IF(OR(LEFT(K891,4)="LVAX",LEFT(K891,6)="MV15AX",LEFT(K891,4)="CTAX",LEFT(K891,2)="W|"),2*N891*O891,0)</f>
        <v/>
      </c>
      <c r="Z891" s="12" t="inlineStr">
        <is>
          <t>device-to-JB field wiring, one cable per device</t>
        </is>
      </c>
      <c r="AA891" s="12">
        <f>N891*O891</f>
        <v/>
      </c>
    </row>
    <row r="892">
      <c r="A892" s="12" t="inlineStr">
        <is>
          <t>A-I-0170</t>
        </is>
      </c>
      <c r="B892" s="12" t="inlineStr">
        <is>
          <t>A</t>
        </is>
      </c>
      <c r="C892" s="12" t="inlineStr">
        <is>
          <t>Power block</t>
        </is>
      </c>
      <c r="D892" s="12" t="inlineStr">
        <is>
          <t>Home run JB-GSU-2 firewall-AI01 to the control / marshalling room</t>
        </is>
      </c>
      <c r="E892" s="12" t="inlineStr">
        <is>
          <t>R2B</t>
        </is>
      </c>
      <c r="F892" s="12" t="inlineStr">
        <is>
          <t>R2B: unit / HRSG electrical e-house (32 x 40 ft)</t>
        </is>
      </c>
      <c r="G892" s="12" t="inlineStr">
        <is>
          <t>JB-GSU-2 firewall-AI01</t>
        </is>
      </c>
      <c r="H892" s="12" t="inlineStr">
        <is>
          <t>GSU-2 firewall</t>
        </is>
      </c>
      <c r="I892" s="12" t="inlineStr">
        <is>
          <t>Instrumentation</t>
        </is>
      </c>
      <c r="J892" s="12" t="inlineStr">
        <is>
          <t>Instrumentation PLTC / TC-ER 300 V, #18 twisted shielded pairs, overall shield</t>
        </is>
      </c>
      <c r="K892" s="12" t="inlineStr">
        <is>
          <t>PLTC|24 pr|18</t>
        </is>
      </c>
      <c r="L892" s="12" t="inlineStr">
        <is>
          <t>24 pr</t>
        </is>
      </c>
      <c r="M892" s="12" t="inlineStr">
        <is>
          <t>18</t>
        </is>
      </c>
      <c r="N892" s="12" t="n">
        <v>1</v>
      </c>
      <c r="O892" s="12" t="n">
        <v>1</v>
      </c>
      <c r="P892" s="12" t="n"/>
      <c r="Q892" s="12" t="n"/>
      <c r="R892" s="12" t="n"/>
      <c r="S892" s="12" t="inlineStr">
        <is>
          <t>Tray</t>
        </is>
      </c>
      <c r="T892" s="16" t="n">
        <v>1290</v>
      </c>
      <c r="U892" s="16" t="n">
        <v>271</v>
      </c>
      <c r="V892" s="16">
        <f>ROUNDUP((T892+U892+2*'Read Me'!$B$13)*(1+'Read Me'!$B$12),-1)</f>
        <v/>
      </c>
      <c r="W892" s="16">
        <f>V892*N892*O892</f>
        <v/>
      </c>
      <c r="X892" s="12">
        <f>IF(LEFT(I892,2)="MV",2*N892*IF(L892="1/C",O892,1),0)</f>
        <v/>
      </c>
      <c r="Y892" s="12">
        <f>IF(OR(LEFT(K892,4)="LVAX",LEFT(K892,6)="MV15AX",LEFT(K892,4)="CTAX",LEFT(K892,2)="W|"),2*N892*O892,0)</f>
        <v/>
      </c>
      <c r="Z892" s="12" t="inlineStr"/>
      <c r="AA892" s="12">
        <f>N892*O892</f>
        <v/>
      </c>
    </row>
    <row r="893">
      <c r="A893" s="12" t="inlineStr">
        <is>
          <t>A-I-0171</t>
        </is>
      </c>
      <c r="B893" s="12" t="inlineStr">
        <is>
          <t>A</t>
        </is>
      </c>
      <c r="C893" s="12" t="inlineStr">
        <is>
          <t>Power block</t>
        </is>
      </c>
      <c r="D893" s="12" t="inlineStr">
        <is>
          <t>Discrete device to JB JB-GSU-2 firewall-DI01: 16 x 1 pr (field cables)</t>
        </is>
      </c>
      <c r="E893" s="12" t="inlineStr"/>
      <c r="F893" s="12" t="inlineStr">
        <is>
          <t>GSU-2 firewall</t>
        </is>
      </c>
      <c r="G893" s="12" t="inlineStr">
        <is>
          <t>JB-GSU-2 firewall-DI01</t>
        </is>
      </c>
      <c r="H893" s="12" t="inlineStr">
        <is>
          <t>GSU-2 firewall</t>
        </is>
      </c>
      <c r="I893" s="12" t="inlineStr">
        <is>
          <t>Instrumentation</t>
        </is>
      </c>
      <c r="J893" s="12" t="inlineStr">
        <is>
          <t>Instrumentation PLTC / TC-ER 300 V, #18 twisted shielded pairs, overall shield</t>
        </is>
      </c>
      <c r="K893" s="12" t="inlineStr">
        <is>
          <t>PLTC|1 pr|16</t>
        </is>
      </c>
      <c r="L893" s="12" t="inlineStr">
        <is>
          <t>1 pr</t>
        </is>
      </c>
      <c r="M893" s="12" t="inlineStr">
        <is>
          <t>16</t>
        </is>
      </c>
      <c r="N893" s="12" t="n">
        <v>16</v>
      </c>
      <c r="O893" s="12" t="n">
        <v>1</v>
      </c>
      <c r="P893" s="12" t="n"/>
      <c r="Q893" s="12" t="n"/>
      <c r="R893" s="12" t="n"/>
      <c r="S893" s="12" t="inlineStr">
        <is>
          <t>Tray / conduit</t>
        </is>
      </c>
      <c r="T893" s="16" t="n">
        <v>63</v>
      </c>
      <c r="U893" s="16" t="n">
        <v>10</v>
      </c>
      <c r="V893" s="16">
        <f>ROUNDUP((T893+U893+2*'Read Me'!$B$13)*(1+'Read Me'!$B$12),-1)</f>
        <v/>
      </c>
      <c r="W893" s="16">
        <f>V893*N893*O893</f>
        <v/>
      </c>
      <c r="X893" s="12">
        <f>IF(LEFT(I893,2)="MV",2*N893*IF(L893="1/C",O893,1),0)</f>
        <v/>
      </c>
      <c r="Y893" s="12">
        <f>IF(OR(LEFT(K893,4)="LVAX",LEFT(K893,6)="MV15AX",LEFT(K893,4)="CTAX",LEFT(K893,2)="W|"),2*N893*O893,0)</f>
        <v/>
      </c>
      <c r="Z893" s="12" t="inlineStr">
        <is>
          <t>device-to-JB field wiring, one cable per device</t>
        </is>
      </c>
      <c r="AA893" s="12">
        <f>N893*O893</f>
        <v/>
      </c>
    </row>
    <row r="894">
      <c r="A894" s="12" t="inlineStr">
        <is>
          <t>A-I-0172</t>
        </is>
      </c>
      <c r="B894" s="12" t="inlineStr">
        <is>
          <t>A</t>
        </is>
      </c>
      <c r="C894" s="12" t="inlineStr">
        <is>
          <t>Power block</t>
        </is>
      </c>
      <c r="D894" s="12" t="inlineStr">
        <is>
          <t>Home run JB-GSU-2 firewall-DI01 to the control / marshalling room</t>
        </is>
      </c>
      <c r="E894" s="12" t="inlineStr">
        <is>
          <t>R2B</t>
        </is>
      </c>
      <c r="F894" s="12" t="inlineStr">
        <is>
          <t>R2B: unit / HRSG electrical e-house (32 x 40 ft)</t>
        </is>
      </c>
      <c r="G894" s="12" t="inlineStr">
        <is>
          <t>JB-GSU-2 firewall-DI01</t>
        </is>
      </c>
      <c r="H894" s="12" t="inlineStr">
        <is>
          <t>GSU-2 firewall</t>
        </is>
      </c>
      <c r="I894" s="12" t="inlineStr">
        <is>
          <t>Instrumentation</t>
        </is>
      </c>
      <c r="J894" s="12" t="inlineStr">
        <is>
          <t>Instrumentation PLTC / TC-ER 300 V, #18 twisted shielded pairs, overall shield</t>
        </is>
      </c>
      <c r="K894" s="12" t="inlineStr">
        <is>
          <t>PLTC|24 pr|18</t>
        </is>
      </c>
      <c r="L894" s="12" t="inlineStr">
        <is>
          <t>24 pr</t>
        </is>
      </c>
      <c r="M894" s="12" t="inlineStr">
        <is>
          <t>18</t>
        </is>
      </c>
      <c r="N894" s="12" t="n">
        <v>1</v>
      </c>
      <c r="O894" s="12" t="n">
        <v>1</v>
      </c>
      <c r="P894" s="12" t="n"/>
      <c r="Q894" s="12" t="n"/>
      <c r="R894" s="12" t="n"/>
      <c r="S894" s="12" t="inlineStr">
        <is>
          <t>Tray</t>
        </is>
      </c>
      <c r="T894" s="16" t="n">
        <v>1290</v>
      </c>
      <c r="U894" s="16" t="n">
        <v>271</v>
      </c>
      <c r="V894" s="16">
        <f>ROUNDUP((T894+U894+2*'Read Me'!$B$13)*(1+'Read Me'!$B$12),-1)</f>
        <v/>
      </c>
      <c r="W894" s="16">
        <f>V894*N894*O894</f>
        <v/>
      </c>
      <c r="X894" s="12">
        <f>IF(LEFT(I894,2)="MV",2*N894*IF(L894="1/C",O894,1),0)</f>
        <v/>
      </c>
      <c r="Y894" s="12">
        <f>IF(OR(LEFT(K894,4)="LVAX",LEFT(K894,6)="MV15AX",LEFT(K894,4)="CTAX",LEFT(K894,2)="W|"),2*N894*O894,0)</f>
        <v/>
      </c>
      <c r="Z894" s="12" t="inlineStr"/>
      <c r="AA894" s="12">
        <f>N894*O894</f>
        <v/>
      </c>
    </row>
    <row r="895">
      <c r="A895" s="12" t="inlineStr">
        <is>
          <t>A-I-0173</t>
        </is>
      </c>
      <c r="B895" s="12" t="inlineStr">
        <is>
          <t>A</t>
        </is>
      </c>
      <c r="C895" s="12" t="inlineStr">
        <is>
          <t>Power block</t>
        </is>
      </c>
      <c r="D895" s="12" t="inlineStr">
        <is>
          <t>Analog instrument to JB JB-GSU-2-AI01: 8 x 1 pr (field cables)</t>
        </is>
      </c>
      <c r="E895" s="12" t="inlineStr">
        <is>
          <t>GSU-2</t>
        </is>
      </c>
      <c r="F895" s="12" t="inlineStr">
        <is>
          <t>GSU-2: 21/230 kV generator step-up transformer</t>
        </is>
      </c>
      <c r="G895" s="12" t="inlineStr">
        <is>
          <t>JB-GSU-2-AI01</t>
        </is>
      </c>
      <c r="H895" s="12" t="inlineStr">
        <is>
          <t>GSU-2: 21/230 kV generator step-up transformer</t>
        </is>
      </c>
      <c r="I895" s="12" t="inlineStr">
        <is>
          <t>Instrumentation</t>
        </is>
      </c>
      <c r="J895" s="12" t="inlineStr">
        <is>
          <t>Instrumentation PLTC / TC-ER 300 V, #18 twisted shielded pairs, overall shield</t>
        </is>
      </c>
      <c r="K895" s="12" t="inlineStr">
        <is>
          <t>PLTC|1 pr|16</t>
        </is>
      </c>
      <c r="L895" s="12" t="inlineStr">
        <is>
          <t>1 pr</t>
        </is>
      </c>
      <c r="M895" s="12" t="inlineStr">
        <is>
          <t>16</t>
        </is>
      </c>
      <c r="N895" s="12" t="n">
        <v>8</v>
      </c>
      <c r="O895" s="12" t="n">
        <v>1</v>
      </c>
      <c r="P895" s="12" t="n"/>
      <c r="Q895" s="12" t="n"/>
      <c r="R895" s="12" t="n"/>
      <c r="S895" s="12" t="inlineStr">
        <is>
          <t>Tray / conduit</t>
        </is>
      </c>
      <c r="T895" s="16" t="n">
        <v>83</v>
      </c>
      <c r="U895" s="16" t="n">
        <v>10</v>
      </c>
      <c r="V895" s="16">
        <f>ROUNDUP((T895+U895+2*'Read Me'!$B$13)*(1+'Read Me'!$B$12),-1)</f>
        <v/>
      </c>
      <c r="W895" s="16">
        <f>V895*N895*O895</f>
        <v/>
      </c>
      <c r="X895" s="12">
        <f>IF(LEFT(I895,2)="MV",2*N895*IF(L895="1/C",O895,1),0)</f>
        <v/>
      </c>
      <c r="Y895" s="12">
        <f>IF(OR(LEFT(K895,4)="LVAX",LEFT(K895,6)="MV15AX",LEFT(K895,4)="CTAX",LEFT(K895,2)="W|"),2*N895*O895,0)</f>
        <v/>
      </c>
      <c r="Z895" s="12" t="inlineStr">
        <is>
          <t>device-to-JB field wiring, one cable per device</t>
        </is>
      </c>
      <c r="AA895" s="12">
        <f>N895*O895</f>
        <v/>
      </c>
    </row>
    <row r="896">
      <c r="A896" s="12" t="inlineStr">
        <is>
          <t>A-I-0174</t>
        </is>
      </c>
      <c r="B896" s="12" t="inlineStr">
        <is>
          <t>A</t>
        </is>
      </c>
      <c r="C896" s="12" t="inlineStr">
        <is>
          <t>Power block</t>
        </is>
      </c>
      <c r="D896" s="12" t="inlineStr">
        <is>
          <t>Home run JB-GSU-2-AI01 to the control / marshalling room</t>
        </is>
      </c>
      <c r="E896" s="12" t="inlineStr">
        <is>
          <t>R2B</t>
        </is>
      </c>
      <c r="F896" s="12" t="inlineStr">
        <is>
          <t>R2B: unit / HRSG electrical e-house (32 x 40 ft)</t>
        </is>
      </c>
      <c r="G896" s="12" t="inlineStr">
        <is>
          <t>JB-GSU-2-AI01</t>
        </is>
      </c>
      <c r="H896" s="12" t="inlineStr">
        <is>
          <t>GSU-2: 21/230 kV generator step-up transformer</t>
        </is>
      </c>
      <c r="I896" s="12" t="inlineStr">
        <is>
          <t>Instrumentation</t>
        </is>
      </c>
      <c r="J896" s="12" t="inlineStr">
        <is>
          <t>Instrumentation PLTC / TC-ER 300 V, #18 twisted shielded pairs, overall shield</t>
        </is>
      </c>
      <c r="K896" s="12" t="inlineStr">
        <is>
          <t>PLTC|24 pr|18</t>
        </is>
      </c>
      <c r="L896" s="12" t="inlineStr">
        <is>
          <t>24 pr</t>
        </is>
      </c>
      <c r="M896" s="12" t="inlineStr">
        <is>
          <t>18</t>
        </is>
      </c>
      <c r="N896" s="12" t="n">
        <v>1</v>
      </c>
      <c r="O896" s="12" t="n">
        <v>1</v>
      </c>
      <c r="P896" s="12" t="n"/>
      <c r="Q896" s="12" t="n"/>
      <c r="R896" s="12" t="n"/>
      <c r="S896" s="12" t="inlineStr">
        <is>
          <t>Duct bank</t>
        </is>
      </c>
      <c r="T896" s="16" t="n">
        <v>1423</v>
      </c>
      <c r="U896" s="16" t="n">
        <v>113</v>
      </c>
      <c r="V896" s="16">
        <f>ROUNDUP((T896+U896+2*'Read Me'!$B$13)*(1+'Read Me'!$B$12),-1)</f>
        <v/>
      </c>
      <c r="W896" s="16">
        <f>V896*N896*O896</f>
        <v/>
      </c>
      <c r="X896" s="12">
        <f>IF(LEFT(I896,2)="MV",2*N896*IF(L896="1/C",O896,1),0)</f>
        <v/>
      </c>
      <c r="Y896" s="12">
        <f>IF(OR(LEFT(K896,4)="LVAX",LEFT(K896,6)="MV15AX",LEFT(K896,4)="CTAX",LEFT(K896,2)="W|"),2*N896*O896,0)</f>
        <v/>
      </c>
      <c r="Z896" s="12" t="inlineStr"/>
      <c r="AA896" s="12">
        <f>N896*O896</f>
        <v/>
      </c>
    </row>
    <row r="897">
      <c r="A897" s="12" t="inlineStr">
        <is>
          <t>A-I-0175</t>
        </is>
      </c>
      <c r="B897" s="12" t="inlineStr">
        <is>
          <t>A</t>
        </is>
      </c>
      <c r="C897" s="12" t="inlineStr">
        <is>
          <t>Power block</t>
        </is>
      </c>
      <c r="D897" s="12" t="inlineStr">
        <is>
          <t>Discrete device to JB JB-GSU-2-DI01: 16 x 1 pr (field cables)</t>
        </is>
      </c>
      <c r="E897" s="12" t="inlineStr">
        <is>
          <t>GSU-2</t>
        </is>
      </c>
      <c r="F897" s="12" t="inlineStr">
        <is>
          <t>GSU-2: 21/230 kV generator step-up transformer</t>
        </is>
      </c>
      <c r="G897" s="12" t="inlineStr">
        <is>
          <t>JB-GSU-2-DI01</t>
        </is>
      </c>
      <c r="H897" s="12" t="inlineStr">
        <is>
          <t>GSU-2: 21/230 kV generator step-up transformer</t>
        </is>
      </c>
      <c r="I897" s="12" t="inlineStr">
        <is>
          <t>Instrumentation</t>
        </is>
      </c>
      <c r="J897" s="12" t="inlineStr">
        <is>
          <t>Instrumentation PLTC / TC-ER 300 V, #18 twisted shielded pairs, overall shield</t>
        </is>
      </c>
      <c r="K897" s="12" t="inlineStr">
        <is>
          <t>PLTC|1 pr|16</t>
        </is>
      </c>
      <c r="L897" s="12" t="inlineStr">
        <is>
          <t>1 pr</t>
        </is>
      </c>
      <c r="M897" s="12" t="inlineStr">
        <is>
          <t>16</t>
        </is>
      </c>
      <c r="N897" s="12" t="n">
        <v>16</v>
      </c>
      <c r="O897" s="12" t="n">
        <v>1</v>
      </c>
      <c r="P897" s="12" t="n"/>
      <c r="Q897" s="12" t="n"/>
      <c r="R897" s="12" t="n"/>
      <c r="S897" s="12" t="inlineStr">
        <is>
          <t>Tray / conduit</t>
        </is>
      </c>
      <c r="T897" s="16" t="n">
        <v>83</v>
      </c>
      <c r="U897" s="16" t="n">
        <v>10</v>
      </c>
      <c r="V897" s="16">
        <f>ROUNDUP((T897+U897+2*'Read Me'!$B$13)*(1+'Read Me'!$B$12),-1)</f>
        <v/>
      </c>
      <c r="W897" s="16">
        <f>V897*N897*O897</f>
        <v/>
      </c>
      <c r="X897" s="12">
        <f>IF(LEFT(I897,2)="MV",2*N897*IF(L897="1/C",O897,1),0)</f>
        <v/>
      </c>
      <c r="Y897" s="12">
        <f>IF(OR(LEFT(K897,4)="LVAX",LEFT(K897,6)="MV15AX",LEFT(K897,4)="CTAX",LEFT(K897,2)="W|"),2*N897*O897,0)</f>
        <v/>
      </c>
      <c r="Z897" s="12" t="inlineStr">
        <is>
          <t>device-to-JB field wiring, one cable per device</t>
        </is>
      </c>
      <c r="AA897" s="12">
        <f>N897*O897</f>
        <v/>
      </c>
    </row>
    <row r="898">
      <c r="A898" s="12" t="inlineStr">
        <is>
          <t>A-I-0176</t>
        </is>
      </c>
      <c r="B898" s="12" t="inlineStr">
        <is>
          <t>A</t>
        </is>
      </c>
      <c r="C898" s="12" t="inlineStr">
        <is>
          <t>Power block</t>
        </is>
      </c>
      <c r="D898" s="12" t="inlineStr">
        <is>
          <t>Home run JB-GSU-2-DI01 to the control / marshalling room</t>
        </is>
      </c>
      <c r="E898" s="12" t="inlineStr">
        <is>
          <t>R2B</t>
        </is>
      </c>
      <c r="F898" s="12" t="inlineStr">
        <is>
          <t>R2B: unit / HRSG electrical e-house (32 x 40 ft)</t>
        </is>
      </c>
      <c r="G898" s="12" t="inlineStr">
        <is>
          <t>JB-GSU-2-DI01</t>
        </is>
      </c>
      <c r="H898" s="12" t="inlineStr">
        <is>
          <t>GSU-2: 21/230 kV generator step-up transformer</t>
        </is>
      </c>
      <c r="I898" s="12" t="inlineStr">
        <is>
          <t>Instrumentation</t>
        </is>
      </c>
      <c r="J898" s="12" t="inlineStr">
        <is>
          <t>Instrumentation PLTC / TC-ER 300 V, #18 twisted shielded pairs, overall shield</t>
        </is>
      </c>
      <c r="K898" s="12" t="inlineStr">
        <is>
          <t>PLTC|24 pr|18</t>
        </is>
      </c>
      <c r="L898" s="12" t="inlineStr">
        <is>
          <t>24 pr</t>
        </is>
      </c>
      <c r="M898" s="12" t="inlineStr">
        <is>
          <t>18</t>
        </is>
      </c>
      <c r="N898" s="12" t="n">
        <v>1</v>
      </c>
      <c r="O898" s="12" t="n">
        <v>1</v>
      </c>
      <c r="P898" s="12" t="n"/>
      <c r="Q898" s="12" t="n"/>
      <c r="R898" s="12" t="n"/>
      <c r="S898" s="12" t="inlineStr">
        <is>
          <t>Duct bank</t>
        </is>
      </c>
      <c r="T898" s="16" t="n">
        <v>1423</v>
      </c>
      <c r="U898" s="16" t="n">
        <v>113</v>
      </c>
      <c r="V898" s="16">
        <f>ROUNDUP((T898+U898+2*'Read Me'!$B$13)*(1+'Read Me'!$B$12),-1)</f>
        <v/>
      </c>
      <c r="W898" s="16">
        <f>V898*N898*O898</f>
        <v/>
      </c>
      <c r="X898" s="12">
        <f>IF(LEFT(I898,2)="MV",2*N898*IF(L898="1/C",O898,1),0)</f>
        <v/>
      </c>
      <c r="Y898" s="12">
        <f>IF(OR(LEFT(K898,4)="LVAX",LEFT(K898,6)="MV15AX",LEFT(K898,4)="CTAX",LEFT(K898,2)="W|"),2*N898*O898,0)</f>
        <v/>
      </c>
      <c r="Z898" s="12" t="inlineStr"/>
      <c r="AA898" s="12">
        <f>N898*O898</f>
        <v/>
      </c>
    </row>
    <row r="899">
      <c r="A899" s="12" t="inlineStr">
        <is>
          <t>A-I-0177</t>
        </is>
      </c>
      <c r="B899" s="12" t="inlineStr">
        <is>
          <t>A</t>
        </is>
      </c>
      <c r="C899" s="12" t="inlineStr">
        <is>
          <t>Power block</t>
        </is>
      </c>
      <c r="D899" s="12" t="inlineStr">
        <is>
          <t>Analog instrument to JB JB-GSU-3 firewall-AI01: 8 x 1 pr (field cables)</t>
        </is>
      </c>
      <c r="E899" s="12" t="inlineStr"/>
      <c r="F899" s="12" t="inlineStr">
        <is>
          <t>GSU-3 firewall</t>
        </is>
      </c>
      <c r="G899" s="12" t="inlineStr">
        <is>
          <t>JB-GSU-3 firewall-AI01</t>
        </is>
      </c>
      <c r="H899" s="12" t="inlineStr">
        <is>
          <t>GSU-3 firewall</t>
        </is>
      </c>
      <c r="I899" s="12" t="inlineStr">
        <is>
          <t>Instrumentation</t>
        </is>
      </c>
      <c r="J899" s="12" t="inlineStr">
        <is>
          <t>Instrumentation PLTC / TC-ER 300 V, #18 twisted shielded pairs, overall shield</t>
        </is>
      </c>
      <c r="K899" s="12" t="inlineStr">
        <is>
          <t>PLTC|1 pr|16</t>
        </is>
      </c>
      <c r="L899" s="12" t="inlineStr">
        <is>
          <t>1 pr</t>
        </is>
      </c>
      <c r="M899" s="12" t="inlineStr">
        <is>
          <t>16</t>
        </is>
      </c>
      <c r="N899" s="12" t="n">
        <v>8</v>
      </c>
      <c r="O899" s="12" t="n">
        <v>1</v>
      </c>
      <c r="P899" s="12" t="n"/>
      <c r="Q899" s="12" t="n"/>
      <c r="R899" s="12" t="n"/>
      <c r="S899" s="12" t="inlineStr">
        <is>
          <t>Tray / conduit</t>
        </is>
      </c>
      <c r="T899" s="16" t="n">
        <v>63</v>
      </c>
      <c r="U899" s="16" t="n">
        <v>10</v>
      </c>
      <c r="V899" s="16">
        <f>ROUNDUP((T899+U899+2*'Read Me'!$B$13)*(1+'Read Me'!$B$12),-1)</f>
        <v/>
      </c>
      <c r="W899" s="16">
        <f>V899*N899*O899</f>
        <v/>
      </c>
      <c r="X899" s="12">
        <f>IF(LEFT(I899,2)="MV",2*N899*IF(L899="1/C",O899,1),0)</f>
        <v/>
      </c>
      <c r="Y899" s="12">
        <f>IF(OR(LEFT(K899,4)="LVAX",LEFT(K899,6)="MV15AX",LEFT(K899,4)="CTAX",LEFT(K899,2)="W|"),2*N899*O899,0)</f>
        <v/>
      </c>
      <c r="Z899" s="12" t="inlineStr">
        <is>
          <t>device-to-JB field wiring, one cable per device</t>
        </is>
      </c>
      <c r="AA899" s="12">
        <f>N899*O899</f>
        <v/>
      </c>
    </row>
    <row r="900">
      <c r="A900" s="12" t="inlineStr">
        <is>
          <t>A-I-0178</t>
        </is>
      </c>
      <c r="B900" s="12" t="inlineStr">
        <is>
          <t>A</t>
        </is>
      </c>
      <c r="C900" s="12" t="inlineStr">
        <is>
          <t>Power block</t>
        </is>
      </c>
      <c r="D900" s="12" t="inlineStr">
        <is>
          <t>Home run JB-GSU-3 firewall-AI01 to the control / marshalling room</t>
        </is>
      </c>
      <c r="E900" s="12" t="inlineStr">
        <is>
          <t>R2C</t>
        </is>
      </c>
      <c r="F900" s="12" t="inlineStr">
        <is>
          <t>R2C: unit / HRSG electrical e-house (32 x 40 ft)</t>
        </is>
      </c>
      <c r="G900" s="12" t="inlineStr">
        <is>
          <t>JB-GSU-3 firewall-AI01</t>
        </is>
      </c>
      <c r="H900" s="12" t="inlineStr">
        <is>
          <t>GSU-3 firewall</t>
        </is>
      </c>
      <c r="I900" s="12" t="inlineStr">
        <is>
          <t>Instrumentation</t>
        </is>
      </c>
      <c r="J900" s="12" t="inlineStr">
        <is>
          <t>Instrumentation PLTC / TC-ER 300 V, #18 twisted shielded pairs, overall shield</t>
        </is>
      </c>
      <c r="K900" s="12" t="inlineStr">
        <is>
          <t>PLTC|24 pr|18</t>
        </is>
      </c>
      <c r="L900" s="12" t="inlineStr">
        <is>
          <t>24 pr</t>
        </is>
      </c>
      <c r="M900" s="12" t="inlineStr">
        <is>
          <t>18</t>
        </is>
      </c>
      <c r="N900" s="12" t="n">
        <v>1</v>
      </c>
      <c r="O900" s="12" t="n">
        <v>1</v>
      </c>
      <c r="P900" s="12" t="n"/>
      <c r="Q900" s="12" t="n"/>
      <c r="R900" s="12" t="n"/>
      <c r="S900" s="12" t="inlineStr">
        <is>
          <t>Duct bank</t>
        </is>
      </c>
      <c r="T900" s="16" t="n">
        <v>1140</v>
      </c>
      <c r="U900" s="16" t="n">
        <v>110</v>
      </c>
      <c r="V900" s="16">
        <f>ROUNDUP((T900+U900+2*'Read Me'!$B$13)*(1+'Read Me'!$B$12),-1)</f>
        <v/>
      </c>
      <c r="W900" s="16">
        <f>V900*N900*O900</f>
        <v/>
      </c>
      <c r="X900" s="12">
        <f>IF(LEFT(I900,2)="MV",2*N900*IF(L900="1/C",O900,1),0)</f>
        <v/>
      </c>
      <c r="Y900" s="12">
        <f>IF(OR(LEFT(K900,4)="LVAX",LEFT(K900,6)="MV15AX",LEFT(K900,4)="CTAX",LEFT(K900,2)="W|"),2*N900*O900,0)</f>
        <v/>
      </c>
      <c r="Z900" s="12" t="inlineStr"/>
      <c r="AA900" s="12">
        <f>N900*O900</f>
        <v/>
      </c>
    </row>
    <row r="901">
      <c r="A901" s="12" t="inlineStr">
        <is>
          <t>A-I-0179</t>
        </is>
      </c>
      <c r="B901" s="12" t="inlineStr">
        <is>
          <t>A</t>
        </is>
      </c>
      <c r="C901" s="12" t="inlineStr">
        <is>
          <t>Power block</t>
        </is>
      </c>
      <c r="D901" s="12" t="inlineStr">
        <is>
          <t>Discrete device to JB JB-GSU-3 firewall-DI01: 16 x 1 pr (field cables)</t>
        </is>
      </c>
      <c r="E901" s="12" t="inlineStr"/>
      <c r="F901" s="12" t="inlineStr">
        <is>
          <t>GSU-3 firewall</t>
        </is>
      </c>
      <c r="G901" s="12" t="inlineStr">
        <is>
          <t>JB-GSU-3 firewall-DI01</t>
        </is>
      </c>
      <c r="H901" s="12" t="inlineStr">
        <is>
          <t>GSU-3 firewall</t>
        </is>
      </c>
      <c r="I901" s="12" t="inlineStr">
        <is>
          <t>Instrumentation</t>
        </is>
      </c>
      <c r="J901" s="12" t="inlineStr">
        <is>
          <t>Instrumentation PLTC / TC-ER 300 V, #18 twisted shielded pairs, overall shield</t>
        </is>
      </c>
      <c r="K901" s="12" t="inlineStr">
        <is>
          <t>PLTC|1 pr|16</t>
        </is>
      </c>
      <c r="L901" s="12" t="inlineStr">
        <is>
          <t>1 pr</t>
        </is>
      </c>
      <c r="M901" s="12" t="inlineStr">
        <is>
          <t>16</t>
        </is>
      </c>
      <c r="N901" s="12" t="n">
        <v>16</v>
      </c>
      <c r="O901" s="12" t="n">
        <v>1</v>
      </c>
      <c r="P901" s="12" t="n"/>
      <c r="Q901" s="12" t="n"/>
      <c r="R901" s="12" t="n"/>
      <c r="S901" s="12" t="inlineStr">
        <is>
          <t>Tray / conduit</t>
        </is>
      </c>
      <c r="T901" s="16" t="n">
        <v>63</v>
      </c>
      <c r="U901" s="16" t="n">
        <v>10</v>
      </c>
      <c r="V901" s="16">
        <f>ROUNDUP((T901+U901+2*'Read Me'!$B$13)*(1+'Read Me'!$B$12),-1)</f>
        <v/>
      </c>
      <c r="W901" s="16">
        <f>V901*N901*O901</f>
        <v/>
      </c>
      <c r="X901" s="12">
        <f>IF(LEFT(I901,2)="MV",2*N901*IF(L901="1/C",O901,1),0)</f>
        <v/>
      </c>
      <c r="Y901" s="12">
        <f>IF(OR(LEFT(K901,4)="LVAX",LEFT(K901,6)="MV15AX",LEFT(K901,4)="CTAX",LEFT(K901,2)="W|"),2*N901*O901,0)</f>
        <v/>
      </c>
      <c r="Z901" s="12" t="inlineStr">
        <is>
          <t>device-to-JB field wiring, one cable per device</t>
        </is>
      </c>
      <c r="AA901" s="12">
        <f>N901*O901</f>
        <v/>
      </c>
    </row>
    <row r="902">
      <c r="A902" s="12" t="inlineStr">
        <is>
          <t>A-I-0180</t>
        </is>
      </c>
      <c r="B902" s="12" t="inlineStr">
        <is>
          <t>A</t>
        </is>
      </c>
      <c r="C902" s="12" t="inlineStr">
        <is>
          <t>Power block</t>
        </is>
      </c>
      <c r="D902" s="12" t="inlineStr">
        <is>
          <t>Home run JB-GSU-3 firewall-DI01 to the control / marshalling room</t>
        </is>
      </c>
      <c r="E902" s="12" t="inlineStr">
        <is>
          <t>R2C</t>
        </is>
      </c>
      <c r="F902" s="12" t="inlineStr">
        <is>
          <t>R2C: unit / HRSG electrical e-house (32 x 40 ft)</t>
        </is>
      </c>
      <c r="G902" s="12" t="inlineStr">
        <is>
          <t>JB-GSU-3 firewall-DI01</t>
        </is>
      </c>
      <c r="H902" s="12" t="inlineStr">
        <is>
          <t>GSU-3 firewall</t>
        </is>
      </c>
      <c r="I902" s="12" t="inlineStr">
        <is>
          <t>Instrumentation</t>
        </is>
      </c>
      <c r="J902" s="12" t="inlineStr">
        <is>
          <t>Instrumentation PLTC / TC-ER 300 V, #18 twisted shielded pairs, overall shield</t>
        </is>
      </c>
      <c r="K902" s="12" t="inlineStr">
        <is>
          <t>PLTC|24 pr|18</t>
        </is>
      </c>
      <c r="L902" s="12" t="inlineStr">
        <is>
          <t>24 pr</t>
        </is>
      </c>
      <c r="M902" s="12" t="inlineStr">
        <is>
          <t>18</t>
        </is>
      </c>
      <c r="N902" s="12" t="n">
        <v>1</v>
      </c>
      <c r="O902" s="12" t="n">
        <v>1</v>
      </c>
      <c r="P902" s="12" t="n"/>
      <c r="Q902" s="12" t="n"/>
      <c r="R902" s="12" t="n"/>
      <c r="S902" s="12" t="inlineStr">
        <is>
          <t>Duct bank</t>
        </is>
      </c>
      <c r="T902" s="16" t="n">
        <v>1140</v>
      </c>
      <c r="U902" s="16" t="n">
        <v>110</v>
      </c>
      <c r="V902" s="16">
        <f>ROUNDUP((T902+U902+2*'Read Me'!$B$13)*(1+'Read Me'!$B$12),-1)</f>
        <v/>
      </c>
      <c r="W902" s="16">
        <f>V902*N902*O902</f>
        <v/>
      </c>
      <c r="X902" s="12">
        <f>IF(LEFT(I902,2)="MV",2*N902*IF(L902="1/C",O902,1),0)</f>
        <v/>
      </c>
      <c r="Y902" s="12">
        <f>IF(OR(LEFT(K902,4)="LVAX",LEFT(K902,6)="MV15AX",LEFT(K902,4)="CTAX",LEFT(K902,2)="W|"),2*N902*O902,0)</f>
        <v/>
      </c>
      <c r="Z902" s="12" t="inlineStr"/>
      <c r="AA902" s="12">
        <f>N902*O902</f>
        <v/>
      </c>
    </row>
    <row r="903">
      <c r="A903" s="12" t="inlineStr">
        <is>
          <t>A-I-0181</t>
        </is>
      </c>
      <c r="B903" s="12" t="inlineStr">
        <is>
          <t>A</t>
        </is>
      </c>
      <c r="C903" s="12" t="inlineStr">
        <is>
          <t>Power block</t>
        </is>
      </c>
      <c r="D903" s="12" t="inlineStr">
        <is>
          <t>Analog instrument to JB JB-GSU-3-AI01: 8 x 1 pr (field cables)</t>
        </is>
      </c>
      <c r="E903" s="12" t="inlineStr">
        <is>
          <t>GSU-3</t>
        </is>
      </c>
      <c r="F903" s="12" t="inlineStr">
        <is>
          <t>GSU-3: 21/230 kV generator step-up transformer</t>
        </is>
      </c>
      <c r="G903" s="12" t="inlineStr">
        <is>
          <t>JB-GSU-3-AI01</t>
        </is>
      </c>
      <c r="H903" s="12" t="inlineStr">
        <is>
          <t>GSU-3: 21/230 kV generator step-up transformer</t>
        </is>
      </c>
      <c r="I903" s="12" t="inlineStr">
        <is>
          <t>Instrumentation</t>
        </is>
      </c>
      <c r="J903" s="12" t="inlineStr">
        <is>
          <t>Instrumentation PLTC / TC-ER 300 V, #18 twisted shielded pairs, overall shield</t>
        </is>
      </c>
      <c r="K903" s="12" t="inlineStr">
        <is>
          <t>PLTC|1 pr|16</t>
        </is>
      </c>
      <c r="L903" s="12" t="inlineStr">
        <is>
          <t>1 pr</t>
        </is>
      </c>
      <c r="M903" s="12" t="inlineStr">
        <is>
          <t>16</t>
        </is>
      </c>
      <c r="N903" s="12" t="n">
        <v>8</v>
      </c>
      <c r="O903" s="12" t="n">
        <v>1</v>
      </c>
      <c r="P903" s="12" t="n"/>
      <c r="Q903" s="12" t="n"/>
      <c r="R903" s="12" t="n"/>
      <c r="S903" s="12" t="inlineStr">
        <is>
          <t>Tray / conduit</t>
        </is>
      </c>
      <c r="T903" s="16" t="n">
        <v>83</v>
      </c>
      <c r="U903" s="16" t="n">
        <v>10</v>
      </c>
      <c r="V903" s="16">
        <f>ROUNDUP((T903+U903+2*'Read Me'!$B$13)*(1+'Read Me'!$B$12),-1)</f>
        <v/>
      </c>
      <c r="W903" s="16">
        <f>V903*N903*O903</f>
        <v/>
      </c>
      <c r="X903" s="12">
        <f>IF(LEFT(I903,2)="MV",2*N903*IF(L903="1/C",O903,1),0)</f>
        <v/>
      </c>
      <c r="Y903" s="12">
        <f>IF(OR(LEFT(K903,4)="LVAX",LEFT(K903,6)="MV15AX",LEFT(K903,4)="CTAX",LEFT(K903,2)="W|"),2*N903*O903,0)</f>
        <v/>
      </c>
      <c r="Z903" s="12" t="inlineStr">
        <is>
          <t>device-to-JB field wiring, one cable per device</t>
        </is>
      </c>
      <c r="AA903" s="12">
        <f>N903*O903</f>
        <v/>
      </c>
    </row>
    <row r="904">
      <c r="A904" s="12" t="inlineStr">
        <is>
          <t>A-I-0182</t>
        </is>
      </c>
      <c r="B904" s="12" t="inlineStr">
        <is>
          <t>A</t>
        </is>
      </c>
      <c r="C904" s="12" t="inlineStr">
        <is>
          <t>Power block</t>
        </is>
      </c>
      <c r="D904" s="12" t="inlineStr">
        <is>
          <t>Home run JB-GSU-3-AI01 to the control / marshalling room</t>
        </is>
      </c>
      <c r="E904" s="12" t="inlineStr">
        <is>
          <t>R2C</t>
        </is>
      </c>
      <c r="F904" s="12" t="inlineStr">
        <is>
          <t>R2C: unit / HRSG electrical e-house (32 x 40 ft)</t>
        </is>
      </c>
      <c r="G904" s="12" t="inlineStr">
        <is>
          <t>JB-GSU-3-AI01</t>
        </is>
      </c>
      <c r="H904" s="12" t="inlineStr">
        <is>
          <t>GSU-3: 21/230 kV generator step-up transformer</t>
        </is>
      </c>
      <c r="I904" s="12" t="inlineStr">
        <is>
          <t>Instrumentation</t>
        </is>
      </c>
      <c r="J904" s="12" t="inlineStr">
        <is>
          <t>Instrumentation PLTC / TC-ER 300 V, #18 twisted shielded pairs, overall shield</t>
        </is>
      </c>
      <c r="K904" s="12" t="inlineStr">
        <is>
          <t>PLTC|24 pr|18</t>
        </is>
      </c>
      <c r="L904" s="12" t="inlineStr">
        <is>
          <t>24 pr</t>
        </is>
      </c>
      <c r="M904" s="12" t="inlineStr">
        <is>
          <t>18</t>
        </is>
      </c>
      <c r="N904" s="12" t="n">
        <v>1</v>
      </c>
      <c r="O904" s="12" t="n">
        <v>1</v>
      </c>
      <c r="P904" s="12" t="n"/>
      <c r="Q904" s="12" t="n"/>
      <c r="R904" s="12" t="n"/>
      <c r="S904" s="12" t="inlineStr">
        <is>
          <t>Duct bank</t>
        </is>
      </c>
      <c r="T904" s="16" t="n">
        <v>1103</v>
      </c>
      <c r="U904" s="16" t="n">
        <v>113</v>
      </c>
      <c r="V904" s="16">
        <f>ROUNDUP((T904+U904+2*'Read Me'!$B$13)*(1+'Read Me'!$B$12),-1)</f>
        <v/>
      </c>
      <c r="W904" s="16">
        <f>V904*N904*O904</f>
        <v/>
      </c>
      <c r="X904" s="12">
        <f>IF(LEFT(I904,2)="MV",2*N904*IF(L904="1/C",O904,1),0)</f>
        <v/>
      </c>
      <c r="Y904" s="12">
        <f>IF(OR(LEFT(K904,4)="LVAX",LEFT(K904,6)="MV15AX",LEFT(K904,4)="CTAX",LEFT(K904,2)="W|"),2*N904*O904,0)</f>
        <v/>
      </c>
      <c r="Z904" s="12" t="inlineStr"/>
      <c r="AA904" s="12">
        <f>N904*O904</f>
        <v/>
      </c>
    </row>
    <row r="905">
      <c r="A905" s="12" t="inlineStr">
        <is>
          <t>A-I-0183</t>
        </is>
      </c>
      <c r="B905" s="12" t="inlineStr">
        <is>
          <t>A</t>
        </is>
      </c>
      <c r="C905" s="12" t="inlineStr">
        <is>
          <t>Power block</t>
        </is>
      </c>
      <c r="D905" s="12" t="inlineStr">
        <is>
          <t>Discrete device to JB JB-GSU-3-DI01: 16 x 1 pr (field cables)</t>
        </is>
      </c>
      <c r="E905" s="12" t="inlineStr">
        <is>
          <t>GSU-3</t>
        </is>
      </c>
      <c r="F905" s="12" t="inlineStr">
        <is>
          <t>GSU-3: 21/230 kV generator step-up transformer</t>
        </is>
      </c>
      <c r="G905" s="12" t="inlineStr">
        <is>
          <t>JB-GSU-3-DI01</t>
        </is>
      </c>
      <c r="H905" s="12" t="inlineStr">
        <is>
          <t>GSU-3: 21/230 kV generator step-up transformer</t>
        </is>
      </c>
      <c r="I905" s="12" t="inlineStr">
        <is>
          <t>Instrumentation</t>
        </is>
      </c>
      <c r="J905" s="12" t="inlineStr">
        <is>
          <t>Instrumentation PLTC / TC-ER 300 V, #18 twisted shielded pairs, overall shield</t>
        </is>
      </c>
      <c r="K905" s="12" t="inlineStr">
        <is>
          <t>PLTC|1 pr|16</t>
        </is>
      </c>
      <c r="L905" s="12" t="inlineStr">
        <is>
          <t>1 pr</t>
        </is>
      </c>
      <c r="M905" s="12" t="inlineStr">
        <is>
          <t>16</t>
        </is>
      </c>
      <c r="N905" s="12" t="n">
        <v>16</v>
      </c>
      <c r="O905" s="12" t="n">
        <v>1</v>
      </c>
      <c r="P905" s="12" t="n"/>
      <c r="Q905" s="12" t="n"/>
      <c r="R905" s="12" t="n"/>
      <c r="S905" s="12" t="inlineStr">
        <is>
          <t>Tray / conduit</t>
        </is>
      </c>
      <c r="T905" s="16" t="n">
        <v>83</v>
      </c>
      <c r="U905" s="16" t="n">
        <v>10</v>
      </c>
      <c r="V905" s="16">
        <f>ROUNDUP((T905+U905+2*'Read Me'!$B$13)*(1+'Read Me'!$B$12),-1)</f>
        <v/>
      </c>
      <c r="W905" s="16">
        <f>V905*N905*O905</f>
        <v/>
      </c>
      <c r="X905" s="12">
        <f>IF(LEFT(I905,2)="MV",2*N905*IF(L905="1/C",O905,1),0)</f>
        <v/>
      </c>
      <c r="Y905" s="12">
        <f>IF(OR(LEFT(K905,4)="LVAX",LEFT(K905,6)="MV15AX",LEFT(K905,4)="CTAX",LEFT(K905,2)="W|"),2*N905*O905,0)</f>
        <v/>
      </c>
      <c r="Z905" s="12" t="inlineStr">
        <is>
          <t>device-to-JB field wiring, one cable per device</t>
        </is>
      </c>
      <c r="AA905" s="12">
        <f>N905*O905</f>
        <v/>
      </c>
    </row>
    <row r="906">
      <c r="A906" s="12" t="inlineStr">
        <is>
          <t>A-I-0184</t>
        </is>
      </c>
      <c r="B906" s="12" t="inlineStr">
        <is>
          <t>A</t>
        </is>
      </c>
      <c r="C906" s="12" t="inlineStr">
        <is>
          <t>Power block</t>
        </is>
      </c>
      <c r="D906" s="12" t="inlineStr">
        <is>
          <t>Home run JB-GSU-3-DI01 to the control / marshalling room</t>
        </is>
      </c>
      <c r="E906" s="12" t="inlineStr">
        <is>
          <t>R2C</t>
        </is>
      </c>
      <c r="F906" s="12" t="inlineStr">
        <is>
          <t>R2C: unit / HRSG electrical e-house (32 x 40 ft)</t>
        </is>
      </c>
      <c r="G906" s="12" t="inlineStr">
        <is>
          <t>JB-GSU-3-DI01</t>
        </is>
      </c>
      <c r="H906" s="12" t="inlineStr">
        <is>
          <t>GSU-3: 21/230 kV generator step-up transformer</t>
        </is>
      </c>
      <c r="I906" s="12" t="inlineStr">
        <is>
          <t>Instrumentation</t>
        </is>
      </c>
      <c r="J906" s="12" t="inlineStr">
        <is>
          <t>Instrumentation PLTC / TC-ER 300 V, #18 twisted shielded pairs, overall shield</t>
        </is>
      </c>
      <c r="K906" s="12" t="inlineStr">
        <is>
          <t>PLTC|24 pr|18</t>
        </is>
      </c>
      <c r="L906" s="12" t="inlineStr">
        <is>
          <t>24 pr</t>
        </is>
      </c>
      <c r="M906" s="12" t="inlineStr">
        <is>
          <t>18</t>
        </is>
      </c>
      <c r="N906" s="12" t="n">
        <v>1</v>
      </c>
      <c r="O906" s="12" t="n">
        <v>1</v>
      </c>
      <c r="P906" s="12" t="n"/>
      <c r="Q906" s="12" t="n"/>
      <c r="R906" s="12" t="n"/>
      <c r="S906" s="12" t="inlineStr">
        <is>
          <t>Duct bank</t>
        </is>
      </c>
      <c r="T906" s="16" t="n">
        <v>1103</v>
      </c>
      <c r="U906" s="16" t="n">
        <v>113</v>
      </c>
      <c r="V906" s="16">
        <f>ROUNDUP((T906+U906+2*'Read Me'!$B$13)*(1+'Read Me'!$B$12),-1)</f>
        <v/>
      </c>
      <c r="W906" s="16">
        <f>V906*N906*O906</f>
        <v/>
      </c>
      <c r="X906" s="12">
        <f>IF(LEFT(I906,2)="MV",2*N906*IF(L906="1/C",O906,1),0)</f>
        <v/>
      </c>
      <c r="Y906" s="12">
        <f>IF(OR(LEFT(K906,4)="LVAX",LEFT(K906,6)="MV15AX",LEFT(K906,4)="CTAX",LEFT(K906,2)="W|"),2*N906*O906,0)</f>
        <v/>
      </c>
      <c r="Z906" s="12" t="inlineStr"/>
      <c r="AA906" s="12">
        <f>N906*O906</f>
        <v/>
      </c>
    </row>
    <row r="907">
      <c r="A907" s="12" t="inlineStr">
        <is>
          <t>A-I-0185</t>
        </is>
      </c>
      <c r="B907" s="12" t="inlineStr">
        <is>
          <t>A</t>
        </is>
      </c>
      <c r="C907" s="12" t="inlineStr">
        <is>
          <t>Power block</t>
        </is>
      </c>
      <c r="D907" s="12" t="inlineStr">
        <is>
          <t>Analog instrument to JB JB-GSU-ST firewall-AI01: 8 x 1 pr (field cables)</t>
        </is>
      </c>
      <c r="E907" s="12" t="inlineStr"/>
      <c r="F907" s="12" t="inlineStr">
        <is>
          <t>GSU-ST firewall</t>
        </is>
      </c>
      <c r="G907" s="12" t="inlineStr">
        <is>
          <t>JB-GSU-ST firewall-AI01</t>
        </is>
      </c>
      <c r="H907" s="12" t="inlineStr">
        <is>
          <t>GSU-ST firewall</t>
        </is>
      </c>
      <c r="I907" s="12" t="inlineStr">
        <is>
          <t>Instrumentation</t>
        </is>
      </c>
      <c r="J907" s="12" t="inlineStr">
        <is>
          <t>Instrumentation PLTC / TC-ER 300 V, #18 twisted shielded pairs, overall shield</t>
        </is>
      </c>
      <c r="K907" s="12" t="inlineStr">
        <is>
          <t>PLTC|1 pr|16</t>
        </is>
      </c>
      <c r="L907" s="12" t="inlineStr">
        <is>
          <t>1 pr</t>
        </is>
      </c>
      <c r="M907" s="12" t="inlineStr">
        <is>
          <t>16</t>
        </is>
      </c>
      <c r="N907" s="12" t="n">
        <v>8</v>
      </c>
      <c r="O907" s="12" t="n">
        <v>1</v>
      </c>
      <c r="P907" s="12" t="n"/>
      <c r="Q907" s="12" t="n"/>
      <c r="R907" s="12" t="n"/>
      <c r="S907" s="12" t="inlineStr">
        <is>
          <t>Tray / conduit</t>
        </is>
      </c>
      <c r="T907" s="16" t="n">
        <v>63</v>
      </c>
      <c r="U907" s="16" t="n">
        <v>10</v>
      </c>
      <c r="V907" s="16">
        <f>ROUNDUP((T907+U907+2*'Read Me'!$B$13)*(1+'Read Me'!$B$12),-1)</f>
        <v/>
      </c>
      <c r="W907" s="16">
        <f>V907*N907*O907</f>
        <v/>
      </c>
      <c r="X907" s="12">
        <f>IF(LEFT(I907,2)="MV",2*N907*IF(L907="1/C",O907,1),0)</f>
        <v/>
      </c>
      <c r="Y907" s="12">
        <f>IF(OR(LEFT(K907,4)="LVAX",LEFT(K907,6)="MV15AX",LEFT(K907,4)="CTAX",LEFT(K907,2)="W|"),2*N907*O907,0)</f>
        <v/>
      </c>
      <c r="Z907" s="12" t="inlineStr">
        <is>
          <t>device-to-JB field wiring, one cable per device</t>
        </is>
      </c>
      <c r="AA907" s="12">
        <f>N907*O907</f>
        <v/>
      </c>
    </row>
    <row r="908">
      <c r="A908" s="12" t="inlineStr">
        <is>
          <t>A-I-0186</t>
        </is>
      </c>
      <c r="B908" s="12" t="inlineStr">
        <is>
          <t>A</t>
        </is>
      </c>
      <c r="C908" s="12" t="inlineStr">
        <is>
          <t>Power block</t>
        </is>
      </c>
      <c r="D908" s="12" t="inlineStr">
        <is>
          <t>Home run JB-GSU-ST firewall-AI01 to the control / marshalling room</t>
        </is>
      </c>
      <c r="E908" s="12" t="inlineStr">
        <is>
          <t>R3</t>
        </is>
      </c>
      <c r="F908" s="12" t="inlineStr">
        <is>
          <t>R3: ST auxiliary electrical e-house (40 x 65 ft)</t>
        </is>
      </c>
      <c r="G908" s="12" t="inlineStr">
        <is>
          <t>JB-GSU-ST firewall-AI01</t>
        </is>
      </c>
      <c r="H908" s="12" t="inlineStr">
        <is>
          <t>GSU-ST firewall</t>
        </is>
      </c>
      <c r="I908" s="12" t="inlineStr">
        <is>
          <t>Instrumentation</t>
        </is>
      </c>
      <c r="J908" s="12" t="inlineStr">
        <is>
          <t>Instrumentation PLTC / TC-ER 300 V, #18 twisted shielded pairs, overall shield</t>
        </is>
      </c>
      <c r="K908" s="12" t="inlineStr">
        <is>
          <t>PLTC|24 pr|18</t>
        </is>
      </c>
      <c r="L908" s="12" t="inlineStr">
        <is>
          <t>24 pr</t>
        </is>
      </c>
      <c r="M908" s="12" t="inlineStr">
        <is>
          <t>18</t>
        </is>
      </c>
      <c r="N908" s="12" t="n">
        <v>1</v>
      </c>
      <c r="O908" s="12" t="n">
        <v>1</v>
      </c>
      <c r="P908" s="12" t="n"/>
      <c r="Q908" s="12" t="n"/>
      <c r="R908" s="12" t="n"/>
      <c r="S908" s="12" t="inlineStr">
        <is>
          <t>Duct bank</t>
        </is>
      </c>
      <c r="T908" s="16" t="n">
        <v>463</v>
      </c>
      <c r="U908" s="16" t="n">
        <v>35</v>
      </c>
      <c r="V908" s="16">
        <f>ROUNDUP((T908+U908+2*'Read Me'!$B$13)*(1+'Read Me'!$B$12),-1)</f>
        <v/>
      </c>
      <c r="W908" s="16">
        <f>V908*N908*O908</f>
        <v/>
      </c>
      <c r="X908" s="12">
        <f>IF(LEFT(I908,2)="MV",2*N908*IF(L908="1/C",O908,1),0)</f>
        <v/>
      </c>
      <c r="Y908" s="12">
        <f>IF(OR(LEFT(K908,4)="LVAX",LEFT(K908,6)="MV15AX",LEFT(K908,4)="CTAX",LEFT(K908,2)="W|"),2*N908*O908,0)</f>
        <v/>
      </c>
      <c r="Z908" s="12" t="inlineStr"/>
      <c r="AA908" s="12">
        <f>N908*O908</f>
        <v/>
      </c>
    </row>
    <row r="909">
      <c r="A909" s="12" t="inlineStr">
        <is>
          <t>A-I-0187</t>
        </is>
      </c>
      <c r="B909" s="12" t="inlineStr">
        <is>
          <t>A</t>
        </is>
      </c>
      <c r="C909" s="12" t="inlineStr">
        <is>
          <t>Power block</t>
        </is>
      </c>
      <c r="D909" s="12" t="inlineStr">
        <is>
          <t>Discrete device to JB JB-GSU-ST firewall-DI01: 16 x 1 pr (field cables)</t>
        </is>
      </c>
      <c r="E909" s="12" t="inlineStr"/>
      <c r="F909" s="12" t="inlineStr">
        <is>
          <t>GSU-ST firewall</t>
        </is>
      </c>
      <c r="G909" s="12" t="inlineStr">
        <is>
          <t>JB-GSU-ST firewall-DI01</t>
        </is>
      </c>
      <c r="H909" s="12" t="inlineStr">
        <is>
          <t>GSU-ST firewall</t>
        </is>
      </c>
      <c r="I909" s="12" t="inlineStr">
        <is>
          <t>Instrumentation</t>
        </is>
      </c>
      <c r="J909" s="12" t="inlineStr">
        <is>
          <t>Instrumentation PLTC / TC-ER 300 V, #18 twisted shielded pairs, overall shield</t>
        </is>
      </c>
      <c r="K909" s="12" t="inlineStr">
        <is>
          <t>PLTC|1 pr|16</t>
        </is>
      </c>
      <c r="L909" s="12" t="inlineStr">
        <is>
          <t>1 pr</t>
        </is>
      </c>
      <c r="M909" s="12" t="inlineStr">
        <is>
          <t>16</t>
        </is>
      </c>
      <c r="N909" s="12" t="n">
        <v>16</v>
      </c>
      <c r="O909" s="12" t="n">
        <v>1</v>
      </c>
      <c r="P909" s="12" t="n"/>
      <c r="Q909" s="12" t="n"/>
      <c r="R909" s="12" t="n"/>
      <c r="S909" s="12" t="inlineStr">
        <is>
          <t>Tray / conduit</t>
        </is>
      </c>
      <c r="T909" s="16" t="n">
        <v>63</v>
      </c>
      <c r="U909" s="16" t="n">
        <v>10</v>
      </c>
      <c r="V909" s="16">
        <f>ROUNDUP((T909+U909+2*'Read Me'!$B$13)*(1+'Read Me'!$B$12),-1)</f>
        <v/>
      </c>
      <c r="W909" s="16">
        <f>V909*N909*O909</f>
        <v/>
      </c>
      <c r="X909" s="12">
        <f>IF(LEFT(I909,2)="MV",2*N909*IF(L909="1/C",O909,1),0)</f>
        <v/>
      </c>
      <c r="Y909" s="12">
        <f>IF(OR(LEFT(K909,4)="LVAX",LEFT(K909,6)="MV15AX",LEFT(K909,4)="CTAX",LEFT(K909,2)="W|"),2*N909*O909,0)</f>
        <v/>
      </c>
      <c r="Z909" s="12" t="inlineStr">
        <is>
          <t>device-to-JB field wiring, one cable per device</t>
        </is>
      </c>
      <c r="AA909" s="12">
        <f>N909*O909</f>
        <v/>
      </c>
    </row>
    <row r="910">
      <c r="A910" s="12" t="inlineStr">
        <is>
          <t>A-I-0188</t>
        </is>
      </c>
      <c r="B910" s="12" t="inlineStr">
        <is>
          <t>A</t>
        </is>
      </c>
      <c r="C910" s="12" t="inlineStr">
        <is>
          <t>Power block</t>
        </is>
      </c>
      <c r="D910" s="12" t="inlineStr">
        <is>
          <t>Home run JB-GSU-ST firewall-DI01 to the control / marshalling room</t>
        </is>
      </c>
      <c r="E910" s="12" t="inlineStr">
        <is>
          <t>R3</t>
        </is>
      </c>
      <c r="F910" s="12" t="inlineStr">
        <is>
          <t>R3: ST auxiliary electrical e-house (40 x 65 ft)</t>
        </is>
      </c>
      <c r="G910" s="12" t="inlineStr">
        <is>
          <t>JB-GSU-ST firewall-DI01</t>
        </is>
      </c>
      <c r="H910" s="12" t="inlineStr">
        <is>
          <t>GSU-ST firewall</t>
        </is>
      </c>
      <c r="I910" s="12" t="inlineStr">
        <is>
          <t>Instrumentation</t>
        </is>
      </c>
      <c r="J910" s="12" t="inlineStr">
        <is>
          <t>Instrumentation PLTC / TC-ER 300 V, #18 twisted shielded pairs, overall shield</t>
        </is>
      </c>
      <c r="K910" s="12" t="inlineStr">
        <is>
          <t>PLTC|24 pr|18</t>
        </is>
      </c>
      <c r="L910" s="12" t="inlineStr">
        <is>
          <t>24 pr</t>
        </is>
      </c>
      <c r="M910" s="12" t="inlineStr">
        <is>
          <t>18</t>
        </is>
      </c>
      <c r="N910" s="12" t="n">
        <v>1</v>
      </c>
      <c r="O910" s="12" t="n">
        <v>1</v>
      </c>
      <c r="P910" s="12" t="n"/>
      <c r="Q910" s="12" t="n"/>
      <c r="R910" s="12" t="n"/>
      <c r="S910" s="12" t="inlineStr">
        <is>
          <t>Duct bank</t>
        </is>
      </c>
      <c r="T910" s="16" t="n">
        <v>463</v>
      </c>
      <c r="U910" s="16" t="n">
        <v>35</v>
      </c>
      <c r="V910" s="16">
        <f>ROUNDUP((T910+U910+2*'Read Me'!$B$13)*(1+'Read Me'!$B$12),-1)</f>
        <v/>
      </c>
      <c r="W910" s="16">
        <f>V910*N910*O910</f>
        <v/>
      </c>
      <c r="X910" s="12">
        <f>IF(LEFT(I910,2)="MV",2*N910*IF(L910="1/C",O910,1),0)</f>
        <v/>
      </c>
      <c r="Y910" s="12">
        <f>IF(OR(LEFT(K910,4)="LVAX",LEFT(K910,6)="MV15AX",LEFT(K910,4)="CTAX",LEFT(K910,2)="W|"),2*N910*O910,0)</f>
        <v/>
      </c>
      <c r="Z910" s="12" t="inlineStr"/>
      <c r="AA910" s="12">
        <f>N910*O910</f>
        <v/>
      </c>
    </row>
    <row r="911">
      <c r="A911" s="12" t="inlineStr">
        <is>
          <t>A-I-0189</t>
        </is>
      </c>
      <c r="B911" s="12" t="inlineStr">
        <is>
          <t>A</t>
        </is>
      </c>
      <c r="C911" s="12" t="inlineStr">
        <is>
          <t>Power block</t>
        </is>
      </c>
      <c r="D911" s="12" t="inlineStr">
        <is>
          <t>Analog instrument to JB JB-GSU-ST-AI01: 8 x 1 pr (field cables)</t>
        </is>
      </c>
      <c r="E911" s="12" t="inlineStr">
        <is>
          <t>GSU-ST</t>
        </is>
      </c>
      <c r="F911" s="12" t="inlineStr">
        <is>
          <t>GSU-ST: 21/230 kV (one ST GSU, baseline)</t>
        </is>
      </c>
      <c r="G911" s="12" t="inlineStr">
        <is>
          <t>JB-GSU-ST-AI01</t>
        </is>
      </c>
      <c r="H911" s="12" t="inlineStr">
        <is>
          <t>GSU-ST: 21/230 kV (one ST GSU, baseline)</t>
        </is>
      </c>
      <c r="I911" s="12" t="inlineStr">
        <is>
          <t>Instrumentation</t>
        </is>
      </c>
      <c r="J911" s="12" t="inlineStr">
        <is>
          <t>Instrumentation PLTC / TC-ER 300 V, #18 twisted shielded pairs, overall shield</t>
        </is>
      </c>
      <c r="K911" s="12" t="inlineStr">
        <is>
          <t>PLTC|1 pr|16</t>
        </is>
      </c>
      <c r="L911" s="12" t="inlineStr">
        <is>
          <t>1 pr</t>
        </is>
      </c>
      <c r="M911" s="12" t="inlineStr">
        <is>
          <t>16</t>
        </is>
      </c>
      <c r="N911" s="12" t="n">
        <v>8</v>
      </c>
      <c r="O911" s="12" t="n">
        <v>1</v>
      </c>
      <c r="P911" s="12" t="n"/>
      <c r="Q911" s="12" t="n"/>
      <c r="R911" s="12" t="n"/>
      <c r="S911" s="12" t="inlineStr">
        <is>
          <t>Tray / conduit</t>
        </is>
      </c>
      <c r="T911" s="16" t="n">
        <v>89</v>
      </c>
      <c r="U911" s="16" t="n">
        <v>10</v>
      </c>
      <c r="V911" s="16">
        <f>ROUNDUP((T911+U911+2*'Read Me'!$B$13)*(1+'Read Me'!$B$12),-1)</f>
        <v/>
      </c>
      <c r="W911" s="16">
        <f>V911*N911*O911</f>
        <v/>
      </c>
      <c r="X911" s="12">
        <f>IF(LEFT(I911,2)="MV",2*N911*IF(L911="1/C",O911,1),0)</f>
        <v/>
      </c>
      <c r="Y911" s="12">
        <f>IF(OR(LEFT(K911,4)="LVAX",LEFT(K911,6)="MV15AX",LEFT(K911,4)="CTAX",LEFT(K911,2)="W|"),2*N911*O911,0)</f>
        <v/>
      </c>
      <c r="Z911" s="12" t="inlineStr">
        <is>
          <t>device-to-JB field wiring, one cable per device</t>
        </is>
      </c>
      <c r="AA911" s="12">
        <f>N911*O911</f>
        <v/>
      </c>
    </row>
    <row r="912">
      <c r="A912" s="12" t="inlineStr">
        <is>
          <t>A-I-0190</t>
        </is>
      </c>
      <c r="B912" s="12" t="inlineStr">
        <is>
          <t>A</t>
        </is>
      </c>
      <c r="C912" s="12" t="inlineStr">
        <is>
          <t>Power block</t>
        </is>
      </c>
      <c r="D912" s="12" t="inlineStr">
        <is>
          <t>Home run JB-GSU-ST-AI01 to the control / marshalling room</t>
        </is>
      </c>
      <c r="E912" s="12" t="inlineStr">
        <is>
          <t>R3</t>
        </is>
      </c>
      <c r="F912" s="12" t="inlineStr">
        <is>
          <t>R3: ST auxiliary electrical e-house (40 x 65 ft)</t>
        </is>
      </c>
      <c r="G912" s="12" t="inlineStr">
        <is>
          <t>JB-GSU-ST-AI01</t>
        </is>
      </c>
      <c r="H912" s="12" t="inlineStr">
        <is>
          <t>GSU-ST: 21/230 kV (one ST GSU, baseline)</t>
        </is>
      </c>
      <c r="I912" s="12" t="inlineStr">
        <is>
          <t>Instrumentation</t>
        </is>
      </c>
      <c r="J912" s="12" t="inlineStr">
        <is>
          <t>Instrumentation PLTC / TC-ER 300 V, #18 twisted shielded pairs, overall shield</t>
        </is>
      </c>
      <c r="K912" s="12" t="inlineStr">
        <is>
          <t>PLTC|24 pr|18</t>
        </is>
      </c>
      <c r="L912" s="12" t="inlineStr">
        <is>
          <t>24 pr</t>
        </is>
      </c>
      <c r="M912" s="12" t="inlineStr">
        <is>
          <t>18</t>
        </is>
      </c>
      <c r="N912" s="12" t="n">
        <v>1</v>
      </c>
      <c r="O912" s="12" t="n">
        <v>1</v>
      </c>
      <c r="P912" s="12" t="n"/>
      <c r="Q912" s="12" t="n"/>
      <c r="R912" s="12" t="n"/>
      <c r="S912" s="12" t="inlineStr">
        <is>
          <t>Duct bank</t>
        </is>
      </c>
      <c r="T912" s="16" t="n">
        <v>408</v>
      </c>
      <c r="U912" s="16" t="n">
        <v>32</v>
      </c>
      <c r="V912" s="16">
        <f>ROUNDUP((T912+U912+2*'Read Me'!$B$13)*(1+'Read Me'!$B$12),-1)</f>
        <v/>
      </c>
      <c r="W912" s="16">
        <f>V912*N912*O912</f>
        <v/>
      </c>
      <c r="X912" s="12">
        <f>IF(LEFT(I912,2)="MV",2*N912*IF(L912="1/C",O912,1),0)</f>
        <v/>
      </c>
      <c r="Y912" s="12">
        <f>IF(OR(LEFT(K912,4)="LVAX",LEFT(K912,6)="MV15AX",LEFT(K912,4)="CTAX",LEFT(K912,2)="W|"),2*N912*O912,0)</f>
        <v/>
      </c>
      <c r="Z912" s="12" t="inlineStr"/>
      <c r="AA912" s="12">
        <f>N912*O912</f>
        <v/>
      </c>
    </row>
    <row r="913">
      <c r="A913" s="12" t="inlineStr">
        <is>
          <t>A-I-0191</t>
        </is>
      </c>
      <c r="B913" s="12" t="inlineStr">
        <is>
          <t>A</t>
        </is>
      </c>
      <c r="C913" s="12" t="inlineStr">
        <is>
          <t>Power block</t>
        </is>
      </c>
      <c r="D913" s="12" t="inlineStr">
        <is>
          <t>Discrete device to JB JB-GSU-ST-DI01: 16 x 1 pr (field cables)</t>
        </is>
      </c>
      <c r="E913" s="12" t="inlineStr">
        <is>
          <t>GSU-ST</t>
        </is>
      </c>
      <c r="F913" s="12" t="inlineStr">
        <is>
          <t>GSU-ST: 21/230 kV (one ST GSU, baseline)</t>
        </is>
      </c>
      <c r="G913" s="12" t="inlineStr">
        <is>
          <t>JB-GSU-ST-DI01</t>
        </is>
      </c>
      <c r="H913" s="12" t="inlineStr">
        <is>
          <t>GSU-ST: 21/230 kV (one ST GSU, baseline)</t>
        </is>
      </c>
      <c r="I913" s="12" t="inlineStr">
        <is>
          <t>Instrumentation</t>
        </is>
      </c>
      <c r="J913" s="12" t="inlineStr">
        <is>
          <t>Instrumentation PLTC / TC-ER 300 V, #18 twisted shielded pairs, overall shield</t>
        </is>
      </c>
      <c r="K913" s="12" t="inlineStr">
        <is>
          <t>PLTC|1 pr|16</t>
        </is>
      </c>
      <c r="L913" s="12" t="inlineStr">
        <is>
          <t>1 pr</t>
        </is>
      </c>
      <c r="M913" s="12" t="inlineStr">
        <is>
          <t>16</t>
        </is>
      </c>
      <c r="N913" s="12" t="n">
        <v>16</v>
      </c>
      <c r="O913" s="12" t="n">
        <v>1</v>
      </c>
      <c r="P913" s="12" t="n"/>
      <c r="Q913" s="12" t="n"/>
      <c r="R913" s="12" t="n"/>
      <c r="S913" s="12" t="inlineStr">
        <is>
          <t>Tray / conduit</t>
        </is>
      </c>
      <c r="T913" s="16" t="n">
        <v>89</v>
      </c>
      <c r="U913" s="16" t="n">
        <v>10</v>
      </c>
      <c r="V913" s="16">
        <f>ROUNDUP((T913+U913+2*'Read Me'!$B$13)*(1+'Read Me'!$B$12),-1)</f>
        <v/>
      </c>
      <c r="W913" s="16">
        <f>V913*N913*O913</f>
        <v/>
      </c>
      <c r="X913" s="12">
        <f>IF(LEFT(I913,2)="MV",2*N913*IF(L913="1/C",O913,1),0)</f>
        <v/>
      </c>
      <c r="Y913" s="12">
        <f>IF(OR(LEFT(K913,4)="LVAX",LEFT(K913,6)="MV15AX",LEFT(K913,4)="CTAX",LEFT(K913,2)="W|"),2*N913*O913,0)</f>
        <v/>
      </c>
      <c r="Z913" s="12" t="inlineStr">
        <is>
          <t>device-to-JB field wiring, one cable per device</t>
        </is>
      </c>
      <c r="AA913" s="12">
        <f>N913*O913</f>
        <v/>
      </c>
    </row>
    <row r="914">
      <c r="A914" s="12" t="inlineStr">
        <is>
          <t>A-I-0192</t>
        </is>
      </c>
      <c r="B914" s="12" t="inlineStr">
        <is>
          <t>A</t>
        </is>
      </c>
      <c r="C914" s="12" t="inlineStr">
        <is>
          <t>Power block</t>
        </is>
      </c>
      <c r="D914" s="12" t="inlineStr">
        <is>
          <t>Home run JB-GSU-ST-DI01 to the control / marshalling room</t>
        </is>
      </c>
      <c r="E914" s="12" t="inlineStr">
        <is>
          <t>R3</t>
        </is>
      </c>
      <c r="F914" s="12" t="inlineStr">
        <is>
          <t>R3: ST auxiliary electrical e-house (40 x 65 ft)</t>
        </is>
      </c>
      <c r="G914" s="12" t="inlineStr">
        <is>
          <t>JB-GSU-ST-DI01</t>
        </is>
      </c>
      <c r="H914" s="12" t="inlineStr">
        <is>
          <t>GSU-ST: 21/230 kV (one ST GSU, baseline)</t>
        </is>
      </c>
      <c r="I914" s="12" t="inlineStr">
        <is>
          <t>Instrumentation</t>
        </is>
      </c>
      <c r="J914" s="12" t="inlineStr">
        <is>
          <t>Instrumentation PLTC / TC-ER 300 V, #18 twisted shielded pairs, overall shield</t>
        </is>
      </c>
      <c r="K914" s="12" t="inlineStr">
        <is>
          <t>PLTC|24 pr|18</t>
        </is>
      </c>
      <c r="L914" s="12" t="inlineStr">
        <is>
          <t>24 pr</t>
        </is>
      </c>
      <c r="M914" s="12" t="inlineStr">
        <is>
          <t>18</t>
        </is>
      </c>
      <c r="N914" s="12" t="n">
        <v>1</v>
      </c>
      <c r="O914" s="12" t="n">
        <v>1</v>
      </c>
      <c r="P914" s="12" t="n"/>
      <c r="Q914" s="12" t="n"/>
      <c r="R914" s="12" t="n"/>
      <c r="S914" s="12" t="inlineStr">
        <is>
          <t>Duct bank</t>
        </is>
      </c>
      <c r="T914" s="16" t="n">
        <v>408</v>
      </c>
      <c r="U914" s="16" t="n">
        <v>32</v>
      </c>
      <c r="V914" s="16">
        <f>ROUNDUP((T914+U914+2*'Read Me'!$B$13)*(1+'Read Me'!$B$12),-1)</f>
        <v/>
      </c>
      <c r="W914" s="16">
        <f>V914*N914*O914</f>
        <v/>
      </c>
      <c r="X914" s="12">
        <f>IF(LEFT(I914,2)="MV",2*N914*IF(L914="1/C",O914,1),0)</f>
        <v/>
      </c>
      <c r="Y914" s="12">
        <f>IF(OR(LEFT(K914,4)="LVAX",LEFT(K914,6)="MV15AX",LEFT(K914,4)="CTAX",LEFT(K914,2)="W|"),2*N914*O914,0)</f>
        <v/>
      </c>
      <c r="Z914" s="12" t="inlineStr"/>
      <c r="AA914" s="12">
        <f>N914*O914</f>
        <v/>
      </c>
    </row>
    <row r="915">
      <c r="A915" s="12" t="inlineStr">
        <is>
          <t>A-I-0193</t>
        </is>
      </c>
      <c r="B915" s="12" t="inlineStr">
        <is>
          <t>A</t>
        </is>
      </c>
      <c r="C915" s="12" t="inlineStr">
        <is>
          <t>Power block</t>
        </is>
      </c>
      <c r="D915" s="12" t="inlineStr">
        <is>
          <t>Analog instrument to JB JB-GT1 aux-AI01: 20 x 1 pr (field cables)</t>
        </is>
      </c>
      <c r="E915" s="12" t="inlineStr">
        <is>
          <t>GT1 aux</t>
        </is>
      </c>
      <c r="F915" s="12" t="inlineStr">
        <is>
          <t>GT1 aux: lube oil, hydraulics, enclosure fans</t>
        </is>
      </c>
      <c r="G915" s="12" t="inlineStr">
        <is>
          <t>JB-GT1 aux-AI01</t>
        </is>
      </c>
      <c r="H915" s="12" t="inlineStr">
        <is>
          <t>GT1 aux: lube oil, hydraulics, enclosure fans</t>
        </is>
      </c>
      <c r="I915" s="12" t="inlineStr">
        <is>
          <t>Instrumentation</t>
        </is>
      </c>
      <c r="J915" s="12" t="inlineStr">
        <is>
          <t>Instrumentation ITC / PLTC, IS, #18 shielded pairs, blue jacket</t>
        </is>
      </c>
      <c r="K915" s="12" t="inlineStr">
        <is>
          <t>ITC|1 pr|16</t>
        </is>
      </c>
      <c r="L915" s="12" t="inlineStr">
        <is>
          <t>1 pr</t>
        </is>
      </c>
      <c r="M915" s="12" t="inlineStr">
        <is>
          <t>16</t>
        </is>
      </c>
      <c r="N915" s="12" t="n">
        <v>20</v>
      </c>
      <c r="O915" s="12" t="n">
        <v>1</v>
      </c>
      <c r="P915" s="12" t="n"/>
      <c r="Q915" s="12" t="n"/>
      <c r="R915" s="12" t="n"/>
      <c r="S915" s="12" t="inlineStr">
        <is>
          <t>Tray / conduit</t>
        </is>
      </c>
      <c r="T915" s="16" t="n">
        <v>62</v>
      </c>
      <c r="U915" s="16" t="n">
        <v>10</v>
      </c>
      <c r="V915" s="16">
        <f>ROUNDUP((T915+U915+2*'Read Me'!$B$13)*(1+'Read Me'!$B$12),-1)</f>
        <v/>
      </c>
      <c r="W915" s="16">
        <f>V915*N915*O915</f>
        <v/>
      </c>
      <c r="X915" s="12">
        <f>IF(LEFT(I915,2)="MV",2*N915*IF(L915="1/C",O915,1),0)</f>
        <v/>
      </c>
      <c r="Y915" s="12">
        <f>IF(OR(LEFT(K915,4)="LVAX",LEFT(K915,6)="MV15AX",LEFT(K915,4)="CTAX",LEFT(K915,2)="W|"),2*N915*O915,0)</f>
        <v/>
      </c>
      <c r="Z915" s="12" t="inlineStr">
        <is>
          <t>device-to-JB field wiring, one cable per device</t>
        </is>
      </c>
      <c r="AA915" s="12">
        <f>N915*O915</f>
        <v/>
      </c>
    </row>
    <row r="916">
      <c r="A916" s="12" t="inlineStr">
        <is>
          <t>A-I-0194</t>
        </is>
      </c>
      <c r="B916" s="12" t="inlineStr">
        <is>
          <t>A</t>
        </is>
      </c>
      <c r="C916" s="12" t="inlineStr">
        <is>
          <t>Power block</t>
        </is>
      </c>
      <c r="D916" s="12" t="inlineStr">
        <is>
          <t>Home run JB-GT1 aux-AI01 to the control / marshalling room</t>
        </is>
      </c>
      <c r="E916" s="12" t="inlineStr">
        <is>
          <t>R2A</t>
        </is>
      </c>
      <c r="F916" s="12" t="inlineStr">
        <is>
          <t>R2A: unit / HRSG electrical e-house (32 x 40 ft)</t>
        </is>
      </c>
      <c r="G916" s="12" t="inlineStr">
        <is>
          <t>JB-GT1 aux-AI01</t>
        </is>
      </c>
      <c r="H916" s="12" t="inlineStr">
        <is>
          <t>GT1 aux: lube oil, hydraulics, enclosure fans</t>
        </is>
      </c>
      <c r="I916" s="12" t="inlineStr">
        <is>
          <t>Instrumentation</t>
        </is>
      </c>
      <c r="J916" s="12" t="inlineStr">
        <is>
          <t>Instrumentation ITC / PLTC, IS, #18 shielded pairs, blue jacket</t>
        </is>
      </c>
      <c r="K916" s="12" t="inlineStr">
        <is>
          <t>ITC|24 pr|18</t>
        </is>
      </c>
      <c r="L916" s="12" t="inlineStr">
        <is>
          <t>24 pr</t>
        </is>
      </c>
      <c r="M916" s="12" t="inlineStr">
        <is>
          <t>18</t>
        </is>
      </c>
      <c r="N916" s="12" t="n">
        <v>1</v>
      </c>
      <c r="O916" s="12" t="n">
        <v>1</v>
      </c>
      <c r="P916" s="12" t="n"/>
      <c r="Q916" s="12" t="n"/>
      <c r="R916" s="12" t="n"/>
      <c r="S916" s="12" t="inlineStr">
        <is>
          <t>Tray</t>
        </is>
      </c>
      <c r="T916" s="16" t="n">
        <v>224</v>
      </c>
      <c r="U916" s="16" t="n">
        <v>119</v>
      </c>
      <c r="V916" s="16">
        <f>ROUNDUP((T916+U916+2*'Read Me'!$B$13)*(1+'Read Me'!$B$12),-1)</f>
        <v/>
      </c>
      <c r="W916" s="16">
        <f>V916*N916*O916</f>
        <v/>
      </c>
      <c r="X916" s="12">
        <f>IF(LEFT(I916,2)="MV",2*N916*IF(L916="1/C",O916,1),0)</f>
        <v/>
      </c>
      <c r="Y916" s="12">
        <f>IF(OR(LEFT(K916,4)="LVAX",LEFT(K916,6)="MV15AX",LEFT(K916,4)="CTAX",LEFT(K916,2)="W|"),2*N916*O916,0)</f>
        <v/>
      </c>
      <c r="Z916" s="12" t="inlineStr"/>
      <c r="AA916" s="12">
        <f>N916*O916</f>
        <v/>
      </c>
    </row>
    <row r="917">
      <c r="A917" s="12" t="inlineStr">
        <is>
          <t>A-I-0195</t>
        </is>
      </c>
      <c r="B917" s="12" t="inlineStr">
        <is>
          <t>A</t>
        </is>
      </c>
      <c r="C917" s="12" t="inlineStr">
        <is>
          <t>Power block</t>
        </is>
      </c>
      <c r="D917" s="12" t="inlineStr">
        <is>
          <t>Analog instrument to JB JB-GT1 aux-AI02: 20 x 1 pr (field cables)</t>
        </is>
      </c>
      <c r="E917" s="12" t="inlineStr">
        <is>
          <t>GT1 aux</t>
        </is>
      </c>
      <c r="F917" s="12" t="inlineStr">
        <is>
          <t>GT1 aux: lube oil, hydraulics, enclosure fans</t>
        </is>
      </c>
      <c r="G917" s="12" t="inlineStr">
        <is>
          <t>JB-GT1 aux-AI02</t>
        </is>
      </c>
      <c r="H917" s="12" t="inlineStr">
        <is>
          <t>GT1 aux: lube oil, hydraulics, enclosure fans</t>
        </is>
      </c>
      <c r="I917" s="12" t="inlineStr">
        <is>
          <t>Instrumentation</t>
        </is>
      </c>
      <c r="J917" s="12" t="inlineStr">
        <is>
          <t>Instrumentation ITC / PLTC, IS, #18 shielded pairs, blue jacket</t>
        </is>
      </c>
      <c r="K917" s="12" t="inlineStr">
        <is>
          <t>ITC|1 pr|16</t>
        </is>
      </c>
      <c r="L917" s="12" t="inlineStr">
        <is>
          <t>1 pr</t>
        </is>
      </c>
      <c r="M917" s="12" t="inlineStr">
        <is>
          <t>16</t>
        </is>
      </c>
      <c r="N917" s="12" t="n">
        <v>20</v>
      </c>
      <c r="O917" s="12" t="n">
        <v>1</v>
      </c>
      <c r="P917" s="12" t="n"/>
      <c r="Q917" s="12" t="n"/>
      <c r="R917" s="12" t="n"/>
      <c r="S917" s="12" t="inlineStr">
        <is>
          <t>Tray / conduit</t>
        </is>
      </c>
      <c r="T917" s="16" t="n">
        <v>62</v>
      </c>
      <c r="U917" s="16" t="n">
        <v>10</v>
      </c>
      <c r="V917" s="16">
        <f>ROUNDUP((T917+U917+2*'Read Me'!$B$13)*(1+'Read Me'!$B$12),-1)</f>
        <v/>
      </c>
      <c r="W917" s="16">
        <f>V917*N917*O917</f>
        <v/>
      </c>
      <c r="X917" s="12">
        <f>IF(LEFT(I917,2)="MV",2*N917*IF(L917="1/C",O917,1),0)</f>
        <v/>
      </c>
      <c r="Y917" s="12">
        <f>IF(OR(LEFT(K917,4)="LVAX",LEFT(K917,6)="MV15AX",LEFT(K917,4)="CTAX",LEFT(K917,2)="W|"),2*N917*O917,0)</f>
        <v/>
      </c>
      <c r="Z917" s="12" t="inlineStr">
        <is>
          <t>device-to-JB field wiring, one cable per device</t>
        </is>
      </c>
      <c r="AA917" s="12">
        <f>N917*O917</f>
        <v/>
      </c>
    </row>
    <row r="918">
      <c r="A918" s="12" t="inlineStr">
        <is>
          <t>A-I-0196</t>
        </is>
      </c>
      <c r="B918" s="12" t="inlineStr">
        <is>
          <t>A</t>
        </is>
      </c>
      <c r="C918" s="12" t="inlineStr">
        <is>
          <t>Power block</t>
        </is>
      </c>
      <c r="D918" s="12" t="inlineStr">
        <is>
          <t>Home run JB-GT1 aux-AI02 to the control / marshalling room</t>
        </is>
      </c>
      <c r="E918" s="12" t="inlineStr">
        <is>
          <t>R2A</t>
        </is>
      </c>
      <c r="F918" s="12" t="inlineStr">
        <is>
          <t>R2A: unit / HRSG electrical e-house (32 x 40 ft)</t>
        </is>
      </c>
      <c r="G918" s="12" t="inlineStr">
        <is>
          <t>JB-GT1 aux-AI02</t>
        </is>
      </c>
      <c r="H918" s="12" t="inlineStr">
        <is>
          <t>GT1 aux: lube oil, hydraulics, enclosure fans</t>
        </is>
      </c>
      <c r="I918" s="12" t="inlineStr">
        <is>
          <t>Instrumentation</t>
        </is>
      </c>
      <c r="J918" s="12" t="inlineStr">
        <is>
          <t>Instrumentation ITC / PLTC, IS, #18 shielded pairs, blue jacket</t>
        </is>
      </c>
      <c r="K918" s="12" t="inlineStr">
        <is>
          <t>ITC|24 pr|18</t>
        </is>
      </c>
      <c r="L918" s="12" t="inlineStr">
        <is>
          <t>24 pr</t>
        </is>
      </c>
      <c r="M918" s="12" t="inlineStr">
        <is>
          <t>18</t>
        </is>
      </c>
      <c r="N918" s="12" t="n">
        <v>1</v>
      </c>
      <c r="O918" s="12" t="n">
        <v>1</v>
      </c>
      <c r="P918" s="12" t="n"/>
      <c r="Q918" s="12" t="n"/>
      <c r="R918" s="12" t="n"/>
      <c r="S918" s="12" t="inlineStr">
        <is>
          <t>Tray</t>
        </is>
      </c>
      <c r="T918" s="16" t="n">
        <v>224</v>
      </c>
      <c r="U918" s="16" t="n">
        <v>119</v>
      </c>
      <c r="V918" s="16">
        <f>ROUNDUP((T918+U918+2*'Read Me'!$B$13)*(1+'Read Me'!$B$12),-1)</f>
        <v/>
      </c>
      <c r="W918" s="16">
        <f>V918*N918*O918</f>
        <v/>
      </c>
      <c r="X918" s="12">
        <f>IF(LEFT(I918,2)="MV",2*N918*IF(L918="1/C",O918,1),0)</f>
        <v/>
      </c>
      <c r="Y918" s="12">
        <f>IF(OR(LEFT(K918,4)="LVAX",LEFT(K918,6)="MV15AX",LEFT(K918,4)="CTAX",LEFT(K918,2)="W|"),2*N918*O918,0)</f>
        <v/>
      </c>
      <c r="Z918" s="12" t="inlineStr"/>
      <c r="AA918" s="12">
        <f>N918*O918</f>
        <v/>
      </c>
    </row>
    <row r="919">
      <c r="A919" s="12" t="inlineStr">
        <is>
          <t>A-I-0197</t>
        </is>
      </c>
      <c r="B919" s="12" t="inlineStr">
        <is>
          <t>A</t>
        </is>
      </c>
      <c r="C919" s="12" t="inlineStr">
        <is>
          <t>Power block</t>
        </is>
      </c>
      <c r="D919" s="12" t="inlineStr">
        <is>
          <t>Discrete device to JB JB-GT1 aux-DI01: 20 x 1 pr (field cables)</t>
        </is>
      </c>
      <c r="E919" s="12" t="inlineStr">
        <is>
          <t>GT1 aux</t>
        </is>
      </c>
      <c r="F919" s="12" t="inlineStr">
        <is>
          <t>GT1 aux: lube oil, hydraulics, enclosure fans</t>
        </is>
      </c>
      <c r="G919" s="12" t="inlineStr">
        <is>
          <t>JB-GT1 aux-DI01</t>
        </is>
      </c>
      <c r="H919" s="12" t="inlineStr">
        <is>
          <t>GT1 aux: lube oil, hydraulics, enclosure fans</t>
        </is>
      </c>
      <c r="I919" s="12" t="inlineStr">
        <is>
          <t>Instrumentation</t>
        </is>
      </c>
      <c r="J919" s="12" t="inlineStr">
        <is>
          <t>Instrumentation ITC / PLTC, IS, #18 shielded pairs, blue jacket</t>
        </is>
      </c>
      <c r="K919" s="12" t="inlineStr">
        <is>
          <t>ITC|1 pr|16</t>
        </is>
      </c>
      <c r="L919" s="12" t="inlineStr">
        <is>
          <t>1 pr</t>
        </is>
      </c>
      <c r="M919" s="12" t="inlineStr">
        <is>
          <t>16</t>
        </is>
      </c>
      <c r="N919" s="12" t="n">
        <v>20</v>
      </c>
      <c r="O919" s="12" t="n">
        <v>1</v>
      </c>
      <c r="P919" s="12" t="n"/>
      <c r="Q919" s="12" t="n"/>
      <c r="R919" s="12" t="n"/>
      <c r="S919" s="12" t="inlineStr">
        <is>
          <t>Tray / conduit</t>
        </is>
      </c>
      <c r="T919" s="16" t="n">
        <v>62</v>
      </c>
      <c r="U919" s="16" t="n">
        <v>10</v>
      </c>
      <c r="V919" s="16">
        <f>ROUNDUP((T919+U919+2*'Read Me'!$B$13)*(1+'Read Me'!$B$12),-1)</f>
        <v/>
      </c>
      <c r="W919" s="16">
        <f>V919*N919*O919</f>
        <v/>
      </c>
      <c r="X919" s="12">
        <f>IF(LEFT(I919,2)="MV",2*N919*IF(L919="1/C",O919,1),0)</f>
        <v/>
      </c>
      <c r="Y919" s="12">
        <f>IF(OR(LEFT(K919,4)="LVAX",LEFT(K919,6)="MV15AX",LEFT(K919,4)="CTAX",LEFT(K919,2)="W|"),2*N919*O919,0)</f>
        <v/>
      </c>
      <c r="Z919" s="12" t="inlineStr">
        <is>
          <t>device-to-JB field wiring, one cable per device</t>
        </is>
      </c>
      <c r="AA919" s="12">
        <f>N919*O919</f>
        <v/>
      </c>
    </row>
    <row r="920">
      <c r="A920" s="12" t="inlineStr">
        <is>
          <t>A-I-0198</t>
        </is>
      </c>
      <c r="B920" s="12" t="inlineStr">
        <is>
          <t>A</t>
        </is>
      </c>
      <c r="C920" s="12" t="inlineStr">
        <is>
          <t>Power block</t>
        </is>
      </c>
      <c r="D920" s="12" t="inlineStr">
        <is>
          <t>Home run JB-GT1 aux-DI01 to the control / marshalling room</t>
        </is>
      </c>
      <c r="E920" s="12" t="inlineStr">
        <is>
          <t>R2A</t>
        </is>
      </c>
      <c r="F920" s="12" t="inlineStr">
        <is>
          <t>R2A: unit / HRSG electrical e-house (32 x 40 ft)</t>
        </is>
      </c>
      <c r="G920" s="12" t="inlineStr">
        <is>
          <t>JB-GT1 aux-DI01</t>
        </is>
      </c>
      <c r="H920" s="12" t="inlineStr">
        <is>
          <t>GT1 aux: lube oil, hydraulics, enclosure fans</t>
        </is>
      </c>
      <c r="I920" s="12" t="inlineStr">
        <is>
          <t>Instrumentation</t>
        </is>
      </c>
      <c r="J920" s="12" t="inlineStr">
        <is>
          <t>Instrumentation ITC / PLTC, IS, #18 shielded pairs, blue jacket</t>
        </is>
      </c>
      <c r="K920" s="12" t="inlineStr">
        <is>
          <t>ITC|24 pr|18</t>
        </is>
      </c>
      <c r="L920" s="12" t="inlineStr">
        <is>
          <t>24 pr</t>
        </is>
      </c>
      <c r="M920" s="12" t="inlineStr">
        <is>
          <t>18</t>
        </is>
      </c>
      <c r="N920" s="12" t="n">
        <v>1</v>
      </c>
      <c r="O920" s="12" t="n">
        <v>1</v>
      </c>
      <c r="P920" s="12" t="n"/>
      <c r="Q920" s="12" t="n"/>
      <c r="R920" s="12" t="n"/>
      <c r="S920" s="12" t="inlineStr">
        <is>
          <t>Tray</t>
        </is>
      </c>
      <c r="T920" s="16" t="n">
        <v>224</v>
      </c>
      <c r="U920" s="16" t="n">
        <v>119</v>
      </c>
      <c r="V920" s="16">
        <f>ROUNDUP((T920+U920+2*'Read Me'!$B$13)*(1+'Read Me'!$B$12),-1)</f>
        <v/>
      </c>
      <c r="W920" s="16">
        <f>V920*N920*O920</f>
        <v/>
      </c>
      <c r="X920" s="12">
        <f>IF(LEFT(I920,2)="MV",2*N920*IF(L920="1/C",O920,1),0)</f>
        <v/>
      </c>
      <c r="Y920" s="12">
        <f>IF(OR(LEFT(K920,4)="LVAX",LEFT(K920,6)="MV15AX",LEFT(K920,4)="CTAX",LEFT(K920,2)="W|"),2*N920*O920,0)</f>
        <v/>
      </c>
      <c r="Z920" s="12" t="inlineStr"/>
      <c r="AA920" s="12">
        <f>N920*O920</f>
        <v/>
      </c>
    </row>
    <row r="921">
      <c r="A921" s="12" t="inlineStr">
        <is>
          <t>A-I-0199</t>
        </is>
      </c>
      <c r="B921" s="12" t="inlineStr">
        <is>
          <t>A</t>
        </is>
      </c>
      <c r="C921" s="12" t="inlineStr">
        <is>
          <t>Power block</t>
        </is>
      </c>
      <c r="D921" s="12" t="inlineStr">
        <is>
          <t>Discrete device to JB JB-GT1 aux-DI02: 20 x 1 pr (field cables)</t>
        </is>
      </c>
      <c r="E921" s="12" t="inlineStr">
        <is>
          <t>GT1 aux</t>
        </is>
      </c>
      <c r="F921" s="12" t="inlineStr">
        <is>
          <t>GT1 aux: lube oil, hydraulics, enclosure fans</t>
        </is>
      </c>
      <c r="G921" s="12" t="inlineStr">
        <is>
          <t>JB-GT1 aux-DI02</t>
        </is>
      </c>
      <c r="H921" s="12" t="inlineStr">
        <is>
          <t>GT1 aux: lube oil, hydraulics, enclosure fans</t>
        </is>
      </c>
      <c r="I921" s="12" t="inlineStr">
        <is>
          <t>Instrumentation</t>
        </is>
      </c>
      <c r="J921" s="12" t="inlineStr">
        <is>
          <t>Instrumentation ITC / PLTC, IS, #18 shielded pairs, blue jacket</t>
        </is>
      </c>
      <c r="K921" s="12" t="inlineStr">
        <is>
          <t>ITC|1 pr|16</t>
        </is>
      </c>
      <c r="L921" s="12" t="inlineStr">
        <is>
          <t>1 pr</t>
        </is>
      </c>
      <c r="M921" s="12" t="inlineStr">
        <is>
          <t>16</t>
        </is>
      </c>
      <c r="N921" s="12" t="n">
        <v>20</v>
      </c>
      <c r="O921" s="12" t="n">
        <v>1</v>
      </c>
      <c r="P921" s="12" t="n"/>
      <c r="Q921" s="12" t="n"/>
      <c r="R921" s="12" t="n"/>
      <c r="S921" s="12" t="inlineStr">
        <is>
          <t>Tray / conduit</t>
        </is>
      </c>
      <c r="T921" s="16" t="n">
        <v>62</v>
      </c>
      <c r="U921" s="16" t="n">
        <v>10</v>
      </c>
      <c r="V921" s="16">
        <f>ROUNDUP((T921+U921+2*'Read Me'!$B$13)*(1+'Read Me'!$B$12),-1)</f>
        <v/>
      </c>
      <c r="W921" s="16">
        <f>V921*N921*O921</f>
        <v/>
      </c>
      <c r="X921" s="12">
        <f>IF(LEFT(I921,2)="MV",2*N921*IF(L921="1/C",O921,1),0)</f>
        <v/>
      </c>
      <c r="Y921" s="12">
        <f>IF(OR(LEFT(K921,4)="LVAX",LEFT(K921,6)="MV15AX",LEFT(K921,4)="CTAX",LEFT(K921,2)="W|"),2*N921*O921,0)</f>
        <v/>
      </c>
      <c r="Z921" s="12" t="inlineStr">
        <is>
          <t>device-to-JB field wiring, one cable per device</t>
        </is>
      </c>
      <c r="AA921" s="12">
        <f>N921*O921</f>
        <v/>
      </c>
    </row>
    <row r="922">
      <c r="A922" s="12" t="inlineStr">
        <is>
          <t>A-I-0200</t>
        </is>
      </c>
      <c r="B922" s="12" t="inlineStr">
        <is>
          <t>A</t>
        </is>
      </c>
      <c r="C922" s="12" t="inlineStr">
        <is>
          <t>Power block</t>
        </is>
      </c>
      <c r="D922" s="12" t="inlineStr">
        <is>
          <t>Home run JB-GT1 aux-DI02 to the control / marshalling room</t>
        </is>
      </c>
      <c r="E922" s="12" t="inlineStr">
        <is>
          <t>R2A</t>
        </is>
      </c>
      <c r="F922" s="12" t="inlineStr">
        <is>
          <t>R2A: unit / HRSG electrical e-house (32 x 40 ft)</t>
        </is>
      </c>
      <c r="G922" s="12" t="inlineStr">
        <is>
          <t>JB-GT1 aux-DI02</t>
        </is>
      </c>
      <c r="H922" s="12" t="inlineStr">
        <is>
          <t>GT1 aux: lube oil, hydraulics, enclosure fans</t>
        </is>
      </c>
      <c r="I922" s="12" t="inlineStr">
        <is>
          <t>Instrumentation</t>
        </is>
      </c>
      <c r="J922" s="12" t="inlineStr">
        <is>
          <t>Instrumentation ITC / PLTC, IS, #18 shielded pairs, blue jacket</t>
        </is>
      </c>
      <c r="K922" s="12" t="inlineStr">
        <is>
          <t>ITC|24 pr|18</t>
        </is>
      </c>
      <c r="L922" s="12" t="inlineStr">
        <is>
          <t>24 pr</t>
        </is>
      </c>
      <c r="M922" s="12" t="inlineStr">
        <is>
          <t>18</t>
        </is>
      </c>
      <c r="N922" s="12" t="n">
        <v>1</v>
      </c>
      <c r="O922" s="12" t="n">
        <v>1</v>
      </c>
      <c r="P922" s="12" t="n"/>
      <c r="Q922" s="12" t="n"/>
      <c r="R922" s="12" t="n"/>
      <c r="S922" s="12" t="inlineStr">
        <is>
          <t>Tray</t>
        </is>
      </c>
      <c r="T922" s="16" t="n">
        <v>224</v>
      </c>
      <c r="U922" s="16" t="n">
        <v>119</v>
      </c>
      <c r="V922" s="16">
        <f>ROUNDUP((T922+U922+2*'Read Me'!$B$13)*(1+'Read Me'!$B$12),-1)</f>
        <v/>
      </c>
      <c r="W922" s="16">
        <f>V922*N922*O922</f>
        <v/>
      </c>
      <c r="X922" s="12">
        <f>IF(LEFT(I922,2)="MV",2*N922*IF(L922="1/C",O922,1),0)</f>
        <v/>
      </c>
      <c r="Y922" s="12">
        <f>IF(OR(LEFT(K922,4)="LVAX",LEFT(K922,6)="MV15AX",LEFT(K922,4)="CTAX",LEFT(K922,2)="W|"),2*N922*O922,0)</f>
        <v/>
      </c>
      <c r="Z922" s="12" t="inlineStr"/>
      <c r="AA922" s="12">
        <f>N922*O922</f>
        <v/>
      </c>
    </row>
    <row r="923">
      <c r="A923" s="12" t="inlineStr">
        <is>
          <t>A-I-0201</t>
        </is>
      </c>
      <c r="B923" s="12" t="inlineStr">
        <is>
          <t>A</t>
        </is>
      </c>
      <c r="C923" s="12" t="inlineStr">
        <is>
          <t>Power block</t>
        </is>
      </c>
      <c r="D923" s="12" t="inlineStr">
        <is>
          <t>Analog instrument to JB JB-INL-1-AI01: 6 x 1 pr (field cables)</t>
        </is>
      </c>
      <c r="E923" s="12" t="inlineStr">
        <is>
          <t>INL-1</t>
        </is>
      </c>
      <c r="F923" s="12" t="inlineStr">
        <is>
          <t>GT1 inlet duct (drop + horizontal EL 23-37)</t>
        </is>
      </c>
      <c r="G923" s="12" t="inlineStr">
        <is>
          <t>JB-INL-1-AI01</t>
        </is>
      </c>
      <c r="H923" s="12" t="inlineStr">
        <is>
          <t>GT1 inlet duct (drop + horizontal EL 23-37)</t>
        </is>
      </c>
      <c r="I923" s="12" t="inlineStr">
        <is>
          <t>Instrumentation</t>
        </is>
      </c>
      <c r="J923" s="12" t="inlineStr">
        <is>
          <t>Instrumentation ITC / PLTC, IS, #18 shielded pairs, blue jacket</t>
        </is>
      </c>
      <c r="K923" s="12" t="inlineStr">
        <is>
          <t>ITC|1 pr|16</t>
        </is>
      </c>
      <c r="L923" s="12" t="inlineStr">
        <is>
          <t>1 pr</t>
        </is>
      </c>
      <c r="M923" s="12" t="inlineStr">
        <is>
          <t>16</t>
        </is>
      </c>
      <c r="N923" s="12" t="n">
        <v>6</v>
      </c>
      <c r="O923" s="12" t="n">
        <v>1</v>
      </c>
      <c r="P923" s="12" t="n"/>
      <c r="Q923" s="12" t="n"/>
      <c r="R923" s="12" t="n"/>
      <c r="S923" s="12" t="inlineStr">
        <is>
          <t>Tray / conduit</t>
        </is>
      </c>
      <c r="T923" s="16" t="n">
        <v>132</v>
      </c>
      <c r="U923" s="16" t="n">
        <v>10</v>
      </c>
      <c r="V923" s="16">
        <f>ROUNDUP((T923+U923+2*'Read Me'!$B$13)*(1+'Read Me'!$B$12),-1)</f>
        <v/>
      </c>
      <c r="W923" s="16">
        <f>V923*N923*O923</f>
        <v/>
      </c>
      <c r="X923" s="12">
        <f>IF(LEFT(I923,2)="MV",2*N923*IF(L923="1/C",O923,1),0)</f>
        <v/>
      </c>
      <c r="Y923" s="12">
        <f>IF(OR(LEFT(K923,4)="LVAX",LEFT(K923,6)="MV15AX",LEFT(K923,4)="CTAX",LEFT(K923,2)="W|"),2*N923*O923,0)</f>
        <v/>
      </c>
      <c r="Z923" s="12" t="inlineStr">
        <is>
          <t>device-to-JB field wiring, one cable per device</t>
        </is>
      </c>
      <c r="AA923" s="12">
        <f>N923*O923</f>
        <v/>
      </c>
    </row>
    <row r="924">
      <c r="A924" s="12" t="inlineStr">
        <is>
          <t>A-I-0202</t>
        </is>
      </c>
      <c r="B924" s="12" t="inlineStr">
        <is>
          <t>A</t>
        </is>
      </c>
      <c r="C924" s="12" t="inlineStr">
        <is>
          <t>Power block</t>
        </is>
      </c>
      <c r="D924" s="12" t="inlineStr">
        <is>
          <t>Home run JB-INL-1-AI01 to the control / marshalling room</t>
        </is>
      </c>
      <c r="E924" s="12" t="inlineStr">
        <is>
          <t>R2A</t>
        </is>
      </c>
      <c r="F924" s="12" t="inlineStr">
        <is>
          <t>R2A: unit / HRSG electrical e-house (32 x 40 ft)</t>
        </is>
      </c>
      <c r="G924" s="12" t="inlineStr">
        <is>
          <t>JB-INL-1-AI01</t>
        </is>
      </c>
      <c r="H924" s="12" t="inlineStr">
        <is>
          <t>GT1 inlet duct (drop + horizontal EL 23-37)</t>
        </is>
      </c>
      <c r="I924" s="12" t="inlineStr">
        <is>
          <t>Instrumentation</t>
        </is>
      </c>
      <c r="J924" s="12" t="inlineStr">
        <is>
          <t>Instrumentation ITC / PLTC, IS, #18 shielded pairs, blue jacket</t>
        </is>
      </c>
      <c r="K924" s="12" t="inlineStr">
        <is>
          <t>ITC|24 pr|18</t>
        </is>
      </c>
      <c r="L924" s="12" t="inlineStr">
        <is>
          <t>24 pr</t>
        </is>
      </c>
      <c r="M924" s="12" t="inlineStr">
        <is>
          <t>18</t>
        </is>
      </c>
      <c r="N924" s="12" t="n">
        <v>1</v>
      </c>
      <c r="O924" s="12" t="n">
        <v>1</v>
      </c>
      <c r="P924" s="12" t="n"/>
      <c r="Q924" s="12" t="n"/>
      <c r="R924" s="12" t="n"/>
      <c r="S924" s="12" t="inlineStr">
        <is>
          <t>Tray</t>
        </is>
      </c>
      <c r="T924" s="16" t="n">
        <v>359</v>
      </c>
      <c r="U924" s="16" t="n">
        <v>109</v>
      </c>
      <c r="V924" s="16">
        <f>ROUNDUP((T924+U924+2*'Read Me'!$B$13)*(1+'Read Me'!$B$12),-1)</f>
        <v/>
      </c>
      <c r="W924" s="16">
        <f>V924*N924*O924</f>
        <v/>
      </c>
      <c r="X924" s="12">
        <f>IF(LEFT(I924,2)="MV",2*N924*IF(L924="1/C",O924,1),0)</f>
        <v/>
      </c>
      <c r="Y924" s="12">
        <f>IF(OR(LEFT(K924,4)="LVAX",LEFT(K924,6)="MV15AX",LEFT(K924,4)="CTAX",LEFT(K924,2)="W|"),2*N924*O924,0)</f>
        <v/>
      </c>
      <c r="Z924" s="12" t="inlineStr"/>
      <c r="AA924" s="12">
        <f>N924*O924</f>
        <v/>
      </c>
    </row>
    <row r="925">
      <c r="A925" s="12" t="inlineStr">
        <is>
          <t>A-I-0203</t>
        </is>
      </c>
      <c r="B925" s="12" t="inlineStr">
        <is>
          <t>A</t>
        </is>
      </c>
      <c r="C925" s="12" t="inlineStr">
        <is>
          <t>Power block</t>
        </is>
      </c>
      <c r="D925" s="12" t="inlineStr">
        <is>
          <t>Thermocouple to TC JB JB-INL-1-TC01: 4 x 1 pr (field cables)</t>
        </is>
      </c>
      <c r="E925" s="12" t="inlineStr">
        <is>
          <t>INL-1</t>
        </is>
      </c>
      <c r="F925" s="12" t="inlineStr">
        <is>
          <t>GT1 inlet duct (drop + horizontal EL 23-37)</t>
        </is>
      </c>
      <c r="G925" s="12" t="inlineStr">
        <is>
          <t>JB-INL-1-TC01</t>
        </is>
      </c>
      <c r="H925" s="12" t="inlineStr">
        <is>
          <t>GT1 inlet duct (drop + horizontal EL 23-37)</t>
        </is>
      </c>
      <c r="I925" s="12" t="inlineStr">
        <is>
          <t>Instrumentation</t>
        </is>
      </c>
      <c r="J925" s="12" t="inlineStr">
        <is>
          <t>Thermocouple extension KX, #16 shielded pairs, PLTC</t>
        </is>
      </c>
      <c r="K925" s="12" t="inlineStr">
        <is>
          <t>TCX|1 pr|16</t>
        </is>
      </c>
      <c r="L925" s="12" t="inlineStr">
        <is>
          <t>1 pr</t>
        </is>
      </c>
      <c r="M925" s="12" t="inlineStr">
        <is>
          <t>16</t>
        </is>
      </c>
      <c r="N925" s="12" t="n">
        <v>4</v>
      </c>
      <c r="O925" s="12" t="n">
        <v>1</v>
      </c>
      <c r="P925" s="12" t="n"/>
      <c r="Q925" s="12" t="n"/>
      <c r="R925" s="12" t="n"/>
      <c r="S925" s="12" t="inlineStr">
        <is>
          <t>Tray / conduit</t>
        </is>
      </c>
      <c r="T925" s="16" t="n">
        <v>132</v>
      </c>
      <c r="U925" s="16" t="n">
        <v>10</v>
      </c>
      <c r="V925" s="16">
        <f>ROUNDUP((T925+U925+2*'Read Me'!$B$13)*(1+'Read Me'!$B$12),-1)</f>
        <v/>
      </c>
      <c r="W925" s="16">
        <f>V925*N925*O925</f>
        <v/>
      </c>
      <c r="X925" s="12">
        <f>IF(LEFT(I925,2)="MV",2*N925*IF(L925="1/C",O925,1),0)</f>
        <v/>
      </c>
      <c r="Y925" s="12">
        <f>IF(OR(LEFT(K925,4)="LVAX",LEFT(K925,6)="MV15AX",LEFT(K925,4)="CTAX",LEFT(K925,2)="W|"),2*N925*O925,0)</f>
        <v/>
      </c>
      <c r="Z925" s="12" t="inlineStr">
        <is>
          <t>device-to-JB field wiring, one cable per device</t>
        </is>
      </c>
      <c r="AA925" s="12">
        <f>N925*O925</f>
        <v/>
      </c>
    </row>
    <row r="926">
      <c r="A926" s="12" t="inlineStr">
        <is>
          <t>A-I-0204</t>
        </is>
      </c>
      <c r="B926" s="12" t="inlineStr">
        <is>
          <t>A</t>
        </is>
      </c>
      <c r="C926" s="12" t="inlineStr">
        <is>
          <t>Power block</t>
        </is>
      </c>
      <c r="D926" s="12" t="inlineStr">
        <is>
          <t>Home run JB-INL-1-TC01 to the control / marshalling room</t>
        </is>
      </c>
      <c r="E926" s="12" t="inlineStr">
        <is>
          <t>R2A</t>
        </is>
      </c>
      <c r="F926" s="12" t="inlineStr">
        <is>
          <t>R2A: unit / HRSG electrical e-house (32 x 40 ft)</t>
        </is>
      </c>
      <c r="G926" s="12" t="inlineStr">
        <is>
          <t>JB-INL-1-TC01</t>
        </is>
      </c>
      <c r="H926" s="12" t="inlineStr">
        <is>
          <t>GT1 inlet duct (drop + horizontal EL 23-37)</t>
        </is>
      </c>
      <c r="I926" s="12" t="inlineStr">
        <is>
          <t>Instrumentation</t>
        </is>
      </c>
      <c r="J926" s="12" t="inlineStr">
        <is>
          <t>Thermocouple extension KX, #16 shielded pairs, PLTC</t>
        </is>
      </c>
      <c r="K926" s="12" t="inlineStr">
        <is>
          <t>TCX|24 pr|16</t>
        </is>
      </c>
      <c r="L926" s="12" t="inlineStr">
        <is>
          <t>24 pr</t>
        </is>
      </c>
      <c r="M926" s="12" t="inlineStr">
        <is>
          <t>16</t>
        </is>
      </c>
      <c r="N926" s="12" t="n">
        <v>1</v>
      </c>
      <c r="O926" s="12" t="n">
        <v>1</v>
      </c>
      <c r="P926" s="12" t="n"/>
      <c r="Q926" s="12" t="n"/>
      <c r="R926" s="12" t="n"/>
      <c r="S926" s="12" t="inlineStr">
        <is>
          <t>Tray</t>
        </is>
      </c>
      <c r="T926" s="16" t="n">
        <v>359</v>
      </c>
      <c r="U926" s="16" t="n">
        <v>109</v>
      </c>
      <c r="V926" s="16">
        <f>ROUNDUP((T926+U926+2*'Read Me'!$B$13)*(1+'Read Me'!$B$12),-1)</f>
        <v/>
      </c>
      <c r="W926" s="16">
        <f>V926*N926*O926</f>
        <v/>
      </c>
      <c r="X926" s="12">
        <f>IF(LEFT(I926,2)="MV",2*N926*IF(L926="1/C",O926,1),0)</f>
        <v/>
      </c>
      <c r="Y926" s="12">
        <f>IF(OR(LEFT(K926,4)="LVAX",LEFT(K926,6)="MV15AX",LEFT(K926,4)="CTAX",LEFT(K926,2)="W|"),2*N926*O926,0)</f>
        <v/>
      </c>
      <c r="Z926" s="12" t="inlineStr"/>
      <c r="AA926" s="12">
        <f>N926*O926</f>
        <v/>
      </c>
    </row>
    <row r="927">
      <c r="A927" s="12" t="inlineStr">
        <is>
          <t>A-I-0205</t>
        </is>
      </c>
      <c r="B927" s="12" t="inlineStr">
        <is>
          <t>A</t>
        </is>
      </c>
      <c r="C927" s="12" t="inlineStr">
        <is>
          <t>Power block</t>
        </is>
      </c>
      <c r="D927" s="12" t="inlineStr">
        <is>
          <t>Analog instrument to JB JB-GT1-AI01: 20 x 1 pr (field cables)</t>
        </is>
      </c>
      <c r="E927" s="12" t="inlineStr">
        <is>
          <t>GT1</t>
        </is>
      </c>
      <c r="F927" s="12" t="inlineStr">
        <is>
          <t>GT1: H-class gas turbine (60 Hz)</t>
        </is>
      </c>
      <c r="G927" s="12" t="inlineStr">
        <is>
          <t>JB-GT1-AI01</t>
        </is>
      </c>
      <c r="H927" s="12" t="inlineStr">
        <is>
          <t>GT1: H-class gas turbine (60 Hz)</t>
        </is>
      </c>
      <c r="I927" s="12" t="inlineStr">
        <is>
          <t>Instrumentation</t>
        </is>
      </c>
      <c r="J927" s="12" t="inlineStr">
        <is>
          <t>Instrumentation ITC / PLTC, IS, #18 shielded pairs, blue jacket</t>
        </is>
      </c>
      <c r="K927" s="12" t="inlineStr">
        <is>
          <t>ITC|1 pr|16</t>
        </is>
      </c>
      <c r="L927" s="12" t="inlineStr">
        <is>
          <t>1 pr</t>
        </is>
      </c>
      <c r="M927" s="12" t="inlineStr">
        <is>
          <t>16</t>
        </is>
      </c>
      <c r="N927" s="12" t="n">
        <v>20</v>
      </c>
      <c r="O927" s="12" t="n">
        <v>1</v>
      </c>
      <c r="P927" s="12" t="n"/>
      <c r="Q927" s="12" t="n"/>
      <c r="R927" s="12" t="n"/>
      <c r="S927" s="12" t="inlineStr">
        <is>
          <t>Tray / conduit</t>
        </is>
      </c>
      <c r="T927" s="16" t="n">
        <v>96</v>
      </c>
      <c r="U927" s="16" t="n">
        <v>10</v>
      </c>
      <c r="V927" s="16">
        <f>ROUNDUP((T927+U927+2*'Read Me'!$B$13)*(1+'Read Me'!$B$12),-1)</f>
        <v/>
      </c>
      <c r="W927" s="16">
        <f>V927*N927*O927</f>
        <v/>
      </c>
      <c r="X927" s="12">
        <f>IF(LEFT(I927,2)="MV",2*N927*IF(L927="1/C",O927,1),0)</f>
        <v/>
      </c>
      <c r="Y927" s="12">
        <f>IF(OR(LEFT(K927,4)="LVAX",LEFT(K927,6)="MV15AX",LEFT(K927,4)="CTAX",LEFT(K927,2)="W|"),2*N927*O927,0)</f>
        <v/>
      </c>
      <c r="Z927" s="12" t="inlineStr">
        <is>
          <t>device-to-JB field wiring, one cable per device</t>
        </is>
      </c>
      <c r="AA927" s="12">
        <f>N927*O927</f>
        <v/>
      </c>
    </row>
    <row r="928">
      <c r="A928" s="12" t="inlineStr">
        <is>
          <t>A-I-0206</t>
        </is>
      </c>
      <c r="B928" s="12" t="inlineStr">
        <is>
          <t>A</t>
        </is>
      </c>
      <c r="C928" s="12" t="inlineStr">
        <is>
          <t>Power block</t>
        </is>
      </c>
      <c r="D928" s="12" t="inlineStr">
        <is>
          <t>Home run JB-GT1-AI01 to the control / marshalling room</t>
        </is>
      </c>
      <c r="E928" s="12" t="inlineStr">
        <is>
          <t>R2A</t>
        </is>
      </c>
      <c r="F928" s="12" t="inlineStr">
        <is>
          <t>R2A: unit / HRSG electrical e-house (32 x 40 ft)</t>
        </is>
      </c>
      <c r="G928" s="12" t="inlineStr">
        <is>
          <t>JB-GT1-AI01</t>
        </is>
      </c>
      <c r="H928" s="12" t="inlineStr">
        <is>
          <t>GT1: H-class gas turbine (60 Hz)</t>
        </is>
      </c>
      <c r="I928" s="12" t="inlineStr">
        <is>
          <t>Instrumentation</t>
        </is>
      </c>
      <c r="J928" s="12" t="inlineStr">
        <is>
          <t>Instrumentation ITC / PLTC, IS, #18 shielded pairs, blue jacket</t>
        </is>
      </c>
      <c r="K928" s="12" t="inlineStr">
        <is>
          <t>ITC|24 pr|18</t>
        </is>
      </c>
      <c r="L928" s="12" t="inlineStr">
        <is>
          <t>24 pr</t>
        </is>
      </c>
      <c r="M928" s="12" t="inlineStr">
        <is>
          <t>18</t>
        </is>
      </c>
      <c r="N928" s="12" t="n">
        <v>1</v>
      </c>
      <c r="O928" s="12" t="n">
        <v>1</v>
      </c>
      <c r="P928" s="12" t="n"/>
      <c r="Q928" s="12" t="n"/>
      <c r="R928" s="12" t="n"/>
      <c r="S928" s="12" t="inlineStr">
        <is>
          <t>Tray</t>
        </is>
      </c>
      <c r="T928" s="16" t="n">
        <v>154</v>
      </c>
      <c r="U928" s="16" t="n">
        <v>103</v>
      </c>
      <c r="V928" s="16">
        <f>ROUNDUP((T928+U928+2*'Read Me'!$B$13)*(1+'Read Me'!$B$12),-1)</f>
        <v/>
      </c>
      <c r="W928" s="16">
        <f>V928*N928*O928</f>
        <v/>
      </c>
      <c r="X928" s="12">
        <f>IF(LEFT(I928,2)="MV",2*N928*IF(L928="1/C",O928,1),0)</f>
        <v/>
      </c>
      <c r="Y928" s="12">
        <f>IF(OR(LEFT(K928,4)="LVAX",LEFT(K928,6)="MV15AX",LEFT(K928,4)="CTAX",LEFT(K928,2)="W|"),2*N928*O928,0)</f>
        <v/>
      </c>
      <c r="Z928" s="12" t="inlineStr"/>
      <c r="AA928" s="12">
        <f>N928*O928</f>
        <v/>
      </c>
    </row>
    <row r="929">
      <c r="A929" s="12" t="inlineStr">
        <is>
          <t>A-I-0207</t>
        </is>
      </c>
      <c r="B929" s="12" t="inlineStr">
        <is>
          <t>A</t>
        </is>
      </c>
      <c r="C929" s="12" t="inlineStr">
        <is>
          <t>Power block</t>
        </is>
      </c>
      <c r="D929" s="12" t="inlineStr">
        <is>
          <t>Analog instrument to JB JB-GT1-AI02: 20 x 1 pr (field cables)</t>
        </is>
      </c>
      <c r="E929" s="12" t="inlineStr">
        <is>
          <t>GT1</t>
        </is>
      </c>
      <c r="F929" s="12" t="inlineStr">
        <is>
          <t>GT1: H-class gas turbine (60 Hz)</t>
        </is>
      </c>
      <c r="G929" s="12" t="inlineStr">
        <is>
          <t>JB-GT1-AI02</t>
        </is>
      </c>
      <c r="H929" s="12" t="inlineStr">
        <is>
          <t>GT1: H-class gas turbine (60 Hz)</t>
        </is>
      </c>
      <c r="I929" s="12" t="inlineStr">
        <is>
          <t>Instrumentation</t>
        </is>
      </c>
      <c r="J929" s="12" t="inlineStr">
        <is>
          <t>Instrumentation ITC / PLTC, IS, #18 shielded pairs, blue jacket</t>
        </is>
      </c>
      <c r="K929" s="12" t="inlineStr">
        <is>
          <t>ITC|1 pr|16</t>
        </is>
      </c>
      <c r="L929" s="12" t="inlineStr">
        <is>
          <t>1 pr</t>
        </is>
      </c>
      <c r="M929" s="12" t="inlineStr">
        <is>
          <t>16</t>
        </is>
      </c>
      <c r="N929" s="12" t="n">
        <v>20</v>
      </c>
      <c r="O929" s="12" t="n">
        <v>1</v>
      </c>
      <c r="P929" s="12" t="n"/>
      <c r="Q929" s="12" t="n"/>
      <c r="R929" s="12" t="n"/>
      <c r="S929" s="12" t="inlineStr">
        <is>
          <t>Tray / conduit</t>
        </is>
      </c>
      <c r="T929" s="16" t="n">
        <v>96</v>
      </c>
      <c r="U929" s="16" t="n">
        <v>10</v>
      </c>
      <c r="V929" s="16">
        <f>ROUNDUP((T929+U929+2*'Read Me'!$B$13)*(1+'Read Me'!$B$12),-1)</f>
        <v/>
      </c>
      <c r="W929" s="16">
        <f>V929*N929*O929</f>
        <v/>
      </c>
      <c r="X929" s="12">
        <f>IF(LEFT(I929,2)="MV",2*N929*IF(L929="1/C",O929,1),0)</f>
        <v/>
      </c>
      <c r="Y929" s="12">
        <f>IF(OR(LEFT(K929,4)="LVAX",LEFT(K929,6)="MV15AX",LEFT(K929,4)="CTAX",LEFT(K929,2)="W|"),2*N929*O929,0)</f>
        <v/>
      </c>
      <c r="Z929" s="12" t="inlineStr">
        <is>
          <t>device-to-JB field wiring, one cable per device</t>
        </is>
      </c>
      <c r="AA929" s="12">
        <f>N929*O929</f>
        <v/>
      </c>
    </row>
    <row r="930">
      <c r="A930" s="12" t="inlineStr">
        <is>
          <t>A-I-0208</t>
        </is>
      </c>
      <c r="B930" s="12" t="inlineStr">
        <is>
          <t>A</t>
        </is>
      </c>
      <c r="C930" s="12" t="inlineStr">
        <is>
          <t>Power block</t>
        </is>
      </c>
      <c r="D930" s="12" t="inlineStr">
        <is>
          <t>Home run JB-GT1-AI02 to the control / marshalling room</t>
        </is>
      </c>
      <c r="E930" s="12" t="inlineStr">
        <is>
          <t>R2A</t>
        </is>
      </c>
      <c r="F930" s="12" t="inlineStr">
        <is>
          <t>R2A: unit / HRSG electrical e-house (32 x 40 ft)</t>
        </is>
      </c>
      <c r="G930" s="12" t="inlineStr">
        <is>
          <t>JB-GT1-AI02</t>
        </is>
      </c>
      <c r="H930" s="12" t="inlineStr">
        <is>
          <t>GT1: H-class gas turbine (60 Hz)</t>
        </is>
      </c>
      <c r="I930" s="12" t="inlineStr">
        <is>
          <t>Instrumentation</t>
        </is>
      </c>
      <c r="J930" s="12" t="inlineStr">
        <is>
          <t>Instrumentation ITC / PLTC, IS, #18 shielded pairs, blue jacket</t>
        </is>
      </c>
      <c r="K930" s="12" t="inlineStr">
        <is>
          <t>ITC|24 pr|18</t>
        </is>
      </c>
      <c r="L930" s="12" t="inlineStr">
        <is>
          <t>24 pr</t>
        </is>
      </c>
      <c r="M930" s="12" t="inlineStr">
        <is>
          <t>18</t>
        </is>
      </c>
      <c r="N930" s="12" t="n">
        <v>1</v>
      </c>
      <c r="O930" s="12" t="n">
        <v>1</v>
      </c>
      <c r="P930" s="12" t="n"/>
      <c r="Q930" s="12" t="n"/>
      <c r="R930" s="12" t="n"/>
      <c r="S930" s="12" t="inlineStr">
        <is>
          <t>Tray</t>
        </is>
      </c>
      <c r="T930" s="16" t="n">
        <v>154</v>
      </c>
      <c r="U930" s="16" t="n">
        <v>103</v>
      </c>
      <c r="V930" s="16">
        <f>ROUNDUP((T930+U930+2*'Read Me'!$B$13)*(1+'Read Me'!$B$12),-1)</f>
        <v/>
      </c>
      <c r="W930" s="16">
        <f>V930*N930*O930</f>
        <v/>
      </c>
      <c r="X930" s="12">
        <f>IF(LEFT(I930,2)="MV",2*N930*IF(L930="1/C",O930,1),0)</f>
        <v/>
      </c>
      <c r="Y930" s="12">
        <f>IF(OR(LEFT(K930,4)="LVAX",LEFT(K930,6)="MV15AX",LEFT(K930,4)="CTAX",LEFT(K930,2)="W|"),2*N930*O930,0)</f>
        <v/>
      </c>
      <c r="Z930" s="12" t="inlineStr"/>
      <c r="AA930" s="12">
        <f>N930*O930</f>
        <v/>
      </c>
    </row>
    <row r="931">
      <c r="A931" s="12" t="inlineStr">
        <is>
          <t>A-I-0209</t>
        </is>
      </c>
      <c r="B931" s="12" t="inlineStr">
        <is>
          <t>A</t>
        </is>
      </c>
      <c r="C931" s="12" t="inlineStr">
        <is>
          <t>Power block</t>
        </is>
      </c>
      <c r="D931" s="12" t="inlineStr">
        <is>
          <t>Analog instrument to JB JB-GT1-AI03: 20 x 1 pr (field cables)</t>
        </is>
      </c>
      <c r="E931" s="12" t="inlineStr">
        <is>
          <t>GT1</t>
        </is>
      </c>
      <c r="F931" s="12" t="inlineStr">
        <is>
          <t>GT1: H-class gas turbine (60 Hz)</t>
        </is>
      </c>
      <c r="G931" s="12" t="inlineStr">
        <is>
          <t>JB-GT1-AI03</t>
        </is>
      </c>
      <c r="H931" s="12" t="inlineStr">
        <is>
          <t>GT1: H-class gas turbine (60 Hz)</t>
        </is>
      </c>
      <c r="I931" s="12" t="inlineStr">
        <is>
          <t>Instrumentation</t>
        </is>
      </c>
      <c r="J931" s="12" t="inlineStr">
        <is>
          <t>Instrumentation ITC / PLTC, IS, #18 shielded pairs, blue jacket</t>
        </is>
      </c>
      <c r="K931" s="12" t="inlineStr">
        <is>
          <t>ITC|1 pr|16</t>
        </is>
      </c>
      <c r="L931" s="12" t="inlineStr">
        <is>
          <t>1 pr</t>
        </is>
      </c>
      <c r="M931" s="12" t="inlineStr">
        <is>
          <t>16</t>
        </is>
      </c>
      <c r="N931" s="12" t="n">
        <v>20</v>
      </c>
      <c r="O931" s="12" t="n">
        <v>1</v>
      </c>
      <c r="P931" s="12" t="n"/>
      <c r="Q931" s="12" t="n"/>
      <c r="R931" s="12" t="n"/>
      <c r="S931" s="12" t="inlineStr">
        <is>
          <t>Tray / conduit</t>
        </is>
      </c>
      <c r="T931" s="16" t="n">
        <v>96</v>
      </c>
      <c r="U931" s="16" t="n">
        <v>10</v>
      </c>
      <c r="V931" s="16">
        <f>ROUNDUP((T931+U931+2*'Read Me'!$B$13)*(1+'Read Me'!$B$12),-1)</f>
        <v/>
      </c>
      <c r="W931" s="16">
        <f>V931*N931*O931</f>
        <v/>
      </c>
      <c r="X931" s="12">
        <f>IF(LEFT(I931,2)="MV",2*N931*IF(L931="1/C",O931,1),0)</f>
        <v/>
      </c>
      <c r="Y931" s="12">
        <f>IF(OR(LEFT(K931,4)="LVAX",LEFT(K931,6)="MV15AX",LEFT(K931,4)="CTAX",LEFT(K931,2)="W|"),2*N931*O931,0)</f>
        <v/>
      </c>
      <c r="Z931" s="12" t="inlineStr">
        <is>
          <t>device-to-JB field wiring, one cable per device</t>
        </is>
      </c>
      <c r="AA931" s="12">
        <f>N931*O931</f>
        <v/>
      </c>
    </row>
    <row r="932">
      <c r="A932" s="12" t="inlineStr">
        <is>
          <t>A-I-0210</t>
        </is>
      </c>
      <c r="B932" s="12" t="inlineStr">
        <is>
          <t>A</t>
        </is>
      </c>
      <c r="C932" s="12" t="inlineStr">
        <is>
          <t>Power block</t>
        </is>
      </c>
      <c r="D932" s="12" t="inlineStr">
        <is>
          <t>Home run JB-GT1-AI03 to the control / marshalling room</t>
        </is>
      </c>
      <c r="E932" s="12" t="inlineStr">
        <is>
          <t>R2A</t>
        </is>
      </c>
      <c r="F932" s="12" t="inlineStr">
        <is>
          <t>R2A: unit / HRSG electrical e-house (32 x 40 ft)</t>
        </is>
      </c>
      <c r="G932" s="12" t="inlineStr">
        <is>
          <t>JB-GT1-AI03</t>
        </is>
      </c>
      <c r="H932" s="12" t="inlineStr">
        <is>
          <t>GT1: H-class gas turbine (60 Hz)</t>
        </is>
      </c>
      <c r="I932" s="12" t="inlineStr">
        <is>
          <t>Instrumentation</t>
        </is>
      </c>
      <c r="J932" s="12" t="inlineStr">
        <is>
          <t>Instrumentation ITC / PLTC, IS, #18 shielded pairs, blue jacket</t>
        </is>
      </c>
      <c r="K932" s="12" t="inlineStr">
        <is>
          <t>ITC|24 pr|18</t>
        </is>
      </c>
      <c r="L932" s="12" t="inlineStr">
        <is>
          <t>24 pr</t>
        </is>
      </c>
      <c r="M932" s="12" t="inlineStr">
        <is>
          <t>18</t>
        </is>
      </c>
      <c r="N932" s="12" t="n">
        <v>1</v>
      </c>
      <c r="O932" s="12" t="n">
        <v>1</v>
      </c>
      <c r="P932" s="12" t="n"/>
      <c r="Q932" s="12" t="n"/>
      <c r="R932" s="12" t="n"/>
      <c r="S932" s="12" t="inlineStr">
        <is>
          <t>Tray</t>
        </is>
      </c>
      <c r="T932" s="16" t="n">
        <v>154</v>
      </c>
      <c r="U932" s="16" t="n">
        <v>103</v>
      </c>
      <c r="V932" s="16">
        <f>ROUNDUP((T932+U932+2*'Read Me'!$B$13)*(1+'Read Me'!$B$12),-1)</f>
        <v/>
      </c>
      <c r="W932" s="16">
        <f>V932*N932*O932</f>
        <v/>
      </c>
      <c r="X932" s="12">
        <f>IF(LEFT(I932,2)="MV",2*N932*IF(L932="1/C",O932,1),0)</f>
        <v/>
      </c>
      <c r="Y932" s="12">
        <f>IF(OR(LEFT(K932,4)="LVAX",LEFT(K932,6)="MV15AX",LEFT(K932,4)="CTAX",LEFT(K932,2)="W|"),2*N932*O932,0)</f>
        <v/>
      </c>
      <c r="Z932" s="12" t="inlineStr"/>
      <c r="AA932" s="12">
        <f>N932*O932</f>
        <v/>
      </c>
    </row>
    <row r="933">
      <c r="A933" s="12" t="inlineStr">
        <is>
          <t>A-I-0211</t>
        </is>
      </c>
      <c r="B933" s="12" t="inlineStr">
        <is>
          <t>A</t>
        </is>
      </c>
      <c r="C933" s="12" t="inlineStr">
        <is>
          <t>Power block</t>
        </is>
      </c>
      <c r="D933" s="12" t="inlineStr">
        <is>
          <t>Analog instrument to JB JB-GT1-AI04: 20 x 1 pr (field cables)</t>
        </is>
      </c>
      <c r="E933" s="12" t="inlineStr">
        <is>
          <t>GT1</t>
        </is>
      </c>
      <c r="F933" s="12" t="inlineStr">
        <is>
          <t>GT1: H-class gas turbine (60 Hz)</t>
        </is>
      </c>
      <c r="G933" s="12" t="inlineStr">
        <is>
          <t>JB-GT1-AI04</t>
        </is>
      </c>
      <c r="H933" s="12" t="inlineStr">
        <is>
          <t>GT1: H-class gas turbine (60 Hz)</t>
        </is>
      </c>
      <c r="I933" s="12" t="inlineStr">
        <is>
          <t>Instrumentation</t>
        </is>
      </c>
      <c r="J933" s="12" t="inlineStr">
        <is>
          <t>Instrumentation ITC / PLTC, IS, #18 shielded pairs, blue jacket</t>
        </is>
      </c>
      <c r="K933" s="12" t="inlineStr">
        <is>
          <t>ITC|1 pr|16</t>
        </is>
      </c>
      <c r="L933" s="12" t="inlineStr">
        <is>
          <t>1 pr</t>
        </is>
      </c>
      <c r="M933" s="12" t="inlineStr">
        <is>
          <t>16</t>
        </is>
      </c>
      <c r="N933" s="12" t="n">
        <v>20</v>
      </c>
      <c r="O933" s="12" t="n">
        <v>1</v>
      </c>
      <c r="P933" s="12" t="n"/>
      <c r="Q933" s="12" t="n"/>
      <c r="R933" s="12" t="n"/>
      <c r="S933" s="12" t="inlineStr">
        <is>
          <t>Tray / conduit</t>
        </is>
      </c>
      <c r="T933" s="16" t="n">
        <v>96</v>
      </c>
      <c r="U933" s="16" t="n">
        <v>10</v>
      </c>
      <c r="V933" s="16">
        <f>ROUNDUP((T933+U933+2*'Read Me'!$B$13)*(1+'Read Me'!$B$12),-1)</f>
        <v/>
      </c>
      <c r="W933" s="16">
        <f>V933*N933*O933</f>
        <v/>
      </c>
      <c r="X933" s="12">
        <f>IF(LEFT(I933,2)="MV",2*N933*IF(L933="1/C",O933,1),0)</f>
        <v/>
      </c>
      <c r="Y933" s="12">
        <f>IF(OR(LEFT(K933,4)="LVAX",LEFT(K933,6)="MV15AX",LEFT(K933,4)="CTAX",LEFT(K933,2)="W|"),2*N933*O933,0)</f>
        <v/>
      </c>
      <c r="Z933" s="12" t="inlineStr">
        <is>
          <t>device-to-JB field wiring, one cable per device</t>
        </is>
      </c>
      <c r="AA933" s="12">
        <f>N933*O933</f>
        <v/>
      </c>
    </row>
    <row r="934">
      <c r="A934" s="12" t="inlineStr">
        <is>
          <t>A-I-0212</t>
        </is>
      </c>
      <c r="B934" s="12" t="inlineStr">
        <is>
          <t>A</t>
        </is>
      </c>
      <c r="C934" s="12" t="inlineStr">
        <is>
          <t>Power block</t>
        </is>
      </c>
      <c r="D934" s="12" t="inlineStr">
        <is>
          <t>Home run JB-GT1-AI04 to the control / marshalling room</t>
        </is>
      </c>
      <c r="E934" s="12" t="inlineStr">
        <is>
          <t>R2A</t>
        </is>
      </c>
      <c r="F934" s="12" t="inlineStr">
        <is>
          <t>R2A: unit / HRSG electrical e-house (32 x 40 ft)</t>
        </is>
      </c>
      <c r="G934" s="12" t="inlineStr">
        <is>
          <t>JB-GT1-AI04</t>
        </is>
      </c>
      <c r="H934" s="12" t="inlineStr">
        <is>
          <t>GT1: H-class gas turbine (60 Hz)</t>
        </is>
      </c>
      <c r="I934" s="12" t="inlineStr">
        <is>
          <t>Instrumentation</t>
        </is>
      </c>
      <c r="J934" s="12" t="inlineStr">
        <is>
          <t>Instrumentation ITC / PLTC, IS, #18 shielded pairs, blue jacket</t>
        </is>
      </c>
      <c r="K934" s="12" t="inlineStr">
        <is>
          <t>ITC|24 pr|18</t>
        </is>
      </c>
      <c r="L934" s="12" t="inlineStr">
        <is>
          <t>24 pr</t>
        </is>
      </c>
      <c r="M934" s="12" t="inlineStr">
        <is>
          <t>18</t>
        </is>
      </c>
      <c r="N934" s="12" t="n">
        <v>1</v>
      </c>
      <c r="O934" s="12" t="n">
        <v>1</v>
      </c>
      <c r="P934" s="12" t="n"/>
      <c r="Q934" s="12" t="n"/>
      <c r="R934" s="12" t="n"/>
      <c r="S934" s="12" t="inlineStr">
        <is>
          <t>Tray</t>
        </is>
      </c>
      <c r="T934" s="16" t="n">
        <v>154</v>
      </c>
      <c r="U934" s="16" t="n">
        <v>103</v>
      </c>
      <c r="V934" s="16">
        <f>ROUNDUP((T934+U934+2*'Read Me'!$B$13)*(1+'Read Me'!$B$12),-1)</f>
        <v/>
      </c>
      <c r="W934" s="16">
        <f>V934*N934*O934</f>
        <v/>
      </c>
      <c r="X934" s="12">
        <f>IF(LEFT(I934,2)="MV",2*N934*IF(L934="1/C",O934,1),0)</f>
        <v/>
      </c>
      <c r="Y934" s="12">
        <f>IF(OR(LEFT(K934,4)="LVAX",LEFT(K934,6)="MV15AX",LEFT(K934,4)="CTAX",LEFT(K934,2)="W|"),2*N934*O934,0)</f>
        <v/>
      </c>
      <c r="Z934" s="12" t="inlineStr"/>
      <c r="AA934" s="12">
        <f>N934*O934</f>
        <v/>
      </c>
    </row>
    <row r="935">
      <c r="A935" s="12" t="inlineStr">
        <is>
          <t>A-I-0213</t>
        </is>
      </c>
      <c r="B935" s="12" t="inlineStr">
        <is>
          <t>A</t>
        </is>
      </c>
      <c r="C935" s="12" t="inlineStr">
        <is>
          <t>Power block</t>
        </is>
      </c>
      <c r="D935" s="12" t="inlineStr">
        <is>
          <t>Analog instrument to JB JB-GT1-AI05: 20 x 1 pr (field cables)</t>
        </is>
      </c>
      <c r="E935" s="12" t="inlineStr">
        <is>
          <t>GT1</t>
        </is>
      </c>
      <c r="F935" s="12" t="inlineStr">
        <is>
          <t>GT1: H-class gas turbine (60 Hz)</t>
        </is>
      </c>
      <c r="G935" s="12" t="inlineStr">
        <is>
          <t>JB-GT1-AI05</t>
        </is>
      </c>
      <c r="H935" s="12" t="inlineStr">
        <is>
          <t>GT1: H-class gas turbine (60 Hz)</t>
        </is>
      </c>
      <c r="I935" s="12" t="inlineStr">
        <is>
          <t>Instrumentation</t>
        </is>
      </c>
      <c r="J935" s="12" t="inlineStr">
        <is>
          <t>Instrumentation ITC / PLTC, IS, #18 shielded pairs, blue jacket</t>
        </is>
      </c>
      <c r="K935" s="12" t="inlineStr">
        <is>
          <t>ITC|1 pr|16</t>
        </is>
      </c>
      <c r="L935" s="12" t="inlineStr">
        <is>
          <t>1 pr</t>
        </is>
      </c>
      <c r="M935" s="12" t="inlineStr">
        <is>
          <t>16</t>
        </is>
      </c>
      <c r="N935" s="12" t="n">
        <v>20</v>
      </c>
      <c r="O935" s="12" t="n">
        <v>1</v>
      </c>
      <c r="P935" s="12" t="n"/>
      <c r="Q935" s="12" t="n"/>
      <c r="R935" s="12" t="n"/>
      <c r="S935" s="12" t="inlineStr">
        <is>
          <t>Tray / conduit</t>
        </is>
      </c>
      <c r="T935" s="16" t="n">
        <v>96</v>
      </c>
      <c r="U935" s="16" t="n">
        <v>10</v>
      </c>
      <c r="V935" s="16">
        <f>ROUNDUP((T935+U935+2*'Read Me'!$B$13)*(1+'Read Me'!$B$12),-1)</f>
        <v/>
      </c>
      <c r="W935" s="16">
        <f>V935*N935*O935</f>
        <v/>
      </c>
      <c r="X935" s="12">
        <f>IF(LEFT(I935,2)="MV",2*N935*IF(L935="1/C",O935,1),0)</f>
        <v/>
      </c>
      <c r="Y935" s="12">
        <f>IF(OR(LEFT(K935,4)="LVAX",LEFT(K935,6)="MV15AX",LEFT(K935,4)="CTAX",LEFT(K935,2)="W|"),2*N935*O935,0)</f>
        <v/>
      </c>
      <c r="Z935" s="12" t="inlineStr">
        <is>
          <t>device-to-JB field wiring, one cable per device</t>
        </is>
      </c>
      <c r="AA935" s="12">
        <f>N935*O935</f>
        <v/>
      </c>
    </row>
    <row r="936">
      <c r="A936" s="12" t="inlineStr">
        <is>
          <t>A-I-0214</t>
        </is>
      </c>
      <c r="B936" s="12" t="inlineStr">
        <is>
          <t>A</t>
        </is>
      </c>
      <c r="C936" s="12" t="inlineStr">
        <is>
          <t>Power block</t>
        </is>
      </c>
      <c r="D936" s="12" t="inlineStr">
        <is>
          <t>Home run JB-GT1-AI05 to the control / marshalling room</t>
        </is>
      </c>
      <c r="E936" s="12" t="inlineStr">
        <is>
          <t>R2A</t>
        </is>
      </c>
      <c r="F936" s="12" t="inlineStr">
        <is>
          <t>R2A: unit / HRSG electrical e-house (32 x 40 ft)</t>
        </is>
      </c>
      <c r="G936" s="12" t="inlineStr">
        <is>
          <t>JB-GT1-AI05</t>
        </is>
      </c>
      <c r="H936" s="12" t="inlineStr">
        <is>
          <t>GT1: H-class gas turbine (60 Hz)</t>
        </is>
      </c>
      <c r="I936" s="12" t="inlineStr">
        <is>
          <t>Instrumentation</t>
        </is>
      </c>
      <c r="J936" s="12" t="inlineStr">
        <is>
          <t>Instrumentation ITC / PLTC, IS, #18 shielded pairs, blue jacket</t>
        </is>
      </c>
      <c r="K936" s="12" t="inlineStr">
        <is>
          <t>ITC|24 pr|18</t>
        </is>
      </c>
      <c r="L936" s="12" t="inlineStr">
        <is>
          <t>24 pr</t>
        </is>
      </c>
      <c r="M936" s="12" t="inlineStr">
        <is>
          <t>18</t>
        </is>
      </c>
      <c r="N936" s="12" t="n">
        <v>1</v>
      </c>
      <c r="O936" s="12" t="n">
        <v>1</v>
      </c>
      <c r="P936" s="12" t="n"/>
      <c r="Q936" s="12" t="n"/>
      <c r="R936" s="12" t="n"/>
      <c r="S936" s="12" t="inlineStr">
        <is>
          <t>Tray</t>
        </is>
      </c>
      <c r="T936" s="16" t="n">
        <v>154</v>
      </c>
      <c r="U936" s="16" t="n">
        <v>103</v>
      </c>
      <c r="V936" s="16">
        <f>ROUNDUP((T936+U936+2*'Read Me'!$B$13)*(1+'Read Me'!$B$12),-1)</f>
        <v/>
      </c>
      <c r="W936" s="16">
        <f>V936*N936*O936</f>
        <v/>
      </c>
      <c r="X936" s="12">
        <f>IF(LEFT(I936,2)="MV",2*N936*IF(L936="1/C",O936,1),0)</f>
        <v/>
      </c>
      <c r="Y936" s="12">
        <f>IF(OR(LEFT(K936,4)="LVAX",LEFT(K936,6)="MV15AX",LEFT(K936,4)="CTAX",LEFT(K936,2)="W|"),2*N936*O936,0)</f>
        <v/>
      </c>
      <c r="Z936" s="12" t="inlineStr"/>
      <c r="AA936" s="12">
        <f>N936*O936</f>
        <v/>
      </c>
    </row>
    <row r="937">
      <c r="A937" s="12" t="inlineStr">
        <is>
          <t>A-I-0215</t>
        </is>
      </c>
      <c r="B937" s="12" t="inlineStr">
        <is>
          <t>A</t>
        </is>
      </c>
      <c r="C937" s="12" t="inlineStr">
        <is>
          <t>Power block</t>
        </is>
      </c>
      <c r="D937" s="12" t="inlineStr">
        <is>
          <t>Analog instrument to JB JB-GT1-AI06: 20 x 1 pr (field cables)</t>
        </is>
      </c>
      <c r="E937" s="12" t="inlineStr">
        <is>
          <t>GT1</t>
        </is>
      </c>
      <c r="F937" s="12" t="inlineStr">
        <is>
          <t>GT1: H-class gas turbine (60 Hz)</t>
        </is>
      </c>
      <c r="G937" s="12" t="inlineStr">
        <is>
          <t>JB-GT1-AI06</t>
        </is>
      </c>
      <c r="H937" s="12" t="inlineStr">
        <is>
          <t>GT1: H-class gas turbine (60 Hz)</t>
        </is>
      </c>
      <c r="I937" s="12" t="inlineStr">
        <is>
          <t>Instrumentation</t>
        </is>
      </c>
      <c r="J937" s="12" t="inlineStr">
        <is>
          <t>Instrumentation ITC / PLTC, IS, #18 shielded pairs, blue jacket</t>
        </is>
      </c>
      <c r="K937" s="12" t="inlineStr">
        <is>
          <t>ITC|1 pr|16</t>
        </is>
      </c>
      <c r="L937" s="12" t="inlineStr">
        <is>
          <t>1 pr</t>
        </is>
      </c>
      <c r="M937" s="12" t="inlineStr">
        <is>
          <t>16</t>
        </is>
      </c>
      <c r="N937" s="12" t="n">
        <v>20</v>
      </c>
      <c r="O937" s="12" t="n">
        <v>1</v>
      </c>
      <c r="P937" s="12" t="n"/>
      <c r="Q937" s="12" t="n"/>
      <c r="R937" s="12" t="n"/>
      <c r="S937" s="12" t="inlineStr">
        <is>
          <t>Tray / conduit</t>
        </is>
      </c>
      <c r="T937" s="16" t="n">
        <v>96</v>
      </c>
      <c r="U937" s="16" t="n">
        <v>10</v>
      </c>
      <c r="V937" s="16">
        <f>ROUNDUP((T937+U937+2*'Read Me'!$B$13)*(1+'Read Me'!$B$12),-1)</f>
        <v/>
      </c>
      <c r="W937" s="16">
        <f>V937*N937*O937</f>
        <v/>
      </c>
      <c r="X937" s="12">
        <f>IF(LEFT(I937,2)="MV",2*N937*IF(L937="1/C",O937,1),0)</f>
        <v/>
      </c>
      <c r="Y937" s="12">
        <f>IF(OR(LEFT(K937,4)="LVAX",LEFT(K937,6)="MV15AX",LEFT(K937,4)="CTAX",LEFT(K937,2)="W|"),2*N937*O937,0)</f>
        <v/>
      </c>
      <c r="Z937" s="12" t="inlineStr">
        <is>
          <t>device-to-JB field wiring, one cable per device</t>
        </is>
      </c>
      <c r="AA937" s="12">
        <f>N937*O937</f>
        <v/>
      </c>
    </row>
    <row r="938">
      <c r="A938" s="12" t="inlineStr">
        <is>
          <t>A-I-0216</t>
        </is>
      </c>
      <c r="B938" s="12" t="inlineStr">
        <is>
          <t>A</t>
        </is>
      </c>
      <c r="C938" s="12" t="inlineStr">
        <is>
          <t>Power block</t>
        </is>
      </c>
      <c r="D938" s="12" t="inlineStr">
        <is>
          <t>Home run JB-GT1-AI06 to the control / marshalling room</t>
        </is>
      </c>
      <c r="E938" s="12" t="inlineStr">
        <is>
          <t>R2A</t>
        </is>
      </c>
      <c r="F938" s="12" t="inlineStr">
        <is>
          <t>R2A: unit / HRSG electrical e-house (32 x 40 ft)</t>
        </is>
      </c>
      <c r="G938" s="12" t="inlineStr">
        <is>
          <t>JB-GT1-AI06</t>
        </is>
      </c>
      <c r="H938" s="12" t="inlineStr">
        <is>
          <t>GT1: H-class gas turbine (60 Hz)</t>
        </is>
      </c>
      <c r="I938" s="12" t="inlineStr">
        <is>
          <t>Instrumentation</t>
        </is>
      </c>
      <c r="J938" s="12" t="inlineStr">
        <is>
          <t>Instrumentation ITC / PLTC, IS, #18 shielded pairs, blue jacket</t>
        </is>
      </c>
      <c r="K938" s="12" t="inlineStr">
        <is>
          <t>ITC|24 pr|18</t>
        </is>
      </c>
      <c r="L938" s="12" t="inlineStr">
        <is>
          <t>24 pr</t>
        </is>
      </c>
      <c r="M938" s="12" t="inlineStr">
        <is>
          <t>18</t>
        </is>
      </c>
      <c r="N938" s="12" t="n">
        <v>1</v>
      </c>
      <c r="O938" s="12" t="n">
        <v>1</v>
      </c>
      <c r="P938" s="12" t="n"/>
      <c r="Q938" s="12" t="n"/>
      <c r="R938" s="12" t="n"/>
      <c r="S938" s="12" t="inlineStr">
        <is>
          <t>Tray</t>
        </is>
      </c>
      <c r="T938" s="16" t="n">
        <v>154</v>
      </c>
      <c r="U938" s="16" t="n">
        <v>103</v>
      </c>
      <c r="V938" s="16">
        <f>ROUNDUP((T938+U938+2*'Read Me'!$B$13)*(1+'Read Me'!$B$12),-1)</f>
        <v/>
      </c>
      <c r="W938" s="16">
        <f>V938*N938*O938</f>
        <v/>
      </c>
      <c r="X938" s="12">
        <f>IF(LEFT(I938,2)="MV",2*N938*IF(L938="1/C",O938,1),0)</f>
        <v/>
      </c>
      <c r="Y938" s="12">
        <f>IF(OR(LEFT(K938,4)="LVAX",LEFT(K938,6)="MV15AX",LEFT(K938,4)="CTAX",LEFT(K938,2)="W|"),2*N938*O938,0)</f>
        <v/>
      </c>
      <c r="Z938" s="12" t="inlineStr"/>
      <c r="AA938" s="12">
        <f>N938*O938</f>
        <v/>
      </c>
    </row>
    <row r="939">
      <c r="A939" s="12" t="inlineStr">
        <is>
          <t>A-I-0217</t>
        </is>
      </c>
      <c r="B939" s="12" t="inlineStr">
        <is>
          <t>A</t>
        </is>
      </c>
      <c r="C939" s="12" t="inlineStr">
        <is>
          <t>Power block</t>
        </is>
      </c>
      <c r="D939" s="12" t="inlineStr">
        <is>
          <t>Discrete device to JB JB-GT1-DI01: 20 x 1 pr (field cables)</t>
        </is>
      </c>
      <c r="E939" s="12" t="inlineStr">
        <is>
          <t>GT1</t>
        </is>
      </c>
      <c r="F939" s="12" t="inlineStr">
        <is>
          <t>GT1: H-class gas turbine (60 Hz)</t>
        </is>
      </c>
      <c r="G939" s="12" t="inlineStr">
        <is>
          <t>JB-GT1-DI01</t>
        </is>
      </c>
      <c r="H939" s="12" t="inlineStr">
        <is>
          <t>GT1: H-class gas turbine (60 Hz)</t>
        </is>
      </c>
      <c r="I939" s="12" t="inlineStr">
        <is>
          <t>Instrumentation</t>
        </is>
      </c>
      <c r="J939" s="12" t="inlineStr">
        <is>
          <t>Instrumentation ITC / PLTC, IS, #18 shielded pairs, blue jacket</t>
        </is>
      </c>
      <c r="K939" s="12" t="inlineStr">
        <is>
          <t>ITC|1 pr|16</t>
        </is>
      </c>
      <c r="L939" s="12" t="inlineStr">
        <is>
          <t>1 pr</t>
        </is>
      </c>
      <c r="M939" s="12" t="inlineStr">
        <is>
          <t>16</t>
        </is>
      </c>
      <c r="N939" s="12" t="n">
        <v>20</v>
      </c>
      <c r="O939" s="12" t="n">
        <v>1</v>
      </c>
      <c r="P939" s="12" t="n"/>
      <c r="Q939" s="12" t="n"/>
      <c r="R939" s="12" t="n"/>
      <c r="S939" s="12" t="inlineStr">
        <is>
          <t>Tray / conduit</t>
        </is>
      </c>
      <c r="T939" s="16" t="n">
        <v>96</v>
      </c>
      <c r="U939" s="16" t="n">
        <v>10</v>
      </c>
      <c r="V939" s="16">
        <f>ROUNDUP((T939+U939+2*'Read Me'!$B$13)*(1+'Read Me'!$B$12),-1)</f>
        <v/>
      </c>
      <c r="W939" s="16">
        <f>V939*N939*O939</f>
        <v/>
      </c>
      <c r="X939" s="12">
        <f>IF(LEFT(I939,2)="MV",2*N939*IF(L939="1/C",O939,1),0)</f>
        <v/>
      </c>
      <c r="Y939" s="12">
        <f>IF(OR(LEFT(K939,4)="LVAX",LEFT(K939,6)="MV15AX",LEFT(K939,4)="CTAX",LEFT(K939,2)="W|"),2*N939*O939,0)</f>
        <v/>
      </c>
      <c r="Z939" s="12" t="inlineStr">
        <is>
          <t>device-to-JB field wiring, one cable per device</t>
        </is>
      </c>
      <c r="AA939" s="12">
        <f>N939*O939</f>
        <v/>
      </c>
    </row>
    <row r="940">
      <c r="A940" s="12" t="inlineStr">
        <is>
          <t>A-I-0218</t>
        </is>
      </c>
      <c r="B940" s="12" t="inlineStr">
        <is>
          <t>A</t>
        </is>
      </c>
      <c r="C940" s="12" t="inlineStr">
        <is>
          <t>Power block</t>
        </is>
      </c>
      <c r="D940" s="12" t="inlineStr">
        <is>
          <t>Home run JB-GT1-DI01 to the control / marshalling room</t>
        </is>
      </c>
      <c r="E940" s="12" t="inlineStr">
        <is>
          <t>R2A</t>
        </is>
      </c>
      <c r="F940" s="12" t="inlineStr">
        <is>
          <t>R2A: unit / HRSG electrical e-house (32 x 40 ft)</t>
        </is>
      </c>
      <c r="G940" s="12" t="inlineStr">
        <is>
          <t>JB-GT1-DI01</t>
        </is>
      </c>
      <c r="H940" s="12" t="inlineStr">
        <is>
          <t>GT1: H-class gas turbine (60 Hz)</t>
        </is>
      </c>
      <c r="I940" s="12" t="inlineStr">
        <is>
          <t>Instrumentation</t>
        </is>
      </c>
      <c r="J940" s="12" t="inlineStr">
        <is>
          <t>Instrumentation ITC / PLTC, IS, #18 shielded pairs, blue jacket</t>
        </is>
      </c>
      <c r="K940" s="12" t="inlineStr">
        <is>
          <t>ITC|24 pr|18</t>
        </is>
      </c>
      <c r="L940" s="12" t="inlineStr">
        <is>
          <t>24 pr</t>
        </is>
      </c>
      <c r="M940" s="12" t="inlineStr">
        <is>
          <t>18</t>
        </is>
      </c>
      <c r="N940" s="12" t="n">
        <v>1</v>
      </c>
      <c r="O940" s="12" t="n">
        <v>1</v>
      </c>
      <c r="P940" s="12" t="n"/>
      <c r="Q940" s="12" t="n"/>
      <c r="R940" s="12" t="n"/>
      <c r="S940" s="12" t="inlineStr">
        <is>
          <t>Tray</t>
        </is>
      </c>
      <c r="T940" s="16" t="n">
        <v>154</v>
      </c>
      <c r="U940" s="16" t="n">
        <v>103</v>
      </c>
      <c r="V940" s="16">
        <f>ROUNDUP((T940+U940+2*'Read Me'!$B$13)*(1+'Read Me'!$B$12),-1)</f>
        <v/>
      </c>
      <c r="W940" s="16">
        <f>V940*N940*O940</f>
        <v/>
      </c>
      <c r="X940" s="12">
        <f>IF(LEFT(I940,2)="MV",2*N940*IF(L940="1/C",O940,1),0)</f>
        <v/>
      </c>
      <c r="Y940" s="12">
        <f>IF(OR(LEFT(K940,4)="LVAX",LEFT(K940,6)="MV15AX",LEFT(K940,4)="CTAX",LEFT(K940,2)="W|"),2*N940*O940,0)</f>
        <v/>
      </c>
      <c r="Z940" s="12" t="inlineStr"/>
      <c r="AA940" s="12">
        <f>N940*O940</f>
        <v/>
      </c>
    </row>
    <row r="941">
      <c r="A941" s="12" t="inlineStr">
        <is>
          <t>A-I-0219</t>
        </is>
      </c>
      <c r="B941" s="12" t="inlineStr">
        <is>
          <t>A</t>
        </is>
      </c>
      <c r="C941" s="12" t="inlineStr">
        <is>
          <t>Power block</t>
        </is>
      </c>
      <c r="D941" s="12" t="inlineStr">
        <is>
          <t>Discrete device to JB JB-GT1-DI02: 20 x 1 pr (field cables)</t>
        </is>
      </c>
      <c r="E941" s="12" t="inlineStr">
        <is>
          <t>GT1</t>
        </is>
      </c>
      <c r="F941" s="12" t="inlineStr">
        <is>
          <t>GT1: H-class gas turbine (60 Hz)</t>
        </is>
      </c>
      <c r="G941" s="12" t="inlineStr">
        <is>
          <t>JB-GT1-DI02</t>
        </is>
      </c>
      <c r="H941" s="12" t="inlineStr">
        <is>
          <t>GT1: H-class gas turbine (60 Hz)</t>
        </is>
      </c>
      <c r="I941" s="12" t="inlineStr">
        <is>
          <t>Instrumentation</t>
        </is>
      </c>
      <c r="J941" s="12" t="inlineStr">
        <is>
          <t>Instrumentation ITC / PLTC, IS, #18 shielded pairs, blue jacket</t>
        </is>
      </c>
      <c r="K941" s="12" t="inlineStr">
        <is>
          <t>ITC|1 pr|16</t>
        </is>
      </c>
      <c r="L941" s="12" t="inlineStr">
        <is>
          <t>1 pr</t>
        </is>
      </c>
      <c r="M941" s="12" t="inlineStr">
        <is>
          <t>16</t>
        </is>
      </c>
      <c r="N941" s="12" t="n">
        <v>20</v>
      </c>
      <c r="O941" s="12" t="n">
        <v>1</v>
      </c>
      <c r="P941" s="12" t="n"/>
      <c r="Q941" s="12" t="n"/>
      <c r="R941" s="12" t="n"/>
      <c r="S941" s="12" t="inlineStr">
        <is>
          <t>Tray / conduit</t>
        </is>
      </c>
      <c r="T941" s="16" t="n">
        <v>96</v>
      </c>
      <c r="U941" s="16" t="n">
        <v>10</v>
      </c>
      <c r="V941" s="16">
        <f>ROUNDUP((T941+U941+2*'Read Me'!$B$13)*(1+'Read Me'!$B$12),-1)</f>
        <v/>
      </c>
      <c r="W941" s="16">
        <f>V941*N941*O941</f>
        <v/>
      </c>
      <c r="X941" s="12">
        <f>IF(LEFT(I941,2)="MV",2*N941*IF(L941="1/C",O941,1),0)</f>
        <v/>
      </c>
      <c r="Y941" s="12">
        <f>IF(OR(LEFT(K941,4)="LVAX",LEFT(K941,6)="MV15AX",LEFT(K941,4)="CTAX",LEFT(K941,2)="W|"),2*N941*O941,0)</f>
        <v/>
      </c>
      <c r="Z941" s="12" t="inlineStr">
        <is>
          <t>device-to-JB field wiring, one cable per device</t>
        </is>
      </c>
      <c r="AA941" s="12">
        <f>N941*O941</f>
        <v/>
      </c>
    </row>
    <row r="942">
      <c r="A942" s="12" t="inlineStr">
        <is>
          <t>A-I-0220</t>
        </is>
      </c>
      <c r="B942" s="12" t="inlineStr">
        <is>
          <t>A</t>
        </is>
      </c>
      <c r="C942" s="12" t="inlineStr">
        <is>
          <t>Power block</t>
        </is>
      </c>
      <c r="D942" s="12" t="inlineStr">
        <is>
          <t>Home run JB-GT1-DI02 to the control / marshalling room</t>
        </is>
      </c>
      <c r="E942" s="12" t="inlineStr">
        <is>
          <t>R2A</t>
        </is>
      </c>
      <c r="F942" s="12" t="inlineStr">
        <is>
          <t>R2A: unit / HRSG electrical e-house (32 x 40 ft)</t>
        </is>
      </c>
      <c r="G942" s="12" t="inlineStr">
        <is>
          <t>JB-GT1-DI02</t>
        </is>
      </c>
      <c r="H942" s="12" t="inlineStr">
        <is>
          <t>GT1: H-class gas turbine (60 Hz)</t>
        </is>
      </c>
      <c r="I942" s="12" t="inlineStr">
        <is>
          <t>Instrumentation</t>
        </is>
      </c>
      <c r="J942" s="12" t="inlineStr">
        <is>
          <t>Instrumentation ITC / PLTC, IS, #18 shielded pairs, blue jacket</t>
        </is>
      </c>
      <c r="K942" s="12" t="inlineStr">
        <is>
          <t>ITC|24 pr|18</t>
        </is>
      </c>
      <c r="L942" s="12" t="inlineStr">
        <is>
          <t>24 pr</t>
        </is>
      </c>
      <c r="M942" s="12" t="inlineStr">
        <is>
          <t>18</t>
        </is>
      </c>
      <c r="N942" s="12" t="n">
        <v>1</v>
      </c>
      <c r="O942" s="12" t="n">
        <v>1</v>
      </c>
      <c r="P942" s="12" t="n"/>
      <c r="Q942" s="12" t="n"/>
      <c r="R942" s="12" t="n"/>
      <c r="S942" s="12" t="inlineStr">
        <is>
          <t>Tray</t>
        </is>
      </c>
      <c r="T942" s="16" t="n">
        <v>154</v>
      </c>
      <c r="U942" s="16" t="n">
        <v>103</v>
      </c>
      <c r="V942" s="16">
        <f>ROUNDUP((T942+U942+2*'Read Me'!$B$13)*(1+'Read Me'!$B$12),-1)</f>
        <v/>
      </c>
      <c r="W942" s="16">
        <f>V942*N942*O942</f>
        <v/>
      </c>
      <c r="X942" s="12">
        <f>IF(LEFT(I942,2)="MV",2*N942*IF(L942="1/C",O942,1),0)</f>
        <v/>
      </c>
      <c r="Y942" s="12">
        <f>IF(OR(LEFT(K942,4)="LVAX",LEFT(K942,6)="MV15AX",LEFT(K942,4)="CTAX",LEFT(K942,2)="W|"),2*N942*O942,0)</f>
        <v/>
      </c>
      <c r="Z942" s="12" t="inlineStr"/>
      <c r="AA942" s="12">
        <f>N942*O942</f>
        <v/>
      </c>
    </row>
    <row r="943">
      <c r="A943" s="12" t="inlineStr">
        <is>
          <t>A-I-0221</t>
        </is>
      </c>
      <c r="B943" s="12" t="inlineStr">
        <is>
          <t>A</t>
        </is>
      </c>
      <c r="C943" s="12" t="inlineStr">
        <is>
          <t>Power block</t>
        </is>
      </c>
      <c r="D943" s="12" t="inlineStr">
        <is>
          <t>Discrete device to JB JB-GT1-DI03: 20 x 1 pr (field cables)</t>
        </is>
      </c>
      <c r="E943" s="12" t="inlineStr">
        <is>
          <t>GT1</t>
        </is>
      </c>
      <c r="F943" s="12" t="inlineStr">
        <is>
          <t>GT1: H-class gas turbine (60 Hz)</t>
        </is>
      </c>
      <c r="G943" s="12" t="inlineStr">
        <is>
          <t>JB-GT1-DI03</t>
        </is>
      </c>
      <c r="H943" s="12" t="inlineStr">
        <is>
          <t>GT1: H-class gas turbine (60 Hz)</t>
        </is>
      </c>
      <c r="I943" s="12" t="inlineStr">
        <is>
          <t>Instrumentation</t>
        </is>
      </c>
      <c r="J943" s="12" t="inlineStr">
        <is>
          <t>Instrumentation ITC / PLTC, IS, #18 shielded pairs, blue jacket</t>
        </is>
      </c>
      <c r="K943" s="12" t="inlineStr">
        <is>
          <t>ITC|1 pr|16</t>
        </is>
      </c>
      <c r="L943" s="12" t="inlineStr">
        <is>
          <t>1 pr</t>
        </is>
      </c>
      <c r="M943" s="12" t="inlineStr">
        <is>
          <t>16</t>
        </is>
      </c>
      <c r="N943" s="12" t="n">
        <v>20</v>
      </c>
      <c r="O943" s="12" t="n">
        <v>1</v>
      </c>
      <c r="P943" s="12" t="n"/>
      <c r="Q943" s="12" t="n"/>
      <c r="R943" s="12" t="n"/>
      <c r="S943" s="12" t="inlineStr">
        <is>
          <t>Tray / conduit</t>
        </is>
      </c>
      <c r="T943" s="16" t="n">
        <v>96</v>
      </c>
      <c r="U943" s="16" t="n">
        <v>10</v>
      </c>
      <c r="V943" s="16">
        <f>ROUNDUP((T943+U943+2*'Read Me'!$B$13)*(1+'Read Me'!$B$12),-1)</f>
        <v/>
      </c>
      <c r="W943" s="16">
        <f>V943*N943*O943</f>
        <v/>
      </c>
      <c r="X943" s="12">
        <f>IF(LEFT(I943,2)="MV",2*N943*IF(L943="1/C",O943,1),0)</f>
        <v/>
      </c>
      <c r="Y943" s="12">
        <f>IF(OR(LEFT(K943,4)="LVAX",LEFT(K943,6)="MV15AX",LEFT(K943,4)="CTAX",LEFT(K943,2)="W|"),2*N943*O943,0)</f>
        <v/>
      </c>
      <c r="Z943" s="12" t="inlineStr">
        <is>
          <t>device-to-JB field wiring, one cable per device</t>
        </is>
      </c>
      <c r="AA943" s="12">
        <f>N943*O943</f>
        <v/>
      </c>
    </row>
    <row r="944">
      <c r="A944" s="12" t="inlineStr">
        <is>
          <t>A-I-0222</t>
        </is>
      </c>
      <c r="B944" s="12" t="inlineStr">
        <is>
          <t>A</t>
        </is>
      </c>
      <c r="C944" s="12" t="inlineStr">
        <is>
          <t>Power block</t>
        </is>
      </c>
      <c r="D944" s="12" t="inlineStr">
        <is>
          <t>Home run JB-GT1-DI03 to the control / marshalling room</t>
        </is>
      </c>
      <c r="E944" s="12" t="inlineStr">
        <is>
          <t>R2A</t>
        </is>
      </c>
      <c r="F944" s="12" t="inlineStr">
        <is>
          <t>R2A: unit / HRSG electrical e-house (32 x 40 ft)</t>
        </is>
      </c>
      <c r="G944" s="12" t="inlineStr">
        <is>
          <t>JB-GT1-DI03</t>
        </is>
      </c>
      <c r="H944" s="12" t="inlineStr">
        <is>
          <t>GT1: H-class gas turbine (60 Hz)</t>
        </is>
      </c>
      <c r="I944" s="12" t="inlineStr">
        <is>
          <t>Instrumentation</t>
        </is>
      </c>
      <c r="J944" s="12" t="inlineStr">
        <is>
          <t>Instrumentation ITC / PLTC, IS, #18 shielded pairs, blue jacket</t>
        </is>
      </c>
      <c r="K944" s="12" t="inlineStr">
        <is>
          <t>ITC|24 pr|18</t>
        </is>
      </c>
      <c r="L944" s="12" t="inlineStr">
        <is>
          <t>24 pr</t>
        </is>
      </c>
      <c r="M944" s="12" t="inlineStr">
        <is>
          <t>18</t>
        </is>
      </c>
      <c r="N944" s="12" t="n">
        <v>1</v>
      </c>
      <c r="O944" s="12" t="n">
        <v>1</v>
      </c>
      <c r="P944" s="12" t="n"/>
      <c r="Q944" s="12" t="n"/>
      <c r="R944" s="12" t="n"/>
      <c r="S944" s="12" t="inlineStr">
        <is>
          <t>Tray</t>
        </is>
      </c>
      <c r="T944" s="16" t="n">
        <v>154</v>
      </c>
      <c r="U944" s="16" t="n">
        <v>103</v>
      </c>
      <c r="V944" s="16">
        <f>ROUNDUP((T944+U944+2*'Read Me'!$B$13)*(1+'Read Me'!$B$12),-1)</f>
        <v/>
      </c>
      <c r="W944" s="16">
        <f>V944*N944*O944</f>
        <v/>
      </c>
      <c r="X944" s="12">
        <f>IF(LEFT(I944,2)="MV",2*N944*IF(L944="1/C",O944,1),0)</f>
        <v/>
      </c>
      <c r="Y944" s="12">
        <f>IF(OR(LEFT(K944,4)="LVAX",LEFT(K944,6)="MV15AX",LEFT(K944,4)="CTAX",LEFT(K944,2)="W|"),2*N944*O944,0)</f>
        <v/>
      </c>
      <c r="Z944" s="12" t="inlineStr"/>
      <c r="AA944" s="12">
        <f>N944*O944</f>
        <v/>
      </c>
    </row>
    <row r="945">
      <c r="A945" s="12" t="inlineStr">
        <is>
          <t>A-I-0223</t>
        </is>
      </c>
      <c r="B945" s="12" t="inlineStr">
        <is>
          <t>A</t>
        </is>
      </c>
      <c r="C945" s="12" t="inlineStr">
        <is>
          <t>Power block</t>
        </is>
      </c>
      <c r="D945" s="12" t="inlineStr">
        <is>
          <t>Discrete device to JB JB-GT1-DI04: 20 x 1 pr (field cables)</t>
        </is>
      </c>
      <c r="E945" s="12" t="inlineStr">
        <is>
          <t>GT1</t>
        </is>
      </c>
      <c r="F945" s="12" t="inlineStr">
        <is>
          <t>GT1: H-class gas turbine (60 Hz)</t>
        </is>
      </c>
      <c r="G945" s="12" t="inlineStr">
        <is>
          <t>JB-GT1-DI04</t>
        </is>
      </c>
      <c r="H945" s="12" t="inlineStr">
        <is>
          <t>GT1: H-class gas turbine (60 Hz)</t>
        </is>
      </c>
      <c r="I945" s="12" t="inlineStr">
        <is>
          <t>Instrumentation</t>
        </is>
      </c>
      <c r="J945" s="12" t="inlineStr">
        <is>
          <t>Instrumentation ITC / PLTC, IS, #18 shielded pairs, blue jacket</t>
        </is>
      </c>
      <c r="K945" s="12" t="inlineStr">
        <is>
          <t>ITC|1 pr|16</t>
        </is>
      </c>
      <c r="L945" s="12" t="inlineStr">
        <is>
          <t>1 pr</t>
        </is>
      </c>
      <c r="M945" s="12" t="inlineStr">
        <is>
          <t>16</t>
        </is>
      </c>
      <c r="N945" s="12" t="n">
        <v>20</v>
      </c>
      <c r="O945" s="12" t="n">
        <v>1</v>
      </c>
      <c r="P945" s="12" t="n"/>
      <c r="Q945" s="12" t="n"/>
      <c r="R945" s="12" t="n"/>
      <c r="S945" s="12" t="inlineStr">
        <is>
          <t>Tray / conduit</t>
        </is>
      </c>
      <c r="T945" s="16" t="n">
        <v>96</v>
      </c>
      <c r="U945" s="16" t="n">
        <v>10</v>
      </c>
      <c r="V945" s="16">
        <f>ROUNDUP((T945+U945+2*'Read Me'!$B$13)*(1+'Read Me'!$B$12),-1)</f>
        <v/>
      </c>
      <c r="W945" s="16">
        <f>V945*N945*O945</f>
        <v/>
      </c>
      <c r="X945" s="12">
        <f>IF(LEFT(I945,2)="MV",2*N945*IF(L945="1/C",O945,1),0)</f>
        <v/>
      </c>
      <c r="Y945" s="12">
        <f>IF(OR(LEFT(K945,4)="LVAX",LEFT(K945,6)="MV15AX",LEFT(K945,4)="CTAX",LEFT(K945,2)="W|"),2*N945*O945,0)</f>
        <v/>
      </c>
      <c r="Z945" s="12" t="inlineStr">
        <is>
          <t>device-to-JB field wiring, one cable per device</t>
        </is>
      </c>
      <c r="AA945" s="12">
        <f>N945*O945</f>
        <v/>
      </c>
    </row>
    <row r="946">
      <c r="A946" s="12" t="inlineStr">
        <is>
          <t>A-I-0224</t>
        </is>
      </c>
      <c r="B946" s="12" t="inlineStr">
        <is>
          <t>A</t>
        </is>
      </c>
      <c r="C946" s="12" t="inlineStr">
        <is>
          <t>Power block</t>
        </is>
      </c>
      <c r="D946" s="12" t="inlineStr">
        <is>
          <t>Home run JB-GT1-DI04 to the control / marshalling room</t>
        </is>
      </c>
      <c r="E946" s="12" t="inlineStr">
        <is>
          <t>R2A</t>
        </is>
      </c>
      <c r="F946" s="12" t="inlineStr">
        <is>
          <t>R2A: unit / HRSG electrical e-house (32 x 40 ft)</t>
        </is>
      </c>
      <c r="G946" s="12" t="inlineStr">
        <is>
          <t>JB-GT1-DI04</t>
        </is>
      </c>
      <c r="H946" s="12" t="inlineStr">
        <is>
          <t>GT1: H-class gas turbine (60 Hz)</t>
        </is>
      </c>
      <c r="I946" s="12" t="inlineStr">
        <is>
          <t>Instrumentation</t>
        </is>
      </c>
      <c r="J946" s="12" t="inlineStr">
        <is>
          <t>Instrumentation ITC / PLTC, IS, #18 shielded pairs, blue jacket</t>
        </is>
      </c>
      <c r="K946" s="12" t="inlineStr">
        <is>
          <t>ITC|24 pr|18</t>
        </is>
      </c>
      <c r="L946" s="12" t="inlineStr">
        <is>
          <t>24 pr</t>
        </is>
      </c>
      <c r="M946" s="12" t="inlineStr">
        <is>
          <t>18</t>
        </is>
      </c>
      <c r="N946" s="12" t="n">
        <v>1</v>
      </c>
      <c r="O946" s="12" t="n">
        <v>1</v>
      </c>
      <c r="P946" s="12" t="n"/>
      <c r="Q946" s="12" t="n"/>
      <c r="R946" s="12" t="n"/>
      <c r="S946" s="12" t="inlineStr">
        <is>
          <t>Tray</t>
        </is>
      </c>
      <c r="T946" s="16" t="n">
        <v>154</v>
      </c>
      <c r="U946" s="16" t="n">
        <v>103</v>
      </c>
      <c r="V946" s="16">
        <f>ROUNDUP((T946+U946+2*'Read Me'!$B$13)*(1+'Read Me'!$B$12),-1)</f>
        <v/>
      </c>
      <c r="W946" s="16">
        <f>V946*N946*O946</f>
        <v/>
      </c>
      <c r="X946" s="12">
        <f>IF(LEFT(I946,2)="MV",2*N946*IF(L946="1/C",O946,1),0)</f>
        <v/>
      </c>
      <c r="Y946" s="12">
        <f>IF(OR(LEFT(K946,4)="LVAX",LEFT(K946,6)="MV15AX",LEFT(K946,4)="CTAX",LEFT(K946,2)="W|"),2*N946*O946,0)</f>
        <v/>
      </c>
      <c r="Z946" s="12" t="inlineStr"/>
      <c r="AA946" s="12">
        <f>N946*O946</f>
        <v/>
      </c>
    </row>
    <row r="947">
      <c r="A947" s="12" t="inlineStr">
        <is>
          <t>A-I-0225</t>
        </is>
      </c>
      <c r="B947" s="12" t="inlineStr">
        <is>
          <t>A</t>
        </is>
      </c>
      <c r="C947" s="12" t="inlineStr">
        <is>
          <t>Power block</t>
        </is>
      </c>
      <c r="D947" s="12" t="inlineStr">
        <is>
          <t>Thermocouple to TC JB JB-GT1-TC01: 20 x 1 pr (field cables)</t>
        </is>
      </c>
      <c r="E947" s="12" t="inlineStr">
        <is>
          <t>GT1</t>
        </is>
      </c>
      <c r="F947" s="12" t="inlineStr">
        <is>
          <t>GT1: H-class gas turbine (60 Hz)</t>
        </is>
      </c>
      <c r="G947" s="12" t="inlineStr">
        <is>
          <t>JB-GT1-TC01</t>
        </is>
      </c>
      <c r="H947" s="12" t="inlineStr">
        <is>
          <t>GT1: H-class gas turbine (60 Hz)</t>
        </is>
      </c>
      <c r="I947" s="12" t="inlineStr">
        <is>
          <t>Instrumentation</t>
        </is>
      </c>
      <c r="J947" s="12" t="inlineStr">
        <is>
          <t>Thermocouple extension KX, #16 shielded pairs, PLTC</t>
        </is>
      </c>
      <c r="K947" s="12" t="inlineStr">
        <is>
          <t>TCX|1 pr|16</t>
        </is>
      </c>
      <c r="L947" s="12" t="inlineStr">
        <is>
          <t>1 pr</t>
        </is>
      </c>
      <c r="M947" s="12" t="inlineStr">
        <is>
          <t>16</t>
        </is>
      </c>
      <c r="N947" s="12" t="n">
        <v>20</v>
      </c>
      <c r="O947" s="12" t="n">
        <v>1</v>
      </c>
      <c r="P947" s="12" t="n"/>
      <c r="Q947" s="12" t="n"/>
      <c r="R947" s="12" t="n"/>
      <c r="S947" s="12" t="inlineStr">
        <is>
          <t>Tray / conduit</t>
        </is>
      </c>
      <c r="T947" s="16" t="n">
        <v>96</v>
      </c>
      <c r="U947" s="16" t="n">
        <v>10</v>
      </c>
      <c r="V947" s="16">
        <f>ROUNDUP((T947+U947+2*'Read Me'!$B$13)*(1+'Read Me'!$B$12),-1)</f>
        <v/>
      </c>
      <c r="W947" s="16">
        <f>V947*N947*O947</f>
        <v/>
      </c>
      <c r="X947" s="12">
        <f>IF(LEFT(I947,2)="MV",2*N947*IF(L947="1/C",O947,1),0)</f>
        <v/>
      </c>
      <c r="Y947" s="12">
        <f>IF(OR(LEFT(K947,4)="LVAX",LEFT(K947,6)="MV15AX",LEFT(K947,4)="CTAX",LEFT(K947,2)="W|"),2*N947*O947,0)</f>
        <v/>
      </c>
      <c r="Z947" s="12" t="inlineStr">
        <is>
          <t>device-to-JB field wiring, one cable per device</t>
        </is>
      </c>
      <c r="AA947" s="12">
        <f>N947*O947</f>
        <v/>
      </c>
    </row>
    <row r="948">
      <c r="A948" s="12" t="inlineStr">
        <is>
          <t>A-I-0226</t>
        </is>
      </c>
      <c r="B948" s="12" t="inlineStr">
        <is>
          <t>A</t>
        </is>
      </c>
      <c r="C948" s="12" t="inlineStr">
        <is>
          <t>Power block</t>
        </is>
      </c>
      <c r="D948" s="12" t="inlineStr">
        <is>
          <t>Home run JB-GT1-TC01 to the control / marshalling room</t>
        </is>
      </c>
      <c r="E948" s="12" t="inlineStr">
        <is>
          <t>R2A</t>
        </is>
      </c>
      <c r="F948" s="12" t="inlineStr">
        <is>
          <t>R2A: unit / HRSG electrical e-house (32 x 40 ft)</t>
        </is>
      </c>
      <c r="G948" s="12" t="inlineStr">
        <is>
          <t>JB-GT1-TC01</t>
        </is>
      </c>
      <c r="H948" s="12" t="inlineStr">
        <is>
          <t>GT1: H-class gas turbine (60 Hz)</t>
        </is>
      </c>
      <c r="I948" s="12" t="inlineStr">
        <is>
          <t>Instrumentation</t>
        </is>
      </c>
      <c r="J948" s="12" t="inlineStr">
        <is>
          <t>Thermocouple extension KX, #16 shielded pairs, PLTC</t>
        </is>
      </c>
      <c r="K948" s="12" t="inlineStr">
        <is>
          <t>TCX|24 pr|16</t>
        </is>
      </c>
      <c r="L948" s="12" t="inlineStr">
        <is>
          <t>24 pr</t>
        </is>
      </c>
      <c r="M948" s="12" t="inlineStr">
        <is>
          <t>16</t>
        </is>
      </c>
      <c r="N948" s="12" t="n">
        <v>1</v>
      </c>
      <c r="O948" s="12" t="n">
        <v>1</v>
      </c>
      <c r="P948" s="12" t="n"/>
      <c r="Q948" s="12" t="n"/>
      <c r="R948" s="12" t="n"/>
      <c r="S948" s="12" t="inlineStr">
        <is>
          <t>Tray</t>
        </is>
      </c>
      <c r="T948" s="16" t="n">
        <v>154</v>
      </c>
      <c r="U948" s="16" t="n">
        <v>103</v>
      </c>
      <c r="V948" s="16">
        <f>ROUNDUP((T948+U948+2*'Read Me'!$B$13)*(1+'Read Me'!$B$12),-1)</f>
        <v/>
      </c>
      <c r="W948" s="16">
        <f>V948*N948*O948</f>
        <v/>
      </c>
      <c r="X948" s="12">
        <f>IF(LEFT(I948,2)="MV",2*N948*IF(L948="1/C",O948,1),0)</f>
        <v/>
      </c>
      <c r="Y948" s="12">
        <f>IF(OR(LEFT(K948,4)="LVAX",LEFT(K948,6)="MV15AX",LEFT(K948,4)="CTAX",LEFT(K948,2)="W|"),2*N948*O948,0)</f>
        <v/>
      </c>
      <c r="Z948" s="12" t="inlineStr"/>
      <c r="AA948" s="12">
        <f>N948*O948</f>
        <v/>
      </c>
    </row>
    <row r="949">
      <c r="A949" s="12" t="inlineStr">
        <is>
          <t>A-I-0227</t>
        </is>
      </c>
      <c r="B949" s="12" t="inlineStr">
        <is>
          <t>A</t>
        </is>
      </c>
      <c r="C949" s="12" t="inlineStr">
        <is>
          <t>Power block</t>
        </is>
      </c>
      <c r="D949" s="12" t="inlineStr">
        <is>
          <t>Thermocouple to TC JB JB-GT1-TC02: 20 x 1 pr (field cables)</t>
        </is>
      </c>
      <c r="E949" s="12" t="inlineStr">
        <is>
          <t>GT1</t>
        </is>
      </c>
      <c r="F949" s="12" t="inlineStr">
        <is>
          <t>GT1: H-class gas turbine (60 Hz)</t>
        </is>
      </c>
      <c r="G949" s="12" t="inlineStr">
        <is>
          <t>JB-GT1-TC02</t>
        </is>
      </c>
      <c r="H949" s="12" t="inlineStr">
        <is>
          <t>GT1: H-class gas turbine (60 Hz)</t>
        </is>
      </c>
      <c r="I949" s="12" t="inlineStr">
        <is>
          <t>Instrumentation</t>
        </is>
      </c>
      <c r="J949" s="12" t="inlineStr">
        <is>
          <t>Thermocouple extension KX, #16 shielded pairs, PLTC</t>
        </is>
      </c>
      <c r="K949" s="12" t="inlineStr">
        <is>
          <t>TCX|1 pr|16</t>
        </is>
      </c>
      <c r="L949" s="12" t="inlineStr">
        <is>
          <t>1 pr</t>
        </is>
      </c>
      <c r="M949" s="12" t="inlineStr">
        <is>
          <t>16</t>
        </is>
      </c>
      <c r="N949" s="12" t="n">
        <v>20</v>
      </c>
      <c r="O949" s="12" t="n">
        <v>1</v>
      </c>
      <c r="P949" s="12" t="n"/>
      <c r="Q949" s="12" t="n"/>
      <c r="R949" s="12" t="n"/>
      <c r="S949" s="12" t="inlineStr">
        <is>
          <t>Tray / conduit</t>
        </is>
      </c>
      <c r="T949" s="16" t="n">
        <v>96</v>
      </c>
      <c r="U949" s="16" t="n">
        <v>10</v>
      </c>
      <c r="V949" s="16">
        <f>ROUNDUP((T949+U949+2*'Read Me'!$B$13)*(1+'Read Me'!$B$12),-1)</f>
        <v/>
      </c>
      <c r="W949" s="16">
        <f>V949*N949*O949</f>
        <v/>
      </c>
      <c r="X949" s="12">
        <f>IF(LEFT(I949,2)="MV",2*N949*IF(L949="1/C",O949,1),0)</f>
        <v/>
      </c>
      <c r="Y949" s="12">
        <f>IF(OR(LEFT(K949,4)="LVAX",LEFT(K949,6)="MV15AX",LEFT(K949,4)="CTAX",LEFT(K949,2)="W|"),2*N949*O949,0)</f>
        <v/>
      </c>
      <c r="Z949" s="12" t="inlineStr">
        <is>
          <t>device-to-JB field wiring, one cable per device</t>
        </is>
      </c>
      <c r="AA949" s="12">
        <f>N949*O949</f>
        <v/>
      </c>
    </row>
    <row r="950">
      <c r="A950" s="12" t="inlineStr">
        <is>
          <t>A-I-0228</t>
        </is>
      </c>
      <c r="B950" s="12" t="inlineStr">
        <is>
          <t>A</t>
        </is>
      </c>
      <c r="C950" s="12" t="inlineStr">
        <is>
          <t>Power block</t>
        </is>
      </c>
      <c r="D950" s="12" t="inlineStr">
        <is>
          <t>Home run JB-GT1-TC02 to the control / marshalling room</t>
        </is>
      </c>
      <c r="E950" s="12" t="inlineStr">
        <is>
          <t>R2A</t>
        </is>
      </c>
      <c r="F950" s="12" t="inlineStr">
        <is>
          <t>R2A: unit / HRSG electrical e-house (32 x 40 ft)</t>
        </is>
      </c>
      <c r="G950" s="12" t="inlineStr">
        <is>
          <t>JB-GT1-TC02</t>
        </is>
      </c>
      <c r="H950" s="12" t="inlineStr">
        <is>
          <t>GT1: H-class gas turbine (60 Hz)</t>
        </is>
      </c>
      <c r="I950" s="12" t="inlineStr">
        <is>
          <t>Instrumentation</t>
        </is>
      </c>
      <c r="J950" s="12" t="inlineStr">
        <is>
          <t>Thermocouple extension KX, #16 shielded pairs, PLTC</t>
        </is>
      </c>
      <c r="K950" s="12" t="inlineStr">
        <is>
          <t>TCX|24 pr|16</t>
        </is>
      </c>
      <c r="L950" s="12" t="inlineStr">
        <is>
          <t>24 pr</t>
        </is>
      </c>
      <c r="M950" s="12" t="inlineStr">
        <is>
          <t>16</t>
        </is>
      </c>
      <c r="N950" s="12" t="n">
        <v>1</v>
      </c>
      <c r="O950" s="12" t="n">
        <v>1</v>
      </c>
      <c r="P950" s="12" t="n"/>
      <c r="Q950" s="12" t="n"/>
      <c r="R950" s="12" t="n"/>
      <c r="S950" s="12" t="inlineStr">
        <is>
          <t>Tray</t>
        </is>
      </c>
      <c r="T950" s="16" t="n">
        <v>154</v>
      </c>
      <c r="U950" s="16" t="n">
        <v>103</v>
      </c>
      <c r="V950" s="16">
        <f>ROUNDUP((T950+U950+2*'Read Me'!$B$13)*(1+'Read Me'!$B$12),-1)</f>
        <v/>
      </c>
      <c r="W950" s="16">
        <f>V950*N950*O950</f>
        <v/>
      </c>
      <c r="X950" s="12">
        <f>IF(LEFT(I950,2)="MV",2*N950*IF(L950="1/C",O950,1),0)</f>
        <v/>
      </c>
      <c r="Y950" s="12">
        <f>IF(OR(LEFT(K950,4)="LVAX",LEFT(K950,6)="MV15AX",LEFT(K950,4)="CTAX",LEFT(K950,2)="W|"),2*N950*O950,0)</f>
        <v/>
      </c>
      <c r="Z950" s="12" t="inlineStr"/>
      <c r="AA950" s="12">
        <f>N950*O950</f>
        <v/>
      </c>
    </row>
    <row r="951">
      <c r="A951" s="12" t="inlineStr">
        <is>
          <t>A-I-0229</t>
        </is>
      </c>
      <c r="B951" s="12" t="inlineStr">
        <is>
          <t>A</t>
        </is>
      </c>
      <c r="C951" s="12" t="inlineStr">
        <is>
          <t>Power block</t>
        </is>
      </c>
      <c r="D951" s="12" t="inlineStr">
        <is>
          <t>Thermocouple to TC JB JB-GT1-TC03: 20 x 1 pr (field cables)</t>
        </is>
      </c>
      <c r="E951" s="12" t="inlineStr">
        <is>
          <t>GT1</t>
        </is>
      </c>
      <c r="F951" s="12" t="inlineStr">
        <is>
          <t>GT1: H-class gas turbine (60 Hz)</t>
        </is>
      </c>
      <c r="G951" s="12" t="inlineStr">
        <is>
          <t>JB-GT1-TC03</t>
        </is>
      </c>
      <c r="H951" s="12" t="inlineStr">
        <is>
          <t>GT1: H-class gas turbine (60 Hz)</t>
        </is>
      </c>
      <c r="I951" s="12" t="inlineStr">
        <is>
          <t>Instrumentation</t>
        </is>
      </c>
      <c r="J951" s="12" t="inlineStr">
        <is>
          <t>Thermocouple extension KX, #16 shielded pairs, PLTC</t>
        </is>
      </c>
      <c r="K951" s="12" t="inlineStr">
        <is>
          <t>TCX|1 pr|16</t>
        </is>
      </c>
      <c r="L951" s="12" t="inlineStr">
        <is>
          <t>1 pr</t>
        </is>
      </c>
      <c r="M951" s="12" t="inlineStr">
        <is>
          <t>16</t>
        </is>
      </c>
      <c r="N951" s="12" t="n">
        <v>20</v>
      </c>
      <c r="O951" s="12" t="n">
        <v>1</v>
      </c>
      <c r="P951" s="12" t="n"/>
      <c r="Q951" s="12" t="n"/>
      <c r="R951" s="12" t="n"/>
      <c r="S951" s="12" t="inlineStr">
        <is>
          <t>Tray / conduit</t>
        </is>
      </c>
      <c r="T951" s="16" t="n">
        <v>96</v>
      </c>
      <c r="U951" s="16" t="n">
        <v>10</v>
      </c>
      <c r="V951" s="16">
        <f>ROUNDUP((T951+U951+2*'Read Me'!$B$13)*(1+'Read Me'!$B$12),-1)</f>
        <v/>
      </c>
      <c r="W951" s="16">
        <f>V951*N951*O951</f>
        <v/>
      </c>
      <c r="X951" s="12">
        <f>IF(LEFT(I951,2)="MV",2*N951*IF(L951="1/C",O951,1),0)</f>
        <v/>
      </c>
      <c r="Y951" s="12">
        <f>IF(OR(LEFT(K951,4)="LVAX",LEFT(K951,6)="MV15AX",LEFT(K951,4)="CTAX",LEFT(K951,2)="W|"),2*N951*O951,0)</f>
        <v/>
      </c>
      <c r="Z951" s="12" t="inlineStr">
        <is>
          <t>device-to-JB field wiring, one cable per device</t>
        </is>
      </c>
      <c r="AA951" s="12">
        <f>N951*O951</f>
        <v/>
      </c>
    </row>
    <row r="952">
      <c r="A952" s="12" t="inlineStr">
        <is>
          <t>A-I-0230</t>
        </is>
      </c>
      <c r="B952" s="12" t="inlineStr">
        <is>
          <t>A</t>
        </is>
      </c>
      <c r="C952" s="12" t="inlineStr">
        <is>
          <t>Power block</t>
        </is>
      </c>
      <c r="D952" s="12" t="inlineStr">
        <is>
          <t>Home run JB-GT1-TC03 to the control / marshalling room</t>
        </is>
      </c>
      <c r="E952" s="12" t="inlineStr">
        <is>
          <t>R2A</t>
        </is>
      </c>
      <c r="F952" s="12" t="inlineStr">
        <is>
          <t>R2A: unit / HRSG electrical e-house (32 x 40 ft)</t>
        </is>
      </c>
      <c r="G952" s="12" t="inlineStr">
        <is>
          <t>JB-GT1-TC03</t>
        </is>
      </c>
      <c r="H952" s="12" t="inlineStr">
        <is>
          <t>GT1: H-class gas turbine (60 Hz)</t>
        </is>
      </c>
      <c r="I952" s="12" t="inlineStr">
        <is>
          <t>Instrumentation</t>
        </is>
      </c>
      <c r="J952" s="12" t="inlineStr">
        <is>
          <t>Thermocouple extension KX, #16 shielded pairs, PLTC</t>
        </is>
      </c>
      <c r="K952" s="12" t="inlineStr">
        <is>
          <t>TCX|24 pr|16</t>
        </is>
      </c>
      <c r="L952" s="12" t="inlineStr">
        <is>
          <t>24 pr</t>
        </is>
      </c>
      <c r="M952" s="12" t="inlineStr">
        <is>
          <t>16</t>
        </is>
      </c>
      <c r="N952" s="12" t="n">
        <v>1</v>
      </c>
      <c r="O952" s="12" t="n">
        <v>1</v>
      </c>
      <c r="P952" s="12" t="n"/>
      <c r="Q952" s="12" t="n"/>
      <c r="R952" s="12" t="n"/>
      <c r="S952" s="12" t="inlineStr">
        <is>
          <t>Tray</t>
        </is>
      </c>
      <c r="T952" s="16" t="n">
        <v>154</v>
      </c>
      <c r="U952" s="16" t="n">
        <v>103</v>
      </c>
      <c r="V952" s="16">
        <f>ROUNDUP((T952+U952+2*'Read Me'!$B$13)*(1+'Read Me'!$B$12),-1)</f>
        <v/>
      </c>
      <c r="W952" s="16">
        <f>V952*N952*O952</f>
        <v/>
      </c>
      <c r="X952" s="12">
        <f>IF(LEFT(I952,2)="MV",2*N952*IF(L952="1/C",O952,1),0)</f>
        <v/>
      </c>
      <c r="Y952" s="12">
        <f>IF(OR(LEFT(K952,4)="LVAX",LEFT(K952,6)="MV15AX",LEFT(K952,4)="CTAX",LEFT(K952,2)="W|"),2*N952*O952,0)</f>
        <v/>
      </c>
      <c r="Z952" s="12" t="inlineStr"/>
      <c r="AA952" s="12">
        <f>N952*O952</f>
        <v/>
      </c>
    </row>
    <row r="953">
      <c r="A953" s="12" t="inlineStr">
        <is>
          <t>A-I-0231</t>
        </is>
      </c>
      <c r="B953" s="12" t="inlineStr">
        <is>
          <t>A</t>
        </is>
      </c>
      <c r="C953" s="12" t="inlineStr">
        <is>
          <t>Power block</t>
        </is>
      </c>
      <c r="D953" s="12" t="inlineStr">
        <is>
          <t>Vibration monitoring</t>
        </is>
      </c>
      <c r="E953" s="12" t="inlineStr">
        <is>
          <t>R2A</t>
        </is>
      </c>
      <c r="F953" s="12" t="inlineStr">
        <is>
          <t>R2A: unit / HRSG electrical e-house (32 x 40 ft)</t>
        </is>
      </c>
      <c r="G953" s="12" t="inlineStr">
        <is>
          <t>GT1</t>
        </is>
      </c>
      <c r="H953" s="12" t="inlineStr">
        <is>
          <t>GT1: H-class gas turbine (60 Hz)</t>
        </is>
      </c>
      <c r="I953" s="12" t="inlineStr">
        <is>
          <t>Instrumentation</t>
        </is>
      </c>
      <c r="J953" s="12" t="inlineStr">
        <is>
          <t>Instrumentation PLTC / TC-ER 300 V, #18 twisted shielded pairs, overall shield</t>
        </is>
      </c>
      <c r="K953" s="12" t="inlineStr">
        <is>
          <t>PLTC|4 pr|18</t>
        </is>
      </c>
      <c r="L953" s="12" t="inlineStr">
        <is>
          <t>4 pr</t>
        </is>
      </c>
      <c r="M953" s="12" t="inlineStr">
        <is>
          <t>18</t>
        </is>
      </c>
      <c r="N953" s="12" t="n">
        <v>1</v>
      </c>
      <c r="O953" s="12" t="n">
        <v>1</v>
      </c>
      <c r="P953" s="12" t="n"/>
      <c r="Q953" s="12" t="n"/>
      <c r="R953" s="12" t="n"/>
      <c r="S953" s="12" t="inlineStr">
        <is>
          <t>Tray</t>
        </is>
      </c>
      <c r="T953" s="16" t="n">
        <v>154</v>
      </c>
      <c r="U953" s="16" t="n">
        <v>103</v>
      </c>
      <c r="V953" s="16">
        <f>ROUNDUP((T953+U953+2*'Read Me'!$B$13)*(1+'Read Me'!$B$12),-1)</f>
        <v/>
      </c>
      <c r="W953" s="16">
        <f>V953*N953*O953</f>
        <v/>
      </c>
      <c r="X953" s="12">
        <f>IF(LEFT(I953,2)="MV",2*N953*IF(L953="1/C",O953,1),0)</f>
        <v/>
      </c>
      <c r="Y953" s="12">
        <f>IF(OR(LEFT(K953,4)="LVAX",LEFT(K953,6)="MV15AX",LEFT(K953,4)="CTAX",LEFT(K953,2)="W|"),2*N953*O953,0)</f>
        <v/>
      </c>
      <c r="Z953" s="12" t="inlineStr"/>
      <c r="AA953" s="12">
        <f>N953*O953</f>
        <v/>
      </c>
    </row>
    <row r="954">
      <c r="A954" s="12" t="inlineStr">
        <is>
          <t>A-I-0232</t>
        </is>
      </c>
      <c r="B954" s="12" t="inlineStr">
        <is>
          <t>A</t>
        </is>
      </c>
      <c r="C954" s="12" t="inlineStr">
        <is>
          <t>Power block</t>
        </is>
      </c>
      <c r="D954" s="12" t="inlineStr">
        <is>
          <t>Analog instrument to JB JB-GT2 aux-AI01: 20 x 1 pr (field cables)</t>
        </is>
      </c>
      <c r="E954" s="12" t="inlineStr">
        <is>
          <t>GT2 aux</t>
        </is>
      </c>
      <c r="F954" s="12" t="inlineStr">
        <is>
          <t>GT2 aux: lube oil, hydraulics, enclosure fans</t>
        </is>
      </c>
      <c r="G954" s="12" t="inlineStr">
        <is>
          <t>JB-GT2 aux-AI01</t>
        </is>
      </c>
      <c r="H954" s="12" t="inlineStr">
        <is>
          <t>GT2 aux: lube oil, hydraulics, enclosure fans</t>
        </is>
      </c>
      <c r="I954" s="12" t="inlineStr">
        <is>
          <t>Instrumentation</t>
        </is>
      </c>
      <c r="J954" s="12" t="inlineStr">
        <is>
          <t>Instrumentation ITC / PLTC, IS, #18 shielded pairs, blue jacket</t>
        </is>
      </c>
      <c r="K954" s="12" t="inlineStr">
        <is>
          <t>ITC|1 pr|16</t>
        </is>
      </c>
      <c r="L954" s="12" t="inlineStr">
        <is>
          <t>1 pr</t>
        </is>
      </c>
      <c r="M954" s="12" t="inlineStr">
        <is>
          <t>16</t>
        </is>
      </c>
      <c r="N954" s="12" t="n">
        <v>20</v>
      </c>
      <c r="O954" s="12" t="n">
        <v>1</v>
      </c>
      <c r="P954" s="12" t="n"/>
      <c r="Q954" s="12" t="n"/>
      <c r="R954" s="12" t="n"/>
      <c r="S954" s="12" t="inlineStr">
        <is>
          <t>Tray / conduit</t>
        </is>
      </c>
      <c r="T954" s="16" t="n">
        <v>62</v>
      </c>
      <c r="U954" s="16" t="n">
        <v>10</v>
      </c>
      <c r="V954" s="16">
        <f>ROUNDUP((T954+U954+2*'Read Me'!$B$13)*(1+'Read Me'!$B$12),-1)</f>
        <v/>
      </c>
      <c r="W954" s="16">
        <f>V954*N954*O954</f>
        <v/>
      </c>
      <c r="X954" s="12">
        <f>IF(LEFT(I954,2)="MV",2*N954*IF(L954="1/C",O954,1),0)</f>
        <v/>
      </c>
      <c r="Y954" s="12">
        <f>IF(OR(LEFT(K954,4)="LVAX",LEFT(K954,6)="MV15AX",LEFT(K954,4)="CTAX",LEFT(K954,2)="W|"),2*N954*O954,0)</f>
        <v/>
      </c>
      <c r="Z954" s="12" t="inlineStr">
        <is>
          <t>device-to-JB field wiring, one cable per device</t>
        </is>
      </c>
      <c r="AA954" s="12">
        <f>N954*O954</f>
        <v/>
      </c>
    </row>
    <row r="955">
      <c r="A955" s="12" t="inlineStr">
        <is>
          <t>A-I-0233</t>
        </is>
      </c>
      <c r="B955" s="12" t="inlineStr">
        <is>
          <t>A</t>
        </is>
      </c>
      <c r="C955" s="12" t="inlineStr">
        <is>
          <t>Power block</t>
        </is>
      </c>
      <c r="D955" s="12" t="inlineStr">
        <is>
          <t>Home run JB-GT2 aux-AI01 to the control / marshalling room</t>
        </is>
      </c>
      <c r="E955" s="12" t="inlineStr">
        <is>
          <t>R2B</t>
        </is>
      </c>
      <c r="F955" s="12" t="inlineStr">
        <is>
          <t>R2B: unit / HRSG electrical e-house (32 x 40 ft)</t>
        </is>
      </c>
      <c r="G955" s="12" t="inlineStr">
        <is>
          <t>JB-GT2 aux-AI01</t>
        </is>
      </c>
      <c r="H955" s="12" t="inlineStr">
        <is>
          <t>GT2 aux: lube oil, hydraulics, enclosure fans</t>
        </is>
      </c>
      <c r="I955" s="12" t="inlineStr">
        <is>
          <t>Instrumentation</t>
        </is>
      </c>
      <c r="J955" s="12" t="inlineStr">
        <is>
          <t>Instrumentation ITC / PLTC, IS, #18 shielded pairs, blue jacket</t>
        </is>
      </c>
      <c r="K955" s="12" t="inlineStr">
        <is>
          <t>ITC|24 pr|18</t>
        </is>
      </c>
      <c r="L955" s="12" t="inlineStr">
        <is>
          <t>24 pr</t>
        </is>
      </c>
      <c r="M955" s="12" t="inlineStr">
        <is>
          <t>18</t>
        </is>
      </c>
      <c r="N955" s="12" t="n">
        <v>1</v>
      </c>
      <c r="O955" s="12" t="n">
        <v>1</v>
      </c>
      <c r="P955" s="12" t="n"/>
      <c r="Q955" s="12" t="n"/>
      <c r="R955" s="12" t="n"/>
      <c r="S955" s="12" t="inlineStr">
        <is>
          <t>Tray</t>
        </is>
      </c>
      <c r="T955" s="16" t="n">
        <v>1116</v>
      </c>
      <c r="U955" s="16" t="n">
        <v>213</v>
      </c>
      <c r="V955" s="16">
        <f>ROUNDUP((T955+U955+2*'Read Me'!$B$13)*(1+'Read Me'!$B$12),-1)</f>
        <v/>
      </c>
      <c r="W955" s="16">
        <f>V955*N955*O955</f>
        <v/>
      </c>
      <c r="X955" s="12">
        <f>IF(LEFT(I955,2)="MV",2*N955*IF(L955="1/C",O955,1),0)</f>
        <v/>
      </c>
      <c r="Y955" s="12">
        <f>IF(OR(LEFT(K955,4)="LVAX",LEFT(K955,6)="MV15AX",LEFT(K955,4)="CTAX",LEFT(K955,2)="W|"),2*N955*O955,0)</f>
        <v/>
      </c>
      <c r="Z955" s="12" t="inlineStr"/>
      <c r="AA955" s="12">
        <f>N955*O955</f>
        <v/>
      </c>
    </row>
    <row r="956">
      <c r="A956" s="12" t="inlineStr">
        <is>
          <t>A-I-0234</t>
        </is>
      </c>
      <c r="B956" s="12" t="inlineStr">
        <is>
          <t>A</t>
        </is>
      </c>
      <c r="C956" s="12" t="inlineStr">
        <is>
          <t>Power block</t>
        </is>
      </c>
      <c r="D956" s="12" t="inlineStr">
        <is>
          <t>Analog instrument to JB JB-GT2 aux-AI02: 20 x 1 pr (field cables)</t>
        </is>
      </c>
      <c r="E956" s="12" t="inlineStr">
        <is>
          <t>GT2 aux</t>
        </is>
      </c>
      <c r="F956" s="12" t="inlineStr">
        <is>
          <t>GT2 aux: lube oil, hydraulics, enclosure fans</t>
        </is>
      </c>
      <c r="G956" s="12" t="inlineStr">
        <is>
          <t>JB-GT2 aux-AI02</t>
        </is>
      </c>
      <c r="H956" s="12" t="inlineStr">
        <is>
          <t>GT2 aux: lube oil, hydraulics, enclosure fans</t>
        </is>
      </c>
      <c r="I956" s="12" t="inlineStr">
        <is>
          <t>Instrumentation</t>
        </is>
      </c>
      <c r="J956" s="12" t="inlineStr">
        <is>
          <t>Instrumentation ITC / PLTC, IS, #18 shielded pairs, blue jacket</t>
        </is>
      </c>
      <c r="K956" s="12" t="inlineStr">
        <is>
          <t>ITC|1 pr|16</t>
        </is>
      </c>
      <c r="L956" s="12" t="inlineStr">
        <is>
          <t>1 pr</t>
        </is>
      </c>
      <c r="M956" s="12" t="inlineStr">
        <is>
          <t>16</t>
        </is>
      </c>
      <c r="N956" s="12" t="n">
        <v>20</v>
      </c>
      <c r="O956" s="12" t="n">
        <v>1</v>
      </c>
      <c r="P956" s="12" t="n"/>
      <c r="Q956" s="12" t="n"/>
      <c r="R956" s="12" t="n"/>
      <c r="S956" s="12" t="inlineStr">
        <is>
          <t>Tray / conduit</t>
        </is>
      </c>
      <c r="T956" s="16" t="n">
        <v>62</v>
      </c>
      <c r="U956" s="16" t="n">
        <v>10</v>
      </c>
      <c r="V956" s="16">
        <f>ROUNDUP((T956+U956+2*'Read Me'!$B$13)*(1+'Read Me'!$B$12),-1)</f>
        <v/>
      </c>
      <c r="W956" s="16">
        <f>V956*N956*O956</f>
        <v/>
      </c>
      <c r="X956" s="12">
        <f>IF(LEFT(I956,2)="MV",2*N956*IF(L956="1/C",O956,1),0)</f>
        <v/>
      </c>
      <c r="Y956" s="12">
        <f>IF(OR(LEFT(K956,4)="LVAX",LEFT(K956,6)="MV15AX",LEFT(K956,4)="CTAX",LEFT(K956,2)="W|"),2*N956*O956,0)</f>
        <v/>
      </c>
      <c r="Z956" s="12" t="inlineStr">
        <is>
          <t>device-to-JB field wiring, one cable per device</t>
        </is>
      </c>
      <c r="AA956" s="12">
        <f>N956*O956</f>
        <v/>
      </c>
    </row>
    <row r="957">
      <c r="A957" s="12" t="inlineStr">
        <is>
          <t>A-I-0235</t>
        </is>
      </c>
      <c r="B957" s="12" t="inlineStr">
        <is>
          <t>A</t>
        </is>
      </c>
      <c r="C957" s="12" t="inlineStr">
        <is>
          <t>Power block</t>
        </is>
      </c>
      <c r="D957" s="12" t="inlineStr">
        <is>
          <t>Home run JB-GT2 aux-AI02 to the control / marshalling room</t>
        </is>
      </c>
      <c r="E957" s="12" t="inlineStr">
        <is>
          <t>R2B</t>
        </is>
      </c>
      <c r="F957" s="12" t="inlineStr">
        <is>
          <t>R2B: unit / HRSG electrical e-house (32 x 40 ft)</t>
        </is>
      </c>
      <c r="G957" s="12" t="inlineStr">
        <is>
          <t>JB-GT2 aux-AI02</t>
        </is>
      </c>
      <c r="H957" s="12" t="inlineStr">
        <is>
          <t>GT2 aux: lube oil, hydraulics, enclosure fans</t>
        </is>
      </c>
      <c r="I957" s="12" t="inlineStr">
        <is>
          <t>Instrumentation</t>
        </is>
      </c>
      <c r="J957" s="12" t="inlineStr">
        <is>
          <t>Instrumentation ITC / PLTC, IS, #18 shielded pairs, blue jacket</t>
        </is>
      </c>
      <c r="K957" s="12" t="inlineStr">
        <is>
          <t>ITC|24 pr|18</t>
        </is>
      </c>
      <c r="L957" s="12" t="inlineStr">
        <is>
          <t>24 pr</t>
        </is>
      </c>
      <c r="M957" s="12" t="inlineStr">
        <is>
          <t>18</t>
        </is>
      </c>
      <c r="N957" s="12" t="n">
        <v>1</v>
      </c>
      <c r="O957" s="12" t="n">
        <v>1</v>
      </c>
      <c r="P957" s="12" t="n"/>
      <c r="Q957" s="12" t="n"/>
      <c r="R957" s="12" t="n"/>
      <c r="S957" s="12" t="inlineStr">
        <is>
          <t>Tray</t>
        </is>
      </c>
      <c r="T957" s="16" t="n">
        <v>1116</v>
      </c>
      <c r="U957" s="16" t="n">
        <v>213</v>
      </c>
      <c r="V957" s="16">
        <f>ROUNDUP((T957+U957+2*'Read Me'!$B$13)*(1+'Read Me'!$B$12),-1)</f>
        <v/>
      </c>
      <c r="W957" s="16">
        <f>V957*N957*O957</f>
        <v/>
      </c>
      <c r="X957" s="12">
        <f>IF(LEFT(I957,2)="MV",2*N957*IF(L957="1/C",O957,1),0)</f>
        <v/>
      </c>
      <c r="Y957" s="12">
        <f>IF(OR(LEFT(K957,4)="LVAX",LEFT(K957,6)="MV15AX",LEFT(K957,4)="CTAX",LEFT(K957,2)="W|"),2*N957*O957,0)</f>
        <v/>
      </c>
      <c r="Z957" s="12" t="inlineStr"/>
      <c r="AA957" s="12">
        <f>N957*O957</f>
        <v/>
      </c>
    </row>
    <row r="958">
      <c r="A958" s="12" t="inlineStr">
        <is>
          <t>A-I-0236</t>
        </is>
      </c>
      <c r="B958" s="12" t="inlineStr">
        <is>
          <t>A</t>
        </is>
      </c>
      <c r="C958" s="12" t="inlineStr">
        <is>
          <t>Power block</t>
        </is>
      </c>
      <c r="D958" s="12" t="inlineStr">
        <is>
          <t>Discrete device to JB JB-GT2 aux-DI01: 20 x 1 pr (field cables)</t>
        </is>
      </c>
      <c r="E958" s="12" t="inlineStr">
        <is>
          <t>GT2 aux</t>
        </is>
      </c>
      <c r="F958" s="12" t="inlineStr">
        <is>
          <t>GT2 aux: lube oil, hydraulics, enclosure fans</t>
        </is>
      </c>
      <c r="G958" s="12" t="inlineStr">
        <is>
          <t>JB-GT2 aux-DI01</t>
        </is>
      </c>
      <c r="H958" s="12" t="inlineStr">
        <is>
          <t>GT2 aux: lube oil, hydraulics, enclosure fans</t>
        </is>
      </c>
      <c r="I958" s="12" t="inlineStr">
        <is>
          <t>Instrumentation</t>
        </is>
      </c>
      <c r="J958" s="12" t="inlineStr">
        <is>
          <t>Instrumentation ITC / PLTC, IS, #18 shielded pairs, blue jacket</t>
        </is>
      </c>
      <c r="K958" s="12" t="inlineStr">
        <is>
          <t>ITC|1 pr|16</t>
        </is>
      </c>
      <c r="L958" s="12" t="inlineStr">
        <is>
          <t>1 pr</t>
        </is>
      </c>
      <c r="M958" s="12" t="inlineStr">
        <is>
          <t>16</t>
        </is>
      </c>
      <c r="N958" s="12" t="n">
        <v>20</v>
      </c>
      <c r="O958" s="12" t="n">
        <v>1</v>
      </c>
      <c r="P958" s="12" t="n"/>
      <c r="Q958" s="12" t="n"/>
      <c r="R958" s="12" t="n"/>
      <c r="S958" s="12" t="inlineStr">
        <is>
          <t>Tray / conduit</t>
        </is>
      </c>
      <c r="T958" s="16" t="n">
        <v>62</v>
      </c>
      <c r="U958" s="16" t="n">
        <v>10</v>
      </c>
      <c r="V958" s="16">
        <f>ROUNDUP((T958+U958+2*'Read Me'!$B$13)*(1+'Read Me'!$B$12),-1)</f>
        <v/>
      </c>
      <c r="W958" s="16">
        <f>V958*N958*O958</f>
        <v/>
      </c>
      <c r="X958" s="12">
        <f>IF(LEFT(I958,2)="MV",2*N958*IF(L958="1/C",O958,1),0)</f>
        <v/>
      </c>
      <c r="Y958" s="12">
        <f>IF(OR(LEFT(K958,4)="LVAX",LEFT(K958,6)="MV15AX",LEFT(K958,4)="CTAX",LEFT(K958,2)="W|"),2*N958*O958,0)</f>
        <v/>
      </c>
      <c r="Z958" s="12" t="inlineStr">
        <is>
          <t>device-to-JB field wiring, one cable per device</t>
        </is>
      </c>
      <c r="AA958" s="12">
        <f>N958*O958</f>
        <v/>
      </c>
    </row>
    <row r="959">
      <c r="A959" s="12" t="inlineStr">
        <is>
          <t>A-I-0237</t>
        </is>
      </c>
      <c r="B959" s="12" t="inlineStr">
        <is>
          <t>A</t>
        </is>
      </c>
      <c r="C959" s="12" t="inlineStr">
        <is>
          <t>Power block</t>
        </is>
      </c>
      <c r="D959" s="12" t="inlineStr">
        <is>
          <t>Home run JB-GT2 aux-DI01 to the control / marshalling room</t>
        </is>
      </c>
      <c r="E959" s="12" t="inlineStr">
        <is>
          <t>R2B</t>
        </is>
      </c>
      <c r="F959" s="12" t="inlineStr">
        <is>
          <t>R2B: unit / HRSG electrical e-house (32 x 40 ft)</t>
        </is>
      </c>
      <c r="G959" s="12" t="inlineStr">
        <is>
          <t>JB-GT2 aux-DI01</t>
        </is>
      </c>
      <c r="H959" s="12" t="inlineStr">
        <is>
          <t>GT2 aux: lube oil, hydraulics, enclosure fans</t>
        </is>
      </c>
      <c r="I959" s="12" t="inlineStr">
        <is>
          <t>Instrumentation</t>
        </is>
      </c>
      <c r="J959" s="12" t="inlineStr">
        <is>
          <t>Instrumentation ITC / PLTC, IS, #18 shielded pairs, blue jacket</t>
        </is>
      </c>
      <c r="K959" s="12" t="inlineStr">
        <is>
          <t>ITC|24 pr|18</t>
        </is>
      </c>
      <c r="L959" s="12" t="inlineStr">
        <is>
          <t>24 pr</t>
        </is>
      </c>
      <c r="M959" s="12" t="inlineStr">
        <is>
          <t>18</t>
        </is>
      </c>
      <c r="N959" s="12" t="n">
        <v>1</v>
      </c>
      <c r="O959" s="12" t="n">
        <v>1</v>
      </c>
      <c r="P959" s="12" t="n"/>
      <c r="Q959" s="12" t="n"/>
      <c r="R959" s="12" t="n"/>
      <c r="S959" s="12" t="inlineStr">
        <is>
          <t>Tray</t>
        </is>
      </c>
      <c r="T959" s="16" t="n">
        <v>1116</v>
      </c>
      <c r="U959" s="16" t="n">
        <v>213</v>
      </c>
      <c r="V959" s="16">
        <f>ROUNDUP((T959+U959+2*'Read Me'!$B$13)*(1+'Read Me'!$B$12),-1)</f>
        <v/>
      </c>
      <c r="W959" s="16">
        <f>V959*N959*O959</f>
        <v/>
      </c>
      <c r="X959" s="12">
        <f>IF(LEFT(I959,2)="MV",2*N959*IF(L959="1/C",O959,1),0)</f>
        <v/>
      </c>
      <c r="Y959" s="12">
        <f>IF(OR(LEFT(K959,4)="LVAX",LEFT(K959,6)="MV15AX",LEFT(K959,4)="CTAX",LEFT(K959,2)="W|"),2*N959*O959,0)</f>
        <v/>
      </c>
      <c r="Z959" s="12" t="inlineStr"/>
      <c r="AA959" s="12">
        <f>N959*O959</f>
        <v/>
      </c>
    </row>
    <row r="960">
      <c r="A960" s="12" t="inlineStr">
        <is>
          <t>A-I-0238</t>
        </is>
      </c>
      <c r="B960" s="12" t="inlineStr">
        <is>
          <t>A</t>
        </is>
      </c>
      <c r="C960" s="12" t="inlineStr">
        <is>
          <t>Power block</t>
        </is>
      </c>
      <c r="D960" s="12" t="inlineStr">
        <is>
          <t>Discrete device to JB JB-GT2 aux-DI02: 20 x 1 pr (field cables)</t>
        </is>
      </c>
      <c r="E960" s="12" t="inlineStr">
        <is>
          <t>GT2 aux</t>
        </is>
      </c>
      <c r="F960" s="12" t="inlineStr">
        <is>
          <t>GT2 aux: lube oil, hydraulics, enclosure fans</t>
        </is>
      </c>
      <c r="G960" s="12" t="inlineStr">
        <is>
          <t>JB-GT2 aux-DI02</t>
        </is>
      </c>
      <c r="H960" s="12" t="inlineStr">
        <is>
          <t>GT2 aux: lube oil, hydraulics, enclosure fans</t>
        </is>
      </c>
      <c r="I960" s="12" t="inlineStr">
        <is>
          <t>Instrumentation</t>
        </is>
      </c>
      <c r="J960" s="12" t="inlineStr">
        <is>
          <t>Instrumentation ITC / PLTC, IS, #18 shielded pairs, blue jacket</t>
        </is>
      </c>
      <c r="K960" s="12" t="inlineStr">
        <is>
          <t>ITC|1 pr|16</t>
        </is>
      </c>
      <c r="L960" s="12" t="inlineStr">
        <is>
          <t>1 pr</t>
        </is>
      </c>
      <c r="M960" s="12" t="inlineStr">
        <is>
          <t>16</t>
        </is>
      </c>
      <c r="N960" s="12" t="n">
        <v>20</v>
      </c>
      <c r="O960" s="12" t="n">
        <v>1</v>
      </c>
      <c r="P960" s="12" t="n"/>
      <c r="Q960" s="12" t="n"/>
      <c r="R960" s="12" t="n"/>
      <c r="S960" s="12" t="inlineStr">
        <is>
          <t>Tray / conduit</t>
        </is>
      </c>
      <c r="T960" s="16" t="n">
        <v>62</v>
      </c>
      <c r="U960" s="16" t="n">
        <v>10</v>
      </c>
      <c r="V960" s="16">
        <f>ROUNDUP((T960+U960+2*'Read Me'!$B$13)*(1+'Read Me'!$B$12),-1)</f>
        <v/>
      </c>
      <c r="W960" s="16">
        <f>V960*N960*O960</f>
        <v/>
      </c>
      <c r="X960" s="12">
        <f>IF(LEFT(I960,2)="MV",2*N960*IF(L960="1/C",O960,1),0)</f>
        <v/>
      </c>
      <c r="Y960" s="12">
        <f>IF(OR(LEFT(K960,4)="LVAX",LEFT(K960,6)="MV15AX",LEFT(K960,4)="CTAX",LEFT(K960,2)="W|"),2*N960*O960,0)</f>
        <v/>
      </c>
      <c r="Z960" s="12" t="inlineStr">
        <is>
          <t>device-to-JB field wiring, one cable per device</t>
        </is>
      </c>
      <c r="AA960" s="12">
        <f>N960*O960</f>
        <v/>
      </c>
    </row>
    <row r="961">
      <c r="A961" s="12" t="inlineStr">
        <is>
          <t>A-I-0239</t>
        </is>
      </c>
      <c r="B961" s="12" t="inlineStr">
        <is>
          <t>A</t>
        </is>
      </c>
      <c r="C961" s="12" t="inlineStr">
        <is>
          <t>Power block</t>
        </is>
      </c>
      <c r="D961" s="12" t="inlineStr">
        <is>
          <t>Home run JB-GT2 aux-DI02 to the control / marshalling room</t>
        </is>
      </c>
      <c r="E961" s="12" t="inlineStr">
        <is>
          <t>R2B</t>
        </is>
      </c>
      <c r="F961" s="12" t="inlineStr">
        <is>
          <t>R2B: unit / HRSG electrical e-house (32 x 40 ft)</t>
        </is>
      </c>
      <c r="G961" s="12" t="inlineStr">
        <is>
          <t>JB-GT2 aux-DI02</t>
        </is>
      </c>
      <c r="H961" s="12" t="inlineStr">
        <is>
          <t>GT2 aux: lube oil, hydraulics, enclosure fans</t>
        </is>
      </c>
      <c r="I961" s="12" t="inlineStr">
        <is>
          <t>Instrumentation</t>
        </is>
      </c>
      <c r="J961" s="12" t="inlineStr">
        <is>
          <t>Instrumentation ITC / PLTC, IS, #18 shielded pairs, blue jacket</t>
        </is>
      </c>
      <c r="K961" s="12" t="inlineStr">
        <is>
          <t>ITC|24 pr|18</t>
        </is>
      </c>
      <c r="L961" s="12" t="inlineStr">
        <is>
          <t>24 pr</t>
        </is>
      </c>
      <c r="M961" s="12" t="inlineStr">
        <is>
          <t>18</t>
        </is>
      </c>
      <c r="N961" s="12" t="n">
        <v>1</v>
      </c>
      <c r="O961" s="12" t="n">
        <v>1</v>
      </c>
      <c r="P961" s="12" t="n"/>
      <c r="Q961" s="12" t="n"/>
      <c r="R961" s="12" t="n"/>
      <c r="S961" s="12" t="inlineStr">
        <is>
          <t>Tray</t>
        </is>
      </c>
      <c r="T961" s="16" t="n">
        <v>1116</v>
      </c>
      <c r="U961" s="16" t="n">
        <v>213</v>
      </c>
      <c r="V961" s="16">
        <f>ROUNDUP((T961+U961+2*'Read Me'!$B$13)*(1+'Read Me'!$B$12),-1)</f>
        <v/>
      </c>
      <c r="W961" s="16">
        <f>V961*N961*O961</f>
        <v/>
      </c>
      <c r="X961" s="12">
        <f>IF(LEFT(I961,2)="MV",2*N961*IF(L961="1/C",O961,1),0)</f>
        <v/>
      </c>
      <c r="Y961" s="12">
        <f>IF(OR(LEFT(K961,4)="LVAX",LEFT(K961,6)="MV15AX",LEFT(K961,4)="CTAX",LEFT(K961,2)="W|"),2*N961*O961,0)</f>
        <v/>
      </c>
      <c r="Z961" s="12" t="inlineStr"/>
      <c r="AA961" s="12">
        <f>N961*O961</f>
        <v/>
      </c>
    </row>
    <row r="962">
      <c r="A962" s="12" t="inlineStr">
        <is>
          <t>A-I-0240</t>
        </is>
      </c>
      <c r="B962" s="12" t="inlineStr">
        <is>
          <t>A</t>
        </is>
      </c>
      <c r="C962" s="12" t="inlineStr">
        <is>
          <t>Power block</t>
        </is>
      </c>
      <c r="D962" s="12" t="inlineStr">
        <is>
          <t>Analog instrument to JB JB-INL-2-AI01: 6 x 1 pr (field cables)</t>
        </is>
      </c>
      <c r="E962" s="12" t="inlineStr">
        <is>
          <t>INL-2</t>
        </is>
      </c>
      <c r="F962" s="12" t="inlineStr">
        <is>
          <t>GT2 inlet duct (drop + horizontal EL 23-37)</t>
        </is>
      </c>
      <c r="G962" s="12" t="inlineStr">
        <is>
          <t>JB-INL-2-AI01</t>
        </is>
      </c>
      <c r="H962" s="12" t="inlineStr">
        <is>
          <t>GT2 inlet duct (drop + horizontal EL 23-37)</t>
        </is>
      </c>
      <c r="I962" s="12" t="inlineStr">
        <is>
          <t>Instrumentation</t>
        </is>
      </c>
      <c r="J962" s="12" t="inlineStr">
        <is>
          <t>Instrumentation ITC / PLTC, IS, #18 shielded pairs, blue jacket</t>
        </is>
      </c>
      <c r="K962" s="12" t="inlineStr">
        <is>
          <t>ITC|1 pr|16</t>
        </is>
      </c>
      <c r="L962" s="12" t="inlineStr">
        <is>
          <t>1 pr</t>
        </is>
      </c>
      <c r="M962" s="12" t="inlineStr">
        <is>
          <t>16</t>
        </is>
      </c>
      <c r="N962" s="12" t="n">
        <v>6</v>
      </c>
      <c r="O962" s="12" t="n">
        <v>1</v>
      </c>
      <c r="P962" s="12" t="n"/>
      <c r="Q962" s="12" t="n"/>
      <c r="R962" s="12" t="n"/>
      <c r="S962" s="12" t="inlineStr">
        <is>
          <t>Tray / conduit</t>
        </is>
      </c>
      <c r="T962" s="16" t="n">
        <v>132</v>
      </c>
      <c r="U962" s="16" t="n">
        <v>10</v>
      </c>
      <c r="V962" s="16">
        <f>ROUNDUP((T962+U962+2*'Read Me'!$B$13)*(1+'Read Me'!$B$12),-1)</f>
        <v/>
      </c>
      <c r="W962" s="16">
        <f>V962*N962*O962</f>
        <v/>
      </c>
      <c r="X962" s="12">
        <f>IF(LEFT(I962,2)="MV",2*N962*IF(L962="1/C",O962,1),0)</f>
        <v/>
      </c>
      <c r="Y962" s="12">
        <f>IF(OR(LEFT(K962,4)="LVAX",LEFT(K962,6)="MV15AX",LEFT(K962,4)="CTAX",LEFT(K962,2)="W|"),2*N962*O962,0)</f>
        <v/>
      </c>
      <c r="Z962" s="12" t="inlineStr">
        <is>
          <t>device-to-JB field wiring, one cable per device</t>
        </is>
      </c>
      <c r="AA962" s="12">
        <f>N962*O962</f>
        <v/>
      </c>
    </row>
    <row r="963">
      <c r="A963" s="12" t="inlineStr">
        <is>
          <t>A-I-0241</t>
        </is>
      </c>
      <c r="B963" s="12" t="inlineStr">
        <is>
          <t>A</t>
        </is>
      </c>
      <c r="C963" s="12" t="inlineStr">
        <is>
          <t>Power block</t>
        </is>
      </c>
      <c r="D963" s="12" t="inlineStr">
        <is>
          <t>Home run JB-INL-2-AI01 to the control / marshalling room</t>
        </is>
      </c>
      <c r="E963" s="12" t="inlineStr">
        <is>
          <t>R2B</t>
        </is>
      </c>
      <c r="F963" s="12" t="inlineStr">
        <is>
          <t>R2B: unit / HRSG electrical e-house (32 x 40 ft)</t>
        </is>
      </c>
      <c r="G963" s="12" t="inlineStr">
        <is>
          <t>JB-INL-2-AI01</t>
        </is>
      </c>
      <c r="H963" s="12" t="inlineStr">
        <is>
          <t>GT2 inlet duct (drop + horizontal EL 23-37)</t>
        </is>
      </c>
      <c r="I963" s="12" t="inlineStr">
        <is>
          <t>Instrumentation</t>
        </is>
      </c>
      <c r="J963" s="12" t="inlineStr">
        <is>
          <t>Instrumentation ITC / PLTC, IS, #18 shielded pairs, blue jacket</t>
        </is>
      </c>
      <c r="K963" s="12" t="inlineStr">
        <is>
          <t>ITC|24 pr|18</t>
        </is>
      </c>
      <c r="L963" s="12" t="inlineStr">
        <is>
          <t>24 pr</t>
        </is>
      </c>
      <c r="M963" s="12" t="inlineStr">
        <is>
          <t>18</t>
        </is>
      </c>
      <c r="N963" s="12" t="n">
        <v>1</v>
      </c>
      <c r="O963" s="12" t="n">
        <v>1</v>
      </c>
      <c r="P963" s="12" t="n"/>
      <c r="Q963" s="12" t="n"/>
      <c r="R963" s="12" t="n"/>
      <c r="S963" s="12" t="inlineStr">
        <is>
          <t>Tray</t>
        </is>
      </c>
      <c r="T963" s="16" t="n">
        <v>1233</v>
      </c>
      <c r="U963" s="16" t="n">
        <v>199</v>
      </c>
      <c r="V963" s="16">
        <f>ROUNDUP((T963+U963+2*'Read Me'!$B$13)*(1+'Read Me'!$B$12),-1)</f>
        <v/>
      </c>
      <c r="W963" s="16">
        <f>V963*N963*O963</f>
        <v/>
      </c>
      <c r="X963" s="12">
        <f>IF(LEFT(I963,2)="MV",2*N963*IF(L963="1/C",O963,1),0)</f>
        <v/>
      </c>
      <c r="Y963" s="12">
        <f>IF(OR(LEFT(K963,4)="LVAX",LEFT(K963,6)="MV15AX",LEFT(K963,4)="CTAX",LEFT(K963,2)="W|"),2*N963*O963,0)</f>
        <v/>
      </c>
      <c r="Z963" s="12" t="inlineStr"/>
      <c r="AA963" s="12">
        <f>N963*O963</f>
        <v/>
      </c>
    </row>
    <row r="964">
      <c r="A964" s="12" t="inlineStr">
        <is>
          <t>A-I-0242</t>
        </is>
      </c>
      <c r="B964" s="12" t="inlineStr">
        <is>
          <t>A</t>
        </is>
      </c>
      <c r="C964" s="12" t="inlineStr">
        <is>
          <t>Power block</t>
        </is>
      </c>
      <c r="D964" s="12" t="inlineStr">
        <is>
          <t>Thermocouple to TC JB JB-INL-2-TC01: 4 x 1 pr (field cables)</t>
        </is>
      </c>
      <c r="E964" s="12" t="inlineStr">
        <is>
          <t>INL-2</t>
        </is>
      </c>
      <c r="F964" s="12" t="inlineStr">
        <is>
          <t>GT2 inlet duct (drop + horizontal EL 23-37)</t>
        </is>
      </c>
      <c r="G964" s="12" t="inlineStr">
        <is>
          <t>JB-INL-2-TC01</t>
        </is>
      </c>
      <c r="H964" s="12" t="inlineStr">
        <is>
          <t>GT2 inlet duct (drop + horizontal EL 23-37)</t>
        </is>
      </c>
      <c r="I964" s="12" t="inlineStr">
        <is>
          <t>Instrumentation</t>
        </is>
      </c>
      <c r="J964" s="12" t="inlineStr">
        <is>
          <t>Thermocouple extension KX, #16 shielded pairs, PLTC</t>
        </is>
      </c>
      <c r="K964" s="12" t="inlineStr">
        <is>
          <t>TCX|1 pr|16</t>
        </is>
      </c>
      <c r="L964" s="12" t="inlineStr">
        <is>
          <t>1 pr</t>
        </is>
      </c>
      <c r="M964" s="12" t="inlineStr">
        <is>
          <t>16</t>
        </is>
      </c>
      <c r="N964" s="12" t="n">
        <v>4</v>
      </c>
      <c r="O964" s="12" t="n">
        <v>1</v>
      </c>
      <c r="P964" s="12" t="n"/>
      <c r="Q964" s="12" t="n"/>
      <c r="R964" s="12" t="n"/>
      <c r="S964" s="12" t="inlineStr">
        <is>
          <t>Tray / conduit</t>
        </is>
      </c>
      <c r="T964" s="16" t="n">
        <v>132</v>
      </c>
      <c r="U964" s="16" t="n">
        <v>10</v>
      </c>
      <c r="V964" s="16">
        <f>ROUNDUP((T964+U964+2*'Read Me'!$B$13)*(1+'Read Me'!$B$12),-1)</f>
        <v/>
      </c>
      <c r="W964" s="16">
        <f>V964*N964*O964</f>
        <v/>
      </c>
      <c r="X964" s="12">
        <f>IF(LEFT(I964,2)="MV",2*N964*IF(L964="1/C",O964,1),0)</f>
        <v/>
      </c>
      <c r="Y964" s="12">
        <f>IF(OR(LEFT(K964,4)="LVAX",LEFT(K964,6)="MV15AX",LEFT(K964,4)="CTAX",LEFT(K964,2)="W|"),2*N964*O964,0)</f>
        <v/>
      </c>
      <c r="Z964" s="12" t="inlineStr">
        <is>
          <t>device-to-JB field wiring, one cable per device</t>
        </is>
      </c>
      <c r="AA964" s="12">
        <f>N964*O964</f>
        <v/>
      </c>
    </row>
    <row r="965">
      <c r="A965" s="12" t="inlineStr">
        <is>
          <t>A-I-0243</t>
        </is>
      </c>
      <c r="B965" s="12" t="inlineStr">
        <is>
          <t>A</t>
        </is>
      </c>
      <c r="C965" s="12" t="inlineStr">
        <is>
          <t>Power block</t>
        </is>
      </c>
      <c r="D965" s="12" t="inlineStr">
        <is>
          <t>Home run JB-INL-2-TC01 to the control / marshalling room</t>
        </is>
      </c>
      <c r="E965" s="12" t="inlineStr">
        <is>
          <t>R2B</t>
        </is>
      </c>
      <c r="F965" s="12" t="inlineStr">
        <is>
          <t>R2B: unit / HRSG electrical e-house (32 x 40 ft)</t>
        </is>
      </c>
      <c r="G965" s="12" t="inlineStr">
        <is>
          <t>JB-INL-2-TC01</t>
        </is>
      </c>
      <c r="H965" s="12" t="inlineStr">
        <is>
          <t>GT2 inlet duct (drop + horizontal EL 23-37)</t>
        </is>
      </c>
      <c r="I965" s="12" t="inlineStr">
        <is>
          <t>Instrumentation</t>
        </is>
      </c>
      <c r="J965" s="12" t="inlineStr">
        <is>
          <t>Thermocouple extension KX, #16 shielded pairs, PLTC</t>
        </is>
      </c>
      <c r="K965" s="12" t="inlineStr">
        <is>
          <t>TCX|24 pr|16</t>
        </is>
      </c>
      <c r="L965" s="12" t="inlineStr">
        <is>
          <t>24 pr</t>
        </is>
      </c>
      <c r="M965" s="12" t="inlineStr">
        <is>
          <t>16</t>
        </is>
      </c>
      <c r="N965" s="12" t="n">
        <v>1</v>
      </c>
      <c r="O965" s="12" t="n">
        <v>1</v>
      </c>
      <c r="P965" s="12" t="n"/>
      <c r="Q965" s="12" t="n"/>
      <c r="R965" s="12" t="n"/>
      <c r="S965" s="12" t="inlineStr">
        <is>
          <t>Tray</t>
        </is>
      </c>
      <c r="T965" s="16" t="n">
        <v>1233</v>
      </c>
      <c r="U965" s="16" t="n">
        <v>199</v>
      </c>
      <c r="V965" s="16">
        <f>ROUNDUP((T965+U965+2*'Read Me'!$B$13)*(1+'Read Me'!$B$12),-1)</f>
        <v/>
      </c>
      <c r="W965" s="16">
        <f>V965*N965*O965</f>
        <v/>
      </c>
      <c r="X965" s="12">
        <f>IF(LEFT(I965,2)="MV",2*N965*IF(L965="1/C",O965,1),0)</f>
        <v/>
      </c>
      <c r="Y965" s="12">
        <f>IF(OR(LEFT(K965,4)="LVAX",LEFT(K965,6)="MV15AX",LEFT(K965,4)="CTAX",LEFT(K965,2)="W|"),2*N965*O965,0)</f>
        <v/>
      </c>
      <c r="Z965" s="12" t="inlineStr"/>
      <c r="AA965" s="12">
        <f>N965*O965</f>
        <v/>
      </c>
    </row>
    <row r="966">
      <c r="A966" s="12" t="inlineStr">
        <is>
          <t>A-I-0244</t>
        </is>
      </c>
      <c r="B966" s="12" t="inlineStr">
        <is>
          <t>A</t>
        </is>
      </c>
      <c r="C966" s="12" t="inlineStr">
        <is>
          <t>Power block</t>
        </is>
      </c>
      <c r="D966" s="12" t="inlineStr">
        <is>
          <t>Analog instrument to JB JB-GT2-AI01: 20 x 1 pr (field cables)</t>
        </is>
      </c>
      <c r="E966" s="12" t="inlineStr">
        <is>
          <t>GT2</t>
        </is>
      </c>
      <c r="F966" s="12" t="inlineStr">
        <is>
          <t>GT2: H-class gas turbine (60 Hz)</t>
        </is>
      </c>
      <c r="G966" s="12" t="inlineStr">
        <is>
          <t>JB-GT2-AI01</t>
        </is>
      </c>
      <c r="H966" s="12" t="inlineStr">
        <is>
          <t>GT2: H-class gas turbine (60 Hz)</t>
        </is>
      </c>
      <c r="I966" s="12" t="inlineStr">
        <is>
          <t>Instrumentation</t>
        </is>
      </c>
      <c r="J966" s="12" t="inlineStr">
        <is>
          <t>Instrumentation ITC / PLTC, IS, #18 shielded pairs, blue jacket</t>
        </is>
      </c>
      <c r="K966" s="12" t="inlineStr">
        <is>
          <t>ITC|1 pr|16</t>
        </is>
      </c>
      <c r="L966" s="12" t="inlineStr">
        <is>
          <t>1 pr</t>
        </is>
      </c>
      <c r="M966" s="12" t="inlineStr">
        <is>
          <t>16</t>
        </is>
      </c>
      <c r="N966" s="12" t="n">
        <v>20</v>
      </c>
      <c r="O966" s="12" t="n">
        <v>1</v>
      </c>
      <c r="P966" s="12" t="n"/>
      <c r="Q966" s="12" t="n"/>
      <c r="R966" s="12" t="n"/>
      <c r="S966" s="12" t="inlineStr">
        <is>
          <t>Tray / conduit</t>
        </is>
      </c>
      <c r="T966" s="16" t="n">
        <v>96</v>
      </c>
      <c r="U966" s="16" t="n">
        <v>10</v>
      </c>
      <c r="V966" s="16">
        <f>ROUNDUP((T966+U966+2*'Read Me'!$B$13)*(1+'Read Me'!$B$12),-1)</f>
        <v/>
      </c>
      <c r="W966" s="16">
        <f>V966*N966*O966</f>
        <v/>
      </c>
      <c r="X966" s="12">
        <f>IF(LEFT(I966,2)="MV",2*N966*IF(L966="1/C",O966,1),0)</f>
        <v/>
      </c>
      <c r="Y966" s="12">
        <f>IF(OR(LEFT(K966,4)="LVAX",LEFT(K966,6)="MV15AX",LEFT(K966,4)="CTAX",LEFT(K966,2)="W|"),2*N966*O966,0)</f>
        <v/>
      </c>
      <c r="Z966" s="12" t="inlineStr">
        <is>
          <t>device-to-JB field wiring, one cable per device</t>
        </is>
      </c>
      <c r="AA966" s="12">
        <f>N966*O966</f>
        <v/>
      </c>
    </row>
    <row r="967">
      <c r="A967" s="12" t="inlineStr">
        <is>
          <t>A-I-0245</t>
        </is>
      </c>
      <c r="B967" s="12" t="inlineStr">
        <is>
          <t>A</t>
        </is>
      </c>
      <c r="C967" s="12" t="inlineStr">
        <is>
          <t>Power block</t>
        </is>
      </c>
      <c r="D967" s="12" t="inlineStr">
        <is>
          <t>Home run JB-GT2-AI01 to the control / marshalling room</t>
        </is>
      </c>
      <c r="E967" s="12" t="inlineStr">
        <is>
          <t>R2B</t>
        </is>
      </c>
      <c r="F967" s="12" t="inlineStr">
        <is>
          <t>R2B: unit / HRSG electrical e-house (32 x 40 ft)</t>
        </is>
      </c>
      <c r="G967" s="12" t="inlineStr">
        <is>
          <t>JB-GT2-AI01</t>
        </is>
      </c>
      <c r="H967" s="12" t="inlineStr">
        <is>
          <t>GT2: H-class gas turbine (60 Hz)</t>
        </is>
      </c>
      <c r="I967" s="12" t="inlineStr">
        <is>
          <t>Instrumentation</t>
        </is>
      </c>
      <c r="J967" s="12" t="inlineStr">
        <is>
          <t>Instrumentation ITC / PLTC, IS, #18 shielded pairs, blue jacket</t>
        </is>
      </c>
      <c r="K967" s="12" t="inlineStr">
        <is>
          <t>ITC|24 pr|18</t>
        </is>
      </c>
      <c r="L967" s="12" t="inlineStr">
        <is>
          <t>24 pr</t>
        </is>
      </c>
      <c r="M967" s="12" t="inlineStr">
        <is>
          <t>18</t>
        </is>
      </c>
      <c r="N967" s="12" t="n">
        <v>1</v>
      </c>
      <c r="O967" s="12" t="n">
        <v>1</v>
      </c>
      <c r="P967" s="12" t="n"/>
      <c r="Q967" s="12" t="n"/>
      <c r="R967" s="12" t="n"/>
      <c r="S967" s="12" t="inlineStr">
        <is>
          <t>Tray</t>
        </is>
      </c>
      <c r="T967" s="16" t="n">
        <v>1046</v>
      </c>
      <c r="U967" s="16" t="n">
        <v>197</v>
      </c>
      <c r="V967" s="16">
        <f>ROUNDUP((T967+U967+2*'Read Me'!$B$13)*(1+'Read Me'!$B$12),-1)</f>
        <v/>
      </c>
      <c r="W967" s="16">
        <f>V967*N967*O967</f>
        <v/>
      </c>
      <c r="X967" s="12">
        <f>IF(LEFT(I967,2)="MV",2*N967*IF(L967="1/C",O967,1),0)</f>
        <v/>
      </c>
      <c r="Y967" s="12">
        <f>IF(OR(LEFT(K967,4)="LVAX",LEFT(K967,6)="MV15AX",LEFT(K967,4)="CTAX",LEFT(K967,2)="W|"),2*N967*O967,0)</f>
        <v/>
      </c>
      <c r="Z967" s="12" t="inlineStr"/>
      <c r="AA967" s="12">
        <f>N967*O967</f>
        <v/>
      </c>
    </row>
    <row r="968">
      <c r="A968" s="12" t="inlineStr">
        <is>
          <t>A-I-0246</t>
        </is>
      </c>
      <c r="B968" s="12" t="inlineStr">
        <is>
          <t>A</t>
        </is>
      </c>
      <c r="C968" s="12" t="inlineStr">
        <is>
          <t>Power block</t>
        </is>
      </c>
      <c r="D968" s="12" t="inlineStr">
        <is>
          <t>Analog instrument to JB JB-GT2-AI02: 20 x 1 pr (field cables)</t>
        </is>
      </c>
      <c r="E968" s="12" t="inlineStr">
        <is>
          <t>GT2</t>
        </is>
      </c>
      <c r="F968" s="12" t="inlineStr">
        <is>
          <t>GT2: H-class gas turbine (60 Hz)</t>
        </is>
      </c>
      <c r="G968" s="12" t="inlineStr">
        <is>
          <t>JB-GT2-AI02</t>
        </is>
      </c>
      <c r="H968" s="12" t="inlineStr">
        <is>
          <t>GT2: H-class gas turbine (60 Hz)</t>
        </is>
      </c>
      <c r="I968" s="12" t="inlineStr">
        <is>
          <t>Instrumentation</t>
        </is>
      </c>
      <c r="J968" s="12" t="inlineStr">
        <is>
          <t>Instrumentation ITC / PLTC, IS, #18 shielded pairs, blue jacket</t>
        </is>
      </c>
      <c r="K968" s="12" t="inlineStr">
        <is>
          <t>ITC|1 pr|16</t>
        </is>
      </c>
      <c r="L968" s="12" t="inlineStr">
        <is>
          <t>1 pr</t>
        </is>
      </c>
      <c r="M968" s="12" t="inlineStr">
        <is>
          <t>16</t>
        </is>
      </c>
      <c r="N968" s="12" t="n">
        <v>20</v>
      </c>
      <c r="O968" s="12" t="n">
        <v>1</v>
      </c>
      <c r="P968" s="12" t="n"/>
      <c r="Q968" s="12" t="n"/>
      <c r="R968" s="12" t="n"/>
      <c r="S968" s="12" t="inlineStr">
        <is>
          <t>Tray / conduit</t>
        </is>
      </c>
      <c r="T968" s="16" t="n">
        <v>96</v>
      </c>
      <c r="U968" s="16" t="n">
        <v>10</v>
      </c>
      <c r="V968" s="16">
        <f>ROUNDUP((T968+U968+2*'Read Me'!$B$13)*(1+'Read Me'!$B$12),-1)</f>
        <v/>
      </c>
      <c r="W968" s="16">
        <f>V968*N968*O968</f>
        <v/>
      </c>
      <c r="X968" s="12">
        <f>IF(LEFT(I968,2)="MV",2*N968*IF(L968="1/C",O968,1),0)</f>
        <v/>
      </c>
      <c r="Y968" s="12">
        <f>IF(OR(LEFT(K968,4)="LVAX",LEFT(K968,6)="MV15AX",LEFT(K968,4)="CTAX",LEFT(K968,2)="W|"),2*N968*O968,0)</f>
        <v/>
      </c>
      <c r="Z968" s="12" t="inlineStr">
        <is>
          <t>device-to-JB field wiring, one cable per device</t>
        </is>
      </c>
      <c r="AA968" s="12">
        <f>N968*O968</f>
        <v/>
      </c>
    </row>
    <row r="969">
      <c r="A969" s="12" t="inlineStr">
        <is>
          <t>A-I-0247</t>
        </is>
      </c>
      <c r="B969" s="12" t="inlineStr">
        <is>
          <t>A</t>
        </is>
      </c>
      <c r="C969" s="12" t="inlineStr">
        <is>
          <t>Power block</t>
        </is>
      </c>
      <c r="D969" s="12" t="inlineStr">
        <is>
          <t>Home run JB-GT2-AI02 to the control / marshalling room</t>
        </is>
      </c>
      <c r="E969" s="12" t="inlineStr">
        <is>
          <t>R2B</t>
        </is>
      </c>
      <c r="F969" s="12" t="inlineStr">
        <is>
          <t>R2B: unit / HRSG electrical e-house (32 x 40 ft)</t>
        </is>
      </c>
      <c r="G969" s="12" t="inlineStr">
        <is>
          <t>JB-GT2-AI02</t>
        </is>
      </c>
      <c r="H969" s="12" t="inlineStr">
        <is>
          <t>GT2: H-class gas turbine (60 Hz)</t>
        </is>
      </c>
      <c r="I969" s="12" t="inlineStr">
        <is>
          <t>Instrumentation</t>
        </is>
      </c>
      <c r="J969" s="12" t="inlineStr">
        <is>
          <t>Instrumentation ITC / PLTC, IS, #18 shielded pairs, blue jacket</t>
        </is>
      </c>
      <c r="K969" s="12" t="inlineStr">
        <is>
          <t>ITC|24 pr|18</t>
        </is>
      </c>
      <c r="L969" s="12" t="inlineStr">
        <is>
          <t>24 pr</t>
        </is>
      </c>
      <c r="M969" s="12" t="inlineStr">
        <is>
          <t>18</t>
        </is>
      </c>
      <c r="N969" s="12" t="n">
        <v>1</v>
      </c>
      <c r="O969" s="12" t="n">
        <v>1</v>
      </c>
      <c r="P969" s="12" t="n"/>
      <c r="Q969" s="12" t="n"/>
      <c r="R969" s="12" t="n"/>
      <c r="S969" s="12" t="inlineStr">
        <is>
          <t>Tray</t>
        </is>
      </c>
      <c r="T969" s="16" t="n">
        <v>1046</v>
      </c>
      <c r="U969" s="16" t="n">
        <v>197</v>
      </c>
      <c r="V969" s="16">
        <f>ROUNDUP((T969+U969+2*'Read Me'!$B$13)*(1+'Read Me'!$B$12),-1)</f>
        <v/>
      </c>
      <c r="W969" s="16">
        <f>V969*N969*O969</f>
        <v/>
      </c>
      <c r="X969" s="12">
        <f>IF(LEFT(I969,2)="MV",2*N969*IF(L969="1/C",O969,1),0)</f>
        <v/>
      </c>
      <c r="Y969" s="12">
        <f>IF(OR(LEFT(K969,4)="LVAX",LEFT(K969,6)="MV15AX",LEFT(K969,4)="CTAX",LEFT(K969,2)="W|"),2*N969*O969,0)</f>
        <v/>
      </c>
      <c r="Z969" s="12" t="inlineStr"/>
      <c r="AA969" s="12">
        <f>N969*O969</f>
        <v/>
      </c>
    </row>
    <row r="970">
      <c r="A970" s="12" t="inlineStr">
        <is>
          <t>A-I-0248</t>
        </is>
      </c>
      <c r="B970" s="12" t="inlineStr">
        <is>
          <t>A</t>
        </is>
      </c>
      <c r="C970" s="12" t="inlineStr">
        <is>
          <t>Power block</t>
        </is>
      </c>
      <c r="D970" s="12" t="inlineStr">
        <is>
          <t>Analog instrument to JB JB-GT2-AI03: 20 x 1 pr (field cables)</t>
        </is>
      </c>
      <c r="E970" s="12" t="inlineStr">
        <is>
          <t>GT2</t>
        </is>
      </c>
      <c r="F970" s="12" t="inlineStr">
        <is>
          <t>GT2: H-class gas turbine (60 Hz)</t>
        </is>
      </c>
      <c r="G970" s="12" t="inlineStr">
        <is>
          <t>JB-GT2-AI03</t>
        </is>
      </c>
      <c r="H970" s="12" t="inlineStr">
        <is>
          <t>GT2: H-class gas turbine (60 Hz)</t>
        </is>
      </c>
      <c r="I970" s="12" t="inlineStr">
        <is>
          <t>Instrumentation</t>
        </is>
      </c>
      <c r="J970" s="12" t="inlineStr">
        <is>
          <t>Instrumentation ITC / PLTC, IS, #18 shielded pairs, blue jacket</t>
        </is>
      </c>
      <c r="K970" s="12" t="inlineStr">
        <is>
          <t>ITC|1 pr|16</t>
        </is>
      </c>
      <c r="L970" s="12" t="inlineStr">
        <is>
          <t>1 pr</t>
        </is>
      </c>
      <c r="M970" s="12" t="inlineStr">
        <is>
          <t>16</t>
        </is>
      </c>
      <c r="N970" s="12" t="n">
        <v>20</v>
      </c>
      <c r="O970" s="12" t="n">
        <v>1</v>
      </c>
      <c r="P970" s="12" t="n"/>
      <c r="Q970" s="12" t="n"/>
      <c r="R970" s="12" t="n"/>
      <c r="S970" s="12" t="inlineStr">
        <is>
          <t>Tray / conduit</t>
        </is>
      </c>
      <c r="T970" s="16" t="n">
        <v>96</v>
      </c>
      <c r="U970" s="16" t="n">
        <v>10</v>
      </c>
      <c r="V970" s="16">
        <f>ROUNDUP((T970+U970+2*'Read Me'!$B$13)*(1+'Read Me'!$B$12),-1)</f>
        <v/>
      </c>
      <c r="W970" s="16">
        <f>V970*N970*O970</f>
        <v/>
      </c>
      <c r="X970" s="12">
        <f>IF(LEFT(I970,2)="MV",2*N970*IF(L970="1/C",O970,1),0)</f>
        <v/>
      </c>
      <c r="Y970" s="12">
        <f>IF(OR(LEFT(K970,4)="LVAX",LEFT(K970,6)="MV15AX",LEFT(K970,4)="CTAX",LEFT(K970,2)="W|"),2*N970*O970,0)</f>
        <v/>
      </c>
      <c r="Z970" s="12" t="inlineStr">
        <is>
          <t>device-to-JB field wiring, one cable per device</t>
        </is>
      </c>
      <c r="AA970" s="12">
        <f>N970*O970</f>
        <v/>
      </c>
    </row>
    <row r="971">
      <c r="A971" s="12" t="inlineStr">
        <is>
          <t>A-I-0249</t>
        </is>
      </c>
      <c r="B971" s="12" t="inlineStr">
        <is>
          <t>A</t>
        </is>
      </c>
      <c r="C971" s="12" t="inlineStr">
        <is>
          <t>Power block</t>
        </is>
      </c>
      <c r="D971" s="12" t="inlineStr">
        <is>
          <t>Home run JB-GT2-AI03 to the control / marshalling room</t>
        </is>
      </c>
      <c r="E971" s="12" t="inlineStr">
        <is>
          <t>R2B</t>
        </is>
      </c>
      <c r="F971" s="12" t="inlineStr">
        <is>
          <t>R2B: unit / HRSG electrical e-house (32 x 40 ft)</t>
        </is>
      </c>
      <c r="G971" s="12" t="inlineStr">
        <is>
          <t>JB-GT2-AI03</t>
        </is>
      </c>
      <c r="H971" s="12" t="inlineStr">
        <is>
          <t>GT2: H-class gas turbine (60 Hz)</t>
        </is>
      </c>
      <c r="I971" s="12" t="inlineStr">
        <is>
          <t>Instrumentation</t>
        </is>
      </c>
      <c r="J971" s="12" t="inlineStr">
        <is>
          <t>Instrumentation ITC / PLTC, IS, #18 shielded pairs, blue jacket</t>
        </is>
      </c>
      <c r="K971" s="12" t="inlineStr">
        <is>
          <t>ITC|24 pr|18</t>
        </is>
      </c>
      <c r="L971" s="12" t="inlineStr">
        <is>
          <t>24 pr</t>
        </is>
      </c>
      <c r="M971" s="12" t="inlineStr">
        <is>
          <t>18</t>
        </is>
      </c>
      <c r="N971" s="12" t="n">
        <v>1</v>
      </c>
      <c r="O971" s="12" t="n">
        <v>1</v>
      </c>
      <c r="P971" s="12" t="n"/>
      <c r="Q971" s="12" t="n"/>
      <c r="R971" s="12" t="n"/>
      <c r="S971" s="12" t="inlineStr">
        <is>
          <t>Tray</t>
        </is>
      </c>
      <c r="T971" s="16" t="n">
        <v>1046</v>
      </c>
      <c r="U971" s="16" t="n">
        <v>197</v>
      </c>
      <c r="V971" s="16">
        <f>ROUNDUP((T971+U971+2*'Read Me'!$B$13)*(1+'Read Me'!$B$12),-1)</f>
        <v/>
      </c>
      <c r="W971" s="16">
        <f>V971*N971*O971</f>
        <v/>
      </c>
      <c r="X971" s="12">
        <f>IF(LEFT(I971,2)="MV",2*N971*IF(L971="1/C",O971,1),0)</f>
        <v/>
      </c>
      <c r="Y971" s="12">
        <f>IF(OR(LEFT(K971,4)="LVAX",LEFT(K971,6)="MV15AX",LEFT(K971,4)="CTAX",LEFT(K971,2)="W|"),2*N971*O971,0)</f>
        <v/>
      </c>
      <c r="Z971" s="12" t="inlineStr"/>
      <c r="AA971" s="12">
        <f>N971*O971</f>
        <v/>
      </c>
    </row>
    <row r="972">
      <c r="A972" s="12" t="inlineStr">
        <is>
          <t>A-I-0250</t>
        </is>
      </c>
      <c r="B972" s="12" t="inlineStr">
        <is>
          <t>A</t>
        </is>
      </c>
      <c r="C972" s="12" t="inlineStr">
        <is>
          <t>Power block</t>
        </is>
      </c>
      <c r="D972" s="12" t="inlineStr">
        <is>
          <t>Analog instrument to JB JB-GT2-AI04: 20 x 1 pr (field cables)</t>
        </is>
      </c>
      <c r="E972" s="12" t="inlineStr">
        <is>
          <t>GT2</t>
        </is>
      </c>
      <c r="F972" s="12" t="inlineStr">
        <is>
          <t>GT2: H-class gas turbine (60 Hz)</t>
        </is>
      </c>
      <c r="G972" s="12" t="inlineStr">
        <is>
          <t>JB-GT2-AI04</t>
        </is>
      </c>
      <c r="H972" s="12" t="inlineStr">
        <is>
          <t>GT2: H-class gas turbine (60 Hz)</t>
        </is>
      </c>
      <c r="I972" s="12" t="inlineStr">
        <is>
          <t>Instrumentation</t>
        </is>
      </c>
      <c r="J972" s="12" t="inlineStr">
        <is>
          <t>Instrumentation ITC / PLTC, IS, #18 shielded pairs, blue jacket</t>
        </is>
      </c>
      <c r="K972" s="12" t="inlineStr">
        <is>
          <t>ITC|1 pr|16</t>
        </is>
      </c>
      <c r="L972" s="12" t="inlineStr">
        <is>
          <t>1 pr</t>
        </is>
      </c>
      <c r="M972" s="12" t="inlineStr">
        <is>
          <t>16</t>
        </is>
      </c>
      <c r="N972" s="12" t="n">
        <v>20</v>
      </c>
      <c r="O972" s="12" t="n">
        <v>1</v>
      </c>
      <c r="P972" s="12" t="n"/>
      <c r="Q972" s="12" t="n"/>
      <c r="R972" s="12" t="n"/>
      <c r="S972" s="12" t="inlineStr">
        <is>
          <t>Tray / conduit</t>
        </is>
      </c>
      <c r="T972" s="16" t="n">
        <v>96</v>
      </c>
      <c r="U972" s="16" t="n">
        <v>10</v>
      </c>
      <c r="V972" s="16">
        <f>ROUNDUP((T972+U972+2*'Read Me'!$B$13)*(1+'Read Me'!$B$12),-1)</f>
        <v/>
      </c>
      <c r="W972" s="16">
        <f>V972*N972*O972</f>
        <v/>
      </c>
      <c r="X972" s="12">
        <f>IF(LEFT(I972,2)="MV",2*N972*IF(L972="1/C",O972,1),0)</f>
        <v/>
      </c>
      <c r="Y972" s="12">
        <f>IF(OR(LEFT(K972,4)="LVAX",LEFT(K972,6)="MV15AX",LEFT(K972,4)="CTAX",LEFT(K972,2)="W|"),2*N972*O972,0)</f>
        <v/>
      </c>
      <c r="Z972" s="12" t="inlineStr">
        <is>
          <t>device-to-JB field wiring, one cable per device</t>
        </is>
      </c>
      <c r="AA972" s="12">
        <f>N972*O972</f>
        <v/>
      </c>
    </row>
    <row r="973">
      <c r="A973" s="12" t="inlineStr">
        <is>
          <t>A-I-0251</t>
        </is>
      </c>
      <c r="B973" s="12" t="inlineStr">
        <is>
          <t>A</t>
        </is>
      </c>
      <c r="C973" s="12" t="inlineStr">
        <is>
          <t>Power block</t>
        </is>
      </c>
      <c r="D973" s="12" t="inlineStr">
        <is>
          <t>Home run JB-GT2-AI04 to the control / marshalling room</t>
        </is>
      </c>
      <c r="E973" s="12" t="inlineStr">
        <is>
          <t>R2B</t>
        </is>
      </c>
      <c r="F973" s="12" t="inlineStr">
        <is>
          <t>R2B: unit / HRSG electrical e-house (32 x 40 ft)</t>
        </is>
      </c>
      <c r="G973" s="12" t="inlineStr">
        <is>
          <t>JB-GT2-AI04</t>
        </is>
      </c>
      <c r="H973" s="12" t="inlineStr">
        <is>
          <t>GT2: H-class gas turbine (60 Hz)</t>
        </is>
      </c>
      <c r="I973" s="12" t="inlineStr">
        <is>
          <t>Instrumentation</t>
        </is>
      </c>
      <c r="J973" s="12" t="inlineStr">
        <is>
          <t>Instrumentation ITC / PLTC, IS, #18 shielded pairs, blue jacket</t>
        </is>
      </c>
      <c r="K973" s="12" t="inlineStr">
        <is>
          <t>ITC|24 pr|18</t>
        </is>
      </c>
      <c r="L973" s="12" t="inlineStr">
        <is>
          <t>24 pr</t>
        </is>
      </c>
      <c r="M973" s="12" t="inlineStr">
        <is>
          <t>18</t>
        </is>
      </c>
      <c r="N973" s="12" t="n">
        <v>1</v>
      </c>
      <c r="O973" s="12" t="n">
        <v>1</v>
      </c>
      <c r="P973" s="12" t="n"/>
      <c r="Q973" s="12" t="n"/>
      <c r="R973" s="12" t="n"/>
      <c r="S973" s="12" t="inlineStr">
        <is>
          <t>Tray</t>
        </is>
      </c>
      <c r="T973" s="16" t="n">
        <v>1046</v>
      </c>
      <c r="U973" s="16" t="n">
        <v>197</v>
      </c>
      <c r="V973" s="16">
        <f>ROUNDUP((T973+U973+2*'Read Me'!$B$13)*(1+'Read Me'!$B$12),-1)</f>
        <v/>
      </c>
      <c r="W973" s="16">
        <f>V973*N973*O973</f>
        <v/>
      </c>
      <c r="X973" s="12">
        <f>IF(LEFT(I973,2)="MV",2*N973*IF(L973="1/C",O973,1),0)</f>
        <v/>
      </c>
      <c r="Y973" s="12">
        <f>IF(OR(LEFT(K973,4)="LVAX",LEFT(K973,6)="MV15AX",LEFT(K973,4)="CTAX",LEFT(K973,2)="W|"),2*N973*O973,0)</f>
        <v/>
      </c>
      <c r="Z973" s="12" t="inlineStr"/>
      <c r="AA973" s="12">
        <f>N973*O973</f>
        <v/>
      </c>
    </row>
    <row r="974">
      <c r="A974" s="12" t="inlineStr">
        <is>
          <t>A-I-0252</t>
        </is>
      </c>
      <c r="B974" s="12" t="inlineStr">
        <is>
          <t>A</t>
        </is>
      </c>
      <c r="C974" s="12" t="inlineStr">
        <is>
          <t>Power block</t>
        </is>
      </c>
      <c r="D974" s="12" t="inlineStr">
        <is>
          <t>Analog instrument to JB JB-GT2-AI05: 20 x 1 pr (field cables)</t>
        </is>
      </c>
      <c r="E974" s="12" t="inlineStr">
        <is>
          <t>GT2</t>
        </is>
      </c>
      <c r="F974" s="12" t="inlineStr">
        <is>
          <t>GT2: H-class gas turbine (60 Hz)</t>
        </is>
      </c>
      <c r="G974" s="12" t="inlineStr">
        <is>
          <t>JB-GT2-AI05</t>
        </is>
      </c>
      <c r="H974" s="12" t="inlineStr">
        <is>
          <t>GT2: H-class gas turbine (60 Hz)</t>
        </is>
      </c>
      <c r="I974" s="12" t="inlineStr">
        <is>
          <t>Instrumentation</t>
        </is>
      </c>
      <c r="J974" s="12" t="inlineStr">
        <is>
          <t>Instrumentation ITC / PLTC, IS, #18 shielded pairs, blue jacket</t>
        </is>
      </c>
      <c r="K974" s="12" t="inlineStr">
        <is>
          <t>ITC|1 pr|16</t>
        </is>
      </c>
      <c r="L974" s="12" t="inlineStr">
        <is>
          <t>1 pr</t>
        </is>
      </c>
      <c r="M974" s="12" t="inlineStr">
        <is>
          <t>16</t>
        </is>
      </c>
      <c r="N974" s="12" t="n">
        <v>20</v>
      </c>
      <c r="O974" s="12" t="n">
        <v>1</v>
      </c>
      <c r="P974" s="12" t="n"/>
      <c r="Q974" s="12" t="n"/>
      <c r="R974" s="12" t="n"/>
      <c r="S974" s="12" t="inlineStr">
        <is>
          <t>Tray / conduit</t>
        </is>
      </c>
      <c r="T974" s="16" t="n">
        <v>96</v>
      </c>
      <c r="U974" s="16" t="n">
        <v>10</v>
      </c>
      <c r="V974" s="16">
        <f>ROUNDUP((T974+U974+2*'Read Me'!$B$13)*(1+'Read Me'!$B$12),-1)</f>
        <v/>
      </c>
      <c r="W974" s="16">
        <f>V974*N974*O974</f>
        <v/>
      </c>
      <c r="X974" s="12">
        <f>IF(LEFT(I974,2)="MV",2*N974*IF(L974="1/C",O974,1),0)</f>
        <v/>
      </c>
      <c r="Y974" s="12">
        <f>IF(OR(LEFT(K974,4)="LVAX",LEFT(K974,6)="MV15AX",LEFT(K974,4)="CTAX",LEFT(K974,2)="W|"),2*N974*O974,0)</f>
        <v/>
      </c>
      <c r="Z974" s="12" t="inlineStr">
        <is>
          <t>device-to-JB field wiring, one cable per device</t>
        </is>
      </c>
      <c r="AA974" s="12">
        <f>N974*O974</f>
        <v/>
      </c>
    </row>
    <row r="975">
      <c r="A975" s="12" t="inlineStr">
        <is>
          <t>A-I-0253</t>
        </is>
      </c>
      <c r="B975" s="12" t="inlineStr">
        <is>
          <t>A</t>
        </is>
      </c>
      <c r="C975" s="12" t="inlineStr">
        <is>
          <t>Power block</t>
        </is>
      </c>
      <c r="D975" s="12" t="inlineStr">
        <is>
          <t>Home run JB-GT2-AI05 to the control / marshalling room</t>
        </is>
      </c>
      <c r="E975" s="12" t="inlineStr">
        <is>
          <t>R2B</t>
        </is>
      </c>
      <c r="F975" s="12" t="inlineStr">
        <is>
          <t>R2B: unit / HRSG electrical e-house (32 x 40 ft)</t>
        </is>
      </c>
      <c r="G975" s="12" t="inlineStr">
        <is>
          <t>JB-GT2-AI05</t>
        </is>
      </c>
      <c r="H975" s="12" t="inlineStr">
        <is>
          <t>GT2: H-class gas turbine (60 Hz)</t>
        </is>
      </c>
      <c r="I975" s="12" t="inlineStr">
        <is>
          <t>Instrumentation</t>
        </is>
      </c>
      <c r="J975" s="12" t="inlineStr">
        <is>
          <t>Instrumentation ITC / PLTC, IS, #18 shielded pairs, blue jacket</t>
        </is>
      </c>
      <c r="K975" s="12" t="inlineStr">
        <is>
          <t>ITC|24 pr|18</t>
        </is>
      </c>
      <c r="L975" s="12" t="inlineStr">
        <is>
          <t>24 pr</t>
        </is>
      </c>
      <c r="M975" s="12" t="inlineStr">
        <is>
          <t>18</t>
        </is>
      </c>
      <c r="N975" s="12" t="n">
        <v>1</v>
      </c>
      <c r="O975" s="12" t="n">
        <v>1</v>
      </c>
      <c r="P975" s="12" t="n"/>
      <c r="Q975" s="12" t="n"/>
      <c r="R975" s="12" t="n"/>
      <c r="S975" s="12" t="inlineStr">
        <is>
          <t>Tray</t>
        </is>
      </c>
      <c r="T975" s="16" t="n">
        <v>1046</v>
      </c>
      <c r="U975" s="16" t="n">
        <v>197</v>
      </c>
      <c r="V975" s="16">
        <f>ROUNDUP((T975+U975+2*'Read Me'!$B$13)*(1+'Read Me'!$B$12),-1)</f>
        <v/>
      </c>
      <c r="W975" s="16">
        <f>V975*N975*O975</f>
        <v/>
      </c>
      <c r="X975" s="12">
        <f>IF(LEFT(I975,2)="MV",2*N975*IF(L975="1/C",O975,1),0)</f>
        <v/>
      </c>
      <c r="Y975" s="12">
        <f>IF(OR(LEFT(K975,4)="LVAX",LEFT(K975,6)="MV15AX",LEFT(K975,4)="CTAX",LEFT(K975,2)="W|"),2*N975*O975,0)</f>
        <v/>
      </c>
      <c r="Z975" s="12" t="inlineStr"/>
      <c r="AA975" s="12">
        <f>N975*O975</f>
        <v/>
      </c>
    </row>
    <row r="976">
      <c r="A976" s="12" t="inlineStr">
        <is>
          <t>A-I-0254</t>
        </is>
      </c>
      <c r="B976" s="12" t="inlineStr">
        <is>
          <t>A</t>
        </is>
      </c>
      <c r="C976" s="12" t="inlineStr">
        <is>
          <t>Power block</t>
        </is>
      </c>
      <c r="D976" s="12" t="inlineStr">
        <is>
          <t>Analog instrument to JB JB-GT2-AI06: 20 x 1 pr (field cables)</t>
        </is>
      </c>
      <c r="E976" s="12" t="inlineStr">
        <is>
          <t>GT2</t>
        </is>
      </c>
      <c r="F976" s="12" t="inlineStr">
        <is>
          <t>GT2: H-class gas turbine (60 Hz)</t>
        </is>
      </c>
      <c r="G976" s="12" t="inlineStr">
        <is>
          <t>JB-GT2-AI06</t>
        </is>
      </c>
      <c r="H976" s="12" t="inlineStr">
        <is>
          <t>GT2: H-class gas turbine (60 Hz)</t>
        </is>
      </c>
      <c r="I976" s="12" t="inlineStr">
        <is>
          <t>Instrumentation</t>
        </is>
      </c>
      <c r="J976" s="12" t="inlineStr">
        <is>
          <t>Instrumentation ITC / PLTC, IS, #18 shielded pairs, blue jacket</t>
        </is>
      </c>
      <c r="K976" s="12" t="inlineStr">
        <is>
          <t>ITC|1 pr|16</t>
        </is>
      </c>
      <c r="L976" s="12" t="inlineStr">
        <is>
          <t>1 pr</t>
        </is>
      </c>
      <c r="M976" s="12" t="inlineStr">
        <is>
          <t>16</t>
        </is>
      </c>
      <c r="N976" s="12" t="n">
        <v>20</v>
      </c>
      <c r="O976" s="12" t="n">
        <v>1</v>
      </c>
      <c r="P976" s="12" t="n"/>
      <c r="Q976" s="12" t="n"/>
      <c r="R976" s="12" t="n"/>
      <c r="S976" s="12" t="inlineStr">
        <is>
          <t>Tray / conduit</t>
        </is>
      </c>
      <c r="T976" s="16" t="n">
        <v>96</v>
      </c>
      <c r="U976" s="16" t="n">
        <v>10</v>
      </c>
      <c r="V976" s="16">
        <f>ROUNDUP((T976+U976+2*'Read Me'!$B$13)*(1+'Read Me'!$B$12),-1)</f>
        <v/>
      </c>
      <c r="W976" s="16">
        <f>V976*N976*O976</f>
        <v/>
      </c>
      <c r="X976" s="12">
        <f>IF(LEFT(I976,2)="MV",2*N976*IF(L976="1/C",O976,1),0)</f>
        <v/>
      </c>
      <c r="Y976" s="12">
        <f>IF(OR(LEFT(K976,4)="LVAX",LEFT(K976,6)="MV15AX",LEFT(K976,4)="CTAX",LEFT(K976,2)="W|"),2*N976*O976,0)</f>
        <v/>
      </c>
      <c r="Z976" s="12" t="inlineStr">
        <is>
          <t>device-to-JB field wiring, one cable per device</t>
        </is>
      </c>
      <c r="AA976" s="12">
        <f>N976*O976</f>
        <v/>
      </c>
    </row>
    <row r="977">
      <c r="A977" s="12" t="inlineStr">
        <is>
          <t>A-I-0255</t>
        </is>
      </c>
      <c r="B977" s="12" t="inlineStr">
        <is>
          <t>A</t>
        </is>
      </c>
      <c r="C977" s="12" t="inlineStr">
        <is>
          <t>Power block</t>
        </is>
      </c>
      <c r="D977" s="12" t="inlineStr">
        <is>
          <t>Home run JB-GT2-AI06 to the control / marshalling room</t>
        </is>
      </c>
      <c r="E977" s="12" t="inlineStr">
        <is>
          <t>R2B</t>
        </is>
      </c>
      <c r="F977" s="12" t="inlineStr">
        <is>
          <t>R2B: unit / HRSG electrical e-house (32 x 40 ft)</t>
        </is>
      </c>
      <c r="G977" s="12" t="inlineStr">
        <is>
          <t>JB-GT2-AI06</t>
        </is>
      </c>
      <c r="H977" s="12" t="inlineStr">
        <is>
          <t>GT2: H-class gas turbine (60 Hz)</t>
        </is>
      </c>
      <c r="I977" s="12" t="inlineStr">
        <is>
          <t>Instrumentation</t>
        </is>
      </c>
      <c r="J977" s="12" t="inlineStr">
        <is>
          <t>Instrumentation ITC / PLTC, IS, #18 shielded pairs, blue jacket</t>
        </is>
      </c>
      <c r="K977" s="12" t="inlineStr">
        <is>
          <t>ITC|24 pr|18</t>
        </is>
      </c>
      <c r="L977" s="12" t="inlineStr">
        <is>
          <t>24 pr</t>
        </is>
      </c>
      <c r="M977" s="12" t="inlineStr">
        <is>
          <t>18</t>
        </is>
      </c>
      <c r="N977" s="12" t="n">
        <v>1</v>
      </c>
      <c r="O977" s="12" t="n">
        <v>1</v>
      </c>
      <c r="P977" s="12" t="n"/>
      <c r="Q977" s="12" t="n"/>
      <c r="R977" s="12" t="n"/>
      <c r="S977" s="12" t="inlineStr">
        <is>
          <t>Tray</t>
        </is>
      </c>
      <c r="T977" s="16" t="n">
        <v>1046</v>
      </c>
      <c r="U977" s="16" t="n">
        <v>197</v>
      </c>
      <c r="V977" s="16">
        <f>ROUNDUP((T977+U977+2*'Read Me'!$B$13)*(1+'Read Me'!$B$12),-1)</f>
        <v/>
      </c>
      <c r="W977" s="16">
        <f>V977*N977*O977</f>
        <v/>
      </c>
      <c r="X977" s="12">
        <f>IF(LEFT(I977,2)="MV",2*N977*IF(L977="1/C",O977,1),0)</f>
        <v/>
      </c>
      <c r="Y977" s="12">
        <f>IF(OR(LEFT(K977,4)="LVAX",LEFT(K977,6)="MV15AX",LEFT(K977,4)="CTAX",LEFT(K977,2)="W|"),2*N977*O977,0)</f>
        <v/>
      </c>
      <c r="Z977" s="12" t="inlineStr"/>
      <c r="AA977" s="12">
        <f>N977*O977</f>
        <v/>
      </c>
    </row>
    <row r="978">
      <c r="A978" s="12" t="inlineStr">
        <is>
          <t>A-I-0256</t>
        </is>
      </c>
      <c r="B978" s="12" t="inlineStr">
        <is>
          <t>A</t>
        </is>
      </c>
      <c r="C978" s="12" t="inlineStr">
        <is>
          <t>Power block</t>
        </is>
      </c>
      <c r="D978" s="12" t="inlineStr">
        <is>
          <t>Discrete device to JB JB-GT2-DI01: 20 x 1 pr (field cables)</t>
        </is>
      </c>
      <c r="E978" s="12" t="inlineStr">
        <is>
          <t>GT2</t>
        </is>
      </c>
      <c r="F978" s="12" t="inlineStr">
        <is>
          <t>GT2: H-class gas turbine (60 Hz)</t>
        </is>
      </c>
      <c r="G978" s="12" t="inlineStr">
        <is>
          <t>JB-GT2-DI01</t>
        </is>
      </c>
      <c r="H978" s="12" t="inlineStr">
        <is>
          <t>GT2: H-class gas turbine (60 Hz)</t>
        </is>
      </c>
      <c r="I978" s="12" t="inlineStr">
        <is>
          <t>Instrumentation</t>
        </is>
      </c>
      <c r="J978" s="12" t="inlineStr">
        <is>
          <t>Instrumentation ITC / PLTC, IS, #18 shielded pairs, blue jacket</t>
        </is>
      </c>
      <c r="K978" s="12" t="inlineStr">
        <is>
          <t>ITC|1 pr|16</t>
        </is>
      </c>
      <c r="L978" s="12" t="inlineStr">
        <is>
          <t>1 pr</t>
        </is>
      </c>
      <c r="M978" s="12" t="inlineStr">
        <is>
          <t>16</t>
        </is>
      </c>
      <c r="N978" s="12" t="n">
        <v>20</v>
      </c>
      <c r="O978" s="12" t="n">
        <v>1</v>
      </c>
      <c r="P978" s="12" t="n"/>
      <c r="Q978" s="12" t="n"/>
      <c r="R978" s="12" t="n"/>
      <c r="S978" s="12" t="inlineStr">
        <is>
          <t>Tray / conduit</t>
        </is>
      </c>
      <c r="T978" s="16" t="n">
        <v>96</v>
      </c>
      <c r="U978" s="16" t="n">
        <v>10</v>
      </c>
      <c r="V978" s="16">
        <f>ROUNDUP((T978+U978+2*'Read Me'!$B$13)*(1+'Read Me'!$B$12),-1)</f>
        <v/>
      </c>
      <c r="W978" s="16">
        <f>V978*N978*O978</f>
        <v/>
      </c>
      <c r="X978" s="12">
        <f>IF(LEFT(I978,2)="MV",2*N978*IF(L978="1/C",O978,1),0)</f>
        <v/>
      </c>
      <c r="Y978" s="12">
        <f>IF(OR(LEFT(K978,4)="LVAX",LEFT(K978,6)="MV15AX",LEFT(K978,4)="CTAX",LEFT(K978,2)="W|"),2*N978*O978,0)</f>
        <v/>
      </c>
      <c r="Z978" s="12" t="inlineStr">
        <is>
          <t>device-to-JB field wiring, one cable per device</t>
        </is>
      </c>
      <c r="AA978" s="12">
        <f>N978*O978</f>
        <v/>
      </c>
    </row>
    <row r="979">
      <c r="A979" s="12" t="inlineStr">
        <is>
          <t>A-I-0257</t>
        </is>
      </c>
      <c r="B979" s="12" t="inlineStr">
        <is>
          <t>A</t>
        </is>
      </c>
      <c r="C979" s="12" t="inlineStr">
        <is>
          <t>Power block</t>
        </is>
      </c>
      <c r="D979" s="12" t="inlineStr">
        <is>
          <t>Home run JB-GT2-DI01 to the control / marshalling room</t>
        </is>
      </c>
      <c r="E979" s="12" t="inlineStr">
        <is>
          <t>R2B</t>
        </is>
      </c>
      <c r="F979" s="12" t="inlineStr">
        <is>
          <t>R2B: unit / HRSG electrical e-house (32 x 40 ft)</t>
        </is>
      </c>
      <c r="G979" s="12" t="inlineStr">
        <is>
          <t>JB-GT2-DI01</t>
        </is>
      </c>
      <c r="H979" s="12" t="inlineStr">
        <is>
          <t>GT2: H-class gas turbine (60 Hz)</t>
        </is>
      </c>
      <c r="I979" s="12" t="inlineStr">
        <is>
          <t>Instrumentation</t>
        </is>
      </c>
      <c r="J979" s="12" t="inlineStr">
        <is>
          <t>Instrumentation ITC / PLTC, IS, #18 shielded pairs, blue jacket</t>
        </is>
      </c>
      <c r="K979" s="12" t="inlineStr">
        <is>
          <t>ITC|24 pr|18</t>
        </is>
      </c>
      <c r="L979" s="12" t="inlineStr">
        <is>
          <t>24 pr</t>
        </is>
      </c>
      <c r="M979" s="12" t="inlineStr">
        <is>
          <t>18</t>
        </is>
      </c>
      <c r="N979" s="12" t="n">
        <v>1</v>
      </c>
      <c r="O979" s="12" t="n">
        <v>1</v>
      </c>
      <c r="P979" s="12" t="n"/>
      <c r="Q979" s="12" t="n"/>
      <c r="R979" s="12" t="n"/>
      <c r="S979" s="12" t="inlineStr">
        <is>
          <t>Tray</t>
        </is>
      </c>
      <c r="T979" s="16" t="n">
        <v>1046</v>
      </c>
      <c r="U979" s="16" t="n">
        <v>197</v>
      </c>
      <c r="V979" s="16">
        <f>ROUNDUP((T979+U979+2*'Read Me'!$B$13)*(1+'Read Me'!$B$12),-1)</f>
        <v/>
      </c>
      <c r="W979" s="16">
        <f>V979*N979*O979</f>
        <v/>
      </c>
      <c r="X979" s="12">
        <f>IF(LEFT(I979,2)="MV",2*N979*IF(L979="1/C",O979,1),0)</f>
        <v/>
      </c>
      <c r="Y979" s="12">
        <f>IF(OR(LEFT(K979,4)="LVAX",LEFT(K979,6)="MV15AX",LEFT(K979,4)="CTAX",LEFT(K979,2)="W|"),2*N979*O979,0)</f>
        <v/>
      </c>
      <c r="Z979" s="12" t="inlineStr"/>
      <c r="AA979" s="12">
        <f>N979*O979</f>
        <v/>
      </c>
    </row>
    <row r="980">
      <c r="A980" s="12" t="inlineStr">
        <is>
          <t>A-I-0258</t>
        </is>
      </c>
      <c r="B980" s="12" t="inlineStr">
        <is>
          <t>A</t>
        </is>
      </c>
      <c r="C980" s="12" t="inlineStr">
        <is>
          <t>Power block</t>
        </is>
      </c>
      <c r="D980" s="12" t="inlineStr">
        <is>
          <t>Discrete device to JB JB-GT2-DI02: 20 x 1 pr (field cables)</t>
        </is>
      </c>
      <c r="E980" s="12" t="inlineStr">
        <is>
          <t>GT2</t>
        </is>
      </c>
      <c r="F980" s="12" t="inlineStr">
        <is>
          <t>GT2: H-class gas turbine (60 Hz)</t>
        </is>
      </c>
      <c r="G980" s="12" t="inlineStr">
        <is>
          <t>JB-GT2-DI02</t>
        </is>
      </c>
      <c r="H980" s="12" t="inlineStr">
        <is>
          <t>GT2: H-class gas turbine (60 Hz)</t>
        </is>
      </c>
      <c r="I980" s="12" t="inlineStr">
        <is>
          <t>Instrumentation</t>
        </is>
      </c>
      <c r="J980" s="12" t="inlineStr">
        <is>
          <t>Instrumentation ITC / PLTC, IS, #18 shielded pairs, blue jacket</t>
        </is>
      </c>
      <c r="K980" s="12" t="inlineStr">
        <is>
          <t>ITC|1 pr|16</t>
        </is>
      </c>
      <c r="L980" s="12" t="inlineStr">
        <is>
          <t>1 pr</t>
        </is>
      </c>
      <c r="M980" s="12" t="inlineStr">
        <is>
          <t>16</t>
        </is>
      </c>
      <c r="N980" s="12" t="n">
        <v>20</v>
      </c>
      <c r="O980" s="12" t="n">
        <v>1</v>
      </c>
      <c r="P980" s="12" t="n"/>
      <c r="Q980" s="12" t="n"/>
      <c r="R980" s="12" t="n"/>
      <c r="S980" s="12" t="inlineStr">
        <is>
          <t>Tray / conduit</t>
        </is>
      </c>
      <c r="T980" s="16" t="n">
        <v>96</v>
      </c>
      <c r="U980" s="16" t="n">
        <v>10</v>
      </c>
      <c r="V980" s="16">
        <f>ROUNDUP((T980+U980+2*'Read Me'!$B$13)*(1+'Read Me'!$B$12),-1)</f>
        <v/>
      </c>
      <c r="W980" s="16">
        <f>V980*N980*O980</f>
        <v/>
      </c>
      <c r="X980" s="12">
        <f>IF(LEFT(I980,2)="MV",2*N980*IF(L980="1/C",O980,1),0)</f>
        <v/>
      </c>
      <c r="Y980" s="12">
        <f>IF(OR(LEFT(K980,4)="LVAX",LEFT(K980,6)="MV15AX",LEFT(K980,4)="CTAX",LEFT(K980,2)="W|"),2*N980*O980,0)</f>
        <v/>
      </c>
      <c r="Z980" s="12" t="inlineStr">
        <is>
          <t>device-to-JB field wiring, one cable per device</t>
        </is>
      </c>
      <c r="AA980" s="12">
        <f>N980*O980</f>
        <v/>
      </c>
    </row>
    <row r="981">
      <c r="A981" s="12" t="inlineStr">
        <is>
          <t>A-I-0259</t>
        </is>
      </c>
      <c r="B981" s="12" t="inlineStr">
        <is>
          <t>A</t>
        </is>
      </c>
      <c r="C981" s="12" t="inlineStr">
        <is>
          <t>Power block</t>
        </is>
      </c>
      <c r="D981" s="12" t="inlineStr">
        <is>
          <t>Home run JB-GT2-DI02 to the control / marshalling room</t>
        </is>
      </c>
      <c r="E981" s="12" t="inlineStr">
        <is>
          <t>R2B</t>
        </is>
      </c>
      <c r="F981" s="12" t="inlineStr">
        <is>
          <t>R2B: unit / HRSG electrical e-house (32 x 40 ft)</t>
        </is>
      </c>
      <c r="G981" s="12" t="inlineStr">
        <is>
          <t>JB-GT2-DI02</t>
        </is>
      </c>
      <c r="H981" s="12" t="inlineStr">
        <is>
          <t>GT2: H-class gas turbine (60 Hz)</t>
        </is>
      </c>
      <c r="I981" s="12" t="inlineStr">
        <is>
          <t>Instrumentation</t>
        </is>
      </c>
      <c r="J981" s="12" t="inlineStr">
        <is>
          <t>Instrumentation ITC / PLTC, IS, #18 shielded pairs, blue jacket</t>
        </is>
      </c>
      <c r="K981" s="12" t="inlineStr">
        <is>
          <t>ITC|24 pr|18</t>
        </is>
      </c>
      <c r="L981" s="12" t="inlineStr">
        <is>
          <t>24 pr</t>
        </is>
      </c>
      <c r="M981" s="12" t="inlineStr">
        <is>
          <t>18</t>
        </is>
      </c>
      <c r="N981" s="12" t="n">
        <v>1</v>
      </c>
      <c r="O981" s="12" t="n">
        <v>1</v>
      </c>
      <c r="P981" s="12" t="n"/>
      <c r="Q981" s="12" t="n"/>
      <c r="R981" s="12" t="n"/>
      <c r="S981" s="12" t="inlineStr">
        <is>
          <t>Tray</t>
        </is>
      </c>
      <c r="T981" s="16" t="n">
        <v>1046</v>
      </c>
      <c r="U981" s="16" t="n">
        <v>197</v>
      </c>
      <c r="V981" s="16">
        <f>ROUNDUP((T981+U981+2*'Read Me'!$B$13)*(1+'Read Me'!$B$12),-1)</f>
        <v/>
      </c>
      <c r="W981" s="16">
        <f>V981*N981*O981</f>
        <v/>
      </c>
      <c r="X981" s="12">
        <f>IF(LEFT(I981,2)="MV",2*N981*IF(L981="1/C",O981,1),0)</f>
        <v/>
      </c>
      <c r="Y981" s="12">
        <f>IF(OR(LEFT(K981,4)="LVAX",LEFT(K981,6)="MV15AX",LEFT(K981,4)="CTAX",LEFT(K981,2)="W|"),2*N981*O981,0)</f>
        <v/>
      </c>
      <c r="Z981" s="12" t="inlineStr"/>
      <c r="AA981" s="12">
        <f>N981*O981</f>
        <v/>
      </c>
    </row>
    <row r="982">
      <c r="A982" s="12" t="inlineStr">
        <is>
          <t>A-I-0260</t>
        </is>
      </c>
      <c r="B982" s="12" t="inlineStr">
        <is>
          <t>A</t>
        </is>
      </c>
      <c r="C982" s="12" t="inlineStr">
        <is>
          <t>Power block</t>
        </is>
      </c>
      <c r="D982" s="12" t="inlineStr">
        <is>
          <t>Discrete device to JB JB-GT2-DI03: 20 x 1 pr (field cables)</t>
        </is>
      </c>
      <c r="E982" s="12" t="inlineStr">
        <is>
          <t>GT2</t>
        </is>
      </c>
      <c r="F982" s="12" t="inlineStr">
        <is>
          <t>GT2: H-class gas turbine (60 Hz)</t>
        </is>
      </c>
      <c r="G982" s="12" t="inlineStr">
        <is>
          <t>JB-GT2-DI03</t>
        </is>
      </c>
      <c r="H982" s="12" t="inlineStr">
        <is>
          <t>GT2: H-class gas turbine (60 Hz)</t>
        </is>
      </c>
      <c r="I982" s="12" t="inlineStr">
        <is>
          <t>Instrumentation</t>
        </is>
      </c>
      <c r="J982" s="12" t="inlineStr">
        <is>
          <t>Instrumentation ITC / PLTC, IS, #18 shielded pairs, blue jacket</t>
        </is>
      </c>
      <c r="K982" s="12" t="inlineStr">
        <is>
          <t>ITC|1 pr|16</t>
        </is>
      </c>
      <c r="L982" s="12" t="inlineStr">
        <is>
          <t>1 pr</t>
        </is>
      </c>
      <c r="M982" s="12" t="inlineStr">
        <is>
          <t>16</t>
        </is>
      </c>
      <c r="N982" s="12" t="n">
        <v>20</v>
      </c>
      <c r="O982" s="12" t="n">
        <v>1</v>
      </c>
      <c r="P982" s="12" t="n"/>
      <c r="Q982" s="12" t="n"/>
      <c r="R982" s="12" t="n"/>
      <c r="S982" s="12" t="inlineStr">
        <is>
          <t>Tray / conduit</t>
        </is>
      </c>
      <c r="T982" s="16" t="n">
        <v>96</v>
      </c>
      <c r="U982" s="16" t="n">
        <v>10</v>
      </c>
      <c r="V982" s="16">
        <f>ROUNDUP((T982+U982+2*'Read Me'!$B$13)*(1+'Read Me'!$B$12),-1)</f>
        <v/>
      </c>
      <c r="W982" s="16">
        <f>V982*N982*O982</f>
        <v/>
      </c>
      <c r="X982" s="12">
        <f>IF(LEFT(I982,2)="MV",2*N982*IF(L982="1/C",O982,1),0)</f>
        <v/>
      </c>
      <c r="Y982" s="12">
        <f>IF(OR(LEFT(K982,4)="LVAX",LEFT(K982,6)="MV15AX",LEFT(K982,4)="CTAX",LEFT(K982,2)="W|"),2*N982*O982,0)</f>
        <v/>
      </c>
      <c r="Z982" s="12" t="inlineStr">
        <is>
          <t>device-to-JB field wiring, one cable per device</t>
        </is>
      </c>
      <c r="AA982" s="12">
        <f>N982*O982</f>
        <v/>
      </c>
    </row>
    <row r="983">
      <c r="A983" s="12" t="inlineStr">
        <is>
          <t>A-I-0261</t>
        </is>
      </c>
      <c r="B983" s="12" t="inlineStr">
        <is>
          <t>A</t>
        </is>
      </c>
      <c r="C983" s="12" t="inlineStr">
        <is>
          <t>Power block</t>
        </is>
      </c>
      <c r="D983" s="12" t="inlineStr">
        <is>
          <t>Home run JB-GT2-DI03 to the control / marshalling room</t>
        </is>
      </c>
      <c r="E983" s="12" t="inlineStr">
        <is>
          <t>R2B</t>
        </is>
      </c>
      <c r="F983" s="12" t="inlineStr">
        <is>
          <t>R2B: unit / HRSG electrical e-house (32 x 40 ft)</t>
        </is>
      </c>
      <c r="G983" s="12" t="inlineStr">
        <is>
          <t>JB-GT2-DI03</t>
        </is>
      </c>
      <c r="H983" s="12" t="inlineStr">
        <is>
          <t>GT2: H-class gas turbine (60 Hz)</t>
        </is>
      </c>
      <c r="I983" s="12" t="inlineStr">
        <is>
          <t>Instrumentation</t>
        </is>
      </c>
      <c r="J983" s="12" t="inlineStr">
        <is>
          <t>Instrumentation ITC / PLTC, IS, #18 shielded pairs, blue jacket</t>
        </is>
      </c>
      <c r="K983" s="12" t="inlineStr">
        <is>
          <t>ITC|24 pr|18</t>
        </is>
      </c>
      <c r="L983" s="12" t="inlineStr">
        <is>
          <t>24 pr</t>
        </is>
      </c>
      <c r="M983" s="12" t="inlineStr">
        <is>
          <t>18</t>
        </is>
      </c>
      <c r="N983" s="12" t="n">
        <v>1</v>
      </c>
      <c r="O983" s="12" t="n">
        <v>1</v>
      </c>
      <c r="P983" s="12" t="n"/>
      <c r="Q983" s="12" t="n"/>
      <c r="R983" s="12" t="n"/>
      <c r="S983" s="12" t="inlineStr">
        <is>
          <t>Tray</t>
        </is>
      </c>
      <c r="T983" s="16" t="n">
        <v>1046</v>
      </c>
      <c r="U983" s="16" t="n">
        <v>197</v>
      </c>
      <c r="V983" s="16">
        <f>ROUNDUP((T983+U983+2*'Read Me'!$B$13)*(1+'Read Me'!$B$12),-1)</f>
        <v/>
      </c>
      <c r="W983" s="16">
        <f>V983*N983*O983</f>
        <v/>
      </c>
      <c r="X983" s="12">
        <f>IF(LEFT(I983,2)="MV",2*N983*IF(L983="1/C",O983,1),0)</f>
        <v/>
      </c>
      <c r="Y983" s="12">
        <f>IF(OR(LEFT(K983,4)="LVAX",LEFT(K983,6)="MV15AX",LEFT(K983,4)="CTAX",LEFT(K983,2)="W|"),2*N983*O983,0)</f>
        <v/>
      </c>
      <c r="Z983" s="12" t="inlineStr"/>
      <c r="AA983" s="12">
        <f>N983*O983</f>
        <v/>
      </c>
    </row>
    <row r="984">
      <c r="A984" s="12" t="inlineStr">
        <is>
          <t>A-I-0262</t>
        </is>
      </c>
      <c r="B984" s="12" t="inlineStr">
        <is>
          <t>A</t>
        </is>
      </c>
      <c r="C984" s="12" t="inlineStr">
        <is>
          <t>Power block</t>
        </is>
      </c>
      <c r="D984" s="12" t="inlineStr">
        <is>
          <t>Discrete device to JB JB-GT2-DI04: 20 x 1 pr (field cables)</t>
        </is>
      </c>
      <c r="E984" s="12" t="inlineStr">
        <is>
          <t>GT2</t>
        </is>
      </c>
      <c r="F984" s="12" t="inlineStr">
        <is>
          <t>GT2: H-class gas turbine (60 Hz)</t>
        </is>
      </c>
      <c r="G984" s="12" t="inlineStr">
        <is>
          <t>JB-GT2-DI04</t>
        </is>
      </c>
      <c r="H984" s="12" t="inlineStr">
        <is>
          <t>GT2: H-class gas turbine (60 Hz)</t>
        </is>
      </c>
      <c r="I984" s="12" t="inlineStr">
        <is>
          <t>Instrumentation</t>
        </is>
      </c>
      <c r="J984" s="12" t="inlineStr">
        <is>
          <t>Instrumentation ITC / PLTC, IS, #18 shielded pairs, blue jacket</t>
        </is>
      </c>
      <c r="K984" s="12" t="inlineStr">
        <is>
          <t>ITC|1 pr|16</t>
        </is>
      </c>
      <c r="L984" s="12" t="inlineStr">
        <is>
          <t>1 pr</t>
        </is>
      </c>
      <c r="M984" s="12" t="inlineStr">
        <is>
          <t>16</t>
        </is>
      </c>
      <c r="N984" s="12" t="n">
        <v>20</v>
      </c>
      <c r="O984" s="12" t="n">
        <v>1</v>
      </c>
      <c r="P984" s="12" t="n"/>
      <c r="Q984" s="12" t="n"/>
      <c r="R984" s="12" t="n"/>
      <c r="S984" s="12" t="inlineStr">
        <is>
          <t>Tray / conduit</t>
        </is>
      </c>
      <c r="T984" s="16" t="n">
        <v>96</v>
      </c>
      <c r="U984" s="16" t="n">
        <v>10</v>
      </c>
      <c r="V984" s="16">
        <f>ROUNDUP((T984+U984+2*'Read Me'!$B$13)*(1+'Read Me'!$B$12),-1)</f>
        <v/>
      </c>
      <c r="W984" s="16">
        <f>V984*N984*O984</f>
        <v/>
      </c>
      <c r="X984" s="12">
        <f>IF(LEFT(I984,2)="MV",2*N984*IF(L984="1/C",O984,1),0)</f>
        <v/>
      </c>
      <c r="Y984" s="12">
        <f>IF(OR(LEFT(K984,4)="LVAX",LEFT(K984,6)="MV15AX",LEFT(K984,4)="CTAX",LEFT(K984,2)="W|"),2*N984*O984,0)</f>
        <v/>
      </c>
      <c r="Z984" s="12" t="inlineStr">
        <is>
          <t>device-to-JB field wiring, one cable per device</t>
        </is>
      </c>
      <c r="AA984" s="12">
        <f>N984*O984</f>
        <v/>
      </c>
    </row>
    <row r="985">
      <c r="A985" s="12" t="inlineStr">
        <is>
          <t>A-I-0263</t>
        </is>
      </c>
      <c r="B985" s="12" t="inlineStr">
        <is>
          <t>A</t>
        </is>
      </c>
      <c r="C985" s="12" t="inlineStr">
        <is>
          <t>Power block</t>
        </is>
      </c>
      <c r="D985" s="12" t="inlineStr">
        <is>
          <t>Home run JB-GT2-DI04 to the control / marshalling room</t>
        </is>
      </c>
      <c r="E985" s="12" t="inlineStr">
        <is>
          <t>R2B</t>
        </is>
      </c>
      <c r="F985" s="12" t="inlineStr">
        <is>
          <t>R2B: unit / HRSG electrical e-house (32 x 40 ft)</t>
        </is>
      </c>
      <c r="G985" s="12" t="inlineStr">
        <is>
          <t>JB-GT2-DI04</t>
        </is>
      </c>
      <c r="H985" s="12" t="inlineStr">
        <is>
          <t>GT2: H-class gas turbine (60 Hz)</t>
        </is>
      </c>
      <c r="I985" s="12" t="inlineStr">
        <is>
          <t>Instrumentation</t>
        </is>
      </c>
      <c r="J985" s="12" t="inlineStr">
        <is>
          <t>Instrumentation ITC / PLTC, IS, #18 shielded pairs, blue jacket</t>
        </is>
      </c>
      <c r="K985" s="12" t="inlineStr">
        <is>
          <t>ITC|24 pr|18</t>
        </is>
      </c>
      <c r="L985" s="12" t="inlineStr">
        <is>
          <t>24 pr</t>
        </is>
      </c>
      <c r="M985" s="12" t="inlineStr">
        <is>
          <t>18</t>
        </is>
      </c>
      <c r="N985" s="12" t="n">
        <v>1</v>
      </c>
      <c r="O985" s="12" t="n">
        <v>1</v>
      </c>
      <c r="P985" s="12" t="n"/>
      <c r="Q985" s="12" t="n"/>
      <c r="R985" s="12" t="n"/>
      <c r="S985" s="12" t="inlineStr">
        <is>
          <t>Tray</t>
        </is>
      </c>
      <c r="T985" s="16" t="n">
        <v>1046</v>
      </c>
      <c r="U985" s="16" t="n">
        <v>197</v>
      </c>
      <c r="V985" s="16">
        <f>ROUNDUP((T985+U985+2*'Read Me'!$B$13)*(1+'Read Me'!$B$12),-1)</f>
        <v/>
      </c>
      <c r="W985" s="16">
        <f>V985*N985*O985</f>
        <v/>
      </c>
      <c r="X985" s="12">
        <f>IF(LEFT(I985,2)="MV",2*N985*IF(L985="1/C",O985,1),0)</f>
        <v/>
      </c>
      <c r="Y985" s="12">
        <f>IF(OR(LEFT(K985,4)="LVAX",LEFT(K985,6)="MV15AX",LEFT(K985,4)="CTAX",LEFT(K985,2)="W|"),2*N985*O985,0)</f>
        <v/>
      </c>
      <c r="Z985" s="12" t="inlineStr"/>
      <c r="AA985" s="12">
        <f>N985*O985</f>
        <v/>
      </c>
    </row>
    <row r="986">
      <c r="A986" s="12" t="inlineStr">
        <is>
          <t>A-I-0264</t>
        </is>
      </c>
      <c r="B986" s="12" t="inlineStr">
        <is>
          <t>A</t>
        </is>
      </c>
      <c r="C986" s="12" t="inlineStr">
        <is>
          <t>Power block</t>
        </is>
      </c>
      <c r="D986" s="12" t="inlineStr">
        <is>
          <t>Thermocouple to TC JB JB-GT2-TC01: 20 x 1 pr (field cables)</t>
        </is>
      </c>
      <c r="E986" s="12" t="inlineStr">
        <is>
          <t>GT2</t>
        </is>
      </c>
      <c r="F986" s="12" t="inlineStr">
        <is>
          <t>GT2: H-class gas turbine (60 Hz)</t>
        </is>
      </c>
      <c r="G986" s="12" t="inlineStr">
        <is>
          <t>JB-GT2-TC01</t>
        </is>
      </c>
      <c r="H986" s="12" t="inlineStr">
        <is>
          <t>GT2: H-class gas turbine (60 Hz)</t>
        </is>
      </c>
      <c r="I986" s="12" t="inlineStr">
        <is>
          <t>Instrumentation</t>
        </is>
      </c>
      <c r="J986" s="12" t="inlineStr">
        <is>
          <t>Thermocouple extension KX, #16 shielded pairs, PLTC</t>
        </is>
      </c>
      <c r="K986" s="12" t="inlineStr">
        <is>
          <t>TCX|1 pr|16</t>
        </is>
      </c>
      <c r="L986" s="12" t="inlineStr">
        <is>
          <t>1 pr</t>
        </is>
      </c>
      <c r="M986" s="12" t="inlineStr">
        <is>
          <t>16</t>
        </is>
      </c>
      <c r="N986" s="12" t="n">
        <v>20</v>
      </c>
      <c r="O986" s="12" t="n">
        <v>1</v>
      </c>
      <c r="P986" s="12" t="n"/>
      <c r="Q986" s="12" t="n"/>
      <c r="R986" s="12" t="n"/>
      <c r="S986" s="12" t="inlineStr">
        <is>
          <t>Tray / conduit</t>
        </is>
      </c>
      <c r="T986" s="16" t="n">
        <v>96</v>
      </c>
      <c r="U986" s="16" t="n">
        <v>10</v>
      </c>
      <c r="V986" s="16">
        <f>ROUNDUP((T986+U986+2*'Read Me'!$B$13)*(1+'Read Me'!$B$12),-1)</f>
        <v/>
      </c>
      <c r="W986" s="16">
        <f>V986*N986*O986</f>
        <v/>
      </c>
      <c r="X986" s="12">
        <f>IF(LEFT(I986,2)="MV",2*N986*IF(L986="1/C",O986,1),0)</f>
        <v/>
      </c>
      <c r="Y986" s="12">
        <f>IF(OR(LEFT(K986,4)="LVAX",LEFT(K986,6)="MV15AX",LEFT(K986,4)="CTAX",LEFT(K986,2)="W|"),2*N986*O986,0)</f>
        <v/>
      </c>
      <c r="Z986" s="12" t="inlineStr">
        <is>
          <t>device-to-JB field wiring, one cable per device</t>
        </is>
      </c>
      <c r="AA986" s="12">
        <f>N986*O986</f>
        <v/>
      </c>
    </row>
    <row r="987">
      <c r="A987" s="12" t="inlineStr">
        <is>
          <t>A-I-0265</t>
        </is>
      </c>
      <c r="B987" s="12" t="inlineStr">
        <is>
          <t>A</t>
        </is>
      </c>
      <c r="C987" s="12" t="inlineStr">
        <is>
          <t>Power block</t>
        </is>
      </c>
      <c r="D987" s="12" t="inlineStr">
        <is>
          <t>Home run JB-GT2-TC01 to the control / marshalling room</t>
        </is>
      </c>
      <c r="E987" s="12" t="inlineStr">
        <is>
          <t>R2B</t>
        </is>
      </c>
      <c r="F987" s="12" t="inlineStr">
        <is>
          <t>R2B: unit / HRSG electrical e-house (32 x 40 ft)</t>
        </is>
      </c>
      <c r="G987" s="12" t="inlineStr">
        <is>
          <t>JB-GT2-TC01</t>
        </is>
      </c>
      <c r="H987" s="12" t="inlineStr">
        <is>
          <t>GT2: H-class gas turbine (60 Hz)</t>
        </is>
      </c>
      <c r="I987" s="12" t="inlineStr">
        <is>
          <t>Instrumentation</t>
        </is>
      </c>
      <c r="J987" s="12" t="inlineStr">
        <is>
          <t>Thermocouple extension KX, #16 shielded pairs, PLTC</t>
        </is>
      </c>
      <c r="K987" s="12" t="inlineStr">
        <is>
          <t>TCX|24 pr|16</t>
        </is>
      </c>
      <c r="L987" s="12" t="inlineStr">
        <is>
          <t>24 pr</t>
        </is>
      </c>
      <c r="M987" s="12" t="inlineStr">
        <is>
          <t>16</t>
        </is>
      </c>
      <c r="N987" s="12" t="n">
        <v>1</v>
      </c>
      <c r="O987" s="12" t="n">
        <v>1</v>
      </c>
      <c r="P987" s="12" t="n"/>
      <c r="Q987" s="12" t="n"/>
      <c r="R987" s="12" t="n"/>
      <c r="S987" s="12" t="inlineStr">
        <is>
          <t>Tray</t>
        </is>
      </c>
      <c r="T987" s="16" t="n">
        <v>1046</v>
      </c>
      <c r="U987" s="16" t="n">
        <v>197</v>
      </c>
      <c r="V987" s="16">
        <f>ROUNDUP((T987+U987+2*'Read Me'!$B$13)*(1+'Read Me'!$B$12),-1)</f>
        <v/>
      </c>
      <c r="W987" s="16">
        <f>V987*N987*O987</f>
        <v/>
      </c>
      <c r="X987" s="12">
        <f>IF(LEFT(I987,2)="MV",2*N987*IF(L987="1/C",O987,1),0)</f>
        <v/>
      </c>
      <c r="Y987" s="12">
        <f>IF(OR(LEFT(K987,4)="LVAX",LEFT(K987,6)="MV15AX",LEFT(K987,4)="CTAX",LEFT(K987,2)="W|"),2*N987*O987,0)</f>
        <v/>
      </c>
      <c r="Z987" s="12" t="inlineStr"/>
      <c r="AA987" s="12">
        <f>N987*O987</f>
        <v/>
      </c>
    </row>
    <row r="988">
      <c r="A988" s="12" t="inlineStr">
        <is>
          <t>A-I-0266</t>
        </is>
      </c>
      <c r="B988" s="12" t="inlineStr">
        <is>
          <t>A</t>
        </is>
      </c>
      <c r="C988" s="12" t="inlineStr">
        <is>
          <t>Power block</t>
        </is>
      </c>
      <c r="D988" s="12" t="inlineStr">
        <is>
          <t>Thermocouple to TC JB JB-GT2-TC02: 20 x 1 pr (field cables)</t>
        </is>
      </c>
      <c r="E988" s="12" t="inlineStr">
        <is>
          <t>GT2</t>
        </is>
      </c>
      <c r="F988" s="12" t="inlineStr">
        <is>
          <t>GT2: H-class gas turbine (60 Hz)</t>
        </is>
      </c>
      <c r="G988" s="12" t="inlineStr">
        <is>
          <t>JB-GT2-TC02</t>
        </is>
      </c>
      <c r="H988" s="12" t="inlineStr">
        <is>
          <t>GT2: H-class gas turbine (60 Hz)</t>
        </is>
      </c>
      <c r="I988" s="12" t="inlineStr">
        <is>
          <t>Instrumentation</t>
        </is>
      </c>
      <c r="J988" s="12" t="inlineStr">
        <is>
          <t>Thermocouple extension KX, #16 shielded pairs, PLTC</t>
        </is>
      </c>
      <c r="K988" s="12" t="inlineStr">
        <is>
          <t>TCX|1 pr|16</t>
        </is>
      </c>
      <c r="L988" s="12" t="inlineStr">
        <is>
          <t>1 pr</t>
        </is>
      </c>
      <c r="M988" s="12" t="inlineStr">
        <is>
          <t>16</t>
        </is>
      </c>
      <c r="N988" s="12" t="n">
        <v>20</v>
      </c>
      <c r="O988" s="12" t="n">
        <v>1</v>
      </c>
      <c r="P988" s="12" t="n"/>
      <c r="Q988" s="12" t="n"/>
      <c r="R988" s="12" t="n"/>
      <c r="S988" s="12" t="inlineStr">
        <is>
          <t>Tray / conduit</t>
        </is>
      </c>
      <c r="T988" s="16" t="n">
        <v>96</v>
      </c>
      <c r="U988" s="16" t="n">
        <v>10</v>
      </c>
      <c r="V988" s="16">
        <f>ROUNDUP((T988+U988+2*'Read Me'!$B$13)*(1+'Read Me'!$B$12),-1)</f>
        <v/>
      </c>
      <c r="W988" s="16">
        <f>V988*N988*O988</f>
        <v/>
      </c>
      <c r="X988" s="12">
        <f>IF(LEFT(I988,2)="MV",2*N988*IF(L988="1/C",O988,1),0)</f>
        <v/>
      </c>
      <c r="Y988" s="12">
        <f>IF(OR(LEFT(K988,4)="LVAX",LEFT(K988,6)="MV15AX",LEFT(K988,4)="CTAX",LEFT(K988,2)="W|"),2*N988*O988,0)</f>
        <v/>
      </c>
      <c r="Z988" s="12" t="inlineStr">
        <is>
          <t>device-to-JB field wiring, one cable per device</t>
        </is>
      </c>
      <c r="AA988" s="12">
        <f>N988*O988</f>
        <v/>
      </c>
    </row>
    <row r="989">
      <c r="A989" s="12" t="inlineStr">
        <is>
          <t>A-I-0267</t>
        </is>
      </c>
      <c r="B989" s="12" t="inlineStr">
        <is>
          <t>A</t>
        </is>
      </c>
      <c r="C989" s="12" t="inlineStr">
        <is>
          <t>Power block</t>
        </is>
      </c>
      <c r="D989" s="12" t="inlineStr">
        <is>
          <t>Home run JB-GT2-TC02 to the control / marshalling room</t>
        </is>
      </c>
      <c r="E989" s="12" t="inlineStr">
        <is>
          <t>R2B</t>
        </is>
      </c>
      <c r="F989" s="12" t="inlineStr">
        <is>
          <t>R2B: unit / HRSG electrical e-house (32 x 40 ft)</t>
        </is>
      </c>
      <c r="G989" s="12" t="inlineStr">
        <is>
          <t>JB-GT2-TC02</t>
        </is>
      </c>
      <c r="H989" s="12" t="inlineStr">
        <is>
          <t>GT2: H-class gas turbine (60 Hz)</t>
        </is>
      </c>
      <c r="I989" s="12" t="inlineStr">
        <is>
          <t>Instrumentation</t>
        </is>
      </c>
      <c r="J989" s="12" t="inlineStr">
        <is>
          <t>Thermocouple extension KX, #16 shielded pairs, PLTC</t>
        </is>
      </c>
      <c r="K989" s="12" t="inlineStr">
        <is>
          <t>TCX|24 pr|16</t>
        </is>
      </c>
      <c r="L989" s="12" t="inlineStr">
        <is>
          <t>24 pr</t>
        </is>
      </c>
      <c r="M989" s="12" t="inlineStr">
        <is>
          <t>16</t>
        </is>
      </c>
      <c r="N989" s="12" t="n">
        <v>1</v>
      </c>
      <c r="O989" s="12" t="n">
        <v>1</v>
      </c>
      <c r="P989" s="12" t="n"/>
      <c r="Q989" s="12" t="n"/>
      <c r="R989" s="12" t="n"/>
      <c r="S989" s="12" t="inlineStr">
        <is>
          <t>Tray</t>
        </is>
      </c>
      <c r="T989" s="16" t="n">
        <v>1046</v>
      </c>
      <c r="U989" s="16" t="n">
        <v>197</v>
      </c>
      <c r="V989" s="16">
        <f>ROUNDUP((T989+U989+2*'Read Me'!$B$13)*(1+'Read Me'!$B$12),-1)</f>
        <v/>
      </c>
      <c r="W989" s="16">
        <f>V989*N989*O989</f>
        <v/>
      </c>
      <c r="X989" s="12">
        <f>IF(LEFT(I989,2)="MV",2*N989*IF(L989="1/C",O989,1),0)</f>
        <v/>
      </c>
      <c r="Y989" s="12">
        <f>IF(OR(LEFT(K989,4)="LVAX",LEFT(K989,6)="MV15AX",LEFT(K989,4)="CTAX",LEFT(K989,2)="W|"),2*N989*O989,0)</f>
        <v/>
      </c>
      <c r="Z989" s="12" t="inlineStr"/>
      <c r="AA989" s="12">
        <f>N989*O989</f>
        <v/>
      </c>
    </row>
    <row r="990">
      <c r="A990" s="12" t="inlineStr">
        <is>
          <t>A-I-0268</t>
        </is>
      </c>
      <c r="B990" s="12" t="inlineStr">
        <is>
          <t>A</t>
        </is>
      </c>
      <c r="C990" s="12" t="inlineStr">
        <is>
          <t>Power block</t>
        </is>
      </c>
      <c r="D990" s="12" t="inlineStr">
        <is>
          <t>Thermocouple to TC JB JB-GT2-TC03: 20 x 1 pr (field cables)</t>
        </is>
      </c>
      <c r="E990" s="12" t="inlineStr">
        <is>
          <t>GT2</t>
        </is>
      </c>
      <c r="F990" s="12" t="inlineStr">
        <is>
          <t>GT2: H-class gas turbine (60 Hz)</t>
        </is>
      </c>
      <c r="G990" s="12" t="inlineStr">
        <is>
          <t>JB-GT2-TC03</t>
        </is>
      </c>
      <c r="H990" s="12" t="inlineStr">
        <is>
          <t>GT2: H-class gas turbine (60 Hz)</t>
        </is>
      </c>
      <c r="I990" s="12" t="inlineStr">
        <is>
          <t>Instrumentation</t>
        </is>
      </c>
      <c r="J990" s="12" t="inlineStr">
        <is>
          <t>Thermocouple extension KX, #16 shielded pairs, PLTC</t>
        </is>
      </c>
      <c r="K990" s="12" t="inlineStr">
        <is>
          <t>TCX|1 pr|16</t>
        </is>
      </c>
      <c r="L990" s="12" t="inlineStr">
        <is>
          <t>1 pr</t>
        </is>
      </c>
      <c r="M990" s="12" t="inlineStr">
        <is>
          <t>16</t>
        </is>
      </c>
      <c r="N990" s="12" t="n">
        <v>20</v>
      </c>
      <c r="O990" s="12" t="n">
        <v>1</v>
      </c>
      <c r="P990" s="12" t="n"/>
      <c r="Q990" s="12" t="n"/>
      <c r="R990" s="12" t="n"/>
      <c r="S990" s="12" t="inlineStr">
        <is>
          <t>Tray / conduit</t>
        </is>
      </c>
      <c r="T990" s="16" t="n">
        <v>96</v>
      </c>
      <c r="U990" s="16" t="n">
        <v>10</v>
      </c>
      <c r="V990" s="16">
        <f>ROUNDUP((T990+U990+2*'Read Me'!$B$13)*(1+'Read Me'!$B$12),-1)</f>
        <v/>
      </c>
      <c r="W990" s="16">
        <f>V990*N990*O990</f>
        <v/>
      </c>
      <c r="X990" s="12">
        <f>IF(LEFT(I990,2)="MV",2*N990*IF(L990="1/C",O990,1),0)</f>
        <v/>
      </c>
      <c r="Y990" s="12">
        <f>IF(OR(LEFT(K990,4)="LVAX",LEFT(K990,6)="MV15AX",LEFT(K990,4)="CTAX",LEFT(K990,2)="W|"),2*N990*O990,0)</f>
        <v/>
      </c>
      <c r="Z990" s="12" t="inlineStr">
        <is>
          <t>device-to-JB field wiring, one cable per device</t>
        </is>
      </c>
      <c r="AA990" s="12">
        <f>N990*O990</f>
        <v/>
      </c>
    </row>
    <row r="991">
      <c r="A991" s="12" t="inlineStr">
        <is>
          <t>A-I-0269</t>
        </is>
      </c>
      <c r="B991" s="12" t="inlineStr">
        <is>
          <t>A</t>
        </is>
      </c>
      <c r="C991" s="12" t="inlineStr">
        <is>
          <t>Power block</t>
        </is>
      </c>
      <c r="D991" s="12" t="inlineStr">
        <is>
          <t>Home run JB-GT2-TC03 to the control / marshalling room</t>
        </is>
      </c>
      <c r="E991" s="12" t="inlineStr">
        <is>
          <t>R2B</t>
        </is>
      </c>
      <c r="F991" s="12" t="inlineStr">
        <is>
          <t>R2B: unit / HRSG electrical e-house (32 x 40 ft)</t>
        </is>
      </c>
      <c r="G991" s="12" t="inlineStr">
        <is>
          <t>JB-GT2-TC03</t>
        </is>
      </c>
      <c r="H991" s="12" t="inlineStr">
        <is>
          <t>GT2: H-class gas turbine (60 Hz)</t>
        </is>
      </c>
      <c r="I991" s="12" t="inlineStr">
        <is>
          <t>Instrumentation</t>
        </is>
      </c>
      <c r="J991" s="12" t="inlineStr">
        <is>
          <t>Thermocouple extension KX, #16 shielded pairs, PLTC</t>
        </is>
      </c>
      <c r="K991" s="12" t="inlineStr">
        <is>
          <t>TCX|24 pr|16</t>
        </is>
      </c>
      <c r="L991" s="12" t="inlineStr">
        <is>
          <t>24 pr</t>
        </is>
      </c>
      <c r="M991" s="12" t="inlineStr">
        <is>
          <t>16</t>
        </is>
      </c>
      <c r="N991" s="12" t="n">
        <v>1</v>
      </c>
      <c r="O991" s="12" t="n">
        <v>1</v>
      </c>
      <c r="P991" s="12" t="n"/>
      <c r="Q991" s="12" t="n"/>
      <c r="R991" s="12" t="n"/>
      <c r="S991" s="12" t="inlineStr">
        <is>
          <t>Tray</t>
        </is>
      </c>
      <c r="T991" s="16" t="n">
        <v>1046</v>
      </c>
      <c r="U991" s="16" t="n">
        <v>197</v>
      </c>
      <c r="V991" s="16">
        <f>ROUNDUP((T991+U991+2*'Read Me'!$B$13)*(1+'Read Me'!$B$12),-1)</f>
        <v/>
      </c>
      <c r="W991" s="16">
        <f>V991*N991*O991</f>
        <v/>
      </c>
      <c r="X991" s="12">
        <f>IF(LEFT(I991,2)="MV",2*N991*IF(L991="1/C",O991,1),0)</f>
        <v/>
      </c>
      <c r="Y991" s="12">
        <f>IF(OR(LEFT(K991,4)="LVAX",LEFT(K991,6)="MV15AX",LEFT(K991,4)="CTAX",LEFT(K991,2)="W|"),2*N991*O991,0)</f>
        <v/>
      </c>
      <c r="Z991" s="12" t="inlineStr"/>
      <c r="AA991" s="12">
        <f>N991*O991</f>
        <v/>
      </c>
    </row>
    <row r="992">
      <c r="A992" s="12" t="inlineStr">
        <is>
          <t>A-I-0270</t>
        </is>
      </c>
      <c r="B992" s="12" t="inlineStr">
        <is>
          <t>A</t>
        </is>
      </c>
      <c r="C992" s="12" t="inlineStr">
        <is>
          <t>Power block</t>
        </is>
      </c>
      <c r="D992" s="12" t="inlineStr">
        <is>
          <t>Vibration monitoring</t>
        </is>
      </c>
      <c r="E992" s="12" t="inlineStr">
        <is>
          <t>R2B</t>
        </is>
      </c>
      <c r="F992" s="12" t="inlineStr">
        <is>
          <t>R2B: unit / HRSG electrical e-house (32 x 40 ft)</t>
        </is>
      </c>
      <c r="G992" s="12" t="inlineStr">
        <is>
          <t>GT2</t>
        </is>
      </c>
      <c r="H992" s="12" t="inlineStr">
        <is>
          <t>GT2: H-class gas turbine (60 Hz)</t>
        </is>
      </c>
      <c r="I992" s="12" t="inlineStr">
        <is>
          <t>Instrumentation</t>
        </is>
      </c>
      <c r="J992" s="12" t="inlineStr">
        <is>
          <t>Instrumentation PLTC / TC-ER 300 V, #18 twisted shielded pairs, overall shield</t>
        </is>
      </c>
      <c r="K992" s="12" t="inlineStr">
        <is>
          <t>PLTC|4 pr|18</t>
        </is>
      </c>
      <c r="L992" s="12" t="inlineStr">
        <is>
          <t>4 pr</t>
        </is>
      </c>
      <c r="M992" s="12" t="inlineStr">
        <is>
          <t>18</t>
        </is>
      </c>
      <c r="N992" s="12" t="n">
        <v>1</v>
      </c>
      <c r="O992" s="12" t="n">
        <v>1</v>
      </c>
      <c r="P992" s="12" t="n"/>
      <c r="Q992" s="12" t="n"/>
      <c r="R992" s="12" t="n"/>
      <c r="S992" s="12" t="inlineStr">
        <is>
          <t>Tray</t>
        </is>
      </c>
      <c r="T992" s="16" t="n">
        <v>1046</v>
      </c>
      <c r="U992" s="16" t="n">
        <v>197</v>
      </c>
      <c r="V992" s="16">
        <f>ROUNDUP((T992+U992+2*'Read Me'!$B$13)*(1+'Read Me'!$B$12),-1)</f>
        <v/>
      </c>
      <c r="W992" s="16">
        <f>V992*N992*O992</f>
        <v/>
      </c>
      <c r="X992" s="12">
        <f>IF(LEFT(I992,2)="MV",2*N992*IF(L992="1/C",O992,1),0)</f>
        <v/>
      </c>
      <c r="Y992" s="12">
        <f>IF(OR(LEFT(K992,4)="LVAX",LEFT(K992,6)="MV15AX",LEFT(K992,4)="CTAX",LEFT(K992,2)="W|"),2*N992*O992,0)</f>
        <v/>
      </c>
      <c r="Z992" s="12" t="inlineStr"/>
      <c r="AA992" s="12">
        <f>N992*O992</f>
        <v/>
      </c>
    </row>
    <row r="993">
      <c r="A993" s="12" t="inlineStr">
        <is>
          <t>A-I-0271</t>
        </is>
      </c>
      <c r="B993" s="12" t="inlineStr">
        <is>
          <t>A</t>
        </is>
      </c>
      <c r="C993" s="12" t="inlineStr">
        <is>
          <t>Power block</t>
        </is>
      </c>
      <c r="D993" s="12" t="inlineStr">
        <is>
          <t>Analog instrument to JB JB-GT3 aux-AI01: 20 x 1 pr (field cables)</t>
        </is>
      </c>
      <c r="E993" s="12" t="inlineStr">
        <is>
          <t>GT3 aux</t>
        </is>
      </c>
      <c r="F993" s="12" t="inlineStr">
        <is>
          <t>GT3 aux: lube oil, hydraulics, enclosure fans</t>
        </is>
      </c>
      <c r="G993" s="12" t="inlineStr">
        <is>
          <t>JB-GT3 aux-AI01</t>
        </is>
      </c>
      <c r="H993" s="12" t="inlineStr">
        <is>
          <t>GT3 aux: lube oil, hydraulics, enclosure fans</t>
        </is>
      </c>
      <c r="I993" s="12" t="inlineStr">
        <is>
          <t>Instrumentation</t>
        </is>
      </c>
      <c r="J993" s="12" t="inlineStr">
        <is>
          <t>Instrumentation ITC / PLTC, IS, #18 shielded pairs, blue jacket</t>
        </is>
      </c>
      <c r="K993" s="12" t="inlineStr">
        <is>
          <t>ITC|1 pr|16</t>
        </is>
      </c>
      <c r="L993" s="12" t="inlineStr">
        <is>
          <t>1 pr</t>
        </is>
      </c>
      <c r="M993" s="12" t="inlineStr">
        <is>
          <t>16</t>
        </is>
      </c>
      <c r="N993" s="12" t="n">
        <v>20</v>
      </c>
      <c r="O993" s="12" t="n">
        <v>1</v>
      </c>
      <c r="P993" s="12" t="n"/>
      <c r="Q993" s="12" t="n"/>
      <c r="R993" s="12" t="n"/>
      <c r="S993" s="12" t="inlineStr">
        <is>
          <t>Tray / conduit</t>
        </is>
      </c>
      <c r="T993" s="16" t="n">
        <v>62</v>
      </c>
      <c r="U993" s="16" t="n">
        <v>10</v>
      </c>
      <c r="V993" s="16">
        <f>ROUNDUP((T993+U993+2*'Read Me'!$B$13)*(1+'Read Me'!$B$12),-1)</f>
        <v/>
      </c>
      <c r="W993" s="16">
        <f>V993*N993*O993</f>
        <v/>
      </c>
      <c r="X993" s="12">
        <f>IF(LEFT(I993,2)="MV",2*N993*IF(L993="1/C",O993,1),0)</f>
        <v/>
      </c>
      <c r="Y993" s="12">
        <f>IF(OR(LEFT(K993,4)="LVAX",LEFT(K993,6)="MV15AX",LEFT(K993,4)="CTAX",LEFT(K993,2)="W|"),2*N993*O993,0)</f>
        <v/>
      </c>
      <c r="Z993" s="12" t="inlineStr">
        <is>
          <t>device-to-JB field wiring, one cable per device</t>
        </is>
      </c>
      <c r="AA993" s="12">
        <f>N993*O993</f>
        <v/>
      </c>
    </row>
    <row r="994">
      <c r="A994" s="12" t="inlineStr">
        <is>
          <t>A-I-0272</t>
        </is>
      </c>
      <c r="B994" s="12" t="inlineStr">
        <is>
          <t>A</t>
        </is>
      </c>
      <c r="C994" s="12" t="inlineStr">
        <is>
          <t>Power block</t>
        </is>
      </c>
      <c r="D994" s="12" t="inlineStr">
        <is>
          <t>Home run JB-GT3 aux-AI01 to the control / marshalling room</t>
        </is>
      </c>
      <c r="E994" s="12" t="inlineStr">
        <is>
          <t>R2C</t>
        </is>
      </c>
      <c r="F994" s="12" t="inlineStr">
        <is>
          <t>R2C: unit / HRSG electrical e-house (32 x 40 ft)</t>
        </is>
      </c>
      <c r="G994" s="12" t="inlineStr">
        <is>
          <t>JB-GT3 aux-AI01</t>
        </is>
      </c>
      <c r="H994" s="12" t="inlineStr">
        <is>
          <t>GT3 aux: lube oil, hydraulics, enclosure fans</t>
        </is>
      </c>
      <c r="I994" s="12" t="inlineStr">
        <is>
          <t>Instrumentation</t>
        </is>
      </c>
      <c r="J994" s="12" t="inlineStr">
        <is>
          <t>Instrumentation ITC / PLTC, IS, #18 shielded pairs, blue jacket</t>
        </is>
      </c>
      <c r="K994" s="12" t="inlineStr">
        <is>
          <t>ITC|24 pr|18</t>
        </is>
      </c>
      <c r="L994" s="12" t="inlineStr">
        <is>
          <t>24 pr</t>
        </is>
      </c>
      <c r="M994" s="12" t="inlineStr">
        <is>
          <t>18</t>
        </is>
      </c>
      <c r="N994" s="12" t="n">
        <v>1</v>
      </c>
      <c r="O994" s="12" t="n">
        <v>1</v>
      </c>
      <c r="P994" s="12" t="n"/>
      <c r="Q994" s="12" t="n"/>
      <c r="R994" s="12" t="n"/>
      <c r="S994" s="12" t="inlineStr">
        <is>
          <t>Tray</t>
        </is>
      </c>
      <c r="T994" s="16" t="n">
        <v>926</v>
      </c>
      <c r="U994" s="16" t="n">
        <v>248</v>
      </c>
      <c r="V994" s="16">
        <f>ROUNDUP((T994+U994+2*'Read Me'!$B$13)*(1+'Read Me'!$B$12),-1)</f>
        <v/>
      </c>
      <c r="W994" s="16">
        <f>V994*N994*O994</f>
        <v/>
      </c>
      <c r="X994" s="12">
        <f>IF(LEFT(I994,2)="MV",2*N994*IF(L994="1/C",O994,1),0)</f>
        <v/>
      </c>
      <c r="Y994" s="12">
        <f>IF(OR(LEFT(K994,4)="LVAX",LEFT(K994,6)="MV15AX",LEFT(K994,4)="CTAX",LEFT(K994,2)="W|"),2*N994*O994,0)</f>
        <v/>
      </c>
      <c r="Z994" s="12" t="inlineStr"/>
      <c r="AA994" s="12">
        <f>N994*O994</f>
        <v/>
      </c>
    </row>
    <row r="995">
      <c r="A995" s="12" t="inlineStr">
        <is>
          <t>A-I-0273</t>
        </is>
      </c>
      <c r="B995" s="12" t="inlineStr">
        <is>
          <t>A</t>
        </is>
      </c>
      <c r="C995" s="12" t="inlineStr">
        <is>
          <t>Power block</t>
        </is>
      </c>
      <c r="D995" s="12" t="inlineStr">
        <is>
          <t>Analog instrument to JB JB-GT3 aux-AI02: 20 x 1 pr (field cables)</t>
        </is>
      </c>
      <c r="E995" s="12" t="inlineStr">
        <is>
          <t>GT3 aux</t>
        </is>
      </c>
      <c r="F995" s="12" t="inlineStr">
        <is>
          <t>GT3 aux: lube oil, hydraulics, enclosure fans</t>
        </is>
      </c>
      <c r="G995" s="12" t="inlineStr">
        <is>
          <t>JB-GT3 aux-AI02</t>
        </is>
      </c>
      <c r="H995" s="12" t="inlineStr">
        <is>
          <t>GT3 aux: lube oil, hydraulics, enclosure fans</t>
        </is>
      </c>
      <c r="I995" s="12" t="inlineStr">
        <is>
          <t>Instrumentation</t>
        </is>
      </c>
      <c r="J995" s="12" t="inlineStr">
        <is>
          <t>Instrumentation ITC / PLTC, IS, #18 shielded pairs, blue jacket</t>
        </is>
      </c>
      <c r="K995" s="12" t="inlineStr">
        <is>
          <t>ITC|1 pr|16</t>
        </is>
      </c>
      <c r="L995" s="12" t="inlineStr">
        <is>
          <t>1 pr</t>
        </is>
      </c>
      <c r="M995" s="12" t="inlineStr">
        <is>
          <t>16</t>
        </is>
      </c>
      <c r="N995" s="12" t="n">
        <v>20</v>
      </c>
      <c r="O995" s="12" t="n">
        <v>1</v>
      </c>
      <c r="P995" s="12" t="n"/>
      <c r="Q995" s="12" t="n"/>
      <c r="R995" s="12" t="n"/>
      <c r="S995" s="12" t="inlineStr">
        <is>
          <t>Tray / conduit</t>
        </is>
      </c>
      <c r="T995" s="16" t="n">
        <v>62</v>
      </c>
      <c r="U995" s="16" t="n">
        <v>10</v>
      </c>
      <c r="V995" s="16">
        <f>ROUNDUP((T995+U995+2*'Read Me'!$B$13)*(1+'Read Me'!$B$12),-1)</f>
        <v/>
      </c>
      <c r="W995" s="16">
        <f>V995*N995*O995</f>
        <v/>
      </c>
      <c r="X995" s="12">
        <f>IF(LEFT(I995,2)="MV",2*N995*IF(L995="1/C",O995,1),0)</f>
        <v/>
      </c>
      <c r="Y995" s="12">
        <f>IF(OR(LEFT(K995,4)="LVAX",LEFT(K995,6)="MV15AX",LEFT(K995,4)="CTAX",LEFT(K995,2)="W|"),2*N995*O995,0)</f>
        <v/>
      </c>
      <c r="Z995" s="12" t="inlineStr">
        <is>
          <t>device-to-JB field wiring, one cable per device</t>
        </is>
      </c>
      <c r="AA995" s="12">
        <f>N995*O995</f>
        <v/>
      </c>
    </row>
    <row r="996">
      <c r="A996" s="12" t="inlineStr">
        <is>
          <t>A-I-0274</t>
        </is>
      </c>
      <c r="B996" s="12" t="inlineStr">
        <is>
          <t>A</t>
        </is>
      </c>
      <c r="C996" s="12" t="inlineStr">
        <is>
          <t>Power block</t>
        </is>
      </c>
      <c r="D996" s="12" t="inlineStr">
        <is>
          <t>Home run JB-GT3 aux-AI02 to the control / marshalling room</t>
        </is>
      </c>
      <c r="E996" s="12" t="inlineStr">
        <is>
          <t>R2C</t>
        </is>
      </c>
      <c r="F996" s="12" t="inlineStr">
        <is>
          <t>R2C: unit / HRSG electrical e-house (32 x 40 ft)</t>
        </is>
      </c>
      <c r="G996" s="12" t="inlineStr">
        <is>
          <t>JB-GT3 aux-AI02</t>
        </is>
      </c>
      <c r="H996" s="12" t="inlineStr">
        <is>
          <t>GT3 aux: lube oil, hydraulics, enclosure fans</t>
        </is>
      </c>
      <c r="I996" s="12" t="inlineStr">
        <is>
          <t>Instrumentation</t>
        </is>
      </c>
      <c r="J996" s="12" t="inlineStr">
        <is>
          <t>Instrumentation ITC / PLTC, IS, #18 shielded pairs, blue jacket</t>
        </is>
      </c>
      <c r="K996" s="12" t="inlineStr">
        <is>
          <t>ITC|24 pr|18</t>
        </is>
      </c>
      <c r="L996" s="12" t="inlineStr">
        <is>
          <t>24 pr</t>
        </is>
      </c>
      <c r="M996" s="12" t="inlineStr">
        <is>
          <t>18</t>
        </is>
      </c>
      <c r="N996" s="12" t="n">
        <v>1</v>
      </c>
      <c r="O996" s="12" t="n">
        <v>1</v>
      </c>
      <c r="P996" s="12" t="n"/>
      <c r="Q996" s="12" t="n"/>
      <c r="R996" s="12" t="n"/>
      <c r="S996" s="12" t="inlineStr">
        <is>
          <t>Tray</t>
        </is>
      </c>
      <c r="T996" s="16" t="n">
        <v>926</v>
      </c>
      <c r="U996" s="16" t="n">
        <v>248</v>
      </c>
      <c r="V996" s="16">
        <f>ROUNDUP((T996+U996+2*'Read Me'!$B$13)*(1+'Read Me'!$B$12),-1)</f>
        <v/>
      </c>
      <c r="W996" s="16">
        <f>V996*N996*O996</f>
        <v/>
      </c>
      <c r="X996" s="12">
        <f>IF(LEFT(I996,2)="MV",2*N996*IF(L996="1/C",O996,1),0)</f>
        <v/>
      </c>
      <c r="Y996" s="12">
        <f>IF(OR(LEFT(K996,4)="LVAX",LEFT(K996,6)="MV15AX",LEFT(K996,4)="CTAX",LEFT(K996,2)="W|"),2*N996*O996,0)</f>
        <v/>
      </c>
      <c r="Z996" s="12" t="inlineStr"/>
      <c r="AA996" s="12">
        <f>N996*O996</f>
        <v/>
      </c>
    </row>
    <row r="997">
      <c r="A997" s="12" t="inlineStr">
        <is>
          <t>A-I-0275</t>
        </is>
      </c>
      <c r="B997" s="12" t="inlineStr">
        <is>
          <t>A</t>
        </is>
      </c>
      <c r="C997" s="12" t="inlineStr">
        <is>
          <t>Power block</t>
        </is>
      </c>
      <c r="D997" s="12" t="inlineStr">
        <is>
          <t>Discrete device to JB JB-GT3 aux-DI01: 20 x 1 pr (field cables)</t>
        </is>
      </c>
      <c r="E997" s="12" t="inlineStr">
        <is>
          <t>GT3 aux</t>
        </is>
      </c>
      <c r="F997" s="12" t="inlineStr">
        <is>
          <t>GT3 aux: lube oil, hydraulics, enclosure fans</t>
        </is>
      </c>
      <c r="G997" s="12" t="inlineStr">
        <is>
          <t>JB-GT3 aux-DI01</t>
        </is>
      </c>
      <c r="H997" s="12" t="inlineStr">
        <is>
          <t>GT3 aux: lube oil, hydraulics, enclosure fans</t>
        </is>
      </c>
      <c r="I997" s="12" t="inlineStr">
        <is>
          <t>Instrumentation</t>
        </is>
      </c>
      <c r="J997" s="12" t="inlineStr">
        <is>
          <t>Instrumentation ITC / PLTC, IS, #18 shielded pairs, blue jacket</t>
        </is>
      </c>
      <c r="K997" s="12" t="inlineStr">
        <is>
          <t>ITC|1 pr|16</t>
        </is>
      </c>
      <c r="L997" s="12" t="inlineStr">
        <is>
          <t>1 pr</t>
        </is>
      </c>
      <c r="M997" s="12" t="inlineStr">
        <is>
          <t>16</t>
        </is>
      </c>
      <c r="N997" s="12" t="n">
        <v>20</v>
      </c>
      <c r="O997" s="12" t="n">
        <v>1</v>
      </c>
      <c r="P997" s="12" t="n"/>
      <c r="Q997" s="12" t="n"/>
      <c r="R997" s="12" t="n"/>
      <c r="S997" s="12" t="inlineStr">
        <is>
          <t>Tray / conduit</t>
        </is>
      </c>
      <c r="T997" s="16" t="n">
        <v>62</v>
      </c>
      <c r="U997" s="16" t="n">
        <v>10</v>
      </c>
      <c r="V997" s="16">
        <f>ROUNDUP((T997+U997+2*'Read Me'!$B$13)*(1+'Read Me'!$B$12),-1)</f>
        <v/>
      </c>
      <c r="W997" s="16">
        <f>V997*N997*O997</f>
        <v/>
      </c>
      <c r="X997" s="12">
        <f>IF(LEFT(I997,2)="MV",2*N997*IF(L997="1/C",O997,1),0)</f>
        <v/>
      </c>
      <c r="Y997" s="12">
        <f>IF(OR(LEFT(K997,4)="LVAX",LEFT(K997,6)="MV15AX",LEFT(K997,4)="CTAX",LEFT(K997,2)="W|"),2*N997*O997,0)</f>
        <v/>
      </c>
      <c r="Z997" s="12" t="inlineStr">
        <is>
          <t>device-to-JB field wiring, one cable per device</t>
        </is>
      </c>
      <c r="AA997" s="12">
        <f>N997*O997</f>
        <v/>
      </c>
    </row>
    <row r="998">
      <c r="A998" s="12" t="inlineStr">
        <is>
          <t>A-I-0276</t>
        </is>
      </c>
      <c r="B998" s="12" t="inlineStr">
        <is>
          <t>A</t>
        </is>
      </c>
      <c r="C998" s="12" t="inlineStr">
        <is>
          <t>Power block</t>
        </is>
      </c>
      <c r="D998" s="12" t="inlineStr">
        <is>
          <t>Home run JB-GT3 aux-DI01 to the control / marshalling room</t>
        </is>
      </c>
      <c r="E998" s="12" t="inlineStr">
        <is>
          <t>R2C</t>
        </is>
      </c>
      <c r="F998" s="12" t="inlineStr">
        <is>
          <t>R2C: unit / HRSG electrical e-house (32 x 40 ft)</t>
        </is>
      </c>
      <c r="G998" s="12" t="inlineStr">
        <is>
          <t>JB-GT3 aux-DI01</t>
        </is>
      </c>
      <c r="H998" s="12" t="inlineStr">
        <is>
          <t>GT3 aux: lube oil, hydraulics, enclosure fans</t>
        </is>
      </c>
      <c r="I998" s="12" t="inlineStr">
        <is>
          <t>Instrumentation</t>
        </is>
      </c>
      <c r="J998" s="12" t="inlineStr">
        <is>
          <t>Instrumentation ITC / PLTC, IS, #18 shielded pairs, blue jacket</t>
        </is>
      </c>
      <c r="K998" s="12" t="inlineStr">
        <is>
          <t>ITC|24 pr|18</t>
        </is>
      </c>
      <c r="L998" s="12" t="inlineStr">
        <is>
          <t>24 pr</t>
        </is>
      </c>
      <c r="M998" s="12" t="inlineStr">
        <is>
          <t>18</t>
        </is>
      </c>
      <c r="N998" s="12" t="n">
        <v>1</v>
      </c>
      <c r="O998" s="12" t="n">
        <v>1</v>
      </c>
      <c r="P998" s="12" t="n"/>
      <c r="Q998" s="12" t="n"/>
      <c r="R998" s="12" t="n"/>
      <c r="S998" s="12" t="inlineStr">
        <is>
          <t>Tray</t>
        </is>
      </c>
      <c r="T998" s="16" t="n">
        <v>926</v>
      </c>
      <c r="U998" s="16" t="n">
        <v>248</v>
      </c>
      <c r="V998" s="16">
        <f>ROUNDUP((T998+U998+2*'Read Me'!$B$13)*(1+'Read Me'!$B$12),-1)</f>
        <v/>
      </c>
      <c r="W998" s="16">
        <f>V998*N998*O998</f>
        <v/>
      </c>
      <c r="X998" s="12">
        <f>IF(LEFT(I998,2)="MV",2*N998*IF(L998="1/C",O998,1),0)</f>
        <v/>
      </c>
      <c r="Y998" s="12">
        <f>IF(OR(LEFT(K998,4)="LVAX",LEFT(K998,6)="MV15AX",LEFT(K998,4)="CTAX",LEFT(K998,2)="W|"),2*N998*O998,0)</f>
        <v/>
      </c>
      <c r="Z998" s="12" t="inlineStr"/>
      <c r="AA998" s="12">
        <f>N998*O998</f>
        <v/>
      </c>
    </row>
    <row r="999">
      <c r="A999" s="12" t="inlineStr">
        <is>
          <t>A-I-0277</t>
        </is>
      </c>
      <c r="B999" s="12" t="inlineStr">
        <is>
          <t>A</t>
        </is>
      </c>
      <c r="C999" s="12" t="inlineStr">
        <is>
          <t>Power block</t>
        </is>
      </c>
      <c r="D999" s="12" t="inlineStr">
        <is>
          <t>Discrete device to JB JB-GT3 aux-DI02: 20 x 1 pr (field cables)</t>
        </is>
      </c>
      <c r="E999" s="12" t="inlineStr">
        <is>
          <t>GT3 aux</t>
        </is>
      </c>
      <c r="F999" s="12" t="inlineStr">
        <is>
          <t>GT3 aux: lube oil, hydraulics, enclosure fans</t>
        </is>
      </c>
      <c r="G999" s="12" t="inlineStr">
        <is>
          <t>JB-GT3 aux-DI02</t>
        </is>
      </c>
      <c r="H999" s="12" t="inlineStr">
        <is>
          <t>GT3 aux: lube oil, hydraulics, enclosure fans</t>
        </is>
      </c>
      <c r="I999" s="12" t="inlineStr">
        <is>
          <t>Instrumentation</t>
        </is>
      </c>
      <c r="J999" s="12" t="inlineStr">
        <is>
          <t>Instrumentation ITC / PLTC, IS, #18 shielded pairs, blue jacket</t>
        </is>
      </c>
      <c r="K999" s="12" t="inlineStr">
        <is>
          <t>ITC|1 pr|16</t>
        </is>
      </c>
      <c r="L999" s="12" t="inlineStr">
        <is>
          <t>1 pr</t>
        </is>
      </c>
      <c r="M999" s="12" t="inlineStr">
        <is>
          <t>16</t>
        </is>
      </c>
      <c r="N999" s="12" t="n">
        <v>20</v>
      </c>
      <c r="O999" s="12" t="n">
        <v>1</v>
      </c>
      <c r="P999" s="12" t="n"/>
      <c r="Q999" s="12" t="n"/>
      <c r="R999" s="12" t="n"/>
      <c r="S999" s="12" t="inlineStr">
        <is>
          <t>Tray / conduit</t>
        </is>
      </c>
      <c r="T999" s="16" t="n">
        <v>62</v>
      </c>
      <c r="U999" s="16" t="n">
        <v>10</v>
      </c>
      <c r="V999" s="16">
        <f>ROUNDUP((T999+U999+2*'Read Me'!$B$13)*(1+'Read Me'!$B$12),-1)</f>
        <v/>
      </c>
      <c r="W999" s="16">
        <f>V999*N999*O999</f>
        <v/>
      </c>
      <c r="X999" s="12">
        <f>IF(LEFT(I999,2)="MV",2*N999*IF(L999="1/C",O999,1),0)</f>
        <v/>
      </c>
      <c r="Y999" s="12">
        <f>IF(OR(LEFT(K999,4)="LVAX",LEFT(K999,6)="MV15AX",LEFT(K999,4)="CTAX",LEFT(K999,2)="W|"),2*N999*O999,0)</f>
        <v/>
      </c>
      <c r="Z999" s="12" t="inlineStr">
        <is>
          <t>device-to-JB field wiring, one cable per device</t>
        </is>
      </c>
      <c r="AA999" s="12">
        <f>N999*O999</f>
        <v/>
      </c>
    </row>
    <row r="1000">
      <c r="A1000" s="12" t="inlineStr">
        <is>
          <t>A-I-0278</t>
        </is>
      </c>
      <c r="B1000" s="12" t="inlineStr">
        <is>
          <t>A</t>
        </is>
      </c>
      <c r="C1000" s="12" t="inlineStr">
        <is>
          <t>Power block</t>
        </is>
      </c>
      <c r="D1000" s="12" t="inlineStr">
        <is>
          <t>Home run JB-GT3 aux-DI02 to the control / marshalling room</t>
        </is>
      </c>
      <c r="E1000" s="12" t="inlineStr">
        <is>
          <t>R2C</t>
        </is>
      </c>
      <c r="F1000" s="12" t="inlineStr">
        <is>
          <t>R2C: unit / HRSG electrical e-house (32 x 40 ft)</t>
        </is>
      </c>
      <c r="G1000" s="12" t="inlineStr">
        <is>
          <t>JB-GT3 aux-DI02</t>
        </is>
      </c>
      <c r="H1000" s="12" t="inlineStr">
        <is>
          <t>GT3 aux: lube oil, hydraulics, enclosure fans</t>
        </is>
      </c>
      <c r="I1000" s="12" t="inlineStr">
        <is>
          <t>Instrumentation</t>
        </is>
      </c>
      <c r="J1000" s="12" t="inlineStr">
        <is>
          <t>Instrumentation ITC / PLTC, IS, #18 shielded pairs, blue jacket</t>
        </is>
      </c>
      <c r="K1000" s="12" t="inlineStr">
        <is>
          <t>ITC|24 pr|18</t>
        </is>
      </c>
      <c r="L1000" s="12" t="inlineStr">
        <is>
          <t>24 pr</t>
        </is>
      </c>
      <c r="M1000" s="12" t="inlineStr">
        <is>
          <t>18</t>
        </is>
      </c>
      <c r="N1000" s="12" t="n">
        <v>1</v>
      </c>
      <c r="O1000" s="12" t="n">
        <v>1</v>
      </c>
      <c r="P1000" s="12" t="n"/>
      <c r="Q1000" s="12" t="n"/>
      <c r="R1000" s="12" t="n"/>
      <c r="S1000" s="12" t="inlineStr">
        <is>
          <t>Tray</t>
        </is>
      </c>
      <c r="T1000" s="16" t="n">
        <v>926</v>
      </c>
      <c r="U1000" s="16" t="n">
        <v>248</v>
      </c>
      <c r="V1000" s="16">
        <f>ROUNDUP((T1000+U1000+2*'Read Me'!$B$13)*(1+'Read Me'!$B$12),-1)</f>
        <v/>
      </c>
      <c r="W1000" s="16">
        <f>V1000*N1000*O1000</f>
        <v/>
      </c>
      <c r="X1000" s="12">
        <f>IF(LEFT(I1000,2)="MV",2*N1000*IF(L1000="1/C",O1000,1),0)</f>
        <v/>
      </c>
      <c r="Y1000" s="12">
        <f>IF(OR(LEFT(K1000,4)="LVAX",LEFT(K1000,6)="MV15AX",LEFT(K1000,4)="CTAX",LEFT(K1000,2)="W|"),2*N1000*O1000,0)</f>
        <v/>
      </c>
      <c r="Z1000" s="12" t="inlineStr"/>
      <c r="AA1000" s="12">
        <f>N1000*O1000</f>
        <v/>
      </c>
    </row>
    <row r="1001">
      <c r="A1001" s="12" t="inlineStr">
        <is>
          <t>A-I-0279</t>
        </is>
      </c>
      <c r="B1001" s="12" t="inlineStr">
        <is>
          <t>A</t>
        </is>
      </c>
      <c r="C1001" s="12" t="inlineStr">
        <is>
          <t>Power block</t>
        </is>
      </c>
      <c r="D1001" s="12" t="inlineStr">
        <is>
          <t>Analog instrument to JB JB-INL-3-AI01: 6 x 1 pr (field cables)</t>
        </is>
      </c>
      <c r="E1001" s="12" t="inlineStr">
        <is>
          <t>INL-3</t>
        </is>
      </c>
      <c r="F1001" s="12" t="inlineStr">
        <is>
          <t>GT3 inlet duct (drop + horizontal EL 23-37)</t>
        </is>
      </c>
      <c r="G1001" s="12" t="inlineStr">
        <is>
          <t>JB-INL-3-AI01</t>
        </is>
      </c>
      <c r="H1001" s="12" t="inlineStr">
        <is>
          <t>GT3 inlet duct (drop + horizontal EL 23-37)</t>
        </is>
      </c>
      <c r="I1001" s="12" t="inlineStr">
        <is>
          <t>Instrumentation</t>
        </is>
      </c>
      <c r="J1001" s="12" t="inlineStr">
        <is>
          <t>Instrumentation ITC / PLTC, IS, #18 shielded pairs, blue jacket</t>
        </is>
      </c>
      <c r="K1001" s="12" t="inlineStr">
        <is>
          <t>ITC|1 pr|16</t>
        </is>
      </c>
      <c r="L1001" s="12" t="inlineStr">
        <is>
          <t>1 pr</t>
        </is>
      </c>
      <c r="M1001" s="12" t="inlineStr">
        <is>
          <t>16</t>
        </is>
      </c>
      <c r="N1001" s="12" t="n">
        <v>6</v>
      </c>
      <c r="O1001" s="12" t="n">
        <v>1</v>
      </c>
      <c r="P1001" s="12" t="n"/>
      <c r="Q1001" s="12" t="n"/>
      <c r="R1001" s="12" t="n"/>
      <c r="S1001" s="12" t="inlineStr">
        <is>
          <t>Tray / conduit</t>
        </is>
      </c>
      <c r="T1001" s="16" t="n">
        <v>132</v>
      </c>
      <c r="U1001" s="16" t="n">
        <v>10</v>
      </c>
      <c r="V1001" s="16">
        <f>ROUNDUP((T1001+U1001+2*'Read Me'!$B$13)*(1+'Read Me'!$B$12),-1)</f>
        <v/>
      </c>
      <c r="W1001" s="16">
        <f>V1001*N1001*O1001</f>
        <v/>
      </c>
      <c r="X1001" s="12">
        <f>IF(LEFT(I1001,2)="MV",2*N1001*IF(L1001="1/C",O1001,1),0)</f>
        <v/>
      </c>
      <c r="Y1001" s="12">
        <f>IF(OR(LEFT(K1001,4)="LVAX",LEFT(K1001,6)="MV15AX",LEFT(K1001,4)="CTAX",LEFT(K1001,2)="W|"),2*N1001*O1001,0)</f>
        <v/>
      </c>
      <c r="Z1001" s="12" t="inlineStr">
        <is>
          <t>device-to-JB field wiring, one cable per device</t>
        </is>
      </c>
      <c r="AA1001" s="12">
        <f>N1001*O1001</f>
        <v/>
      </c>
    </row>
    <row r="1002">
      <c r="A1002" s="12" t="inlineStr">
        <is>
          <t>A-I-0280</t>
        </is>
      </c>
      <c r="B1002" s="12" t="inlineStr">
        <is>
          <t>A</t>
        </is>
      </c>
      <c r="C1002" s="12" t="inlineStr">
        <is>
          <t>Power block</t>
        </is>
      </c>
      <c r="D1002" s="12" t="inlineStr">
        <is>
          <t>Home run JB-INL-3-AI01 to the control / marshalling room</t>
        </is>
      </c>
      <c r="E1002" s="12" t="inlineStr">
        <is>
          <t>R2C</t>
        </is>
      </c>
      <c r="F1002" s="12" t="inlineStr">
        <is>
          <t>R2C: unit / HRSG electrical e-house (32 x 40 ft)</t>
        </is>
      </c>
      <c r="G1002" s="12" t="inlineStr">
        <is>
          <t>JB-INL-3-AI01</t>
        </is>
      </c>
      <c r="H1002" s="12" t="inlineStr">
        <is>
          <t>GT3 inlet duct (drop + horizontal EL 23-37)</t>
        </is>
      </c>
      <c r="I1002" s="12" t="inlineStr">
        <is>
          <t>Instrumentation</t>
        </is>
      </c>
      <c r="J1002" s="12" t="inlineStr">
        <is>
          <t>Instrumentation ITC / PLTC, IS, #18 shielded pairs, blue jacket</t>
        </is>
      </c>
      <c r="K1002" s="12" t="inlineStr">
        <is>
          <t>ITC|24 pr|18</t>
        </is>
      </c>
      <c r="L1002" s="12" t="inlineStr">
        <is>
          <t>24 pr</t>
        </is>
      </c>
      <c r="M1002" s="12" t="inlineStr">
        <is>
          <t>18</t>
        </is>
      </c>
      <c r="N1002" s="12" t="n">
        <v>1</v>
      </c>
      <c r="O1002" s="12" t="n">
        <v>1</v>
      </c>
      <c r="P1002" s="12" t="n"/>
      <c r="Q1002" s="12" t="n"/>
      <c r="R1002" s="12" t="n"/>
      <c r="S1002" s="12" t="inlineStr">
        <is>
          <t>Duct bank</t>
        </is>
      </c>
      <c r="T1002" s="16" t="n">
        <v>1135</v>
      </c>
      <c r="U1002" s="16" t="n">
        <v>96</v>
      </c>
      <c r="V1002" s="16">
        <f>ROUNDUP((T1002+U1002+2*'Read Me'!$B$13)*(1+'Read Me'!$B$12),-1)</f>
        <v/>
      </c>
      <c r="W1002" s="16">
        <f>V1002*N1002*O1002</f>
        <v/>
      </c>
      <c r="X1002" s="12">
        <f>IF(LEFT(I1002,2)="MV",2*N1002*IF(L1002="1/C",O1002,1),0)</f>
        <v/>
      </c>
      <c r="Y1002" s="12">
        <f>IF(OR(LEFT(K1002,4)="LVAX",LEFT(K1002,6)="MV15AX",LEFT(K1002,4)="CTAX",LEFT(K1002,2)="W|"),2*N1002*O1002,0)</f>
        <v/>
      </c>
      <c r="Z1002" s="12" t="inlineStr"/>
      <c r="AA1002" s="12">
        <f>N1002*O1002</f>
        <v/>
      </c>
    </row>
    <row r="1003">
      <c r="A1003" s="12" t="inlineStr">
        <is>
          <t>A-I-0281</t>
        </is>
      </c>
      <c r="B1003" s="12" t="inlineStr">
        <is>
          <t>A</t>
        </is>
      </c>
      <c r="C1003" s="12" t="inlineStr">
        <is>
          <t>Power block</t>
        </is>
      </c>
      <c r="D1003" s="12" t="inlineStr">
        <is>
          <t>Thermocouple to TC JB JB-INL-3-TC01: 4 x 1 pr (field cables)</t>
        </is>
      </c>
      <c r="E1003" s="12" t="inlineStr">
        <is>
          <t>INL-3</t>
        </is>
      </c>
      <c r="F1003" s="12" t="inlineStr">
        <is>
          <t>GT3 inlet duct (drop + horizontal EL 23-37)</t>
        </is>
      </c>
      <c r="G1003" s="12" t="inlineStr">
        <is>
          <t>JB-INL-3-TC01</t>
        </is>
      </c>
      <c r="H1003" s="12" t="inlineStr">
        <is>
          <t>GT3 inlet duct (drop + horizontal EL 23-37)</t>
        </is>
      </c>
      <c r="I1003" s="12" t="inlineStr">
        <is>
          <t>Instrumentation</t>
        </is>
      </c>
      <c r="J1003" s="12" t="inlineStr">
        <is>
          <t>Thermocouple extension KX, #16 shielded pairs, PLTC</t>
        </is>
      </c>
      <c r="K1003" s="12" t="inlineStr">
        <is>
          <t>TCX|1 pr|16</t>
        </is>
      </c>
      <c r="L1003" s="12" t="inlineStr">
        <is>
          <t>1 pr</t>
        </is>
      </c>
      <c r="M1003" s="12" t="inlineStr">
        <is>
          <t>16</t>
        </is>
      </c>
      <c r="N1003" s="12" t="n">
        <v>4</v>
      </c>
      <c r="O1003" s="12" t="n">
        <v>1</v>
      </c>
      <c r="P1003" s="12" t="n"/>
      <c r="Q1003" s="12" t="n"/>
      <c r="R1003" s="12" t="n"/>
      <c r="S1003" s="12" t="inlineStr">
        <is>
          <t>Tray / conduit</t>
        </is>
      </c>
      <c r="T1003" s="16" t="n">
        <v>132</v>
      </c>
      <c r="U1003" s="16" t="n">
        <v>10</v>
      </c>
      <c r="V1003" s="16">
        <f>ROUNDUP((T1003+U1003+2*'Read Me'!$B$13)*(1+'Read Me'!$B$12),-1)</f>
        <v/>
      </c>
      <c r="W1003" s="16">
        <f>V1003*N1003*O1003</f>
        <v/>
      </c>
      <c r="X1003" s="12">
        <f>IF(LEFT(I1003,2)="MV",2*N1003*IF(L1003="1/C",O1003,1),0)</f>
        <v/>
      </c>
      <c r="Y1003" s="12">
        <f>IF(OR(LEFT(K1003,4)="LVAX",LEFT(K1003,6)="MV15AX",LEFT(K1003,4)="CTAX",LEFT(K1003,2)="W|"),2*N1003*O1003,0)</f>
        <v/>
      </c>
      <c r="Z1003" s="12" t="inlineStr">
        <is>
          <t>device-to-JB field wiring, one cable per device</t>
        </is>
      </c>
      <c r="AA1003" s="12">
        <f>N1003*O1003</f>
        <v/>
      </c>
    </row>
    <row r="1004">
      <c r="A1004" s="12" t="inlineStr">
        <is>
          <t>A-I-0282</t>
        </is>
      </c>
      <c r="B1004" s="12" t="inlineStr">
        <is>
          <t>A</t>
        </is>
      </c>
      <c r="C1004" s="12" t="inlineStr">
        <is>
          <t>Power block</t>
        </is>
      </c>
      <c r="D1004" s="12" t="inlineStr">
        <is>
          <t>Home run JB-INL-3-TC01 to the control / marshalling room</t>
        </is>
      </c>
      <c r="E1004" s="12" t="inlineStr">
        <is>
          <t>R2C</t>
        </is>
      </c>
      <c r="F1004" s="12" t="inlineStr">
        <is>
          <t>R2C: unit / HRSG electrical e-house (32 x 40 ft)</t>
        </is>
      </c>
      <c r="G1004" s="12" t="inlineStr">
        <is>
          <t>JB-INL-3-TC01</t>
        </is>
      </c>
      <c r="H1004" s="12" t="inlineStr">
        <is>
          <t>GT3 inlet duct (drop + horizontal EL 23-37)</t>
        </is>
      </c>
      <c r="I1004" s="12" t="inlineStr">
        <is>
          <t>Instrumentation</t>
        </is>
      </c>
      <c r="J1004" s="12" t="inlineStr">
        <is>
          <t>Thermocouple extension KX, #16 shielded pairs, PLTC</t>
        </is>
      </c>
      <c r="K1004" s="12" t="inlineStr">
        <is>
          <t>TCX|24 pr|16</t>
        </is>
      </c>
      <c r="L1004" s="12" t="inlineStr">
        <is>
          <t>24 pr</t>
        </is>
      </c>
      <c r="M1004" s="12" t="inlineStr">
        <is>
          <t>16</t>
        </is>
      </c>
      <c r="N1004" s="12" t="n">
        <v>1</v>
      </c>
      <c r="O1004" s="12" t="n">
        <v>1</v>
      </c>
      <c r="P1004" s="12" t="n"/>
      <c r="Q1004" s="12" t="n"/>
      <c r="R1004" s="12" t="n"/>
      <c r="S1004" s="12" t="inlineStr">
        <is>
          <t>Duct bank</t>
        </is>
      </c>
      <c r="T1004" s="16" t="n">
        <v>1135</v>
      </c>
      <c r="U1004" s="16" t="n">
        <v>96</v>
      </c>
      <c r="V1004" s="16">
        <f>ROUNDUP((T1004+U1004+2*'Read Me'!$B$13)*(1+'Read Me'!$B$12),-1)</f>
        <v/>
      </c>
      <c r="W1004" s="16">
        <f>V1004*N1004*O1004</f>
        <v/>
      </c>
      <c r="X1004" s="12">
        <f>IF(LEFT(I1004,2)="MV",2*N1004*IF(L1004="1/C",O1004,1),0)</f>
        <v/>
      </c>
      <c r="Y1004" s="12">
        <f>IF(OR(LEFT(K1004,4)="LVAX",LEFT(K1004,6)="MV15AX",LEFT(K1004,4)="CTAX",LEFT(K1004,2)="W|"),2*N1004*O1004,0)</f>
        <v/>
      </c>
      <c r="Z1004" s="12" t="inlineStr"/>
      <c r="AA1004" s="12">
        <f>N1004*O1004</f>
        <v/>
      </c>
    </row>
    <row r="1005">
      <c r="A1005" s="12" t="inlineStr">
        <is>
          <t>A-I-0283</t>
        </is>
      </c>
      <c r="B1005" s="12" t="inlineStr">
        <is>
          <t>A</t>
        </is>
      </c>
      <c r="C1005" s="12" t="inlineStr">
        <is>
          <t>Power block</t>
        </is>
      </c>
      <c r="D1005" s="12" t="inlineStr">
        <is>
          <t>Analog instrument to JB JB-GT3-AI01: 20 x 1 pr (field cables)</t>
        </is>
      </c>
      <c r="E1005" s="12" t="inlineStr">
        <is>
          <t>GT3</t>
        </is>
      </c>
      <c r="F1005" s="12" t="inlineStr">
        <is>
          <t>GT3: H-class gas turbine (60 Hz)</t>
        </is>
      </c>
      <c r="G1005" s="12" t="inlineStr">
        <is>
          <t>JB-GT3-AI01</t>
        </is>
      </c>
      <c r="H1005" s="12" t="inlineStr">
        <is>
          <t>GT3: H-class gas turbine (60 Hz)</t>
        </is>
      </c>
      <c r="I1005" s="12" t="inlineStr">
        <is>
          <t>Instrumentation</t>
        </is>
      </c>
      <c r="J1005" s="12" t="inlineStr">
        <is>
          <t>Instrumentation ITC / PLTC, IS, #18 shielded pairs, blue jacket</t>
        </is>
      </c>
      <c r="K1005" s="12" t="inlineStr">
        <is>
          <t>ITC|1 pr|16</t>
        </is>
      </c>
      <c r="L1005" s="12" t="inlineStr">
        <is>
          <t>1 pr</t>
        </is>
      </c>
      <c r="M1005" s="12" t="inlineStr">
        <is>
          <t>16</t>
        </is>
      </c>
      <c r="N1005" s="12" t="n">
        <v>20</v>
      </c>
      <c r="O1005" s="12" t="n">
        <v>1</v>
      </c>
      <c r="P1005" s="12" t="n"/>
      <c r="Q1005" s="12" t="n"/>
      <c r="R1005" s="12" t="n"/>
      <c r="S1005" s="12" t="inlineStr">
        <is>
          <t>Tray / conduit</t>
        </is>
      </c>
      <c r="T1005" s="16" t="n">
        <v>96</v>
      </c>
      <c r="U1005" s="16" t="n">
        <v>10</v>
      </c>
      <c r="V1005" s="16">
        <f>ROUNDUP((T1005+U1005+2*'Read Me'!$B$13)*(1+'Read Me'!$B$12),-1)</f>
        <v/>
      </c>
      <c r="W1005" s="16">
        <f>V1005*N1005*O1005</f>
        <v/>
      </c>
      <c r="X1005" s="12">
        <f>IF(LEFT(I1005,2)="MV",2*N1005*IF(L1005="1/C",O1005,1),0)</f>
        <v/>
      </c>
      <c r="Y1005" s="12">
        <f>IF(OR(LEFT(K1005,4)="LVAX",LEFT(K1005,6)="MV15AX",LEFT(K1005,4)="CTAX",LEFT(K1005,2)="W|"),2*N1005*O1005,0)</f>
        <v/>
      </c>
      <c r="Z1005" s="12" t="inlineStr">
        <is>
          <t>device-to-JB field wiring, one cable per device</t>
        </is>
      </c>
      <c r="AA1005" s="12">
        <f>N1005*O1005</f>
        <v/>
      </c>
    </row>
    <row r="1006">
      <c r="A1006" s="12" t="inlineStr">
        <is>
          <t>A-I-0284</t>
        </is>
      </c>
      <c r="B1006" s="12" t="inlineStr">
        <is>
          <t>A</t>
        </is>
      </c>
      <c r="C1006" s="12" t="inlineStr">
        <is>
          <t>Power block</t>
        </is>
      </c>
      <c r="D1006" s="12" t="inlineStr">
        <is>
          <t>Home run JB-GT3-AI01 to the control / marshalling room</t>
        </is>
      </c>
      <c r="E1006" s="12" t="inlineStr">
        <is>
          <t>R2C</t>
        </is>
      </c>
      <c r="F1006" s="12" t="inlineStr">
        <is>
          <t>R2C: unit / HRSG electrical e-house (32 x 40 ft)</t>
        </is>
      </c>
      <c r="G1006" s="12" t="inlineStr">
        <is>
          <t>JB-GT3-AI01</t>
        </is>
      </c>
      <c r="H1006" s="12" t="inlineStr">
        <is>
          <t>GT3: H-class gas turbine (60 Hz)</t>
        </is>
      </c>
      <c r="I1006" s="12" t="inlineStr">
        <is>
          <t>Instrumentation</t>
        </is>
      </c>
      <c r="J1006" s="12" t="inlineStr">
        <is>
          <t>Instrumentation ITC / PLTC, IS, #18 shielded pairs, blue jacket</t>
        </is>
      </c>
      <c r="K1006" s="12" t="inlineStr">
        <is>
          <t>ITC|24 pr|18</t>
        </is>
      </c>
      <c r="L1006" s="12" t="inlineStr">
        <is>
          <t>24 pr</t>
        </is>
      </c>
      <c r="M1006" s="12" t="inlineStr">
        <is>
          <t>18</t>
        </is>
      </c>
      <c r="N1006" s="12" t="n">
        <v>1</v>
      </c>
      <c r="O1006" s="12" t="n">
        <v>1</v>
      </c>
      <c r="P1006" s="12" t="n"/>
      <c r="Q1006" s="12" t="n"/>
      <c r="R1006" s="12" t="n"/>
      <c r="S1006" s="12" t="inlineStr">
        <is>
          <t>Tray</t>
        </is>
      </c>
      <c r="T1006" s="16" t="n">
        <v>986</v>
      </c>
      <c r="U1006" s="16" t="n">
        <v>249</v>
      </c>
      <c r="V1006" s="16">
        <f>ROUNDUP((T1006+U1006+2*'Read Me'!$B$13)*(1+'Read Me'!$B$12),-1)</f>
        <v/>
      </c>
      <c r="W1006" s="16">
        <f>V1006*N1006*O1006</f>
        <v/>
      </c>
      <c r="X1006" s="12">
        <f>IF(LEFT(I1006,2)="MV",2*N1006*IF(L1006="1/C",O1006,1),0)</f>
        <v/>
      </c>
      <c r="Y1006" s="12">
        <f>IF(OR(LEFT(K1006,4)="LVAX",LEFT(K1006,6)="MV15AX",LEFT(K1006,4)="CTAX",LEFT(K1006,2)="W|"),2*N1006*O1006,0)</f>
        <v/>
      </c>
      <c r="Z1006" s="12" t="inlineStr"/>
      <c r="AA1006" s="12">
        <f>N1006*O1006</f>
        <v/>
      </c>
    </row>
    <row r="1007">
      <c r="A1007" s="12" t="inlineStr">
        <is>
          <t>A-I-0285</t>
        </is>
      </c>
      <c r="B1007" s="12" t="inlineStr">
        <is>
          <t>A</t>
        </is>
      </c>
      <c r="C1007" s="12" t="inlineStr">
        <is>
          <t>Power block</t>
        </is>
      </c>
      <c r="D1007" s="12" t="inlineStr">
        <is>
          <t>Analog instrument to JB JB-GT3-AI02: 20 x 1 pr (field cables)</t>
        </is>
      </c>
      <c r="E1007" s="12" t="inlineStr">
        <is>
          <t>GT3</t>
        </is>
      </c>
      <c r="F1007" s="12" t="inlineStr">
        <is>
          <t>GT3: H-class gas turbine (60 Hz)</t>
        </is>
      </c>
      <c r="G1007" s="12" t="inlineStr">
        <is>
          <t>JB-GT3-AI02</t>
        </is>
      </c>
      <c r="H1007" s="12" t="inlineStr">
        <is>
          <t>GT3: H-class gas turbine (60 Hz)</t>
        </is>
      </c>
      <c r="I1007" s="12" t="inlineStr">
        <is>
          <t>Instrumentation</t>
        </is>
      </c>
      <c r="J1007" s="12" t="inlineStr">
        <is>
          <t>Instrumentation ITC / PLTC, IS, #18 shielded pairs, blue jacket</t>
        </is>
      </c>
      <c r="K1007" s="12" t="inlineStr">
        <is>
          <t>ITC|1 pr|16</t>
        </is>
      </c>
      <c r="L1007" s="12" t="inlineStr">
        <is>
          <t>1 pr</t>
        </is>
      </c>
      <c r="M1007" s="12" t="inlineStr">
        <is>
          <t>16</t>
        </is>
      </c>
      <c r="N1007" s="12" t="n">
        <v>20</v>
      </c>
      <c r="O1007" s="12" t="n">
        <v>1</v>
      </c>
      <c r="P1007" s="12" t="n"/>
      <c r="Q1007" s="12" t="n"/>
      <c r="R1007" s="12" t="n"/>
      <c r="S1007" s="12" t="inlineStr">
        <is>
          <t>Tray / conduit</t>
        </is>
      </c>
      <c r="T1007" s="16" t="n">
        <v>96</v>
      </c>
      <c r="U1007" s="16" t="n">
        <v>10</v>
      </c>
      <c r="V1007" s="16">
        <f>ROUNDUP((T1007+U1007+2*'Read Me'!$B$13)*(1+'Read Me'!$B$12),-1)</f>
        <v/>
      </c>
      <c r="W1007" s="16">
        <f>V1007*N1007*O1007</f>
        <v/>
      </c>
      <c r="X1007" s="12">
        <f>IF(LEFT(I1007,2)="MV",2*N1007*IF(L1007="1/C",O1007,1),0)</f>
        <v/>
      </c>
      <c r="Y1007" s="12">
        <f>IF(OR(LEFT(K1007,4)="LVAX",LEFT(K1007,6)="MV15AX",LEFT(K1007,4)="CTAX",LEFT(K1007,2)="W|"),2*N1007*O1007,0)</f>
        <v/>
      </c>
      <c r="Z1007" s="12" t="inlineStr">
        <is>
          <t>device-to-JB field wiring, one cable per device</t>
        </is>
      </c>
      <c r="AA1007" s="12">
        <f>N1007*O1007</f>
        <v/>
      </c>
    </row>
    <row r="1008">
      <c r="A1008" s="12" t="inlineStr">
        <is>
          <t>A-I-0286</t>
        </is>
      </c>
      <c r="B1008" s="12" t="inlineStr">
        <is>
          <t>A</t>
        </is>
      </c>
      <c r="C1008" s="12" t="inlineStr">
        <is>
          <t>Power block</t>
        </is>
      </c>
      <c r="D1008" s="12" t="inlineStr">
        <is>
          <t>Home run JB-GT3-AI02 to the control / marshalling room</t>
        </is>
      </c>
      <c r="E1008" s="12" t="inlineStr">
        <is>
          <t>R2C</t>
        </is>
      </c>
      <c r="F1008" s="12" t="inlineStr">
        <is>
          <t>R2C: unit / HRSG electrical e-house (32 x 40 ft)</t>
        </is>
      </c>
      <c r="G1008" s="12" t="inlineStr">
        <is>
          <t>JB-GT3-AI02</t>
        </is>
      </c>
      <c r="H1008" s="12" t="inlineStr">
        <is>
          <t>GT3: H-class gas turbine (60 Hz)</t>
        </is>
      </c>
      <c r="I1008" s="12" t="inlineStr">
        <is>
          <t>Instrumentation</t>
        </is>
      </c>
      <c r="J1008" s="12" t="inlineStr">
        <is>
          <t>Instrumentation ITC / PLTC, IS, #18 shielded pairs, blue jacket</t>
        </is>
      </c>
      <c r="K1008" s="12" t="inlineStr">
        <is>
          <t>ITC|24 pr|18</t>
        </is>
      </c>
      <c r="L1008" s="12" t="inlineStr">
        <is>
          <t>24 pr</t>
        </is>
      </c>
      <c r="M1008" s="12" t="inlineStr">
        <is>
          <t>18</t>
        </is>
      </c>
      <c r="N1008" s="12" t="n">
        <v>1</v>
      </c>
      <c r="O1008" s="12" t="n">
        <v>1</v>
      </c>
      <c r="P1008" s="12" t="n"/>
      <c r="Q1008" s="12" t="n"/>
      <c r="R1008" s="12" t="n"/>
      <c r="S1008" s="12" t="inlineStr">
        <is>
          <t>Tray</t>
        </is>
      </c>
      <c r="T1008" s="16" t="n">
        <v>986</v>
      </c>
      <c r="U1008" s="16" t="n">
        <v>249</v>
      </c>
      <c r="V1008" s="16">
        <f>ROUNDUP((T1008+U1008+2*'Read Me'!$B$13)*(1+'Read Me'!$B$12),-1)</f>
        <v/>
      </c>
      <c r="W1008" s="16">
        <f>V1008*N1008*O1008</f>
        <v/>
      </c>
      <c r="X1008" s="12">
        <f>IF(LEFT(I1008,2)="MV",2*N1008*IF(L1008="1/C",O1008,1),0)</f>
        <v/>
      </c>
      <c r="Y1008" s="12">
        <f>IF(OR(LEFT(K1008,4)="LVAX",LEFT(K1008,6)="MV15AX",LEFT(K1008,4)="CTAX",LEFT(K1008,2)="W|"),2*N1008*O1008,0)</f>
        <v/>
      </c>
      <c r="Z1008" s="12" t="inlineStr"/>
      <c r="AA1008" s="12">
        <f>N1008*O1008</f>
        <v/>
      </c>
    </row>
    <row r="1009">
      <c r="A1009" s="12" t="inlineStr">
        <is>
          <t>A-I-0287</t>
        </is>
      </c>
      <c r="B1009" s="12" t="inlineStr">
        <is>
          <t>A</t>
        </is>
      </c>
      <c r="C1009" s="12" t="inlineStr">
        <is>
          <t>Power block</t>
        </is>
      </c>
      <c r="D1009" s="12" t="inlineStr">
        <is>
          <t>Analog instrument to JB JB-GT3-AI03: 20 x 1 pr (field cables)</t>
        </is>
      </c>
      <c r="E1009" s="12" t="inlineStr">
        <is>
          <t>GT3</t>
        </is>
      </c>
      <c r="F1009" s="12" t="inlineStr">
        <is>
          <t>GT3: H-class gas turbine (60 Hz)</t>
        </is>
      </c>
      <c r="G1009" s="12" t="inlineStr">
        <is>
          <t>JB-GT3-AI03</t>
        </is>
      </c>
      <c r="H1009" s="12" t="inlineStr">
        <is>
          <t>GT3: H-class gas turbine (60 Hz)</t>
        </is>
      </c>
      <c r="I1009" s="12" t="inlineStr">
        <is>
          <t>Instrumentation</t>
        </is>
      </c>
      <c r="J1009" s="12" t="inlineStr">
        <is>
          <t>Instrumentation ITC / PLTC, IS, #18 shielded pairs, blue jacket</t>
        </is>
      </c>
      <c r="K1009" s="12" t="inlineStr">
        <is>
          <t>ITC|1 pr|16</t>
        </is>
      </c>
      <c r="L1009" s="12" t="inlineStr">
        <is>
          <t>1 pr</t>
        </is>
      </c>
      <c r="M1009" s="12" t="inlineStr">
        <is>
          <t>16</t>
        </is>
      </c>
      <c r="N1009" s="12" t="n">
        <v>20</v>
      </c>
      <c r="O1009" s="12" t="n">
        <v>1</v>
      </c>
      <c r="P1009" s="12" t="n"/>
      <c r="Q1009" s="12" t="n"/>
      <c r="R1009" s="12" t="n"/>
      <c r="S1009" s="12" t="inlineStr">
        <is>
          <t>Tray / conduit</t>
        </is>
      </c>
      <c r="T1009" s="16" t="n">
        <v>96</v>
      </c>
      <c r="U1009" s="16" t="n">
        <v>10</v>
      </c>
      <c r="V1009" s="16">
        <f>ROUNDUP((T1009+U1009+2*'Read Me'!$B$13)*(1+'Read Me'!$B$12),-1)</f>
        <v/>
      </c>
      <c r="W1009" s="16">
        <f>V1009*N1009*O1009</f>
        <v/>
      </c>
      <c r="X1009" s="12">
        <f>IF(LEFT(I1009,2)="MV",2*N1009*IF(L1009="1/C",O1009,1),0)</f>
        <v/>
      </c>
      <c r="Y1009" s="12">
        <f>IF(OR(LEFT(K1009,4)="LVAX",LEFT(K1009,6)="MV15AX",LEFT(K1009,4)="CTAX",LEFT(K1009,2)="W|"),2*N1009*O1009,0)</f>
        <v/>
      </c>
      <c r="Z1009" s="12" t="inlineStr">
        <is>
          <t>device-to-JB field wiring, one cable per device</t>
        </is>
      </c>
      <c r="AA1009" s="12">
        <f>N1009*O1009</f>
        <v/>
      </c>
    </row>
    <row r="1010">
      <c r="A1010" s="12" t="inlineStr">
        <is>
          <t>A-I-0288</t>
        </is>
      </c>
      <c r="B1010" s="12" t="inlineStr">
        <is>
          <t>A</t>
        </is>
      </c>
      <c r="C1010" s="12" t="inlineStr">
        <is>
          <t>Power block</t>
        </is>
      </c>
      <c r="D1010" s="12" t="inlineStr">
        <is>
          <t>Home run JB-GT3-AI03 to the control / marshalling room</t>
        </is>
      </c>
      <c r="E1010" s="12" t="inlineStr">
        <is>
          <t>R2C</t>
        </is>
      </c>
      <c r="F1010" s="12" t="inlineStr">
        <is>
          <t>R2C: unit / HRSG electrical e-house (32 x 40 ft)</t>
        </is>
      </c>
      <c r="G1010" s="12" t="inlineStr">
        <is>
          <t>JB-GT3-AI03</t>
        </is>
      </c>
      <c r="H1010" s="12" t="inlineStr">
        <is>
          <t>GT3: H-class gas turbine (60 Hz)</t>
        </is>
      </c>
      <c r="I1010" s="12" t="inlineStr">
        <is>
          <t>Instrumentation</t>
        </is>
      </c>
      <c r="J1010" s="12" t="inlineStr">
        <is>
          <t>Instrumentation ITC / PLTC, IS, #18 shielded pairs, blue jacket</t>
        </is>
      </c>
      <c r="K1010" s="12" t="inlineStr">
        <is>
          <t>ITC|24 pr|18</t>
        </is>
      </c>
      <c r="L1010" s="12" t="inlineStr">
        <is>
          <t>24 pr</t>
        </is>
      </c>
      <c r="M1010" s="12" t="inlineStr">
        <is>
          <t>18</t>
        </is>
      </c>
      <c r="N1010" s="12" t="n">
        <v>1</v>
      </c>
      <c r="O1010" s="12" t="n">
        <v>1</v>
      </c>
      <c r="P1010" s="12" t="n"/>
      <c r="Q1010" s="12" t="n"/>
      <c r="R1010" s="12" t="n"/>
      <c r="S1010" s="12" t="inlineStr">
        <is>
          <t>Tray</t>
        </is>
      </c>
      <c r="T1010" s="16" t="n">
        <v>986</v>
      </c>
      <c r="U1010" s="16" t="n">
        <v>249</v>
      </c>
      <c r="V1010" s="16">
        <f>ROUNDUP((T1010+U1010+2*'Read Me'!$B$13)*(1+'Read Me'!$B$12),-1)</f>
        <v/>
      </c>
      <c r="W1010" s="16">
        <f>V1010*N1010*O1010</f>
        <v/>
      </c>
      <c r="X1010" s="12">
        <f>IF(LEFT(I1010,2)="MV",2*N1010*IF(L1010="1/C",O1010,1),0)</f>
        <v/>
      </c>
      <c r="Y1010" s="12">
        <f>IF(OR(LEFT(K1010,4)="LVAX",LEFT(K1010,6)="MV15AX",LEFT(K1010,4)="CTAX",LEFT(K1010,2)="W|"),2*N1010*O1010,0)</f>
        <v/>
      </c>
      <c r="Z1010" s="12" t="inlineStr"/>
      <c r="AA1010" s="12">
        <f>N1010*O1010</f>
        <v/>
      </c>
    </row>
    <row r="1011">
      <c r="A1011" s="12" t="inlineStr">
        <is>
          <t>A-I-0289</t>
        </is>
      </c>
      <c r="B1011" s="12" t="inlineStr">
        <is>
          <t>A</t>
        </is>
      </c>
      <c r="C1011" s="12" t="inlineStr">
        <is>
          <t>Power block</t>
        </is>
      </c>
      <c r="D1011" s="12" t="inlineStr">
        <is>
          <t>Analog instrument to JB JB-GT3-AI04: 20 x 1 pr (field cables)</t>
        </is>
      </c>
      <c r="E1011" s="12" t="inlineStr">
        <is>
          <t>GT3</t>
        </is>
      </c>
      <c r="F1011" s="12" t="inlineStr">
        <is>
          <t>GT3: H-class gas turbine (60 Hz)</t>
        </is>
      </c>
      <c r="G1011" s="12" t="inlineStr">
        <is>
          <t>JB-GT3-AI04</t>
        </is>
      </c>
      <c r="H1011" s="12" t="inlineStr">
        <is>
          <t>GT3: H-class gas turbine (60 Hz)</t>
        </is>
      </c>
      <c r="I1011" s="12" t="inlineStr">
        <is>
          <t>Instrumentation</t>
        </is>
      </c>
      <c r="J1011" s="12" t="inlineStr">
        <is>
          <t>Instrumentation ITC / PLTC, IS, #18 shielded pairs, blue jacket</t>
        </is>
      </c>
      <c r="K1011" s="12" t="inlineStr">
        <is>
          <t>ITC|1 pr|16</t>
        </is>
      </c>
      <c r="L1011" s="12" t="inlineStr">
        <is>
          <t>1 pr</t>
        </is>
      </c>
      <c r="M1011" s="12" t="inlineStr">
        <is>
          <t>16</t>
        </is>
      </c>
      <c r="N1011" s="12" t="n">
        <v>20</v>
      </c>
      <c r="O1011" s="12" t="n">
        <v>1</v>
      </c>
      <c r="P1011" s="12" t="n"/>
      <c r="Q1011" s="12" t="n"/>
      <c r="R1011" s="12" t="n"/>
      <c r="S1011" s="12" t="inlineStr">
        <is>
          <t>Tray / conduit</t>
        </is>
      </c>
      <c r="T1011" s="16" t="n">
        <v>96</v>
      </c>
      <c r="U1011" s="16" t="n">
        <v>10</v>
      </c>
      <c r="V1011" s="16">
        <f>ROUNDUP((T1011+U1011+2*'Read Me'!$B$13)*(1+'Read Me'!$B$12),-1)</f>
        <v/>
      </c>
      <c r="W1011" s="16">
        <f>V1011*N1011*O1011</f>
        <v/>
      </c>
      <c r="X1011" s="12">
        <f>IF(LEFT(I1011,2)="MV",2*N1011*IF(L1011="1/C",O1011,1),0)</f>
        <v/>
      </c>
      <c r="Y1011" s="12">
        <f>IF(OR(LEFT(K1011,4)="LVAX",LEFT(K1011,6)="MV15AX",LEFT(K1011,4)="CTAX",LEFT(K1011,2)="W|"),2*N1011*O1011,0)</f>
        <v/>
      </c>
      <c r="Z1011" s="12" t="inlineStr">
        <is>
          <t>device-to-JB field wiring, one cable per device</t>
        </is>
      </c>
      <c r="AA1011" s="12">
        <f>N1011*O1011</f>
        <v/>
      </c>
    </row>
    <row r="1012">
      <c r="A1012" s="12" t="inlineStr">
        <is>
          <t>A-I-0290</t>
        </is>
      </c>
      <c r="B1012" s="12" t="inlineStr">
        <is>
          <t>A</t>
        </is>
      </c>
      <c r="C1012" s="12" t="inlineStr">
        <is>
          <t>Power block</t>
        </is>
      </c>
      <c r="D1012" s="12" t="inlineStr">
        <is>
          <t>Home run JB-GT3-AI04 to the control / marshalling room</t>
        </is>
      </c>
      <c r="E1012" s="12" t="inlineStr">
        <is>
          <t>R2C</t>
        </is>
      </c>
      <c r="F1012" s="12" t="inlineStr">
        <is>
          <t>R2C: unit / HRSG electrical e-house (32 x 40 ft)</t>
        </is>
      </c>
      <c r="G1012" s="12" t="inlineStr">
        <is>
          <t>JB-GT3-AI04</t>
        </is>
      </c>
      <c r="H1012" s="12" t="inlineStr">
        <is>
          <t>GT3: H-class gas turbine (60 Hz)</t>
        </is>
      </c>
      <c r="I1012" s="12" t="inlineStr">
        <is>
          <t>Instrumentation</t>
        </is>
      </c>
      <c r="J1012" s="12" t="inlineStr">
        <is>
          <t>Instrumentation ITC / PLTC, IS, #18 shielded pairs, blue jacket</t>
        </is>
      </c>
      <c r="K1012" s="12" t="inlineStr">
        <is>
          <t>ITC|24 pr|18</t>
        </is>
      </c>
      <c r="L1012" s="12" t="inlineStr">
        <is>
          <t>24 pr</t>
        </is>
      </c>
      <c r="M1012" s="12" t="inlineStr">
        <is>
          <t>18</t>
        </is>
      </c>
      <c r="N1012" s="12" t="n">
        <v>1</v>
      </c>
      <c r="O1012" s="12" t="n">
        <v>1</v>
      </c>
      <c r="P1012" s="12" t="n"/>
      <c r="Q1012" s="12" t="n"/>
      <c r="R1012" s="12" t="n"/>
      <c r="S1012" s="12" t="inlineStr">
        <is>
          <t>Tray</t>
        </is>
      </c>
      <c r="T1012" s="16" t="n">
        <v>986</v>
      </c>
      <c r="U1012" s="16" t="n">
        <v>249</v>
      </c>
      <c r="V1012" s="16">
        <f>ROUNDUP((T1012+U1012+2*'Read Me'!$B$13)*(1+'Read Me'!$B$12),-1)</f>
        <v/>
      </c>
      <c r="W1012" s="16">
        <f>V1012*N1012*O1012</f>
        <v/>
      </c>
      <c r="X1012" s="12">
        <f>IF(LEFT(I1012,2)="MV",2*N1012*IF(L1012="1/C",O1012,1),0)</f>
        <v/>
      </c>
      <c r="Y1012" s="12">
        <f>IF(OR(LEFT(K1012,4)="LVAX",LEFT(K1012,6)="MV15AX",LEFT(K1012,4)="CTAX",LEFT(K1012,2)="W|"),2*N1012*O1012,0)</f>
        <v/>
      </c>
      <c r="Z1012" s="12" t="inlineStr"/>
      <c r="AA1012" s="12">
        <f>N1012*O1012</f>
        <v/>
      </c>
    </row>
    <row r="1013">
      <c r="A1013" s="12" t="inlineStr">
        <is>
          <t>A-I-0291</t>
        </is>
      </c>
      <c r="B1013" s="12" t="inlineStr">
        <is>
          <t>A</t>
        </is>
      </c>
      <c r="C1013" s="12" t="inlineStr">
        <is>
          <t>Power block</t>
        </is>
      </c>
      <c r="D1013" s="12" t="inlineStr">
        <is>
          <t>Analog instrument to JB JB-GT3-AI05: 20 x 1 pr (field cables)</t>
        </is>
      </c>
      <c r="E1013" s="12" t="inlineStr">
        <is>
          <t>GT3</t>
        </is>
      </c>
      <c r="F1013" s="12" t="inlineStr">
        <is>
          <t>GT3: H-class gas turbine (60 Hz)</t>
        </is>
      </c>
      <c r="G1013" s="12" t="inlineStr">
        <is>
          <t>JB-GT3-AI05</t>
        </is>
      </c>
      <c r="H1013" s="12" t="inlineStr">
        <is>
          <t>GT3: H-class gas turbine (60 Hz)</t>
        </is>
      </c>
      <c r="I1013" s="12" t="inlineStr">
        <is>
          <t>Instrumentation</t>
        </is>
      </c>
      <c r="J1013" s="12" t="inlineStr">
        <is>
          <t>Instrumentation ITC / PLTC, IS, #18 shielded pairs, blue jacket</t>
        </is>
      </c>
      <c r="K1013" s="12" t="inlineStr">
        <is>
          <t>ITC|1 pr|16</t>
        </is>
      </c>
      <c r="L1013" s="12" t="inlineStr">
        <is>
          <t>1 pr</t>
        </is>
      </c>
      <c r="M1013" s="12" t="inlineStr">
        <is>
          <t>16</t>
        </is>
      </c>
      <c r="N1013" s="12" t="n">
        <v>20</v>
      </c>
      <c r="O1013" s="12" t="n">
        <v>1</v>
      </c>
      <c r="P1013" s="12" t="n"/>
      <c r="Q1013" s="12" t="n"/>
      <c r="R1013" s="12" t="n"/>
      <c r="S1013" s="12" t="inlineStr">
        <is>
          <t>Tray / conduit</t>
        </is>
      </c>
      <c r="T1013" s="16" t="n">
        <v>96</v>
      </c>
      <c r="U1013" s="16" t="n">
        <v>10</v>
      </c>
      <c r="V1013" s="16">
        <f>ROUNDUP((T1013+U1013+2*'Read Me'!$B$13)*(1+'Read Me'!$B$12),-1)</f>
        <v/>
      </c>
      <c r="W1013" s="16">
        <f>V1013*N1013*O1013</f>
        <v/>
      </c>
      <c r="X1013" s="12">
        <f>IF(LEFT(I1013,2)="MV",2*N1013*IF(L1013="1/C",O1013,1),0)</f>
        <v/>
      </c>
      <c r="Y1013" s="12">
        <f>IF(OR(LEFT(K1013,4)="LVAX",LEFT(K1013,6)="MV15AX",LEFT(K1013,4)="CTAX",LEFT(K1013,2)="W|"),2*N1013*O1013,0)</f>
        <v/>
      </c>
      <c r="Z1013" s="12" t="inlineStr">
        <is>
          <t>device-to-JB field wiring, one cable per device</t>
        </is>
      </c>
      <c r="AA1013" s="12">
        <f>N1013*O1013</f>
        <v/>
      </c>
    </row>
    <row r="1014">
      <c r="A1014" s="12" t="inlineStr">
        <is>
          <t>A-I-0292</t>
        </is>
      </c>
      <c r="B1014" s="12" t="inlineStr">
        <is>
          <t>A</t>
        </is>
      </c>
      <c r="C1014" s="12" t="inlineStr">
        <is>
          <t>Power block</t>
        </is>
      </c>
      <c r="D1014" s="12" t="inlineStr">
        <is>
          <t>Home run JB-GT3-AI05 to the control / marshalling room</t>
        </is>
      </c>
      <c r="E1014" s="12" t="inlineStr">
        <is>
          <t>R2C</t>
        </is>
      </c>
      <c r="F1014" s="12" t="inlineStr">
        <is>
          <t>R2C: unit / HRSG electrical e-house (32 x 40 ft)</t>
        </is>
      </c>
      <c r="G1014" s="12" t="inlineStr">
        <is>
          <t>JB-GT3-AI05</t>
        </is>
      </c>
      <c r="H1014" s="12" t="inlineStr">
        <is>
          <t>GT3: H-class gas turbine (60 Hz)</t>
        </is>
      </c>
      <c r="I1014" s="12" t="inlineStr">
        <is>
          <t>Instrumentation</t>
        </is>
      </c>
      <c r="J1014" s="12" t="inlineStr">
        <is>
          <t>Instrumentation ITC / PLTC, IS, #18 shielded pairs, blue jacket</t>
        </is>
      </c>
      <c r="K1014" s="12" t="inlineStr">
        <is>
          <t>ITC|24 pr|18</t>
        </is>
      </c>
      <c r="L1014" s="12" t="inlineStr">
        <is>
          <t>24 pr</t>
        </is>
      </c>
      <c r="M1014" s="12" t="inlineStr">
        <is>
          <t>18</t>
        </is>
      </c>
      <c r="N1014" s="12" t="n">
        <v>1</v>
      </c>
      <c r="O1014" s="12" t="n">
        <v>1</v>
      </c>
      <c r="P1014" s="12" t="n"/>
      <c r="Q1014" s="12" t="n"/>
      <c r="R1014" s="12" t="n"/>
      <c r="S1014" s="12" t="inlineStr">
        <is>
          <t>Tray</t>
        </is>
      </c>
      <c r="T1014" s="16" t="n">
        <v>986</v>
      </c>
      <c r="U1014" s="16" t="n">
        <v>249</v>
      </c>
      <c r="V1014" s="16">
        <f>ROUNDUP((T1014+U1014+2*'Read Me'!$B$13)*(1+'Read Me'!$B$12),-1)</f>
        <v/>
      </c>
      <c r="W1014" s="16">
        <f>V1014*N1014*O1014</f>
        <v/>
      </c>
      <c r="X1014" s="12">
        <f>IF(LEFT(I1014,2)="MV",2*N1014*IF(L1014="1/C",O1014,1),0)</f>
        <v/>
      </c>
      <c r="Y1014" s="12">
        <f>IF(OR(LEFT(K1014,4)="LVAX",LEFT(K1014,6)="MV15AX",LEFT(K1014,4)="CTAX",LEFT(K1014,2)="W|"),2*N1014*O1014,0)</f>
        <v/>
      </c>
      <c r="Z1014" s="12" t="inlineStr"/>
      <c r="AA1014" s="12">
        <f>N1014*O1014</f>
        <v/>
      </c>
    </row>
    <row r="1015">
      <c r="A1015" s="12" t="inlineStr">
        <is>
          <t>A-I-0293</t>
        </is>
      </c>
      <c r="B1015" s="12" t="inlineStr">
        <is>
          <t>A</t>
        </is>
      </c>
      <c r="C1015" s="12" t="inlineStr">
        <is>
          <t>Power block</t>
        </is>
      </c>
      <c r="D1015" s="12" t="inlineStr">
        <is>
          <t>Analog instrument to JB JB-GT3-AI06: 20 x 1 pr (field cables)</t>
        </is>
      </c>
      <c r="E1015" s="12" t="inlineStr">
        <is>
          <t>GT3</t>
        </is>
      </c>
      <c r="F1015" s="12" t="inlineStr">
        <is>
          <t>GT3: H-class gas turbine (60 Hz)</t>
        </is>
      </c>
      <c r="G1015" s="12" t="inlineStr">
        <is>
          <t>JB-GT3-AI06</t>
        </is>
      </c>
      <c r="H1015" s="12" t="inlineStr">
        <is>
          <t>GT3: H-class gas turbine (60 Hz)</t>
        </is>
      </c>
      <c r="I1015" s="12" t="inlineStr">
        <is>
          <t>Instrumentation</t>
        </is>
      </c>
      <c r="J1015" s="12" t="inlineStr">
        <is>
          <t>Instrumentation ITC / PLTC, IS, #18 shielded pairs, blue jacket</t>
        </is>
      </c>
      <c r="K1015" s="12" t="inlineStr">
        <is>
          <t>ITC|1 pr|16</t>
        </is>
      </c>
      <c r="L1015" s="12" t="inlineStr">
        <is>
          <t>1 pr</t>
        </is>
      </c>
      <c r="M1015" s="12" t="inlineStr">
        <is>
          <t>16</t>
        </is>
      </c>
      <c r="N1015" s="12" t="n">
        <v>20</v>
      </c>
      <c r="O1015" s="12" t="n">
        <v>1</v>
      </c>
      <c r="P1015" s="12" t="n"/>
      <c r="Q1015" s="12" t="n"/>
      <c r="R1015" s="12" t="n"/>
      <c r="S1015" s="12" t="inlineStr">
        <is>
          <t>Tray / conduit</t>
        </is>
      </c>
      <c r="T1015" s="16" t="n">
        <v>96</v>
      </c>
      <c r="U1015" s="16" t="n">
        <v>10</v>
      </c>
      <c r="V1015" s="16">
        <f>ROUNDUP((T1015+U1015+2*'Read Me'!$B$13)*(1+'Read Me'!$B$12),-1)</f>
        <v/>
      </c>
      <c r="W1015" s="16">
        <f>V1015*N1015*O1015</f>
        <v/>
      </c>
      <c r="X1015" s="12">
        <f>IF(LEFT(I1015,2)="MV",2*N1015*IF(L1015="1/C",O1015,1),0)</f>
        <v/>
      </c>
      <c r="Y1015" s="12">
        <f>IF(OR(LEFT(K1015,4)="LVAX",LEFT(K1015,6)="MV15AX",LEFT(K1015,4)="CTAX",LEFT(K1015,2)="W|"),2*N1015*O1015,0)</f>
        <v/>
      </c>
      <c r="Z1015" s="12" t="inlineStr">
        <is>
          <t>device-to-JB field wiring, one cable per device</t>
        </is>
      </c>
      <c r="AA1015" s="12">
        <f>N1015*O1015</f>
        <v/>
      </c>
    </row>
    <row r="1016">
      <c r="A1016" s="12" t="inlineStr">
        <is>
          <t>A-I-0294</t>
        </is>
      </c>
      <c r="B1016" s="12" t="inlineStr">
        <is>
          <t>A</t>
        </is>
      </c>
      <c r="C1016" s="12" t="inlineStr">
        <is>
          <t>Power block</t>
        </is>
      </c>
      <c r="D1016" s="12" t="inlineStr">
        <is>
          <t>Home run JB-GT3-AI06 to the control / marshalling room</t>
        </is>
      </c>
      <c r="E1016" s="12" t="inlineStr">
        <is>
          <t>R2C</t>
        </is>
      </c>
      <c r="F1016" s="12" t="inlineStr">
        <is>
          <t>R2C: unit / HRSG electrical e-house (32 x 40 ft)</t>
        </is>
      </c>
      <c r="G1016" s="12" t="inlineStr">
        <is>
          <t>JB-GT3-AI06</t>
        </is>
      </c>
      <c r="H1016" s="12" t="inlineStr">
        <is>
          <t>GT3: H-class gas turbine (60 Hz)</t>
        </is>
      </c>
      <c r="I1016" s="12" t="inlineStr">
        <is>
          <t>Instrumentation</t>
        </is>
      </c>
      <c r="J1016" s="12" t="inlineStr">
        <is>
          <t>Instrumentation ITC / PLTC, IS, #18 shielded pairs, blue jacket</t>
        </is>
      </c>
      <c r="K1016" s="12" t="inlineStr">
        <is>
          <t>ITC|24 pr|18</t>
        </is>
      </c>
      <c r="L1016" s="12" t="inlineStr">
        <is>
          <t>24 pr</t>
        </is>
      </c>
      <c r="M1016" s="12" t="inlineStr">
        <is>
          <t>18</t>
        </is>
      </c>
      <c r="N1016" s="12" t="n">
        <v>1</v>
      </c>
      <c r="O1016" s="12" t="n">
        <v>1</v>
      </c>
      <c r="P1016" s="12" t="n"/>
      <c r="Q1016" s="12" t="n"/>
      <c r="R1016" s="12" t="n"/>
      <c r="S1016" s="12" t="inlineStr">
        <is>
          <t>Tray</t>
        </is>
      </c>
      <c r="T1016" s="16" t="n">
        <v>986</v>
      </c>
      <c r="U1016" s="16" t="n">
        <v>249</v>
      </c>
      <c r="V1016" s="16">
        <f>ROUNDUP((T1016+U1016+2*'Read Me'!$B$13)*(1+'Read Me'!$B$12),-1)</f>
        <v/>
      </c>
      <c r="W1016" s="16">
        <f>V1016*N1016*O1016</f>
        <v/>
      </c>
      <c r="X1016" s="12">
        <f>IF(LEFT(I1016,2)="MV",2*N1016*IF(L1016="1/C",O1016,1),0)</f>
        <v/>
      </c>
      <c r="Y1016" s="12">
        <f>IF(OR(LEFT(K1016,4)="LVAX",LEFT(K1016,6)="MV15AX",LEFT(K1016,4)="CTAX",LEFT(K1016,2)="W|"),2*N1016*O1016,0)</f>
        <v/>
      </c>
      <c r="Z1016" s="12" t="inlineStr"/>
      <c r="AA1016" s="12">
        <f>N1016*O1016</f>
        <v/>
      </c>
    </row>
    <row r="1017">
      <c r="A1017" s="12" t="inlineStr">
        <is>
          <t>A-I-0295</t>
        </is>
      </c>
      <c r="B1017" s="12" t="inlineStr">
        <is>
          <t>A</t>
        </is>
      </c>
      <c r="C1017" s="12" t="inlineStr">
        <is>
          <t>Power block</t>
        </is>
      </c>
      <c r="D1017" s="12" t="inlineStr">
        <is>
          <t>Discrete device to JB JB-GT3-DI01: 20 x 1 pr (field cables)</t>
        </is>
      </c>
      <c r="E1017" s="12" t="inlineStr">
        <is>
          <t>GT3</t>
        </is>
      </c>
      <c r="F1017" s="12" t="inlineStr">
        <is>
          <t>GT3: H-class gas turbine (60 Hz)</t>
        </is>
      </c>
      <c r="G1017" s="12" t="inlineStr">
        <is>
          <t>JB-GT3-DI01</t>
        </is>
      </c>
      <c r="H1017" s="12" t="inlineStr">
        <is>
          <t>GT3: H-class gas turbine (60 Hz)</t>
        </is>
      </c>
      <c r="I1017" s="12" t="inlineStr">
        <is>
          <t>Instrumentation</t>
        </is>
      </c>
      <c r="J1017" s="12" t="inlineStr">
        <is>
          <t>Instrumentation ITC / PLTC, IS, #18 shielded pairs, blue jacket</t>
        </is>
      </c>
      <c r="K1017" s="12" t="inlineStr">
        <is>
          <t>ITC|1 pr|16</t>
        </is>
      </c>
      <c r="L1017" s="12" t="inlineStr">
        <is>
          <t>1 pr</t>
        </is>
      </c>
      <c r="M1017" s="12" t="inlineStr">
        <is>
          <t>16</t>
        </is>
      </c>
      <c r="N1017" s="12" t="n">
        <v>20</v>
      </c>
      <c r="O1017" s="12" t="n">
        <v>1</v>
      </c>
      <c r="P1017" s="12" t="n"/>
      <c r="Q1017" s="12" t="n"/>
      <c r="R1017" s="12" t="n"/>
      <c r="S1017" s="12" t="inlineStr">
        <is>
          <t>Tray / conduit</t>
        </is>
      </c>
      <c r="T1017" s="16" t="n">
        <v>96</v>
      </c>
      <c r="U1017" s="16" t="n">
        <v>10</v>
      </c>
      <c r="V1017" s="16">
        <f>ROUNDUP((T1017+U1017+2*'Read Me'!$B$13)*(1+'Read Me'!$B$12),-1)</f>
        <v/>
      </c>
      <c r="W1017" s="16">
        <f>V1017*N1017*O1017</f>
        <v/>
      </c>
      <c r="X1017" s="12">
        <f>IF(LEFT(I1017,2)="MV",2*N1017*IF(L1017="1/C",O1017,1),0)</f>
        <v/>
      </c>
      <c r="Y1017" s="12">
        <f>IF(OR(LEFT(K1017,4)="LVAX",LEFT(K1017,6)="MV15AX",LEFT(K1017,4)="CTAX",LEFT(K1017,2)="W|"),2*N1017*O1017,0)</f>
        <v/>
      </c>
      <c r="Z1017" s="12" t="inlineStr">
        <is>
          <t>device-to-JB field wiring, one cable per device</t>
        </is>
      </c>
      <c r="AA1017" s="12">
        <f>N1017*O1017</f>
        <v/>
      </c>
    </row>
    <row r="1018">
      <c r="A1018" s="12" t="inlineStr">
        <is>
          <t>A-I-0296</t>
        </is>
      </c>
      <c r="B1018" s="12" t="inlineStr">
        <is>
          <t>A</t>
        </is>
      </c>
      <c r="C1018" s="12" t="inlineStr">
        <is>
          <t>Power block</t>
        </is>
      </c>
      <c r="D1018" s="12" t="inlineStr">
        <is>
          <t>Home run JB-GT3-DI01 to the control / marshalling room</t>
        </is>
      </c>
      <c r="E1018" s="12" t="inlineStr">
        <is>
          <t>R2C</t>
        </is>
      </c>
      <c r="F1018" s="12" t="inlineStr">
        <is>
          <t>R2C: unit / HRSG electrical e-house (32 x 40 ft)</t>
        </is>
      </c>
      <c r="G1018" s="12" t="inlineStr">
        <is>
          <t>JB-GT3-DI01</t>
        </is>
      </c>
      <c r="H1018" s="12" t="inlineStr">
        <is>
          <t>GT3: H-class gas turbine (60 Hz)</t>
        </is>
      </c>
      <c r="I1018" s="12" t="inlineStr">
        <is>
          <t>Instrumentation</t>
        </is>
      </c>
      <c r="J1018" s="12" t="inlineStr">
        <is>
          <t>Instrumentation ITC / PLTC, IS, #18 shielded pairs, blue jacket</t>
        </is>
      </c>
      <c r="K1018" s="12" t="inlineStr">
        <is>
          <t>ITC|24 pr|18</t>
        </is>
      </c>
      <c r="L1018" s="12" t="inlineStr">
        <is>
          <t>24 pr</t>
        </is>
      </c>
      <c r="M1018" s="12" t="inlineStr">
        <is>
          <t>18</t>
        </is>
      </c>
      <c r="N1018" s="12" t="n">
        <v>1</v>
      </c>
      <c r="O1018" s="12" t="n">
        <v>1</v>
      </c>
      <c r="P1018" s="12" t="n"/>
      <c r="Q1018" s="12" t="n"/>
      <c r="R1018" s="12" t="n"/>
      <c r="S1018" s="12" t="inlineStr">
        <is>
          <t>Tray</t>
        </is>
      </c>
      <c r="T1018" s="16" t="n">
        <v>986</v>
      </c>
      <c r="U1018" s="16" t="n">
        <v>249</v>
      </c>
      <c r="V1018" s="16">
        <f>ROUNDUP((T1018+U1018+2*'Read Me'!$B$13)*(1+'Read Me'!$B$12),-1)</f>
        <v/>
      </c>
      <c r="W1018" s="16">
        <f>V1018*N1018*O1018</f>
        <v/>
      </c>
      <c r="X1018" s="12">
        <f>IF(LEFT(I1018,2)="MV",2*N1018*IF(L1018="1/C",O1018,1),0)</f>
        <v/>
      </c>
      <c r="Y1018" s="12">
        <f>IF(OR(LEFT(K1018,4)="LVAX",LEFT(K1018,6)="MV15AX",LEFT(K1018,4)="CTAX",LEFT(K1018,2)="W|"),2*N1018*O1018,0)</f>
        <v/>
      </c>
      <c r="Z1018" s="12" t="inlineStr"/>
      <c r="AA1018" s="12">
        <f>N1018*O1018</f>
        <v/>
      </c>
    </row>
    <row r="1019">
      <c r="A1019" s="12" t="inlineStr">
        <is>
          <t>A-I-0297</t>
        </is>
      </c>
      <c r="B1019" s="12" t="inlineStr">
        <is>
          <t>A</t>
        </is>
      </c>
      <c r="C1019" s="12" t="inlineStr">
        <is>
          <t>Power block</t>
        </is>
      </c>
      <c r="D1019" s="12" t="inlineStr">
        <is>
          <t>Discrete device to JB JB-GT3-DI02: 20 x 1 pr (field cables)</t>
        </is>
      </c>
      <c r="E1019" s="12" t="inlineStr">
        <is>
          <t>GT3</t>
        </is>
      </c>
      <c r="F1019" s="12" t="inlineStr">
        <is>
          <t>GT3: H-class gas turbine (60 Hz)</t>
        </is>
      </c>
      <c r="G1019" s="12" t="inlineStr">
        <is>
          <t>JB-GT3-DI02</t>
        </is>
      </c>
      <c r="H1019" s="12" t="inlineStr">
        <is>
          <t>GT3: H-class gas turbine (60 Hz)</t>
        </is>
      </c>
      <c r="I1019" s="12" t="inlineStr">
        <is>
          <t>Instrumentation</t>
        </is>
      </c>
      <c r="J1019" s="12" t="inlineStr">
        <is>
          <t>Instrumentation ITC / PLTC, IS, #18 shielded pairs, blue jacket</t>
        </is>
      </c>
      <c r="K1019" s="12" t="inlineStr">
        <is>
          <t>ITC|1 pr|16</t>
        </is>
      </c>
      <c r="L1019" s="12" t="inlineStr">
        <is>
          <t>1 pr</t>
        </is>
      </c>
      <c r="M1019" s="12" t="inlineStr">
        <is>
          <t>16</t>
        </is>
      </c>
      <c r="N1019" s="12" t="n">
        <v>20</v>
      </c>
      <c r="O1019" s="12" t="n">
        <v>1</v>
      </c>
      <c r="P1019" s="12" t="n"/>
      <c r="Q1019" s="12" t="n"/>
      <c r="R1019" s="12" t="n"/>
      <c r="S1019" s="12" t="inlineStr">
        <is>
          <t>Tray / conduit</t>
        </is>
      </c>
      <c r="T1019" s="16" t="n">
        <v>96</v>
      </c>
      <c r="U1019" s="16" t="n">
        <v>10</v>
      </c>
      <c r="V1019" s="16">
        <f>ROUNDUP((T1019+U1019+2*'Read Me'!$B$13)*(1+'Read Me'!$B$12),-1)</f>
        <v/>
      </c>
      <c r="W1019" s="16">
        <f>V1019*N1019*O1019</f>
        <v/>
      </c>
      <c r="X1019" s="12">
        <f>IF(LEFT(I1019,2)="MV",2*N1019*IF(L1019="1/C",O1019,1),0)</f>
        <v/>
      </c>
      <c r="Y1019" s="12">
        <f>IF(OR(LEFT(K1019,4)="LVAX",LEFT(K1019,6)="MV15AX",LEFT(K1019,4)="CTAX",LEFT(K1019,2)="W|"),2*N1019*O1019,0)</f>
        <v/>
      </c>
      <c r="Z1019" s="12" t="inlineStr">
        <is>
          <t>device-to-JB field wiring, one cable per device</t>
        </is>
      </c>
      <c r="AA1019" s="12">
        <f>N1019*O1019</f>
        <v/>
      </c>
    </row>
    <row r="1020">
      <c r="A1020" s="12" t="inlineStr">
        <is>
          <t>A-I-0298</t>
        </is>
      </c>
      <c r="B1020" s="12" t="inlineStr">
        <is>
          <t>A</t>
        </is>
      </c>
      <c r="C1020" s="12" t="inlineStr">
        <is>
          <t>Power block</t>
        </is>
      </c>
      <c r="D1020" s="12" t="inlineStr">
        <is>
          <t>Home run JB-GT3-DI02 to the control / marshalling room</t>
        </is>
      </c>
      <c r="E1020" s="12" t="inlineStr">
        <is>
          <t>R2C</t>
        </is>
      </c>
      <c r="F1020" s="12" t="inlineStr">
        <is>
          <t>R2C: unit / HRSG electrical e-house (32 x 40 ft)</t>
        </is>
      </c>
      <c r="G1020" s="12" t="inlineStr">
        <is>
          <t>JB-GT3-DI02</t>
        </is>
      </c>
      <c r="H1020" s="12" t="inlineStr">
        <is>
          <t>GT3: H-class gas turbine (60 Hz)</t>
        </is>
      </c>
      <c r="I1020" s="12" t="inlineStr">
        <is>
          <t>Instrumentation</t>
        </is>
      </c>
      <c r="J1020" s="12" t="inlineStr">
        <is>
          <t>Instrumentation ITC / PLTC, IS, #18 shielded pairs, blue jacket</t>
        </is>
      </c>
      <c r="K1020" s="12" t="inlineStr">
        <is>
          <t>ITC|24 pr|18</t>
        </is>
      </c>
      <c r="L1020" s="12" t="inlineStr">
        <is>
          <t>24 pr</t>
        </is>
      </c>
      <c r="M1020" s="12" t="inlineStr">
        <is>
          <t>18</t>
        </is>
      </c>
      <c r="N1020" s="12" t="n">
        <v>1</v>
      </c>
      <c r="O1020" s="12" t="n">
        <v>1</v>
      </c>
      <c r="P1020" s="12" t="n"/>
      <c r="Q1020" s="12" t="n"/>
      <c r="R1020" s="12" t="n"/>
      <c r="S1020" s="12" t="inlineStr">
        <is>
          <t>Tray</t>
        </is>
      </c>
      <c r="T1020" s="16" t="n">
        <v>986</v>
      </c>
      <c r="U1020" s="16" t="n">
        <v>249</v>
      </c>
      <c r="V1020" s="16">
        <f>ROUNDUP((T1020+U1020+2*'Read Me'!$B$13)*(1+'Read Me'!$B$12),-1)</f>
        <v/>
      </c>
      <c r="W1020" s="16">
        <f>V1020*N1020*O1020</f>
        <v/>
      </c>
      <c r="X1020" s="12">
        <f>IF(LEFT(I1020,2)="MV",2*N1020*IF(L1020="1/C",O1020,1),0)</f>
        <v/>
      </c>
      <c r="Y1020" s="12">
        <f>IF(OR(LEFT(K1020,4)="LVAX",LEFT(K1020,6)="MV15AX",LEFT(K1020,4)="CTAX",LEFT(K1020,2)="W|"),2*N1020*O1020,0)</f>
        <v/>
      </c>
      <c r="Z1020" s="12" t="inlineStr"/>
      <c r="AA1020" s="12">
        <f>N1020*O1020</f>
        <v/>
      </c>
    </row>
    <row r="1021">
      <c r="A1021" s="12" t="inlineStr">
        <is>
          <t>A-I-0299</t>
        </is>
      </c>
      <c r="B1021" s="12" t="inlineStr">
        <is>
          <t>A</t>
        </is>
      </c>
      <c r="C1021" s="12" t="inlineStr">
        <is>
          <t>Power block</t>
        </is>
      </c>
      <c r="D1021" s="12" t="inlineStr">
        <is>
          <t>Discrete device to JB JB-GT3-DI03: 20 x 1 pr (field cables)</t>
        </is>
      </c>
      <c r="E1021" s="12" t="inlineStr">
        <is>
          <t>GT3</t>
        </is>
      </c>
      <c r="F1021" s="12" t="inlineStr">
        <is>
          <t>GT3: H-class gas turbine (60 Hz)</t>
        </is>
      </c>
      <c r="G1021" s="12" t="inlineStr">
        <is>
          <t>JB-GT3-DI03</t>
        </is>
      </c>
      <c r="H1021" s="12" t="inlineStr">
        <is>
          <t>GT3: H-class gas turbine (60 Hz)</t>
        </is>
      </c>
      <c r="I1021" s="12" t="inlineStr">
        <is>
          <t>Instrumentation</t>
        </is>
      </c>
      <c r="J1021" s="12" t="inlineStr">
        <is>
          <t>Instrumentation ITC / PLTC, IS, #18 shielded pairs, blue jacket</t>
        </is>
      </c>
      <c r="K1021" s="12" t="inlineStr">
        <is>
          <t>ITC|1 pr|16</t>
        </is>
      </c>
      <c r="L1021" s="12" t="inlineStr">
        <is>
          <t>1 pr</t>
        </is>
      </c>
      <c r="M1021" s="12" t="inlineStr">
        <is>
          <t>16</t>
        </is>
      </c>
      <c r="N1021" s="12" t="n">
        <v>20</v>
      </c>
      <c r="O1021" s="12" t="n">
        <v>1</v>
      </c>
      <c r="P1021" s="12" t="n"/>
      <c r="Q1021" s="12" t="n"/>
      <c r="R1021" s="12" t="n"/>
      <c r="S1021" s="12" t="inlineStr">
        <is>
          <t>Tray / conduit</t>
        </is>
      </c>
      <c r="T1021" s="16" t="n">
        <v>96</v>
      </c>
      <c r="U1021" s="16" t="n">
        <v>10</v>
      </c>
      <c r="V1021" s="16">
        <f>ROUNDUP((T1021+U1021+2*'Read Me'!$B$13)*(1+'Read Me'!$B$12),-1)</f>
        <v/>
      </c>
      <c r="W1021" s="16">
        <f>V1021*N1021*O1021</f>
        <v/>
      </c>
      <c r="X1021" s="12">
        <f>IF(LEFT(I1021,2)="MV",2*N1021*IF(L1021="1/C",O1021,1),0)</f>
        <v/>
      </c>
      <c r="Y1021" s="12">
        <f>IF(OR(LEFT(K1021,4)="LVAX",LEFT(K1021,6)="MV15AX",LEFT(K1021,4)="CTAX",LEFT(K1021,2)="W|"),2*N1021*O1021,0)</f>
        <v/>
      </c>
      <c r="Z1021" s="12" t="inlineStr">
        <is>
          <t>device-to-JB field wiring, one cable per device</t>
        </is>
      </c>
      <c r="AA1021" s="12">
        <f>N1021*O1021</f>
        <v/>
      </c>
    </row>
    <row r="1022">
      <c r="A1022" s="12" t="inlineStr">
        <is>
          <t>A-I-0300</t>
        </is>
      </c>
      <c r="B1022" s="12" t="inlineStr">
        <is>
          <t>A</t>
        </is>
      </c>
      <c r="C1022" s="12" t="inlineStr">
        <is>
          <t>Power block</t>
        </is>
      </c>
      <c r="D1022" s="12" t="inlineStr">
        <is>
          <t>Home run JB-GT3-DI03 to the control / marshalling room</t>
        </is>
      </c>
      <c r="E1022" s="12" t="inlineStr">
        <is>
          <t>R2C</t>
        </is>
      </c>
      <c r="F1022" s="12" t="inlineStr">
        <is>
          <t>R2C: unit / HRSG electrical e-house (32 x 40 ft)</t>
        </is>
      </c>
      <c r="G1022" s="12" t="inlineStr">
        <is>
          <t>JB-GT3-DI03</t>
        </is>
      </c>
      <c r="H1022" s="12" t="inlineStr">
        <is>
          <t>GT3: H-class gas turbine (60 Hz)</t>
        </is>
      </c>
      <c r="I1022" s="12" t="inlineStr">
        <is>
          <t>Instrumentation</t>
        </is>
      </c>
      <c r="J1022" s="12" t="inlineStr">
        <is>
          <t>Instrumentation ITC / PLTC, IS, #18 shielded pairs, blue jacket</t>
        </is>
      </c>
      <c r="K1022" s="12" t="inlineStr">
        <is>
          <t>ITC|24 pr|18</t>
        </is>
      </c>
      <c r="L1022" s="12" t="inlineStr">
        <is>
          <t>24 pr</t>
        </is>
      </c>
      <c r="M1022" s="12" t="inlineStr">
        <is>
          <t>18</t>
        </is>
      </c>
      <c r="N1022" s="12" t="n">
        <v>1</v>
      </c>
      <c r="O1022" s="12" t="n">
        <v>1</v>
      </c>
      <c r="P1022" s="12" t="n"/>
      <c r="Q1022" s="12" t="n"/>
      <c r="R1022" s="12" t="n"/>
      <c r="S1022" s="12" t="inlineStr">
        <is>
          <t>Tray</t>
        </is>
      </c>
      <c r="T1022" s="16" t="n">
        <v>986</v>
      </c>
      <c r="U1022" s="16" t="n">
        <v>249</v>
      </c>
      <c r="V1022" s="16">
        <f>ROUNDUP((T1022+U1022+2*'Read Me'!$B$13)*(1+'Read Me'!$B$12),-1)</f>
        <v/>
      </c>
      <c r="W1022" s="16">
        <f>V1022*N1022*O1022</f>
        <v/>
      </c>
      <c r="X1022" s="12">
        <f>IF(LEFT(I1022,2)="MV",2*N1022*IF(L1022="1/C",O1022,1),0)</f>
        <v/>
      </c>
      <c r="Y1022" s="12">
        <f>IF(OR(LEFT(K1022,4)="LVAX",LEFT(K1022,6)="MV15AX",LEFT(K1022,4)="CTAX",LEFT(K1022,2)="W|"),2*N1022*O1022,0)</f>
        <v/>
      </c>
      <c r="Z1022" s="12" t="inlineStr"/>
      <c r="AA1022" s="12">
        <f>N1022*O1022</f>
        <v/>
      </c>
    </row>
    <row r="1023">
      <c r="A1023" s="12" t="inlineStr">
        <is>
          <t>A-I-0301</t>
        </is>
      </c>
      <c r="B1023" s="12" t="inlineStr">
        <is>
          <t>A</t>
        </is>
      </c>
      <c r="C1023" s="12" t="inlineStr">
        <is>
          <t>Power block</t>
        </is>
      </c>
      <c r="D1023" s="12" t="inlineStr">
        <is>
          <t>Discrete device to JB JB-GT3-DI04: 20 x 1 pr (field cables)</t>
        </is>
      </c>
      <c r="E1023" s="12" t="inlineStr">
        <is>
          <t>GT3</t>
        </is>
      </c>
      <c r="F1023" s="12" t="inlineStr">
        <is>
          <t>GT3: H-class gas turbine (60 Hz)</t>
        </is>
      </c>
      <c r="G1023" s="12" t="inlineStr">
        <is>
          <t>JB-GT3-DI04</t>
        </is>
      </c>
      <c r="H1023" s="12" t="inlineStr">
        <is>
          <t>GT3: H-class gas turbine (60 Hz)</t>
        </is>
      </c>
      <c r="I1023" s="12" t="inlineStr">
        <is>
          <t>Instrumentation</t>
        </is>
      </c>
      <c r="J1023" s="12" t="inlineStr">
        <is>
          <t>Instrumentation ITC / PLTC, IS, #18 shielded pairs, blue jacket</t>
        </is>
      </c>
      <c r="K1023" s="12" t="inlineStr">
        <is>
          <t>ITC|1 pr|16</t>
        </is>
      </c>
      <c r="L1023" s="12" t="inlineStr">
        <is>
          <t>1 pr</t>
        </is>
      </c>
      <c r="M1023" s="12" t="inlineStr">
        <is>
          <t>16</t>
        </is>
      </c>
      <c r="N1023" s="12" t="n">
        <v>20</v>
      </c>
      <c r="O1023" s="12" t="n">
        <v>1</v>
      </c>
      <c r="P1023" s="12" t="n"/>
      <c r="Q1023" s="12" t="n"/>
      <c r="R1023" s="12" t="n"/>
      <c r="S1023" s="12" t="inlineStr">
        <is>
          <t>Tray / conduit</t>
        </is>
      </c>
      <c r="T1023" s="16" t="n">
        <v>96</v>
      </c>
      <c r="U1023" s="16" t="n">
        <v>10</v>
      </c>
      <c r="V1023" s="16">
        <f>ROUNDUP((T1023+U1023+2*'Read Me'!$B$13)*(1+'Read Me'!$B$12),-1)</f>
        <v/>
      </c>
      <c r="W1023" s="16">
        <f>V1023*N1023*O1023</f>
        <v/>
      </c>
      <c r="X1023" s="12">
        <f>IF(LEFT(I1023,2)="MV",2*N1023*IF(L1023="1/C",O1023,1),0)</f>
        <v/>
      </c>
      <c r="Y1023" s="12">
        <f>IF(OR(LEFT(K1023,4)="LVAX",LEFT(K1023,6)="MV15AX",LEFT(K1023,4)="CTAX",LEFT(K1023,2)="W|"),2*N1023*O1023,0)</f>
        <v/>
      </c>
      <c r="Z1023" s="12" t="inlineStr">
        <is>
          <t>device-to-JB field wiring, one cable per device</t>
        </is>
      </c>
      <c r="AA1023" s="12">
        <f>N1023*O1023</f>
        <v/>
      </c>
    </row>
    <row r="1024">
      <c r="A1024" s="12" t="inlineStr">
        <is>
          <t>A-I-0302</t>
        </is>
      </c>
      <c r="B1024" s="12" t="inlineStr">
        <is>
          <t>A</t>
        </is>
      </c>
      <c r="C1024" s="12" t="inlineStr">
        <is>
          <t>Power block</t>
        </is>
      </c>
      <c r="D1024" s="12" t="inlineStr">
        <is>
          <t>Home run JB-GT3-DI04 to the control / marshalling room</t>
        </is>
      </c>
      <c r="E1024" s="12" t="inlineStr">
        <is>
          <t>R2C</t>
        </is>
      </c>
      <c r="F1024" s="12" t="inlineStr">
        <is>
          <t>R2C: unit / HRSG electrical e-house (32 x 40 ft)</t>
        </is>
      </c>
      <c r="G1024" s="12" t="inlineStr">
        <is>
          <t>JB-GT3-DI04</t>
        </is>
      </c>
      <c r="H1024" s="12" t="inlineStr">
        <is>
          <t>GT3: H-class gas turbine (60 Hz)</t>
        </is>
      </c>
      <c r="I1024" s="12" t="inlineStr">
        <is>
          <t>Instrumentation</t>
        </is>
      </c>
      <c r="J1024" s="12" t="inlineStr">
        <is>
          <t>Instrumentation ITC / PLTC, IS, #18 shielded pairs, blue jacket</t>
        </is>
      </c>
      <c r="K1024" s="12" t="inlineStr">
        <is>
          <t>ITC|24 pr|18</t>
        </is>
      </c>
      <c r="L1024" s="12" t="inlineStr">
        <is>
          <t>24 pr</t>
        </is>
      </c>
      <c r="M1024" s="12" t="inlineStr">
        <is>
          <t>18</t>
        </is>
      </c>
      <c r="N1024" s="12" t="n">
        <v>1</v>
      </c>
      <c r="O1024" s="12" t="n">
        <v>1</v>
      </c>
      <c r="P1024" s="12" t="n"/>
      <c r="Q1024" s="12" t="n"/>
      <c r="R1024" s="12" t="n"/>
      <c r="S1024" s="12" t="inlineStr">
        <is>
          <t>Tray</t>
        </is>
      </c>
      <c r="T1024" s="16" t="n">
        <v>986</v>
      </c>
      <c r="U1024" s="16" t="n">
        <v>249</v>
      </c>
      <c r="V1024" s="16">
        <f>ROUNDUP((T1024+U1024+2*'Read Me'!$B$13)*(1+'Read Me'!$B$12),-1)</f>
        <v/>
      </c>
      <c r="W1024" s="16">
        <f>V1024*N1024*O1024</f>
        <v/>
      </c>
      <c r="X1024" s="12">
        <f>IF(LEFT(I1024,2)="MV",2*N1024*IF(L1024="1/C",O1024,1),0)</f>
        <v/>
      </c>
      <c r="Y1024" s="12">
        <f>IF(OR(LEFT(K1024,4)="LVAX",LEFT(K1024,6)="MV15AX",LEFT(K1024,4)="CTAX",LEFT(K1024,2)="W|"),2*N1024*O1024,0)</f>
        <v/>
      </c>
      <c r="Z1024" s="12" t="inlineStr"/>
      <c r="AA1024" s="12">
        <f>N1024*O1024</f>
        <v/>
      </c>
    </row>
    <row r="1025">
      <c r="A1025" s="12" t="inlineStr">
        <is>
          <t>A-I-0303</t>
        </is>
      </c>
      <c r="B1025" s="12" t="inlineStr">
        <is>
          <t>A</t>
        </is>
      </c>
      <c r="C1025" s="12" t="inlineStr">
        <is>
          <t>Power block</t>
        </is>
      </c>
      <c r="D1025" s="12" t="inlineStr">
        <is>
          <t>Thermocouple to TC JB JB-GT3-TC01: 20 x 1 pr (field cables)</t>
        </is>
      </c>
      <c r="E1025" s="12" t="inlineStr">
        <is>
          <t>GT3</t>
        </is>
      </c>
      <c r="F1025" s="12" t="inlineStr">
        <is>
          <t>GT3: H-class gas turbine (60 Hz)</t>
        </is>
      </c>
      <c r="G1025" s="12" t="inlineStr">
        <is>
          <t>JB-GT3-TC01</t>
        </is>
      </c>
      <c r="H1025" s="12" t="inlineStr">
        <is>
          <t>GT3: H-class gas turbine (60 Hz)</t>
        </is>
      </c>
      <c r="I1025" s="12" t="inlineStr">
        <is>
          <t>Instrumentation</t>
        </is>
      </c>
      <c r="J1025" s="12" t="inlineStr">
        <is>
          <t>Thermocouple extension KX, #16 shielded pairs, PLTC</t>
        </is>
      </c>
      <c r="K1025" s="12" t="inlineStr">
        <is>
          <t>TCX|1 pr|16</t>
        </is>
      </c>
      <c r="L1025" s="12" t="inlineStr">
        <is>
          <t>1 pr</t>
        </is>
      </c>
      <c r="M1025" s="12" t="inlineStr">
        <is>
          <t>16</t>
        </is>
      </c>
      <c r="N1025" s="12" t="n">
        <v>20</v>
      </c>
      <c r="O1025" s="12" t="n">
        <v>1</v>
      </c>
      <c r="P1025" s="12" t="n"/>
      <c r="Q1025" s="12" t="n"/>
      <c r="R1025" s="12" t="n"/>
      <c r="S1025" s="12" t="inlineStr">
        <is>
          <t>Tray / conduit</t>
        </is>
      </c>
      <c r="T1025" s="16" t="n">
        <v>96</v>
      </c>
      <c r="U1025" s="16" t="n">
        <v>10</v>
      </c>
      <c r="V1025" s="16">
        <f>ROUNDUP((T1025+U1025+2*'Read Me'!$B$13)*(1+'Read Me'!$B$12),-1)</f>
        <v/>
      </c>
      <c r="W1025" s="16">
        <f>V1025*N1025*O1025</f>
        <v/>
      </c>
      <c r="X1025" s="12">
        <f>IF(LEFT(I1025,2)="MV",2*N1025*IF(L1025="1/C",O1025,1),0)</f>
        <v/>
      </c>
      <c r="Y1025" s="12">
        <f>IF(OR(LEFT(K1025,4)="LVAX",LEFT(K1025,6)="MV15AX",LEFT(K1025,4)="CTAX",LEFT(K1025,2)="W|"),2*N1025*O1025,0)</f>
        <v/>
      </c>
      <c r="Z1025" s="12" t="inlineStr">
        <is>
          <t>device-to-JB field wiring, one cable per device</t>
        </is>
      </c>
      <c r="AA1025" s="12">
        <f>N1025*O1025</f>
        <v/>
      </c>
    </row>
    <row r="1026">
      <c r="A1026" s="12" t="inlineStr">
        <is>
          <t>A-I-0304</t>
        </is>
      </c>
      <c r="B1026" s="12" t="inlineStr">
        <is>
          <t>A</t>
        </is>
      </c>
      <c r="C1026" s="12" t="inlineStr">
        <is>
          <t>Power block</t>
        </is>
      </c>
      <c r="D1026" s="12" t="inlineStr">
        <is>
          <t>Home run JB-GT3-TC01 to the control / marshalling room</t>
        </is>
      </c>
      <c r="E1026" s="12" t="inlineStr">
        <is>
          <t>R2C</t>
        </is>
      </c>
      <c r="F1026" s="12" t="inlineStr">
        <is>
          <t>R2C: unit / HRSG electrical e-house (32 x 40 ft)</t>
        </is>
      </c>
      <c r="G1026" s="12" t="inlineStr">
        <is>
          <t>JB-GT3-TC01</t>
        </is>
      </c>
      <c r="H1026" s="12" t="inlineStr">
        <is>
          <t>GT3: H-class gas turbine (60 Hz)</t>
        </is>
      </c>
      <c r="I1026" s="12" t="inlineStr">
        <is>
          <t>Instrumentation</t>
        </is>
      </c>
      <c r="J1026" s="12" t="inlineStr">
        <is>
          <t>Thermocouple extension KX, #16 shielded pairs, PLTC</t>
        </is>
      </c>
      <c r="K1026" s="12" t="inlineStr">
        <is>
          <t>TCX|24 pr|16</t>
        </is>
      </c>
      <c r="L1026" s="12" t="inlineStr">
        <is>
          <t>24 pr</t>
        </is>
      </c>
      <c r="M1026" s="12" t="inlineStr">
        <is>
          <t>16</t>
        </is>
      </c>
      <c r="N1026" s="12" t="n">
        <v>1</v>
      </c>
      <c r="O1026" s="12" t="n">
        <v>1</v>
      </c>
      <c r="P1026" s="12" t="n"/>
      <c r="Q1026" s="12" t="n"/>
      <c r="R1026" s="12" t="n"/>
      <c r="S1026" s="12" t="inlineStr">
        <is>
          <t>Tray</t>
        </is>
      </c>
      <c r="T1026" s="16" t="n">
        <v>986</v>
      </c>
      <c r="U1026" s="16" t="n">
        <v>249</v>
      </c>
      <c r="V1026" s="16">
        <f>ROUNDUP((T1026+U1026+2*'Read Me'!$B$13)*(1+'Read Me'!$B$12),-1)</f>
        <v/>
      </c>
      <c r="W1026" s="16">
        <f>V1026*N1026*O1026</f>
        <v/>
      </c>
      <c r="X1026" s="12">
        <f>IF(LEFT(I1026,2)="MV",2*N1026*IF(L1026="1/C",O1026,1),0)</f>
        <v/>
      </c>
      <c r="Y1026" s="12">
        <f>IF(OR(LEFT(K1026,4)="LVAX",LEFT(K1026,6)="MV15AX",LEFT(K1026,4)="CTAX",LEFT(K1026,2)="W|"),2*N1026*O1026,0)</f>
        <v/>
      </c>
      <c r="Z1026" s="12" t="inlineStr"/>
      <c r="AA1026" s="12">
        <f>N1026*O1026</f>
        <v/>
      </c>
    </row>
    <row r="1027">
      <c r="A1027" s="12" t="inlineStr">
        <is>
          <t>A-I-0305</t>
        </is>
      </c>
      <c r="B1027" s="12" t="inlineStr">
        <is>
          <t>A</t>
        </is>
      </c>
      <c r="C1027" s="12" t="inlineStr">
        <is>
          <t>Power block</t>
        </is>
      </c>
      <c r="D1027" s="12" t="inlineStr">
        <is>
          <t>Thermocouple to TC JB JB-GT3-TC02: 20 x 1 pr (field cables)</t>
        </is>
      </c>
      <c r="E1027" s="12" t="inlineStr">
        <is>
          <t>GT3</t>
        </is>
      </c>
      <c r="F1027" s="12" t="inlineStr">
        <is>
          <t>GT3: H-class gas turbine (60 Hz)</t>
        </is>
      </c>
      <c r="G1027" s="12" t="inlineStr">
        <is>
          <t>JB-GT3-TC02</t>
        </is>
      </c>
      <c r="H1027" s="12" t="inlineStr">
        <is>
          <t>GT3: H-class gas turbine (60 Hz)</t>
        </is>
      </c>
      <c r="I1027" s="12" t="inlineStr">
        <is>
          <t>Instrumentation</t>
        </is>
      </c>
      <c r="J1027" s="12" t="inlineStr">
        <is>
          <t>Thermocouple extension KX, #16 shielded pairs, PLTC</t>
        </is>
      </c>
      <c r="K1027" s="12" t="inlineStr">
        <is>
          <t>TCX|1 pr|16</t>
        </is>
      </c>
      <c r="L1027" s="12" t="inlineStr">
        <is>
          <t>1 pr</t>
        </is>
      </c>
      <c r="M1027" s="12" t="inlineStr">
        <is>
          <t>16</t>
        </is>
      </c>
      <c r="N1027" s="12" t="n">
        <v>20</v>
      </c>
      <c r="O1027" s="12" t="n">
        <v>1</v>
      </c>
      <c r="P1027" s="12" t="n"/>
      <c r="Q1027" s="12" t="n"/>
      <c r="R1027" s="12" t="n"/>
      <c r="S1027" s="12" t="inlineStr">
        <is>
          <t>Tray / conduit</t>
        </is>
      </c>
      <c r="T1027" s="16" t="n">
        <v>96</v>
      </c>
      <c r="U1027" s="16" t="n">
        <v>10</v>
      </c>
      <c r="V1027" s="16">
        <f>ROUNDUP((T1027+U1027+2*'Read Me'!$B$13)*(1+'Read Me'!$B$12),-1)</f>
        <v/>
      </c>
      <c r="W1027" s="16">
        <f>V1027*N1027*O1027</f>
        <v/>
      </c>
      <c r="X1027" s="12">
        <f>IF(LEFT(I1027,2)="MV",2*N1027*IF(L1027="1/C",O1027,1),0)</f>
        <v/>
      </c>
      <c r="Y1027" s="12">
        <f>IF(OR(LEFT(K1027,4)="LVAX",LEFT(K1027,6)="MV15AX",LEFT(K1027,4)="CTAX",LEFT(K1027,2)="W|"),2*N1027*O1027,0)</f>
        <v/>
      </c>
      <c r="Z1027" s="12" t="inlineStr">
        <is>
          <t>device-to-JB field wiring, one cable per device</t>
        </is>
      </c>
      <c r="AA1027" s="12">
        <f>N1027*O1027</f>
        <v/>
      </c>
    </row>
    <row r="1028">
      <c r="A1028" s="12" t="inlineStr">
        <is>
          <t>A-I-0306</t>
        </is>
      </c>
      <c r="B1028" s="12" t="inlineStr">
        <is>
          <t>A</t>
        </is>
      </c>
      <c r="C1028" s="12" t="inlineStr">
        <is>
          <t>Power block</t>
        </is>
      </c>
      <c r="D1028" s="12" t="inlineStr">
        <is>
          <t>Home run JB-GT3-TC02 to the control / marshalling room</t>
        </is>
      </c>
      <c r="E1028" s="12" t="inlineStr">
        <is>
          <t>R2C</t>
        </is>
      </c>
      <c r="F1028" s="12" t="inlineStr">
        <is>
          <t>R2C: unit / HRSG electrical e-house (32 x 40 ft)</t>
        </is>
      </c>
      <c r="G1028" s="12" t="inlineStr">
        <is>
          <t>JB-GT3-TC02</t>
        </is>
      </c>
      <c r="H1028" s="12" t="inlineStr">
        <is>
          <t>GT3: H-class gas turbine (60 Hz)</t>
        </is>
      </c>
      <c r="I1028" s="12" t="inlineStr">
        <is>
          <t>Instrumentation</t>
        </is>
      </c>
      <c r="J1028" s="12" t="inlineStr">
        <is>
          <t>Thermocouple extension KX, #16 shielded pairs, PLTC</t>
        </is>
      </c>
      <c r="K1028" s="12" t="inlineStr">
        <is>
          <t>TCX|24 pr|16</t>
        </is>
      </c>
      <c r="L1028" s="12" t="inlineStr">
        <is>
          <t>24 pr</t>
        </is>
      </c>
      <c r="M1028" s="12" t="inlineStr">
        <is>
          <t>16</t>
        </is>
      </c>
      <c r="N1028" s="12" t="n">
        <v>1</v>
      </c>
      <c r="O1028" s="12" t="n">
        <v>1</v>
      </c>
      <c r="P1028" s="12" t="n"/>
      <c r="Q1028" s="12" t="n"/>
      <c r="R1028" s="12" t="n"/>
      <c r="S1028" s="12" t="inlineStr">
        <is>
          <t>Tray</t>
        </is>
      </c>
      <c r="T1028" s="16" t="n">
        <v>986</v>
      </c>
      <c r="U1028" s="16" t="n">
        <v>249</v>
      </c>
      <c r="V1028" s="16">
        <f>ROUNDUP((T1028+U1028+2*'Read Me'!$B$13)*(1+'Read Me'!$B$12),-1)</f>
        <v/>
      </c>
      <c r="W1028" s="16">
        <f>V1028*N1028*O1028</f>
        <v/>
      </c>
      <c r="X1028" s="12">
        <f>IF(LEFT(I1028,2)="MV",2*N1028*IF(L1028="1/C",O1028,1),0)</f>
        <v/>
      </c>
      <c r="Y1028" s="12">
        <f>IF(OR(LEFT(K1028,4)="LVAX",LEFT(K1028,6)="MV15AX",LEFT(K1028,4)="CTAX",LEFT(K1028,2)="W|"),2*N1028*O1028,0)</f>
        <v/>
      </c>
      <c r="Z1028" s="12" t="inlineStr"/>
      <c r="AA1028" s="12">
        <f>N1028*O1028</f>
        <v/>
      </c>
    </row>
    <row r="1029">
      <c r="A1029" s="12" t="inlineStr">
        <is>
          <t>A-I-0307</t>
        </is>
      </c>
      <c r="B1029" s="12" t="inlineStr">
        <is>
          <t>A</t>
        </is>
      </c>
      <c r="C1029" s="12" t="inlineStr">
        <is>
          <t>Power block</t>
        </is>
      </c>
      <c r="D1029" s="12" t="inlineStr">
        <is>
          <t>Thermocouple to TC JB JB-GT3-TC03: 20 x 1 pr (field cables)</t>
        </is>
      </c>
      <c r="E1029" s="12" t="inlineStr">
        <is>
          <t>GT3</t>
        </is>
      </c>
      <c r="F1029" s="12" t="inlineStr">
        <is>
          <t>GT3: H-class gas turbine (60 Hz)</t>
        </is>
      </c>
      <c r="G1029" s="12" t="inlineStr">
        <is>
          <t>JB-GT3-TC03</t>
        </is>
      </c>
      <c r="H1029" s="12" t="inlineStr">
        <is>
          <t>GT3: H-class gas turbine (60 Hz)</t>
        </is>
      </c>
      <c r="I1029" s="12" t="inlineStr">
        <is>
          <t>Instrumentation</t>
        </is>
      </c>
      <c r="J1029" s="12" t="inlineStr">
        <is>
          <t>Thermocouple extension KX, #16 shielded pairs, PLTC</t>
        </is>
      </c>
      <c r="K1029" s="12" t="inlineStr">
        <is>
          <t>TCX|1 pr|16</t>
        </is>
      </c>
      <c r="L1029" s="12" t="inlineStr">
        <is>
          <t>1 pr</t>
        </is>
      </c>
      <c r="M1029" s="12" t="inlineStr">
        <is>
          <t>16</t>
        </is>
      </c>
      <c r="N1029" s="12" t="n">
        <v>20</v>
      </c>
      <c r="O1029" s="12" t="n">
        <v>1</v>
      </c>
      <c r="P1029" s="12" t="n"/>
      <c r="Q1029" s="12" t="n"/>
      <c r="R1029" s="12" t="n"/>
      <c r="S1029" s="12" t="inlineStr">
        <is>
          <t>Tray / conduit</t>
        </is>
      </c>
      <c r="T1029" s="16" t="n">
        <v>96</v>
      </c>
      <c r="U1029" s="16" t="n">
        <v>10</v>
      </c>
      <c r="V1029" s="16">
        <f>ROUNDUP((T1029+U1029+2*'Read Me'!$B$13)*(1+'Read Me'!$B$12),-1)</f>
        <v/>
      </c>
      <c r="W1029" s="16">
        <f>V1029*N1029*O1029</f>
        <v/>
      </c>
      <c r="X1029" s="12">
        <f>IF(LEFT(I1029,2)="MV",2*N1029*IF(L1029="1/C",O1029,1),0)</f>
        <v/>
      </c>
      <c r="Y1029" s="12">
        <f>IF(OR(LEFT(K1029,4)="LVAX",LEFT(K1029,6)="MV15AX",LEFT(K1029,4)="CTAX",LEFT(K1029,2)="W|"),2*N1029*O1029,0)</f>
        <v/>
      </c>
      <c r="Z1029" s="12" t="inlineStr">
        <is>
          <t>device-to-JB field wiring, one cable per device</t>
        </is>
      </c>
      <c r="AA1029" s="12">
        <f>N1029*O1029</f>
        <v/>
      </c>
    </row>
    <row r="1030">
      <c r="A1030" s="12" t="inlineStr">
        <is>
          <t>A-I-0308</t>
        </is>
      </c>
      <c r="B1030" s="12" t="inlineStr">
        <is>
          <t>A</t>
        </is>
      </c>
      <c r="C1030" s="12" t="inlineStr">
        <is>
          <t>Power block</t>
        </is>
      </c>
      <c r="D1030" s="12" t="inlineStr">
        <is>
          <t>Home run JB-GT3-TC03 to the control / marshalling room</t>
        </is>
      </c>
      <c r="E1030" s="12" t="inlineStr">
        <is>
          <t>R2C</t>
        </is>
      </c>
      <c r="F1030" s="12" t="inlineStr">
        <is>
          <t>R2C: unit / HRSG electrical e-house (32 x 40 ft)</t>
        </is>
      </c>
      <c r="G1030" s="12" t="inlineStr">
        <is>
          <t>JB-GT3-TC03</t>
        </is>
      </c>
      <c r="H1030" s="12" t="inlineStr">
        <is>
          <t>GT3: H-class gas turbine (60 Hz)</t>
        </is>
      </c>
      <c r="I1030" s="12" t="inlineStr">
        <is>
          <t>Instrumentation</t>
        </is>
      </c>
      <c r="J1030" s="12" t="inlineStr">
        <is>
          <t>Thermocouple extension KX, #16 shielded pairs, PLTC</t>
        </is>
      </c>
      <c r="K1030" s="12" t="inlineStr">
        <is>
          <t>TCX|24 pr|16</t>
        </is>
      </c>
      <c r="L1030" s="12" t="inlineStr">
        <is>
          <t>24 pr</t>
        </is>
      </c>
      <c r="M1030" s="12" t="inlineStr">
        <is>
          <t>16</t>
        </is>
      </c>
      <c r="N1030" s="12" t="n">
        <v>1</v>
      </c>
      <c r="O1030" s="12" t="n">
        <v>1</v>
      </c>
      <c r="P1030" s="12" t="n"/>
      <c r="Q1030" s="12" t="n"/>
      <c r="R1030" s="12" t="n"/>
      <c r="S1030" s="12" t="inlineStr">
        <is>
          <t>Tray</t>
        </is>
      </c>
      <c r="T1030" s="16" t="n">
        <v>986</v>
      </c>
      <c r="U1030" s="16" t="n">
        <v>249</v>
      </c>
      <c r="V1030" s="16">
        <f>ROUNDUP((T1030+U1030+2*'Read Me'!$B$13)*(1+'Read Me'!$B$12),-1)</f>
        <v/>
      </c>
      <c r="W1030" s="16">
        <f>V1030*N1030*O1030</f>
        <v/>
      </c>
      <c r="X1030" s="12">
        <f>IF(LEFT(I1030,2)="MV",2*N1030*IF(L1030="1/C",O1030,1),0)</f>
        <v/>
      </c>
      <c r="Y1030" s="12">
        <f>IF(OR(LEFT(K1030,4)="LVAX",LEFT(K1030,6)="MV15AX",LEFT(K1030,4)="CTAX",LEFT(K1030,2)="W|"),2*N1030*O1030,0)</f>
        <v/>
      </c>
      <c r="Z1030" s="12" t="inlineStr"/>
      <c r="AA1030" s="12">
        <f>N1030*O1030</f>
        <v/>
      </c>
    </row>
    <row r="1031">
      <c r="A1031" s="12" t="inlineStr">
        <is>
          <t>A-I-0309</t>
        </is>
      </c>
      <c r="B1031" s="12" t="inlineStr">
        <is>
          <t>A</t>
        </is>
      </c>
      <c r="C1031" s="12" t="inlineStr">
        <is>
          <t>Power block</t>
        </is>
      </c>
      <c r="D1031" s="12" t="inlineStr">
        <is>
          <t>Vibration monitoring</t>
        </is>
      </c>
      <c r="E1031" s="12" t="inlineStr">
        <is>
          <t>R2C</t>
        </is>
      </c>
      <c r="F1031" s="12" t="inlineStr">
        <is>
          <t>R2C: unit / HRSG electrical e-house (32 x 40 ft)</t>
        </is>
      </c>
      <c r="G1031" s="12" t="inlineStr">
        <is>
          <t>GT3</t>
        </is>
      </c>
      <c r="H1031" s="12" t="inlineStr">
        <is>
          <t>GT3: H-class gas turbine (60 Hz)</t>
        </is>
      </c>
      <c r="I1031" s="12" t="inlineStr">
        <is>
          <t>Instrumentation</t>
        </is>
      </c>
      <c r="J1031" s="12" t="inlineStr">
        <is>
          <t>Instrumentation PLTC / TC-ER 300 V, #18 twisted shielded pairs, overall shield</t>
        </is>
      </c>
      <c r="K1031" s="12" t="inlineStr">
        <is>
          <t>PLTC|4 pr|18</t>
        </is>
      </c>
      <c r="L1031" s="12" t="inlineStr">
        <is>
          <t>4 pr</t>
        </is>
      </c>
      <c r="M1031" s="12" t="inlineStr">
        <is>
          <t>18</t>
        </is>
      </c>
      <c r="N1031" s="12" t="n">
        <v>1</v>
      </c>
      <c r="O1031" s="12" t="n">
        <v>1</v>
      </c>
      <c r="P1031" s="12" t="n"/>
      <c r="Q1031" s="12" t="n"/>
      <c r="R1031" s="12" t="n"/>
      <c r="S1031" s="12" t="inlineStr">
        <is>
          <t>Tray</t>
        </is>
      </c>
      <c r="T1031" s="16" t="n">
        <v>986</v>
      </c>
      <c r="U1031" s="16" t="n">
        <v>249</v>
      </c>
      <c r="V1031" s="16">
        <f>ROUNDUP((T1031+U1031+2*'Read Me'!$B$13)*(1+'Read Me'!$B$12),-1)</f>
        <v/>
      </c>
      <c r="W1031" s="16">
        <f>V1031*N1031*O1031</f>
        <v/>
      </c>
      <c r="X1031" s="12">
        <f>IF(LEFT(I1031,2)="MV",2*N1031*IF(L1031="1/C",O1031,1),0)</f>
        <v/>
      </c>
      <c r="Y1031" s="12">
        <f>IF(OR(LEFT(K1031,4)="LVAX",LEFT(K1031,6)="MV15AX",LEFT(K1031,4)="CTAX",LEFT(K1031,2)="W|"),2*N1031*O1031,0)</f>
        <v/>
      </c>
      <c r="Z1031" s="12" t="inlineStr"/>
      <c r="AA1031" s="12">
        <f>N1031*O1031</f>
        <v/>
      </c>
    </row>
    <row r="1032">
      <c r="A1032" s="12" t="inlineStr">
        <is>
          <t>A-I-0310</t>
        </is>
      </c>
      <c r="B1032" s="12" t="inlineStr">
        <is>
          <t>A</t>
        </is>
      </c>
      <c r="C1032" s="12" t="inlineStr">
        <is>
          <t>Power block</t>
        </is>
      </c>
      <c r="D1032" s="12" t="inlineStr">
        <is>
          <t>Analog instrument to JB JB-GTG-1-AI01: 20 x 1 pr (field cables)</t>
        </is>
      </c>
      <c r="E1032" s="12" t="inlineStr">
        <is>
          <t>GTG-1</t>
        </is>
      </c>
      <c r="F1032" s="12" t="inlineStr">
        <is>
          <t>GTG-1: GT generator</t>
        </is>
      </c>
      <c r="G1032" s="12" t="inlineStr">
        <is>
          <t>JB-GTG-1-AI01</t>
        </is>
      </c>
      <c r="H1032" s="12" t="inlineStr">
        <is>
          <t>GTG-1: GT generator</t>
        </is>
      </c>
      <c r="I1032" s="12" t="inlineStr">
        <is>
          <t>Instrumentation</t>
        </is>
      </c>
      <c r="J1032" s="12" t="inlineStr">
        <is>
          <t>Instrumentation PLTC / TC-ER 300 V, #18 twisted shielded pairs, overall shield</t>
        </is>
      </c>
      <c r="K1032" s="12" t="inlineStr">
        <is>
          <t>PLTC|1 pr|16</t>
        </is>
      </c>
      <c r="L1032" s="12" t="inlineStr">
        <is>
          <t>1 pr</t>
        </is>
      </c>
      <c r="M1032" s="12" t="inlineStr">
        <is>
          <t>16</t>
        </is>
      </c>
      <c r="N1032" s="12" t="n">
        <v>20</v>
      </c>
      <c r="O1032" s="12" t="n">
        <v>1</v>
      </c>
      <c r="P1032" s="12" t="n"/>
      <c r="Q1032" s="12" t="n"/>
      <c r="R1032" s="12" t="n"/>
      <c r="S1032" s="12" t="inlineStr">
        <is>
          <t>Tray / conduit</t>
        </is>
      </c>
      <c r="T1032" s="16" t="n">
        <v>70</v>
      </c>
      <c r="U1032" s="16" t="n">
        <v>10</v>
      </c>
      <c r="V1032" s="16">
        <f>ROUNDUP((T1032+U1032+2*'Read Me'!$B$13)*(1+'Read Me'!$B$12),-1)</f>
        <v/>
      </c>
      <c r="W1032" s="16">
        <f>V1032*N1032*O1032</f>
        <v/>
      </c>
      <c r="X1032" s="12">
        <f>IF(LEFT(I1032,2)="MV",2*N1032*IF(L1032="1/C",O1032,1),0)</f>
        <v/>
      </c>
      <c r="Y1032" s="12">
        <f>IF(OR(LEFT(K1032,4)="LVAX",LEFT(K1032,6)="MV15AX",LEFT(K1032,4)="CTAX",LEFT(K1032,2)="W|"),2*N1032*O1032,0)</f>
        <v/>
      </c>
      <c r="Z1032" s="12" t="inlineStr">
        <is>
          <t>device-to-JB field wiring, one cable per device</t>
        </is>
      </c>
      <c r="AA1032" s="12">
        <f>N1032*O1032</f>
        <v/>
      </c>
    </row>
    <row r="1033">
      <c r="A1033" s="12" t="inlineStr">
        <is>
          <t>A-I-0311</t>
        </is>
      </c>
      <c r="B1033" s="12" t="inlineStr">
        <is>
          <t>A</t>
        </is>
      </c>
      <c r="C1033" s="12" t="inlineStr">
        <is>
          <t>Power block</t>
        </is>
      </c>
      <c r="D1033" s="12" t="inlineStr">
        <is>
          <t>Home run JB-GTG-1-AI01 to the control / marshalling room</t>
        </is>
      </c>
      <c r="E1033" s="12" t="inlineStr">
        <is>
          <t>R2A</t>
        </is>
      </c>
      <c r="F1033" s="12" t="inlineStr">
        <is>
          <t>R2A: unit / HRSG electrical e-house (32 x 40 ft)</t>
        </is>
      </c>
      <c r="G1033" s="12" t="inlineStr">
        <is>
          <t>JB-GTG-1-AI01</t>
        </is>
      </c>
      <c r="H1033" s="12" t="inlineStr">
        <is>
          <t>GTG-1: GT generator</t>
        </is>
      </c>
      <c r="I1033" s="12" t="inlineStr">
        <is>
          <t>Instrumentation</t>
        </is>
      </c>
      <c r="J1033" s="12" t="inlineStr">
        <is>
          <t>Instrumentation PLTC / TC-ER 300 V, #18 twisted shielded pairs, overall shield</t>
        </is>
      </c>
      <c r="K1033" s="12" t="inlineStr">
        <is>
          <t>PLTC|24 pr|18</t>
        </is>
      </c>
      <c r="L1033" s="12" t="inlineStr">
        <is>
          <t>24 pr</t>
        </is>
      </c>
      <c r="M1033" s="12" t="inlineStr">
        <is>
          <t>18</t>
        </is>
      </c>
      <c r="N1033" s="12" t="n">
        <v>1</v>
      </c>
      <c r="O1033" s="12" t="n">
        <v>1</v>
      </c>
      <c r="P1033" s="12" t="n"/>
      <c r="Q1033" s="12" t="n"/>
      <c r="R1033" s="12" t="n"/>
      <c r="S1033" s="12" t="inlineStr">
        <is>
          <t>Tray</t>
        </is>
      </c>
      <c r="T1033" s="16" t="n">
        <v>367</v>
      </c>
      <c r="U1033" s="16" t="n">
        <v>127</v>
      </c>
      <c r="V1033" s="16">
        <f>ROUNDUP((T1033+U1033+2*'Read Me'!$B$13)*(1+'Read Me'!$B$12),-1)</f>
        <v/>
      </c>
      <c r="W1033" s="16">
        <f>V1033*N1033*O1033</f>
        <v/>
      </c>
      <c r="X1033" s="12">
        <f>IF(LEFT(I1033,2)="MV",2*N1033*IF(L1033="1/C",O1033,1),0)</f>
        <v/>
      </c>
      <c r="Y1033" s="12">
        <f>IF(OR(LEFT(K1033,4)="LVAX",LEFT(K1033,6)="MV15AX",LEFT(K1033,4)="CTAX",LEFT(K1033,2)="W|"),2*N1033*O1033,0)</f>
        <v/>
      </c>
      <c r="Z1033" s="12" t="inlineStr"/>
      <c r="AA1033" s="12">
        <f>N1033*O1033</f>
        <v/>
      </c>
    </row>
    <row r="1034">
      <c r="A1034" s="12" t="inlineStr">
        <is>
          <t>A-I-0312</t>
        </is>
      </c>
      <c r="B1034" s="12" t="inlineStr">
        <is>
          <t>A</t>
        </is>
      </c>
      <c r="C1034" s="12" t="inlineStr">
        <is>
          <t>Power block</t>
        </is>
      </c>
      <c r="D1034" s="12" t="inlineStr">
        <is>
          <t>Discrete device to JB JB-GTG-1-DI01: 20 x 1 pr (field cables)</t>
        </is>
      </c>
      <c r="E1034" s="12" t="inlineStr">
        <is>
          <t>GTG-1</t>
        </is>
      </c>
      <c r="F1034" s="12" t="inlineStr">
        <is>
          <t>GTG-1: GT generator</t>
        </is>
      </c>
      <c r="G1034" s="12" t="inlineStr">
        <is>
          <t>JB-GTG-1-DI01</t>
        </is>
      </c>
      <c r="H1034" s="12" t="inlineStr">
        <is>
          <t>GTG-1: GT generator</t>
        </is>
      </c>
      <c r="I1034" s="12" t="inlineStr">
        <is>
          <t>Instrumentation</t>
        </is>
      </c>
      <c r="J1034" s="12" t="inlineStr">
        <is>
          <t>Instrumentation PLTC / TC-ER 300 V, #18 twisted shielded pairs, overall shield</t>
        </is>
      </c>
      <c r="K1034" s="12" t="inlineStr">
        <is>
          <t>PLTC|1 pr|16</t>
        </is>
      </c>
      <c r="L1034" s="12" t="inlineStr">
        <is>
          <t>1 pr</t>
        </is>
      </c>
      <c r="M1034" s="12" t="inlineStr">
        <is>
          <t>16</t>
        </is>
      </c>
      <c r="N1034" s="12" t="n">
        <v>20</v>
      </c>
      <c r="O1034" s="12" t="n">
        <v>1</v>
      </c>
      <c r="P1034" s="12" t="n"/>
      <c r="Q1034" s="12" t="n"/>
      <c r="R1034" s="12" t="n"/>
      <c r="S1034" s="12" t="inlineStr">
        <is>
          <t>Tray / conduit</t>
        </is>
      </c>
      <c r="T1034" s="16" t="n">
        <v>70</v>
      </c>
      <c r="U1034" s="16" t="n">
        <v>10</v>
      </c>
      <c r="V1034" s="16">
        <f>ROUNDUP((T1034+U1034+2*'Read Me'!$B$13)*(1+'Read Me'!$B$12),-1)</f>
        <v/>
      </c>
      <c r="W1034" s="16">
        <f>V1034*N1034*O1034</f>
        <v/>
      </c>
      <c r="X1034" s="12">
        <f>IF(LEFT(I1034,2)="MV",2*N1034*IF(L1034="1/C",O1034,1),0)</f>
        <v/>
      </c>
      <c r="Y1034" s="12">
        <f>IF(OR(LEFT(K1034,4)="LVAX",LEFT(K1034,6)="MV15AX",LEFT(K1034,4)="CTAX",LEFT(K1034,2)="W|"),2*N1034*O1034,0)</f>
        <v/>
      </c>
      <c r="Z1034" s="12" t="inlineStr">
        <is>
          <t>device-to-JB field wiring, one cable per device</t>
        </is>
      </c>
      <c r="AA1034" s="12">
        <f>N1034*O1034</f>
        <v/>
      </c>
    </row>
    <row r="1035">
      <c r="A1035" s="12" t="inlineStr">
        <is>
          <t>A-I-0313</t>
        </is>
      </c>
      <c r="B1035" s="12" t="inlineStr">
        <is>
          <t>A</t>
        </is>
      </c>
      <c r="C1035" s="12" t="inlineStr">
        <is>
          <t>Power block</t>
        </is>
      </c>
      <c r="D1035" s="12" t="inlineStr">
        <is>
          <t>Home run JB-GTG-1-DI01 to the control / marshalling room</t>
        </is>
      </c>
      <c r="E1035" s="12" t="inlineStr">
        <is>
          <t>R2A</t>
        </is>
      </c>
      <c r="F1035" s="12" t="inlineStr">
        <is>
          <t>R2A: unit / HRSG electrical e-house (32 x 40 ft)</t>
        </is>
      </c>
      <c r="G1035" s="12" t="inlineStr">
        <is>
          <t>JB-GTG-1-DI01</t>
        </is>
      </c>
      <c r="H1035" s="12" t="inlineStr">
        <is>
          <t>GTG-1: GT generator</t>
        </is>
      </c>
      <c r="I1035" s="12" t="inlineStr">
        <is>
          <t>Instrumentation</t>
        </is>
      </c>
      <c r="J1035" s="12" t="inlineStr">
        <is>
          <t>Instrumentation PLTC / TC-ER 300 V, #18 twisted shielded pairs, overall shield</t>
        </is>
      </c>
      <c r="K1035" s="12" t="inlineStr">
        <is>
          <t>PLTC|24 pr|18</t>
        </is>
      </c>
      <c r="L1035" s="12" t="inlineStr">
        <is>
          <t>24 pr</t>
        </is>
      </c>
      <c r="M1035" s="12" t="inlineStr">
        <is>
          <t>18</t>
        </is>
      </c>
      <c r="N1035" s="12" t="n">
        <v>1</v>
      </c>
      <c r="O1035" s="12" t="n">
        <v>1</v>
      </c>
      <c r="P1035" s="12" t="n"/>
      <c r="Q1035" s="12" t="n"/>
      <c r="R1035" s="12" t="n"/>
      <c r="S1035" s="12" t="inlineStr">
        <is>
          <t>Tray</t>
        </is>
      </c>
      <c r="T1035" s="16" t="n">
        <v>367</v>
      </c>
      <c r="U1035" s="16" t="n">
        <v>127</v>
      </c>
      <c r="V1035" s="16">
        <f>ROUNDUP((T1035+U1035+2*'Read Me'!$B$13)*(1+'Read Me'!$B$12),-1)</f>
        <v/>
      </c>
      <c r="W1035" s="16">
        <f>V1035*N1035*O1035</f>
        <v/>
      </c>
      <c r="X1035" s="12">
        <f>IF(LEFT(I1035,2)="MV",2*N1035*IF(L1035="1/C",O1035,1),0)</f>
        <v/>
      </c>
      <c r="Y1035" s="12">
        <f>IF(OR(LEFT(K1035,4)="LVAX",LEFT(K1035,6)="MV15AX",LEFT(K1035,4)="CTAX",LEFT(K1035,2)="W|"),2*N1035*O1035,0)</f>
        <v/>
      </c>
      <c r="Z1035" s="12" t="inlineStr"/>
      <c r="AA1035" s="12">
        <f>N1035*O1035</f>
        <v/>
      </c>
    </row>
    <row r="1036">
      <c r="A1036" s="12" t="inlineStr">
        <is>
          <t>A-I-0314</t>
        </is>
      </c>
      <c r="B1036" s="12" t="inlineStr">
        <is>
          <t>A</t>
        </is>
      </c>
      <c r="C1036" s="12" t="inlineStr">
        <is>
          <t>Power block</t>
        </is>
      </c>
      <c r="D1036" s="12" t="inlineStr">
        <is>
          <t>RTD to JB JB-GTG-1-RTD01: 10 x 1 tri (field cables)</t>
        </is>
      </c>
      <c r="E1036" s="12" t="inlineStr">
        <is>
          <t>GTG-1</t>
        </is>
      </c>
      <c r="F1036" s="12" t="inlineStr">
        <is>
          <t>GTG-1: GT generator</t>
        </is>
      </c>
      <c r="G1036" s="12" t="inlineStr">
        <is>
          <t>JB-GTG-1-RTD01</t>
        </is>
      </c>
      <c r="H1036" s="12" t="inlineStr">
        <is>
          <t>GTG-1: GT generator</t>
        </is>
      </c>
      <c r="I1036" s="12" t="inlineStr">
        <is>
          <t>Instrumentation</t>
        </is>
      </c>
      <c r="J1036" s="12" t="inlineStr">
        <is>
          <t>RTD cable, #18 shielded triads, PLTC</t>
        </is>
      </c>
      <c r="K1036" s="12" t="inlineStr">
        <is>
          <t>RTD|1 tri|18</t>
        </is>
      </c>
      <c r="L1036" s="12" t="inlineStr">
        <is>
          <t>1 tri</t>
        </is>
      </c>
      <c r="M1036" s="12" t="inlineStr">
        <is>
          <t>18</t>
        </is>
      </c>
      <c r="N1036" s="12" t="n">
        <v>10</v>
      </c>
      <c r="O1036" s="12" t="n">
        <v>1</v>
      </c>
      <c r="P1036" s="12" t="n"/>
      <c r="Q1036" s="12" t="n"/>
      <c r="R1036" s="12" t="n"/>
      <c r="S1036" s="12" t="inlineStr">
        <is>
          <t>Tray / conduit</t>
        </is>
      </c>
      <c r="T1036" s="16" t="n">
        <v>70</v>
      </c>
      <c r="U1036" s="16" t="n">
        <v>10</v>
      </c>
      <c r="V1036" s="16">
        <f>ROUNDUP((T1036+U1036+2*'Read Me'!$B$13)*(1+'Read Me'!$B$12),-1)</f>
        <v/>
      </c>
      <c r="W1036" s="16">
        <f>V1036*N1036*O1036</f>
        <v/>
      </c>
      <c r="X1036" s="12">
        <f>IF(LEFT(I1036,2)="MV",2*N1036*IF(L1036="1/C",O1036,1),0)</f>
        <v/>
      </c>
      <c r="Y1036" s="12">
        <f>IF(OR(LEFT(K1036,4)="LVAX",LEFT(K1036,6)="MV15AX",LEFT(K1036,4)="CTAX",LEFT(K1036,2)="W|"),2*N1036*O1036,0)</f>
        <v/>
      </c>
      <c r="Z1036" s="12" t="inlineStr">
        <is>
          <t>device-to-JB field wiring, one cable per device</t>
        </is>
      </c>
      <c r="AA1036" s="12">
        <f>N1036*O1036</f>
        <v/>
      </c>
    </row>
    <row r="1037">
      <c r="A1037" s="12" t="inlineStr">
        <is>
          <t>A-I-0315</t>
        </is>
      </c>
      <c r="B1037" s="12" t="inlineStr">
        <is>
          <t>A</t>
        </is>
      </c>
      <c r="C1037" s="12" t="inlineStr">
        <is>
          <t>Power block</t>
        </is>
      </c>
      <c r="D1037" s="12" t="inlineStr">
        <is>
          <t>Home run JB-GTG-1-RTD01 to the control / marshalling room</t>
        </is>
      </c>
      <c r="E1037" s="12" t="inlineStr">
        <is>
          <t>R2A</t>
        </is>
      </c>
      <c r="F1037" s="12" t="inlineStr">
        <is>
          <t>R2A: unit / HRSG electrical e-house (32 x 40 ft)</t>
        </is>
      </c>
      <c r="G1037" s="12" t="inlineStr">
        <is>
          <t>JB-GTG-1-RTD01</t>
        </is>
      </c>
      <c r="H1037" s="12" t="inlineStr">
        <is>
          <t>GTG-1: GT generator</t>
        </is>
      </c>
      <c r="I1037" s="12" t="inlineStr">
        <is>
          <t>Instrumentation</t>
        </is>
      </c>
      <c r="J1037" s="12" t="inlineStr">
        <is>
          <t>RTD cable, #18 shielded triads, PLTC</t>
        </is>
      </c>
      <c r="K1037" s="12" t="inlineStr">
        <is>
          <t>RTD|12 tri|18</t>
        </is>
      </c>
      <c r="L1037" s="12" t="inlineStr">
        <is>
          <t>12 tri</t>
        </is>
      </c>
      <c r="M1037" s="12" t="inlineStr">
        <is>
          <t>18</t>
        </is>
      </c>
      <c r="N1037" s="12" t="n">
        <v>1</v>
      </c>
      <c r="O1037" s="12" t="n">
        <v>1</v>
      </c>
      <c r="P1037" s="12" t="n"/>
      <c r="Q1037" s="12" t="n"/>
      <c r="R1037" s="12" t="n"/>
      <c r="S1037" s="12" t="inlineStr">
        <is>
          <t>Tray</t>
        </is>
      </c>
      <c r="T1037" s="16" t="n">
        <v>367</v>
      </c>
      <c r="U1037" s="16" t="n">
        <v>127</v>
      </c>
      <c r="V1037" s="16">
        <f>ROUNDUP((T1037+U1037+2*'Read Me'!$B$13)*(1+'Read Me'!$B$12),-1)</f>
        <v/>
      </c>
      <c r="W1037" s="16">
        <f>V1037*N1037*O1037</f>
        <v/>
      </c>
      <c r="X1037" s="12">
        <f>IF(LEFT(I1037,2)="MV",2*N1037*IF(L1037="1/C",O1037,1),0)</f>
        <v/>
      </c>
      <c r="Y1037" s="12">
        <f>IF(OR(LEFT(K1037,4)="LVAX",LEFT(K1037,6)="MV15AX",LEFT(K1037,4)="CTAX",LEFT(K1037,2)="W|"),2*N1037*O1037,0)</f>
        <v/>
      </c>
      <c r="Z1037" s="12" t="inlineStr"/>
      <c r="AA1037" s="12">
        <f>N1037*O1037</f>
        <v/>
      </c>
    </row>
    <row r="1038">
      <c r="A1038" s="12" t="inlineStr">
        <is>
          <t>A-I-0316</t>
        </is>
      </c>
      <c r="B1038" s="12" t="inlineStr">
        <is>
          <t>A</t>
        </is>
      </c>
      <c r="C1038" s="12" t="inlineStr">
        <is>
          <t>Power block</t>
        </is>
      </c>
      <c r="D1038" s="12" t="inlineStr">
        <is>
          <t>RTD to JB JB-GTG-1-RTD02: 10 x 1 tri (field cables)</t>
        </is>
      </c>
      <c r="E1038" s="12" t="inlineStr">
        <is>
          <t>GTG-1</t>
        </is>
      </c>
      <c r="F1038" s="12" t="inlineStr">
        <is>
          <t>GTG-1: GT generator</t>
        </is>
      </c>
      <c r="G1038" s="12" t="inlineStr">
        <is>
          <t>JB-GTG-1-RTD02</t>
        </is>
      </c>
      <c r="H1038" s="12" t="inlineStr">
        <is>
          <t>GTG-1: GT generator</t>
        </is>
      </c>
      <c r="I1038" s="12" t="inlineStr">
        <is>
          <t>Instrumentation</t>
        </is>
      </c>
      <c r="J1038" s="12" t="inlineStr">
        <is>
          <t>RTD cable, #18 shielded triads, PLTC</t>
        </is>
      </c>
      <c r="K1038" s="12" t="inlineStr">
        <is>
          <t>RTD|1 tri|18</t>
        </is>
      </c>
      <c r="L1038" s="12" t="inlineStr">
        <is>
          <t>1 tri</t>
        </is>
      </c>
      <c r="M1038" s="12" t="inlineStr">
        <is>
          <t>18</t>
        </is>
      </c>
      <c r="N1038" s="12" t="n">
        <v>10</v>
      </c>
      <c r="O1038" s="12" t="n">
        <v>1</v>
      </c>
      <c r="P1038" s="12" t="n"/>
      <c r="Q1038" s="12" t="n"/>
      <c r="R1038" s="12" t="n"/>
      <c r="S1038" s="12" t="inlineStr">
        <is>
          <t>Tray / conduit</t>
        </is>
      </c>
      <c r="T1038" s="16" t="n">
        <v>70</v>
      </c>
      <c r="U1038" s="16" t="n">
        <v>10</v>
      </c>
      <c r="V1038" s="16">
        <f>ROUNDUP((T1038+U1038+2*'Read Me'!$B$13)*(1+'Read Me'!$B$12),-1)</f>
        <v/>
      </c>
      <c r="W1038" s="16">
        <f>V1038*N1038*O1038</f>
        <v/>
      </c>
      <c r="X1038" s="12">
        <f>IF(LEFT(I1038,2)="MV",2*N1038*IF(L1038="1/C",O1038,1),0)</f>
        <v/>
      </c>
      <c r="Y1038" s="12">
        <f>IF(OR(LEFT(K1038,4)="LVAX",LEFT(K1038,6)="MV15AX",LEFT(K1038,4)="CTAX",LEFT(K1038,2)="W|"),2*N1038*O1038,0)</f>
        <v/>
      </c>
      <c r="Z1038" s="12" t="inlineStr">
        <is>
          <t>device-to-JB field wiring, one cable per device</t>
        </is>
      </c>
      <c r="AA1038" s="12">
        <f>N1038*O1038</f>
        <v/>
      </c>
    </row>
    <row r="1039">
      <c r="A1039" s="12" t="inlineStr">
        <is>
          <t>A-I-0317</t>
        </is>
      </c>
      <c r="B1039" s="12" t="inlineStr">
        <is>
          <t>A</t>
        </is>
      </c>
      <c r="C1039" s="12" t="inlineStr">
        <is>
          <t>Power block</t>
        </is>
      </c>
      <c r="D1039" s="12" t="inlineStr">
        <is>
          <t>Home run JB-GTG-1-RTD02 to the control / marshalling room</t>
        </is>
      </c>
      <c r="E1039" s="12" t="inlineStr">
        <is>
          <t>R2A</t>
        </is>
      </c>
      <c r="F1039" s="12" t="inlineStr">
        <is>
          <t>R2A: unit / HRSG electrical e-house (32 x 40 ft)</t>
        </is>
      </c>
      <c r="G1039" s="12" t="inlineStr">
        <is>
          <t>JB-GTG-1-RTD02</t>
        </is>
      </c>
      <c r="H1039" s="12" t="inlineStr">
        <is>
          <t>GTG-1: GT generator</t>
        </is>
      </c>
      <c r="I1039" s="12" t="inlineStr">
        <is>
          <t>Instrumentation</t>
        </is>
      </c>
      <c r="J1039" s="12" t="inlineStr">
        <is>
          <t>RTD cable, #18 shielded triads, PLTC</t>
        </is>
      </c>
      <c r="K1039" s="12" t="inlineStr">
        <is>
          <t>RTD|12 tri|18</t>
        </is>
      </c>
      <c r="L1039" s="12" t="inlineStr">
        <is>
          <t>12 tri</t>
        </is>
      </c>
      <c r="M1039" s="12" t="inlineStr">
        <is>
          <t>18</t>
        </is>
      </c>
      <c r="N1039" s="12" t="n">
        <v>1</v>
      </c>
      <c r="O1039" s="12" t="n">
        <v>1</v>
      </c>
      <c r="P1039" s="12" t="n"/>
      <c r="Q1039" s="12" t="n"/>
      <c r="R1039" s="12" t="n"/>
      <c r="S1039" s="12" t="inlineStr">
        <is>
          <t>Tray</t>
        </is>
      </c>
      <c r="T1039" s="16" t="n">
        <v>367</v>
      </c>
      <c r="U1039" s="16" t="n">
        <v>127</v>
      </c>
      <c r="V1039" s="16">
        <f>ROUNDUP((T1039+U1039+2*'Read Me'!$B$13)*(1+'Read Me'!$B$12),-1)</f>
        <v/>
      </c>
      <c r="W1039" s="16">
        <f>V1039*N1039*O1039</f>
        <v/>
      </c>
      <c r="X1039" s="12">
        <f>IF(LEFT(I1039,2)="MV",2*N1039*IF(L1039="1/C",O1039,1),0)</f>
        <v/>
      </c>
      <c r="Y1039" s="12">
        <f>IF(OR(LEFT(K1039,4)="LVAX",LEFT(K1039,6)="MV15AX",LEFT(K1039,4)="CTAX",LEFT(K1039,2)="W|"),2*N1039*O1039,0)</f>
        <v/>
      </c>
      <c r="Z1039" s="12" t="inlineStr"/>
      <c r="AA1039" s="12">
        <f>N1039*O1039</f>
        <v/>
      </c>
    </row>
    <row r="1040">
      <c r="A1040" s="12" t="inlineStr">
        <is>
          <t>A-I-0318</t>
        </is>
      </c>
      <c r="B1040" s="12" t="inlineStr">
        <is>
          <t>A</t>
        </is>
      </c>
      <c r="C1040" s="12" t="inlineStr">
        <is>
          <t>Power block</t>
        </is>
      </c>
      <c r="D1040" s="12" t="inlineStr">
        <is>
          <t>RTD to JB JB-GTG-1-RTD03: 4 x 1 tri (field cables)</t>
        </is>
      </c>
      <c r="E1040" s="12" t="inlineStr">
        <is>
          <t>GTG-1</t>
        </is>
      </c>
      <c r="F1040" s="12" t="inlineStr">
        <is>
          <t>GTG-1: GT generator</t>
        </is>
      </c>
      <c r="G1040" s="12" t="inlineStr">
        <is>
          <t>JB-GTG-1-RTD03</t>
        </is>
      </c>
      <c r="H1040" s="12" t="inlineStr">
        <is>
          <t>GTG-1: GT generator</t>
        </is>
      </c>
      <c r="I1040" s="12" t="inlineStr">
        <is>
          <t>Instrumentation</t>
        </is>
      </c>
      <c r="J1040" s="12" t="inlineStr">
        <is>
          <t>RTD cable, #18 shielded triads, PLTC</t>
        </is>
      </c>
      <c r="K1040" s="12" t="inlineStr">
        <is>
          <t>RTD|1 tri|18</t>
        </is>
      </c>
      <c r="L1040" s="12" t="inlineStr">
        <is>
          <t>1 tri</t>
        </is>
      </c>
      <c r="M1040" s="12" t="inlineStr">
        <is>
          <t>18</t>
        </is>
      </c>
      <c r="N1040" s="12" t="n">
        <v>4</v>
      </c>
      <c r="O1040" s="12" t="n">
        <v>1</v>
      </c>
      <c r="P1040" s="12" t="n"/>
      <c r="Q1040" s="12" t="n"/>
      <c r="R1040" s="12" t="n"/>
      <c r="S1040" s="12" t="inlineStr">
        <is>
          <t>Tray / conduit</t>
        </is>
      </c>
      <c r="T1040" s="16" t="n">
        <v>70</v>
      </c>
      <c r="U1040" s="16" t="n">
        <v>10</v>
      </c>
      <c r="V1040" s="16">
        <f>ROUNDUP((T1040+U1040+2*'Read Me'!$B$13)*(1+'Read Me'!$B$12),-1)</f>
        <v/>
      </c>
      <c r="W1040" s="16">
        <f>V1040*N1040*O1040</f>
        <v/>
      </c>
      <c r="X1040" s="12">
        <f>IF(LEFT(I1040,2)="MV",2*N1040*IF(L1040="1/C",O1040,1),0)</f>
        <v/>
      </c>
      <c r="Y1040" s="12">
        <f>IF(OR(LEFT(K1040,4)="LVAX",LEFT(K1040,6)="MV15AX",LEFT(K1040,4)="CTAX",LEFT(K1040,2)="W|"),2*N1040*O1040,0)</f>
        <v/>
      </c>
      <c r="Z1040" s="12" t="inlineStr">
        <is>
          <t>device-to-JB field wiring, one cable per device</t>
        </is>
      </c>
      <c r="AA1040" s="12">
        <f>N1040*O1040</f>
        <v/>
      </c>
    </row>
    <row r="1041">
      <c r="A1041" s="12" t="inlineStr">
        <is>
          <t>A-I-0319</t>
        </is>
      </c>
      <c r="B1041" s="12" t="inlineStr">
        <is>
          <t>A</t>
        </is>
      </c>
      <c r="C1041" s="12" t="inlineStr">
        <is>
          <t>Power block</t>
        </is>
      </c>
      <c r="D1041" s="12" t="inlineStr">
        <is>
          <t>Home run JB-GTG-1-RTD03 to the control / marshalling room</t>
        </is>
      </c>
      <c r="E1041" s="12" t="inlineStr">
        <is>
          <t>R2A</t>
        </is>
      </c>
      <c r="F1041" s="12" t="inlineStr">
        <is>
          <t>R2A: unit / HRSG electrical e-house (32 x 40 ft)</t>
        </is>
      </c>
      <c r="G1041" s="12" t="inlineStr">
        <is>
          <t>JB-GTG-1-RTD03</t>
        </is>
      </c>
      <c r="H1041" s="12" t="inlineStr">
        <is>
          <t>GTG-1: GT generator</t>
        </is>
      </c>
      <c r="I1041" s="12" t="inlineStr">
        <is>
          <t>Instrumentation</t>
        </is>
      </c>
      <c r="J1041" s="12" t="inlineStr">
        <is>
          <t>RTD cable, #18 shielded triads, PLTC</t>
        </is>
      </c>
      <c r="K1041" s="12" t="inlineStr">
        <is>
          <t>RTD|12 tri|18</t>
        </is>
      </c>
      <c r="L1041" s="12" t="inlineStr">
        <is>
          <t>12 tri</t>
        </is>
      </c>
      <c r="M1041" s="12" t="inlineStr">
        <is>
          <t>18</t>
        </is>
      </c>
      <c r="N1041" s="12" t="n">
        <v>1</v>
      </c>
      <c r="O1041" s="12" t="n">
        <v>1</v>
      </c>
      <c r="P1041" s="12" t="n"/>
      <c r="Q1041" s="12" t="n"/>
      <c r="R1041" s="12" t="n"/>
      <c r="S1041" s="12" t="inlineStr">
        <is>
          <t>Tray</t>
        </is>
      </c>
      <c r="T1041" s="16" t="n">
        <v>367</v>
      </c>
      <c r="U1041" s="16" t="n">
        <v>127</v>
      </c>
      <c r="V1041" s="16">
        <f>ROUNDUP((T1041+U1041+2*'Read Me'!$B$13)*(1+'Read Me'!$B$12),-1)</f>
        <v/>
      </c>
      <c r="W1041" s="16">
        <f>V1041*N1041*O1041</f>
        <v/>
      </c>
      <c r="X1041" s="12">
        <f>IF(LEFT(I1041,2)="MV",2*N1041*IF(L1041="1/C",O1041,1),0)</f>
        <v/>
      </c>
      <c r="Y1041" s="12">
        <f>IF(OR(LEFT(K1041,4)="LVAX",LEFT(K1041,6)="MV15AX",LEFT(K1041,4)="CTAX",LEFT(K1041,2)="W|"),2*N1041*O1041,0)</f>
        <v/>
      </c>
      <c r="Z1041" s="12" t="inlineStr"/>
      <c r="AA1041" s="12">
        <f>N1041*O1041</f>
        <v/>
      </c>
    </row>
    <row r="1042">
      <c r="A1042" s="12" t="inlineStr">
        <is>
          <t>A-I-0320</t>
        </is>
      </c>
      <c r="B1042" s="12" t="inlineStr">
        <is>
          <t>A</t>
        </is>
      </c>
      <c r="C1042" s="12" t="inlineStr">
        <is>
          <t>Power block</t>
        </is>
      </c>
      <c r="D1042" s="12" t="inlineStr">
        <is>
          <t>Vibration monitoring</t>
        </is>
      </c>
      <c r="E1042" s="12" t="inlineStr">
        <is>
          <t>R2A</t>
        </is>
      </c>
      <c r="F1042" s="12" t="inlineStr">
        <is>
          <t>R2A: unit / HRSG electrical e-house (32 x 40 ft)</t>
        </is>
      </c>
      <c r="G1042" s="12" t="inlineStr">
        <is>
          <t>GTG-1</t>
        </is>
      </c>
      <c r="H1042" s="12" t="inlineStr">
        <is>
          <t>GTG-1: GT generator</t>
        </is>
      </c>
      <c r="I1042" s="12" t="inlineStr">
        <is>
          <t>Instrumentation</t>
        </is>
      </c>
      <c r="J1042" s="12" t="inlineStr">
        <is>
          <t>Instrumentation PLTC / TC-ER 300 V, #18 twisted shielded pairs, overall shield</t>
        </is>
      </c>
      <c r="K1042" s="12" t="inlineStr">
        <is>
          <t>PLTC|4 pr|18</t>
        </is>
      </c>
      <c r="L1042" s="12" t="inlineStr">
        <is>
          <t>4 pr</t>
        </is>
      </c>
      <c r="M1042" s="12" t="inlineStr">
        <is>
          <t>18</t>
        </is>
      </c>
      <c r="N1042" s="12" t="n">
        <v>1</v>
      </c>
      <c r="O1042" s="12" t="n">
        <v>1</v>
      </c>
      <c r="P1042" s="12" t="n"/>
      <c r="Q1042" s="12" t="n"/>
      <c r="R1042" s="12" t="n"/>
      <c r="S1042" s="12" t="inlineStr">
        <is>
          <t>Tray</t>
        </is>
      </c>
      <c r="T1042" s="16" t="n">
        <v>367</v>
      </c>
      <c r="U1042" s="16" t="n">
        <v>127</v>
      </c>
      <c r="V1042" s="16">
        <f>ROUNDUP((T1042+U1042+2*'Read Me'!$B$13)*(1+'Read Me'!$B$12),-1)</f>
        <v/>
      </c>
      <c r="W1042" s="16">
        <f>V1042*N1042*O1042</f>
        <v/>
      </c>
      <c r="X1042" s="12">
        <f>IF(LEFT(I1042,2)="MV",2*N1042*IF(L1042="1/C",O1042,1),0)</f>
        <v/>
      </c>
      <c r="Y1042" s="12">
        <f>IF(OR(LEFT(K1042,4)="LVAX",LEFT(K1042,6)="MV15AX",LEFT(K1042,4)="CTAX",LEFT(K1042,2)="W|"),2*N1042*O1042,0)</f>
        <v/>
      </c>
      <c r="Z1042" s="12" t="inlineStr"/>
      <c r="AA1042" s="12">
        <f>N1042*O1042</f>
        <v/>
      </c>
    </row>
    <row r="1043">
      <c r="A1043" s="12" t="inlineStr">
        <is>
          <t>A-I-0321</t>
        </is>
      </c>
      <c r="B1043" s="12" t="inlineStr">
        <is>
          <t>A</t>
        </is>
      </c>
      <c r="C1043" s="12" t="inlineStr">
        <is>
          <t>Power block</t>
        </is>
      </c>
      <c r="D1043" s="12" t="inlineStr">
        <is>
          <t>Analog instrument to JB JB-GTG-2-AI01: 20 x 1 pr (field cables)</t>
        </is>
      </c>
      <c r="E1043" s="12" t="inlineStr">
        <is>
          <t>GTG-2</t>
        </is>
      </c>
      <c r="F1043" s="12" t="inlineStr">
        <is>
          <t>GTG-2: GT generator</t>
        </is>
      </c>
      <c r="G1043" s="12" t="inlineStr">
        <is>
          <t>JB-GTG-2-AI01</t>
        </is>
      </c>
      <c r="H1043" s="12" t="inlineStr">
        <is>
          <t>GTG-2: GT generator</t>
        </is>
      </c>
      <c r="I1043" s="12" t="inlineStr">
        <is>
          <t>Instrumentation</t>
        </is>
      </c>
      <c r="J1043" s="12" t="inlineStr">
        <is>
          <t>Instrumentation PLTC / TC-ER 300 V, #18 twisted shielded pairs, overall shield</t>
        </is>
      </c>
      <c r="K1043" s="12" t="inlineStr">
        <is>
          <t>PLTC|1 pr|16</t>
        </is>
      </c>
      <c r="L1043" s="12" t="inlineStr">
        <is>
          <t>1 pr</t>
        </is>
      </c>
      <c r="M1043" s="12" t="inlineStr">
        <is>
          <t>16</t>
        </is>
      </c>
      <c r="N1043" s="12" t="n">
        <v>20</v>
      </c>
      <c r="O1043" s="12" t="n">
        <v>1</v>
      </c>
      <c r="P1043" s="12" t="n"/>
      <c r="Q1043" s="12" t="n"/>
      <c r="R1043" s="12" t="n"/>
      <c r="S1043" s="12" t="inlineStr">
        <is>
          <t>Tray / conduit</t>
        </is>
      </c>
      <c r="T1043" s="16" t="n">
        <v>70</v>
      </c>
      <c r="U1043" s="16" t="n">
        <v>10</v>
      </c>
      <c r="V1043" s="16">
        <f>ROUNDUP((T1043+U1043+2*'Read Me'!$B$13)*(1+'Read Me'!$B$12),-1)</f>
        <v/>
      </c>
      <c r="W1043" s="16">
        <f>V1043*N1043*O1043</f>
        <v/>
      </c>
      <c r="X1043" s="12">
        <f>IF(LEFT(I1043,2)="MV",2*N1043*IF(L1043="1/C",O1043,1),0)</f>
        <v/>
      </c>
      <c r="Y1043" s="12">
        <f>IF(OR(LEFT(K1043,4)="LVAX",LEFT(K1043,6)="MV15AX",LEFT(K1043,4)="CTAX",LEFT(K1043,2)="W|"),2*N1043*O1043,0)</f>
        <v/>
      </c>
      <c r="Z1043" s="12" t="inlineStr">
        <is>
          <t>device-to-JB field wiring, one cable per device</t>
        </is>
      </c>
      <c r="AA1043" s="12">
        <f>N1043*O1043</f>
        <v/>
      </c>
    </row>
    <row r="1044">
      <c r="A1044" s="12" t="inlineStr">
        <is>
          <t>A-I-0322</t>
        </is>
      </c>
      <c r="B1044" s="12" t="inlineStr">
        <is>
          <t>A</t>
        </is>
      </c>
      <c r="C1044" s="12" t="inlineStr">
        <is>
          <t>Power block</t>
        </is>
      </c>
      <c r="D1044" s="12" t="inlineStr">
        <is>
          <t>Home run JB-GTG-2-AI01 to the control / marshalling room</t>
        </is>
      </c>
      <c r="E1044" s="12" t="inlineStr">
        <is>
          <t>R2B</t>
        </is>
      </c>
      <c r="F1044" s="12" t="inlineStr">
        <is>
          <t>R2B: unit / HRSG electrical e-house (32 x 40 ft)</t>
        </is>
      </c>
      <c r="G1044" s="12" t="inlineStr">
        <is>
          <t>JB-GTG-2-AI01</t>
        </is>
      </c>
      <c r="H1044" s="12" t="inlineStr">
        <is>
          <t>GTG-2: GT generator</t>
        </is>
      </c>
      <c r="I1044" s="12" t="inlineStr">
        <is>
          <t>Instrumentation</t>
        </is>
      </c>
      <c r="J1044" s="12" t="inlineStr">
        <is>
          <t>Instrumentation PLTC / TC-ER 300 V, #18 twisted shielded pairs, overall shield</t>
        </is>
      </c>
      <c r="K1044" s="12" t="inlineStr">
        <is>
          <t>PLTC|24 pr|18</t>
        </is>
      </c>
      <c r="L1044" s="12" t="inlineStr">
        <is>
          <t>24 pr</t>
        </is>
      </c>
      <c r="M1044" s="12" t="inlineStr">
        <is>
          <t>18</t>
        </is>
      </c>
      <c r="N1044" s="12" t="n">
        <v>1</v>
      </c>
      <c r="O1044" s="12" t="n">
        <v>1</v>
      </c>
      <c r="P1044" s="12" t="n"/>
      <c r="Q1044" s="12" t="n"/>
      <c r="R1044" s="12" t="n"/>
      <c r="S1044" s="12" t="inlineStr">
        <is>
          <t>Tray</t>
        </is>
      </c>
      <c r="T1044" s="16" t="n">
        <v>1241</v>
      </c>
      <c r="U1044" s="16" t="n">
        <v>217</v>
      </c>
      <c r="V1044" s="16">
        <f>ROUNDUP((T1044+U1044+2*'Read Me'!$B$13)*(1+'Read Me'!$B$12),-1)</f>
        <v/>
      </c>
      <c r="W1044" s="16">
        <f>V1044*N1044*O1044</f>
        <v/>
      </c>
      <c r="X1044" s="12">
        <f>IF(LEFT(I1044,2)="MV",2*N1044*IF(L1044="1/C",O1044,1),0)</f>
        <v/>
      </c>
      <c r="Y1044" s="12">
        <f>IF(OR(LEFT(K1044,4)="LVAX",LEFT(K1044,6)="MV15AX",LEFT(K1044,4)="CTAX",LEFT(K1044,2)="W|"),2*N1044*O1044,0)</f>
        <v/>
      </c>
      <c r="Z1044" s="12" t="inlineStr"/>
      <c r="AA1044" s="12">
        <f>N1044*O1044</f>
        <v/>
      </c>
    </row>
    <row r="1045">
      <c r="A1045" s="12" t="inlineStr">
        <is>
          <t>A-I-0323</t>
        </is>
      </c>
      <c r="B1045" s="12" t="inlineStr">
        <is>
          <t>A</t>
        </is>
      </c>
      <c r="C1045" s="12" t="inlineStr">
        <is>
          <t>Power block</t>
        </is>
      </c>
      <c r="D1045" s="12" t="inlineStr">
        <is>
          <t>Discrete device to JB JB-GTG-2-DI01: 20 x 1 pr (field cables)</t>
        </is>
      </c>
      <c r="E1045" s="12" t="inlineStr">
        <is>
          <t>GTG-2</t>
        </is>
      </c>
      <c r="F1045" s="12" t="inlineStr">
        <is>
          <t>GTG-2: GT generator</t>
        </is>
      </c>
      <c r="G1045" s="12" t="inlineStr">
        <is>
          <t>JB-GTG-2-DI01</t>
        </is>
      </c>
      <c r="H1045" s="12" t="inlineStr">
        <is>
          <t>GTG-2: GT generator</t>
        </is>
      </c>
      <c r="I1045" s="12" t="inlineStr">
        <is>
          <t>Instrumentation</t>
        </is>
      </c>
      <c r="J1045" s="12" t="inlineStr">
        <is>
          <t>Instrumentation PLTC / TC-ER 300 V, #18 twisted shielded pairs, overall shield</t>
        </is>
      </c>
      <c r="K1045" s="12" t="inlineStr">
        <is>
          <t>PLTC|1 pr|16</t>
        </is>
      </c>
      <c r="L1045" s="12" t="inlineStr">
        <is>
          <t>1 pr</t>
        </is>
      </c>
      <c r="M1045" s="12" t="inlineStr">
        <is>
          <t>16</t>
        </is>
      </c>
      <c r="N1045" s="12" t="n">
        <v>20</v>
      </c>
      <c r="O1045" s="12" t="n">
        <v>1</v>
      </c>
      <c r="P1045" s="12" t="n"/>
      <c r="Q1045" s="12" t="n"/>
      <c r="R1045" s="12" t="n"/>
      <c r="S1045" s="12" t="inlineStr">
        <is>
          <t>Tray / conduit</t>
        </is>
      </c>
      <c r="T1045" s="16" t="n">
        <v>70</v>
      </c>
      <c r="U1045" s="16" t="n">
        <v>10</v>
      </c>
      <c r="V1045" s="16">
        <f>ROUNDUP((T1045+U1045+2*'Read Me'!$B$13)*(1+'Read Me'!$B$12),-1)</f>
        <v/>
      </c>
      <c r="W1045" s="16">
        <f>V1045*N1045*O1045</f>
        <v/>
      </c>
      <c r="X1045" s="12">
        <f>IF(LEFT(I1045,2)="MV",2*N1045*IF(L1045="1/C",O1045,1),0)</f>
        <v/>
      </c>
      <c r="Y1045" s="12">
        <f>IF(OR(LEFT(K1045,4)="LVAX",LEFT(K1045,6)="MV15AX",LEFT(K1045,4)="CTAX",LEFT(K1045,2)="W|"),2*N1045*O1045,0)</f>
        <v/>
      </c>
      <c r="Z1045" s="12" t="inlineStr">
        <is>
          <t>device-to-JB field wiring, one cable per device</t>
        </is>
      </c>
      <c r="AA1045" s="12">
        <f>N1045*O1045</f>
        <v/>
      </c>
    </row>
    <row r="1046">
      <c r="A1046" s="12" t="inlineStr">
        <is>
          <t>A-I-0324</t>
        </is>
      </c>
      <c r="B1046" s="12" t="inlineStr">
        <is>
          <t>A</t>
        </is>
      </c>
      <c r="C1046" s="12" t="inlineStr">
        <is>
          <t>Power block</t>
        </is>
      </c>
      <c r="D1046" s="12" t="inlineStr">
        <is>
          <t>Home run JB-GTG-2-DI01 to the control / marshalling room</t>
        </is>
      </c>
      <c r="E1046" s="12" t="inlineStr">
        <is>
          <t>R2B</t>
        </is>
      </c>
      <c r="F1046" s="12" t="inlineStr">
        <is>
          <t>R2B: unit / HRSG electrical e-house (32 x 40 ft)</t>
        </is>
      </c>
      <c r="G1046" s="12" t="inlineStr">
        <is>
          <t>JB-GTG-2-DI01</t>
        </is>
      </c>
      <c r="H1046" s="12" t="inlineStr">
        <is>
          <t>GTG-2: GT generator</t>
        </is>
      </c>
      <c r="I1046" s="12" t="inlineStr">
        <is>
          <t>Instrumentation</t>
        </is>
      </c>
      <c r="J1046" s="12" t="inlineStr">
        <is>
          <t>Instrumentation PLTC / TC-ER 300 V, #18 twisted shielded pairs, overall shield</t>
        </is>
      </c>
      <c r="K1046" s="12" t="inlineStr">
        <is>
          <t>PLTC|24 pr|18</t>
        </is>
      </c>
      <c r="L1046" s="12" t="inlineStr">
        <is>
          <t>24 pr</t>
        </is>
      </c>
      <c r="M1046" s="12" t="inlineStr">
        <is>
          <t>18</t>
        </is>
      </c>
      <c r="N1046" s="12" t="n">
        <v>1</v>
      </c>
      <c r="O1046" s="12" t="n">
        <v>1</v>
      </c>
      <c r="P1046" s="12" t="n"/>
      <c r="Q1046" s="12" t="n"/>
      <c r="R1046" s="12" t="n"/>
      <c r="S1046" s="12" t="inlineStr">
        <is>
          <t>Tray</t>
        </is>
      </c>
      <c r="T1046" s="16" t="n">
        <v>1241</v>
      </c>
      <c r="U1046" s="16" t="n">
        <v>217</v>
      </c>
      <c r="V1046" s="16">
        <f>ROUNDUP((T1046+U1046+2*'Read Me'!$B$13)*(1+'Read Me'!$B$12),-1)</f>
        <v/>
      </c>
      <c r="W1046" s="16">
        <f>V1046*N1046*O1046</f>
        <v/>
      </c>
      <c r="X1046" s="12">
        <f>IF(LEFT(I1046,2)="MV",2*N1046*IF(L1046="1/C",O1046,1),0)</f>
        <v/>
      </c>
      <c r="Y1046" s="12">
        <f>IF(OR(LEFT(K1046,4)="LVAX",LEFT(K1046,6)="MV15AX",LEFT(K1046,4)="CTAX",LEFT(K1046,2)="W|"),2*N1046*O1046,0)</f>
        <v/>
      </c>
      <c r="Z1046" s="12" t="inlineStr"/>
      <c r="AA1046" s="12">
        <f>N1046*O1046</f>
        <v/>
      </c>
    </row>
    <row r="1047">
      <c r="A1047" s="12" t="inlineStr">
        <is>
          <t>A-I-0325</t>
        </is>
      </c>
      <c r="B1047" s="12" t="inlineStr">
        <is>
          <t>A</t>
        </is>
      </c>
      <c r="C1047" s="12" t="inlineStr">
        <is>
          <t>Power block</t>
        </is>
      </c>
      <c r="D1047" s="12" t="inlineStr">
        <is>
          <t>RTD to JB JB-GTG-2-RTD01: 10 x 1 tri (field cables)</t>
        </is>
      </c>
      <c r="E1047" s="12" t="inlineStr">
        <is>
          <t>GTG-2</t>
        </is>
      </c>
      <c r="F1047" s="12" t="inlineStr">
        <is>
          <t>GTG-2: GT generator</t>
        </is>
      </c>
      <c r="G1047" s="12" t="inlineStr">
        <is>
          <t>JB-GTG-2-RTD01</t>
        </is>
      </c>
      <c r="H1047" s="12" t="inlineStr">
        <is>
          <t>GTG-2: GT generator</t>
        </is>
      </c>
      <c r="I1047" s="12" t="inlineStr">
        <is>
          <t>Instrumentation</t>
        </is>
      </c>
      <c r="J1047" s="12" t="inlineStr">
        <is>
          <t>RTD cable, #18 shielded triads, PLTC</t>
        </is>
      </c>
      <c r="K1047" s="12" t="inlineStr">
        <is>
          <t>RTD|1 tri|18</t>
        </is>
      </c>
      <c r="L1047" s="12" t="inlineStr">
        <is>
          <t>1 tri</t>
        </is>
      </c>
      <c r="M1047" s="12" t="inlineStr">
        <is>
          <t>18</t>
        </is>
      </c>
      <c r="N1047" s="12" t="n">
        <v>10</v>
      </c>
      <c r="O1047" s="12" t="n">
        <v>1</v>
      </c>
      <c r="P1047" s="12" t="n"/>
      <c r="Q1047" s="12" t="n"/>
      <c r="R1047" s="12" t="n"/>
      <c r="S1047" s="12" t="inlineStr">
        <is>
          <t>Tray / conduit</t>
        </is>
      </c>
      <c r="T1047" s="16" t="n">
        <v>70</v>
      </c>
      <c r="U1047" s="16" t="n">
        <v>10</v>
      </c>
      <c r="V1047" s="16">
        <f>ROUNDUP((T1047+U1047+2*'Read Me'!$B$13)*(1+'Read Me'!$B$12),-1)</f>
        <v/>
      </c>
      <c r="W1047" s="16">
        <f>V1047*N1047*O1047</f>
        <v/>
      </c>
      <c r="X1047" s="12">
        <f>IF(LEFT(I1047,2)="MV",2*N1047*IF(L1047="1/C",O1047,1),0)</f>
        <v/>
      </c>
      <c r="Y1047" s="12">
        <f>IF(OR(LEFT(K1047,4)="LVAX",LEFT(K1047,6)="MV15AX",LEFT(K1047,4)="CTAX",LEFT(K1047,2)="W|"),2*N1047*O1047,0)</f>
        <v/>
      </c>
      <c r="Z1047" s="12" t="inlineStr">
        <is>
          <t>device-to-JB field wiring, one cable per device</t>
        </is>
      </c>
      <c r="AA1047" s="12">
        <f>N1047*O1047</f>
        <v/>
      </c>
    </row>
    <row r="1048">
      <c r="A1048" s="12" t="inlineStr">
        <is>
          <t>A-I-0326</t>
        </is>
      </c>
      <c r="B1048" s="12" t="inlineStr">
        <is>
          <t>A</t>
        </is>
      </c>
      <c r="C1048" s="12" t="inlineStr">
        <is>
          <t>Power block</t>
        </is>
      </c>
      <c r="D1048" s="12" t="inlineStr">
        <is>
          <t>Home run JB-GTG-2-RTD01 to the control / marshalling room</t>
        </is>
      </c>
      <c r="E1048" s="12" t="inlineStr">
        <is>
          <t>R2B</t>
        </is>
      </c>
      <c r="F1048" s="12" t="inlineStr">
        <is>
          <t>R2B: unit / HRSG electrical e-house (32 x 40 ft)</t>
        </is>
      </c>
      <c r="G1048" s="12" t="inlineStr">
        <is>
          <t>JB-GTG-2-RTD01</t>
        </is>
      </c>
      <c r="H1048" s="12" t="inlineStr">
        <is>
          <t>GTG-2: GT generator</t>
        </is>
      </c>
      <c r="I1048" s="12" t="inlineStr">
        <is>
          <t>Instrumentation</t>
        </is>
      </c>
      <c r="J1048" s="12" t="inlineStr">
        <is>
          <t>RTD cable, #18 shielded triads, PLTC</t>
        </is>
      </c>
      <c r="K1048" s="12" t="inlineStr">
        <is>
          <t>RTD|12 tri|18</t>
        </is>
      </c>
      <c r="L1048" s="12" t="inlineStr">
        <is>
          <t>12 tri</t>
        </is>
      </c>
      <c r="M1048" s="12" t="inlineStr">
        <is>
          <t>18</t>
        </is>
      </c>
      <c r="N1048" s="12" t="n">
        <v>1</v>
      </c>
      <c r="O1048" s="12" t="n">
        <v>1</v>
      </c>
      <c r="P1048" s="12" t="n"/>
      <c r="Q1048" s="12" t="n"/>
      <c r="R1048" s="12" t="n"/>
      <c r="S1048" s="12" t="inlineStr">
        <is>
          <t>Tray</t>
        </is>
      </c>
      <c r="T1048" s="16" t="n">
        <v>1241</v>
      </c>
      <c r="U1048" s="16" t="n">
        <v>217</v>
      </c>
      <c r="V1048" s="16">
        <f>ROUNDUP((T1048+U1048+2*'Read Me'!$B$13)*(1+'Read Me'!$B$12),-1)</f>
        <v/>
      </c>
      <c r="W1048" s="16">
        <f>V1048*N1048*O1048</f>
        <v/>
      </c>
      <c r="X1048" s="12">
        <f>IF(LEFT(I1048,2)="MV",2*N1048*IF(L1048="1/C",O1048,1),0)</f>
        <v/>
      </c>
      <c r="Y1048" s="12">
        <f>IF(OR(LEFT(K1048,4)="LVAX",LEFT(K1048,6)="MV15AX",LEFT(K1048,4)="CTAX",LEFT(K1048,2)="W|"),2*N1048*O1048,0)</f>
        <v/>
      </c>
      <c r="Z1048" s="12" t="inlineStr"/>
      <c r="AA1048" s="12">
        <f>N1048*O1048</f>
        <v/>
      </c>
    </row>
    <row r="1049">
      <c r="A1049" s="12" t="inlineStr">
        <is>
          <t>A-I-0327</t>
        </is>
      </c>
      <c r="B1049" s="12" t="inlineStr">
        <is>
          <t>A</t>
        </is>
      </c>
      <c r="C1049" s="12" t="inlineStr">
        <is>
          <t>Power block</t>
        </is>
      </c>
      <c r="D1049" s="12" t="inlineStr">
        <is>
          <t>RTD to JB JB-GTG-2-RTD02: 10 x 1 tri (field cables)</t>
        </is>
      </c>
      <c r="E1049" s="12" t="inlineStr">
        <is>
          <t>GTG-2</t>
        </is>
      </c>
      <c r="F1049" s="12" t="inlineStr">
        <is>
          <t>GTG-2: GT generator</t>
        </is>
      </c>
      <c r="G1049" s="12" t="inlineStr">
        <is>
          <t>JB-GTG-2-RTD02</t>
        </is>
      </c>
      <c r="H1049" s="12" t="inlineStr">
        <is>
          <t>GTG-2: GT generator</t>
        </is>
      </c>
      <c r="I1049" s="12" t="inlineStr">
        <is>
          <t>Instrumentation</t>
        </is>
      </c>
      <c r="J1049" s="12" t="inlineStr">
        <is>
          <t>RTD cable, #18 shielded triads, PLTC</t>
        </is>
      </c>
      <c r="K1049" s="12" t="inlineStr">
        <is>
          <t>RTD|1 tri|18</t>
        </is>
      </c>
      <c r="L1049" s="12" t="inlineStr">
        <is>
          <t>1 tri</t>
        </is>
      </c>
      <c r="M1049" s="12" t="inlineStr">
        <is>
          <t>18</t>
        </is>
      </c>
      <c r="N1049" s="12" t="n">
        <v>10</v>
      </c>
      <c r="O1049" s="12" t="n">
        <v>1</v>
      </c>
      <c r="P1049" s="12" t="n"/>
      <c r="Q1049" s="12" t="n"/>
      <c r="R1049" s="12" t="n"/>
      <c r="S1049" s="12" t="inlineStr">
        <is>
          <t>Tray / conduit</t>
        </is>
      </c>
      <c r="T1049" s="16" t="n">
        <v>70</v>
      </c>
      <c r="U1049" s="16" t="n">
        <v>10</v>
      </c>
      <c r="V1049" s="16">
        <f>ROUNDUP((T1049+U1049+2*'Read Me'!$B$13)*(1+'Read Me'!$B$12),-1)</f>
        <v/>
      </c>
      <c r="W1049" s="16">
        <f>V1049*N1049*O1049</f>
        <v/>
      </c>
      <c r="X1049" s="12">
        <f>IF(LEFT(I1049,2)="MV",2*N1049*IF(L1049="1/C",O1049,1),0)</f>
        <v/>
      </c>
      <c r="Y1049" s="12">
        <f>IF(OR(LEFT(K1049,4)="LVAX",LEFT(K1049,6)="MV15AX",LEFT(K1049,4)="CTAX",LEFT(K1049,2)="W|"),2*N1049*O1049,0)</f>
        <v/>
      </c>
      <c r="Z1049" s="12" t="inlineStr">
        <is>
          <t>device-to-JB field wiring, one cable per device</t>
        </is>
      </c>
      <c r="AA1049" s="12">
        <f>N1049*O1049</f>
        <v/>
      </c>
    </row>
    <row r="1050">
      <c r="A1050" s="12" t="inlineStr">
        <is>
          <t>A-I-0328</t>
        </is>
      </c>
      <c r="B1050" s="12" t="inlineStr">
        <is>
          <t>A</t>
        </is>
      </c>
      <c r="C1050" s="12" t="inlineStr">
        <is>
          <t>Power block</t>
        </is>
      </c>
      <c r="D1050" s="12" t="inlineStr">
        <is>
          <t>Home run JB-GTG-2-RTD02 to the control / marshalling room</t>
        </is>
      </c>
      <c r="E1050" s="12" t="inlineStr">
        <is>
          <t>R2B</t>
        </is>
      </c>
      <c r="F1050" s="12" t="inlineStr">
        <is>
          <t>R2B: unit / HRSG electrical e-house (32 x 40 ft)</t>
        </is>
      </c>
      <c r="G1050" s="12" t="inlineStr">
        <is>
          <t>JB-GTG-2-RTD02</t>
        </is>
      </c>
      <c r="H1050" s="12" t="inlineStr">
        <is>
          <t>GTG-2: GT generator</t>
        </is>
      </c>
      <c r="I1050" s="12" t="inlineStr">
        <is>
          <t>Instrumentation</t>
        </is>
      </c>
      <c r="J1050" s="12" t="inlineStr">
        <is>
          <t>RTD cable, #18 shielded triads, PLTC</t>
        </is>
      </c>
      <c r="K1050" s="12" t="inlineStr">
        <is>
          <t>RTD|12 tri|18</t>
        </is>
      </c>
      <c r="L1050" s="12" t="inlineStr">
        <is>
          <t>12 tri</t>
        </is>
      </c>
      <c r="M1050" s="12" t="inlineStr">
        <is>
          <t>18</t>
        </is>
      </c>
      <c r="N1050" s="12" t="n">
        <v>1</v>
      </c>
      <c r="O1050" s="12" t="n">
        <v>1</v>
      </c>
      <c r="P1050" s="12" t="n"/>
      <c r="Q1050" s="12" t="n"/>
      <c r="R1050" s="12" t="n"/>
      <c r="S1050" s="12" t="inlineStr">
        <is>
          <t>Tray</t>
        </is>
      </c>
      <c r="T1050" s="16" t="n">
        <v>1241</v>
      </c>
      <c r="U1050" s="16" t="n">
        <v>217</v>
      </c>
      <c r="V1050" s="16">
        <f>ROUNDUP((T1050+U1050+2*'Read Me'!$B$13)*(1+'Read Me'!$B$12),-1)</f>
        <v/>
      </c>
      <c r="W1050" s="16">
        <f>V1050*N1050*O1050</f>
        <v/>
      </c>
      <c r="X1050" s="12">
        <f>IF(LEFT(I1050,2)="MV",2*N1050*IF(L1050="1/C",O1050,1),0)</f>
        <v/>
      </c>
      <c r="Y1050" s="12">
        <f>IF(OR(LEFT(K1050,4)="LVAX",LEFT(K1050,6)="MV15AX",LEFT(K1050,4)="CTAX",LEFT(K1050,2)="W|"),2*N1050*O1050,0)</f>
        <v/>
      </c>
      <c r="Z1050" s="12" t="inlineStr"/>
      <c r="AA1050" s="12">
        <f>N1050*O1050</f>
        <v/>
      </c>
    </row>
    <row r="1051">
      <c r="A1051" s="12" t="inlineStr">
        <is>
          <t>A-I-0329</t>
        </is>
      </c>
      <c r="B1051" s="12" t="inlineStr">
        <is>
          <t>A</t>
        </is>
      </c>
      <c r="C1051" s="12" t="inlineStr">
        <is>
          <t>Power block</t>
        </is>
      </c>
      <c r="D1051" s="12" t="inlineStr">
        <is>
          <t>RTD to JB JB-GTG-2-RTD03: 4 x 1 tri (field cables)</t>
        </is>
      </c>
      <c r="E1051" s="12" t="inlineStr">
        <is>
          <t>GTG-2</t>
        </is>
      </c>
      <c r="F1051" s="12" t="inlineStr">
        <is>
          <t>GTG-2: GT generator</t>
        </is>
      </c>
      <c r="G1051" s="12" t="inlineStr">
        <is>
          <t>JB-GTG-2-RTD03</t>
        </is>
      </c>
      <c r="H1051" s="12" t="inlineStr">
        <is>
          <t>GTG-2: GT generator</t>
        </is>
      </c>
      <c r="I1051" s="12" t="inlineStr">
        <is>
          <t>Instrumentation</t>
        </is>
      </c>
      <c r="J1051" s="12" t="inlineStr">
        <is>
          <t>RTD cable, #18 shielded triads, PLTC</t>
        </is>
      </c>
      <c r="K1051" s="12" t="inlineStr">
        <is>
          <t>RTD|1 tri|18</t>
        </is>
      </c>
      <c r="L1051" s="12" t="inlineStr">
        <is>
          <t>1 tri</t>
        </is>
      </c>
      <c r="M1051" s="12" t="inlineStr">
        <is>
          <t>18</t>
        </is>
      </c>
      <c r="N1051" s="12" t="n">
        <v>4</v>
      </c>
      <c r="O1051" s="12" t="n">
        <v>1</v>
      </c>
      <c r="P1051" s="12" t="n"/>
      <c r="Q1051" s="12" t="n"/>
      <c r="R1051" s="12" t="n"/>
      <c r="S1051" s="12" t="inlineStr">
        <is>
          <t>Tray / conduit</t>
        </is>
      </c>
      <c r="T1051" s="16" t="n">
        <v>70</v>
      </c>
      <c r="U1051" s="16" t="n">
        <v>10</v>
      </c>
      <c r="V1051" s="16">
        <f>ROUNDUP((T1051+U1051+2*'Read Me'!$B$13)*(1+'Read Me'!$B$12),-1)</f>
        <v/>
      </c>
      <c r="W1051" s="16">
        <f>V1051*N1051*O1051</f>
        <v/>
      </c>
      <c r="X1051" s="12">
        <f>IF(LEFT(I1051,2)="MV",2*N1051*IF(L1051="1/C",O1051,1),0)</f>
        <v/>
      </c>
      <c r="Y1051" s="12">
        <f>IF(OR(LEFT(K1051,4)="LVAX",LEFT(K1051,6)="MV15AX",LEFT(K1051,4)="CTAX",LEFT(K1051,2)="W|"),2*N1051*O1051,0)</f>
        <v/>
      </c>
      <c r="Z1051" s="12" t="inlineStr">
        <is>
          <t>device-to-JB field wiring, one cable per device</t>
        </is>
      </c>
      <c r="AA1051" s="12">
        <f>N1051*O1051</f>
        <v/>
      </c>
    </row>
    <row r="1052">
      <c r="A1052" s="12" t="inlineStr">
        <is>
          <t>A-I-0330</t>
        </is>
      </c>
      <c r="B1052" s="12" t="inlineStr">
        <is>
          <t>A</t>
        </is>
      </c>
      <c r="C1052" s="12" t="inlineStr">
        <is>
          <t>Power block</t>
        </is>
      </c>
      <c r="D1052" s="12" t="inlineStr">
        <is>
          <t>Home run JB-GTG-2-RTD03 to the control / marshalling room</t>
        </is>
      </c>
      <c r="E1052" s="12" t="inlineStr">
        <is>
          <t>R2B</t>
        </is>
      </c>
      <c r="F1052" s="12" t="inlineStr">
        <is>
          <t>R2B: unit / HRSG electrical e-house (32 x 40 ft)</t>
        </is>
      </c>
      <c r="G1052" s="12" t="inlineStr">
        <is>
          <t>JB-GTG-2-RTD03</t>
        </is>
      </c>
      <c r="H1052" s="12" t="inlineStr">
        <is>
          <t>GTG-2: GT generator</t>
        </is>
      </c>
      <c r="I1052" s="12" t="inlineStr">
        <is>
          <t>Instrumentation</t>
        </is>
      </c>
      <c r="J1052" s="12" t="inlineStr">
        <is>
          <t>RTD cable, #18 shielded triads, PLTC</t>
        </is>
      </c>
      <c r="K1052" s="12" t="inlineStr">
        <is>
          <t>RTD|12 tri|18</t>
        </is>
      </c>
      <c r="L1052" s="12" t="inlineStr">
        <is>
          <t>12 tri</t>
        </is>
      </c>
      <c r="M1052" s="12" t="inlineStr">
        <is>
          <t>18</t>
        </is>
      </c>
      <c r="N1052" s="12" t="n">
        <v>1</v>
      </c>
      <c r="O1052" s="12" t="n">
        <v>1</v>
      </c>
      <c r="P1052" s="12" t="n"/>
      <c r="Q1052" s="12" t="n"/>
      <c r="R1052" s="12" t="n"/>
      <c r="S1052" s="12" t="inlineStr">
        <is>
          <t>Tray</t>
        </is>
      </c>
      <c r="T1052" s="16" t="n">
        <v>1241</v>
      </c>
      <c r="U1052" s="16" t="n">
        <v>217</v>
      </c>
      <c r="V1052" s="16">
        <f>ROUNDUP((T1052+U1052+2*'Read Me'!$B$13)*(1+'Read Me'!$B$12),-1)</f>
        <v/>
      </c>
      <c r="W1052" s="16">
        <f>V1052*N1052*O1052</f>
        <v/>
      </c>
      <c r="X1052" s="12">
        <f>IF(LEFT(I1052,2)="MV",2*N1052*IF(L1052="1/C",O1052,1),0)</f>
        <v/>
      </c>
      <c r="Y1052" s="12">
        <f>IF(OR(LEFT(K1052,4)="LVAX",LEFT(K1052,6)="MV15AX",LEFT(K1052,4)="CTAX",LEFT(K1052,2)="W|"),2*N1052*O1052,0)</f>
        <v/>
      </c>
      <c r="Z1052" s="12" t="inlineStr"/>
      <c r="AA1052" s="12">
        <f>N1052*O1052</f>
        <v/>
      </c>
    </row>
    <row r="1053">
      <c r="A1053" s="12" t="inlineStr">
        <is>
          <t>A-I-0331</t>
        </is>
      </c>
      <c r="B1053" s="12" t="inlineStr">
        <is>
          <t>A</t>
        </is>
      </c>
      <c r="C1053" s="12" t="inlineStr">
        <is>
          <t>Power block</t>
        </is>
      </c>
      <c r="D1053" s="12" t="inlineStr">
        <is>
          <t>Vibration monitoring</t>
        </is>
      </c>
      <c r="E1053" s="12" t="inlineStr">
        <is>
          <t>R2B</t>
        </is>
      </c>
      <c r="F1053" s="12" t="inlineStr">
        <is>
          <t>R2B: unit / HRSG electrical e-house (32 x 40 ft)</t>
        </is>
      </c>
      <c r="G1053" s="12" t="inlineStr">
        <is>
          <t>GTG-2</t>
        </is>
      </c>
      <c r="H1053" s="12" t="inlineStr">
        <is>
          <t>GTG-2: GT generator</t>
        </is>
      </c>
      <c r="I1053" s="12" t="inlineStr">
        <is>
          <t>Instrumentation</t>
        </is>
      </c>
      <c r="J1053" s="12" t="inlineStr">
        <is>
          <t>Instrumentation PLTC / TC-ER 300 V, #18 twisted shielded pairs, overall shield</t>
        </is>
      </c>
      <c r="K1053" s="12" t="inlineStr">
        <is>
          <t>PLTC|4 pr|18</t>
        </is>
      </c>
      <c r="L1053" s="12" t="inlineStr">
        <is>
          <t>4 pr</t>
        </is>
      </c>
      <c r="M1053" s="12" t="inlineStr">
        <is>
          <t>18</t>
        </is>
      </c>
      <c r="N1053" s="12" t="n">
        <v>1</v>
      </c>
      <c r="O1053" s="12" t="n">
        <v>1</v>
      </c>
      <c r="P1053" s="12" t="n"/>
      <c r="Q1053" s="12" t="n"/>
      <c r="R1053" s="12" t="n"/>
      <c r="S1053" s="12" t="inlineStr">
        <is>
          <t>Tray</t>
        </is>
      </c>
      <c r="T1053" s="16" t="n">
        <v>1241</v>
      </c>
      <c r="U1053" s="16" t="n">
        <v>217</v>
      </c>
      <c r="V1053" s="16">
        <f>ROUNDUP((T1053+U1053+2*'Read Me'!$B$13)*(1+'Read Me'!$B$12),-1)</f>
        <v/>
      </c>
      <c r="W1053" s="16">
        <f>V1053*N1053*O1053</f>
        <v/>
      </c>
      <c r="X1053" s="12">
        <f>IF(LEFT(I1053,2)="MV",2*N1053*IF(L1053="1/C",O1053,1),0)</f>
        <v/>
      </c>
      <c r="Y1053" s="12">
        <f>IF(OR(LEFT(K1053,4)="LVAX",LEFT(K1053,6)="MV15AX",LEFT(K1053,4)="CTAX",LEFT(K1053,2)="W|"),2*N1053*O1053,0)</f>
        <v/>
      </c>
      <c r="Z1053" s="12" t="inlineStr"/>
      <c r="AA1053" s="12">
        <f>N1053*O1053</f>
        <v/>
      </c>
    </row>
    <row r="1054">
      <c r="A1054" s="12" t="inlineStr">
        <is>
          <t>A-I-0332</t>
        </is>
      </c>
      <c r="B1054" s="12" t="inlineStr">
        <is>
          <t>A</t>
        </is>
      </c>
      <c r="C1054" s="12" t="inlineStr">
        <is>
          <t>Power block</t>
        </is>
      </c>
      <c r="D1054" s="12" t="inlineStr">
        <is>
          <t>Analog instrument to JB JB-GTG-3-AI01: 20 x 1 pr (field cables)</t>
        </is>
      </c>
      <c r="E1054" s="12" t="inlineStr">
        <is>
          <t>GTG-3</t>
        </is>
      </c>
      <c r="F1054" s="12" t="inlineStr">
        <is>
          <t>GTG-3: GT generator</t>
        </is>
      </c>
      <c r="G1054" s="12" t="inlineStr">
        <is>
          <t>JB-GTG-3-AI01</t>
        </is>
      </c>
      <c r="H1054" s="12" t="inlineStr">
        <is>
          <t>GTG-3: GT generator</t>
        </is>
      </c>
      <c r="I1054" s="12" t="inlineStr">
        <is>
          <t>Instrumentation</t>
        </is>
      </c>
      <c r="J1054" s="12" t="inlineStr">
        <is>
          <t>Instrumentation PLTC / TC-ER 300 V, #18 twisted shielded pairs, overall shield</t>
        </is>
      </c>
      <c r="K1054" s="12" t="inlineStr">
        <is>
          <t>PLTC|1 pr|16</t>
        </is>
      </c>
      <c r="L1054" s="12" t="inlineStr">
        <is>
          <t>1 pr</t>
        </is>
      </c>
      <c r="M1054" s="12" t="inlineStr">
        <is>
          <t>16</t>
        </is>
      </c>
      <c r="N1054" s="12" t="n">
        <v>20</v>
      </c>
      <c r="O1054" s="12" t="n">
        <v>1</v>
      </c>
      <c r="P1054" s="12" t="n"/>
      <c r="Q1054" s="12" t="n"/>
      <c r="R1054" s="12" t="n"/>
      <c r="S1054" s="12" t="inlineStr">
        <is>
          <t>Tray / conduit</t>
        </is>
      </c>
      <c r="T1054" s="16" t="n">
        <v>70</v>
      </c>
      <c r="U1054" s="16" t="n">
        <v>10</v>
      </c>
      <c r="V1054" s="16">
        <f>ROUNDUP((T1054+U1054+2*'Read Me'!$B$13)*(1+'Read Me'!$B$12),-1)</f>
        <v/>
      </c>
      <c r="W1054" s="16">
        <f>V1054*N1054*O1054</f>
        <v/>
      </c>
      <c r="X1054" s="12">
        <f>IF(LEFT(I1054,2)="MV",2*N1054*IF(L1054="1/C",O1054,1),0)</f>
        <v/>
      </c>
      <c r="Y1054" s="12">
        <f>IF(OR(LEFT(K1054,4)="LVAX",LEFT(K1054,6)="MV15AX",LEFT(K1054,4)="CTAX",LEFT(K1054,2)="W|"),2*N1054*O1054,0)</f>
        <v/>
      </c>
      <c r="Z1054" s="12" t="inlineStr">
        <is>
          <t>device-to-JB field wiring, one cable per device</t>
        </is>
      </c>
      <c r="AA1054" s="12">
        <f>N1054*O1054</f>
        <v/>
      </c>
    </row>
    <row r="1055">
      <c r="A1055" s="12" t="inlineStr">
        <is>
          <t>A-I-0333</t>
        </is>
      </c>
      <c r="B1055" s="12" t="inlineStr">
        <is>
          <t>A</t>
        </is>
      </c>
      <c r="C1055" s="12" t="inlineStr">
        <is>
          <t>Power block</t>
        </is>
      </c>
      <c r="D1055" s="12" t="inlineStr">
        <is>
          <t>Home run JB-GTG-3-AI01 to the control / marshalling room</t>
        </is>
      </c>
      <c r="E1055" s="12" t="inlineStr">
        <is>
          <t>R2C</t>
        </is>
      </c>
      <c r="F1055" s="12" t="inlineStr">
        <is>
          <t>R2C: unit / HRSG electrical e-house (32 x 40 ft)</t>
        </is>
      </c>
      <c r="G1055" s="12" t="inlineStr">
        <is>
          <t>JB-GTG-3-AI01</t>
        </is>
      </c>
      <c r="H1055" s="12" t="inlineStr">
        <is>
          <t>GTG-3: GT generator</t>
        </is>
      </c>
      <c r="I1055" s="12" t="inlineStr">
        <is>
          <t>Instrumentation</t>
        </is>
      </c>
      <c r="J1055" s="12" t="inlineStr">
        <is>
          <t>Instrumentation PLTC / TC-ER 300 V, #18 twisted shielded pairs, overall shield</t>
        </is>
      </c>
      <c r="K1055" s="12" t="inlineStr">
        <is>
          <t>PLTC|24 pr|18</t>
        </is>
      </c>
      <c r="L1055" s="12" t="inlineStr">
        <is>
          <t>24 pr</t>
        </is>
      </c>
      <c r="M1055" s="12" t="inlineStr">
        <is>
          <t>18</t>
        </is>
      </c>
      <c r="N1055" s="12" t="n">
        <v>1</v>
      </c>
      <c r="O1055" s="12" t="n">
        <v>1</v>
      </c>
      <c r="P1055" s="12" t="n"/>
      <c r="Q1055" s="12" t="n"/>
      <c r="R1055" s="12" t="n"/>
      <c r="S1055" s="12" t="inlineStr">
        <is>
          <t>Duct bank</t>
        </is>
      </c>
      <c r="T1055" s="16" t="n">
        <v>1193</v>
      </c>
      <c r="U1055" s="16" t="n">
        <v>117</v>
      </c>
      <c r="V1055" s="16">
        <f>ROUNDUP((T1055+U1055+2*'Read Me'!$B$13)*(1+'Read Me'!$B$12),-1)</f>
        <v/>
      </c>
      <c r="W1055" s="16">
        <f>V1055*N1055*O1055</f>
        <v/>
      </c>
      <c r="X1055" s="12">
        <f>IF(LEFT(I1055,2)="MV",2*N1055*IF(L1055="1/C",O1055,1),0)</f>
        <v/>
      </c>
      <c r="Y1055" s="12">
        <f>IF(OR(LEFT(K1055,4)="LVAX",LEFT(K1055,6)="MV15AX",LEFT(K1055,4)="CTAX",LEFT(K1055,2)="W|"),2*N1055*O1055,0)</f>
        <v/>
      </c>
      <c r="Z1055" s="12" t="inlineStr"/>
      <c r="AA1055" s="12">
        <f>N1055*O1055</f>
        <v/>
      </c>
    </row>
    <row r="1056">
      <c r="A1056" s="12" t="inlineStr">
        <is>
          <t>A-I-0334</t>
        </is>
      </c>
      <c r="B1056" s="12" t="inlineStr">
        <is>
          <t>A</t>
        </is>
      </c>
      <c r="C1056" s="12" t="inlineStr">
        <is>
          <t>Power block</t>
        </is>
      </c>
      <c r="D1056" s="12" t="inlineStr">
        <is>
          <t>Discrete device to JB JB-GTG-3-DI01: 20 x 1 pr (field cables)</t>
        </is>
      </c>
      <c r="E1056" s="12" t="inlineStr">
        <is>
          <t>GTG-3</t>
        </is>
      </c>
      <c r="F1056" s="12" t="inlineStr">
        <is>
          <t>GTG-3: GT generator</t>
        </is>
      </c>
      <c r="G1056" s="12" t="inlineStr">
        <is>
          <t>JB-GTG-3-DI01</t>
        </is>
      </c>
      <c r="H1056" s="12" t="inlineStr">
        <is>
          <t>GTG-3: GT generator</t>
        </is>
      </c>
      <c r="I1056" s="12" t="inlineStr">
        <is>
          <t>Instrumentation</t>
        </is>
      </c>
      <c r="J1056" s="12" t="inlineStr">
        <is>
          <t>Instrumentation PLTC / TC-ER 300 V, #18 twisted shielded pairs, overall shield</t>
        </is>
      </c>
      <c r="K1056" s="12" t="inlineStr">
        <is>
          <t>PLTC|1 pr|16</t>
        </is>
      </c>
      <c r="L1056" s="12" t="inlineStr">
        <is>
          <t>1 pr</t>
        </is>
      </c>
      <c r="M1056" s="12" t="inlineStr">
        <is>
          <t>16</t>
        </is>
      </c>
      <c r="N1056" s="12" t="n">
        <v>20</v>
      </c>
      <c r="O1056" s="12" t="n">
        <v>1</v>
      </c>
      <c r="P1056" s="12" t="n"/>
      <c r="Q1056" s="12" t="n"/>
      <c r="R1056" s="12" t="n"/>
      <c r="S1056" s="12" t="inlineStr">
        <is>
          <t>Tray / conduit</t>
        </is>
      </c>
      <c r="T1056" s="16" t="n">
        <v>70</v>
      </c>
      <c r="U1056" s="16" t="n">
        <v>10</v>
      </c>
      <c r="V1056" s="16">
        <f>ROUNDUP((T1056+U1056+2*'Read Me'!$B$13)*(1+'Read Me'!$B$12),-1)</f>
        <v/>
      </c>
      <c r="W1056" s="16">
        <f>V1056*N1056*O1056</f>
        <v/>
      </c>
      <c r="X1056" s="12">
        <f>IF(LEFT(I1056,2)="MV",2*N1056*IF(L1056="1/C",O1056,1),0)</f>
        <v/>
      </c>
      <c r="Y1056" s="12">
        <f>IF(OR(LEFT(K1056,4)="LVAX",LEFT(K1056,6)="MV15AX",LEFT(K1056,4)="CTAX",LEFT(K1056,2)="W|"),2*N1056*O1056,0)</f>
        <v/>
      </c>
      <c r="Z1056" s="12" t="inlineStr">
        <is>
          <t>device-to-JB field wiring, one cable per device</t>
        </is>
      </c>
      <c r="AA1056" s="12">
        <f>N1056*O1056</f>
        <v/>
      </c>
    </row>
    <row r="1057">
      <c r="A1057" s="12" t="inlineStr">
        <is>
          <t>A-I-0335</t>
        </is>
      </c>
      <c r="B1057" s="12" t="inlineStr">
        <is>
          <t>A</t>
        </is>
      </c>
      <c r="C1057" s="12" t="inlineStr">
        <is>
          <t>Power block</t>
        </is>
      </c>
      <c r="D1057" s="12" t="inlineStr">
        <is>
          <t>Home run JB-GTG-3-DI01 to the control / marshalling room</t>
        </is>
      </c>
      <c r="E1057" s="12" t="inlineStr">
        <is>
          <t>R2C</t>
        </is>
      </c>
      <c r="F1057" s="12" t="inlineStr">
        <is>
          <t>R2C: unit / HRSG electrical e-house (32 x 40 ft)</t>
        </is>
      </c>
      <c r="G1057" s="12" t="inlineStr">
        <is>
          <t>JB-GTG-3-DI01</t>
        </is>
      </c>
      <c r="H1057" s="12" t="inlineStr">
        <is>
          <t>GTG-3: GT generator</t>
        </is>
      </c>
      <c r="I1057" s="12" t="inlineStr">
        <is>
          <t>Instrumentation</t>
        </is>
      </c>
      <c r="J1057" s="12" t="inlineStr">
        <is>
          <t>Instrumentation PLTC / TC-ER 300 V, #18 twisted shielded pairs, overall shield</t>
        </is>
      </c>
      <c r="K1057" s="12" t="inlineStr">
        <is>
          <t>PLTC|24 pr|18</t>
        </is>
      </c>
      <c r="L1057" s="12" t="inlineStr">
        <is>
          <t>24 pr</t>
        </is>
      </c>
      <c r="M1057" s="12" t="inlineStr">
        <is>
          <t>18</t>
        </is>
      </c>
      <c r="N1057" s="12" t="n">
        <v>1</v>
      </c>
      <c r="O1057" s="12" t="n">
        <v>1</v>
      </c>
      <c r="P1057" s="12" t="n"/>
      <c r="Q1057" s="12" t="n"/>
      <c r="R1057" s="12" t="n"/>
      <c r="S1057" s="12" t="inlineStr">
        <is>
          <t>Duct bank</t>
        </is>
      </c>
      <c r="T1057" s="16" t="n">
        <v>1193</v>
      </c>
      <c r="U1057" s="16" t="n">
        <v>117</v>
      </c>
      <c r="V1057" s="16">
        <f>ROUNDUP((T1057+U1057+2*'Read Me'!$B$13)*(1+'Read Me'!$B$12),-1)</f>
        <v/>
      </c>
      <c r="W1057" s="16">
        <f>V1057*N1057*O1057</f>
        <v/>
      </c>
      <c r="X1057" s="12">
        <f>IF(LEFT(I1057,2)="MV",2*N1057*IF(L1057="1/C",O1057,1),0)</f>
        <v/>
      </c>
      <c r="Y1057" s="12">
        <f>IF(OR(LEFT(K1057,4)="LVAX",LEFT(K1057,6)="MV15AX",LEFT(K1057,4)="CTAX",LEFT(K1057,2)="W|"),2*N1057*O1057,0)</f>
        <v/>
      </c>
      <c r="Z1057" s="12" t="inlineStr"/>
      <c r="AA1057" s="12">
        <f>N1057*O1057</f>
        <v/>
      </c>
    </row>
    <row r="1058">
      <c r="A1058" s="12" t="inlineStr">
        <is>
          <t>A-I-0336</t>
        </is>
      </c>
      <c r="B1058" s="12" t="inlineStr">
        <is>
          <t>A</t>
        </is>
      </c>
      <c r="C1058" s="12" t="inlineStr">
        <is>
          <t>Power block</t>
        </is>
      </c>
      <c r="D1058" s="12" t="inlineStr">
        <is>
          <t>RTD to JB JB-GTG-3-RTD01: 10 x 1 tri (field cables)</t>
        </is>
      </c>
      <c r="E1058" s="12" t="inlineStr">
        <is>
          <t>GTG-3</t>
        </is>
      </c>
      <c r="F1058" s="12" t="inlineStr">
        <is>
          <t>GTG-3: GT generator</t>
        </is>
      </c>
      <c r="G1058" s="12" t="inlineStr">
        <is>
          <t>JB-GTG-3-RTD01</t>
        </is>
      </c>
      <c r="H1058" s="12" t="inlineStr">
        <is>
          <t>GTG-3: GT generator</t>
        </is>
      </c>
      <c r="I1058" s="12" t="inlineStr">
        <is>
          <t>Instrumentation</t>
        </is>
      </c>
      <c r="J1058" s="12" t="inlineStr">
        <is>
          <t>RTD cable, #18 shielded triads, PLTC</t>
        </is>
      </c>
      <c r="K1058" s="12" t="inlineStr">
        <is>
          <t>RTD|1 tri|18</t>
        </is>
      </c>
      <c r="L1058" s="12" t="inlineStr">
        <is>
          <t>1 tri</t>
        </is>
      </c>
      <c r="M1058" s="12" t="inlineStr">
        <is>
          <t>18</t>
        </is>
      </c>
      <c r="N1058" s="12" t="n">
        <v>10</v>
      </c>
      <c r="O1058" s="12" t="n">
        <v>1</v>
      </c>
      <c r="P1058" s="12" t="n"/>
      <c r="Q1058" s="12" t="n"/>
      <c r="R1058" s="12" t="n"/>
      <c r="S1058" s="12" t="inlineStr">
        <is>
          <t>Tray / conduit</t>
        </is>
      </c>
      <c r="T1058" s="16" t="n">
        <v>70</v>
      </c>
      <c r="U1058" s="16" t="n">
        <v>10</v>
      </c>
      <c r="V1058" s="16">
        <f>ROUNDUP((T1058+U1058+2*'Read Me'!$B$13)*(1+'Read Me'!$B$12),-1)</f>
        <v/>
      </c>
      <c r="W1058" s="16">
        <f>V1058*N1058*O1058</f>
        <v/>
      </c>
      <c r="X1058" s="12">
        <f>IF(LEFT(I1058,2)="MV",2*N1058*IF(L1058="1/C",O1058,1),0)</f>
        <v/>
      </c>
      <c r="Y1058" s="12">
        <f>IF(OR(LEFT(K1058,4)="LVAX",LEFT(K1058,6)="MV15AX",LEFT(K1058,4)="CTAX",LEFT(K1058,2)="W|"),2*N1058*O1058,0)</f>
        <v/>
      </c>
      <c r="Z1058" s="12" t="inlineStr">
        <is>
          <t>device-to-JB field wiring, one cable per device</t>
        </is>
      </c>
      <c r="AA1058" s="12">
        <f>N1058*O1058</f>
        <v/>
      </c>
    </row>
    <row r="1059">
      <c r="A1059" s="12" t="inlineStr">
        <is>
          <t>A-I-0337</t>
        </is>
      </c>
      <c r="B1059" s="12" t="inlineStr">
        <is>
          <t>A</t>
        </is>
      </c>
      <c r="C1059" s="12" t="inlineStr">
        <is>
          <t>Power block</t>
        </is>
      </c>
      <c r="D1059" s="12" t="inlineStr">
        <is>
          <t>Home run JB-GTG-3-RTD01 to the control / marshalling room</t>
        </is>
      </c>
      <c r="E1059" s="12" t="inlineStr">
        <is>
          <t>R2C</t>
        </is>
      </c>
      <c r="F1059" s="12" t="inlineStr">
        <is>
          <t>R2C: unit / HRSG electrical e-house (32 x 40 ft)</t>
        </is>
      </c>
      <c r="G1059" s="12" t="inlineStr">
        <is>
          <t>JB-GTG-3-RTD01</t>
        </is>
      </c>
      <c r="H1059" s="12" t="inlineStr">
        <is>
          <t>GTG-3: GT generator</t>
        </is>
      </c>
      <c r="I1059" s="12" t="inlineStr">
        <is>
          <t>Instrumentation</t>
        </is>
      </c>
      <c r="J1059" s="12" t="inlineStr">
        <is>
          <t>RTD cable, #18 shielded triads, PLTC</t>
        </is>
      </c>
      <c r="K1059" s="12" t="inlineStr">
        <is>
          <t>RTD|12 tri|18</t>
        </is>
      </c>
      <c r="L1059" s="12" t="inlineStr">
        <is>
          <t>12 tri</t>
        </is>
      </c>
      <c r="M1059" s="12" t="inlineStr">
        <is>
          <t>18</t>
        </is>
      </c>
      <c r="N1059" s="12" t="n">
        <v>1</v>
      </c>
      <c r="O1059" s="12" t="n">
        <v>1</v>
      </c>
      <c r="P1059" s="12" t="n"/>
      <c r="Q1059" s="12" t="n"/>
      <c r="R1059" s="12" t="n"/>
      <c r="S1059" s="12" t="inlineStr">
        <is>
          <t>Duct bank</t>
        </is>
      </c>
      <c r="T1059" s="16" t="n">
        <v>1193</v>
      </c>
      <c r="U1059" s="16" t="n">
        <v>117</v>
      </c>
      <c r="V1059" s="16">
        <f>ROUNDUP((T1059+U1059+2*'Read Me'!$B$13)*(1+'Read Me'!$B$12),-1)</f>
        <v/>
      </c>
      <c r="W1059" s="16">
        <f>V1059*N1059*O1059</f>
        <v/>
      </c>
      <c r="X1059" s="12">
        <f>IF(LEFT(I1059,2)="MV",2*N1059*IF(L1059="1/C",O1059,1),0)</f>
        <v/>
      </c>
      <c r="Y1059" s="12">
        <f>IF(OR(LEFT(K1059,4)="LVAX",LEFT(K1059,6)="MV15AX",LEFT(K1059,4)="CTAX",LEFT(K1059,2)="W|"),2*N1059*O1059,0)</f>
        <v/>
      </c>
      <c r="Z1059" s="12" t="inlineStr"/>
      <c r="AA1059" s="12">
        <f>N1059*O1059</f>
        <v/>
      </c>
    </row>
    <row r="1060">
      <c r="A1060" s="12" t="inlineStr">
        <is>
          <t>A-I-0338</t>
        </is>
      </c>
      <c r="B1060" s="12" t="inlineStr">
        <is>
          <t>A</t>
        </is>
      </c>
      <c r="C1060" s="12" t="inlineStr">
        <is>
          <t>Power block</t>
        </is>
      </c>
      <c r="D1060" s="12" t="inlineStr">
        <is>
          <t>RTD to JB JB-GTG-3-RTD02: 10 x 1 tri (field cables)</t>
        </is>
      </c>
      <c r="E1060" s="12" t="inlineStr">
        <is>
          <t>GTG-3</t>
        </is>
      </c>
      <c r="F1060" s="12" t="inlineStr">
        <is>
          <t>GTG-3: GT generator</t>
        </is>
      </c>
      <c r="G1060" s="12" t="inlineStr">
        <is>
          <t>JB-GTG-3-RTD02</t>
        </is>
      </c>
      <c r="H1060" s="12" t="inlineStr">
        <is>
          <t>GTG-3: GT generator</t>
        </is>
      </c>
      <c r="I1060" s="12" t="inlineStr">
        <is>
          <t>Instrumentation</t>
        </is>
      </c>
      <c r="J1060" s="12" t="inlineStr">
        <is>
          <t>RTD cable, #18 shielded triads, PLTC</t>
        </is>
      </c>
      <c r="K1060" s="12" t="inlineStr">
        <is>
          <t>RTD|1 tri|18</t>
        </is>
      </c>
      <c r="L1060" s="12" t="inlineStr">
        <is>
          <t>1 tri</t>
        </is>
      </c>
      <c r="M1060" s="12" t="inlineStr">
        <is>
          <t>18</t>
        </is>
      </c>
      <c r="N1060" s="12" t="n">
        <v>10</v>
      </c>
      <c r="O1060" s="12" t="n">
        <v>1</v>
      </c>
      <c r="P1060" s="12" t="n"/>
      <c r="Q1060" s="12" t="n"/>
      <c r="R1060" s="12" t="n"/>
      <c r="S1060" s="12" t="inlineStr">
        <is>
          <t>Tray / conduit</t>
        </is>
      </c>
      <c r="T1060" s="16" t="n">
        <v>70</v>
      </c>
      <c r="U1060" s="16" t="n">
        <v>10</v>
      </c>
      <c r="V1060" s="16">
        <f>ROUNDUP((T1060+U1060+2*'Read Me'!$B$13)*(1+'Read Me'!$B$12),-1)</f>
        <v/>
      </c>
      <c r="W1060" s="16">
        <f>V1060*N1060*O1060</f>
        <v/>
      </c>
      <c r="X1060" s="12">
        <f>IF(LEFT(I1060,2)="MV",2*N1060*IF(L1060="1/C",O1060,1),0)</f>
        <v/>
      </c>
      <c r="Y1060" s="12">
        <f>IF(OR(LEFT(K1060,4)="LVAX",LEFT(K1060,6)="MV15AX",LEFT(K1060,4)="CTAX",LEFT(K1060,2)="W|"),2*N1060*O1060,0)</f>
        <v/>
      </c>
      <c r="Z1060" s="12" t="inlineStr">
        <is>
          <t>device-to-JB field wiring, one cable per device</t>
        </is>
      </c>
      <c r="AA1060" s="12">
        <f>N1060*O1060</f>
        <v/>
      </c>
    </row>
    <row r="1061">
      <c r="A1061" s="12" t="inlineStr">
        <is>
          <t>A-I-0339</t>
        </is>
      </c>
      <c r="B1061" s="12" t="inlineStr">
        <is>
          <t>A</t>
        </is>
      </c>
      <c r="C1061" s="12" t="inlineStr">
        <is>
          <t>Power block</t>
        </is>
      </c>
      <c r="D1061" s="12" t="inlineStr">
        <is>
          <t>Home run JB-GTG-3-RTD02 to the control / marshalling room</t>
        </is>
      </c>
      <c r="E1061" s="12" t="inlineStr">
        <is>
          <t>R2C</t>
        </is>
      </c>
      <c r="F1061" s="12" t="inlineStr">
        <is>
          <t>R2C: unit / HRSG electrical e-house (32 x 40 ft)</t>
        </is>
      </c>
      <c r="G1061" s="12" t="inlineStr">
        <is>
          <t>JB-GTG-3-RTD02</t>
        </is>
      </c>
      <c r="H1061" s="12" t="inlineStr">
        <is>
          <t>GTG-3: GT generator</t>
        </is>
      </c>
      <c r="I1061" s="12" t="inlineStr">
        <is>
          <t>Instrumentation</t>
        </is>
      </c>
      <c r="J1061" s="12" t="inlineStr">
        <is>
          <t>RTD cable, #18 shielded triads, PLTC</t>
        </is>
      </c>
      <c r="K1061" s="12" t="inlineStr">
        <is>
          <t>RTD|12 tri|18</t>
        </is>
      </c>
      <c r="L1061" s="12" t="inlineStr">
        <is>
          <t>12 tri</t>
        </is>
      </c>
      <c r="M1061" s="12" t="inlineStr">
        <is>
          <t>18</t>
        </is>
      </c>
      <c r="N1061" s="12" t="n">
        <v>1</v>
      </c>
      <c r="O1061" s="12" t="n">
        <v>1</v>
      </c>
      <c r="P1061" s="12" t="n"/>
      <c r="Q1061" s="12" t="n"/>
      <c r="R1061" s="12" t="n"/>
      <c r="S1061" s="12" t="inlineStr">
        <is>
          <t>Duct bank</t>
        </is>
      </c>
      <c r="T1061" s="16" t="n">
        <v>1193</v>
      </c>
      <c r="U1061" s="16" t="n">
        <v>117</v>
      </c>
      <c r="V1061" s="16">
        <f>ROUNDUP((T1061+U1061+2*'Read Me'!$B$13)*(1+'Read Me'!$B$12),-1)</f>
        <v/>
      </c>
      <c r="W1061" s="16">
        <f>V1061*N1061*O1061</f>
        <v/>
      </c>
      <c r="X1061" s="12">
        <f>IF(LEFT(I1061,2)="MV",2*N1061*IF(L1061="1/C",O1061,1),0)</f>
        <v/>
      </c>
      <c r="Y1061" s="12">
        <f>IF(OR(LEFT(K1061,4)="LVAX",LEFT(K1061,6)="MV15AX",LEFT(K1061,4)="CTAX",LEFT(K1061,2)="W|"),2*N1061*O1061,0)</f>
        <v/>
      </c>
      <c r="Z1061" s="12" t="inlineStr"/>
      <c r="AA1061" s="12">
        <f>N1061*O1061</f>
        <v/>
      </c>
    </row>
    <row r="1062">
      <c r="A1062" s="12" t="inlineStr">
        <is>
          <t>A-I-0340</t>
        </is>
      </c>
      <c r="B1062" s="12" t="inlineStr">
        <is>
          <t>A</t>
        </is>
      </c>
      <c r="C1062" s="12" t="inlineStr">
        <is>
          <t>Power block</t>
        </is>
      </c>
      <c r="D1062" s="12" t="inlineStr">
        <is>
          <t>RTD to JB JB-GTG-3-RTD03: 4 x 1 tri (field cables)</t>
        </is>
      </c>
      <c r="E1062" s="12" t="inlineStr">
        <is>
          <t>GTG-3</t>
        </is>
      </c>
      <c r="F1062" s="12" t="inlineStr">
        <is>
          <t>GTG-3: GT generator</t>
        </is>
      </c>
      <c r="G1062" s="12" t="inlineStr">
        <is>
          <t>JB-GTG-3-RTD03</t>
        </is>
      </c>
      <c r="H1062" s="12" t="inlineStr">
        <is>
          <t>GTG-3: GT generator</t>
        </is>
      </c>
      <c r="I1062" s="12" t="inlineStr">
        <is>
          <t>Instrumentation</t>
        </is>
      </c>
      <c r="J1062" s="12" t="inlineStr">
        <is>
          <t>RTD cable, #18 shielded triads, PLTC</t>
        </is>
      </c>
      <c r="K1062" s="12" t="inlineStr">
        <is>
          <t>RTD|1 tri|18</t>
        </is>
      </c>
      <c r="L1062" s="12" t="inlineStr">
        <is>
          <t>1 tri</t>
        </is>
      </c>
      <c r="M1062" s="12" t="inlineStr">
        <is>
          <t>18</t>
        </is>
      </c>
      <c r="N1062" s="12" t="n">
        <v>4</v>
      </c>
      <c r="O1062" s="12" t="n">
        <v>1</v>
      </c>
      <c r="P1062" s="12" t="n"/>
      <c r="Q1062" s="12" t="n"/>
      <c r="R1062" s="12" t="n"/>
      <c r="S1062" s="12" t="inlineStr">
        <is>
          <t>Tray / conduit</t>
        </is>
      </c>
      <c r="T1062" s="16" t="n">
        <v>70</v>
      </c>
      <c r="U1062" s="16" t="n">
        <v>10</v>
      </c>
      <c r="V1062" s="16">
        <f>ROUNDUP((T1062+U1062+2*'Read Me'!$B$13)*(1+'Read Me'!$B$12),-1)</f>
        <v/>
      </c>
      <c r="W1062" s="16">
        <f>V1062*N1062*O1062</f>
        <v/>
      </c>
      <c r="X1062" s="12">
        <f>IF(LEFT(I1062,2)="MV",2*N1062*IF(L1062="1/C",O1062,1),0)</f>
        <v/>
      </c>
      <c r="Y1062" s="12">
        <f>IF(OR(LEFT(K1062,4)="LVAX",LEFT(K1062,6)="MV15AX",LEFT(K1062,4)="CTAX",LEFT(K1062,2)="W|"),2*N1062*O1062,0)</f>
        <v/>
      </c>
      <c r="Z1062" s="12" t="inlineStr">
        <is>
          <t>device-to-JB field wiring, one cable per device</t>
        </is>
      </c>
      <c r="AA1062" s="12">
        <f>N1062*O1062</f>
        <v/>
      </c>
    </row>
    <row r="1063">
      <c r="A1063" s="12" t="inlineStr">
        <is>
          <t>A-I-0341</t>
        </is>
      </c>
      <c r="B1063" s="12" t="inlineStr">
        <is>
          <t>A</t>
        </is>
      </c>
      <c r="C1063" s="12" t="inlineStr">
        <is>
          <t>Power block</t>
        </is>
      </c>
      <c r="D1063" s="12" t="inlineStr">
        <is>
          <t>Home run JB-GTG-3-RTD03 to the control / marshalling room</t>
        </is>
      </c>
      <c r="E1063" s="12" t="inlineStr">
        <is>
          <t>R2C</t>
        </is>
      </c>
      <c r="F1063" s="12" t="inlineStr">
        <is>
          <t>R2C: unit / HRSG electrical e-house (32 x 40 ft)</t>
        </is>
      </c>
      <c r="G1063" s="12" t="inlineStr">
        <is>
          <t>JB-GTG-3-RTD03</t>
        </is>
      </c>
      <c r="H1063" s="12" t="inlineStr">
        <is>
          <t>GTG-3: GT generator</t>
        </is>
      </c>
      <c r="I1063" s="12" t="inlineStr">
        <is>
          <t>Instrumentation</t>
        </is>
      </c>
      <c r="J1063" s="12" t="inlineStr">
        <is>
          <t>RTD cable, #18 shielded triads, PLTC</t>
        </is>
      </c>
      <c r="K1063" s="12" t="inlineStr">
        <is>
          <t>RTD|12 tri|18</t>
        </is>
      </c>
      <c r="L1063" s="12" t="inlineStr">
        <is>
          <t>12 tri</t>
        </is>
      </c>
      <c r="M1063" s="12" t="inlineStr">
        <is>
          <t>18</t>
        </is>
      </c>
      <c r="N1063" s="12" t="n">
        <v>1</v>
      </c>
      <c r="O1063" s="12" t="n">
        <v>1</v>
      </c>
      <c r="P1063" s="12" t="n"/>
      <c r="Q1063" s="12" t="n"/>
      <c r="R1063" s="12" t="n"/>
      <c r="S1063" s="12" t="inlineStr">
        <is>
          <t>Duct bank</t>
        </is>
      </c>
      <c r="T1063" s="16" t="n">
        <v>1193</v>
      </c>
      <c r="U1063" s="16" t="n">
        <v>117</v>
      </c>
      <c r="V1063" s="16">
        <f>ROUNDUP((T1063+U1063+2*'Read Me'!$B$13)*(1+'Read Me'!$B$12),-1)</f>
        <v/>
      </c>
      <c r="W1063" s="16">
        <f>V1063*N1063*O1063</f>
        <v/>
      </c>
      <c r="X1063" s="12">
        <f>IF(LEFT(I1063,2)="MV",2*N1063*IF(L1063="1/C",O1063,1),0)</f>
        <v/>
      </c>
      <c r="Y1063" s="12">
        <f>IF(OR(LEFT(K1063,4)="LVAX",LEFT(K1063,6)="MV15AX",LEFT(K1063,4)="CTAX",LEFT(K1063,2)="W|"),2*N1063*O1063,0)</f>
        <v/>
      </c>
      <c r="Z1063" s="12" t="inlineStr"/>
      <c r="AA1063" s="12">
        <f>N1063*O1063</f>
        <v/>
      </c>
    </row>
    <row r="1064">
      <c r="A1064" s="12" t="inlineStr">
        <is>
          <t>A-I-0342</t>
        </is>
      </c>
      <c r="B1064" s="12" t="inlineStr">
        <is>
          <t>A</t>
        </is>
      </c>
      <c r="C1064" s="12" t="inlineStr">
        <is>
          <t>Power block</t>
        </is>
      </c>
      <c r="D1064" s="12" t="inlineStr">
        <is>
          <t>Vibration monitoring</t>
        </is>
      </c>
      <c r="E1064" s="12" t="inlineStr">
        <is>
          <t>R2C</t>
        </is>
      </c>
      <c r="F1064" s="12" t="inlineStr">
        <is>
          <t>R2C: unit / HRSG electrical e-house (32 x 40 ft)</t>
        </is>
      </c>
      <c r="G1064" s="12" t="inlineStr">
        <is>
          <t>GTG-3</t>
        </is>
      </c>
      <c r="H1064" s="12" t="inlineStr">
        <is>
          <t>GTG-3: GT generator</t>
        </is>
      </c>
      <c r="I1064" s="12" t="inlineStr">
        <is>
          <t>Instrumentation</t>
        </is>
      </c>
      <c r="J1064" s="12" t="inlineStr">
        <is>
          <t>Instrumentation PLTC / TC-ER 300 V, #18 twisted shielded pairs, overall shield</t>
        </is>
      </c>
      <c r="K1064" s="12" t="inlineStr">
        <is>
          <t>PLTC|4 pr|18</t>
        </is>
      </c>
      <c r="L1064" s="12" t="inlineStr">
        <is>
          <t>4 pr</t>
        </is>
      </c>
      <c r="M1064" s="12" t="inlineStr">
        <is>
          <t>18</t>
        </is>
      </c>
      <c r="N1064" s="12" t="n">
        <v>1</v>
      </c>
      <c r="O1064" s="12" t="n">
        <v>1</v>
      </c>
      <c r="P1064" s="12" t="n"/>
      <c r="Q1064" s="12" t="n"/>
      <c r="R1064" s="12" t="n"/>
      <c r="S1064" s="12" t="inlineStr">
        <is>
          <t>Duct bank</t>
        </is>
      </c>
      <c r="T1064" s="16" t="n">
        <v>1193</v>
      </c>
      <c r="U1064" s="16" t="n">
        <v>117</v>
      </c>
      <c r="V1064" s="16">
        <f>ROUNDUP((T1064+U1064+2*'Read Me'!$B$13)*(1+'Read Me'!$B$12),-1)</f>
        <v/>
      </c>
      <c r="W1064" s="16">
        <f>V1064*N1064*O1064</f>
        <v/>
      </c>
      <c r="X1064" s="12">
        <f>IF(LEFT(I1064,2)="MV",2*N1064*IF(L1064="1/C",O1064,1),0)</f>
        <v/>
      </c>
      <c r="Y1064" s="12">
        <f>IF(OR(LEFT(K1064,4)="LVAX",LEFT(K1064,6)="MV15AX",LEFT(K1064,4)="CTAX",LEFT(K1064,2)="W|"),2*N1064*O1064,0)</f>
        <v/>
      </c>
      <c r="Z1064" s="12" t="inlineStr"/>
      <c r="AA1064" s="12">
        <f>N1064*O1064</f>
        <v/>
      </c>
    </row>
    <row r="1065">
      <c r="A1065" s="12" t="inlineStr">
        <is>
          <t>A-I-0343</t>
        </is>
      </c>
      <c r="B1065" s="12" t="inlineStr">
        <is>
          <t>A</t>
        </is>
      </c>
      <c r="C1065" s="12" t="inlineStr">
        <is>
          <t>Power block</t>
        </is>
      </c>
      <c r="D1065" s="12" t="inlineStr">
        <is>
          <t>Analog instrument to JB JB-HRSG-1-AI01: 20 x 1 pr (field cables)</t>
        </is>
      </c>
      <c r="E1065" s="12" t="inlineStr">
        <is>
          <t>HRSG-1</t>
        </is>
      </c>
      <c r="F1065" s="12" t="inlineStr">
        <is>
          <t>HRSG 1 + SCR (3P reheat, horizontal)</t>
        </is>
      </c>
      <c r="G1065" s="12" t="inlineStr">
        <is>
          <t>JB-HRSG-1-AI01</t>
        </is>
      </c>
      <c r="H1065" s="12" t="inlineStr">
        <is>
          <t>HRSG 1 + SCR (3P reheat, horizontal)</t>
        </is>
      </c>
      <c r="I1065" s="12" t="inlineStr">
        <is>
          <t>Instrumentation</t>
        </is>
      </c>
      <c r="J1065" s="12" t="inlineStr">
        <is>
          <t>Instrumentation PLTC / TC-ER 300 V, #18 twisted shielded pairs, overall shield</t>
        </is>
      </c>
      <c r="K1065" s="12" t="inlineStr">
        <is>
          <t>PLTC|1 pr|16</t>
        </is>
      </c>
      <c r="L1065" s="12" t="inlineStr">
        <is>
          <t>1 pr</t>
        </is>
      </c>
      <c r="M1065" s="12" t="inlineStr">
        <is>
          <t>16</t>
        </is>
      </c>
      <c r="N1065" s="12" t="n">
        <v>20</v>
      </c>
      <c r="O1065" s="12" t="n">
        <v>1</v>
      </c>
      <c r="P1065" s="12" t="n"/>
      <c r="Q1065" s="12" t="n"/>
      <c r="R1065" s="12" t="n"/>
      <c r="S1065" s="12" t="inlineStr">
        <is>
          <t>Tray / conduit</t>
        </is>
      </c>
      <c r="T1065" s="16" t="n">
        <v>180</v>
      </c>
      <c r="U1065" s="16" t="n">
        <v>10</v>
      </c>
      <c r="V1065" s="16">
        <f>ROUNDUP((T1065+U1065+2*'Read Me'!$B$13)*(1+'Read Me'!$B$12),-1)</f>
        <v/>
      </c>
      <c r="W1065" s="16">
        <f>V1065*N1065*O1065</f>
        <v/>
      </c>
      <c r="X1065" s="12">
        <f>IF(LEFT(I1065,2)="MV",2*N1065*IF(L1065="1/C",O1065,1),0)</f>
        <v/>
      </c>
      <c r="Y1065" s="12">
        <f>IF(OR(LEFT(K1065,4)="LVAX",LEFT(K1065,6)="MV15AX",LEFT(K1065,4)="CTAX",LEFT(K1065,2)="W|"),2*N1065*O1065,0)</f>
        <v/>
      </c>
      <c r="Z1065" s="12" t="inlineStr">
        <is>
          <t>device-to-JB field wiring, one cable per device</t>
        </is>
      </c>
      <c r="AA1065" s="12">
        <f>N1065*O1065</f>
        <v/>
      </c>
    </row>
    <row r="1066">
      <c r="A1066" s="12" t="inlineStr">
        <is>
          <t>A-I-0344</t>
        </is>
      </c>
      <c r="B1066" s="12" t="inlineStr">
        <is>
          <t>A</t>
        </is>
      </c>
      <c r="C1066" s="12" t="inlineStr">
        <is>
          <t>Power block</t>
        </is>
      </c>
      <c r="D1066" s="12" t="inlineStr">
        <is>
          <t>Home run JB-HRSG-1-AI01 to the control / marshalling room</t>
        </is>
      </c>
      <c r="E1066" s="12" t="inlineStr">
        <is>
          <t>R2A</t>
        </is>
      </c>
      <c r="F1066" s="12" t="inlineStr">
        <is>
          <t>R2A: unit / HRSG electrical e-house (32 x 40 ft)</t>
        </is>
      </c>
      <c r="G1066" s="12" t="inlineStr">
        <is>
          <t>JB-HRSG-1-AI01</t>
        </is>
      </c>
      <c r="H1066" s="12" t="inlineStr">
        <is>
          <t>HRSG 1 + SCR (3P reheat, horizontal)</t>
        </is>
      </c>
      <c r="I1066" s="12" t="inlineStr">
        <is>
          <t>Instrumentation</t>
        </is>
      </c>
      <c r="J1066" s="12" t="inlineStr">
        <is>
          <t>Instrumentation PLTC / TC-ER 300 V, #18 twisted shielded pairs, overall shield</t>
        </is>
      </c>
      <c r="K1066" s="12" t="inlineStr">
        <is>
          <t>PLTC|24 pr|18</t>
        </is>
      </c>
      <c r="L1066" s="12" t="inlineStr">
        <is>
          <t>24 pr</t>
        </is>
      </c>
      <c r="M1066" s="12" t="inlineStr">
        <is>
          <t>18</t>
        </is>
      </c>
      <c r="N1066" s="12" t="n">
        <v>1</v>
      </c>
      <c r="O1066" s="12" t="n">
        <v>1</v>
      </c>
      <c r="P1066" s="12" t="n"/>
      <c r="Q1066" s="12" t="n"/>
      <c r="R1066" s="12" t="n"/>
      <c r="S1066" s="12" t="inlineStr">
        <is>
          <t>Tray</t>
        </is>
      </c>
      <c r="T1066" s="16" t="n">
        <v>0</v>
      </c>
      <c r="U1066" s="16" t="n">
        <v>87</v>
      </c>
      <c r="V1066" s="16">
        <f>ROUNDUP((T1066+U1066+2*'Read Me'!$B$13)*(1+'Read Me'!$B$12),-1)</f>
        <v/>
      </c>
      <c r="W1066" s="16">
        <f>V1066*N1066*O1066</f>
        <v/>
      </c>
      <c r="X1066" s="12">
        <f>IF(LEFT(I1066,2)="MV",2*N1066*IF(L1066="1/C",O1066,1),0)</f>
        <v/>
      </c>
      <c r="Y1066" s="12">
        <f>IF(OR(LEFT(K1066,4)="LVAX",LEFT(K1066,6)="MV15AX",LEFT(K1066,4)="CTAX",LEFT(K1066,2)="W|"),2*N1066*O1066,0)</f>
        <v/>
      </c>
      <c r="Z1066" s="12" t="inlineStr"/>
      <c r="AA1066" s="12">
        <f>N1066*O1066</f>
        <v/>
      </c>
    </row>
    <row r="1067">
      <c r="A1067" s="12" t="inlineStr">
        <is>
          <t>A-I-0345</t>
        </is>
      </c>
      <c r="B1067" s="12" t="inlineStr">
        <is>
          <t>A</t>
        </is>
      </c>
      <c r="C1067" s="12" t="inlineStr">
        <is>
          <t>Power block</t>
        </is>
      </c>
      <c r="D1067" s="12" t="inlineStr">
        <is>
          <t>Analog instrument to JB JB-HRSG-1-AI02: 20 x 1 pr (field cables)</t>
        </is>
      </c>
      <c r="E1067" s="12" t="inlineStr">
        <is>
          <t>HRSG-1</t>
        </is>
      </c>
      <c r="F1067" s="12" t="inlineStr">
        <is>
          <t>HRSG 1 + SCR (3P reheat, horizontal)</t>
        </is>
      </c>
      <c r="G1067" s="12" t="inlineStr">
        <is>
          <t>JB-HRSG-1-AI02</t>
        </is>
      </c>
      <c r="H1067" s="12" t="inlineStr">
        <is>
          <t>HRSG 1 + SCR (3P reheat, horizontal)</t>
        </is>
      </c>
      <c r="I1067" s="12" t="inlineStr">
        <is>
          <t>Instrumentation</t>
        </is>
      </c>
      <c r="J1067" s="12" t="inlineStr">
        <is>
          <t>Instrumentation PLTC / TC-ER 300 V, #18 twisted shielded pairs, overall shield</t>
        </is>
      </c>
      <c r="K1067" s="12" t="inlineStr">
        <is>
          <t>PLTC|1 pr|16</t>
        </is>
      </c>
      <c r="L1067" s="12" t="inlineStr">
        <is>
          <t>1 pr</t>
        </is>
      </c>
      <c r="M1067" s="12" t="inlineStr">
        <is>
          <t>16</t>
        </is>
      </c>
      <c r="N1067" s="12" t="n">
        <v>20</v>
      </c>
      <c r="O1067" s="12" t="n">
        <v>1</v>
      </c>
      <c r="P1067" s="12" t="n"/>
      <c r="Q1067" s="12" t="n"/>
      <c r="R1067" s="12" t="n"/>
      <c r="S1067" s="12" t="inlineStr">
        <is>
          <t>Tray / conduit</t>
        </is>
      </c>
      <c r="T1067" s="16" t="n">
        <v>180</v>
      </c>
      <c r="U1067" s="16" t="n">
        <v>10</v>
      </c>
      <c r="V1067" s="16">
        <f>ROUNDUP((T1067+U1067+2*'Read Me'!$B$13)*(1+'Read Me'!$B$12),-1)</f>
        <v/>
      </c>
      <c r="W1067" s="16">
        <f>V1067*N1067*O1067</f>
        <v/>
      </c>
      <c r="X1067" s="12">
        <f>IF(LEFT(I1067,2)="MV",2*N1067*IF(L1067="1/C",O1067,1),0)</f>
        <v/>
      </c>
      <c r="Y1067" s="12">
        <f>IF(OR(LEFT(K1067,4)="LVAX",LEFT(K1067,6)="MV15AX",LEFT(K1067,4)="CTAX",LEFT(K1067,2)="W|"),2*N1067*O1067,0)</f>
        <v/>
      </c>
      <c r="Z1067" s="12" t="inlineStr">
        <is>
          <t>device-to-JB field wiring, one cable per device</t>
        </is>
      </c>
      <c r="AA1067" s="12">
        <f>N1067*O1067</f>
        <v/>
      </c>
    </row>
    <row r="1068">
      <c r="A1068" s="12" t="inlineStr">
        <is>
          <t>A-I-0346</t>
        </is>
      </c>
      <c r="B1068" s="12" t="inlineStr">
        <is>
          <t>A</t>
        </is>
      </c>
      <c r="C1068" s="12" t="inlineStr">
        <is>
          <t>Power block</t>
        </is>
      </c>
      <c r="D1068" s="12" t="inlineStr">
        <is>
          <t>Home run JB-HRSG-1-AI02 to the control / marshalling room</t>
        </is>
      </c>
      <c r="E1068" s="12" t="inlineStr">
        <is>
          <t>R2A</t>
        </is>
      </c>
      <c r="F1068" s="12" t="inlineStr">
        <is>
          <t>R2A: unit / HRSG electrical e-house (32 x 40 ft)</t>
        </is>
      </c>
      <c r="G1068" s="12" t="inlineStr">
        <is>
          <t>JB-HRSG-1-AI02</t>
        </is>
      </c>
      <c r="H1068" s="12" t="inlineStr">
        <is>
          <t>HRSG 1 + SCR (3P reheat, horizontal)</t>
        </is>
      </c>
      <c r="I1068" s="12" t="inlineStr">
        <is>
          <t>Instrumentation</t>
        </is>
      </c>
      <c r="J1068" s="12" t="inlineStr">
        <is>
          <t>Instrumentation PLTC / TC-ER 300 V, #18 twisted shielded pairs, overall shield</t>
        </is>
      </c>
      <c r="K1068" s="12" t="inlineStr">
        <is>
          <t>PLTC|24 pr|18</t>
        </is>
      </c>
      <c r="L1068" s="12" t="inlineStr">
        <is>
          <t>24 pr</t>
        </is>
      </c>
      <c r="M1068" s="12" t="inlineStr">
        <is>
          <t>18</t>
        </is>
      </c>
      <c r="N1068" s="12" t="n">
        <v>1</v>
      </c>
      <c r="O1068" s="12" t="n">
        <v>1</v>
      </c>
      <c r="P1068" s="12" t="n"/>
      <c r="Q1068" s="12" t="n"/>
      <c r="R1068" s="12" t="n"/>
      <c r="S1068" s="12" t="inlineStr">
        <is>
          <t>Tray</t>
        </is>
      </c>
      <c r="T1068" s="16" t="n">
        <v>0</v>
      </c>
      <c r="U1068" s="16" t="n">
        <v>87</v>
      </c>
      <c r="V1068" s="16">
        <f>ROUNDUP((T1068+U1068+2*'Read Me'!$B$13)*(1+'Read Me'!$B$12),-1)</f>
        <v/>
      </c>
      <c r="W1068" s="16">
        <f>V1068*N1068*O1068</f>
        <v/>
      </c>
      <c r="X1068" s="12">
        <f>IF(LEFT(I1068,2)="MV",2*N1068*IF(L1068="1/C",O1068,1),0)</f>
        <v/>
      </c>
      <c r="Y1068" s="12">
        <f>IF(OR(LEFT(K1068,4)="LVAX",LEFT(K1068,6)="MV15AX",LEFT(K1068,4)="CTAX",LEFT(K1068,2)="W|"),2*N1068*O1068,0)</f>
        <v/>
      </c>
      <c r="Z1068" s="12" t="inlineStr"/>
      <c r="AA1068" s="12">
        <f>N1068*O1068</f>
        <v/>
      </c>
    </row>
    <row r="1069">
      <c r="A1069" s="12" t="inlineStr">
        <is>
          <t>A-I-0347</t>
        </is>
      </c>
      <c r="B1069" s="12" t="inlineStr">
        <is>
          <t>A</t>
        </is>
      </c>
      <c r="C1069" s="12" t="inlineStr">
        <is>
          <t>Power block</t>
        </is>
      </c>
      <c r="D1069" s="12" t="inlineStr">
        <is>
          <t>Analog instrument to JB JB-HRSG-1-AI03: 20 x 1 pr (field cables)</t>
        </is>
      </c>
      <c r="E1069" s="12" t="inlineStr">
        <is>
          <t>HRSG-1</t>
        </is>
      </c>
      <c r="F1069" s="12" t="inlineStr">
        <is>
          <t>HRSG 1 + SCR (3P reheat, horizontal)</t>
        </is>
      </c>
      <c r="G1069" s="12" t="inlineStr">
        <is>
          <t>JB-HRSG-1-AI03</t>
        </is>
      </c>
      <c r="H1069" s="12" t="inlineStr">
        <is>
          <t>HRSG 1 + SCR (3P reheat, horizontal)</t>
        </is>
      </c>
      <c r="I1069" s="12" t="inlineStr">
        <is>
          <t>Instrumentation</t>
        </is>
      </c>
      <c r="J1069" s="12" t="inlineStr">
        <is>
          <t>Instrumentation PLTC / TC-ER 300 V, #18 twisted shielded pairs, overall shield</t>
        </is>
      </c>
      <c r="K1069" s="12" t="inlineStr">
        <is>
          <t>PLTC|1 pr|16</t>
        </is>
      </c>
      <c r="L1069" s="12" t="inlineStr">
        <is>
          <t>1 pr</t>
        </is>
      </c>
      <c r="M1069" s="12" t="inlineStr">
        <is>
          <t>16</t>
        </is>
      </c>
      <c r="N1069" s="12" t="n">
        <v>20</v>
      </c>
      <c r="O1069" s="12" t="n">
        <v>1</v>
      </c>
      <c r="P1069" s="12" t="n"/>
      <c r="Q1069" s="12" t="n"/>
      <c r="R1069" s="12" t="n"/>
      <c r="S1069" s="12" t="inlineStr">
        <is>
          <t>Tray / conduit</t>
        </is>
      </c>
      <c r="T1069" s="16" t="n">
        <v>180</v>
      </c>
      <c r="U1069" s="16" t="n">
        <v>10</v>
      </c>
      <c r="V1069" s="16">
        <f>ROUNDUP((T1069+U1069+2*'Read Me'!$B$13)*(1+'Read Me'!$B$12),-1)</f>
        <v/>
      </c>
      <c r="W1069" s="16">
        <f>V1069*N1069*O1069</f>
        <v/>
      </c>
      <c r="X1069" s="12">
        <f>IF(LEFT(I1069,2)="MV",2*N1069*IF(L1069="1/C",O1069,1),0)</f>
        <v/>
      </c>
      <c r="Y1069" s="12">
        <f>IF(OR(LEFT(K1069,4)="LVAX",LEFT(K1069,6)="MV15AX",LEFT(K1069,4)="CTAX",LEFT(K1069,2)="W|"),2*N1069*O1069,0)</f>
        <v/>
      </c>
      <c r="Z1069" s="12" t="inlineStr">
        <is>
          <t>device-to-JB field wiring, one cable per device</t>
        </is>
      </c>
      <c r="AA1069" s="12">
        <f>N1069*O1069</f>
        <v/>
      </c>
    </row>
    <row r="1070">
      <c r="A1070" s="12" t="inlineStr">
        <is>
          <t>A-I-0348</t>
        </is>
      </c>
      <c r="B1070" s="12" t="inlineStr">
        <is>
          <t>A</t>
        </is>
      </c>
      <c r="C1070" s="12" t="inlineStr">
        <is>
          <t>Power block</t>
        </is>
      </c>
      <c r="D1070" s="12" t="inlineStr">
        <is>
          <t>Home run JB-HRSG-1-AI03 to the control / marshalling room</t>
        </is>
      </c>
      <c r="E1070" s="12" t="inlineStr">
        <is>
          <t>R2A</t>
        </is>
      </c>
      <c r="F1070" s="12" t="inlineStr">
        <is>
          <t>R2A: unit / HRSG electrical e-house (32 x 40 ft)</t>
        </is>
      </c>
      <c r="G1070" s="12" t="inlineStr">
        <is>
          <t>JB-HRSG-1-AI03</t>
        </is>
      </c>
      <c r="H1070" s="12" t="inlineStr">
        <is>
          <t>HRSG 1 + SCR (3P reheat, horizontal)</t>
        </is>
      </c>
      <c r="I1070" s="12" t="inlineStr">
        <is>
          <t>Instrumentation</t>
        </is>
      </c>
      <c r="J1070" s="12" t="inlineStr">
        <is>
          <t>Instrumentation PLTC / TC-ER 300 V, #18 twisted shielded pairs, overall shield</t>
        </is>
      </c>
      <c r="K1070" s="12" t="inlineStr">
        <is>
          <t>PLTC|24 pr|18</t>
        </is>
      </c>
      <c r="L1070" s="12" t="inlineStr">
        <is>
          <t>24 pr</t>
        </is>
      </c>
      <c r="M1070" s="12" t="inlineStr">
        <is>
          <t>18</t>
        </is>
      </c>
      <c r="N1070" s="12" t="n">
        <v>1</v>
      </c>
      <c r="O1070" s="12" t="n">
        <v>1</v>
      </c>
      <c r="P1070" s="12" t="n"/>
      <c r="Q1070" s="12" t="n"/>
      <c r="R1070" s="12" t="n"/>
      <c r="S1070" s="12" t="inlineStr">
        <is>
          <t>Tray</t>
        </is>
      </c>
      <c r="T1070" s="16" t="n">
        <v>0</v>
      </c>
      <c r="U1070" s="16" t="n">
        <v>87</v>
      </c>
      <c r="V1070" s="16">
        <f>ROUNDUP((T1070+U1070+2*'Read Me'!$B$13)*(1+'Read Me'!$B$12),-1)</f>
        <v/>
      </c>
      <c r="W1070" s="16">
        <f>V1070*N1070*O1070</f>
        <v/>
      </c>
      <c r="X1070" s="12">
        <f>IF(LEFT(I1070,2)="MV",2*N1070*IF(L1070="1/C",O1070,1),0)</f>
        <v/>
      </c>
      <c r="Y1070" s="12">
        <f>IF(OR(LEFT(K1070,4)="LVAX",LEFT(K1070,6)="MV15AX",LEFT(K1070,4)="CTAX",LEFT(K1070,2)="W|"),2*N1070*O1070,0)</f>
        <v/>
      </c>
      <c r="Z1070" s="12" t="inlineStr"/>
      <c r="AA1070" s="12">
        <f>N1070*O1070</f>
        <v/>
      </c>
    </row>
    <row r="1071">
      <c r="A1071" s="12" t="inlineStr">
        <is>
          <t>A-I-0349</t>
        </is>
      </c>
      <c r="B1071" s="12" t="inlineStr">
        <is>
          <t>A</t>
        </is>
      </c>
      <c r="C1071" s="12" t="inlineStr">
        <is>
          <t>Power block</t>
        </is>
      </c>
      <c r="D1071" s="12" t="inlineStr">
        <is>
          <t>Analog instrument to JB JB-HRSG-1-AI04: 20 x 1 pr (field cables)</t>
        </is>
      </c>
      <c r="E1071" s="12" t="inlineStr">
        <is>
          <t>HRSG-1</t>
        </is>
      </c>
      <c r="F1071" s="12" t="inlineStr">
        <is>
          <t>HRSG 1 + SCR (3P reheat, horizontal)</t>
        </is>
      </c>
      <c r="G1071" s="12" t="inlineStr">
        <is>
          <t>JB-HRSG-1-AI04</t>
        </is>
      </c>
      <c r="H1071" s="12" t="inlineStr">
        <is>
          <t>HRSG 1 + SCR (3P reheat, horizontal)</t>
        </is>
      </c>
      <c r="I1071" s="12" t="inlineStr">
        <is>
          <t>Instrumentation</t>
        </is>
      </c>
      <c r="J1071" s="12" t="inlineStr">
        <is>
          <t>Instrumentation PLTC / TC-ER 300 V, #18 twisted shielded pairs, overall shield</t>
        </is>
      </c>
      <c r="K1071" s="12" t="inlineStr">
        <is>
          <t>PLTC|1 pr|16</t>
        </is>
      </c>
      <c r="L1071" s="12" t="inlineStr">
        <is>
          <t>1 pr</t>
        </is>
      </c>
      <c r="M1071" s="12" t="inlineStr">
        <is>
          <t>16</t>
        </is>
      </c>
      <c r="N1071" s="12" t="n">
        <v>20</v>
      </c>
      <c r="O1071" s="12" t="n">
        <v>1</v>
      </c>
      <c r="P1071" s="12" t="n"/>
      <c r="Q1071" s="12" t="n"/>
      <c r="R1071" s="12" t="n"/>
      <c r="S1071" s="12" t="inlineStr">
        <is>
          <t>Tray / conduit</t>
        </is>
      </c>
      <c r="T1071" s="16" t="n">
        <v>180</v>
      </c>
      <c r="U1071" s="16" t="n">
        <v>10</v>
      </c>
      <c r="V1071" s="16">
        <f>ROUNDUP((T1071+U1071+2*'Read Me'!$B$13)*(1+'Read Me'!$B$12),-1)</f>
        <v/>
      </c>
      <c r="W1071" s="16">
        <f>V1071*N1071*O1071</f>
        <v/>
      </c>
      <c r="X1071" s="12">
        <f>IF(LEFT(I1071,2)="MV",2*N1071*IF(L1071="1/C",O1071,1),0)</f>
        <v/>
      </c>
      <c r="Y1071" s="12">
        <f>IF(OR(LEFT(K1071,4)="LVAX",LEFT(K1071,6)="MV15AX",LEFT(K1071,4)="CTAX",LEFT(K1071,2)="W|"),2*N1071*O1071,0)</f>
        <v/>
      </c>
      <c r="Z1071" s="12" t="inlineStr">
        <is>
          <t>device-to-JB field wiring, one cable per device</t>
        </is>
      </c>
      <c r="AA1071" s="12">
        <f>N1071*O1071</f>
        <v/>
      </c>
    </row>
    <row r="1072">
      <c r="A1072" s="12" t="inlineStr">
        <is>
          <t>A-I-0350</t>
        </is>
      </c>
      <c r="B1072" s="12" t="inlineStr">
        <is>
          <t>A</t>
        </is>
      </c>
      <c r="C1072" s="12" t="inlineStr">
        <is>
          <t>Power block</t>
        </is>
      </c>
      <c r="D1072" s="12" t="inlineStr">
        <is>
          <t>Home run JB-HRSG-1-AI04 to the control / marshalling room</t>
        </is>
      </c>
      <c r="E1072" s="12" t="inlineStr">
        <is>
          <t>R2A</t>
        </is>
      </c>
      <c r="F1072" s="12" t="inlineStr">
        <is>
          <t>R2A: unit / HRSG electrical e-house (32 x 40 ft)</t>
        </is>
      </c>
      <c r="G1072" s="12" t="inlineStr">
        <is>
          <t>JB-HRSG-1-AI04</t>
        </is>
      </c>
      <c r="H1072" s="12" t="inlineStr">
        <is>
          <t>HRSG 1 + SCR (3P reheat, horizontal)</t>
        </is>
      </c>
      <c r="I1072" s="12" t="inlineStr">
        <is>
          <t>Instrumentation</t>
        </is>
      </c>
      <c r="J1072" s="12" t="inlineStr">
        <is>
          <t>Instrumentation PLTC / TC-ER 300 V, #18 twisted shielded pairs, overall shield</t>
        </is>
      </c>
      <c r="K1072" s="12" t="inlineStr">
        <is>
          <t>PLTC|24 pr|18</t>
        </is>
      </c>
      <c r="L1072" s="12" t="inlineStr">
        <is>
          <t>24 pr</t>
        </is>
      </c>
      <c r="M1072" s="12" t="inlineStr">
        <is>
          <t>18</t>
        </is>
      </c>
      <c r="N1072" s="12" t="n">
        <v>1</v>
      </c>
      <c r="O1072" s="12" t="n">
        <v>1</v>
      </c>
      <c r="P1072" s="12" t="n"/>
      <c r="Q1072" s="12" t="n"/>
      <c r="R1072" s="12" t="n"/>
      <c r="S1072" s="12" t="inlineStr">
        <is>
          <t>Tray</t>
        </is>
      </c>
      <c r="T1072" s="16" t="n">
        <v>0</v>
      </c>
      <c r="U1072" s="16" t="n">
        <v>87</v>
      </c>
      <c r="V1072" s="16">
        <f>ROUNDUP((T1072+U1072+2*'Read Me'!$B$13)*(1+'Read Me'!$B$12),-1)</f>
        <v/>
      </c>
      <c r="W1072" s="16">
        <f>V1072*N1072*O1072</f>
        <v/>
      </c>
      <c r="X1072" s="12">
        <f>IF(LEFT(I1072,2)="MV",2*N1072*IF(L1072="1/C",O1072,1),0)</f>
        <v/>
      </c>
      <c r="Y1072" s="12">
        <f>IF(OR(LEFT(K1072,4)="LVAX",LEFT(K1072,6)="MV15AX",LEFT(K1072,4)="CTAX",LEFT(K1072,2)="W|"),2*N1072*O1072,0)</f>
        <v/>
      </c>
      <c r="Z1072" s="12" t="inlineStr"/>
      <c r="AA1072" s="12">
        <f>N1072*O1072</f>
        <v/>
      </c>
    </row>
    <row r="1073">
      <c r="A1073" s="12" t="inlineStr">
        <is>
          <t>A-I-0351</t>
        </is>
      </c>
      <c r="B1073" s="12" t="inlineStr">
        <is>
          <t>A</t>
        </is>
      </c>
      <c r="C1073" s="12" t="inlineStr">
        <is>
          <t>Power block</t>
        </is>
      </c>
      <c r="D1073" s="12" t="inlineStr">
        <is>
          <t>Analog instrument to JB JB-HRSG-1-AI05: 20 x 1 pr (field cables)</t>
        </is>
      </c>
      <c r="E1073" s="12" t="inlineStr">
        <is>
          <t>HRSG-1</t>
        </is>
      </c>
      <c r="F1073" s="12" t="inlineStr">
        <is>
          <t>HRSG 1 + SCR (3P reheat, horizontal)</t>
        </is>
      </c>
      <c r="G1073" s="12" t="inlineStr">
        <is>
          <t>JB-HRSG-1-AI05</t>
        </is>
      </c>
      <c r="H1073" s="12" t="inlineStr">
        <is>
          <t>HRSG 1 + SCR (3P reheat, horizontal)</t>
        </is>
      </c>
      <c r="I1073" s="12" t="inlineStr">
        <is>
          <t>Instrumentation</t>
        </is>
      </c>
      <c r="J1073" s="12" t="inlineStr">
        <is>
          <t>Instrumentation PLTC / TC-ER 300 V, #18 twisted shielded pairs, overall shield</t>
        </is>
      </c>
      <c r="K1073" s="12" t="inlineStr">
        <is>
          <t>PLTC|1 pr|16</t>
        </is>
      </c>
      <c r="L1073" s="12" t="inlineStr">
        <is>
          <t>1 pr</t>
        </is>
      </c>
      <c r="M1073" s="12" t="inlineStr">
        <is>
          <t>16</t>
        </is>
      </c>
      <c r="N1073" s="12" t="n">
        <v>20</v>
      </c>
      <c r="O1073" s="12" t="n">
        <v>1</v>
      </c>
      <c r="P1073" s="12" t="n"/>
      <c r="Q1073" s="12" t="n"/>
      <c r="R1073" s="12" t="n"/>
      <c r="S1073" s="12" t="inlineStr">
        <is>
          <t>Tray / conduit</t>
        </is>
      </c>
      <c r="T1073" s="16" t="n">
        <v>180</v>
      </c>
      <c r="U1073" s="16" t="n">
        <v>10</v>
      </c>
      <c r="V1073" s="16">
        <f>ROUNDUP((T1073+U1073+2*'Read Me'!$B$13)*(1+'Read Me'!$B$12),-1)</f>
        <v/>
      </c>
      <c r="W1073" s="16">
        <f>V1073*N1073*O1073</f>
        <v/>
      </c>
      <c r="X1073" s="12">
        <f>IF(LEFT(I1073,2)="MV",2*N1073*IF(L1073="1/C",O1073,1),0)</f>
        <v/>
      </c>
      <c r="Y1073" s="12">
        <f>IF(OR(LEFT(K1073,4)="LVAX",LEFT(K1073,6)="MV15AX",LEFT(K1073,4)="CTAX",LEFT(K1073,2)="W|"),2*N1073*O1073,0)</f>
        <v/>
      </c>
      <c r="Z1073" s="12" t="inlineStr">
        <is>
          <t>device-to-JB field wiring, one cable per device</t>
        </is>
      </c>
      <c r="AA1073" s="12">
        <f>N1073*O1073</f>
        <v/>
      </c>
    </row>
    <row r="1074">
      <c r="A1074" s="12" t="inlineStr">
        <is>
          <t>A-I-0352</t>
        </is>
      </c>
      <c r="B1074" s="12" t="inlineStr">
        <is>
          <t>A</t>
        </is>
      </c>
      <c r="C1074" s="12" t="inlineStr">
        <is>
          <t>Power block</t>
        </is>
      </c>
      <c r="D1074" s="12" t="inlineStr">
        <is>
          <t>Home run JB-HRSG-1-AI05 to the control / marshalling room</t>
        </is>
      </c>
      <c r="E1074" s="12" t="inlineStr">
        <is>
          <t>R2A</t>
        </is>
      </c>
      <c r="F1074" s="12" t="inlineStr">
        <is>
          <t>R2A: unit / HRSG electrical e-house (32 x 40 ft)</t>
        </is>
      </c>
      <c r="G1074" s="12" t="inlineStr">
        <is>
          <t>JB-HRSG-1-AI05</t>
        </is>
      </c>
      <c r="H1074" s="12" t="inlineStr">
        <is>
          <t>HRSG 1 + SCR (3P reheat, horizontal)</t>
        </is>
      </c>
      <c r="I1074" s="12" t="inlineStr">
        <is>
          <t>Instrumentation</t>
        </is>
      </c>
      <c r="J1074" s="12" t="inlineStr">
        <is>
          <t>Instrumentation PLTC / TC-ER 300 V, #18 twisted shielded pairs, overall shield</t>
        </is>
      </c>
      <c r="K1074" s="12" t="inlineStr">
        <is>
          <t>PLTC|24 pr|18</t>
        </is>
      </c>
      <c r="L1074" s="12" t="inlineStr">
        <is>
          <t>24 pr</t>
        </is>
      </c>
      <c r="M1074" s="12" t="inlineStr">
        <is>
          <t>18</t>
        </is>
      </c>
      <c r="N1074" s="12" t="n">
        <v>1</v>
      </c>
      <c r="O1074" s="12" t="n">
        <v>1</v>
      </c>
      <c r="P1074" s="12" t="n"/>
      <c r="Q1074" s="12" t="n"/>
      <c r="R1074" s="12" t="n"/>
      <c r="S1074" s="12" t="inlineStr">
        <is>
          <t>Tray</t>
        </is>
      </c>
      <c r="T1074" s="16" t="n">
        <v>0</v>
      </c>
      <c r="U1074" s="16" t="n">
        <v>87</v>
      </c>
      <c r="V1074" s="16">
        <f>ROUNDUP((T1074+U1074+2*'Read Me'!$B$13)*(1+'Read Me'!$B$12),-1)</f>
        <v/>
      </c>
      <c r="W1074" s="16">
        <f>V1074*N1074*O1074</f>
        <v/>
      </c>
      <c r="X1074" s="12">
        <f>IF(LEFT(I1074,2)="MV",2*N1074*IF(L1074="1/C",O1074,1),0)</f>
        <v/>
      </c>
      <c r="Y1074" s="12">
        <f>IF(OR(LEFT(K1074,4)="LVAX",LEFT(K1074,6)="MV15AX",LEFT(K1074,4)="CTAX",LEFT(K1074,2)="W|"),2*N1074*O1074,0)</f>
        <v/>
      </c>
      <c r="Z1074" s="12" t="inlineStr"/>
      <c r="AA1074" s="12">
        <f>N1074*O1074</f>
        <v/>
      </c>
    </row>
    <row r="1075">
      <c r="A1075" s="12" t="inlineStr">
        <is>
          <t>A-I-0353</t>
        </is>
      </c>
      <c r="B1075" s="12" t="inlineStr">
        <is>
          <t>A</t>
        </is>
      </c>
      <c r="C1075" s="12" t="inlineStr">
        <is>
          <t>Power block</t>
        </is>
      </c>
      <c r="D1075" s="12" t="inlineStr">
        <is>
          <t>Analog instrument to JB JB-HRSG-1-AI06: 20 x 1 pr (field cables)</t>
        </is>
      </c>
      <c r="E1075" s="12" t="inlineStr">
        <is>
          <t>HRSG-1</t>
        </is>
      </c>
      <c r="F1075" s="12" t="inlineStr">
        <is>
          <t>HRSG 1 + SCR (3P reheat, horizontal)</t>
        </is>
      </c>
      <c r="G1075" s="12" t="inlineStr">
        <is>
          <t>JB-HRSG-1-AI06</t>
        </is>
      </c>
      <c r="H1075" s="12" t="inlineStr">
        <is>
          <t>HRSG 1 + SCR (3P reheat, horizontal)</t>
        </is>
      </c>
      <c r="I1075" s="12" t="inlineStr">
        <is>
          <t>Instrumentation</t>
        </is>
      </c>
      <c r="J1075" s="12" t="inlineStr">
        <is>
          <t>Instrumentation PLTC / TC-ER 300 V, #18 twisted shielded pairs, overall shield</t>
        </is>
      </c>
      <c r="K1075" s="12" t="inlineStr">
        <is>
          <t>PLTC|1 pr|16</t>
        </is>
      </c>
      <c r="L1075" s="12" t="inlineStr">
        <is>
          <t>1 pr</t>
        </is>
      </c>
      <c r="M1075" s="12" t="inlineStr">
        <is>
          <t>16</t>
        </is>
      </c>
      <c r="N1075" s="12" t="n">
        <v>20</v>
      </c>
      <c r="O1075" s="12" t="n">
        <v>1</v>
      </c>
      <c r="P1075" s="12" t="n"/>
      <c r="Q1075" s="12" t="n"/>
      <c r="R1075" s="12" t="n"/>
      <c r="S1075" s="12" t="inlineStr">
        <is>
          <t>Tray / conduit</t>
        </is>
      </c>
      <c r="T1075" s="16" t="n">
        <v>180</v>
      </c>
      <c r="U1075" s="16" t="n">
        <v>10</v>
      </c>
      <c r="V1075" s="16">
        <f>ROUNDUP((T1075+U1075+2*'Read Me'!$B$13)*(1+'Read Me'!$B$12),-1)</f>
        <v/>
      </c>
      <c r="W1075" s="16">
        <f>V1075*N1075*O1075</f>
        <v/>
      </c>
      <c r="X1075" s="12">
        <f>IF(LEFT(I1075,2)="MV",2*N1075*IF(L1075="1/C",O1075,1),0)</f>
        <v/>
      </c>
      <c r="Y1075" s="12">
        <f>IF(OR(LEFT(K1075,4)="LVAX",LEFT(K1075,6)="MV15AX",LEFT(K1075,4)="CTAX",LEFT(K1075,2)="W|"),2*N1075*O1075,0)</f>
        <v/>
      </c>
      <c r="Z1075" s="12" t="inlineStr">
        <is>
          <t>device-to-JB field wiring, one cable per device</t>
        </is>
      </c>
      <c r="AA1075" s="12">
        <f>N1075*O1075</f>
        <v/>
      </c>
    </row>
    <row r="1076">
      <c r="A1076" s="12" t="inlineStr">
        <is>
          <t>A-I-0354</t>
        </is>
      </c>
      <c r="B1076" s="12" t="inlineStr">
        <is>
          <t>A</t>
        </is>
      </c>
      <c r="C1076" s="12" t="inlineStr">
        <is>
          <t>Power block</t>
        </is>
      </c>
      <c r="D1076" s="12" t="inlineStr">
        <is>
          <t>Home run JB-HRSG-1-AI06 to the control / marshalling room</t>
        </is>
      </c>
      <c r="E1076" s="12" t="inlineStr">
        <is>
          <t>R2A</t>
        </is>
      </c>
      <c r="F1076" s="12" t="inlineStr">
        <is>
          <t>R2A: unit / HRSG electrical e-house (32 x 40 ft)</t>
        </is>
      </c>
      <c r="G1076" s="12" t="inlineStr">
        <is>
          <t>JB-HRSG-1-AI06</t>
        </is>
      </c>
      <c r="H1076" s="12" t="inlineStr">
        <is>
          <t>HRSG 1 + SCR (3P reheat, horizontal)</t>
        </is>
      </c>
      <c r="I1076" s="12" t="inlineStr">
        <is>
          <t>Instrumentation</t>
        </is>
      </c>
      <c r="J1076" s="12" t="inlineStr">
        <is>
          <t>Instrumentation PLTC / TC-ER 300 V, #18 twisted shielded pairs, overall shield</t>
        </is>
      </c>
      <c r="K1076" s="12" t="inlineStr">
        <is>
          <t>PLTC|24 pr|18</t>
        </is>
      </c>
      <c r="L1076" s="12" t="inlineStr">
        <is>
          <t>24 pr</t>
        </is>
      </c>
      <c r="M1076" s="12" t="inlineStr">
        <is>
          <t>18</t>
        </is>
      </c>
      <c r="N1076" s="12" t="n">
        <v>1</v>
      </c>
      <c r="O1076" s="12" t="n">
        <v>1</v>
      </c>
      <c r="P1076" s="12" t="n"/>
      <c r="Q1076" s="12" t="n"/>
      <c r="R1076" s="12" t="n"/>
      <c r="S1076" s="12" t="inlineStr">
        <is>
          <t>Tray</t>
        </is>
      </c>
      <c r="T1076" s="16" t="n">
        <v>0</v>
      </c>
      <c r="U1076" s="16" t="n">
        <v>87</v>
      </c>
      <c r="V1076" s="16">
        <f>ROUNDUP((T1076+U1076+2*'Read Me'!$B$13)*(1+'Read Me'!$B$12),-1)</f>
        <v/>
      </c>
      <c r="W1076" s="16">
        <f>V1076*N1076*O1076</f>
        <v/>
      </c>
      <c r="X1076" s="12">
        <f>IF(LEFT(I1076,2)="MV",2*N1076*IF(L1076="1/C",O1076,1),0)</f>
        <v/>
      </c>
      <c r="Y1076" s="12">
        <f>IF(OR(LEFT(K1076,4)="LVAX",LEFT(K1076,6)="MV15AX",LEFT(K1076,4)="CTAX",LEFT(K1076,2)="W|"),2*N1076*O1076,0)</f>
        <v/>
      </c>
      <c r="Z1076" s="12" t="inlineStr"/>
      <c r="AA1076" s="12">
        <f>N1076*O1076</f>
        <v/>
      </c>
    </row>
    <row r="1077">
      <c r="A1077" s="12" t="inlineStr">
        <is>
          <t>A-I-0355</t>
        </is>
      </c>
      <c r="B1077" s="12" t="inlineStr">
        <is>
          <t>A</t>
        </is>
      </c>
      <c r="C1077" s="12" t="inlineStr">
        <is>
          <t>Power block</t>
        </is>
      </c>
      <c r="D1077" s="12" t="inlineStr">
        <is>
          <t>Analog instrument to JB JB-HRSG-1-AI07: 20 x 1 pr (field cables)</t>
        </is>
      </c>
      <c r="E1077" s="12" t="inlineStr">
        <is>
          <t>HRSG-1</t>
        </is>
      </c>
      <c r="F1077" s="12" t="inlineStr">
        <is>
          <t>HRSG 1 + SCR (3P reheat, horizontal)</t>
        </is>
      </c>
      <c r="G1077" s="12" t="inlineStr">
        <is>
          <t>JB-HRSG-1-AI07</t>
        </is>
      </c>
      <c r="H1077" s="12" t="inlineStr">
        <is>
          <t>HRSG 1 + SCR (3P reheat, horizontal)</t>
        </is>
      </c>
      <c r="I1077" s="12" t="inlineStr">
        <is>
          <t>Instrumentation</t>
        </is>
      </c>
      <c r="J1077" s="12" t="inlineStr">
        <is>
          <t>Instrumentation PLTC / TC-ER 300 V, #18 twisted shielded pairs, overall shield</t>
        </is>
      </c>
      <c r="K1077" s="12" t="inlineStr">
        <is>
          <t>PLTC|1 pr|16</t>
        </is>
      </c>
      <c r="L1077" s="12" t="inlineStr">
        <is>
          <t>1 pr</t>
        </is>
      </c>
      <c r="M1077" s="12" t="inlineStr">
        <is>
          <t>16</t>
        </is>
      </c>
      <c r="N1077" s="12" t="n">
        <v>20</v>
      </c>
      <c r="O1077" s="12" t="n">
        <v>1</v>
      </c>
      <c r="P1077" s="12" t="n"/>
      <c r="Q1077" s="12" t="n"/>
      <c r="R1077" s="12" t="n"/>
      <c r="S1077" s="12" t="inlineStr">
        <is>
          <t>Tray / conduit</t>
        </is>
      </c>
      <c r="T1077" s="16" t="n">
        <v>180</v>
      </c>
      <c r="U1077" s="16" t="n">
        <v>10</v>
      </c>
      <c r="V1077" s="16">
        <f>ROUNDUP((T1077+U1077+2*'Read Me'!$B$13)*(1+'Read Me'!$B$12),-1)</f>
        <v/>
      </c>
      <c r="W1077" s="16">
        <f>V1077*N1077*O1077</f>
        <v/>
      </c>
      <c r="X1077" s="12">
        <f>IF(LEFT(I1077,2)="MV",2*N1077*IF(L1077="1/C",O1077,1),0)</f>
        <v/>
      </c>
      <c r="Y1077" s="12">
        <f>IF(OR(LEFT(K1077,4)="LVAX",LEFT(K1077,6)="MV15AX",LEFT(K1077,4)="CTAX",LEFT(K1077,2)="W|"),2*N1077*O1077,0)</f>
        <v/>
      </c>
      <c r="Z1077" s="12" t="inlineStr">
        <is>
          <t>device-to-JB field wiring, one cable per device</t>
        </is>
      </c>
      <c r="AA1077" s="12">
        <f>N1077*O1077</f>
        <v/>
      </c>
    </row>
    <row r="1078">
      <c r="A1078" s="12" t="inlineStr">
        <is>
          <t>A-I-0356</t>
        </is>
      </c>
      <c r="B1078" s="12" t="inlineStr">
        <is>
          <t>A</t>
        </is>
      </c>
      <c r="C1078" s="12" t="inlineStr">
        <is>
          <t>Power block</t>
        </is>
      </c>
      <c r="D1078" s="12" t="inlineStr">
        <is>
          <t>Home run JB-HRSG-1-AI07 to the control / marshalling room</t>
        </is>
      </c>
      <c r="E1078" s="12" t="inlineStr">
        <is>
          <t>R2A</t>
        </is>
      </c>
      <c r="F1078" s="12" t="inlineStr">
        <is>
          <t>R2A: unit / HRSG electrical e-house (32 x 40 ft)</t>
        </is>
      </c>
      <c r="G1078" s="12" t="inlineStr">
        <is>
          <t>JB-HRSG-1-AI07</t>
        </is>
      </c>
      <c r="H1078" s="12" t="inlineStr">
        <is>
          <t>HRSG 1 + SCR (3P reheat, horizontal)</t>
        </is>
      </c>
      <c r="I1078" s="12" t="inlineStr">
        <is>
          <t>Instrumentation</t>
        </is>
      </c>
      <c r="J1078" s="12" t="inlineStr">
        <is>
          <t>Instrumentation PLTC / TC-ER 300 V, #18 twisted shielded pairs, overall shield</t>
        </is>
      </c>
      <c r="K1078" s="12" t="inlineStr">
        <is>
          <t>PLTC|24 pr|18</t>
        </is>
      </c>
      <c r="L1078" s="12" t="inlineStr">
        <is>
          <t>24 pr</t>
        </is>
      </c>
      <c r="M1078" s="12" t="inlineStr">
        <is>
          <t>18</t>
        </is>
      </c>
      <c r="N1078" s="12" t="n">
        <v>1</v>
      </c>
      <c r="O1078" s="12" t="n">
        <v>1</v>
      </c>
      <c r="P1078" s="12" t="n"/>
      <c r="Q1078" s="12" t="n"/>
      <c r="R1078" s="12" t="n"/>
      <c r="S1078" s="12" t="inlineStr">
        <is>
          <t>Tray</t>
        </is>
      </c>
      <c r="T1078" s="16" t="n">
        <v>0</v>
      </c>
      <c r="U1078" s="16" t="n">
        <v>87</v>
      </c>
      <c r="V1078" s="16">
        <f>ROUNDUP((T1078+U1078+2*'Read Me'!$B$13)*(1+'Read Me'!$B$12),-1)</f>
        <v/>
      </c>
      <c r="W1078" s="16">
        <f>V1078*N1078*O1078</f>
        <v/>
      </c>
      <c r="X1078" s="12">
        <f>IF(LEFT(I1078,2)="MV",2*N1078*IF(L1078="1/C",O1078,1),0)</f>
        <v/>
      </c>
      <c r="Y1078" s="12">
        <f>IF(OR(LEFT(K1078,4)="LVAX",LEFT(K1078,6)="MV15AX",LEFT(K1078,4)="CTAX",LEFT(K1078,2)="W|"),2*N1078*O1078,0)</f>
        <v/>
      </c>
      <c r="Z1078" s="12" t="inlineStr"/>
      <c r="AA1078" s="12">
        <f>N1078*O1078</f>
        <v/>
      </c>
    </row>
    <row r="1079">
      <c r="A1079" s="12" t="inlineStr">
        <is>
          <t>A-I-0357</t>
        </is>
      </c>
      <c r="B1079" s="12" t="inlineStr">
        <is>
          <t>A</t>
        </is>
      </c>
      <c r="C1079" s="12" t="inlineStr">
        <is>
          <t>Power block</t>
        </is>
      </c>
      <c r="D1079" s="12" t="inlineStr">
        <is>
          <t>Analog instrument to JB JB-HRSG-1-AI08: 20 x 1 pr (field cables)</t>
        </is>
      </c>
      <c r="E1079" s="12" t="inlineStr">
        <is>
          <t>HRSG-1</t>
        </is>
      </c>
      <c r="F1079" s="12" t="inlineStr">
        <is>
          <t>HRSG 1 + SCR (3P reheat, horizontal)</t>
        </is>
      </c>
      <c r="G1079" s="12" t="inlineStr">
        <is>
          <t>JB-HRSG-1-AI08</t>
        </is>
      </c>
      <c r="H1079" s="12" t="inlineStr">
        <is>
          <t>HRSG 1 + SCR (3P reheat, horizontal)</t>
        </is>
      </c>
      <c r="I1079" s="12" t="inlineStr">
        <is>
          <t>Instrumentation</t>
        </is>
      </c>
      <c r="J1079" s="12" t="inlineStr">
        <is>
          <t>Instrumentation PLTC / TC-ER 300 V, #18 twisted shielded pairs, overall shield</t>
        </is>
      </c>
      <c r="K1079" s="12" t="inlineStr">
        <is>
          <t>PLTC|1 pr|16</t>
        </is>
      </c>
      <c r="L1079" s="12" t="inlineStr">
        <is>
          <t>1 pr</t>
        </is>
      </c>
      <c r="M1079" s="12" t="inlineStr">
        <is>
          <t>16</t>
        </is>
      </c>
      <c r="N1079" s="12" t="n">
        <v>20</v>
      </c>
      <c r="O1079" s="12" t="n">
        <v>1</v>
      </c>
      <c r="P1079" s="12" t="n"/>
      <c r="Q1079" s="12" t="n"/>
      <c r="R1079" s="12" t="n"/>
      <c r="S1079" s="12" t="inlineStr">
        <is>
          <t>Tray / conduit</t>
        </is>
      </c>
      <c r="T1079" s="16" t="n">
        <v>180</v>
      </c>
      <c r="U1079" s="16" t="n">
        <v>10</v>
      </c>
      <c r="V1079" s="16">
        <f>ROUNDUP((T1079+U1079+2*'Read Me'!$B$13)*(1+'Read Me'!$B$12),-1)</f>
        <v/>
      </c>
      <c r="W1079" s="16">
        <f>V1079*N1079*O1079</f>
        <v/>
      </c>
      <c r="X1079" s="12">
        <f>IF(LEFT(I1079,2)="MV",2*N1079*IF(L1079="1/C",O1079,1),0)</f>
        <v/>
      </c>
      <c r="Y1079" s="12">
        <f>IF(OR(LEFT(K1079,4)="LVAX",LEFT(K1079,6)="MV15AX",LEFT(K1079,4)="CTAX",LEFT(K1079,2)="W|"),2*N1079*O1079,0)</f>
        <v/>
      </c>
      <c r="Z1079" s="12" t="inlineStr">
        <is>
          <t>device-to-JB field wiring, one cable per device</t>
        </is>
      </c>
      <c r="AA1079" s="12">
        <f>N1079*O1079</f>
        <v/>
      </c>
    </row>
    <row r="1080">
      <c r="A1080" s="12" t="inlineStr">
        <is>
          <t>A-I-0358</t>
        </is>
      </c>
      <c r="B1080" s="12" t="inlineStr">
        <is>
          <t>A</t>
        </is>
      </c>
      <c r="C1080" s="12" t="inlineStr">
        <is>
          <t>Power block</t>
        </is>
      </c>
      <c r="D1080" s="12" t="inlineStr">
        <is>
          <t>Home run JB-HRSG-1-AI08 to the control / marshalling room</t>
        </is>
      </c>
      <c r="E1080" s="12" t="inlineStr">
        <is>
          <t>R2A</t>
        </is>
      </c>
      <c r="F1080" s="12" t="inlineStr">
        <is>
          <t>R2A: unit / HRSG electrical e-house (32 x 40 ft)</t>
        </is>
      </c>
      <c r="G1080" s="12" t="inlineStr">
        <is>
          <t>JB-HRSG-1-AI08</t>
        </is>
      </c>
      <c r="H1080" s="12" t="inlineStr">
        <is>
          <t>HRSG 1 + SCR (3P reheat, horizontal)</t>
        </is>
      </c>
      <c r="I1080" s="12" t="inlineStr">
        <is>
          <t>Instrumentation</t>
        </is>
      </c>
      <c r="J1080" s="12" t="inlineStr">
        <is>
          <t>Instrumentation PLTC / TC-ER 300 V, #18 twisted shielded pairs, overall shield</t>
        </is>
      </c>
      <c r="K1080" s="12" t="inlineStr">
        <is>
          <t>PLTC|24 pr|18</t>
        </is>
      </c>
      <c r="L1080" s="12" t="inlineStr">
        <is>
          <t>24 pr</t>
        </is>
      </c>
      <c r="M1080" s="12" t="inlineStr">
        <is>
          <t>18</t>
        </is>
      </c>
      <c r="N1080" s="12" t="n">
        <v>1</v>
      </c>
      <c r="O1080" s="12" t="n">
        <v>1</v>
      </c>
      <c r="P1080" s="12" t="n"/>
      <c r="Q1080" s="12" t="n"/>
      <c r="R1080" s="12" t="n"/>
      <c r="S1080" s="12" t="inlineStr">
        <is>
          <t>Tray</t>
        </is>
      </c>
      <c r="T1080" s="16" t="n">
        <v>0</v>
      </c>
      <c r="U1080" s="16" t="n">
        <v>87</v>
      </c>
      <c r="V1080" s="16">
        <f>ROUNDUP((T1080+U1080+2*'Read Me'!$B$13)*(1+'Read Me'!$B$12),-1)</f>
        <v/>
      </c>
      <c r="W1080" s="16">
        <f>V1080*N1080*O1080</f>
        <v/>
      </c>
      <c r="X1080" s="12">
        <f>IF(LEFT(I1080,2)="MV",2*N1080*IF(L1080="1/C",O1080,1),0)</f>
        <v/>
      </c>
      <c r="Y1080" s="12">
        <f>IF(OR(LEFT(K1080,4)="LVAX",LEFT(K1080,6)="MV15AX",LEFT(K1080,4)="CTAX",LEFT(K1080,2)="W|"),2*N1080*O1080,0)</f>
        <v/>
      </c>
      <c r="Z1080" s="12" t="inlineStr"/>
      <c r="AA1080" s="12">
        <f>N1080*O1080</f>
        <v/>
      </c>
    </row>
    <row r="1081">
      <c r="A1081" s="12" t="inlineStr">
        <is>
          <t>A-I-0359</t>
        </is>
      </c>
      <c r="B1081" s="12" t="inlineStr">
        <is>
          <t>A</t>
        </is>
      </c>
      <c r="C1081" s="12" t="inlineStr">
        <is>
          <t>Power block</t>
        </is>
      </c>
      <c r="D1081" s="12" t="inlineStr">
        <is>
          <t>Discrete device to JB JB-HRSG-1-DI01: 20 x 1 pr (field cables)</t>
        </is>
      </c>
      <c r="E1081" s="12" t="inlineStr">
        <is>
          <t>HRSG-1</t>
        </is>
      </c>
      <c r="F1081" s="12" t="inlineStr">
        <is>
          <t>HRSG 1 + SCR (3P reheat, horizontal)</t>
        </is>
      </c>
      <c r="G1081" s="12" t="inlineStr">
        <is>
          <t>JB-HRSG-1-DI01</t>
        </is>
      </c>
      <c r="H1081" s="12" t="inlineStr">
        <is>
          <t>HRSG 1 + SCR (3P reheat, horizontal)</t>
        </is>
      </c>
      <c r="I1081" s="12" t="inlineStr">
        <is>
          <t>Instrumentation</t>
        </is>
      </c>
      <c r="J1081" s="12" t="inlineStr">
        <is>
          <t>Instrumentation PLTC / TC-ER 300 V, #18 twisted shielded pairs, overall shield</t>
        </is>
      </c>
      <c r="K1081" s="12" t="inlineStr">
        <is>
          <t>PLTC|1 pr|16</t>
        </is>
      </c>
      <c r="L1081" s="12" t="inlineStr">
        <is>
          <t>1 pr</t>
        </is>
      </c>
      <c r="M1081" s="12" t="inlineStr">
        <is>
          <t>16</t>
        </is>
      </c>
      <c r="N1081" s="12" t="n">
        <v>20</v>
      </c>
      <c r="O1081" s="12" t="n">
        <v>1</v>
      </c>
      <c r="P1081" s="12" t="n"/>
      <c r="Q1081" s="12" t="n"/>
      <c r="R1081" s="12" t="n"/>
      <c r="S1081" s="12" t="inlineStr">
        <is>
          <t>Tray / conduit</t>
        </is>
      </c>
      <c r="T1081" s="16" t="n">
        <v>180</v>
      </c>
      <c r="U1081" s="16" t="n">
        <v>10</v>
      </c>
      <c r="V1081" s="16">
        <f>ROUNDUP((T1081+U1081+2*'Read Me'!$B$13)*(1+'Read Me'!$B$12),-1)</f>
        <v/>
      </c>
      <c r="W1081" s="16">
        <f>V1081*N1081*O1081</f>
        <v/>
      </c>
      <c r="X1081" s="12">
        <f>IF(LEFT(I1081,2)="MV",2*N1081*IF(L1081="1/C",O1081,1),0)</f>
        <v/>
      </c>
      <c r="Y1081" s="12">
        <f>IF(OR(LEFT(K1081,4)="LVAX",LEFT(K1081,6)="MV15AX",LEFT(K1081,4)="CTAX",LEFT(K1081,2)="W|"),2*N1081*O1081,0)</f>
        <v/>
      </c>
      <c r="Z1081" s="12" t="inlineStr">
        <is>
          <t>device-to-JB field wiring, one cable per device</t>
        </is>
      </c>
      <c r="AA1081" s="12">
        <f>N1081*O1081</f>
        <v/>
      </c>
    </row>
    <row r="1082">
      <c r="A1082" s="12" t="inlineStr">
        <is>
          <t>A-I-0360</t>
        </is>
      </c>
      <c r="B1082" s="12" t="inlineStr">
        <is>
          <t>A</t>
        </is>
      </c>
      <c r="C1082" s="12" t="inlineStr">
        <is>
          <t>Power block</t>
        </is>
      </c>
      <c r="D1082" s="12" t="inlineStr">
        <is>
          <t>Home run JB-HRSG-1-DI01 to the control / marshalling room</t>
        </is>
      </c>
      <c r="E1082" s="12" t="inlineStr">
        <is>
          <t>R2A</t>
        </is>
      </c>
      <c r="F1082" s="12" t="inlineStr">
        <is>
          <t>R2A: unit / HRSG electrical e-house (32 x 40 ft)</t>
        </is>
      </c>
      <c r="G1082" s="12" t="inlineStr">
        <is>
          <t>JB-HRSG-1-DI01</t>
        </is>
      </c>
      <c r="H1082" s="12" t="inlineStr">
        <is>
          <t>HRSG 1 + SCR (3P reheat, horizontal)</t>
        </is>
      </c>
      <c r="I1082" s="12" t="inlineStr">
        <is>
          <t>Instrumentation</t>
        </is>
      </c>
      <c r="J1082" s="12" t="inlineStr">
        <is>
          <t>Instrumentation PLTC / TC-ER 300 V, #18 twisted shielded pairs, overall shield</t>
        </is>
      </c>
      <c r="K1082" s="12" t="inlineStr">
        <is>
          <t>PLTC|24 pr|18</t>
        </is>
      </c>
      <c r="L1082" s="12" t="inlineStr">
        <is>
          <t>24 pr</t>
        </is>
      </c>
      <c r="M1082" s="12" t="inlineStr">
        <is>
          <t>18</t>
        </is>
      </c>
      <c r="N1082" s="12" t="n">
        <v>1</v>
      </c>
      <c r="O1082" s="12" t="n">
        <v>1</v>
      </c>
      <c r="P1082" s="12" t="n"/>
      <c r="Q1082" s="12" t="n"/>
      <c r="R1082" s="12" t="n"/>
      <c r="S1082" s="12" t="inlineStr">
        <is>
          <t>Tray</t>
        </is>
      </c>
      <c r="T1082" s="16" t="n">
        <v>0</v>
      </c>
      <c r="U1082" s="16" t="n">
        <v>87</v>
      </c>
      <c r="V1082" s="16">
        <f>ROUNDUP((T1082+U1082+2*'Read Me'!$B$13)*(1+'Read Me'!$B$12),-1)</f>
        <v/>
      </c>
      <c r="W1082" s="16">
        <f>V1082*N1082*O1082</f>
        <v/>
      </c>
      <c r="X1082" s="12">
        <f>IF(LEFT(I1082,2)="MV",2*N1082*IF(L1082="1/C",O1082,1),0)</f>
        <v/>
      </c>
      <c r="Y1082" s="12">
        <f>IF(OR(LEFT(K1082,4)="LVAX",LEFT(K1082,6)="MV15AX",LEFT(K1082,4)="CTAX",LEFT(K1082,2)="W|"),2*N1082*O1082,0)</f>
        <v/>
      </c>
      <c r="Z1082" s="12" t="inlineStr"/>
      <c r="AA1082" s="12">
        <f>N1082*O1082</f>
        <v/>
      </c>
    </row>
    <row r="1083">
      <c r="A1083" s="12" t="inlineStr">
        <is>
          <t>A-I-0361</t>
        </is>
      </c>
      <c r="B1083" s="12" t="inlineStr">
        <is>
          <t>A</t>
        </is>
      </c>
      <c r="C1083" s="12" t="inlineStr">
        <is>
          <t>Power block</t>
        </is>
      </c>
      <c r="D1083" s="12" t="inlineStr">
        <is>
          <t>Discrete device to JB JB-HRSG-1-DI02: 20 x 1 pr (field cables)</t>
        </is>
      </c>
      <c r="E1083" s="12" t="inlineStr">
        <is>
          <t>HRSG-1</t>
        </is>
      </c>
      <c r="F1083" s="12" t="inlineStr">
        <is>
          <t>HRSG 1 + SCR (3P reheat, horizontal)</t>
        </is>
      </c>
      <c r="G1083" s="12" t="inlineStr">
        <is>
          <t>JB-HRSG-1-DI02</t>
        </is>
      </c>
      <c r="H1083" s="12" t="inlineStr">
        <is>
          <t>HRSG 1 + SCR (3P reheat, horizontal)</t>
        </is>
      </c>
      <c r="I1083" s="12" t="inlineStr">
        <is>
          <t>Instrumentation</t>
        </is>
      </c>
      <c r="J1083" s="12" t="inlineStr">
        <is>
          <t>Instrumentation PLTC / TC-ER 300 V, #18 twisted shielded pairs, overall shield</t>
        </is>
      </c>
      <c r="K1083" s="12" t="inlineStr">
        <is>
          <t>PLTC|1 pr|16</t>
        </is>
      </c>
      <c r="L1083" s="12" t="inlineStr">
        <is>
          <t>1 pr</t>
        </is>
      </c>
      <c r="M1083" s="12" t="inlineStr">
        <is>
          <t>16</t>
        </is>
      </c>
      <c r="N1083" s="12" t="n">
        <v>20</v>
      </c>
      <c r="O1083" s="12" t="n">
        <v>1</v>
      </c>
      <c r="P1083" s="12" t="n"/>
      <c r="Q1083" s="12" t="n"/>
      <c r="R1083" s="12" t="n"/>
      <c r="S1083" s="12" t="inlineStr">
        <is>
          <t>Tray / conduit</t>
        </is>
      </c>
      <c r="T1083" s="16" t="n">
        <v>180</v>
      </c>
      <c r="U1083" s="16" t="n">
        <v>10</v>
      </c>
      <c r="V1083" s="16">
        <f>ROUNDUP((T1083+U1083+2*'Read Me'!$B$13)*(1+'Read Me'!$B$12),-1)</f>
        <v/>
      </c>
      <c r="W1083" s="16">
        <f>V1083*N1083*O1083</f>
        <v/>
      </c>
      <c r="X1083" s="12">
        <f>IF(LEFT(I1083,2)="MV",2*N1083*IF(L1083="1/C",O1083,1),0)</f>
        <v/>
      </c>
      <c r="Y1083" s="12">
        <f>IF(OR(LEFT(K1083,4)="LVAX",LEFT(K1083,6)="MV15AX",LEFT(K1083,4)="CTAX",LEFT(K1083,2)="W|"),2*N1083*O1083,0)</f>
        <v/>
      </c>
      <c r="Z1083" s="12" t="inlineStr">
        <is>
          <t>device-to-JB field wiring, one cable per device</t>
        </is>
      </c>
      <c r="AA1083" s="12">
        <f>N1083*O1083</f>
        <v/>
      </c>
    </row>
    <row r="1084">
      <c r="A1084" s="12" t="inlineStr">
        <is>
          <t>A-I-0362</t>
        </is>
      </c>
      <c r="B1084" s="12" t="inlineStr">
        <is>
          <t>A</t>
        </is>
      </c>
      <c r="C1084" s="12" t="inlineStr">
        <is>
          <t>Power block</t>
        </is>
      </c>
      <c r="D1084" s="12" t="inlineStr">
        <is>
          <t>Home run JB-HRSG-1-DI02 to the control / marshalling room</t>
        </is>
      </c>
      <c r="E1084" s="12" t="inlineStr">
        <is>
          <t>R2A</t>
        </is>
      </c>
      <c r="F1084" s="12" t="inlineStr">
        <is>
          <t>R2A: unit / HRSG electrical e-house (32 x 40 ft)</t>
        </is>
      </c>
      <c r="G1084" s="12" t="inlineStr">
        <is>
          <t>JB-HRSG-1-DI02</t>
        </is>
      </c>
      <c r="H1084" s="12" t="inlineStr">
        <is>
          <t>HRSG 1 + SCR (3P reheat, horizontal)</t>
        </is>
      </c>
      <c r="I1084" s="12" t="inlineStr">
        <is>
          <t>Instrumentation</t>
        </is>
      </c>
      <c r="J1084" s="12" t="inlineStr">
        <is>
          <t>Instrumentation PLTC / TC-ER 300 V, #18 twisted shielded pairs, overall shield</t>
        </is>
      </c>
      <c r="K1084" s="12" t="inlineStr">
        <is>
          <t>PLTC|24 pr|18</t>
        </is>
      </c>
      <c r="L1084" s="12" t="inlineStr">
        <is>
          <t>24 pr</t>
        </is>
      </c>
      <c r="M1084" s="12" t="inlineStr">
        <is>
          <t>18</t>
        </is>
      </c>
      <c r="N1084" s="12" t="n">
        <v>1</v>
      </c>
      <c r="O1084" s="12" t="n">
        <v>1</v>
      </c>
      <c r="P1084" s="12" t="n"/>
      <c r="Q1084" s="12" t="n"/>
      <c r="R1084" s="12" t="n"/>
      <c r="S1084" s="12" t="inlineStr">
        <is>
          <t>Tray</t>
        </is>
      </c>
      <c r="T1084" s="16" t="n">
        <v>0</v>
      </c>
      <c r="U1084" s="16" t="n">
        <v>87</v>
      </c>
      <c r="V1084" s="16">
        <f>ROUNDUP((T1084+U1084+2*'Read Me'!$B$13)*(1+'Read Me'!$B$12),-1)</f>
        <v/>
      </c>
      <c r="W1084" s="16">
        <f>V1084*N1084*O1084</f>
        <v/>
      </c>
      <c r="X1084" s="12">
        <f>IF(LEFT(I1084,2)="MV",2*N1084*IF(L1084="1/C",O1084,1),0)</f>
        <v/>
      </c>
      <c r="Y1084" s="12">
        <f>IF(OR(LEFT(K1084,4)="LVAX",LEFT(K1084,6)="MV15AX",LEFT(K1084,4)="CTAX",LEFT(K1084,2)="W|"),2*N1084*O1084,0)</f>
        <v/>
      </c>
      <c r="Z1084" s="12" t="inlineStr"/>
      <c r="AA1084" s="12">
        <f>N1084*O1084</f>
        <v/>
      </c>
    </row>
    <row r="1085">
      <c r="A1085" s="12" t="inlineStr">
        <is>
          <t>A-I-0363</t>
        </is>
      </c>
      <c r="B1085" s="12" t="inlineStr">
        <is>
          <t>A</t>
        </is>
      </c>
      <c r="C1085" s="12" t="inlineStr">
        <is>
          <t>Power block</t>
        </is>
      </c>
      <c r="D1085" s="12" t="inlineStr">
        <is>
          <t>Discrete device to JB JB-HRSG-1-DI03: 20 x 1 pr (field cables)</t>
        </is>
      </c>
      <c r="E1085" s="12" t="inlineStr">
        <is>
          <t>HRSG-1</t>
        </is>
      </c>
      <c r="F1085" s="12" t="inlineStr">
        <is>
          <t>HRSG 1 + SCR (3P reheat, horizontal)</t>
        </is>
      </c>
      <c r="G1085" s="12" t="inlineStr">
        <is>
          <t>JB-HRSG-1-DI03</t>
        </is>
      </c>
      <c r="H1085" s="12" t="inlineStr">
        <is>
          <t>HRSG 1 + SCR (3P reheat, horizontal)</t>
        </is>
      </c>
      <c r="I1085" s="12" t="inlineStr">
        <is>
          <t>Instrumentation</t>
        </is>
      </c>
      <c r="J1085" s="12" t="inlineStr">
        <is>
          <t>Instrumentation PLTC / TC-ER 300 V, #18 twisted shielded pairs, overall shield</t>
        </is>
      </c>
      <c r="K1085" s="12" t="inlineStr">
        <is>
          <t>PLTC|1 pr|16</t>
        </is>
      </c>
      <c r="L1085" s="12" t="inlineStr">
        <is>
          <t>1 pr</t>
        </is>
      </c>
      <c r="M1085" s="12" t="inlineStr">
        <is>
          <t>16</t>
        </is>
      </c>
      <c r="N1085" s="12" t="n">
        <v>20</v>
      </c>
      <c r="O1085" s="12" t="n">
        <v>1</v>
      </c>
      <c r="P1085" s="12" t="n"/>
      <c r="Q1085" s="12" t="n"/>
      <c r="R1085" s="12" t="n"/>
      <c r="S1085" s="12" t="inlineStr">
        <is>
          <t>Tray / conduit</t>
        </is>
      </c>
      <c r="T1085" s="16" t="n">
        <v>180</v>
      </c>
      <c r="U1085" s="16" t="n">
        <v>10</v>
      </c>
      <c r="V1085" s="16">
        <f>ROUNDUP((T1085+U1085+2*'Read Me'!$B$13)*(1+'Read Me'!$B$12),-1)</f>
        <v/>
      </c>
      <c r="W1085" s="16">
        <f>V1085*N1085*O1085</f>
        <v/>
      </c>
      <c r="X1085" s="12">
        <f>IF(LEFT(I1085,2)="MV",2*N1085*IF(L1085="1/C",O1085,1),0)</f>
        <v/>
      </c>
      <c r="Y1085" s="12">
        <f>IF(OR(LEFT(K1085,4)="LVAX",LEFT(K1085,6)="MV15AX",LEFT(K1085,4)="CTAX",LEFT(K1085,2)="W|"),2*N1085*O1085,0)</f>
        <v/>
      </c>
      <c r="Z1085" s="12" t="inlineStr">
        <is>
          <t>device-to-JB field wiring, one cable per device</t>
        </is>
      </c>
      <c r="AA1085" s="12">
        <f>N1085*O1085</f>
        <v/>
      </c>
    </row>
    <row r="1086">
      <c r="A1086" s="12" t="inlineStr">
        <is>
          <t>A-I-0364</t>
        </is>
      </c>
      <c r="B1086" s="12" t="inlineStr">
        <is>
          <t>A</t>
        </is>
      </c>
      <c r="C1086" s="12" t="inlineStr">
        <is>
          <t>Power block</t>
        </is>
      </c>
      <c r="D1086" s="12" t="inlineStr">
        <is>
          <t>Home run JB-HRSG-1-DI03 to the control / marshalling room</t>
        </is>
      </c>
      <c r="E1086" s="12" t="inlineStr">
        <is>
          <t>R2A</t>
        </is>
      </c>
      <c r="F1086" s="12" t="inlineStr">
        <is>
          <t>R2A: unit / HRSG electrical e-house (32 x 40 ft)</t>
        </is>
      </c>
      <c r="G1086" s="12" t="inlineStr">
        <is>
          <t>JB-HRSG-1-DI03</t>
        </is>
      </c>
      <c r="H1086" s="12" t="inlineStr">
        <is>
          <t>HRSG 1 + SCR (3P reheat, horizontal)</t>
        </is>
      </c>
      <c r="I1086" s="12" t="inlineStr">
        <is>
          <t>Instrumentation</t>
        </is>
      </c>
      <c r="J1086" s="12" t="inlineStr">
        <is>
          <t>Instrumentation PLTC / TC-ER 300 V, #18 twisted shielded pairs, overall shield</t>
        </is>
      </c>
      <c r="K1086" s="12" t="inlineStr">
        <is>
          <t>PLTC|24 pr|18</t>
        </is>
      </c>
      <c r="L1086" s="12" t="inlineStr">
        <is>
          <t>24 pr</t>
        </is>
      </c>
      <c r="M1086" s="12" t="inlineStr">
        <is>
          <t>18</t>
        </is>
      </c>
      <c r="N1086" s="12" t="n">
        <v>1</v>
      </c>
      <c r="O1086" s="12" t="n">
        <v>1</v>
      </c>
      <c r="P1086" s="12" t="n"/>
      <c r="Q1086" s="12" t="n"/>
      <c r="R1086" s="12" t="n"/>
      <c r="S1086" s="12" t="inlineStr">
        <is>
          <t>Tray</t>
        </is>
      </c>
      <c r="T1086" s="16" t="n">
        <v>0</v>
      </c>
      <c r="U1086" s="16" t="n">
        <v>87</v>
      </c>
      <c r="V1086" s="16">
        <f>ROUNDUP((T1086+U1086+2*'Read Me'!$B$13)*(1+'Read Me'!$B$12),-1)</f>
        <v/>
      </c>
      <c r="W1086" s="16">
        <f>V1086*N1086*O1086</f>
        <v/>
      </c>
      <c r="X1086" s="12">
        <f>IF(LEFT(I1086,2)="MV",2*N1086*IF(L1086="1/C",O1086,1),0)</f>
        <v/>
      </c>
      <c r="Y1086" s="12">
        <f>IF(OR(LEFT(K1086,4)="LVAX",LEFT(K1086,6)="MV15AX",LEFT(K1086,4)="CTAX",LEFT(K1086,2)="W|"),2*N1086*O1086,0)</f>
        <v/>
      </c>
      <c r="Z1086" s="12" t="inlineStr"/>
      <c r="AA1086" s="12">
        <f>N1086*O1086</f>
        <v/>
      </c>
    </row>
    <row r="1087">
      <c r="A1087" s="12" t="inlineStr">
        <is>
          <t>A-I-0365</t>
        </is>
      </c>
      <c r="B1087" s="12" t="inlineStr">
        <is>
          <t>A</t>
        </is>
      </c>
      <c r="C1087" s="12" t="inlineStr">
        <is>
          <t>Power block</t>
        </is>
      </c>
      <c r="D1087" s="12" t="inlineStr">
        <is>
          <t>Discrete device to JB JB-HRSG-1-DI04: 20 x 1 pr (field cables)</t>
        </is>
      </c>
      <c r="E1087" s="12" t="inlineStr">
        <is>
          <t>HRSG-1</t>
        </is>
      </c>
      <c r="F1087" s="12" t="inlineStr">
        <is>
          <t>HRSG 1 + SCR (3P reheat, horizontal)</t>
        </is>
      </c>
      <c r="G1087" s="12" t="inlineStr">
        <is>
          <t>JB-HRSG-1-DI04</t>
        </is>
      </c>
      <c r="H1087" s="12" t="inlineStr">
        <is>
          <t>HRSG 1 + SCR (3P reheat, horizontal)</t>
        </is>
      </c>
      <c r="I1087" s="12" t="inlineStr">
        <is>
          <t>Instrumentation</t>
        </is>
      </c>
      <c r="J1087" s="12" t="inlineStr">
        <is>
          <t>Instrumentation PLTC / TC-ER 300 V, #18 twisted shielded pairs, overall shield</t>
        </is>
      </c>
      <c r="K1087" s="12" t="inlineStr">
        <is>
          <t>PLTC|1 pr|16</t>
        </is>
      </c>
      <c r="L1087" s="12" t="inlineStr">
        <is>
          <t>1 pr</t>
        </is>
      </c>
      <c r="M1087" s="12" t="inlineStr">
        <is>
          <t>16</t>
        </is>
      </c>
      <c r="N1087" s="12" t="n">
        <v>20</v>
      </c>
      <c r="O1087" s="12" t="n">
        <v>1</v>
      </c>
      <c r="P1087" s="12" t="n"/>
      <c r="Q1087" s="12" t="n"/>
      <c r="R1087" s="12" t="n"/>
      <c r="S1087" s="12" t="inlineStr">
        <is>
          <t>Tray / conduit</t>
        </is>
      </c>
      <c r="T1087" s="16" t="n">
        <v>180</v>
      </c>
      <c r="U1087" s="16" t="n">
        <v>10</v>
      </c>
      <c r="V1087" s="16">
        <f>ROUNDUP((T1087+U1087+2*'Read Me'!$B$13)*(1+'Read Me'!$B$12),-1)</f>
        <v/>
      </c>
      <c r="W1087" s="16">
        <f>V1087*N1087*O1087</f>
        <v/>
      </c>
      <c r="X1087" s="12">
        <f>IF(LEFT(I1087,2)="MV",2*N1087*IF(L1087="1/C",O1087,1),0)</f>
        <v/>
      </c>
      <c r="Y1087" s="12">
        <f>IF(OR(LEFT(K1087,4)="LVAX",LEFT(K1087,6)="MV15AX",LEFT(K1087,4)="CTAX",LEFT(K1087,2)="W|"),2*N1087*O1087,0)</f>
        <v/>
      </c>
      <c r="Z1087" s="12" t="inlineStr">
        <is>
          <t>device-to-JB field wiring, one cable per device</t>
        </is>
      </c>
      <c r="AA1087" s="12">
        <f>N1087*O1087</f>
        <v/>
      </c>
    </row>
    <row r="1088">
      <c r="A1088" s="12" t="inlineStr">
        <is>
          <t>A-I-0366</t>
        </is>
      </c>
      <c r="B1088" s="12" t="inlineStr">
        <is>
          <t>A</t>
        </is>
      </c>
      <c r="C1088" s="12" t="inlineStr">
        <is>
          <t>Power block</t>
        </is>
      </c>
      <c r="D1088" s="12" t="inlineStr">
        <is>
          <t>Home run JB-HRSG-1-DI04 to the control / marshalling room</t>
        </is>
      </c>
      <c r="E1088" s="12" t="inlineStr">
        <is>
          <t>R2A</t>
        </is>
      </c>
      <c r="F1088" s="12" t="inlineStr">
        <is>
          <t>R2A: unit / HRSG electrical e-house (32 x 40 ft)</t>
        </is>
      </c>
      <c r="G1088" s="12" t="inlineStr">
        <is>
          <t>JB-HRSG-1-DI04</t>
        </is>
      </c>
      <c r="H1088" s="12" t="inlineStr">
        <is>
          <t>HRSG 1 + SCR (3P reheat, horizontal)</t>
        </is>
      </c>
      <c r="I1088" s="12" t="inlineStr">
        <is>
          <t>Instrumentation</t>
        </is>
      </c>
      <c r="J1088" s="12" t="inlineStr">
        <is>
          <t>Instrumentation PLTC / TC-ER 300 V, #18 twisted shielded pairs, overall shield</t>
        </is>
      </c>
      <c r="K1088" s="12" t="inlineStr">
        <is>
          <t>PLTC|24 pr|18</t>
        </is>
      </c>
      <c r="L1088" s="12" t="inlineStr">
        <is>
          <t>24 pr</t>
        </is>
      </c>
      <c r="M1088" s="12" t="inlineStr">
        <is>
          <t>18</t>
        </is>
      </c>
      <c r="N1088" s="12" t="n">
        <v>1</v>
      </c>
      <c r="O1088" s="12" t="n">
        <v>1</v>
      </c>
      <c r="P1088" s="12" t="n"/>
      <c r="Q1088" s="12" t="n"/>
      <c r="R1088" s="12" t="n"/>
      <c r="S1088" s="12" t="inlineStr">
        <is>
          <t>Tray</t>
        </is>
      </c>
      <c r="T1088" s="16" t="n">
        <v>0</v>
      </c>
      <c r="U1088" s="16" t="n">
        <v>87</v>
      </c>
      <c r="V1088" s="16">
        <f>ROUNDUP((T1088+U1088+2*'Read Me'!$B$13)*(1+'Read Me'!$B$12),-1)</f>
        <v/>
      </c>
      <c r="W1088" s="16">
        <f>V1088*N1088*O1088</f>
        <v/>
      </c>
      <c r="X1088" s="12">
        <f>IF(LEFT(I1088,2)="MV",2*N1088*IF(L1088="1/C",O1088,1),0)</f>
        <v/>
      </c>
      <c r="Y1088" s="12">
        <f>IF(OR(LEFT(K1088,4)="LVAX",LEFT(K1088,6)="MV15AX",LEFT(K1088,4)="CTAX",LEFT(K1088,2)="W|"),2*N1088*O1088,0)</f>
        <v/>
      </c>
      <c r="Z1088" s="12" t="inlineStr"/>
      <c r="AA1088" s="12">
        <f>N1088*O1088</f>
        <v/>
      </c>
    </row>
    <row r="1089">
      <c r="A1089" s="12" t="inlineStr">
        <is>
          <t>A-I-0367</t>
        </is>
      </c>
      <c r="B1089" s="12" t="inlineStr">
        <is>
          <t>A</t>
        </is>
      </c>
      <c r="C1089" s="12" t="inlineStr">
        <is>
          <t>Power block</t>
        </is>
      </c>
      <c r="D1089" s="12" t="inlineStr">
        <is>
          <t>Thermocouple to TC JB JB-HRSG-1-TC01: 20 x 1 pr (field cables)</t>
        </is>
      </c>
      <c r="E1089" s="12" t="inlineStr">
        <is>
          <t>HRSG-1</t>
        </is>
      </c>
      <c r="F1089" s="12" t="inlineStr">
        <is>
          <t>HRSG 1 + SCR (3P reheat, horizontal)</t>
        </is>
      </c>
      <c r="G1089" s="12" t="inlineStr">
        <is>
          <t>JB-HRSG-1-TC01</t>
        </is>
      </c>
      <c r="H1089" s="12" t="inlineStr">
        <is>
          <t>HRSG 1 + SCR (3P reheat, horizontal)</t>
        </is>
      </c>
      <c r="I1089" s="12" t="inlineStr">
        <is>
          <t>Instrumentation</t>
        </is>
      </c>
      <c r="J1089" s="12" t="inlineStr">
        <is>
          <t>Thermocouple extension KX, #16 shielded pairs, PLTC</t>
        </is>
      </c>
      <c r="K1089" s="12" t="inlineStr">
        <is>
          <t>TCX|1 pr|16</t>
        </is>
      </c>
      <c r="L1089" s="12" t="inlineStr">
        <is>
          <t>1 pr</t>
        </is>
      </c>
      <c r="M1089" s="12" t="inlineStr">
        <is>
          <t>16</t>
        </is>
      </c>
      <c r="N1089" s="12" t="n">
        <v>20</v>
      </c>
      <c r="O1089" s="12" t="n">
        <v>1</v>
      </c>
      <c r="P1089" s="12" t="n"/>
      <c r="Q1089" s="12" t="n"/>
      <c r="R1089" s="12" t="n"/>
      <c r="S1089" s="12" t="inlineStr">
        <is>
          <t>Tray / conduit</t>
        </is>
      </c>
      <c r="T1089" s="16" t="n">
        <v>180</v>
      </c>
      <c r="U1089" s="16" t="n">
        <v>10</v>
      </c>
      <c r="V1089" s="16">
        <f>ROUNDUP((T1089+U1089+2*'Read Me'!$B$13)*(1+'Read Me'!$B$12),-1)</f>
        <v/>
      </c>
      <c r="W1089" s="16">
        <f>V1089*N1089*O1089</f>
        <v/>
      </c>
      <c r="X1089" s="12">
        <f>IF(LEFT(I1089,2)="MV",2*N1089*IF(L1089="1/C",O1089,1),0)</f>
        <v/>
      </c>
      <c r="Y1089" s="12">
        <f>IF(OR(LEFT(K1089,4)="LVAX",LEFT(K1089,6)="MV15AX",LEFT(K1089,4)="CTAX",LEFT(K1089,2)="W|"),2*N1089*O1089,0)</f>
        <v/>
      </c>
      <c r="Z1089" s="12" t="inlineStr">
        <is>
          <t>device-to-JB field wiring, one cable per device</t>
        </is>
      </c>
      <c r="AA1089" s="12">
        <f>N1089*O1089</f>
        <v/>
      </c>
    </row>
    <row r="1090">
      <c r="A1090" s="12" t="inlineStr">
        <is>
          <t>A-I-0368</t>
        </is>
      </c>
      <c r="B1090" s="12" t="inlineStr">
        <is>
          <t>A</t>
        </is>
      </c>
      <c r="C1090" s="12" t="inlineStr">
        <is>
          <t>Power block</t>
        </is>
      </c>
      <c r="D1090" s="12" t="inlineStr">
        <is>
          <t>Home run JB-HRSG-1-TC01 to the control / marshalling room</t>
        </is>
      </c>
      <c r="E1090" s="12" t="inlineStr">
        <is>
          <t>R2A</t>
        </is>
      </c>
      <c r="F1090" s="12" t="inlineStr">
        <is>
          <t>R2A: unit / HRSG electrical e-house (32 x 40 ft)</t>
        </is>
      </c>
      <c r="G1090" s="12" t="inlineStr">
        <is>
          <t>JB-HRSG-1-TC01</t>
        </is>
      </c>
      <c r="H1090" s="12" t="inlineStr">
        <is>
          <t>HRSG 1 + SCR (3P reheat, horizontal)</t>
        </is>
      </c>
      <c r="I1090" s="12" t="inlineStr">
        <is>
          <t>Instrumentation</t>
        </is>
      </c>
      <c r="J1090" s="12" t="inlineStr">
        <is>
          <t>Thermocouple extension KX, #16 shielded pairs, PLTC</t>
        </is>
      </c>
      <c r="K1090" s="12" t="inlineStr">
        <is>
          <t>TCX|24 pr|16</t>
        </is>
      </c>
      <c r="L1090" s="12" t="inlineStr">
        <is>
          <t>24 pr</t>
        </is>
      </c>
      <c r="M1090" s="12" t="inlineStr">
        <is>
          <t>16</t>
        </is>
      </c>
      <c r="N1090" s="12" t="n">
        <v>1</v>
      </c>
      <c r="O1090" s="12" t="n">
        <v>1</v>
      </c>
      <c r="P1090" s="12" t="n"/>
      <c r="Q1090" s="12" t="n"/>
      <c r="R1090" s="12" t="n"/>
      <c r="S1090" s="12" t="inlineStr">
        <is>
          <t>Tray</t>
        </is>
      </c>
      <c r="T1090" s="16" t="n">
        <v>0</v>
      </c>
      <c r="U1090" s="16" t="n">
        <v>87</v>
      </c>
      <c r="V1090" s="16">
        <f>ROUNDUP((T1090+U1090+2*'Read Me'!$B$13)*(1+'Read Me'!$B$12),-1)</f>
        <v/>
      </c>
      <c r="W1090" s="16">
        <f>V1090*N1090*O1090</f>
        <v/>
      </c>
      <c r="X1090" s="12">
        <f>IF(LEFT(I1090,2)="MV",2*N1090*IF(L1090="1/C",O1090,1),0)</f>
        <v/>
      </c>
      <c r="Y1090" s="12">
        <f>IF(OR(LEFT(K1090,4)="LVAX",LEFT(K1090,6)="MV15AX",LEFT(K1090,4)="CTAX",LEFT(K1090,2)="W|"),2*N1090*O1090,0)</f>
        <v/>
      </c>
      <c r="Z1090" s="12" t="inlineStr"/>
      <c r="AA1090" s="12">
        <f>N1090*O1090</f>
        <v/>
      </c>
    </row>
    <row r="1091">
      <c r="A1091" s="12" t="inlineStr">
        <is>
          <t>A-I-0369</t>
        </is>
      </c>
      <c r="B1091" s="12" t="inlineStr">
        <is>
          <t>A</t>
        </is>
      </c>
      <c r="C1091" s="12" t="inlineStr">
        <is>
          <t>Power block</t>
        </is>
      </c>
      <c r="D1091" s="12" t="inlineStr">
        <is>
          <t>Thermocouple to TC JB JB-HRSG-1-TC02: 20 x 1 pr (field cables)</t>
        </is>
      </c>
      <c r="E1091" s="12" t="inlineStr">
        <is>
          <t>HRSG-1</t>
        </is>
      </c>
      <c r="F1091" s="12" t="inlineStr">
        <is>
          <t>HRSG 1 + SCR (3P reheat, horizontal)</t>
        </is>
      </c>
      <c r="G1091" s="12" t="inlineStr">
        <is>
          <t>JB-HRSG-1-TC02</t>
        </is>
      </c>
      <c r="H1091" s="12" t="inlineStr">
        <is>
          <t>HRSG 1 + SCR (3P reheat, horizontal)</t>
        </is>
      </c>
      <c r="I1091" s="12" t="inlineStr">
        <is>
          <t>Instrumentation</t>
        </is>
      </c>
      <c r="J1091" s="12" t="inlineStr">
        <is>
          <t>Thermocouple extension KX, #16 shielded pairs, PLTC</t>
        </is>
      </c>
      <c r="K1091" s="12" t="inlineStr">
        <is>
          <t>TCX|1 pr|16</t>
        </is>
      </c>
      <c r="L1091" s="12" t="inlineStr">
        <is>
          <t>1 pr</t>
        </is>
      </c>
      <c r="M1091" s="12" t="inlineStr">
        <is>
          <t>16</t>
        </is>
      </c>
      <c r="N1091" s="12" t="n">
        <v>20</v>
      </c>
      <c r="O1091" s="12" t="n">
        <v>1</v>
      </c>
      <c r="P1091" s="12" t="n"/>
      <c r="Q1091" s="12" t="n"/>
      <c r="R1091" s="12" t="n"/>
      <c r="S1091" s="12" t="inlineStr">
        <is>
          <t>Tray / conduit</t>
        </is>
      </c>
      <c r="T1091" s="16" t="n">
        <v>180</v>
      </c>
      <c r="U1091" s="16" t="n">
        <v>10</v>
      </c>
      <c r="V1091" s="16">
        <f>ROUNDUP((T1091+U1091+2*'Read Me'!$B$13)*(1+'Read Me'!$B$12),-1)</f>
        <v/>
      </c>
      <c r="W1091" s="16">
        <f>V1091*N1091*O1091</f>
        <v/>
      </c>
      <c r="X1091" s="12">
        <f>IF(LEFT(I1091,2)="MV",2*N1091*IF(L1091="1/C",O1091,1),0)</f>
        <v/>
      </c>
      <c r="Y1091" s="12">
        <f>IF(OR(LEFT(K1091,4)="LVAX",LEFT(K1091,6)="MV15AX",LEFT(K1091,4)="CTAX",LEFT(K1091,2)="W|"),2*N1091*O1091,0)</f>
        <v/>
      </c>
      <c r="Z1091" s="12" t="inlineStr">
        <is>
          <t>device-to-JB field wiring, one cable per device</t>
        </is>
      </c>
      <c r="AA1091" s="12">
        <f>N1091*O1091</f>
        <v/>
      </c>
    </row>
    <row r="1092">
      <c r="A1092" s="12" t="inlineStr">
        <is>
          <t>A-I-0370</t>
        </is>
      </c>
      <c r="B1092" s="12" t="inlineStr">
        <is>
          <t>A</t>
        </is>
      </c>
      <c r="C1092" s="12" t="inlineStr">
        <is>
          <t>Power block</t>
        </is>
      </c>
      <c r="D1092" s="12" t="inlineStr">
        <is>
          <t>Home run JB-HRSG-1-TC02 to the control / marshalling room</t>
        </is>
      </c>
      <c r="E1092" s="12" t="inlineStr">
        <is>
          <t>R2A</t>
        </is>
      </c>
      <c r="F1092" s="12" t="inlineStr">
        <is>
          <t>R2A: unit / HRSG electrical e-house (32 x 40 ft)</t>
        </is>
      </c>
      <c r="G1092" s="12" t="inlineStr">
        <is>
          <t>JB-HRSG-1-TC02</t>
        </is>
      </c>
      <c r="H1092" s="12" t="inlineStr">
        <is>
          <t>HRSG 1 + SCR (3P reheat, horizontal)</t>
        </is>
      </c>
      <c r="I1092" s="12" t="inlineStr">
        <is>
          <t>Instrumentation</t>
        </is>
      </c>
      <c r="J1092" s="12" t="inlineStr">
        <is>
          <t>Thermocouple extension KX, #16 shielded pairs, PLTC</t>
        </is>
      </c>
      <c r="K1092" s="12" t="inlineStr">
        <is>
          <t>TCX|24 pr|16</t>
        </is>
      </c>
      <c r="L1092" s="12" t="inlineStr">
        <is>
          <t>24 pr</t>
        </is>
      </c>
      <c r="M1092" s="12" t="inlineStr">
        <is>
          <t>16</t>
        </is>
      </c>
      <c r="N1092" s="12" t="n">
        <v>1</v>
      </c>
      <c r="O1092" s="12" t="n">
        <v>1</v>
      </c>
      <c r="P1092" s="12" t="n"/>
      <c r="Q1092" s="12" t="n"/>
      <c r="R1092" s="12" t="n"/>
      <c r="S1092" s="12" t="inlineStr">
        <is>
          <t>Tray</t>
        </is>
      </c>
      <c r="T1092" s="16" t="n">
        <v>0</v>
      </c>
      <c r="U1092" s="16" t="n">
        <v>87</v>
      </c>
      <c r="V1092" s="16">
        <f>ROUNDUP((T1092+U1092+2*'Read Me'!$B$13)*(1+'Read Me'!$B$12),-1)</f>
        <v/>
      </c>
      <c r="W1092" s="16">
        <f>V1092*N1092*O1092</f>
        <v/>
      </c>
      <c r="X1092" s="12">
        <f>IF(LEFT(I1092,2)="MV",2*N1092*IF(L1092="1/C",O1092,1),0)</f>
        <v/>
      </c>
      <c r="Y1092" s="12">
        <f>IF(OR(LEFT(K1092,4)="LVAX",LEFT(K1092,6)="MV15AX",LEFT(K1092,4)="CTAX",LEFT(K1092,2)="W|"),2*N1092*O1092,0)</f>
        <v/>
      </c>
      <c r="Z1092" s="12" t="inlineStr"/>
      <c r="AA1092" s="12">
        <f>N1092*O1092</f>
        <v/>
      </c>
    </row>
    <row r="1093">
      <c r="A1093" s="12" t="inlineStr">
        <is>
          <t>A-I-0371</t>
        </is>
      </c>
      <c r="B1093" s="12" t="inlineStr">
        <is>
          <t>A</t>
        </is>
      </c>
      <c r="C1093" s="12" t="inlineStr">
        <is>
          <t>Power block</t>
        </is>
      </c>
      <c r="D1093" s="12" t="inlineStr">
        <is>
          <t>Thermocouple to TC JB JB-HRSG-1-TC03: 20 x 1 pr (field cables)</t>
        </is>
      </c>
      <c r="E1093" s="12" t="inlineStr">
        <is>
          <t>HRSG-1</t>
        </is>
      </c>
      <c r="F1093" s="12" t="inlineStr">
        <is>
          <t>HRSG 1 + SCR (3P reheat, horizontal)</t>
        </is>
      </c>
      <c r="G1093" s="12" t="inlineStr">
        <is>
          <t>JB-HRSG-1-TC03</t>
        </is>
      </c>
      <c r="H1093" s="12" t="inlineStr">
        <is>
          <t>HRSG 1 + SCR (3P reheat, horizontal)</t>
        </is>
      </c>
      <c r="I1093" s="12" t="inlineStr">
        <is>
          <t>Instrumentation</t>
        </is>
      </c>
      <c r="J1093" s="12" t="inlineStr">
        <is>
          <t>Thermocouple extension KX, #16 shielded pairs, PLTC</t>
        </is>
      </c>
      <c r="K1093" s="12" t="inlineStr">
        <is>
          <t>TCX|1 pr|16</t>
        </is>
      </c>
      <c r="L1093" s="12" t="inlineStr">
        <is>
          <t>1 pr</t>
        </is>
      </c>
      <c r="M1093" s="12" t="inlineStr">
        <is>
          <t>16</t>
        </is>
      </c>
      <c r="N1093" s="12" t="n">
        <v>20</v>
      </c>
      <c r="O1093" s="12" t="n">
        <v>1</v>
      </c>
      <c r="P1093" s="12" t="n"/>
      <c r="Q1093" s="12" t="n"/>
      <c r="R1093" s="12" t="n"/>
      <c r="S1093" s="12" t="inlineStr">
        <is>
          <t>Tray / conduit</t>
        </is>
      </c>
      <c r="T1093" s="16" t="n">
        <v>180</v>
      </c>
      <c r="U1093" s="16" t="n">
        <v>10</v>
      </c>
      <c r="V1093" s="16">
        <f>ROUNDUP((T1093+U1093+2*'Read Me'!$B$13)*(1+'Read Me'!$B$12),-1)</f>
        <v/>
      </c>
      <c r="W1093" s="16">
        <f>V1093*N1093*O1093</f>
        <v/>
      </c>
      <c r="X1093" s="12">
        <f>IF(LEFT(I1093,2)="MV",2*N1093*IF(L1093="1/C",O1093,1),0)</f>
        <v/>
      </c>
      <c r="Y1093" s="12">
        <f>IF(OR(LEFT(K1093,4)="LVAX",LEFT(K1093,6)="MV15AX",LEFT(K1093,4)="CTAX",LEFT(K1093,2)="W|"),2*N1093*O1093,0)</f>
        <v/>
      </c>
      <c r="Z1093" s="12" t="inlineStr">
        <is>
          <t>device-to-JB field wiring, one cable per device</t>
        </is>
      </c>
      <c r="AA1093" s="12">
        <f>N1093*O1093</f>
        <v/>
      </c>
    </row>
    <row r="1094">
      <c r="A1094" s="12" t="inlineStr">
        <is>
          <t>A-I-0372</t>
        </is>
      </c>
      <c r="B1094" s="12" t="inlineStr">
        <is>
          <t>A</t>
        </is>
      </c>
      <c r="C1094" s="12" t="inlineStr">
        <is>
          <t>Power block</t>
        </is>
      </c>
      <c r="D1094" s="12" t="inlineStr">
        <is>
          <t>Home run JB-HRSG-1-TC03 to the control / marshalling room</t>
        </is>
      </c>
      <c r="E1094" s="12" t="inlineStr">
        <is>
          <t>R2A</t>
        </is>
      </c>
      <c r="F1094" s="12" t="inlineStr">
        <is>
          <t>R2A: unit / HRSG electrical e-house (32 x 40 ft)</t>
        </is>
      </c>
      <c r="G1094" s="12" t="inlineStr">
        <is>
          <t>JB-HRSG-1-TC03</t>
        </is>
      </c>
      <c r="H1094" s="12" t="inlineStr">
        <is>
          <t>HRSG 1 + SCR (3P reheat, horizontal)</t>
        </is>
      </c>
      <c r="I1094" s="12" t="inlineStr">
        <is>
          <t>Instrumentation</t>
        </is>
      </c>
      <c r="J1094" s="12" t="inlineStr">
        <is>
          <t>Thermocouple extension KX, #16 shielded pairs, PLTC</t>
        </is>
      </c>
      <c r="K1094" s="12" t="inlineStr">
        <is>
          <t>TCX|24 pr|16</t>
        </is>
      </c>
      <c r="L1094" s="12" t="inlineStr">
        <is>
          <t>24 pr</t>
        </is>
      </c>
      <c r="M1094" s="12" t="inlineStr">
        <is>
          <t>16</t>
        </is>
      </c>
      <c r="N1094" s="12" t="n">
        <v>1</v>
      </c>
      <c r="O1094" s="12" t="n">
        <v>1</v>
      </c>
      <c r="P1094" s="12" t="n"/>
      <c r="Q1094" s="12" t="n"/>
      <c r="R1094" s="12" t="n"/>
      <c r="S1094" s="12" t="inlineStr">
        <is>
          <t>Tray</t>
        </is>
      </c>
      <c r="T1094" s="16" t="n">
        <v>0</v>
      </c>
      <c r="U1094" s="16" t="n">
        <v>87</v>
      </c>
      <c r="V1094" s="16">
        <f>ROUNDUP((T1094+U1094+2*'Read Me'!$B$13)*(1+'Read Me'!$B$12),-1)</f>
        <v/>
      </c>
      <c r="W1094" s="16">
        <f>V1094*N1094*O1094</f>
        <v/>
      </c>
      <c r="X1094" s="12">
        <f>IF(LEFT(I1094,2)="MV",2*N1094*IF(L1094="1/C",O1094,1),0)</f>
        <v/>
      </c>
      <c r="Y1094" s="12">
        <f>IF(OR(LEFT(K1094,4)="LVAX",LEFT(K1094,6)="MV15AX",LEFT(K1094,4)="CTAX",LEFT(K1094,2)="W|"),2*N1094*O1094,0)</f>
        <v/>
      </c>
      <c r="Z1094" s="12" t="inlineStr"/>
      <c r="AA1094" s="12">
        <f>N1094*O1094</f>
        <v/>
      </c>
    </row>
    <row r="1095">
      <c r="A1095" s="12" t="inlineStr">
        <is>
          <t>A-I-0373</t>
        </is>
      </c>
      <c r="B1095" s="12" t="inlineStr">
        <is>
          <t>A</t>
        </is>
      </c>
      <c r="C1095" s="12" t="inlineStr">
        <is>
          <t>Power block</t>
        </is>
      </c>
      <c r="D1095" s="12" t="inlineStr">
        <is>
          <t>Thermocouple to TC JB JB-HRSG-1-TC04: 20 x 1 pr (field cables)</t>
        </is>
      </c>
      <c r="E1095" s="12" t="inlineStr">
        <is>
          <t>HRSG-1</t>
        </is>
      </c>
      <c r="F1095" s="12" t="inlineStr">
        <is>
          <t>HRSG 1 + SCR (3P reheat, horizontal)</t>
        </is>
      </c>
      <c r="G1095" s="12" t="inlineStr">
        <is>
          <t>JB-HRSG-1-TC04</t>
        </is>
      </c>
      <c r="H1095" s="12" t="inlineStr">
        <is>
          <t>HRSG 1 + SCR (3P reheat, horizontal)</t>
        </is>
      </c>
      <c r="I1095" s="12" t="inlineStr">
        <is>
          <t>Instrumentation</t>
        </is>
      </c>
      <c r="J1095" s="12" t="inlineStr">
        <is>
          <t>Thermocouple extension KX, #16 shielded pairs, PLTC</t>
        </is>
      </c>
      <c r="K1095" s="12" t="inlineStr">
        <is>
          <t>TCX|1 pr|16</t>
        </is>
      </c>
      <c r="L1095" s="12" t="inlineStr">
        <is>
          <t>1 pr</t>
        </is>
      </c>
      <c r="M1095" s="12" t="inlineStr">
        <is>
          <t>16</t>
        </is>
      </c>
      <c r="N1095" s="12" t="n">
        <v>20</v>
      </c>
      <c r="O1095" s="12" t="n">
        <v>1</v>
      </c>
      <c r="P1095" s="12" t="n"/>
      <c r="Q1095" s="12" t="n"/>
      <c r="R1095" s="12" t="n"/>
      <c r="S1095" s="12" t="inlineStr">
        <is>
          <t>Tray / conduit</t>
        </is>
      </c>
      <c r="T1095" s="16" t="n">
        <v>180</v>
      </c>
      <c r="U1095" s="16" t="n">
        <v>10</v>
      </c>
      <c r="V1095" s="16">
        <f>ROUNDUP((T1095+U1095+2*'Read Me'!$B$13)*(1+'Read Me'!$B$12),-1)</f>
        <v/>
      </c>
      <c r="W1095" s="16">
        <f>V1095*N1095*O1095</f>
        <v/>
      </c>
      <c r="X1095" s="12">
        <f>IF(LEFT(I1095,2)="MV",2*N1095*IF(L1095="1/C",O1095,1),0)</f>
        <v/>
      </c>
      <c r="Y1095" s="12">
        <f>IF(OR(LEFT(K1095,4)="LVAX",LEFT(K1095,6)="MV15AX",LEFT(K1095,4)="CTAX",LEFT(K1095,2)="W|"),2*N1095*O1095,0)</f>
        <v/>
      </c>
      <c r="Z1095" s="12" t="inlineStr">
        <is>
          <t>device-to-JB field wiring, one cable per device</t>
        </is>
      </c>
      <c r="AA1095" s="12">
        <f>N1095*O1095</f>
        <v/>
      </c>
    </row>
    <row r="1096">
      <c r="A1096" s="12" t="inlineStr">
        <is>
          <t>A-I-0374</t>
        </is>
      </c>
      <c r="B1096" s="12" t="inlineStr">
        <is>
          <t>A</t>
        </is>
      </c>
      <c r="C1096" s="12" t="inlineStr">
        <is>
          <t>Power block</t>
        </is>
      </c>
      <c r="D1096" s="12" t="inlineStr">
        <is>
          <t>Home run JB-HRSG-1-TC04 to the control / marshalling room</t>
        </is>
      </c>
      <c r="E1096" s="12" t="inlineStr">
        <is>
          <t>R2A</t>
        </is>
      </c>
      <c r="F1096" s="12" t="inlineStr">
        <is>
          <t>R2A: unit / HRSG electrical e-house (32 x 40 ft)</t>
        </is>
      </c>
      <c r="G1096" s="12" t="inlineStr">
        <is>
          <t>JB-HRSG-1-TC04</t>
        </is>
      </c>
      <c r="H1096" s="12" t="inlineStr">
        <is>
          <t>HRSG 1 + SCR (3P reheat, horizontal)</t>
        </is>
      </c>
      <c r="I1096" s="12" t="inlineStr">
        <is>
          <t>Instrumentation</t>
        </is>
      </c>
      <c r="J1096" s="12" t="inlineStr">
        <is>
          <t>Thermocouple extension KX, #16 shielded pairs, PLTC</t>
        </is>
      </c>
      <c r="K1096" s="12" t="inlineStr">
        <is>
          <t>TCX|24 pr|16</t>
        </is>
      </c>
      <c r="L1096" s="12" t="inlineStr">
        <is>
          <t>24 pr</t>
        </is>
      </c>
      <c r="M1096" s="12" t="inlineStr">
        <is>
          <t>16</t>
        </is>
      </c>
      <c r="N1096" s="12" t="n">
        <v>1</v>
      </c>
      <c r="O1096" s="12" t="n">
        <v>1</v>
      </c>
      <c r="P1096" s="12" t="n"/>
      <c r="Q1096" s="12" t="n"/>
      <c r="R1096" s="12" t="n"/>
      <c r="S1096" s="12" t="inlineStr">
        <is>
          <t>Tray</t>
        </is>
      </c>
      <c r="T1096" s="16" t="n">
        <v>0</v>
      </c>
      <c r="U1096" s="16" t="n">
        <v>87</v>
      </c>
      <c r="V1096" s="16">
        <f>ROUNDUP((T1096+U1096+2*'Read Me'!$B$13)*(1+'Read Me'!$B$12),-1)</f>
        <v/>
      </c>
      <c r="W1096" s="16">
        <f>V1096*N1096*O1096</f>
        <v/>
      </c>
      <c r="X1096" s="12">
        <f>IF(LEFT(I1096,2)="MV",2*N1096*IF(L1096="1/C",O1096,1),0)</f>
        <v/>
      </c>
      <c r="Y1096" s="12">
        <f>IF(OR(LEFT(K1096,4)="LVAX",LEFT(K1096,6)="MV15AX",LEFT(K1096,4)="CTAX",LEFT(K1096,2)="W|"),2*N1096*O1096,0)</f>
        <v/>
      </c>
      <c r="Z1096" s="12" t="inlineStr"/>
      <c r="AA1096" s="12">
        <f>N1096*O1096</f>
        <v/>
      </c>
    </row>
    <row r="1097">
      <c r="A1097" s="12" t="inlineStr">
        <is>
          <t>A-I-0375</t>
        </is>
      </c>
      <c r="B1097" s="12" t="inlineStr">
        <is>
          <t>A</t>
        </is>
      </c>
      <c r="C1097" s="12" t="inlineStr">
        <is>
          <t>Power block</t>
        </is>
      </c>
      <c r="D1097" s="12" t="inlineStr">
        <is>
          <t>Analog instrument to JB JB-HRSG 1 blowdown ta-AI01: 6 x 1 pr (field cables)</t>
        </is>
      </c>
      <c r="E1097" s="12" t="inlineStr"/>
      <c r="F1097" s="12" t="inlineStr">
        <is>
          <t>HRSG 1 blowdown tank (continuous / intermittent)</t>
        </is>
      </c>
      <c r="G1097" s="12" t="inlineStr">
        <is>
          <t>JB-HRSG 1 blowdown ta-AI01</t>
        </is>
      </c>
      <c r="H1097" s="12" t="inlineStr">
        <is>
          <t>HRSG 1 blowdown tank (continuous / intermittent)</t>
        </is>
      </c>
      <c r="I1097" s="12" t="inlineStr">
        <is>
          <t>Instrumentation</t>
        </is>
      </c>
      <c r="J1097" s="12" t="inlineStr">
        <is>
          <t>Instrumentation PLTC / TC-ER 300 V, #18 twisted shielded pairs, overall shield</t>
        </is>
      </c>
      <c r="K1097" s="12" t="inlineStr">
        <is>
          <t>PLTC|1 pr|16</t>
        </is>
      </c>
      <c r="L1097" s="12" t="inlineStr">
        <is>
          <t>1 pr</t>
        </is>
      </c>
      <c r="M1097" s="12" t="inlineStr">
        <is>
          <t>16</t>
        </is>
      </c>
      <c r="N1097" s="12" t="n">
        <v>6</v>
      </c>
      <c r="O1097" s="12" t="n">
        <v>1</v>
      </c>
      <c r="P1097" s="12" t="n"/>
      <c r="Q1097" s="12" t="n"/>
      <c r="R1097" s="12" t="n"/>
      <c r="S1097" s="12" t="inlineStr">
        <is>
          <t>Tray / conduit</t>
        </is>
      </c>
      <c r="T1097" s="16" t="n">
        <v>43</v>
      </c>
      <c r="U1097" s="16" t="n">
        <v>10</v>
      </c>
      <c r="V1097" s="16">
        <f>ROUNDUP((T1097+U1097+2*'Read Me'!$B$13)*(1+'Read Me'!$B$12),-1)</f>
        <v/>
      </c>
      <c r="W1097" s="16">
        <f>V1097*N1097*O1097</f>
        <v/>
      </c>
      <c r="X1097" s="12">
        <f>IF(LEFT(I1097,2)="MV",2*N1097*IF(L1097="1/C",O1097,1),0)</f>
        <v/>
      </c>
      <c r="Y1097" s="12">
        <f>IF(OR(LEFT(K1097,4)="LVAX",LEFT(K1097,6)="MV15AX",LEFT(K1097,4)="CTAX",LEFT(K1097,2)="W|"),2*N1097*O1097,0)</f>
        <v/>
      </c>
      <c r="Z1097" s="12" t="inlineStr">
        <is>
          <t>device-to-JB field wiring, one cable per device</t>
        </is>
      </c>
      <c r="AA1097" s="12">
        <f>N1097*O1097</f>
        <v/>
      </c>
    </row>
    <row r="1098">
      <c r="A1098" s="12" t="inlineStr">
        <is>
          <t>A-I-0376</t>
        </is>
      </c>
      <c r="B1098" s="12" t="inlineStr">
        <is>
          <t>A</t>
        </is>
      </c>
      <c r="C1098" s="12" t="inlineStr">
        <is>
          <t>Power block</t>
        </is>
      </c>
      <c r="D1098" s="12" t="inlineStr">
        <is>
          <t>Home run JB-HRSG 1 blowdown ta-AI01 to the control / marshalling room</t>
        </is>
      </c>
      <c r="E1098" s="12" t="inlineStr">
        <is>
          <t>R2A</t>
        </is>
      </c>
      <c r="F1098" s="12" t="inlineStr">
        <is>
          <t>R2A: unit / HRSG electrical e-house (32 x 40 ft)</t>
        </is>
      </c>
      <c r="G1098" s="12" t="inlineStr">
        <is>
          <t>JB-HRSG 1 blowdown ta-AI01</t>
        </is>
      </c>
      <c r="H1098" s="12" t="inlineStr">
        <is>
          <t>HRSG 1 blowdown tank (continuous / intermittent)</t>
        </is>
      </c>
      <c r="I1098" s="12" t="inlineStr">
        <is>
          <t>Instrumentation</t>
        </is>
      </c>
      <c r="J1098" s="12" t="inlineStr">
        <is>
          <t>Instrumentation PLTC / TC-ER 300 V, #18 twisted shielded pairs, overall shield</t>
        </is>
      </c>
      <c r="K1098" s="12" t="inlineStr">
        <is>
          <t>PLTC|24 pr|18</t>
        </is>
      </c>
      <c r="L1098" s="12" t="inlineStr">
        <is>
          <t>24 pr</t>
        </is>
      </c>
      <c r="M1098" s="12" t="inlineStr">
        <is>
          <t>18</t>
        </is>
      </c>
      <c r="N1098" s="12" t="n">
        <v>1</v>
      </c>
      <c r="O1098" s="12" t="n">
        <v>1</v>
      </c>
      <c r="P1098" s="12" t="n"/>
      <c r="Q1098" s="12" t="n"/>
      <c r="R1098" s="12" t="n"/>
      <c r="S1098" s="12" t="inlineStr">
        <is>
          <t>Tray</t>
        </is>
      </c>
      <c r="T1098" s="16" t="n">
        <v>38</v>
      </c>
      <c r="U1098" s="16" t="n">
        <v>86</v>
      </c>
      <c r="V1098" s="16">
        <f>ROUNDUP((T1098+U1098+2*'Read Me'!$B$13)*(1+'Read Me'!$B$12),-1)</f>
        <v/>
      </c>
      <c r="W1098" s="16">
        <f>V1098*N1098*O1098</f>
        <v/>
      </c>
      <c r="X1098" s="12">
        <f>IF(LEFT(I1098,2)="MV",2*N1098*IF(L1098="1/C",O1098,1),0)</f>
        <v/>
      </c>
      <c r="Y1098" s="12">
        <f>IF(OR(LEFT(K1098,4)="LVAX",LEFT(K1098,6)="MV15AX",LEFT(K1098,4)="CTAX",LEFT(K1098,2)="W|"),2*N1098*O1098,0)</f>
        <v/>
      </c>
      <c r="Z1098" s="12" t="inlineStr"/>
      <c r="AA1098" s="12">
        <f>N1098*O1098</f>
        <v/>
      </c>
    </row>
    <row r="1099">
      <c r="A1099" s="12" t="inlineStr">
        <is>
          <t>A-I-0377</t>
        </is>
      </c>
      <c r="B1099" s="12" t="inlineStr">
        <is>
          <t>A</t>
        </is>
      </c>
      <c r="C1099" s="12" t="inlineStr">
        <is>
          <t>Power block</t>
        </is>
      </c>
      <c r="D1099" s="12" t="inlineStr">
        <is>
          <t>Discrete device to JB JB-HRSG 1 blowdown ta-DI01: 4 x 1 pr (field cables)</t>
        </is>
      </c>
      <c r="E1099" s="12" t="inlineStr"/>
      <c r="F1099" s="12" t="inlineStr">
        <is>
          <t>HRSG 1 blowdown tank (continuous / intermittent)</t>
        </is>
      </c>
      <c r="G1099" s="12" t="inlineStr">
        <is>
          <t>JB-HRSG 1 blowdown ta-DI01</t>
        </is>
      </c>
      <c r="H1099" s="12" t="inlineStr">
        <is>
          <t>HRSG 1 blowdown tank (continuous / intermittent)</t>
        </is>
      </c>
      <c r="I1099" s="12" t="inlineStr">
        <is>
          <t>Instrumentation</t>
        </is>
      </c>
      <c r="J1099" s="12" t="inlineStr">
        <is>
          <t>Instrumentation PLTC / TC-ER 300 V, #18 twisted shielded pairs, overall shield</t>
        </is>
      </c>
      <c r="K1099" s="12" t="inlineStr">
        <is>
          <t>PLTC|1 pr|16</t>
        </is>
      </c>
      <c r="L1099" s="12" t="inlineStr">
        <is>
          <t>1 pr</t>
        </is>
      </c>
      <c r="M1099" s="12" t="inlineStr">
        <is>
          <t>16</t>
        </is>
      </c>
      <c r="N1099" s="12" t="n">
        <v>4</v>
      </c>
      <c r="O1099" s="12" t="n">
        <v>1</v>
      </c>
      <c r="P1099" s="12" t="n"/>
      <c r="Q1099" s="12" t="n"/>
      <c r="R1099" s="12" t="n"/>
      <c r="S1099" s="12" t="inlineStr">
        <is>
          <t>Tray / conduit</t>
        </is>
      </c>
      <c r="T1099" s="16" t="n">
        <v>43</v>
      </c>
      <c r="U1099" s="16" t="n">
        <v>10</v>
      </c>
      <c r="V1099" s="16">
        <f>ROUNDUP((T1099+U1099+2*'Read Me'!$B$13)*(1+'Read Me'!$B$12),-1)</f>
        <v/>
      </c>
      <c r="W1099" s="16">
        <f>V1099*N1099*O1099</f>
        <v/>
      </c>
      <c r="X1099" s="12">
        <f>IF(LEFT(I1099,2)="MV",2*N1099*IF(L1099="1/C",O1099,1),0)</f>
        <v/>
      </c>
      <c r="Y1099" s="12">
        <f>IF(OR(LEFT(K1099,4)="LVAX",LEFT(K1099,6)="MV15AX",LEFT(K1099,4)="CTAX",LEFT(K1099,2)="W|"),2*N1099*O1099,0)</f>
        <v/>
      </c>
      <c r="Z1099" s="12" t="inlineStr">
        <is>
          <t>device-to-JB field wiring, one cable per device</t>
        </is>
      </c>
      <c r="AA1099" s="12">
        <f>N1099*O1099</f>
        <v/>
      </c>
    </row>
    <row r="1100">
      <c r="A1100" s="12" t="inlineStr">
        <is>
          <t>A-I-0378</t>
        </is>
      </c>
      <c r="B1100" s="12" t="inlineStr">
        <is>
          <t>A</t>
        </is>
      </c>
      <c r="C1100" s="12" t="inlineStr">
        <is>
          <t>Power block</t>
        </is>
      </c>
      <c r="D1100" s="12" t="inlineStr">
        <is>
          <t>Home run JB-HRSG 1 blowdown ta-DI01 to the control / marshalling room</t>
        </is>
      </c>
      <c r="E1100" s="12" t="inlineStr">
        <is>
          <t>R2A</t>
        </is>
      </c>
      <c r="F1100" s="12" t="inlineStr">
        <is>
          <t>R2A: unit / HRSG electrical e-house (32 x 40 ft)</t>
        </is>
      </c>
      <c r="G1100" s="12" t="inlineStr">
        <is>
          <t>JB-HRSG 1 blowdown ta-DI01</t>
        </is>
      </c>
      <c r="H1100" s="12" t="inlineStr">
        <is>
          <t>HRSG 1 blowdown tank (continuous / intermittent)</t>
        </is>
      </c>
      <c r="I1100" s="12" t="inlineStr">
        <is>
          <t>Instrumentation</t>
        </is>
      </c>
      <c r="J1100" s="12" t="inlineStr">
        <is>
          <t>Instrumentation PLTC / TC-ER 300 V, #18 twisted shielded pairs, overall shield</t>
        </is>
      </c>
      <c r="K1100" s="12" t="inlineStr">
        <is>
          <t>PLTC|24 pr|18</t>
        </is>
      </c>
      <c r="L1100" s="12" t="inlineStr">
        <is>
          <t>24 pr</t>
        </is>
      </c>
      <c r="M1100" s="12" t="inlineStr">
        <is>
          <t>18</t>
        </is>
      </c>
      <c r="N1100" s="12" t="n">
        <v>1</v>
      </c>
      <c r="O1100" s="12" t="n">
        <v>1</v>
      </c>
      <c r="P1100" s="12" t="n"/>
      <c r="Q1100" s="12" t="n"/>
      <c r="R1100" s="12" t="n"/>
      <c r="S1100" s="12" t="inlineStr">
        <is>
          <t>Tray</t>
        </is>
      </c>
      <c r="T1100" s="16" t="n">
        <v>38</v>
      </c>
      <c r="U1100" s="16" t="n">
        <v>86</v>
      </c>
      <c r="V1100" s="16">
        <f>ROUNDUP((T1100+U1100+2*'Read Me'!$B$13)*(1+'Read Me'!$B$12),-1)</f>
        <v/>
      </c>
      <c r="W1100" s="16">
        <f>V1100*N1100*O1100</f>
        <v/>
      </c>
      <c r="X1100" s="12">
        <f>IF(LEFT(I1100,2)="MV",2*N1100*IF(L1100="1/C",O1100,1),0)</f>
        <v/>
      </c>
      <c r="Y1100" s="12">
        <f>IF(OR(LEFT(K1100,4)="LVAX",LEFT(K1100,6)="MV15AX",LEFT(K1100,4)="CTAX",LEFT(K1100,2)="W|"),2*N1100*O1100,0)</f>
        <v/>
      </c>
      <c r="Z1100" s="12" t="inlineStr"/>
      <c r="AA1100" s="12">
        <f>N1100*O1100</f>
        <v/>
      </c>
    </row>
    <row r="1101">
      <c r="A1101" s="12" t="inlineStr">
        <is>
          <t>A-I-0379</t>
        </is>
      </c>
      <c r="B1101" s="12" t="inlineStr">
        <is>
          <t>A</t>
        </is>
      </c>
      <c r="C1101" s="12" t="inlineStr">
        <is>
          <t>Power block</t>
        </is>
      </c>
      <c r="D1101" s="12" t="inlineStr">
        <is>
          <t>Analog instrument to JB JB-HRSG 1 chemical fe-AI01: 8 x 1 pr (field cables)</t>
        </is>
      </c>
      <c r="E1101" s="12" t="inlineStr"/>
      <c r="F1101" s="12" t="inlineStr">
        <is>
          <t>HRSG 1 chemical feed skid (phosphate / amine)</t>
        </is>
      </c>
      <c r="G1101" s="12" t="inlineStr">
        <is>
          <t>JB-HRSG 1 chemical fe-AI01</t>
        </is>
      </c>
      <c r="H1101" s="12" t="inlineStr">
        <is>
          <t>HRSG 1 chemical feed skid (phosphate / amine)</t>
        </is>
      </c>
      <c r="I1101" s="12" t="inlineStr">
        <is>
          <t>Instrumentation</t>
        </is>
      </c>
      <c r="J1101" s="12" t="inlineStr">
        <is>
          <t>Instrumentation PLTC / TC-ER 300 V, #18 twisted shielded pairs, overall shield</t>
        </is>
      </c>
      <c r="K1101" s="12" t="inlineStr">
        <is>
          <t>PLTC|1 pr|16</t>
        </is>
      </c>
      <c r="L1101" s="12" t="inlineStr">
        <is>
          <t>1 pr</t>
        </is>
      </c>
      <c r="M1101" s="12" t="inlineStr">
        <is>
          <t>16</t>
        </is>
      </c>
      <c r="N1101" s="12" t="n">
        <v>8</v>
      </c>
      <c r="O1101" s="12" t="n">
        <v>1</v>
      </c>
      <c r="P1101" s="12" t="n"/>
      <c r="Q1101" s="12" t="n"/>
      <c r="R1101" s="12" t="n"/>
      <c r="S1101" s="12" t="inlineStr">
        <is>
          <t>Tray / conduit</t>
        </is>
      </c>
      <c r="T1101" s="16" t="n">
        <v>42</v>
      </c>
      <c r="U1101" s="16" t="n">
        <v>10</v>
      </c>
      <c r="V1101" s="16">
        <f>ROUNDUP((T1101+U1101+2*'Read Me'!$B$13)*(1+'Read Me'!$B$12),-1)</f>
        <v/>
      </c>
      <c r="W1101" s="16">
        <f>V1101*N1101*O1101</f>
        <v/>
      </c>
      <c r="X1101" s="12">
        <f>IF(LEFT(I1101,2)="MV",2*N1101*IF(L1101="1/C",O1101,1),0)</f>
        <v/>
      </c>
      <c r="Y1101" s="12">
        <f>IF(OR(LEFT(K1101,4)="LVAX",LEFT(K1101,6)="MV15AX",LEFT(K1101,4)="CTAX",LEFT(K1101,2)="W|"),2*N1101*O1101,0)</f>
        <v/>
      </c>
      <c r="Z1101" s="12" t="inlineStr">
        <is>
          <t>device-to-JB field wiring, one cable per device</t>
        </is>
      </c>
      <c r="AA1101" s="12">
        <f>N1101*O1101</f>
        <v/>
      </c>
    </row>
    <row r="1102">
      <c r="A1102" s="12" t="inlineStr">
        <is>
          <t>A-I-0380</t>
        </is>
      </c>
      <c r="B1102" s="12" t="inlineStr">
        <is>
          <t>A</t>
        </is>
      </c>
      <c r="C1102" s="12" t="inlineStr">
        <is>
          <t>Power block</t>
        </is>
      </c>
      <c r="D1102" s="12" t="inlineStr">
        <is>
          <t>Home run JB-HRSG 1 chemical fe-AI01 to the control / marshalling room</t>
        </is>
      </c>
      <c r="E1102" s="12" t="inlineStr">
        <is>
          <t>R2A</t>
        </is>
      </c>
      <c r="F1102" s="12" t="inlineStr">
        <is>
          <t>R2A: unit / HRSG electrical e-house (32 x 40 ft)</t>
        </is>
      </c>
      <c r="G1102" s="12" t="inlineStr">
        <is>
          <t>JB-HRSG 1 chemical fe-AI01</t>
        </is>
      </c>
      <c r="H1102" s="12" t="inlineStr">
        <is>
          <t>HRSG 1 chemical feed skid (phosphate / amine)</t>
        </is>
      </c>
      <c r="I1102" s="12" t="inlineStr">
        <is>
          <t>Instrumentation</t>
        </is>
      </c>
      <c r="J1102" s="12" t="inlineStr">
        <is>
          <t>Instrumentation PLTC / TC-ER 300 V, #18 twisted shielded pairs, overall shield</t>
        </is>
      </c>
      <c r="K1102" s="12" t="inlineStr">
        <is>
          <t>PLTC|24 pr|18</t>
        </is>
      </c>
      <c r="L1102" s="12" t="inlineStr">
        <is>
          <t>24 pr</t>
        </is>
      </c>
      <c r="M1102" s="12" t="inlineStr">
        <is>
          <t>18</t>
        </is>
      </c>
      <c r="N1102" s="12" t="n">
        <v>1</v>
      </c>
      <c r="O1102" s="12" t="n">
        <v>1</v>
      </c>
      <c r="P1102" s="12" t="n"/>
      <c r="Q1102" s="12" t="n"/>
      <c r="R1102" s="12" t="n"/>
      <c r="S1102" s="12" t="inlineStr">
        <is>
          <t>Tray</t>
        </is>
      </c>
      <c r="T1102" s="16" t="n">
        <v>404</v>
      </c>
      <c r="U1102" s="16" t="n">
        <v>108</v>
      </c>
      <c r="V1102" s="16">
        <f>ROUNDUP((T1102+U1102+2*'Read Me'!$B$13)*(1+'Read Me'!$B$12),-1)</f>
        <v/>
      </c>
      <c r="W1102" s="16">
        <f>V1102*N1102*O1102</f>
        <v/>
      </c>
      <c r="X1102" s="12">
        <f>IF(LEFT(I1102,2)="MV",2*N1102*IF(L1102="1/C",O1102,1),0)</f>
        <v/>
      </c>
      <c r="Y1102" s="12">
        <f>IF(OR(LEFT(K1102,4)="LVAX",LEFT(K1102,6)="MV15AX",LEFT(K1102,4)="CTAX",LEFT(K1102,2)="W|"),2*N1102*O1102,0)</f>
        <v/>
      </c>
      <c r="Z1102" s="12" t="inlineStr"/>
      <c r="AA1102" s="12">
        <f>N1102*O1102</f>
        <v/>
      </c>
    </row>
    <row r="1103">
      <c r="A1103" s="12" t="inlineStr">
        <is>
          <t>A-I-0381</t>
        </is>
      </c>
      <c r="B1103" s="12" t="inlineStr">
        <is>
          <t>A</t>
        </is>
      </c>
      <c r="C1103" s="12" t="inlineStr">
        <is>
          <t>Power block</t>
        </is>
      </c>
      <c r="D1103" s="12" t="inlineStr">
        <is>
          <t>Discrete device to JB JB-HRSG 1 chemical fe-DI01: 12 x 1 pr (field cables)</t>
        </is>
      </c>
      <c r="E1103" s="12" t="inlineStr"/>
      <c r="F1103" s="12" t="inlineStr">
        <is>
          <t>HRSG 1 chemical feed skid (phosphate / amine)</t>
        </is>
      </c>
      <c r="G1103" s="12" t="inlineStr">
        <is>
          <t>JB-HRSG 1 chemical fe-DI01</t>
        </is>
      </c>
      <c r="H1103" s="12" t="inlineStr">
        <is>
          <t>HRSG 1 chemical feed skid (phosphate / amine)</t>
        </is>
      </c>
      <c r="I1103" s="12" t="inlineStr">
        <is>
          <t>Instrumentation</t>
        </is>
      </c>
      <c r="J1103" s="12" t="inlineStr">
        <is>
          <t>Instrumentation PLTC / TC-ER 300 V, #18 twisted shielded pairs, overall shield</t>
        </is>
      </c>
      <c r="K1103" s="12" t="inlineStr">
        <is>
          <t>PLTC|1 pr|16</t>
        </is>
      </c>
      <c r="L1103" s="12" t="inlineStr">
        <is>
          <t>1 pr</t>
        </is>
      </c>
      <c r="M1103" s="12" t="inlineStr">
        <is>
          <t>16</t>
        </is>
      </c>
      <c r="N1103" s="12" t="n">
        <v>12</v>
      </c>
      <c r="O1103" s="12" t="n">
        <v>1</v>
      </c>
      <c r="P1103" s="12" t="n"/>
      <c r="Q1103" s="12" t="n"/>
      <c r="R1103" s="12" t="n"/>
      <c r="S1103" s="12" t="inlineStr">
        <is>
          <t>Tray / conduit</t>
        </is>
      </c>
      <c r="T1103" s="16" t="n">
        <v>42</v>
      </c>
      <c r="U1103" s="16" t="n">
        <v>10</v>
      </c>
      <c r="V1103" s="16">
        <f>ROUNDUP((T1103+U1103+2*'Read Me'!$B$13)*(1+'Read Me'!$B$12),-1)</f>
        <v/>
      </c>
      <c r="W1103" s="16">
        <f>V1103*N1103*O1103</f>
        <v/>
      </c>
      <c r="X1103" s="12">
        <f>IF(LEFT(I1103,2)="MV",2*N1103*IF(L1103="1/C",O1103,1),0)</f>
        <v/>
      </c>
      <c r="Y1103" s="12">
        <f>IF(OR(LEFT(K1103,4)="LVAX",LEFT(K1103,6)="MV15AX",LEFT(K1103,4)="CTAX",LEFT(K1103,2)="W|"),2*N1103*O1103,0)</f>
        <v/>
      </c>
      <c r="Z1103" s="12" t="inlineStr">
        <is>
          <t>device-to-JB field wiring, one cable per device</t>
        </is>
      </c>
      <c r="AA1103" s="12">
        <f>N1103*O1103</f>
        <v/>
      </c>
    </row>
    <row r="1104">
      <c r="A1104" s="12" t="inlineStr">
        <is>
          <t>A-I-0382</t>
        </is>
      </c>
      <c r="B1104" s="12" t="inlineStr">
        <is>
          <t>A</t>
        </is>
      </c>
      <c r="C1104" s="12" t="inlineStr">
        <is>
          <t>Power block</t>
        </is>
      </c>
      <c r="D1104" s="12" t="inlineStr">
        <is>
          <t>Home run JB-HRSG 1 chemical fe-DI01 to the control / marshalling room</t>
        </is>
      </c>
      <c r="E1104" s="12" t="inlineStr">
        <is>
          <t>R2A</t>
        </is>
      </c>
      <c r="F1104" s="12" t="inlineStr">
        <is>
          <t>R2A: unit / HRSG electrical e-house (32 x 40 ft)</t>
        </is>
      </c>
      <c r="G1104" s="12" t="inlineStr">
        <is>
          <t>JB-HRSG 1 chemical fe-DI01</t>
        </is>
      </c>
      <c r="H1104" s="12" t="inlineStr">
        <is>
          <t>HRSG 1 chemical feed skid (phosphate / amine)</t>
        </is>
      </c>
      <c r="I1104" s="12" t="inlineStr">
        <is>
          <t>Instrumentation</t>
        </is>
      </c>
      <c r="J1104" s="12" t="inlineStr">
        <is>
          <t>Instrumentation PLTC / TC-ER 300 V, #18 twisted shielded pairs, overall shield</t>
        </is>
      </c>
      <c r="K1104" s="12" t="inlineStr">
        <is>
          <t>PLTC|24 pr|18</t>
        </is>
      </c>
      <c r="L1104" s="12" t="inlineStr">
        <is>
          <t>24 pr</t>
        </is>
      </c>
      <c r="M1104" s="12" t="inlineStr">
        <is>
          <t>18</t>
        </is>
      </c>
      <c r="N1104" s="12" t="n">
        <v>1</v>
      </c>
      <c r="O1104" s="12" t="n">
        <v>1</v>
      </c>
      <c r="P1104" s="12" t="n"/>
      <c r="Q1104" s="12" t="n"/>
      <c r="R1104" s="12" t="n"/>
      <c r="S1104" s="12" t="inlineStr">
        <is>
          <t>Tray</t>
        </is>
      </c>
      <c r="T1104" s="16" t="n">
        <v>404</v>
      </c>
      <c r="U1104" s="16" t="n">
        <v>108</v>
      </c>
      <c r="V1104" s="16">
        <f>ROUNDUP((T1104+U1104+2*'Read Me'!$B$13)*(1+'Read Me'!$B$12),-1)</f>
        <v/>
      </c>
      <c r="W1104" s="16">
        <f>V1104*N1104*O1104</f>
        <v/>
      </c>
      <c r="X1104" s="12">
        <f>IF(LEFT(I1104,2)="MV",2*N1104*IF(L1104="1/C",O1104,1),0)</f>
        <v/>
      </c>
      <c r="Y1104" s="12">
        <f>IF(OR(LEFT(K1104,4)="LVAX",LEFT(K1104,6)="MV15AX",LEFT(K1104,4)="CTAX",LEFT(K1104,2)="W|"),2*N1104*O1104,0)</f>
        <v/>
      </c>
      <c r="Z1104" s="12" t="inlineStr"/>
      <c r="AA1104" s="12">
        <f>N1104*O1104</f>
        <v/>
      </c>
    </row>
    <row r="1105">
      <c r="A1105" s="12" t="inlineStr">
        <is>
          <t>A-I-0383</t>
        </is>
      </c>
      <c r="B1105" s="12" t="inlineStr">
        <is>
          <t>A</t>
        </is>
      </c>
      <c r="C1105" s="12" t="inlineStr">
        <is>
          <t>Power block</t>
        </is>
      </c>
      <c r="D1105" s="12" t="inlineStr">
        <is>
          <t>Analog instrument to JB JB-HRSG-2-AI01: 20 x 1 pr (field cables)</t>
        </is>
      </c>
      <c r="E1105" s="12" t="inlineStr">
        <is>
          <t>HRSG-2</t>
        </is>
      </c>
      <c r="F1105" s="12" t="inlineStr">
        <is>
          <t>HRSG 2 + SCR (3P reheat, horizontal)</t>
        </is>
      </c>
      <c r="G1105" s="12" t="inlineStr">
        <is>
          <t>JB-HRSG-2-AI01</t>
        </is>
      </c>
      <c r="H1105" s="12" t="inlineStr">
        <is>
          <t>HRSG 2 + SCR (3P reheat, horizontal)</t>
        </is>
      </c>
      <c r="I1105" s="12" t="inlineStr">
        <is>
          <t>Instrumentation</t>
        </is>
      </c>
      <c r="J1105" s="12" t="inlineStr">
        <is>
          <t>Instrumentation PLTC / TC-ER 300 V, #18 twisted shielded pairs, overall shield</t>
        </is>
      </c>
      <c r="K1105" s="12" t="inlineStr">
        <is>
          <t>PLTC|1 pr|16</t>
        </is>
      </c>
      <c r="L1105" s="12" t="inlineStr">
        <is>
          <t>1 pr</t>
        </is>
      </c>
      <c r="M1105" s="12" t="inlineStr">
        <is>
          <t>16</t>
        </is>
      </c>
      <c r="N1105" s="12" t="n">
        <v>20</v>
      </c>
      <c r="O1105" s="12" t="n">
        <v>1</v>
      </c>
      <c r="P1105" s="12" t="n"/>
      <c r="Q1105" s="12" t="n"/>
      <c r="R1105" s="12" t="n"/>
      <c r="S1105" s="12" t="inlineStr">
        <is>
          <t>Tray / conduit</t>
        </is>
      </c>
      <c r="T1105" s="16" t="n">
        <v>180</v>
      </c>
      <c r="U1105" s="16" t="n">
        <v>10</v>
      </c>
      <c r="V1105" s="16">
        <f>ROUNDUP((T1105+U1105+2*'Read Me'!$B$13)*(1+'Read Me'!$B$12),-1)</f>
        <v/>
      </c>
      <c r="W1105" s="16">
        <f>V1105*N1105*O1105</f>
        <v/>
      </c>
      <c r="X1105" s="12">
        <f>IF(LEFT(I1105,2)="MV",2*N1105*IF(L1105="1/C",O1105,1),0)</f>
        <v/>
      </c>
      <c r="Y1105" s="12">
        <f>IF(OR(LEFT(K1105,4)="LVAX",LEFT(K1105,6)="MV15AX",LEFT(K1105,4)="CTAX",LEFT(K1105,2)="W|"),2*N1105*O1105,0)</f>
        <v/>
      </c>
      <c r="Z1105" s="12" t="inlineStr">
        <is>
          <t>device-to-JB field wiring, one cable per device</t>
        </is>
      </c>
      <c r="AA1105" s="12">
        <f>N1105*O1105</f>
        <v/>
      </c>
    </row>
    <row r="1106">
      <c r="A1106" s="12" t="inlineStr">
        <is>
          <t>A-I-0384</t>
        </is>
      </c>
      <c r="B1106" s="12" t="inlineStr">
        <is>
          <t>A</t>
        </is>
      </c>
      <c r="C1106" s="12" t="inlineStr">
        <is>
          <t>Power block</t>
        </is>
      </c>
      <c r="D1106" s="12" t="inlineStr">
        <is>
          <t>Home run JB-HRSG-2-AI01 to the control / marshalling room</t>
        </is>
      </c>
      <c r="E1106" s="12" t="inlineStr">
        <is>
          <t>R2B</t>
        </is>
      </c>
      <c r="F1106" s="12" t="inlineStr">
        <is>
          <t>R2B: unit / HRSG electrical e-house (32 x 40 ft)</t>
        </is>
      </c>
      <c r="G1106" s="12" t="inlineStr">
        <is>
          <t>JB-HRSG-2-AI01</t>
        </is>
      </c>
      <c r="H1106" s="12" t="inlineStr">
        <is>
          <t>HRSG 2 + SCR (3P reheat, horizontal)</t>
        </is>
      </c>
      <c r="I1106" s="12" t="inlineStr">
        <is>
          <t>Instrumentation</t>
        </is>
      </c>
      <c r="J1106" s="12" t="inlineStr">
        <is>
          <t>Instrumentation PLTC / TC-ER 300 V, #18 twisted shielded pairs, overall shield</t>
        </is>
      </c>
      <c r="K1106" s="12" t="inlineStr">
        <is>
          <t>PLTC|24 pr|18</t>
        </is>
      </c>
      <c r="L1106" s="12" t="inlineStr">
        <is>
          <t>24 pr</t>
        </is>
      </c>
      <c r="M1106" s="12" t="inlineStr">
        <is>
          <t>18</t>
        </is>
      </c>
      <c r="N1106" s="12" t="n">
        <v>1</v>
      </c>
      <c r="O1106" s="12" t="n">
        <v>1</v>
      </c>
      <c r="P1106" s="12" t="n"/>
      <c r="Q1106" s="12" t="n"/>
      <c r="R1106" s="12" t="n"/>
      <c r="S1106" s="12" t="inlineStr">
        <is>
          <t>Tray</t>
        </is>
      </c>
      <c r="T1106" s="16" t="n">
        <v>53</v>
      </c>
      <c r="U1106" s="16" t="n">
        <v>96</v>
      </c>
      <c r="V1106" s="16">
        <f>ROUNDUP((T1106+U1106+2*'Read Me'!$B$13)*(1+'Read Me'!$B$12),-1)</f>
        <v/>
      </c>
      <c r="W1106" s="16">
        <f>V1106*N1106*O1106</f>
        <v/>
      </c>
      <c r="X1106" s="12">
        <f>IF(LEFT(I1106,2)="MV",2*N1106*IF(L1106="1/C",O1106,1),0)</f>
        <v/>
      </c>
      <c r="Y1106" s="12">
        <f>IF(OR(LEFT(K1106,4)="LVAX",LEFT(K1106,6)="MV15AX",LEFT(K1106,4)="CTAX",LEFT(K1106,2)="W|"),2*N1106*O1106,0)</f>
        <v/>
      </c>
      <c r="Z1106" s="12" t="inlineStr"/>
      <c r="AA1106" s="12">
        <f>N1106*O1106</f>
        <v/>
      </c>
    </row>
    <row r="1107">
      <c r="A1107" s="12" t="inlineStr">
        <is>
          <t>A-I-0385</t>
        </is>
      </c>
      <c r="B1107" s="12" t="inlineStr">
        <is>
          <t>A</t>
        </is>
      </c>
      <c r="C1107" s="12" t="inlineStr">
        <is>
          <t>Power block</t>
        </is>
      </c>
      <c r="D1107" s="12" t="inlineStr">
        <is>
          <t>Analog instrument to JB JB-HRSG-2-AI02: 20 x 1 pr (field cables)</t>
        </is>
      </c>
      <c r="E1107" s="12" t="inlineStr">
        <is>
          <t>HRSG-2</t>
        </is>
      </c>
      <c r="F1107" s="12" t="inlineStr">
        <is>
          <t>HRSG 2 + SCR (3P reheat, horizontal)</t>
        </is>
      </c>
      <c r="G1107" s="12" t="inlineStr">
        <is>
          <t>JB-HRSG-2-AI02</t>
        </is>
      </c>
      <c r="H1107" s="12" t="inlineStr">
        <is>
          <t>HRSG 2 + SCR (3P reheat, horizontal)</t>
        </is>
      </c>
      <c r="I1107" s="12" t="inlineStr">
        <is>
          <t>Instrumentation</t>
        </is>
      </c>
      <c r="J1107" s="12" t="inlineStr">
        <is>
          <t>Instrumentation PLTC / TC-ER 300 V, #18 twisted shielded pairs, overall shield</t>
        </is>
      </c>
      <c r="K1107" s="12" t="inlineStr">
        <is>
          <t>PLTC|1 pr|16</t>
        </is>
      </c>
      <c r="L1107" s="12" t="inlineStr">
        <is>
          <t>1 pr</t>
        </is>
      </c>
      <c r="M1107" s="12" t="inlineStr">
        <is>
          <t>16</t>
        </is>
      </c>
      <c r="N1107" s="12" t="n">
        <v>20</v>
      </c>
      <c r="O1107" s="12" t="n">
        <v>1</v>
      </c>
      <c r="P1107" s="12" t="n"/>
      <c r="Q1107" s="12" t="n"/>
      <c r="R1107" s="12" t="n"/>
      <c r="S1107" s="12" t="inlineStr">
        <is>
          <t>Tray / conduit</t>
        </is>
      </c>
      <c r="T1107" s="16" t="n">
        <v>180</v>
      </c>
      <c r="U1107" s="16" t="n">
        <v>10</v>
      </c>
      <c r="V1107" s="16">
        <f>ROUNDUP((T1107+U1107+2*'Read Me'!$B$13)*(1+'Read Me'!$B$12),-1)</f>
        <v/>
      </c>
      <c r="W1107" s="16">
        <f>V1107*N1107*O1107</f>
        <v/>
      </c>
      <c r="X1107" s="12">
        <f>IF(LEFT(I1107,2)="MV",2*N1107*IF(L1107="1/C",O1107,1),0)</f>
        <v/>
      </c>
      <c r="Y1107" s="12">
        <f>IF(OR(LEFT(K1107,4)="LVAX",LEFT(K1107,6)="MV15AX",LEFT(K1107,4)="CTAX",LEFT(K1107,2)="W|"),2*N1107*O1107,0)</f>
        <v/>
      </c>
      <c r="Z1107" s="12" t="inlineStr">
        <is>
          <t>device-to-JB field wiring, one cable per device</t>
        </is>
      </c>
      <c r="AA1107" s="12">
        <f>N1107*O1107</f>
        <v/>
      </c>
    </row>
    <row r="1108">
      <c r="A1108" s="12" t="inlineStr">
        <is>
          <t>A-I-0386</t>
        </is>
      </c>
      <c r="B1108" s="12" t="inlineStr">
        <is>
          <t>A</t>
        </is>
      </c>
      <c r="C1108" s="12" t="inlineStr">
        <is>
          <t>Power block</t>
        </is>
      </c>
      <c r="D1108" s="12" t="inlineStr">
        <is>
          <t>Home run JB-HRSG-2-AI02 to the control / marshalling room</t>
        </is>
      </c>
      <c r="E1108" s="12" t="inlineStr">
        <is>
          <t>R2B</t>
        </is>
      </c>
      <c r="F1108" s="12" t="inlineStr">
        <is>
          <t>R2B: unit / HRSG electrical e-house (32 x 40 ft)</t>
        </is>
      </c>
      <c r="G1108" s="12" t="inlineStr">
        <is>
          <t>JB-HRSG-2-AI02</t>
        </is>
      </c>
      <c r="H1108" s="12" t="inlineStr">
        <is>
          <t>HRSG 2 + SCR (3P reheat, horizontal)</t>
        </is>
      </c>
      <c r="I1108" s="12" t="inlineStr">
        <is>
          <t>Instrumentation</t>
        </is>
      </c>
      <c r="J1108" s="12" t="inlineStr">
        <is>
          <t>Instrumentation PLTC / TC-ER 300 V, #18 twisted shielded pairs, overall shield</t>
        </is>
      </c>
      <c r="K1108" s="12" t="inlineStr">
        <is>
          <t>PLTC|24 pr|18</t>
        </is>
      </c>
      <c r="L1108" s="12" t="inlineStr">
        <is>
          <t>24 pr</t>
        </is>
      </c>
      <c r="M1108" s="12" t="inlineStr">
        <is>
          <t>18</t>
        </is>
      </c>
      <c r="N1108" s="12" t="n">
        <v>1</v>
      </c>
      <c r="O1108" s="12" t="n">
        <v>1</v>
      </c>
      <c r="P1108" s="12" t="n"/>
      <c r="Q1108" s="12" t="n"/>
      <c r="R1108" s="12" t="n"/>
      <c r="S1108" s="12" t="inlineStr">
        <is>
          <t>Tray</t>
        </is>
      </c>
      <c r="T1108" s="16" t="n">
        <v>53</v>
      </c>
      <c r="U1108" s="16" t="n">
        <v>96</v>
      </c>
      <c r="V1108" s="16">
        <f>ROUNDUP((T1108+U1108+2*'Read Me'!$B$13)*(1+'Read Me'!$B$12),-1)</f>
        <v/>
      </c>
      <c r="W1108" s="16">
        <f>V1108*N1108*O1108</f>
        <v/>
      </c>
      <c r="X1108" s="12">
        <f>IF(LEFT(I1108,2)="MV",2*N1108*IF(L1108="1/C",O1108,1),0)</f>
        <v/>
      </c>
      <c r="Y1108" s="12">
        <f>IF(OR(LEFT(K1108,4)="LVAX",LEFT(K1108,6)="MV15AX",LEFT(K1108,4)="CTAX",LEFT(K1108,2)="W|"),2*N1108*O1108,0)</f>
        <v/>
      </c>
      <c r="Z1108" s="12" t="inlineStr"/>
      <c r="AA1108" s="12">
        <f>N1108*O1108</f>
        <v/>
      </c>
    </row>
    <row r="1109">
      <c r="A1109" s="12" t="inlineStr">
        <is>
          <t>A-I-0387</t>
        </is>
      </c>
      <c r="B1109" s="12" t="inlineStr">
        <is>
          <t>A</t>
        </is>
      </c>
      <c r="C1109" s="12" t="inlineStr">
        <is>
          <t>Power block</t>
        </is>
      </c>
      <c r="D1109" s="12" t="inlineStr">
        <is>
          <t>Analog instrument to JB JB-HRSG-2-AI03: 20 x 1 pr (field cables)</t>
        </is>
      </c>
      <c r="E1109" s="12" t="inlineStr">
        <is>
          <t>HRSG-2</t>
        </is>
      </c>
      <c r="F1109" s="12" t="inlineStr">
        <is>
          <t>HRSG 2 + SCR (3P reheat, horizontal)</t>
        </is>
      </c>
      <c r="G1109" s="12" t="inlineStr">
        <is>
          <t>JB-HRSG-2-AI03</t>
        </is>
      </c>
      <c r="H1109" s="12" t="inlineStr">
        <is>
          <t>HRSG 2 + SCR (3P reheat, horizontal)</t>
        </is>
      </c>
      <c r="I1109" s="12" t="inlineStr">
        <is>
          <t>Instrumentation</t>
        </is>
      </c>
      <c r="J1109" s="12" t="inlineStr">
        <is>
          <t>Instrumentation PLTC / TC-ER 300 V, #18 twisted shielded pairs, overall shield</t>
        </is>
      </c>
      <c r="K1109" s="12" t="inlineStr">
        <is>
          <t>PLTC|1 pr|16</t>
        </is>
      </c>
      <c r="L1109" s="12" t="inlineStr">
        <is>
          <t>1 pr</t>
        </is>
      </c>
      <c r="M1109" s="12" t="inlineStr">
        <is>
          <t>16</t>
        </is>
      </c>
      <c r="N1109" s="12" t="n">
        <v>20</v>
      </c>
      <c r="O1109" s="12" t="n">
        <v>1</v>
      </c>
      <c r="P1109" s="12" t="n"/>
      <c r="Q1109" s="12" t="n"/>
      <c r="R1109" s="12" t="n"/>
      <c r="S1109" s="12" t="inlineStr">
        <is>
          <t>Tray / conduit</t>
        </is>
      </c>
      <c r="T1109" s="16" t="n">
        <v>180</v>
      </c>
      <c r="U1109" s="16" t="n">
        <v>10</v>
      </c>
      <c r="V1109" s="16">
        <f>ROUNDUP((T1109+U1109+2*'Read Me'!$B$13)*(1+'Read Me'!$B$12),-1)</f>
        <v/>
      </c>
      <c r="W1109" s="16">
        <f>V1109*N1109*O1109</f>
        <v/>
      </c>
      <c r="X1109" s="12">
        <f>IF(LEFT(I1109,2)="MV",2*N1109*IF(L1109="1/C",O1109,1),0)</f>
        <v/>
      </c>
      <c r="Y1109" s="12">
        <f>IF(OR(LEFT(K1109,4)="LVAX",LEFT(K1109,6)="MV15AX",LEFT(K1109,4)="CTAX",LEFT(K1109,2)="W|"),2*N1109*O1109,0)</f>
        <v/>
      </c>
      <c r="Z1109" s="12" t="inlineStr">
        <is>
          <t>device-to-JB field wiring, one cable per device</t>
        </is>
      </c>
      <c r="AA1109" s="12">
        <f>N1109*O1109</f>
        <v/>
      </c>
    </row>
    <row r="1110">
      <c r="A1110" s="12" t="inlineStr">
        <is>
          <t>A-I-0388</t>
        </is>
      </c>
      <c r="B1110" s="12" t="inlineStr">
        <is>
          <t>A</t>
        </is>
      </c>
      <c r="C1110" s="12" t="inlineStr">
        <is>
          <t>Power block</t>
        </is>
      </c>
      <c r="D1110" s="12" t="inlineStr">
        <is>
          <t>Home run JB-HRSG-2-AI03 to the control / marshalling room</t>
        </is>
      </c>
      <c r="E1110" s="12" t="inlineStr">
        <is>
          <t>R2B</t>
        </is>
      </c>
      <c r="F1110" s="12" t="inlineStr">
        <is>
          <t>R2B: unit / HRSG electrical e-house (32 x 40 ft)</t>
        </is>
      </c>
      <c r="G1110" s="12" t="inlineStr">
        <is>
          <t>JB-HRSG-2-AI03</t>
        </is>
      </c>
      <c r="H1110" s="12" t="inlineStr">
        <is>
          <t>HRSG 2 + SCR (3P reheat, horizontal)</t>
        </is>
      </c>
      <c r="I1110" s="12" t="inlineStr">
        <is>
          <t>Instrumentation</t>
        </is>
      </c>
      <c r="J1110" s="12" t="inlineStr">
        <is>
          <t>Instrumentation PLTC / TC-ER 300 V, #18 twisted shielded pairs, overall shield</t>
        </is>
      </c>
      <c r="K1110" s="12" t="inlineStr">
        <is>
          <t>PLTC|24 pr|18</t>
        </is>
      </c>
      <c r="L1110" s="12" t="inlineStr">
        <is>
          <t>24 pr</t>
        </is>
      </c>
      <c r="M1110" s="12" t="inlineStr">
        <is>
          <t>18</t>
        </is>
      </c>
      <c r="N1110" s="12" t="n">
        <v>1</v>
      </c>
      <c r="O1110" s="12" t="n">
        <v>1</v>
      </c>
      <c r="P1110" s="12" t="n"/>
      <c r="Q1110" s="12" t="n"/>
      <c r="R1110" s="12" t="n"/>
      <c r="S1110" s="12" t="inlineStr">
        <is>
          <t>Tray</t>
        </is>
      </c>
      <c r="T1110" s="16" t="n">
        <v>53</v>
      </c>
      <c r="U1110" s="16" t="n">
        <v>96</v>
      </c>
      <c r="V1110" s="16">
        <f>ROUNDUP((T1110+U1110+2*'Read Me'!$B$13)*(1+'Read Me'!$B$12),-1)</f>
        <v/>
      </c>
      <c r="W1110" s="16">
        <f>V1110*N1110*O1110</f>
        <v/>
      </c>
      <c r="X1110" s="12">
        <f>IF(LEFT(I1110,2)="MV",2*N1110*IF(L1110="1/C",O1110,1),0)</f>
        <v/>
      </c>
      <c r="Y1110" s="12">
        <f>IF(OR(LEFT(K1110,4)="LVAX",LEFT(K1110,6)="MV15AX",LEFT(K1110,4)="CTAX",LEFT(K1110,2)="W|"),2*N1110*O1110,0)</f>
        <v/>
      </c>
      <c r="Z1110" s="12" t="inlineStr"/>
      <c r="AA1110" s="12">
        <f>N1110*O1110</f>
        <v/>
      </c>
    </row>
    <row r="1111">
      <c r="A1111" s="12" t="inlineStr">
        <is>
          <t>A-I-0389</t>
        </is>
      </c>
      <c r="B1111" s="12" t="inlineStr">
        <is>
          <t>A</t>
        </is>
      </c>
      <c r="C1111" s="12" t="inlineStr">
        <is>
          <t>Power block</t>
        </is>
      </c>
      <c r="D1111" s="12" t="inlineStr">
        <is>
          <t>Analog instrument to JB JB-HRSG-2-AI04: 20 x 1 pr (field cables)</t>
        </is>
      </c>
      <c r="E1111" s="12" t="inlineStr">
        <is>
          <t>HRSG-2</t>
        </is>
      </c>
      <c r="F1111" s="12" t="inlineStr">
        <is>
          <t>HRSG 2 + SCR (3P reheat, horizontal)</t>
        </is>
      </c>
      <c r="G1111" s="12" t="inlineStr">
        <is>
          <t>JB-HRSG-2-AI04</t>
        </is>
      </c>
      <c r="H1111" s="12" t="inlineStr">
        <is>
          <t>HRSG 2 + SCR (3P reheat, horizontal)</t>
        </is>
      </c>
      <c r="I1111" s="12" t="inlineStr">
        <is>
          <t>Instrumentation</t>
        </is>
      </c>
      <c r="J1111" s="12" t="inlineStr">
        <is>
          <t>Instrumentation PLTC / TC-ER 300 V, #18 twisted shielded pairs, overall shield</t>
        </is>
      </c>
      <c r="K1111" s="12" t="inlineStr">
        <is>
          <t>PLTC|1 pr|16</t>
        </is>
      </c>
      <c r="L1111" s="12" t="inlineStr">
        <is>
          <t>1 pr</t>
        </is>
      </c>
      <c r="M1111" s="12" t="inlineStr">
        <is>
          <t>16</t>
        </is>
      </c>
      <c r="N1111" s="12" t="n">
        <v>20</v>
      </c>
      <c r="O1111" s="12" t="n">
        <v>1</v>
      </c>
      <c r="P1111" s="12" t="n"/>
      <c r="Q1111" s="12" t="n"/>
      <c r="R1111" s="12" t="n"/>
      <c r="S1111" s="12" t="inlineStr">
        <is>
          <t>Tray / conduit</t>
        </is>
      </c>
      <c r="T1111" s="16" t="n">
        <v>180</v>
      </c>
      <c r="U1111" s="16" t="n">
        <v>10</v>
      </c>
      <c r="V1111" s="16">
        <f>ROUNDUP((T1111+U1111+2*'Read Me'!$B$13)*(1+'Read Me'!$B$12),-1)</f>
        <v/>
      </c>
      <c r="W1111" s="16">
        <f>V1111*N1111*O1111</f>
        <v/>
      </c>
      <c r="X1111" s="12">
        <f>IF(LEFT(I1111,2)="MV",2*N1111*IF(L1111="1/C",O1111,1),0)</f>
        <v/>
      </c>
      <c r="Y1111" s="12">
        <f>IF(OR(LEFT(K1111,4)="LVAX",LEFT(K1111,6)="MV15AX",LEFT(K1111,4)="CTAX",LEFT(K1111,2)="W|"),2*N1111*O1111,0)</f>
        <v/>
      </c>
      <c r="Z1111" s="12" t="inlineStr">
        <is>
          <t>device-to-JB field wiring, one cable per device</t>
        </is>
      </c>
      <c r="AA1111" s="12">
        <f>N1111*O1111</f>
        <v/>
      </c>
    </row>
    <row r="1112">
      <c r="A1112" s="12" t="inlineStr">
        <is>
          <t>A-I-0390</t>
        </is>
      </c>
      <c r="B1112" s="12" t="inlineStr">
        <is>
          <t>A</t>
        </is>
      </c>
      <c r="C1112" s="12" t="inlineStr">
        <is>
          <t>Power block</t>
        </is>
      </c>
      <c r="D1112" s="12" t="inlineStr">
        <is>
          <t>Home run JB-HRSG-2-AI04 to the control / marshalling room</t>
        </is>
      </c>
      <c r="E1112" s="12" t="inlineStr">
        <is>
          <t>R2B</t>
        </is>
      </c>
      <c r="F1112" s="12" t="inlineStr">
        <is>
          <t>R2B: unit / HRSG electrical e-house (32 x 40 ft)</t>
        </is>
      </c>
      <c r="G1112" s="12" t="inlineStr">
        <is>
          <t>JB-HRSG-2-AI04</t>
        </is>
      </c>
      <c r="H1112" s="12" t="inlineStr">
        <is>
          <t>HRSG 2 + SCR (3P reheat, horizontal)</t>
        </is>
      </c>
      <c r="I1112" s="12" t="inlineStr">
        <is>
          <t>Instrumentation</t>
        </is>
      </c>
      <c r="J1112" s="12" t="inlineStr">
        <is>
          <t>Instrumentation PLTC / TC-ER 300 V, #18 twisted shielded pairs, overall shield</t>
        </is>
      </c>
      <c r="K1112" s="12" t="inlineStr">
        <is>
          <t>PLTC|24 pr|18</t>
        </is>
      </c>
      <c r="L1112" s="12" t="inlineStr">
        <is>
          <t>24 pr</t>
        </is>
      </c>
      <c r="M1112" s="12" t="inlineStr">
        <is>
          <t>18</t>
        </is>
      </c>
      <c r="N1112" s="12" t="n">
        <v>1</v>
      </c>
      <c r="O1112" s="12" t="n">
        <v>1</v>
      </c>
      <c r="P1112" s="12" t="n"/>
      <c r="Q1112" s="12" t="n"/>
      <c r="R1112" s="12" t="n"/>
      <c r="S1112" s="12" t="inlineStr">
        <is>
          <t>Tray</t>
        </is>
      </c>
      <c r="T1112" s="16" t="n">
        <v>53</v>
      </c>
      <c r="U1112" s="16" t="n">
        <v>96</v>
      </c>
      <c r="V1112" s="16">
        <f>ROUNDUP((T1112+U1112+2*'Read Me'!$B$13)*(1+'Read Me'!$B$12),-1)</f>
        <v/>
      </c>
      <c r="W1112" s="16">
        <f>V1112*N1112*O1112</f>
        <v/>
      </c>
      <c r="X1112" s="12">
        <f>IF(LEFT(I1112,2)="MV",2*N1112*IF(L1112="1/C",O1112,1),0)</f>
        <v/>
      </c>
      <c r="Y1112" s="12">
        <f>IF(OR(LEFT(K1112,4)="LVAX",LEFT(K1112,6)="MV15AX",LEFT(K1112,4)="CTAX",LEFT(K1112,2)="W|"),2*N1112*O1112,0)</f>
        <v/>
      </c>
      <c r="Z1112" s="12" t="inlineStr"/>
      <c r="AA1112" s="12">
        <f>N1112*O1112</f>
        <v/>
      </c>
    </row>
    <row r="1113">
      <c r="A1113" s="12" t="inlineStr">
        <is>
          <t>A-I-0391</t>
        </is>
      </c>
      <c r="B1113" s="12" t="inlineStr">
        <is>
          <t>A</t>
        </is>
      </c>
      <c r="C1113" s="12" t="inlineStr">
        <is>
          <t>Power block</t>
        </is>
      </c>
      <c r="D1113" s="12" t="inlineStr">
        <is>
          <t>Analog instrument to JB JB-HRSG-2-AI05: 20 x 1 pr (field cables)</t>
        </is>
      </c>
      <c r="E1113" s="12" t="inlineStr">
        <is>
          <t>HRSG-2</t>
        </is>
      </c>
      <c r="F1113" s="12" t="inlineStr">
        <is>
          <t>HRSG 2 + SCR (3P reheat, horizontal)</t>
        </is>
      </c>
      <c r="G1113" s="12" t="inlineStr">
        <is>
          <t>JB-HRSG-2-AI05</t>
        </is>
      </c>
      <c r="H1113" s="12" t="inlineStr">
        <is>
          <t>HRSG 2 + SCR (3P reheat, horizontal)</t>
        </is>
      </c>
      <c r="I1113" s="12" t="inlineStr">
        <is>
          <t>Instrumentation</t>
        </is>
      </c>
      <c r="J1113" s="12" t="inlineStr">
        <is>
          <t>Instrumentation PLTC / TC-ER 300 V, #18 twisted shielded pairs, overall shield</t>
        </is>
      </c>
      <c r="K1113" s="12" t="inlineStr">
        <is>
          <t>PLTC|1 pr|16</t>
        </is>
      </c>
      <c r="L1113" s="12" t="inlineStr">
        <is>
          <t>1 pr</t>
        </is>
      </c>
      <c r="M1113" s="12" t="inlineStr">
        <is>
          <t>16</t>
        </is>
      </c>
      <c r="N1113" s="12" t="n">
        <v>20</v>
      </c>
      <c r="O1113" s="12" t="n">
        <v>1</v>
      </c>
      <c r="P1113" s="12" t="n"/>
      <c r="Q1113" s="12" t="n"/>
      <c r="R1113" s="12" t="n"/>
      <c r="S1113" s="12" t="inlineStr">
        <is>
          <t>Tray / conduit</t>
        </is>
      </c>
      <c r="T1113" s="16" t="n">
        <v>180</v>
      </c>
      <c r="U1113" s="16" t="n">
        <v>10</v>
      </c>
      <c r="V1113" s="16">
        <f>ROUNDUP((T1113+U1113+2*'Read Me'!$B$13)*(1+'Read Me'!$B$12),-1)</f>
        <v/>
      </c>
      <c r="W1113" s="16">
        <f>V1113*N1113*O1113</f>
        <v/>
      </c>
      <c r="X1113" s="12">
        <f>IF(LEFT(I1113,2)="MV",2*N1113*IF(L1113="1/C",O1113,1),0)</f>
        <v/>
      </c>
      <c r="Y1113" s="12">
        <f>IF(OR(LEFT(K1113,4)="LVAX",LEFT(K1113,6)="MV15AX",LEFT(K1113,4)="CTAX",LEFT(K1113,2)="W|"),2*N1113*O1113,0)</f>
        <v/>
      </c>
      <c r="Z1113" s="12" t="inlineStr">
        <is>
          <t>device-to-JB field wiring, one cable per device</t>
        </is>
      </c>
      <c r="AA1113" s="12">
        <f>N1113*O1113</f>
        <v/>
      </c>
    </row>
    <row r="1114">
      <c r="A1114" s="12" t="inlineStr">
        <is>
          <t>A-I-0392</t>
        </is>
      </c>
      <c r="B1114" s="12" t="inlineStr">
        <is>
          <t>A</t>
        </is>
      </c>
      <c r="C1114" s="12" t="inlineStr">
        <is>
          <t>Power block</t>
        </is>
      </c>
      <c r="D1114" s="12" t="inlineStr">
        <is>
          <t>Home run JB-HRSG-2-AI05 to the control / marshalling room</t>
        </is>
      </c>
      <c r="E1114" s="12" t="inlineStr">
        <is>
          <t>R2B</t>
        </is>
      </c>
      <c r="F1114" s="12" t="inlineStr">
        <is>
          <t>R2B: unit / HRSG electrical e-house (32 x 40 ft)</t>
        </is>
      </c>
      <c r="G1114" s="12" t="inlineStr">
        <is>
          <t>JB-HRSG-2-AI05</t>
        </is>
      </c>
      <c r="H1114" s="12" t="inlineStr">
        <is>
          <t>HRSG 2 + SCR (3P reheat, horizontal)</t>
        </is>
      </c>
      <c r="I1114" s="12" t="inlineStr">
        <is>
          <t>Instrumentation</t>
        </is>
      </c>
      <c r="J1114" s="12" t="inlineStr">
        <is>
          <t>Instrumentation PLTC / TC-ER 300 V, #18 twisted shielded pairs, overall shield</t>
        </is>
      </c>
      <c r="K1114" s="12" t="inlineStr">
        <is>
          <t>PLTC|24 pr|18</t>
        </is>
      </c>
      <c r="L1114" s="12" t="inlineStr">
        <is>
          <t>24 pr</t>
        </is>
      </c>
      <c r="M1114" s="12" t="inlineStr">
        <is>
          <t>18</t>
        </is>
      </c>
      <c r="N1114" s="12" t="n">
        <v>1</v>
      </c>
      <c r="O1114" s="12" t="n">
        <v>1</v>
      </c>
      <c r="P1114" s="12" t="n"/>
      <c r="Q1114" s="12" t="n"/>
      <c r="R1114" s="12" t="n"/>
      <c r="S1114" s="12" t="inlineStr">
        <is>
          <t>Tray</t>
        </is>
      </c>
      <c r="T1114" s="16" t="n">
        <v>53</v>
      </c>
      <c r="U1114" s="16" t="n">
        <v>96</v>
      </c>
      <c r="V1114" s="16">
        <f>ROUNDUP((T1114+U1114+2*'Read Me'!$B$13)*(1+'Read Me'!$B$12),-1)</f>
        <v/>
      </c>
      <c r="W1114" s="16">
        <f>V1114*N1114*O1114</f>
        <v/>
      </c>
      <c r="X1114" s="12">
        <f>IF(LEFT(I1114,2)="MV",2*N1114*IF(L1114="1/C",O1114,1),0)</f>
        <v/>
      </c>
      <c r="Y1114" s="12">
        <f>IF(OR(LEFT(K1114,4)="LVAX",LEFT(K1114,6)="MV15AX",LEFT(K1114,4)="CTAX",LEFT(K1114,2)="W|"),2*N1114*O1114,0)</f>
        <v/>
      </c>
      <c r="Z1114" s="12" t="inlineStr"/>
      <c r="AA1114" s="12">
        <f>N1114*O1114</f>
        <v/>
      </c>
    </row>
    <row r="1115">
      <c r="A1115" s="12" t="inlineStr">
        <is>
          <t>A-I-0393</t>
        </is>
      </c>
      <c r="B1115" s="12" t="inlineStr">
        <is>
          <t>A</t>
        </is>
      </c>
      <c r="C1115" s="12" t="inlineStr">
        <is>
          <t>Power block</t>
        </is>
      </c>
      <c r="D1115" s="12" t="inlineStr">
        <is>
          <t>Analog instrument to JB JB-HRSG-2-AI06: 20 x 1 pr (field cables)</t>
        </is>
      </c>
      <c r="E1115" s="12" t="inlineStr">
        <is>
          <t>HRSG-2</t>
        </is>
      </c>
      <c r="F1115" s="12" t="inlineStr">
        <is>
          <t>HRSG 2 + SCR (3P reheat, horizontal)</t>
        </is>
      </c>
      <c r="G1115" s="12" t="inlineStr">
        <is>
          <t>JB-HRSG-2-AI06</t>
        </is>
      </c>
      <c r="H1115" s="12" t="inlineStr">
        <is>
          <t>HRSG 2 + SCR (3P reheat, horizontal)</t>
        </is>
      </c>
      <c r="I1115" s="12" t="inlineStr">
        <is>
          <t>Instrumentation</t>
        </is>
      </c>
      <c r="J1115" s="12" t="inlineStr">
        <is>
          <t>Instrumentation PLTC / TC-ER 300 V, #18 twisted shielded pairs, overall shield</t>
        </is>
      </c>
      <c r="K1115" s="12" t="inlineStr">
        <is>
          <t>PLTC|1 pr|16</t>
        </is>
      </c>
      <c r="L1115" s="12" t="inlineStr">
        <is>
          <t>1 pr</t>
        </is>
      </c>
      <c r="M1115" s="12" t="inlineStr">
        <is>
          <t>16</t>
        </is>
      </c>
      <c r="N1115" s="12" t="n">
        <v>20</v>
      </c>
      <c r="O1115" s="12" t="n">
        <v>1</v>
      </c>
      <c r="P1115" s="12" t="n"/>
      <c r="Q1115" s="12" t="n"/>
      <c r="R1115" s="12" t="n"/>
      <c r="S1115" s="12" t="inlineStr">
        <is>
          <t>Tray / conduit</t>
        </is>
      </c>
      <c r="T1115" s="16" t="n">
        <v>180</v>
      </c>
      <c r="U1115" s="16" t="n">
        <v>10</v>
      </c>
      <c r="V1115" s="16">
        <f>ROUNDUP((T1115+U1115+2*'Read Me'!$B$13)*(1+'Read Me'!$B$12),-1)</f>
        <v/>
      </c>
      <c r="W1115" s="16">
        <f>V1115*N1115*O1115</f>
        <v/>
      </c>
      <c r="X1115" s="12">
        <f>IF(LEFT(I1115,2)="MV",2*N1115*IF(L1115="1/C",O1115,1),0)</f>
        <v/>
      </c>
      <c r="Y1115" s="12">
        <f>IF(OR(LEFT(K1115,4)="LVAX",LEFT(K1115,6)="MV15AX",LEFT(K1115,4)="CTAX",LEFT(K1115,2)="W|"),2*N1115*O1115,0)</f>
        <v/>
      </c>
      <c r="Z1115" s="12" t="inlineStr">
        <is>
          <t>device-to-JB field wiring, one cable per device</t>
        </is>
      </c>
      <c r="AA1115" s="12">
        <f>N1115*O1115</f>
        <v/>
      </c>
    </row>
    <row r="1116">
      <c r="A1116" s="12" t="inlineStr">
        <is>
          <t>A-I-0394</t>
        </is>
      </c>
      <c r="B1116" s="12" t="inlineStr">
        <is>
          <t>A</t>
        </is>
      </c>
      <c r="C1116" s="12" t="inlineStr">
        <is>
          <t>Power block</t>
        </is>
      </c>
      <c r="D1116" s="12" t="inlineStr">
        <is>
          <t>Home run JB-HRSG-2-AI06 to the control / marshalling room</t>
        </is>
      </c>
      <c r="E1116" s="12" t="inlineStr">
        <is>
          <t>R2B</t>
        </is>
      </c>
      <c r="F1116" s="12" t="inlineStr">
        <is>
          <t>R2B: unit / HRSG electrical e-house (32 x 40 ft)</t>
        </is>
      </c>
      <c r="G1116" s="12" t="inlineStr">
        <is>
          <t>JB-HRSG-2-AI06</t>
        </is>
      </c>
      <c r="H1116" s="12" t="inlineStr">
        <is>
          <t>HRSG 2 + SCR (3P reheat, horizontal)</t>
        </is>
      </c>
      <c r="I1116" s="12" t="inlineStr">
        <is>
          <t>Instrumentation</t>
        </is>
      </c>
      <c r="J1116" s="12" t="inlineStr">
        <is>
          <t>Instrumentation PLTC / TC-ER 300 V, #18 twisted shielded pairs, overall shield</t>
        </is>
      </c>
      <c r="K1116" s="12" t="inlineStr">
        <is>
          <t>PLTC|24 pr|18</t>
        </is>
      </c>
      <c r="L1116" s="12" t="inlineStr">
        <is>
          <t>24 pr</t>
        </is>
      </c>
      <c r="M1116" s="12" t="inlineStr">
        <is>
          <t>18</t>
        </is>
      </c>
      <c r="N1116" s="12" t="n">
        <v>1</v>
      </c>
      <c r="O1116" s="12" t="n">
        <v>1</v>
      </c>
      <c r="P1116" s="12" t="n"/>
      <c r="Q1116" s="12" t="n"/>
      <c r="R1116" s="12" t="n"/>
      <c r="S1116" s="12" t="inlineStr">
        <is>
          <t>Tray</t>
        </is>
      </c>
      <c r="T1116" s="16" t="n">
        <v>53</v>
      </c>
      <c r="U1116" s="16" t="n">
        <v>96</v>
      </c>
      <c r="V1116" s="16">
        <f>ROUNDUP((T1116+U1116+2*'Read Me'!$B$13)*(1+'Read Me'!$B$12),-1)</f>
        <v/>
      </c>
      <c r="W1116" s="16">
        <f>V1116*N1116*O1116</f>
        <v/>
      </c>
      <c r="X1116" s="12">
        <f>IF(LEFT(I1116,2)="MV",2*N1116*IF(L1116="1/C",O1116,1),0)</f>
        <v/>
      </c>
      <c r="Y1116" s="12">
        <f>IF(OR(LEFT(K1116,4)="LVAX",LEFT(K1116,6)="MV15AX",LEFT(K1116,4)="CTAX",LEFT(K1116,2)="W|"),2*N1116*O1116,0)</f>
        <v/>
      </c>
      <c r="Z1116" s="12" t="inlineStr"/>
      <c r="AA1116" s="12">
        <f>N1116*O1116</f>
        <v/>
      </c>
    </row>
    <row r="1117">
      <c r="A1117" s="12" t="inlineStr">
        <is>
          <t>A-I-0395</t>
        </is>
      </c>
      <c r="B1117" s="12" t="inlineStr">
        <is>
          <t>A</t>
        </is>
      </c>
      <c r="C1117" s="12" t="inlineStr">
        <is>
          <t>Power block</t>
        </is>
      </c>
      <c r="D1117" s="12" t="inlineStr">
        <is>
          <t>Analog instrument to JB JB-HRSG-2-AI07: 20 x 1 pr (field cables)</t>
        </is>
      </c>
      <c r="E1117" s="12" t="inlineStr">
        <is>
          <t>HRSG-2</t>
        </is>
      </c>
      <c r="F1117" s="12" t="inlineStr">
        <is>
          <t>HRSG 2 + SCR (3P reheat, horizontal)</t>
        </is>
      </c>
      <c r="G1117" s="12" t="inlineStr">
        <is>
          <t>JB-HRSG-2-AI07</t>
        </is>
      </c>
      <c r="H1117" s="12" t="inlineStr">
        <is>
          <t>HRSG 2 + SCR (3P reheat, horizontal)</t>
        </is>
      </c>
      <c r="I1117" s="12" t="inlineStr">
        <is>
          <t>Instrumentation</t>
        </is>
      </c>
      <c r="J1117" s="12" t="inlineStr">
        <is>
          <t>Instrumentation PLTC / TC-ER 300 V, #18 twisted shielded pairs, overall shield</t>
        </is>
      </c>
      <c r="K1117" s="12" t="inlineStr">
        <is>
          <t>PLTC|1 pr|16</t>
        </is>
      </c>
      <c r="L1117" s="12" t="inlineStr">
        <is>
          <t>1 pr</t>
        </is>
      </c>
      <c r="M1117" s="12" t="inlineStr">
        <is>
          <t>16</t>
        </is>
      </c>
      <c r="N1117" s="12" t="n">
        <v>20</v>
      </c>
      <c r="O1117" s="12" t="n">
        <v>1</v>
      </c>
      <c r="P1117" s="12" t="n"/>
      <c r="Q1117" s="12" t="n"/>
      <c r="R1117" s="12" t="n"/>
      <c r="S1117" s="12" t="inlineStr">
        <is>
          <t>Tray / conduit</t>
        </is>
      </c>
      <c r="T1117" s="16" t="n">
        <v>180</v>
      </c>
      <c r="U1117" s="16" t="n">
        <v>10</v>
      </c>
      <c r="V1117" s="16">
        <f>ROUNDUP((T1117+U1117+2*'Read Me'!$B$13)*(1+'Read Me'!$B$12),-1)</f>
        <v/>
      </c>
      <c r="W1117" s="16">
        <f>V1117*N1117*O1117</f>
        <v/>
      </c>
      <c r="X1117" s="12">
        <f>IF(LEFT(I1117,2)="MV",2*N1117*IF(L1117="1/C",O1117,1),0)</f>
        <v/>
      </c>
      <c r="Y1117" s="12">
        <f>IF(OR(LEFT(K1117,4)="LVAX",LEFT(K1117,6)="MV15AX",LEFT(K1117,4)="CTAX",LEFT(K1117,2)="W|"),2*N1117*O1117,0)</f>
        <v/>
      </c>
      <c r="Z1117" s="12" t="inlineStr">
        <is>
          <t>device-to-JB field wiring, one cable per device</t>
        </is>
      </c>
      <c r="AA1117" s="12">
        <f>N1117*O1117</f>
        <v/>
      </c>
    </row>
    <row r="1118">
      <c r="A1118" s="12" t="inlineStr">
        <is>
          <t>A-I-0396</t>
        </is>
      </c>
      <c r="B1118" s="12" t="inlineStr">
        <is>
          <t>A</t>
        </is>
      </c>
      <c r="C1118" s="12" t="inlineStr">
        <is>
          <t>Power block</t>
        </is>
      </c>
      <c r="D1118" s="12" t="inlineStr">
        <is>
          <t>Home run JB-HRSG-2-AI07 to the control / marshalling room</t>
        </is>
      </c>
      <c r="E1118" s="12" t="inlineStr">
        <is>
          <t>R2B</t>
        </is>
      </c>
      <c r="F1118" s="12" t="inlineStr">
        <is>
          <t>R2B: unit / HRSG electrical e-house (32 x 40 ft)</t>
        </is>
      </c>
      <c r="G1118" s="12" t="inlineStr">
        <is>
          <t>JB-HRSG-2-AI07</t>
        </is>
      </c>
      <c r="H1118" s="12" t="inlineStr">
        <is>
          <t>HRSG 2 + SCR (3P reheat, horizontal)</t>
        </is>
      </c>
      <c r="I1118" s="12" t="inlineStr">
        <is>
          <t>Instrumentation</t>
        </is>
      </c>
      <c r="J1118" s="12" t="inlineStr">
        <is>
          <t>Instrumentation PLTC / TC-ER 300 V, #18 twisted shielded pairs, overall shield</t>
        </is>
      </c>
      <c r="K1118" s="12" t="inlineStr">
        <is>
          <t>PLTC|24 pr|18</t>
        </is>
      </c>
      <c r="L1118" s="12" t="inlineStr">
        <is>
          <t>24 pr</t>
        </is>
      </c>
      <c r="M1118" s="12" t="inlineStr">
        <is>
          <t>18</t>
        </is>
      </c>
      <c r="N1118" s="12" t="n">
        <v>1</v>
      </c>
      <c r="O1118" s="12" t="n">
        <v>1</v>
      </c>
      <c r="P1118" s="12" t="n"/>
      <c r="Q1118" s="12" t="n"/>
      <c r="R1118" s="12" t="n"/>
      <c r="S1118" s="12" t="inlineStr">
        <is>
          <t>Tray</t>
        </is>
      </c>
      <c r="T1118" s="16" t="n">
        <v>53</v>
      </c>
      <c r="U1118" s="16" t="n">
        <v>96</v>
      </c>
      <c r="V1118" s="16">
        <f>ROUNDUP((T1118+U1118+2*'Read Me'!$B$13)*(1+'Read Me'!$B$12),-1)</f>
        <v/>
      </c>
      <c r="W1118" s="16">
        <f>V1118*N1118*O1118</f>
        <v/>
      </c>
      <c r="X1118" s="12">
        <f>IF(LEFT(I1118,2)="MV",2*N1118*IF(L1118="1/C",O1118,1),0)</f>
        <v/>
      </c>
      <c r="Y1118" s="12">
        <f>IF(OR(LEFT(K1118,4)="LVAX",LEFT(K1118,6)="MV15AX",LEFT(K1118,4)="CTAX",LEFT(K1118,2)="W|"),2*N1118*O1118,0)</f>
        <v/>
      </c>
      <c r="Z1118" s="12" t="inlineStr"/>
      <c r="AA1118" s="12">
        <f>N1118*O1118</f>
        <v/>
      </c>
    </row>
    <row r="1119">
      <c r="A1119" s="12" t="inlineStr">
        <is>
          <t>A-I-0397</t>
        </is>
      </c>
      <c r="B1119" s="12" t="inlineStr">
        <is>
          <t>A</t>
        </is>
      </c>
      <c r="C1119" s="12" t="inlineStr">
        <is>
          <t>Power block</t>
        </is>
      </c>
      <c r="D1119" s="12" t="inlineStr">
        <is>
          <t>Analog instrument to JB JB-HRSG-2-AI08: 20 x 1 pr (field cables)</t>
        </is>
      </c>
      <c r="E1119" s="12" t="inlineStr">
        <is>
          <t>HRSG-2</t>
        </is>
      </c>
      <c r="F1119" s="12" t="inlineStr">
        <is>
          <t>HRSG 2 + SCR (3P reheat, horizontal)</t>
        </is>
      </c>
      <c r="G1119" s="12" t="inlineStr">
        <is>
          <t>JB-HRSG-2-AI08</t>
        </is>
      </c>
      <c r="H1119" s="12" t="inlineStr">
        <is>
          <t>HRSG 2 + SCR (3P reheat, horizontal)</t>
        </is>
      </c>
      <c r="I1119" s="12" t="inlineStr">
        <is>
          <t>Instrumentation</t>
        </is>
      </c>
      <c r="J1119" s="12" t="inlineStr">
        <is>
          <t>Instrumentation PLTC / TC-ER 300 V, #18 twisted shielded pairs, overall shield</t>
        </is>
      </c>
      <c r="K1119" s="12" t="inlineStr">
        <is>
          <t>PLTC|1 pr|16</t>
        </is>
      </c>
      <c r="L1119" s="12" t="inlineStr">
        <is>
          <t>1 pr</t>
        </is>
      </c>
      <c r="M1119" s="12" t="inlineStr">
        <is>
          <t>16</t>
        </is>
      </c>
      <c r="N1119" s="12" t="n">
        <v>20</v>
      </c>
      <c r="O1119" s="12" t="n">
        <v>1</v>
      </c>
      <c r="P1119" s="12" t="n"/>
      <c r="Q1119" s="12" t="n"/>
      <c r="R1119" s="12" t="n"/>
      <c r="S1119" s="12" t="inlineStr">
        <is>
          <t>Tray / conduit</t>
        </is>
      </c>
      <c r="T1119" s="16" t="n">
        <v>180</v>
      </c>
      <c r="U1119" s="16" t="n">
        <v>10</v>
      </c>
      <c r="V1119" s="16">
        <f>ROUNDUP((T1119+U1119+2*'Read Me'!$B$13)*(1+'Read Me'!$B$12),-1)</f>
        <v/>
      </c>
      <c r="W1119" s="16">
        <f>V1119*N1119*O1119</f>
        <v/>
      </c>
      <c r="X1119" s="12">
        <f>IF(LEFT(I1119,2)="MV",2*N1119*IF(L1119="1/C",O1119,1),0)</f>
        <v/>
      </c>
      <c r="Y1119" s="12">
        <f>IF(OR(LEFT(K1119,4)="LVAX",LEFT(K1119,6)="MV15AX",LEFT(K1119,4)="CTAX",LEFT(K1119,2)="W|"),2*N1119*O1119,0)</f>
        <v/>
      </c>
      <c r="Z1119" s="12" t="inlineStr">
        <is>
          <t>device-to-JB field wiring, one cable per device</t>
        </is>
      </c>
      <c r="AA1119" s="12">
        <f>N1119*O1119</f>
        <v/>
      </c>
    </row>
    <row r="1120">
      <c r="A1120" s="12" t="inlineStr">
        <is>
          <t>A-I-0398</t>
        </is>
      </c>
      <c r="B1120" s="12" t="inlineStr">
        <is>
          <t>A</t>
        </is>
      </c>
      <c r="C1120" s="12" t="inlineStr">
        <is>
          <t>Power block</t>
        </is>
      </c>
      <c r="D1120" s="12" t="inlineStr">
        <is>
          <t>Home run JB-HRSG-2-AI08 to the control / marshalling room</t>
        </is>
      </c>
      <c r="E1120" s="12" t="inlineStr">
        <is>
          <t>R2B</t>
        </is>
      </c>
      <c r="F1120" s="12" t="inlineStr">
        <is>
          <t>R2B: unit / HRSG electrical e-house (32 x 40 ft)</t>
        </is>
      </c>
      <c r="G1120" s="12" t="inlineStr">
        <is>
          <t>JB-HRSG-2-AI08</t>
        </is>
      </c>
      <c r="H1120" s="12" t="inlineStr">
        <is>
          <t>HRSG 2 + SCR (3P reheat, horizontal)</t>
        </is>
      </c>
      <c r="I1120" s="12" t="inlineStr">
        <is>
          <t>Instrumentation</t>
        </is>
      </c>
      <c r="J1120" s="12" t="inlineStr">
        <is>
          <t>Instrumentation PLTC / TC-ER 300 V, #18 twisted shielded pairs, overall shield</t>
        </is>
      </c>
      <c r="K1120" s="12" t="inlineStr">
        <is>
          <t>PLTC|24 pr|18</t>
        </is>
      </c>
      <c r="L1120" s="12" t="inlineStr">
        <is>
          <t>24 pr</t>
        </is>
      </c>
      <c r="M1120" s="12" t="inlineStr">
        <is>
          <t>18</t>
        </is>
      </c>
      <c r="N1120" s="12" t="n">
        <v>1</v>
      </c>
      <c r="O1120" s="12" t="n">
        <v>1</v>
      </c>
      <c r="P1120" s="12" t="n"/>
      <c r="Q1120" s="12" t="n"/>
      <c r="R1120" s="12" t="n"/>
      <c r="S1120" s="12" t="inlineStr">
        <is>
          <t>Tray</t>
        </is>
      </c>
      <c r="T1120" s="16" t="n">
        <v>53</v>
      </c>
      <c r="U1120" s="16" t="n">
        <v>96</v>
      </c>
      <c r="V1120" s="16">
        <f>ROUNDUP((T1120+U1120+2*'Read Me'!$B$13)*(1+'Read Me'!$B$12),-1)</f>
        <v/>
      </c>
      <c r="W1120" s="16">
        <f>V1120*N1120*O1120</f>
        <v/>
      </c>
      <c r="X1120" s="12">
        <f>IF(LEFT(I1120,2)="MV",2*N1120*IF(L1120="1/C",O1120,1),0)</f>
        <v/>
      </c>
      <c r="Y1120" s="12">
        <f>IF(OR(LEFT(K1120,4)="LVAX",LEFT(K1120,6)="MV15AX",LEFT(K1120,4)="CTAX",LEFT(K1120,2)="W|"),2*N1120*O1120,0)</f>
        <v/>
      </c>
      <c r="Z1120" s="12" t="inlineStr"/>
      <c r="AA1120" s="12">
        <f>N1120*O1120</f>
        <v/>
      </c>
    </row>
    <row r="1121">
      <c r="A1121" s="12" t="inlineStr">
        <is>
          <t>A-I-0399</t>
        </is>
      </c>
      <c r="B1121" s="12" t="inlineStr">
        <is>
          <t>A</t>
        </is>
      </c>
      <c r="C1121" s="12" t="inlineStr">
        <is>
          <t>Power block</t>
        </is>
      </c>
      <c r="D1121" s="12" t="inlineStr">
        <is>
          <t>Discrete device to JB JB-HRSG-2-DI01: 20 x 1 pr (field cables)</t>
        </is>
      </c>
      <c r="E1121" s="12" t="inlineStr">
        <is>
          <t>HRSG-2</t>
        </is>
      </c>
      <c r="F1121" s="12" t="inlineStr">
        <is>
          <t>HRSG 2 + SCR (3P reheat, horizontal)</t>
        </is>
      </c>
      <c r="G1121" s="12" t="inlineStr">
        <is>
          <t>JB-HRSG-2-DI01</t>
        </is>
      </c>
      <c r="H1121" s="12" t="inlineStr">
        <is>
          <t>HRSG 2 + SCR (3P reheat, horizontal)</t>
        </is>
      </c>
      <c r="I1121" s="12" t="inlineStr">
        <is>
          <t>Instrumentation</t>
        </is>
      </c>
      <c r="J1121" s="12" t="inlineStr">
        <is>
          <t>Instrumentation PLTC / TC-ER 300 V, #18 twisted shielded pairs, overall shield</t>
        </is>
      </c>
      <c r="K1121" s="12" t="inlineStr">
        <is>
          <t>PLTC|1 pr|16</t>
        </is>
      </c>
      <c r="L1121" s="12" t="inlineStr">
        <is>
          <t>1 pr</t>
        </is>
      </c>
      <c r="M1121" s="12" t="inlineStr">
        <is>
          <t>16</t>
        </is>
      </c>
      <c r="N1121" s="12" t="n">
        <v>20</v>
      </c>
      <c r="O1121" s="12" t="n">
        <v>1</v>
      </c>
      <c r="P1121" s="12" t="n"/>
      <c r="Q1121" s="12" t="n"/>
      <c r="R1121" s="12" t="n"/>
      <c r="S1121" s="12" t="inlineStr">
        <is>
          <t>Tray / conduit</t>
        </is>
      </c>
      <c r="T1121" s="16" t="n">
        <v>180</v>
      </c>
      <c r="U1121" s="16" t="n">
        <v>10</v>
      </c>
      <c r="V1121" s="16">
        <f>ROUNDUP((T1121+U1121+2*'Read Me'!$B$13)*(1+'Read Me'!$B$12),-1)</f>
        <v/>
      </c>
      <c r="W1121" s="16">
        <f>V1121*N1121*O1121</f>
        <v/>
      </c>
      <c r="X1121" s="12">
        <f>IF(LEFT(I1121,2)="MV",2*N1121*IF(L1121="1/C",O1121,1),0)</f>
        <v/>
      </c>
      <c r="Y1121" s="12">
        <f>IF(OR(LEFT(K1121,4)="LVAX",LEFT(K1121,6)="MV15AX",LEFT(K1121,4)="CTAX",LEFT(K1121,2)="W|"),2*N1121*O1121,0)</f>
        <v/>
      </c>
      <c r="Z1121" s="12" t="inlineStr">
        <is>
          <t>device-to-JB field wiring, one cable per device</t>
        </is>
      </c>
      <c r="AA1121" s="12">
        <f>N1121*O1121</f>
        <v/>
      </c>
    </row>
    <row r="1122">
      <c r="A1122" s="12" t="inlineStr">
        <is>
          <t>A-I-0400</t>
        </is>
      </c>
      <c r="B1122" s="12" t="inlineStr">
        <is>
          <t>A</t>
        </is>
      </c>
      <c r="C1122" s="12" t="inlineStr">
        <is>
          <t>Power block</t>
        </is>
      </c>
      <c r="D1122" s="12" t="inlineStr">
        <is>
          <t>Home run JB-HRSG-2-DI01 to the control / marshalling room</t>
        </is>
      </c>
      <c r="E1122" s="12" t="inlineStr">
        <is>
          <t>R2B</t>
        </is>
      </c>
      <c r="F1122" s="12" t="inlineStr">
        <is>
          <t>R2B: unit / HRSG electrical e-house (32 x 40 ft)</t>
        </is>
      </c>
      <c r="G1122" s="12" t="inlineStr">
        <is>
          <t>JB-HRSG-2-DI01</t>
        </is>
      </c>
      <c r="H1122" s="12" t="inlineStr">
        <is>
          <t>HRSG 2 + SCR (3P reheat, horizontal)</t>
        </is>
      </c>
      <c r="I1122" s="12" t="inlineStr">
        <is>
          <t>Instrumentation</t>
        </is>
      </c>
      <c r="J1122" s="12" t="inlineStr">
        <is>
          <t>Instrumentation PLTC / TC-ER 300 V, #18 twisted shielded pairs, overall shield</t>
        </is>
      </c>
      <c r="K1122" s="12" t="inlineStr">
        <is>
          <t>PLTC|24 pr|18</t>
        </is>
      </c>
      <c r="L1122" s="12" t="inlineStr">
        <is>
          <t>24 pr</t>
        </is>
      </c>
      <c r="M1122" s="12" t="inlineStr">
        <is>
          <t>18</t>
        </is>
      </c>
      <c r="N1122" s="12" t="n">
        <v>1</v>
      </c>
      <c r="O1122" s="12" t="n">
        <v>1</v>
      </c>
      <c r="P1122" s="12" t="n"/>
      <c r="Q1122" s="12" t="n"/>
      <c r="R1122" s="12" t="n"/>
      <c r="S1122" s="12" t="inlineStr">
        <is>
          <t>Tray</t>
        </is>
      </c>
      <c r="T1122" s="16" t="n">
        <v>53</v>
      </c>
      <c r="U1122" s="16" t="n">
        <v>96</v>
      </c>
      <c r="V1122" s="16">
        <f>ROUNDUP((T1122+U1122+2*'Read Me'!$B$13)*(1+'Read Me'!$B$12),-1)</f>
        <v/>
      </c>
      <c r="W1122" s="16">
        <f>V1122*N1122*O1122</f>
        <v/>
      </c>
      <c r="X1122" s="12">
        <f>IF(LEFT(I1122,2)="MV",2*N1122*IF(L1122="1/C",O1122,1),0)</f>
        <v/>
      </c>
      <c r="Y1122" s="12">
        <f>IF(OR(LEFT(K1122,4)="LVAX",LEFT(K1122,6)="MV15AX",LEFT(K1122,4)="CTAX",LEFT(K1122,2)="W|"),2*N1122*O1122,0)</f>
        <v/>
      </c>
      <c r="Z1122" s="12" t="inlineStr"/>
      <c r="AA1122" s="12">
        <f>N1122*O1122</f>
        <v/>
      </c>
    </row>
    <row r="1123">
      <c r="A1123" s="12" t="inlineStr">
        <is>
          <t>A-I-0401</t>
        </is>
      </c>
      <c r="B1123" s="12" t="inlineStr">
        <is>
          <t>A</t>
        </is>
      </c>
      <c r="C1123" s="12" t="inlineStr">
        <is>
          <t>Power block</t>
        </is>
      </c>
      <c r="D1123" s="12" t="inlineStr">
        <is>
          <t>Discrete device to JB JB-HRSG-2-DI02: 20 x 1 pr (field cables)</t>
        </is>
      </c>
      <c r="E1123" s="12" t="inlineStr">
        <is>
          <t>HRSG-2</t>
        </is>
      </c>
      <c r="F1123" s="12" t="inlineStr">
        <is>
          <t>HRSG 2 + SCR (3P reheat, horizontal)</t>
        </is>
      </c>
      <c r="G1123" s="12" t="inlineStr">
        <is>
          <t>JB-HRSG-2-DI02</t>
        </is>
      </c>
      <c r="H1123" s="12" t="inlineStr">
        <is>
          <t>HRSG 2 + SCR (3P reheat, horizontal)</t>
        </is>
      </c>
      <c r="I1123" s="12" t="inlineStr">
        <is>
          <t>Instrumentation</t>
        </is>
      </c>
      <c r="J1123" s="12" t="inlineStr">
        <is>
          <t>Instrumentation PLTC / TC-ER 300 V, #18 twisted shielded pairs, overall shield</t>
        </is>
      </c>
      <c r="K1123" s="12" t="inlineStr">
        <is>
          <t>PLTC|1 pr|16</t>
        </is>
      </c>
      <c r="L1123" s="12" t="inlineStr">
        <is>
          <t>1 pr</t>
        </is>
      </c>
      <c r="M1123" s="12" t="inlineStr">
        <is>
          <t>16</t>
        </is>
      </c>
      <c r="N1123" s="12" t="n">
        <v>20</v>
      </c>
      <c r="O1123" s="12" t="n">
        <v>1</v>
      </c>
      <c r="P1123" s="12" t="n"/>
      <c r="Q1123" s="12" t="n"/>
      <c r="R1123" s="12" t="n"/>
      <c r="S1123" s="12" t="inlineStr">
        <is>
          <t>Tray / conduit</t>
        </is>
      </c>
      <c r="T1123" s="16" t="n">
        <v>180</v>
      </c>
      <c r="U1123" s="16" t="n">
        <v>10</v>
      </c>
      <c r="V1123" s="16">
        <f>ROUNDUP((T1123+U1123+2*'Read Me'!$B$13)*(1+'Read Me'!$B$12),-1)</f>
        <v/>
      </c>
      <c r="W1123" s="16">
        <f>V1123*N1123*O1123</f>
        <v/>
      </c>
      <c r="X1123" s="12">
        <f>IF(LEFT(I1123,2)="MV",2*N1123*IF(L1123="1/C",O1123,1),0)</f>
        <v/>
      </c>
      <c r="Y1123" s="12">
        <f>IF(OR(LEFT(K1123,4)="LVAX",LEFT(K1123,6)="MV15AX",LEFT(K1123,4)="CTAX",LEFT(K1123,2)="W|"),2*N1123*O1123,0)</f>
        <v/>
      </c>
      <c r="Z1123" s="12" t="inlineStr">
        <is>
          <t>device-to-JB field wiring, one cable per device</t>
        </is>
      </c>
      <c r="AA1123" s="12">
        <f>N1123*O1123</f>
        <v/>
      </c>
    </row>
    <row r="1124">
      <c r="A1124" s="12" t="inlineStr">
        <is>
          <t>A-I-0402</t>
        </is>
      </c>
      <c r="B1124" s="12" t="inlineStr">
        <is>
          <t>A</t>
        </is>
      </c>
      <c r="C1124" s="12" t="inlineStr">
        <is>
          <t>Power block</t>
        </is>
      </c>
      <c r="D1124" s="12" t="inlineStr">
        <is>
          <t>Home run JB-HRSG-2-DI02 to the control / marshalling room</t>
        </is>
      </c>
      <c r="E1124" s="12" t="inlineStr">
        <is>
          <t>R2B</t>
        </is>
      </c>
      <c r="F1124" s="12" t="inlineStr">
        <is>
          <t>R2B: unit / HRSG electrical e-house (32 x 40 ft)</t>
        </is>
      </c>
      <c r="G1124" s="12" t="inlineStr">
        <is>
          <t>JB-HRSG-2-DI02</t>
        </is>
      </c>
      <c r="H1124" s="12" t="inlineStr">
        <is>
          <t>HRSG 2 + SCR (3P reheat, horizontal)</t>
        </is>
      </c>
      <c r="I1124" s="12" t="inlineStr">
        <is>
          <t>Instrumentation</t>
        </is>
      </c>
      <c r="J1124" s="12" t="inlineStr">
        <is>
          <t>Instrumentation PLTC / TC-ER 300 V, #18 twisted shielded pairs, overall shield</t>
        </is>
      </c>
      <c r="K1124" s="12" t="inlineStr">
        <is>
          <t>PLTC|24 pr|18</t>
        </is>
      </c>
      <c r="L1124" s="12" t="inlineStr">
        <is>
          <t>24 pr</t>
        </is>
      </c>
      <c r="M1124" s="12" t="inlineStr">
        <is>
          <t>18</t>
        </is>
      </c>
      <c r="N1124" s="12" t="n">
        <v>1</v>
      </c>
      <c r="O1124" s="12" t="n">
        <v>1</v>
      </c>
      <c r="P1124" s="12" t="n"/>
      <c r="Q1124" s="12" t="n"/>
      <c r="R1124" s="12" t="n"/>
      <c r="S1124" s="12" t="inlineStr">
        <is>
          <t>Tray</t>
        </is>
      </c>
      <c r="T1124" s="16" t="n">
        <v>53</v>
      </c>
      <c r="U1124" s="16" t="n">
        <v>96</v>
      </c>
      <c r="V1124" s="16">
        <f>ROUNDUP((T1124+U1124+2*'Read Me'!$B$13)*(1+'Read Me'!$B$12),-1)</f>
        <v/>
      </c>
      <c r="W1124" s="16">
        <f>V1124*N1124*O1124</f>
        <v/>
      </c>
      <c r="X1124" s="12">
        <f>IF(LEFT(I1124,2)="MV",2*N1124*IF(L1124="1/C",O1124,1),0)</f>
        <v/>
      </c>
      <c r="Y1124" s="12">
        <f>IF(OR(LEFT(K1124,4)="LVAX",LEFT(K1124,6)="MV15AX",LEFT(K1124,4)="CTAX",LEFT(K1124,2)="W|"),2*N1124*O1124,0)</f>
        <v/>
      </c>
      <c r="Z1124" s="12" t="inlineStr"/>
      <c r="AA1124" s="12">
        <f>N1124*O1124</f>
        <v/>
      </c>
    </row>
    <row r="1125">
      <c r="A1125" s="12" t="inlineStr">
        <is>
          <t>A-I-0403</t>
        </is>
      </c>
      <c r="B1125" s="12" t="inlineStr">
        <is>
          <t>A</t>
        </is>
      </c>
      <c r="C1125" s="12" t="inlineStr">
        <is>
          <t>Power block</t>
        </is>
      </c>
      <c r="D1125" s="12" t="inlineStr">
        <is>
          <t>Discrete device to JB JB-HRSG-2-DI03: 20 x 1 pr (field cables)</t>
        </is>
      </c>
      <c r="E1125" s="12" t="inlineStr">
        <is>
          <t>HRSG-2</t>
        </is>
      </c>
      <c r="F1125" s="12" t="inlineStr">
        <is>
          <t>HRSG 2 + SCR (3P reheat, horizontal)</t>
        </is>
      </c>
      <c r="G1125" s="12" t="inlineStr">
        <is>
          <t>JB-HRSG-2-DI03</t>
        </is>
      </c>
      <c r="H1125" s="12" t="inlineStr">
        <is>
          <t>HRSG 2 + SCR (3P reheat, horizontal)</t>
        </is>
      </c>
      <c r="I1125" s="12" t="inlineStr">
        <is>
          <t>Instrumentation</t>
        </is>
      </c>
      <c r="J1125" s="12" t="inlineStr">
        <is>
          <t>Instrumentation PLTC / TC-ER 300 V, #18 twisted shielded pairs, overall shield</t>
        </is>
      </c>
      <c r="K1125" s="12" t="inlineStr">
        <is>
          <t>PLTC|1 pr|16</t>
        </is>
      </c>
      <c r="L1125" s="12" t="inlineStr">
        <is>
          <t>1 pr</t>
        </is>
      </c>
      <c r="M1125" s="12" t="inlineStr">
        <is>
          <t>16</t>
        </is>
      </c>
      <c r="N1125" s="12" t="n">
        <v>20</v>
      </c>
      <c r="O1125" s="12" t="n">
        <v>1</v>
      </c>
      <c r="P1125" s="12" t="n"/>
      <c r="Q1125" s="12" t="n"/>
      <c r="R1125" s="12" t="n"/>
      <c r="S1125" s="12" t="inlineStr">
        <is>
          <t>Tray / conduit</t>
        </is>
      </c>
      <c r="T1125" s="16" t="n">
        <v>180</v>
      </c>
      <c r="U1125" s="16" t="n">
        <v>10</v>
      </c>
      <c r="V1125" s="16">
        <f>ROUNDUP((T1125+U1125+2*'Read Me'!$B$13)*(1+'Read Me'!$B$12),-1)</f>
        <v/>
      </c>
      <c r="W1125" s="16">
        <f>V1125*N1125*O1125</f>
        <v/>
      </c>
      <c r="X1125" s="12">
        <f>IF(LEFT(I1125,2)="MV",2*N1125*IF(L1125="1/C",O1125,1),0)</f>
        <v/>
      </c>
      <c r="Y1125" s="12">
        <f>IF(OR(LEFT(K1125,4)="LVAX",LEFT(K1125,6)="MV15AX",LEFT(K1125,4)="CTAX",LEFT(K1125,2)="W|"),2*N1125*O1125,0)</f>
        <v/>
      </c>
      <c r="Z1125" s="12" t="inlineStr">
        <is>
          <t>device-to-JB field wiring, one cable per device</t>
        </is>
      </c>
      <c r="AA1125" s="12">
        <f>N1125*O1125</f>
        <v/>
      </c>
    </row>
    <row r="1126">
      <c r="A1126" s="12" t="inlineStr">
        <is>
          <t>A-I-0404</t>
        </is>
      </c>
      <c r="B1126" s="12" t="inlineStr">
        <is>
          <t>A</t>
        </is>
      </c>
      <c r="C1126" s="12" t="inlineStr">
        <is>
          <t>Power block</t>
        </is>
      </c>
      <c r="D1126" s="12" t="inlineStr">
        <is>
          <t>Home run JB-HRSG-2-DI03 to the control / marshalling room</t>
        </is>
      </c>
      <c r="E1126" s="12" t="inlineStr">
        <is>
          <t>R2B</t>
        </is>
      </c>
      <c r="F1126" s="12" t="inlineStr">
        <is>
          <t>R2B: unit / HRSG electrical e-house (32 x 40 ft)</t>
        </is>
      </c>
      <c r="G1126" s="12" t="inlineStr">
        <is>
          <t>JB-HRSG-2-DI03</t>
        </is>
      </c>
      <c r="H1126" s="12" t="inlineStr">
        <is>
          <t>HRSG 2 + SCR (3P reheat, horizontal)</t>
        </is>
      </c>
      <c r="I1126" s="12" t="inlineStr">
        <is>
          <t>Instrumentation</t>
        </is>
      </c>
      <c r="J1126" s="12" t="inlineStr">
        <is>
          <t>Instrumentation PLTC / TC-ER 300 V, #18 twisted shielded pairs, overall shield</t>
        </is>
      </c>
      <c r="K1126" s="12" t="inlineStr">
        <is>
          <t>PLTC|24 pr|18</t>
        </is>
      </c>
      <c r="L1126" s="12" t="inlineStr">
        <is>
          <t>24 pr</t>
        </is>
      </c>
      <c r="M1126" s="12" t="inlineStr">
        <is>
          <t>18</t>
        </is>
      </c>
      <c r="N1126" s="12" t="n">
        <v>1</v>
      </c>
      <c r="O1126" s="12" t="n">
        <v>1</v>
      </c>
      <c r="P1126" s="12" t="n"/>
      <c r="Q1126" s="12" t="n"/>
      <c r="R1126" s="12" t="n"/>
      <c r="S1126" s="12" t="inlineStr">
        <is>
          <t>Tray</t>
        </is>
      </c>
      <c r="T1126" s="16" t="n">
        <v>53</v>
      </c>
      <c r="U1126" s="16" t="n">
        <v>96</v>
      </c>
      <c r="V1126" s="16">
        <f>ROUNDUP((T1126+U1126+2*'Read Me'!$B$13)*(1+'Read Me'!$B$12),-1)</f>
        <v/>
      </c>
      <c r="W1126" s="16">
        <f>V1126*N1126*O1126</f>
        <v/>
      </c>
      <c r="X1126" s="12">
        <f>IF(LEFT(I1126,2)="MV",2*N1126*IF(L1126="1/C",O1126,1),0)</f>
        <v/>
      </c>
      <c r="Y1126" s="12">
        <f>IF(OR(LEFT(K1126,4)="LVAX",LEFT(K1126,6)="MV15AX",LEFT(K1126,4)="CTAX",LEFT(K1126,2)="W|"),2*N1126*O1126,0)</f>
        <v/>
      </c>
      <c r="Z1126" s="12" t="inlineStr"/>
      <c r="AA1126" s="12">
        <f>N1126*O1126</f>
        <v/>
      </c>
    </row>
    <row r="1127">
      <c r="A1127" s="12" t="inlineStr">
        <is>
          <t>A-I-0405</t>
        </is>
      </c>
      <c r="B1127" s="12" t="inlineStr">
        <is>
          <t>A</t>
        </is>
      </c>
      <c r="C1127" s="12" t="inlineStr">
        <is>
          <t>Power block</t>
        </is>
      </c>
      <c r="D1127" s="12" t="inlineStr">
        <is>
          <t>Discrete device to JB JB-HRSG-2-DI04: 20 x 1 pr (field cables)</t>
        </is>
      </c>
      <c r="E1127" s="12" t="inlineStr">
        <is>
          <t>HRSG-2</t>
        </is>
      </c>
      <c r="F1127" s="12" t="inlineStr">
        <is>
          <t>HRSG 2 + SCR (3P reheat, horizontal)</t>
        </is>
      </c>
      <c r="G1127" s="12" t="inlineStr">
        <is>
          <t>JB-HRSG-2-DI04</t>
        </is>
      </c>
      <c r="H1127" s="12" t="inlineStr">
        <is>
          <t>HRSG 2 + SCR (3P reheat, horizontal)</t>
        </is>
      </c>
      <c r="I1127" s="12" t="inlineStr">
        <is>
          <t>Instrumentation</t>
        </is>
      </c>
      <c r="J1127" s="12" t="inlineStr">
        <is>
          <t>Instrumentation PLTC / TC-ER 300 V, #18 twisted shielded pairs, overall shield</t>
        </is>
      </c>
      <c r="K1127" s="12" t="inlineStr">
        <is>
          <t>PLTC|1 pr|16</t>
        </is>
      </c>
      <c r="L1127" s="12" t="inlineStr">
        <is>
          <t>1 pr</t>
        </is>
      </c>
      <c r="M1127" s="12" t="inlineStr">
        <is>
          <t>16</t>
        </is>
      </c>
      <c r="N1127" s="12" t="n">
        <v>20</v>
      </c>
      <c r="O1127" s="12" t="n">
        <v>1</v>
      </c>
      <c r="P1127" s="12" t="n"/>
      <c r="Q1127" s="12" t="n"/>
      <c r="R1127" s="12" t="n"/>
      <c r="S1127" s="12" t="inlineStr">
        <is>
          <t>Tray / conduit</t>
        </is>
      </c>
      <c r="T1127" s="16" t="n">
        <v>180</v>
      </c>
      <c r="U1127" s="16" t="n">
        <v>10</v>
      </c>
      <c r="V1127" s="16">
        <f>ROUNDUP((T1127+U1127+2*'Read Me'!$B$13)*(1+'Read Me'!$B$12),-1)</f>
        <v/>
      </c>
      <c r="W1127" s="16">
        <f>V1127*N1127*O1127</f>
        <v/>
      </c>
      <c r="X1127" s="12">
        <f>IF(LEFT(I1127,2)="MV",2*N1127*IF(L1127="1/C",O1127,1),0)</f>
        <v/>
      </c>
      <c r="Y1127" s="12">
        <f>IF(OR(LEFT(K1127,4)="LVAX",LEFT(K1127,6)="MV15AX",LEFT(K1127,4)="CTAX",LEFT(K1127,2)="W|"),2*N1127*O1127,0)</f>
        <v/>
      </c>
      <c r="Z1127" s="12" t="inlineStr">
        <is>
          <t>device-to-JB field wiring, one cable per device</t>
        </is>
      </c>
      <c r="AA1127" s="12">
        <f>N1127*O1127</f>
        <v/>
      </c>
    </row>
    <row r="1128">
      <c r="A1128" s="12" t="inlineStr">
        <is>
          <t>A-I-0406</t>
        </is>
      </c>
      <c r="B1128" s="12" t="inlineStr">
        <is>
          <t>A</t>
        </is>
      </c>
      <c r="C1128" s="12" t="inlineStr">
        <is>
          <t>Power block</t>
        </is>
      </c>
      <c r="D1128" s="12" t="inlineStr">
        <is>
          <t>Home run JB-HRSG-2-DI04 to the control / marshalling room</t>
        </is>
      </c>
      <c r="E1128" s="12" t="inlineStr">
        <is>
          <t>R2B</t>
        </is>
      </c>
      <c r="F1128" s="12" t="inlineStr">
        <is>
          <t>R2B: unit / HRSG electrical e-house (32 x 40 ft)</t>
        </is>
      </c>
      <c r="G1128" s="12" t="inlineStr">
        <is>
          <t>JB-HRSG-2-DI04</t>
        </is>
      </c>
      <c r="H1128" s="12" t="inlineStr">
        <is>
          <t>HRSG 2 + SCR (3P reheat, horizontal)</t>
        </is>
      </c>
      <c r="I1128" s="12" t="inlineStr">
        <is>
          <t>Instrumentation</t>
        </is>
      </c>
      <c r="J1128" s="12" t="inlineStr">
        <is>
          <t>Instrumentation PLTC / TC-ER 300 V, #18 twisted shielded pairs, overall shield</t>
        </is>
      </c>
      <c r="K1128" s="12" t="inlineStr">
        <is>
          <t>PLTC|24 pr|18</t>
        </is>
      </c>
      <c r="L1128" s="12" t="inlineStr">
        <is>
          <t>24 pr</t>
        </is>
      </c>
      <c r="M1128" s="12" t="inlineStr">
        <is>
          <t>18</t>
        </is>
      </c>
      <c r="N1128" s="12" t="n">
        <v>1</v>
      </c>
      <c r="O1128" s="12" t="n">
        <v>1</v>
      </c>
      <c r="P1128" s="12" t="n"/>
      <c r="Q1128" s="12" t="n"/>
      <c r="R1128" s="12" t="n"/>
      <c r="S1128" s="12" t="inlineStr">
        <is>
          <t>Tray</t>
        </is>
      </c>
      <c r="T1128" s="16" t="n">
        <v>53</v>
      </c>
      <c r="U1128" s="16" t="n">
        <v>96</v>
      </c>
      <c r="V1128" s="16">
        <f>ROUNDUP((T1128+U1128+2*'Read Me'!$B$13)*(1+'Read Me'!$B$12),-1)</f>
        <v/>
      </c>
      <c r="W1128" s="16">
        <f>V1128*N1128*O1128</f>
        <v/>
      </c>
      <c r="X1128" s="12">
        <f>IF(LEFT(I1128,2)="MV",2*N1128*IF(L1128="1/C",O1128,1),0)</f>
        <v/>
      </c>
      <c r="Y1128" s="12">
        <f>IF(OR(LEFT(K1128,4)="LVAX",LEFT(K1128,6)="MV15AX",LEFT(K1128,4)="CTAX",LEFT(K1128,2)="W|"),2*N1128*O1128,0)</f>
        <v/>
      </c>
      <c r="Z1128" s="12" t="inlineStr"/>
      <c r="AA1128" s="12">
        <f>N1128*O1128</f>
        <v/>
      </c>
    </row>
    <row r="1129">
      <c r="A1129" s="12" t="inlineStr">
        <is>
          <t>A-I-0407</t>
        </is>
      </c>
      <c r="B1129" s="12" t="inlineStr">
        <is>
          <t>A</t>
        </is>
      </c>
      <c r="C1129" s="12" t="inlineStr">
        <is>
          <t>Power block</t>
        </is>
      </c>
      <c r="D1129" s="12" t="inlineStr">
        <is>
          <t>Thermocouple to TC JB JB-HRSG-2-TC01: 20 x 1 pr (field cables)</t>
        </is>
      </c>
      <c r="E1129" s="12" t="inlineStr">
        <is>
          <t>HRSG-2</t>
        </is>
      </c>
      <c r="F1129" s="12" t="inlineStr">
        <is>
          <t>HRSG 2 + SCR (3P reheat, horizontal)</t>
        </is>
      </c>
      <c r="G1129" s="12" t="inlineStr">
        <is>
          <t>JB-HRSG-2-TC01</t>
        </is>
      </c>
      <c r="H1129" s="12" t="inlineStr">
        <is>
          <t>HRSG 2 + SCR (3P reheat, horizontal)</t>
        </is>
      </c>
      <c r="I1129" s="12" t="inlineStr">
        <is>
          <t>Instrumentation</t>
        </is>
      </c>
      <c r="J1129" s="12" t="inlineStr">
        <is>
          <t>Thermocouple extension KX, #16 shielded pairs, PLTC</t>
        </is>
      </c>
      <c r="K1129" s="12" t="inlineStr">
        <is>
          <t>TCX|1 pr|16</t>
        </is>
      </c>
      <c r="L1129" s="12" t="inlineStr">
        <is>
          <t>1 pr</t>
        </is>
      </c>
      <c r="M1129" s="12" t="inlineStr">
        <is>
          <t>16</t>
        </is>
      </c>
      <c r="N1129" s="12" t="n">
        <v>20</v>
      </c>
      <c r="O1129" s="12" t="n">
        <v>1</v>
      </c>
      <c r="P1129" s="12" t="n"/>
      <c r="Q1129" s="12" t="n"/>
      <c r="R1129" s="12" t="n"/>
      <c r="S1129" s="12" t="inlineStr">
        <is>
          <t>Tray / conduit</t>
        </is>
      </c>
      <c r="T1129" s="16" t="n">
        <v>180</v>
      </c>
      <c r="U1129" s="16" t="n">
        <v>10</v>
      </c>
      <c r="V1129" s="16">
        <f>ROUNDUP((T1129+U1129+2*'Read Me'!$B$13)*(1+'Read Me'!$B$12),-1)</f>
        <v/>
      </c>
      <c r="W1129" s="16">
        <f>V1129*N1129*O1129</f>
        <v/>
      </c>
      <c r="X1129" s="12">
        <f>IF(LEFT(I1129,2)="MV",2*N1129*IF(L1129="1/C",O1129,1),0)</f>
        <v/>
      </c>
      <c r="Y1129" s="12">
        <f>IF(OR(LEFT(K1129,4)="LVAX",LEFT(K1129,6)="MV15AX",LEFT(K1129,4)="CTAX",LEFT(K1129,2)="W|"),2*N1129*O1129,0)</f>
        <v/>
      </c>
      <c r="Z1129" s="12" t="inlineStr">
        <is>
          <t>device-to-JB field wiring, one cable per device</t>
        </is>
      </c>
      <c r="AA1129" s="12">
        <f>N1129*O1129</f>
        <v/>
      </c>
    </row>
    <row r="1130">
      <c r="A1130" s="12" t="inlineStr">
        <is>
          <t>A-I-0408</t>
        </is>
      </c>
      <c r="B1130" s="12" t="inlineStr">
        <is>
          <t>A</t>
        </is>
      </c>
      <c r="C1130" s="12" t="inlineStr">
        <is>
          <t>Power block</t>
        </is>
      </c>
      <c r="D1130" s="12" t="inlineStr">
        <is>
          <t>Home run JB-HRSG-2-TC01 to the control / marshalling room</t>
        </is>
      </c>
      <c r="E1130" s="12" t="inlineStr">
        <is>
          <t>R2B</t>
        </is>
      </c>
      <c r="F1130" s="12" t="inlineStr">
        <is>
          <t>R2B: unit / HRSG electrical e-house (32 x 40 ft)</t>
        </is>
      </c>
      <c r="G1130" s="12" t="inlineStr">
        <is>
          <t>JB-HRSG-2-TC01</t>
        </is>
      </c>
      <c r="H1130" s="12" t="inlineStr">
        <is>
          <t>HRSG 2 + SCR (3P reheat, horizontal)</t>
        </is>
      </c>
      <c r="I1130" s="12" t="inlineStr">
        <is>
          <t>Instrumentation</t>
        </is>
      </c>
      <c r="J1130" s="12" t="inlineStr">
        <is>
          <t>Thermocouple extension KX, #16 shielded pairs, PLTC</t>
        </is>
      </c>
      <c r="K1130" s="12" t="inlineStr">
        <is>
          <t>TCX|24 pr|16</t>
        </is>
      </c>
      <c r="L1130" s="12" t="inlineStr">
        <is>
          <t>24 pr</t>
        </is>
      </c>
      <c r="M1130" s="12" t="inlineStr">
        <is>
          <t>16</t>
        </is>
      </c>
      <c r="N1130" s="12" t="n">
        <v>1</v>
      </c>
      <c r="O1130" s="12" t="n">
        <v>1</v>
      </c>
      <c r="P1130" s="12" t="n"/>
      <c r="Q1130" s="12" t="n"/>
      <c r="R1130" s="12" t="n"/>
      <c r="S1130" s="12" t="inlineStr">
        <is>
          <t>Tray</t>
        </is>
      </c>
      <c r="T1130" s="16" t="n">
        <v>53</v>
      </c>
      <c r="U1130" s="16" t="n">
        <v>96</v>
      </c>
      <c r="V1130" s="16">
        <f>ROUNDUP((T1130+U1130+2*'Read Me'!$B$13)*(1+'Read Me'!$B$12),-1)</f>
        <v/>
      </c>
      <c r="W1130" s="16">
        <f>V1130*N1130*O1130</f>
        <v/>
      </c>
      <c r="X1130" s="12">
        <f>IF(LEFT(I1130,2)="MV",2*N1130*IF(L1130="1/C",O1130,1),0)</f>
        <v/>
      </c>
      <c r="Y1130" s="12">
        <f>IF(OR(LEFT(K1130,4)="LVAX",LEFT(K1130,6)="MV15AX",LEFT(K1130,4)="CTAX",LEFT(K1130,2)="W|"),2*N1130*O1130,0)</f>
        <v/>
      </c>
      <c r="Z1130" s="12" t="inlineStr"/>
      <c r="AA1130" s="12">
        <f>N1130*O1130</f>
        <v/>
      </c>
    </row>
    <row r="1131">
      <c r="A1131" s="12" t="inlineStr">
        <is>
          <t>A-I-0409</t>
        </is>
      </c>
      <c r="B1131" s="12" t="inlineStr">
        <is>
          <t>A</t>
        </is>
      </c>
      <c r="C1131" s="12" t="inlineStr">
        <is>
          <t>Power block</t>
        </is>
      </c>
      <c r="D1131" s="12" t="inlineStr">
        <is>
          <t>Thermocouple to TC JB JB-HRSG-2-TC02: 20 x 1 pr (field cables)</t>
        </is>
      </c>
      <c r="E1131" s="12" t="inlineStr">
        <is>
          <t>HRSG-2</t>
        </is>
      </c>
      <c r="F1131" s="12" t="inlineStr">
        <is>
          <t>HRSG 2 + SCR (3P reheat, horizontal)</t>
        </is>
      </c>
      <c r="G1131" s="12" t="inlineStr">
        <is>
          <t>JB-HRSG-2-TC02</t>
        </is>
      </c>
      <c r="H1131" s="12" t="inlineStr">
        <is>
          <t>HRSG 2 + SCR (3P reheat, horizontal)</t>
        </is>
      </c>
      <c r="I1131" s="12" t="inlineStr">
        <is>
          <t>Instrumentation</t>
        </is>
      </c>
      <c r="J1131" s="12" t="inlineStr">
        <is>
          <t>Thermocouple extension KX, #16 shielded pairs, PLTC</t>
        </is>
      </c>
      <c r="K1131" s="12" t="inlineStr">
        <is>
          <t>TCX|1 pr|16</t>
        </is>
      </c>
      <c r="L1131" s="12" t="inlineStr">
        <is>
          <t>1 pr</t>
        </is>
      </c>
      <c r="M1131" s="12" t="inlineStr">
        <is>
          <t>16</t>
        </is>
      </c>
      <c r="N1131" s="12" t="n">
        <v>20</v>
      </c>
      <c r="O1131" s="12" t="n">
        <v>1</v>
      </c>
      <c r="P1131" s="12" t="n"/>
      <c r="Q1131" s="12" t="n"/>
      <c r="R1131" s="12" t="n"/>
      <c r="S1131" s="12" t="inlineStr">
        <is>
          <t>Tray / conduit</t>
        </is>
      </c>
      <c r="T1131" s="16" t="n">
        <v>180</v>
      </c>
      <c r="U1131" s="16" t="n">
        <v>10</v>
      </c>
      <c r="V1131" s="16">
        <f>ROUNDUP((T1131+U1131+2*'Read Me'!$B$13)*(1+'Read Me'!$B$12),-1)</f>
        <v/>
      </c>
      <c r="W1131" s="16">
        <f>V1131*N1131*O1131</f>
        <v/>
      </c>
      <c r="X1131" s="12">
        <f>IF(LEFT(I1131,2)="MV",2*N1131*IF(L1131="1/C",O1131,1),0)</f>
        <v/>
      </c>
      <c r="Y1131" s="12">
        <f>IF(OR(LEFT(K1131,4)="LVAX",LEFT(K1131,6)="MV15AX",LEFT(K1131,4)="CTAX",LEFT(K1131,2)="W|"),2*N1131*O1131,0)</f>
        <v/>
      </c>
      <c r="Z1131" s="12" t="inlineStr">
        <is>
          <t>device-to-JB field wiring, one cable per device</t>
        </is>
      </c>
      <c r="AA1131" s="12">
        <f>N1131*O1131</f>
        <v/>
      </c>
    </row>
    <row r="1132">
      <c r="A1132" s="12" t="inlineStr">
        <is>
          <t>A-I-0410</t>
        </is>
      </c>
      <c r="B1132" s="12" t="inlineStr">
        <is>
          <t>A</t>
        </is>
      </c>
      <c r="C1132" s="12" t="inlineStr">
        <is>
          <t>Power block</t>
        </is>
      </c>
      <c r="D1132" s="12" t="inlineStr">
        <is>
          <t>Home run JB-HRSG-2-TC02 to the control / marshalling room</t>
        </is>
      </c>
      <c r="E1132" s="12" t="inlineStr">
        <is>
          <t>R2B</t>
        </is>
      </c>
      <c r="F1132" s="12" t="inlineStr">
        <is>
          <t>R2B: unit / HRSG electrical e-house (32 x 40 ft)</t>
        </is>
      </c>
      <c r="G1132" s="12" t="inlineStr">
        <is>
          <t>JB-HRSG-2-TC02</t>
        </is>
      </c>
      <c r="H1132" s="12" t="inlineStr">
        <is>
          <t>HRSG 2 + SCR (3P reheat, horizontal)</t>
        </is>
      </c>
      <c r="I1132" s="12" t="inlineStr">
        <is>
          <t>Instrumentation</t>
        </is>
      </c>
      <c r="J1132" s="12" t="inlineStr">
        <is>
          <t>Thermocouple extension KX, #16 shielded pairs, PLTC</t>
        </is>
      </c>
      <c r="K1132" s="12" t="inlineStr">
        <is>
          <t>TCX|24 pr|16</t>
        </is>
      </c>
      <c r="L1132" s="12" t="inlineStr">
        <is>
          <t>24 pr</t>
        </is>
      </c>
      <c r="M1132" s="12" t="inlineStr">
        <is>
          <t>16</t>
        </is>
      </c>
      <c r="N1132" s="12" t="n">
        <v>1</v>
      </c>
      <c r="O1132" s="12" t="n">
        <v>1</v>
      </c>
      <c r="P1132" s="12" t="n"/>
      <c r="Q1132" s="12" t="n"/>
      <c r="R1132" s="12" t="n"/>
      <c r="S1132" s="12" t="inlineStr">
        <is>
          <t>Tray</t>
        </is>
      </c>
      <c r="T1132" s="16" t="n">
        <v>53</v>
      </c>
      <c r="U1132" s="16" t="n">
        <v>96</v>
      </c>
      <c r="V1132" s="16">
        <f>ROUNDUP((T1132+U1132+2*'Read Me'!$B$13)*(1+'Read Me'!$B$12),-1)</f>
        <v/>
      </c>
      <c r="W1132" s="16">
        <f>V1132*N1132*O1132</f>
        <v/>
      </c>
      <c r="X1132" s="12">
        <f>IF(LEFT(I1132,2)="MV",2*N1132*IF(L1132="1/C",O1132,1),0)</f>
        <v/>
      </c>
      <c r="Y1132" s="12">
        <f>IF(OR(LEFT(K1132,4)="LVAX",LEFT(K1132,6)="MV15AX",LEFT(K1132,4)="CTAX",LEFT(K1132,2)="W|"),2*N1132*O1132,0)</f>
        <v/>
      </c>
      <c r="Z1132" s="12" t="inlineStr"/>
      <c r="AA1132" s="12">
        <f>N1132*O1132</f>
        <v/>
      </c>
    </row>
    <row r="1133">
      <c r="A1133" s="12" t="inlineStr">
        <is>
          <t>A-I-0411</t>
        </is>
      </c>
      <c r="B1133" s="12" t="inlineStr">
        <is>
          <t>A</t>
        </is>
      </c>
      <c r="C1133" s="12" t="inlineStr">
        <is>
          <t>Power block</t>
        </is>
      </c>
      <c r="D1133" s="12" t="inlineStr">
        <is>
          <t>Thermocouple to TC JB JB-HRSG-2-TC03: 20 x 1 pr (field cables)</t>
        </is>
      </c>
      <c r="E1133" s="12" t="inlineStr">
        <is>
          <t>HRSG-2</t>
        </is>
      </c>
      <c r="F1133" s="12" t="inlineStr">
        <is>
          <t>HRSG 2 + SCR (3P reheat, horizontal)</t>
        </is>
      </c>
      <c r="G1133" s="12" t="inlineStr">
        <is>
          <t>JB-HRSG-2-TC03</t>
        </is>
      </c>
      <c r="H1133" s="12" t="inlineStr">
        <is>
          <t>HRSG 2 + SCR (3P reheat, horizontal)</t>
        </is>
      </c>
      <c r="I1133" s="12" t="inlineStr">
        <is>
          <t>Instrumentation</t>
        </is>
      </c>
      <c r="J1133" s="12" t="inlineStr">
        <is>
          <t>Thermocouple extension KX, #16 shielded pairs, PLTC</t>
        </is>
      </c>
      <c r="K1133" s="12" t="inlineStr">
        <is>
          <t>TCX|1 pr|16</t>
        </is>
      </c>
      <c r="L1133" s="12" t="inlineStr">
        <is>
          <t>1 pr</t>
        </is>
      </c>
      <c r="M1133" s="12" t="inlineStr">
        <is>
          <t>16</t>
        </is>
      </c>
      <c r="N1133" s="12" t="n">
        <v>20</v>
      </c>
      <c r="O1133" s="12" t="n">
        <v>1</v>
      </c>
      <c r="P1133" s="12" t="n"/>
      <c r="Q1133" s="12" t="n"/>
      <c r="R1133" s="12" t="n"/>
      <c r="S1133" s="12" t="inlineStr">
        <is>
          <t>Tray / conduit</t>
        </is>
      </c>
      <c r="T1133" s="16" t="n">
        <v>180</v>
      </c>
      <c r="U1133" s="16" t="n">
        <v>10</v>
      </c>
      <c r="V1133" s="16">
        <f>ROUNDUP((T1133+U1133+2*'Read Me'!$B$13)*(1+'Read Me'!$B$12),-1)</f>
        <v/>
      </c>
      <c r="W1133" s="16">
        <f>V1133*N1133*O1133</f>
        <v/>
      </c>
      <c r="X1133" s="12">
        <f>IF(LEFT(I1133,2)="MV",2*N1133*IF(L1133="1/C",O1133,1),0)</f>
        <v/>
      </c>
      <c r="Y1133" s="12">
        <f>IF(OR(LEFT(K1133,4)="LVAX",LEFT(K1133,6)="MV15AX",LEFT(K1133,4)="CTAX",LEFT(K1133,2)="W|"),2*N1133*O1133,0)</f>
        <v/>
      </c>
      <c r="Z1133" s="12" t="inlineStr">
        <is>
          <t>device-to-JB field wiring, one cable per device</t>
        </is>
      </c>
      <c r="AA1133" s="12">
        <f>N1133*O1133</f>
        <v/>
      </c>
    </row>
    <row r="1134">
      <c r="A1134" s="12" t="inlineStr">
        <is>
          <t>A-I-0412</t>
        </is>
      </c>
      <c r="B1134" s="12" t="inlineStr">
        <is>
          <t>A</t>
        </is>
      </c>
      <c r="C1134" s="12" t="inlineStr">
        <is>
          <t>Power block</t>
        </is>
      </c>
      <c r="D1134" s="12" t="inlineStr">
        <is>
          <t>Home run JB-HRSG-2-TC03 to the control / marshalling room</t>
        </is>
      </c>
      <c r="E1134" s="12" t="inlineStr">
        <is>
          <t>R2B</t>
        </is>
      </c>
      <c r="F1134" s="12" t="inlineStr">
        <is>
          <t>R2B: unit / HRSG electrical e-house (32 x 40 ft)</t>
        </is>
      </c>
      <c r="G1134" s="12" t="inlineStr">
        <is>
          <t>JB-HRSG-2-TC03</t>
        </is>
      </c>
      <c r="H1134" s="12" t="inlineStr">
        <is>
          <t>HRSG 2 + SCR (3P reheat, horizontal)</t>
        </is>
      </c>
      <c r="I1134" s="12" t="inlineStr">
        <is>
          <t>Instrumentation</t>
        </is>
      </c>
      <c r="J1134" s="12" t="inlineStr">
        <is>
          <t>Thermocouple extension KX, #16 shielded pairs, PLTC</t>
        </is>
      </c>
      <c r="K1134" s="12" t="inlineStr">
        <is>
          <t>TCX|24 pr|16</t>
        </is>
      </c>
      <c r="L1134" s="12" t="inlineStr">
        <is>
          <t>24 pr</t>
        </is>
      </c>
      <c r="M1134" s="12" t="inlineStr">
        <is>
          <t>16</t>
        </is>
      </c>
      <c r="N1134" s="12" t="n">
        <v>1</v>
      </c>
      <c r="O1134" s="12" t="n">
        <v>1</v>
      </c>
      <c r="P1134" s="12" t="n"/>
      <c r="Q1134" s="12" t="n"/>
      <c r="R1134" s="12" t="n"/>
      <c r="S1134" s="12" t="inlineStr">
        <is>
          <t>Tray</t>
        </is>
      </c>
      <c r="T1134" s="16" t="n">
        <v>53</v>
      </c>
      <c r="U1134" s="16" t="n">
        <v>96</v>
      </c>
      <c r="V1134" s="16">
        <f>ROUNDUP((T1134+U1134+2*'Read Me'!$B$13)*(1+'Read Me'!$B$12),-1)</f>
        <v/>
      </c>
      <c r="W1134" s="16">
        <f>V1134*N1134*O1134</f>
        <v/>
      </c>
      <c r="X1134" s="12">
        <f>IF(LEFT(I1134,2)="MV",2*N1134*IF(L1134="1/C",O1134,1),0)</f>
        <v/>
      </c>
      <c r="Y1134" s="12">
        <f>IF(OR(LEFT(K1134,4)="LVAX",LEFT(K1134,6)="MV15AX",LEFT(K1134,4)="CTAX",LEFT(K1134,2)="W|"),2*N1134*O1134,0)</f>
        <v/>
      </c>
      <c r="Z1134" s="12" t="inlineStr"/>
      <c r="AA1134" s="12">
        <f>N1134*O1134</f>
        <v/>
      </c>
    </row>
    <row r="1135">
      <c r="A1135" s="12" t="inlineStr">
        <is>
          <t>A-I-0413</t>
        </is>
      </c>
      <c r="B1135" s="12" t="inlineStr">
        <is>
          <t>A</t>
        </is>
      </c>
      <c r="C1135" s="12" t="inlineStr">
        <is>
          <t>Power block</t>
        </is>
      </c>
      <c r="D1135" s="12" t="inlineStr">
        <is>
          <t>Thermocouple to TC JB JB-HRSG-2-TC04: 20 x 1 pr (field cables)</t>
        </is>
      </c>
      <c r="E1135" s="12" t="inlineStr">
        <is>
          <t>HRSG-2</t>
        </is>
      </c>
      <c r="F1135" s="12" t="inlineStr">
        <is>
          <t>HRSG 2 + SCR (3P reheat, horizontal)</t>
        </is>
      </c>
      <c r="G1135" s="12" t="inlineStr">
        <is>
          <t>JB-HRSG-2-TC04</t>
        </is>
      </c>
      <c r="H1135" s="12" t="inlineStr">
        <is>
          <t>HRSG 2 + SCR (3P reheat, horizontal)</t>
        </is>
      </c>
      <c r="I1135" s="12" t="inlineStr">
        <is>
          <t>Instrumentation</t>
        </is>
      </c>
      <c r="J1135" s="12" t="inlineStr">
        <is>
          <t>Thermocouple extension KX, #16 shielded pairs, PLTC</t>
        </is>
      </c>
      <c r="K1135" s="12" t="inlineStr">
        <is>
          <t>TCX|1 pr|16</t>
        </is>
      </c>
      <c r="L1135" s="12" t="inlineStr">
        <is>
          <t>1 pr</t>
        </is>
      </c>
      <c r="M1135" s="12" t="inlineStr">
        <is>
          <t>16</t>
        </is>
      </c>
      <c r="N1135" s="12" t="n">
        <v>20</v>
      </c>
      <c r="O1135" s="12" t="n">
        <v>1</v>
      </c>
      <c r="P1135" s="12" t="n"/>
      <c r="Q1135" s="12" t="n"/>
      <c r="R1135" s="12" t="n"/>
      <c r="S1135" s="12" t="inlineStr">
        <is>
          <t>Tray / conduit</t>
        </is>
      </c>
      <c r="T1135" s="16" t="n">
        <v>180</v>
      </c>
      <c r="U1135" s="16" t="n">
        <v>10</v>
      </c>
      <c r="V1135" s="16">
        <f>ROUNDUP((T1135+U1135+2*'Read Me'!$B$13)*(1+'Read Me'!$B$12),-1)</f>
        <v/>
      </c>
      <c r="W1135" s="16">
        <f>V1135*N1135*O1135</f>
        <v/>
      </c>
      <c r="X1135" s="12">
        <f>IF(LEFT(I1135,2)="MV",2*N1135*IF(L1135="1/C",O1135,1),0)</f>
        <v/>
      </c>
      <c r="Y1135" s="12">
        <f>IF(OR(LEFT(K1135,4)="LVAX",LEFT(K1135,6)="MV15AX",LEFT(K1135,4)="CTAX",LEFT(K1135,2)="W|"),2*N1135*O1135,0)</f>
        <v/>
      </c>
      <c r="Z1135" s="12" t="inlineStr">
        <is>
          <t>device-to-JB field wiring, one cable per device</t>
        </is>
      </c>
      <c r="AA1135" s="12">
        <f>N1135*O1135</f>
        <v/>
      </c>
    </row>
    <row r="1136">
      <c r="A1136" s="12" t="inlineStr">
        <is>
          <t>A-I-0414</t>
        </is>
      </c>
      <c r="B1136" s="12" t="inlineStr">
        <is>
          <t>A</t>
        </is>
      </c>
      <c r="C1136" s="12" t="inlineStr">
        <is>
          <t>Power block</t>
        </is>
      </c>
      <c r="D1136" s="12" t="inlineStr">
        <is>
          <t>Home run JB-HRSG-2-TC04 to the control / marshalling room</t>
        </is>
      </c>
      <c r="E1136" s="12" t="inlineStr">
        <is>
          <t>R2B</t>
        </is>
      </c>
      <c r="F1136" s="12" t="inlineStr">
        <is>
          <t>R2B: unit / HRSG electrical e-house (32 x 40 ft)</t>
        </is>
      </c>
      <c r="G1136" s="12" t="inlineStr">
        <is>
          <t>JB-HRSG-2-TC04</t>
        </is>
      </c>
      <c r="H1136" s="12" t="inlineStr">
        <is>
          <t>HRSG 2 + SCR (3P reheat, horizontal)</t>
        </is>
      </c>
      <c r="I1136" s="12" t="inlineStr">
        <is>
          <t>Instrumentation</t>
        </is>
      </c>
      <c r="J1136" s="12" t="inlineStr">
        <is>
          <t>Thermocouple extension KX, #16 shielded pairs, PLTC</t>
        </is>
      </c>
      <c r="K1136" s="12" t="inlineStr">
        <is>
          <t>TCX|24 pr|16</t>
        </is>
      </c>
      <c r="L1136" s="12" t="inlineStr">
        <is>
          <t>24 pr</t>
        </is>
      </c>
      <c r="M1136" s="12" t="inlineStr">
        <is>
          <t>16</t>
        </is>
      </c>
      <c r="N1136" s="12" t="n">
        <v>1</v>
      </c>
      <c r="O1136" s="12" t="n">
        <v>1</v>
      </c>
      <c r="P1136" s="12" t="n"/>
      <c r="Q1136" s="12" t="n"/>
      <c r="R1136" s="12" t="n"/>
      <c r="S1136" s="12" t="inlineStr">
        <is>
          <t>Tray</t>
        </is>
      </c>
      <c r="T1136" s="16" t="n">
        <v>53</v>
      </c>
      <c r="U1136" s="16" t="n">
        <v>96</v>
      </c>
      <c r="V1136" s="16">
        <f>ROUNDUP((T1136+U1136+2*'Read Me'!$B$13)*(1+'Read Me'!$B$12),-1)</f>
        <v/>
      </c>
      <c r="W1136" s="16">
        <f>V1136*N1136*O1136</f>
        <v/>
      </c>
      <c r="X1136" s="12">
        <f>IF(LEFT(I1136,2)="MV",2*N1136*IF(L1136="1/C",O1136,1),0)</f>
        <v/>
      </c>
      <c r="Y1136" s="12">
        <f>IF(OR(LEFT(K1136,4)="LVAX",LEFT(K1136,6)="MV15AX",LEFT(K1136,4)="CTAX",LEFT(K1136,2)="W|"),2*N1136*O1136,0)</f>
        <v/>
      </c>
      <c r="Z1136" s="12" t="inlineStr"/>
      <c r="AA1136" s="12">
        <f>N1136*O1136</f>
        <v/>
      </c>
    </row>
    <row r="1137">
      <c r="A1137" s="12" t="inlineStr">
        <is>
          <t>A-I-0415</t>
        </is>
      </c>
      <c r="B1137" s="12" t="inlineStr">
        <is>
          <t>A</t>
        </is>
      </c>
      <c r="C1137" s="12" t="inlineStr">
        <is>
          <t>Power block</t>
        </is>
      </c>
      <c r="D1137" s="12" t="inlineStr">
        <is>
          <t>Analog instrument to JB JB-HRSG 2 blowdown ta-AI01: 6 x 1 pr (field cables)</t>
        </is>
      </c>
      <c r="E1137" s="12" t="inlineStr"/>
      <c r="F1137" s="12" t="inlineStr">
        <is>
          <t>HRSG 2 blowdown tank (continuous / intermittent)</t>
        </is>
      </c>
      <c r="G1137" s="12" t="inlineStr">
        <is>
          <t>JB-HRSG 2 blowdown ta-AI01</t>
        </is>
      </c>
      <c r="H1137" s="12" t="inlineStr">
        <is>
          <t>HRSG 2 blowdown tank (continuous / intermittent)</t>
        </is>
      </c>
      <c r="I1137" s="12" t="inlineStr">
        <is>
          <t>Instrumentation</t>
        </is>
      </c>
      <c r="J1137" s="12" t="inlineStr">
        <is>
          <t>Instrumentation PLTC / TC-ER 300 V, #18 twisted shielded pairs, overall shield</t>
        </is>
      </c>
      <c r="K1137" s="12" t="inlineStr">
        <is>
          <t>PLTC|1 pr|16</t>
        </is>
      </c>
      <c r="L1137" s="12" t="inlineStr">
        <is>
          <t>1 pr</t>
        </is>
      </c>
      <c r="M1137" s="12" t="inlineStr">
        <is>
          <t>16</t>
        </is>
      </c>
      <c r="N1137" s="12" t="n">
        <v>6</v>
      </c>
      <c r="O1137" s="12" t="n">
        <v>1</v>
      </c>
      <c r="P1137" s="12" t="n"/>
      <c r="Q1137" s="12" t="n"/>
      <c r="R1137" s="12" t="n"/>
      <c r="S1137" s="12" t="inlineStr">
        <is>
          <t>Tray / conduit</t>
        </is>
      </c>
      <c r="T1137" s="16" t="n">
        <v>43</v>
      </c>
      <c r="U1137" s="16" t="n">
        <v>10</v>
      </c>
      <c r="V1137" s="16">
        <f>ROUNDUP((T1137+U1137+2*'Read Me'!$B$13)*(1+'Read Me'!$B$12),-1)</f>
        <v/>
      </c>
      <c r="W1137" s="16">
        <f>V1137*N1137*O1137</f>
        <v/>
      </c>
      <c r="X1137" s="12">
        <f>IF(LEFT(I1137,2)="MV",2*N1137*IF(L1137="1/C",O1137,1),0)</f>
        <v/>
      </c>
      <c r="Y1137" s="12">
        <f>IF(OR(LEFT(K1137,4)="LVAX",LEFT(K1137,6)="MV15AX",LEFT(K1137,4)="CTAX",LEFT(K1137,2)="W|"),2*N1137*O1137,0)</f>
        <v/>
      </c>
      <c r="Z1137" s="12" t="inlineStr">
        <is>
          <t>device-to-JB field wiring, one cable per device</t>
        </is>
      </c>
      <c r="AA1137" s="12">
        <f>N1137*O1137</f>
        <v/>
      </c>
    </row>
    <row r="1138">
      <c r="A1138" s="12" t="inlineStr">
        <is>
          <t>A-I-0416</t>
        </is>
      </c>
      <c r="B1138" s="12" t="inlineStr">
        <is>
          <t>A</t>
        </is>
      </c>
      <c r="C1138" s="12" t="inlineStr">
        <is>
          <t>Power block</t>
        </is>
      </c>
      <c r="D1138" s="12" t="inlineStr">
        <is>
          <t>Home run JB-HRSG 2 blowdown ta-AI01 to the control / marshalling room</t>
        </is>
      </c>
      <c r="E1138" s="12" t="inlineStr">
        <is>
          <t>R2B</t>
        </is>
      </c>
      <c r="F1138" s="12" t="inlineStr">
        <is>
          <t>R2B: unit / HRSG electrical e-house (32 x 40 ft)</t>
        </is>
      </c>
      <c r="G1138" s="12" t="inlineStr">
        <is>
          <t>JB-HRSG 2 blowdown ta-AI01</t>
        </is>
      </c>
      <c r="H1138" s="12" t="inlineStr">
        <is>
          <t>HRSG 2 blowdown tank (continuous / intermittent)</t>
        </is>
      </c>
      <c r="I1138" s="12" t="inlineStr">
        <is>
          <t>Instrumentation</t>
        </is>
      </c>
      <c r="J1138" s="12" t="inlineStr">
        <is>
          <t>Instrumentation PLTC / TC-ER 300 V, #18 twisted shielded pairs, overall shield</t>
        </is>
      </c>
      <c r="K1138" s="12" t="inlineStr">
        <is>
          <t>PLTC|24 pr|18</t>
        </is>
      </c>
      <c r="L1138" s="12" t="inlineStr">
        <is>
          <t>24 pr</t>
        </is>
      </c>
      <c r="M1138" s="12" t="inlineStr">
        <is>
          <t>18</t>
        </is>
      </c>
      <c r="N1138" s="12" t="n">
        <v>1</v>
      </c>
      <c r="O1138" s="12" t="n">
        <v>1</v>
      </c>
      <c r="P1138" s="12" t="n"/>
      <c r="Q1138" s="12" t="n"/>
      <c r="R1138" s="12" t="n"/>
      <c r="S1138" s="12" t="inlineStr">
        <is>
          <t>Tray</t>
        </is>
      </c>
      <c r="T1138" s="16" t="n">
        <v>38</v>
      </c>
      <c r="U1138" s="16" t="n">
        <v>86</v>
      </c>
      <c r="V1138" s="16">
        <f>ROUNDUP((T1138+U1138+2*'Read Me'!$B$13)*(1+'Read Me'!$B$12),-1)</f>
        <v/>
      </c>
      <c r="W1138" s="16">
        <f>V1138*N1138*O1138</f>
        <v/>
      </c>
      <c r="X1138" s="12">
        <f>IF(LEFT(I1138,2)="MV",2*N1138*IF(L1138="1/C",O1138,1),0)</f>
        <v/>
      </c>
      <c r="Y1138" s="12">
        <f>IF(OR(LEFT(K1138,4)="LVAX",LEFT(K1138,6)="MV15AX",LEFT(K1138,4)="CTAX",LEFT(K1138,2)="W|"),2*N1138*O1138,0)</f>
        <v/>
      </c>
      <c r="Z1138" s="12" t="inlineStr"/>
      <c r="AA1138" s="12">
        <f>N1138*O1138</f>
        <v/>
      </c>
    </row>
    <row r="1139">
      <c r="A1139" s="12" t="inlineStr">
        <is>
          <t>A-I-0417</t>
        </is>
      </c>
      <c r="B1139" s="12" t="inlineStr">
        <is>
          <t>A</t>
        </is>
      </c>
      <c r="C1139" s="12" t="inlineStr">
        <is>
          <t>Power block</t>
        </is>
      </c>
      <c r="D1139" s="12" t="inlineStr">
        <is>
          <t>Discrete device to JB JB-HRSG 2 blowdown ta-DI01: 4 x 1 pr (field cables)</t>
        </is>
      </c>
      <c r="E1139" s="12" t="inlineStr"/>
      <c r="F1139" s="12" t="inlineStr">
        <is>
          <t>HRSG 2 blowdown tank (continuous / intermittent)</t>
        </is>
      </c>
      <c r="G1139" s="12" t="inlineStr">
        <is>
          <t>JB-HRSG 2 blowdown ta-DI01</t>
        </is>
      </c>
      <c r="H1139" s="12" t="inlineStr">
        <is>
          <t>HRSG 2 blowdown tank (continuous / intermittent)</t>
        </is>
      </c>
      <c r="I1139" s="12" t="inlineStr">
        <is>
          <t>Instrumentation</t>
        </is>
      </c>
      <c r="J1139" s="12" t="inlineStr">
        <is>
          <t>Instrumentation PLTC / TC-ER 300 V, #18 twisted shielded pairs, overall shield</t>
        </is>
      </c>
      <c r="K1139" s="12" t="inlineStr">
        <is>
          <t>PLTC|1 pr|16</t>
        </is>
      </c>
      <c r="L1139" s="12" t="inlineStr">
        <is>
          <t>1 pr</t>
        </is>
      </c>
      <c r="M1139" s="12" t="inlineStr">
        <is>
          <t>16</t>
        </is>
      </c>
      <c r="N1139" s="12" t="n">
        <v>4</v>
      </c>
      <c r="O1139" s="12" t="n">
        <v>1</v>
      </c>
      <c r="P1139" s="12" t="n"/>
      <c r="Q1139" s="12" t="n"/>
      <c r="R1139" s="12" t="n"/>
      <c r="S1139" s="12" t="inlineStr">
        <is>
          <t>Tray / conduit</t>
        </is>
      </c>
      <c r="T1139" s="16" t="n">
        <v>43</v>
      </c>
      <c r="U1139" s="16" t="n">
        <v>10</v>
      </c>
      <c r="V1139" s="16">
        <f>ROUNDUP((T1139+U1139+2*'Read Me'!$B$13)*(1+'Read Me'!$B$12),-1)</f>
        <v/>
      </c>
      <c r="W1139" s="16">
        <f>V1139*N1139*O1139</f>
        <v/>
      </c>
      <c r="X1139" s="12">
        <f>IF(LEFT(I1139,2)="MV",2*N1139*IF(L1139="1/C",O1139,1),0)</f>
        <v/>
      </c>
      <c r="Y1139" s="12">
        <f>IF(OR(LEFT(K1139,4)="LVAX",LEFT(K1139,6)="MV15AX",LEFT(K1139,4)="CTAX",LEFT(K1139,2)="W|"),2*N1139*O1139,0)</f>
        <v/>
      </c>
      <c r="Z1139" s="12" t="inlineStr">
        <is>
          <t>device-to-JB field wiring, one cable per device</t>
        </is>
      </c>
      <c r="AA1139" s="12">
        <f>N1139*O1139</f>
        <v/>
      </c>
    </row>
    <row r="1140">
      <c r="A1140" s="12" t="inlineStr">
        <is>
          <t>A-I-0418</t>
        </is>
      </c>
      <c r="B1140" s="12" t="inlineStr">
        <is>
          <t>A</t>
        </is>
      </c>
      <c r="C1140" s="12" t="inlineStr">
        <is>
          <t>Power block</t>
        </is>
      </c>
      <c r="D1140" s="12" t="inlineStr">
        <is>
          <t>Home run JB-HRSG 2 blowdown ta-DI01 to the control / marshalling room</t>
        </is>
      </c>
      <c r="E1140" s="12" t="inlineStr">
        <is>
          <t>R2B</t>
        </is>
      </c>
      <c r="F1140" s="12" t="inlineStr">
        <is>
          <t>R2B: unit / HRSG electrical e-house (32 x 40 ft)</t>
        </is>
      </c>
      <c r="G1140" s="12" t="inlineStr">
        <is>
          <t>JB-HRSG 2 blowdown ta-DI01</t>
        </is>
      </c>
      <c r="H1140" s="12" t="inlineStr">
        <is>
          <t>HRSG 2 blowdown tank (continuous / intermittent)</t>
        </is>
      </c>
      <c r="I1140" s="12" t="inlineStr">
        <is>
          <t>Instrumentation</t>
        </is>
      </c>
      <c r="J1140" s="12" t="inlineStr">
        <is>
          <t>Instrumentation PLTC / TC-ER 300 V, #18 twisted shielded pairs, overall shield</t>
        </is>
      </c>
      <c r="K1140" s="12" t="inlineStr">
        <is>
          <t>PLTC|24 pr|18</t>
        </is>
      </c>
      <c r="L1140" s="12" t="inlineStr">
        <is>
          <t>24 pr</t>
        </is>
      </c>
      <c r="M1140" s="12" t="inlineStr">
        <is>
          <t>18</t>
        </is>
      </c>
      <c r="N1140" s="12" t="n">
        <v>1</v>
      </c>
      <c r="O1140" s="12" t="n">
        <v>1</v>
      </c>
      <c r="P1140" s="12" t="n"/>
      <c r="Q1140" s="12" t="n"/>
      <c r="R1140" s="12" t="n"/>
      <c r="S1140" s="12" t="inlineStr">
        <is>
          <t>Tray</t>
        </is>
      </c>
      <c r="T1140" s="16" t="n">
        <v>38</v>
      </c>
      <c r="U1140" s="16" t="n">
        <v>86</v>
      </c>
      <c r="V1140" s="16">
        <f>ROUNDUP((T1140+U1140+2*'Read Me'!$B$13)*(1+'Read Me'!$B$12),-1)</f>
        <v/>
      </c>
      <c r="W1140" s="16">
        <f>V1140*N1140*O1140</f>
        <v/>
      </c>
      <c r="X1140" s="12">
        <f>IF(LEFT(I1140,2)="MV",2*N1140*IF(L1140="1/C",O1140,1),0)</f>
        <v/>
      </c>
      <c r="Y1140" s="12">
        <f>IF(OR(LEFT(K1140,4)="LVAX",LEFT(K1140,6)="MV15AX",LEFT(K1140,4)="CTAX",LEFT(K1140,2)="W|"),2*N1140*O1140,0)</f>
        <v/>
      </c>
      <c r="Z1140" s="12" t="inlineStr"/>
      <c r="AA1140" s="12">
        <f>N1140*O1140</f>
        <v/>
      </c>
    </row>
    <row r="1141">
      <c r="A1141" s="12" t="inlineStr">
        <is>
          <t>A-I-0419</t>
        </is>
      </c>
      <c r="B1141" s="12" t="inlineStr">
        <is>
          <t>A</t>
        </is>
      </c>
      <c r="C1141" s="12" t="inlineStr">
        <is>
          <t>Power block</t>
        </is>
      </c>
      <c r="D1141" s="12" t="inlineStr">
        <is>
          <t>Analog instrument to JB JB-HRSG 2 chemical fe-AI01: 8 x 1 pr (field cables)</t>
        </is>
      </c>
      <c r="E1141" s="12" t="inlineStr"/>
      <c r="F1141" s="12" t="inlineStr">
        <is>
          <t>HRSG 2 chemical feed skid (phosphate / amine)</t>
        </is>
      </c>
      <c r="G1141" s="12" t="inlineStr">
        <is>
          <t>JB-HRSG 2 chemical fe-AI01</t>
        </is>
      </c>
      <c r="H1141" s="12" t="inlineStr">
        <is>
          <t>HRSG 2 chemical feed skid (phosphate / amine)</t>
        </is>
      </c>
      <c r="I1141" s="12" t="inlineStr">
        <is>
          <t>Instrumentation</t>
        </is>
      </c>
      <c r="J1141" s="12" t="inlineStr">
        <is>
          <t>Instrumentation PLTC / TC-ER 300 V, #18 twisted shielded pairs, overall shield</t>
        </is>
      </c>
      <c r="K1141" s="12" t="inlineStr">
        <is>
          <t>PLTC|1 pr|16</t>
        </is>
      </c>
      <c r="L1141" s="12" t="inlineStr">
        <is>
          <t>1 pr</t>
        </is>
      </c>
      <c r="M1141" s="12" t="inlineStr">
        <is>
          <t>16</t>
        </is>
      </c>
      <c r="N1141" s="12" t="n">
        <v>8</v>
      </c>
      <c r="O1141" s="12" t="n">
        <v>1</v>
      </c>
      <c r="P1141" s="12" t="n"/>
      <c r="Q1141" s="12" t="n"/>
      <c r="R1141" s="12" t="n"/>
      <c r="S1141" s="12" t="inlineStr">
        <is>
          <t>Tray / conduit</t>
        </is>
      </c>
      <c r="T1141" s="16" t="n">
        <v>42</v>
      </c>
      <c r="U1141" s="16" t="n">
        <v>10</v>
      </c>
      <c r="V1141" s="16">
        <f>ROUNDUP((T1141+U1141+2*'Read Me'!$B$13)*(1+'Read Me'!$B$12),-1)</f>
        <v/>
      </c>
      <c r="W1141" s="16">
        <f>V1141*N1141*O1141</f>
        <v/>
      </c>
      <c r="X1141" s="12">
        <f>IF(LEFT(I1141,2)="MV",2*N1141*IF(L1141="1/C",O1141,1),0)</f>
        <v/>
      </c>
      <c r="Y1141" s="12">
        <f>IF(OR(LEFT(K1141,4)="LVAX",LEFT(K1141,6)="MV15AX",LEFT(K1141,4)="CTAX",LEFT(K1141,2)="W|"),2*N1141*O1141,0)</f>
        <v/>
      </c>
      <c r="Z1141" s="12" t="inlineStr">
        <is>
          <t>device-to-JB field wiring, one cable per device</t>
        </is>
      </c>
      <c r="AA1141" s="12">
        <f>N1141*O1141</f>
        <v/>
      </c>
    </row>
    <row r="1142">
      <c r="A1142" s="12" t="inlineStr">
        <is>
          <t>A-I-0420</t>
        </is>
      </c>
      <c r="B1142" s="12" t="inlineStr">
        <is>
          <t>A</t>
        </is>
      </c>
      <c r="C1142" s="12" t="inlineStr">
        <is>
          <t>Power block</t>
        </is>
      </c>
      <c r="D1142" s="12" t="inlineStr">
        <is>
          <t>Home run JB-HRSG 2 chemical fe-AI01 to the control / marshalling room</t>
        </is>
      </c>
      <c r="E1142" s="12" t="inlineStr">
        <is>
          <t>R2B</t>
        </is>
      </c>
      <c r="F1142" s="12" t="inlineStr">
        <is>
          <t>R2B: unit / HRSG electrical e-house (32 x 40 ft)</t>
        </is>
      </c>
      <c r="G1142" s="12" t="inlineStr">
        <is>
          <t>JB-HRSG 2 chemical fe-AI01</t>
        </is>
      </c>
      <c r="H1142" s="12" t="inlineStr">
        <is>
          <t>HRSG 2 chemical feed skid (phosphate / amine)</t>
        </is>
      </c>
      <c r="I1142" s="12" t="inlineStr">
        <is>
          <t>Instrumentation</t>
        </is>
      </c>
      <c r="J1142" s="12" t="inlineStr">
        <is>
          <t>Instrumentation PLTC / TC-ER 300 V, #18 twisted shielded pairs, overall shield</t>
        </is>
      </c>
      <c r="K1142" s="12" t="inlineStr">
        <is>
          <t>PLTC|24 pr|18</t>
        </is>
      </c>
      <c r="L1142" s="12" t="inlineStr">
        <is>
          <t>24 pr</t>
        </is>
      </c>
      <c r="M1142" s="12" t="inlineStr">
        <is>
          <t>18</t>
        </is>
      </c>
      <c r="N1142" s="12" t="n">
        <v>1</v>
      </c>
      <c r="O1142" s="12" t="n">
        <v>1</v>
      </c>
      <c r="P1142" s="12" t="n"/>
      <c r="Q1142" s="12" t="n"/>
      <c r="R1142" s="12" t="n"/>
      <c r="S1142" s="12" t="inlineStr">
        <is>
          <t>Tray</t>
        </is>
      </c>
      <c r="T1142" s="16" t="n">
        <v>404</v>
      </c>
      <c r="U1142" s="16" t="n">
        <v>108</v>
      </c>
      <c r="V1142" s="16">
        <f>ROUNDUP((T1142+U1142+2*'Read Me'!$B$13)*(1+'Read Me'!$B$12),-1)</f>
        <v/>
      </c>
      <c r="W1142" s="16">
        <f>V1142*N1142*O1142</f>
        <v/>
      </c>
      <c r="X1142" s="12">
        <f>IF(LEFT(I1142,2)="MV",2*N1142*IF(L1142="1/C",O1142,1),0)</f>
        <v/>
      </c>
      <c r="Y1142" s="12">
        <f>IF(OR(LEFT(K1142,4)="LVAX",LEFT(K1142,6)="MV15AX",LEFT(K1142,4)="CTAX",LEFT(K1142,2)="W|"),2*N1142*O1142,0)</f>
        <v/>
      </c>
      <c r="Z1142" s="12" t="inlineStr"/>
      <c r="AA1142" s="12">
        <f>N1142*O1142</f>
        <v/>
      </c>
    </row>
    <row r="1143">
      <c r="A1143" s="12" t="inlineStr">
        <is>
          <t>A-I-0421</t>
        </is>
      </c>
      <c r="B1143" s="12" t="inlineStr">
        <is>
          <t>A</t>
        </is>
      </c>
      <c r="C1143" s="12" t="inlineStr">
        <is>
          <t>Power block</t>
        </is>
      </c>
      <c r="D1143" s="12" t="inlineStr">
        <is>
          <t>Discrete device to JB JB-HRSG 2 chemical fe-DI01: 12 x 1 pr (field cables)</t>
        </is>
      </c>
      <c r="E1143" s="12" t="inlineStr"/>
      <c r="F1143" s="12" t="inlineStr">
        <is>
          <t>HRSG 2 chemical feed skid (phosphate / amine)</t>
        </is>
      </c>
      <c r="G1143" s="12" t="inlineStr">
        <is>
          <t>JB-HRSG 2 chemical fe-DI01</t>
        </is>
      </c>
      <c r="H1143" s="12" t="inlineStr">
        <is>
          <t>HRSG 2 chemical feed skid (phosphate / amine)</t>
        </is>
      </c>
      <c r="I1143" s="12" t="inlineStr">
        <is>
          <t>Instrumentation</t>
        </is>
      </c>
      <c r="J1143" s="12" t="inlineStr">
        <is>
          <t>Instrumentation PLTC / TC-ER 300 V, #18 twisted shielded pairs, overall shield</t>
        </is>
      </c>
      <c r="K1143" s="12" t="inlineStr">
        <is>
          <t>PLTC|1 pr|16</t>
        </is>
      </c>
      <c r="L1143" s="12" t="inlineStr">
        <is>
          <t>1 pr</t>
        </is>
      </c>
      <c r="M1143" s="12" t="inlineStr">
        <is>
          <t>16</t>
        </is>
      </c>
      <c r="N1143" s="12" t="n">
        <v>12</v>
      </c>
      <c r="O1143" s="12" t="n">
        <v>1</v>
      </c>
      <c r="P1143" s="12" t="n"/>
      <c r="Q1143" s="12" t="n"/>
      <c r="R1143" s="12" t="n"/>
      <c r="S1143" s="12" t="inlineStr">
        <is>
          <t>Tray / conduit</t>
        </is>
      </c>
      <c r="T1143" s="16" t="n">
        <v>42</v>
      </c>
      <c r="U1143" s="16" t="n">
        <v>10</v>
      </c>
      <c r="V1143" s="16">
        <f>ROUNDUP((T1143+U1143+2*'Read Me'!$B$13)*(1+'Read Me'!$B$12),-1)</f>
        <v/>
      </c>
      <c r="W1143" s="16">
        <f>V1143*N1143*O1143</f>
        <v/>
      </c>
      <c r="X1143" s="12">
        <f>IF(LEFT(I1143,2)="MV",2*N1143*IF(L1143="1/C",O1143,1),0)</f>
        <v/>
      </c>
      <c r="Y1143" s="12">
        <f>IF(OR(LEFT(K1143,4)="LVAX",LEFT(K1143,6)="MV15AX",LEFT(K1143,4)="CTAX",LEFT(K1143,2)="W|"),2*N1143*O1143,0)</f>
        <v/>
      </c>
      <c r="Z1143" s="12" t="inlineStr">
        <is>
          <t>device-to-JB field wiring, one cable per device</t>
        </is>
      </c>
      <c r="AA1143" s="12">
        <f>N1143*O1143</f>
        <v/>
      </c>
    </row>
    <row r="1144">
      <c r="A1144" s="12" t="inlineStr">
        <is>
          <t>A-I-0422</t>
        </is>
      </c>
      <c r="B1144" s="12" t="inlineStr">
        <is>
          <t>A</t>
        </is>
      </c>
      <c r="C1144" s="12" t="inlineStr">
        <is>
          <t>Power block</t>
        </is>
      </c>
      <c r="D1144" s="12" t="inlineStr">
        <is>
          <t>Home run JB-HRSG 2 chemical fe-DI01 to the control / marshalling room</t>
        </is>
      </c>
      <c r="E1144" s="12" t="inlineStr">
        <is>
          <t>R2B</t>
        </is>
      </c>
      <c r="F1144" s="12" t="inlineStr">
        <is>
          <t>R2B: unit / HRSG electrical e-house (32 x 40 ft)</t>
        </is>
      </c>
      <c r="G1144" s="12" t="inlineStr">
        <is>
          <t>JB-HRSG 2 chemical fe-DI01</t>
        </is>
      </c>
      <c r="H1144" s="12" t="inlineStr">
        <is>
          <t>HRSG 2 chemical feed skid (phosphate / amine)</t>
        </is>
      </c>
      <c r="I1144" s="12" t="inlineStr">
        <is>
          <t>Instrumentation</t>
        </is>
      </c>
      <c r="J1144" s="12" t="inlineStr">
        <is>
          <t>Instrumentation PLTC / TC-ER 300 V, #18 twisted shielded pairs, overall shield</t>
        </is>
      </c>
      <c r="K1144" s="12" t="inlineStr">
        <is>
          <t>PLTC|24 pr|18</t>
        </is>
      </c>
      <c r="L1144" s="12" t="inlineStr">
        <is>
          <t>24 pr</t>
        </is>
      </c>
      <c r="M1144" s="12" t="inlineStr">
        <is>
          <t>18</t>
        </is>
      </c>
      <c r="N1144" s="12" t="n">
        <v>1</v>
      </c>
      <c r="O1144" s="12" t="n">
        <v>1</v>
      </c>
      <c r="P1144" s="12" t="n"/>
      <c r="Q1144" s="12" t="n"/>
      <c r="R1144" s="12" t="n"/>
      <c r="S1144" s="12" t="inlineStr">
        <is>
          <t>Tray</t>
        </is>
      </c>
      <c r="T1144" s="16" t="n">
        <v>404</v>
      </c>
      <c r="U1144" s="16" t="n">
        <v>108</v>
      </c>
      <c r="V1144" s="16">
        <f>ROUNDUP((T1144+U1144+2*'Read Me'!$B$13)*(1+'Read Me'!$B$12),-1)</f>
        <v/>
      </c>
      <c r="W1144" s="16">
        <f>V1144*N1144*O1144</f>
        <v/>
      </c>
      <c r="X1144" s="12">
        <f>IF(LEFT(I1144,2)="MV",2*N1144*IF(L1144="1/C",O1144,1),0)</f>
        <v/>
      </c>
      <c r="Y1144" s="12">
        <f>IF(OR(LEFT(K1144,4)="LVAX",LEFT(K1144,6)="MV15AX",LEFT(K1144,4)="CTAX",LEFT(K1144,2)="W|"),2*N1144*O1144,0)</f>
        <v/>
      </c>
      <c r="Z1144" s="12" t="inlineStr"/>
      <c r="AA1144" s="12">
        <f>N1144*O1144</f>
        <v/>
      </c>
    </row>
    <row r="1145">
      <c r="A1145" s="12" t="inlineStr">
        <is>
          <t>A-I-0423</t>
        </is>
      </c>
      <c r="B1145" s="12" t="inlineStr">
        <is>
          <t>A</t>
        </is>
      </c>
      <c r="C1145" s="12" t="inlineStr">
        <is>
          <t>Power block</t>
        </is>
      </c>
      <c r="D1145" s="12" t="inlineStr">
        <is>
          <t>Analog instrument to JB JB-HRSG-3-AI01: 20 x 1 pr (field cables)</t>
        </is>
      </c>
      <c r="E1145" s="12" t="inlineStr">
        <is>
          <t>HRSG-3</t>
        </is>
      </c>
      <c r="F1145" s="12" t="inlineStr">
        <is>
          <t>HRSG 3 + SCR (3P reheat, horizontal)</t>
        </is>
      </c>
      <c r="G1145" s="12" t="inlineStr">
        <is>
          <t>JB-HRSG-3-AI01</t>
        </is>
      </c>
      <c r="H1145" s="12" t="inlineStr">
        <is>
          <t>HRSG 3 + SCR (3P reheat, horizontal)</t>
        </is>
      </c>
      <c r="I1145" s="12" t="inlineStr">
        <is>
          <t>Instrumentation</t>
        </is>
      </c>
      <c r="J1145" s="12" t="inlineStr">
        <is>
          <t>Instrumentation PLTC / TC-ER 300 V, #18 twisted shielded pairs, overall shield</t>
        </is>
      </c>
      <c r="K1145" s="12" t="inlineStr">
        <is>
          <t>PLTC|1 pr|16</t>
        </is>
      </c>
      <c r="L1145" s="12" t="inlineStr">
        <is>
          <t>1 pr</t>
        </is>
      </c>
      <c r="M1145" s="12" t="inlineStr">
        <is>
          <t>16</t>
        </is>
      </c>
      <c r="N1145" s="12" t="n">
        <v>20</v>
      </c>
      <c r="O1145" s="12" t="n">
        <v>1</v>
      </c>
      <c r="P1145" s="12" t="n"/>
      <c r="Q1145" s="12" t="n"/>
      <c r="R1145" s="12" t="n"/>
      <c r="S1145" s="12" t="inlineStr">
        <is>
          <t>Tray / conduit</t>
        </is>
      </c>
      <c r="T1145" s="16" t="n">
        <v>180</v>
      </c>
      <c r="U1145" s="16" t="n">
        <v>10</v>
      </c>
      <c r="V1145" s="16">
        <f>ROUNDUP((T1145+U1145+2*'Read Me'!$B$13)*(1+'Read Me'!$B$12),-1)</f>
        <v/>
      </c>
      <c r="W1145" s="16">
        <f>V1145*N1145*O1145</f>
        <v/>
      </c>
      <c r="X1145" s="12">
        <f>IF(LEFT(I1145,2)="MV",2*N1145*IF(L1145="1/C",O1145,1),0)</f>
        <v/>
      </c>
      <c r="Y1145" s="12">
        <f>IF(OR(LEFT(K1145,4)="LVAX",LEFT(K1145,6)="MV15AX",LEFT(K1145,4)="CTAX",LEFT(K1145,2)="W|"),2*N1145*O1145,0)</f>
        <v/>
      </c>
      <c r="Z1145" s="12" t="inlineStr">
        <is>
          <t>device-to-JB field wiring, one cable per device</t>
        </is>
      </c>
      <c r="AA1145" s="12">
        <f>N1145*O1145</f>
        <v/>
      </c>
    </row>
    <row r="1146">
      <c r="A1146" s="12" t="inlineStr">
        <is>
          <t>A-I-0424</t>
        </is>
      </c>
      <c r="B1146" s="12" t="inlineStr">
        <is>
          <t>A</t>
        </is>
      </c>
      <c r="C1146" s="12" t="inlineStr">
        <is>
          <t>Power block</t>
        </is>
      </c>
      <c r="D1146" s="12" t="inlineStr">
        <is>
          <t>Home run JB-HRSG-3-AI01 to the control / marshalling room</t>
        </is>
      </c>
      <c r="E1146" s="12" t="inlineStr">
        <is>
          <t>R2C</t>
        </is>
      </c>
      <c r="F1146" s="12" t="inlineStr">
        <is>
          <t>R2C: unit / HRSG electrical e-house (32 x 40 ft)</t>
        </is>
      </c>
      <c r="G1146" s="12" t="inlineStr">
        <is>
          <t>JB-HRSG-3-AI01</t>
        </is>
      </c>
      <c r="H1146" s="12" t="inlineStr">
        <is>
          <t>HRSG 3 + SCR (3P reheat, horizontal)</t>
        </is>
      </c>
      <c r="I1146" s="12" t="inlineStr">
        <is>
          <t>Instrumentation</t>
        </is>
      </c>
      <c r="J1146" s="12" t="inlineStr">
        <is>
          <t>Instrumentation PLTC / TC-ER 300 V, #18 twisted shielded pairs, overall shield</t>
        </is>
      </c>
      <c r="K1146" s="12" t="inlineStr">
        <is>
          <t>PLTC|24 pr|18</t>
        </is>
      </c>
      <c r="L1146" s="12" t="inlineStr">
        <is>
          <t>24 pr</t>
        </is>
      </c>
      <c r="M1146" s="12" t="inlineStr">
        <is>
          <t>18</t>
        </is>
      </c>
      <c r="N1146" s="12" t="n">
        <v>1</v>
      </c>
      <c r="O1146" s="12" t="n">
        <v>1</v>
      </c>
      <c r="P1146" s="12" t="n"/>
      <c r="Q1146" s="12" t="n"/>
      <c r="R1146" s="12" t="n"/>
      <c r="S1146" s="12" t="inlineStr">
        <is>
          <t>Tray</t>
        </is>
      </c>
      <c r="T1146" s="16" t="n">
        <v>0</v>
      </c>
      <c r="U1146" s="16" t="n">
        <v>87</v>
      </c>
      <c r="V1146" s="16">
        <f>ROUNDUP((T1146+U1146+2*'Read Me'!$B$13)*(1+'Read Me'!$B$12),-1)</f>
        <v/>
      </c>
      <c r="W1146" s="16">
        <f>V1146*N1146*O1146</f>
        <v/>
      </c>
      <c r="X1146" s="12">
        <f>IF(LEFT(I1146,2)="MV",2*N1146*IF(L1146="1/C",O1146,1),0)</f>
        <v/>
      </c>
      <c r="Y1146" s="12">
        <f>IF(OR(LEFT(K1146,4)="LVAX",LEFT(K1146,6)="MV15AX",LEFT(K1146,4)="CTAX",LEFT(K1146,2)="W|"),2*N1146*O1146,0)</f>
        <v/>
      </c>
      <c r="Z1146" s="12" t="inlineStr"/>
      <c r="AA1146" s="12">
        <f>N1146*O1146</f>
        <v/>
      </c>
    </row>
    <row r="1147">
      <c r="A1147" s="12" t="inlineStr">
        <is>
          <t>A-I-0425</t>
        </is>
      </c>
      <c r="B1147" s="12" t="inlineStr">
        <is>
          <t>A</t>
        </is>
      </c>
      <c r="C1147" s="12" t="inlineStr">
        <is>
          <t>Power block</t>
        </is>
      </c>
      <c r="D1147" s="12" t="inlineStr">
        <is>
          <t>Analog instrument to JB JB-HRSG-3-AI02: 20 x 1 pr (field cables)</t>
        </is>
      </c>
      <c r="E1147" s="12" t="inlineStr">
        <is>
          <t>HRSG-3</t>
        </is>
      </c>
      <c r="F1147" s="12" t="inlineStr">
        <is>
          <t>HRSG 3 + SCR (3P reheat, horizontal)</t>
        </is>
      </c>
      <c r="G1147" s="12" t="inlineStr">
        <is>
          <t>JB-HRSG-3-AI02</t>
        </is>
      </c>
      <c r="H1147" s="12" t="inlineStr">
        <is>
          <t>HRSG 3 + SCR (3P reheat, horizontal)</t>
        </is>
      </c>
      <c r="I1147" s="12" t="inlineStr">
        <is>
          <t>Instrumentation</t>
        </is>
      </c>
      <c r="J1147" s="12" t="inlineStr">
        <is>
          <t>Instrumentation PLTC / TC-ER 300 V, #18 twisted shielded pairs, overall shield</t>
        </is>
      </c>
      <c r="K1147" s="12" t="inlineStr">
        <is>
          <t>PLTC|1 pr|16</t>
        </is>
      </c>
      <c r="L1147" s="12" t="inlineStr">
        <is>
          <t>1 pr</t>
        </is>
      </c>
      <c r="M1147" s="12" t="inlineStr">
        <is>
          <t>16</t>
        </is>
      </c>
      <c r="N1147" s="12" t="n">
        <v>20</v>
      </c>
      <c r="O1147" s="12" t="n">
        <v>1</v>
      </c>
      <c r="P1147" s="12" t="n"/>
      <c r="Q1147" s="12" t="n"/>
      <c r="R1147" s="12" t="n"/>
      <c r="S1147" s="12" t="inlineStr">
        <is>
          <t>Tray / conduit</t>
        </is>
      </c>
      <c r="T1147" s="16" t="n">
        <v>180</v>
      </c>
      <c r="U1147" s="16" t="n">
        <v>10</v>
      </c>
      <c r="V1147" s="16">
        <f>ROUNDUP((T1147+U1147+2*'Read Me'!$B$13)*(1+'Read Me'!$B$12),-1)</f>
        <v/>
      </c>
      <c r="W1147" s="16">
        <f>V1147*N1147*O1147</f>
        <v/>
      </c>
      <c r="X1147" s="12">
        <f>IF(LEFT(I1147,2)="MV",2*N1147*IF(L1147="1/C",O1147,1),0)</f>
        <v/>
      </c>
      <c r="Y1147" s="12">
        <f>IF(OR(LEFT(K1147,4)="LVAX",LEFT(K1147,6)="MV15AX",LEFT(K1147,4)="CTAX",LEFT(K1147,2)="W|"),2*N1147*O1147,0)</f>
        <v/>
      </c>
      <c r="Z1147" s="12" t="inlineStr">
        <is>
          <t>device-to-JB field wiring, one cable per device</t>
        </is>
      </c>
      <c r="AA1147" s="12">
        <f>N1147*O1147</f>
        <v/>
      </c>
    </row>
    <row r="1148">
      <c r="A1148" s="12" t="inlineStr">
        <is>
          <t>A-I-0426</t>
        </is>
      </c>
      <c r="B1148" s="12" t="inlineStr">
        <is>
          <t>A</t>
        </is>
      </c>
      <c r="C1148" s="12" t="inlineStr">
        <is>
          <t>Power block</t>
        </is>
      </c>
      <c r="D1148" s="12" t="inlineStr">
        <is>
          <t>Home run JB-HRSG-3-AI02 to the control / marshalling room</t>
        </is>
      </c>
      <c r="E1148" s="12" t="inlineStr">
        <is>
          <t>R2C</t>
        </is>
      </c>
      <c r="F1148" s="12" t="inlineStr">
        <is>
          <t>R2C: unit / HRSG electrical e-house (32 x 40 ft)</t>
        </is>
      </c>
      <c r="G1148" s="12" t="inlineStr">
        <is>
          <t>JB-HRSG-3-AI02</t>
        </is>
      </c>
      <c r="H1148" s="12" t="inlineStr">
        <is>
          <t>HRSG 3 + SCR (3P reheat, horizontal)</t>
        </is>
      </c>
      <c r="I1148" s="12" t="inlineStr">
        <is>
          <t>Instrumentation</t>
        </is>
      </c>
      <c r="J1148" s="12" t="inlineStr">
        <is>
          <t>Instrumentation PLTC / TC-ER 300 V, #18 twisted shielded pairs, overall shield</t>
        </is>
      </c>
      <c r="K1148" s="12" t="inlineStr">
        <is>
          <t>PLTC|24 pr|18</t>
        </is>
      </c>
      <c r="L1148" s="12" t="inlineStr">
        <is>
          <t>24 pr</t>
        </is>
      </c>
      <c r="M1148" s="12" t="inlineStr">
        <is>
          <t>18</t>
        </is>
      </c>
      <c r="N1148" s="12" t="n">
        <v>1</v>
      </c>
      <c r="O1148" s="12" t="n">
        <v>1</v>
      </c>
      <c r="P1148" s="12" t="n"/>
      <c r="Q1148" s="12" t="n"/>
      <c r="R1148" s="12" t="n"/>
      <c r="S1148" s="12" t="inlineStr">
        <is>
          <t>Tray</t>
        </is>
      </c>
      <c r="T1148" s="16" t="n">
        <v>0</v>
      </c>
      <c r="U1148" s="16" t="n">
        <v>87</v>
      </c>
      <c r="V1148" s="16">
        <f>ROUNDUP((T1148+U1148+2*'Read Me'!$B$13)*(1+'Read Me'!$B$12),-1)</f>
        <v/>
      </c>
      <c r="W1148" s="16">
        <f>V1148*N1148*O1148</f>
        <v/>
      </c>
      <c r="X1148" s="12">
        <f>IF(LEFT(I1148,2)="MV",2*N1148*IF(L1148="1/C",O1148,1),0)</f>
        <v/>
      </c>
      <c r="Y1148" s="12">
        <f>IF(OR(LEFT(K1148,4)="LVAX",LEFT(K1148,6)="MV15AX",LEFT(K1148,4)="CTAX",LEFT(K1148,2)="W|"),2*N1148*O1148,0)</f>
        <v/>
      </c>
      <c r="Z1148" s="12" t="inlineStr"/>
      <c r="AA1148" s="12">
        <f>N1148*O1148</f>
        <v/>
      </c>
    </row>
    <row r="1149">
      <c r="A1149" s="12" t="inlineStr">
        <is>
          <t>A-I-0427</t>
        </is>
      </c>
      <c r="B1149" s="12" t="inlineStr">
        <is>
          <t>A</t>
        </is>
      </c>
      <c r="C1149" s="12" t="inlineStr">
        <is>
          <t>Power block</t>
        </is>
      </c>
      <c r="D1149" s="12" t="inlineStr">
        <is>
          <t>Analog instrument to JB JB-HRSG-3-AI03: 20 x 1 pr (field cables)</t>
        </is>
      </c>
      <c r="E1149" s="12" t="inlineStr">
        <is>
          <t>HRSG-3</t>
        </is>
      </c>
      <c r="F1149" s="12" t="inlineStr">
        <is>
          <t>HRSG 3 + SCR (3P reheat, horizontal)</t>
        </is>
      </c>
      <c r="G1149" s="12" t="inlineStr">
        <is>
          <t>JB-HRSG-3-AI03</t>
        </is>
      </c>
      <c r="H1149" s="12" t="inlineStr">
        <is>
          <t>HRSG 3 + SCR (3P reheat, horizontal)</t>
        </is>
      </c>
      <c r="I1149" s="12" t="inlineStr">
        <is>
          <t>Instrumentation</t>
        </is>
      </c>
      <c r="J1149" s="12" t="inlineStr">
        <is>
          <t>Instrumentation PLTC / TC-ER 300 V, #18 twisted shielded pairs, overall shield</t>
        </is>
      </c>
      <c r="K1149" s="12" t="inlineStr">
        <is>
          <t>PLTC|1 pr|16</t>
        </is>
      </c>
      <c r="L1149" s="12" t="inlineStr">
        <is>
          <t>1 pr</t>
        </is>
      </c>
      <c r="M1149" s="12" t="inlineStr">
        <is>
          <t>16</t>
        </is>
      </c>
      <c r="N1149" s="12" t="n">
        <v>20</v>
      </c>
      <c r="O1149" s="12" t="n">
        <v>1</v>
      </c>
      <c r="P1149" s="12" t="n"/>
      <c r="Q1149" s="12" t="n"/>
      <c r="R1149" s="12" t="n"/>
      <c r="S1149" s="12" t="inlineStr">
        <is>
          <t>Tray / conduit</t>
        </is>
      </c>
      <c r="T1149" s="16" t="n">
        <v>180</v>
      </c>
      <c r="U1149" s="16" t="n">
        <v>10</v>
      </c>
      <c r="V1149" s="16">
        <f>ROUNDUP((T1149+U1149+2*'Read Me'!$B$13)*(1+'Read Me'!$B$12),-1)</f>
        <v/>
      </c>
      <c r="W1149" s="16">
        <f>V1149*N1149*O1149</f>
        <v/>
      </c>
      <c r="X1149" s="12">
        <f>IF(LEFT(I1149,2)="MV",2*N1149*IF(L1149="1/C",O1149,1),0)</f>
        <v/>
      </c>
      <c r="Y1149" s="12">
        <f>IF(OR(LEFT(K1149,4)="LVAX",LEFT(K1149,6)="MV15AX",LEFT(K1149,4)="CTAX",LEFT(K1149,2)="W|"),2*N1149*O1149,0)</f>
        <v/>
      </c>
      <c r="Z1149" s="12" t="inlineStr">
        <is>
          <t>device-to-JB field wiring, one cable per device</t>
        </is>
      </c>
      <c r="AA1149" s="12">
        <f>N1149*O1149</f>
        <v/>
      </c>
    </row>
    <row r="1150">
      <c r="A1150" s="12" t="inlineStr">
        <is>
          <t>A-I-0428</t>
        </is>
      </c>
      <c r="B1150" s="12" t="inlineStr">
        <is>
          <t>A</t>
        </is>
      </c>
      <c r="C1150" s="12" t="inlineStr">
        <is>
          <t>Power block</t>
        </is>
      </c>
      <c r="D1150" s="12" t="inlineStr">
        <is>
          <t>Home run JB-HRSG-3-AI03 to the control / marshalling room</t>
        </is>
      </c>
      <c r="E1150" s="12" t="inlineStr">
        <is>
          <t>R2C</t>
        </is>
      </c>
      <c r="F1150" s="12" t="inlineStr">
        <is>
          <t>R2C: unit / HRSG electrical e-house (32 x 40 ft)</t>
        </is>
      </c>
      <c r="G1150" s="12" t="inlineStr">
        <is>
          <t>JB-HRSG-3-AI03</t>
        </is>
      </c>
      <c r="H1150" s="12" t="inlineStr">
        <is>
          <t>HRSG 3 + SCR (3P reheat, horizontal)</t>
        </is>
      </c>
      <c r="I1150" s="12" t="inlineStr">
        <is>
          <t>Instrumentation</t>
        </is>
      </c>
      <c r="J1150" s="12" t="inlineStr">
        <is>
          <t>Instrumentation PLTC / TC-ER 300 V, #18 twisted shielded pairs, overall shield</t>
        </is>
      </c>
      <c r="K1150" s="12" t="inlineStr">
        <is>
          <t>PLTC|24 pr|18</t>
        </is>
      </c>
      <c r="L1150" s="12" t="inlineStr">
        <is>
          <t>24 pr</t>
        </is>
      </c>
      <c r="M1150" s="12" t="inlineStr">
        <is>
          <t>18</t>
        </is>
      </c>
      <c r="N1150" s="12" t="n">
        <v>1</v>
      </c>
      <c r="O1150" s="12" t="n">
        <v>1</v>
      </c>
      <c r="P1150" s="12" t="n"/>
      <c r="Q1150" s="12" t="n"/>
      <c r="R1150" s="12" t="n"/>
      <c r="S1150" s="12" t="inlineStr">
        <is>
          <t>Tray</t>
        </is>
      </c>
      <c r="T1150" s="16" t="n">
        <v>0</v>
      </c>
      <c r="U1150" s="16" t="n">
        <v>87</v>
      </c>
      <c r="V1150" s="16">
        <f>ROUNDUP((T1150+U1150+2*'Read Me'!$B$13)*(1+'Read Me'!$B$12),-1)</f>
        <v/>
      </c>
      <c r="W1150" s="16">
        <f>V1150*N1150*O1150</f>
        <v/>
      </c>
      <c r="X1150" s="12">
        <f>IF(LEFT(I1150,2)="MV",2*N1150*IF(L1150="1/C",O1150,1),0)</f>
        <v/>
      </c>
      <c r="Y1150" s="12">
        <f>IF(OR(LEFT(K1150,4)="LVAX",LEFT(K1150,6)="MV15AX",LEFT(K1150,4)="CTAX",LEFT(K1150,2)="W|"),2*N1150*O1150,0)</f>
        <v/>
      </c>
      <c r="Z1150" s="12" t="inlineStr"/>
      <c r="AA1150" s="12">
        <f>N1150*O1150</f>
        <v/>
      </c>
    </row>
    <row r="1151">
      <c r="A1151" s="12" t="inlineStr">
        <is>
          <t>A-I-0429</t>
        </is>
      </c>
      <c r="B1151" s="12" t="inlineStr">
        <is>
          <t>A</t>
        </is>
      </c>
      <c r="C1151" s="12" t="inlineStr">
        <is>
          <t>Power block</t>
        </is>
      </c>
      <c r="D1151" s="12" t="inlineStr">
        <is>
          <t>Analog instrument to JB JB-HRSG-3-AI04: 20 x 1 pr (field cables)</t>
        </is>
      </c>
      <c r="E1151" s="12" t="inlineStr">
        <is>
          <t>HRSG-3</t>
        </is>
      </c>
      <c r="F1151" s="12" t="inlineStr">
        <is>
          <t>HRSG 3 + SCR (3P reheat, horizontal)</t>
        </is>
      </c>
      <c r="G1151" s="12" t="inlineStr">
        <is>
          <t>JB-HRSG-3-AI04</t>
        </is>
      </c>
      <c r="H1151" s="12" t="inlineStr">
        <is>
          <t>HRSG 3 + SCR (3P reheat, horizontal)</t>
        </is>
      </c>
      <c r="I1151" s="12" t="inlineStr">
        <is>
          <t>Instrumentation</t>
        </is>
      </c>
      <c r="J1151" s="12" t="inlineStr">
        <is>
          <t>Instrumentation PLTC / TC-ER 300 V, #18 twisted shielded pairs, overall shield</t>
        </is>
      </c>
      <c r="K1151" s="12" t="inlineStr">
        <is>
          <t>PLTC|1 pr|16</t>
        </is>
      </c>
      <c r="L1151" s="12" t="inlineStr">
        <is>
          <t>1 pr</t>
        </is>
      </c>
      <c r="M1151" s="12" t="inlineStr">
        <is>
          <t>16</t>
        </is>
      </c>
      <c r="N1151" s="12" t="n">
        <v>20</v>
      </c>
      <c r="O1151" s="12" t="n">
        <v>1</v>
      </c>
      <c r="P1151" s="12" t="n"/>
      <c r="Q1151" s="12" t="n"/>
      <c r="R1151" s="12" t="n"/>
      <c r="S1151" s="12" t="inlineStr">
        <is>
          <t>Tray / conduit</t>
        </is>
      </c>
      <c r="T1151" s="16" t="n">
        <v>180</v>
      </c>
      <c r="U1151" s="16" t="n">
        <v>10</v>
      </c>
      <c r="V1151" s="16">
        <f>ROUNDUP((T1151+U1151+2*'Read Me'!$B$13)*(1+'Read Me'!$B$12),-1)</f>
        <v/>
      </c>
      <c r="W1151" s="16">
        <f>V1151*N1151*O1151</f>
        <v/>
      </c>
      <c r="X1151" s="12">
        <f>IF(LEFT(I1151,2)="MV",2*N1151*IF(L1151="1/C",O1151,1),0)</f>
        <v/>
      </c>
      <c r="Y1151" s="12">
        <f>IF(OR(LEFT(K1151,4)="LVAX",LEFT(K1151,6)="MV15AX",LEFT(K1151,4)="CTAX",LEFT(K1151,2)="W|"),2*N1151*O1151,0)</f>
        <v/>
      </c>
      <c r="Z1151" s="12" t="inlineStr">
        <is>
          <t>device-to-JB field wiring, one cable per device</t>
        </is>
      </c>
      <c r="AA1151" s="12">
        <f>N1151*O1151</f>
        <v/>
      </c>
    </row>
    <row r="1152">
      <c r="A1152" s="12" t="inlineStr">
        <is>
          <t>A-I-0430</t>
        </is>
      </c>
      <c r="B1152" s="12" t="inlineStr">
        <is>
          <t>A</t>
        </is>
      </c>
      <c r="C1152" s="12" t="inlineStr">
        <is>
          <t>Power block</t>
        </is>
      </c>
      <c r="D1152" s="12" t="inlineStr">
        <is>
          <t>Home run JB-HRSG-3-AI04 to the control / marshalling room</t>
        </is>
      </c>
      <c r="E1152" s="12" t="inlineStr">
        <is>
          <t>R2C</t>
        </is>
      </c>
      <c r="F1152" s="12" t="inlineStr">
        <is>
          <t>R2C: unit / HRSG electrical e-house (32 x 40 ft)</t>
        </is>
      </c>
      <c r="G1152" s="12" t="inlineStr">
        <is>
          <t>JB-HRSG-3-AI04</t>
        </is>
      </c>
      <c r="H1152" s="12" t="inlineStr">
        <is>
          <t>HRSG 3 + SCR (3P reheat, horizontal)</t>
        </is>
      </c>
      <c r="I1152" s="12" t="inlineStr">
        <is>
          <t>Instrumentation</t>
        </is>
      </c>
      <c r="J1152" s="12" t="inlineStr">
        <is>
          <t>Instrumentation PLTC / TC-ER 300 V, #18 twisted shielded pairs, overall shield</t>
        </is>
      </c>
      <c r="K1152" s="12" t="inlineStr">
        <is>
          <t>PLTC|24 pr|18</t>
        </is>
      </c>
      <c r="L1152" s="12" t="inlineStr">
        <is>
          <t>24 pr</t>
        </is>
      </c>
      <c r="M1152" s="12" t="inlineStr">
        <is>
          <t>18</t>
        </is>
      </c>
      <c r="N1152" s="12" t="n">
        <v>1</v>
      </c>
      <c r="O1152" s="12" t="n">
        <v>1</v>
      </c>
      <c r="P1152" s="12" t="n"/>
      <c r="Q1152" s="12" t="n"/>
      <c r="R1152" s="12" t="n"/>
      <c r="S1152" s="12" t="inlineStr">
        <is>
          <t>Tray</t>
        </is>
      </c>
      <c r="T1152" s="16" t="n">
        <v>0</v>
      </c>
      <c r="U1152" s="16" t="n">
        <v>87</v>
      </c>
      <c r="V1152" s="16">
        <f>ROUNDUP((T1152+U1152+2*'Read Me'!$B$13)*(1+'Read Me'!$B$12),-1)</f>
        <v/>
      </c>
      <c r="W1152" s="16">
        <f>V1152*N1152*O1152</f>
        <v/>
      </c>
      <c r="X1152" s="12">
        <f>IF(LEFT(I1152,2)="MV",2*N1152*IF(L1152="1/C",O1152,1),0)</f>
        <v/>
      </c>
      <c r="Y1152" s="12">
        <f>IF(OR(LEFT(K1152,4)="LVAX",LEFT(K1152,6)="MV15AX",LEFT(K1152,4)="CTAX",LEFT(K1152,2)="W|"),2*N1152*O1152,0)</f>
        <v/>
      </c>
      <c r="Z1152" s="12" t="inlineStr"/>
      <c r="AA1152" s="12">
        <f>N1152*O1152</f>
        <v/>
      </c>
    </row>
    <row r="1153">
      <c r="A1153" s="12" t="inlineStr">
        <is>
          <t>A-I-0431</t>
        </is>
      </c>
      <c r="B1153" s="12" t="inlineStr">
        <is>
          <t>A</t>
        </is>
      </c>
      <c r="C1153" s="12" t="inlineStr">
        <is>
          <t>Power block</t>
        </is>
      </c>
      <c r="D1153" s="12" t="inlineStr">
        <is>
          <t>Analog instrument to JB JB-HRSG-3-AI05: 20 x 1 pr (field cables)</t>
        </is>
      </c>
      <c r="E1153" s="12" t="inlineStr">
        <is>
          <t>HRSG-3</t>
        </is>
      </c>
      <c r="F1153" s="12" t="inlineStr">
        <is>
          <t>HRSG 3 + SCR (3P reheat, horizontal)</t>
        </is>
      </c>
      <c r="G1153" s="12" t="inlineStr">
        <is>
          <t>JB-HRSG-3-AI05</t>
        </is>
      </c>
      <c r="H1153" s="12" t="inlineStr">
        <is>
          <t>HRSG 3 + SCR (3P reheat, horizontal)</t>
        </is>
      </c>
      <c r="I1153" s="12" t="inlineStr">
        <is>
          <t>Instrumentation</t>
        </is>
      </c>
      <c r="J1153" s="12" t="inlineStr">
        <is>
          <t>Instrumentation PLTC / TC-ER 300 V, #18 twisted shielded pairs, overall shield</t>
        </is>
      </c>
      <c r="K1153" s="12" t="inlineStr">
        <is>
          <t>PLTC|1 pr|16</t>
        </is>
      </c>
      <c r="L1153" s="12" t="inlineStr">
        <is>
          <t>1 pr</t>
        </is>
      </c>
      <c r="M1153" s="12" t="inlineStr">
        <is>
          <t>16</t>
        </is>
      </c>
      <c r="N1153" s="12" t="n">
        <v>20</v>
      </c>
      <c r="O1153" s="12" t="n">
        <v>1</v>
      </c>
      <c r="P1153" s="12" t="n"/>
      <c r="Q1153" s="12" t="n"/>
      <c r="R1153" s="12" t="n"/>
      <c r="S1153" s="12" t="inlineStr">
        <is>
          <t>Tray / conduit</t>
        </is>
      </c>
      <c r="T1153" s="16" t="n">
        <v>180</v>
      </c>
      <c r="U1153" s="16" t="n">
        <v>10</v>
      </c>
      <c r="V1153" s="16">
        <f>ROUNDUP((T1153+U1153+2*'Read Me'!$B$13)*(1+'Read Me'!$B$12),-1)</f>
        <v/>
      </c>
      <c r="W1153" s="16">
        <f>V1153*N1153*O1153</f>
        <v/>
      </c>
      <c r="X1153" s="12">
        <f>IF(LEFT(I1153,2)="MV",2*N1153*IF(L1153="1/C",O1153,1),0)</f>
        <v/>
      </c>
      <c r="Y1153" s="12">
        <f>IF(OR(LEFT(K1153,4)="LVAX",LEFT(K1153,6)="MV15AX",LEFT(K1153,4)="CTAX",LEFT(K1153,2)="W|"),2*N1153*O1153,0)</f>
        <v/>
      </c>
      <c r="Z1153" s="12" t="inlineStr">
        <is>
          <t>device-to-JB field wiring, one cable per device</t>
        </is>
      </c>
      <c r="AA1153" s="12">
        <f>N1153*O1153</f>
        <v/>
      </c>
    </row>
    <row r="1154">
      <c r="A1154" s="12" t="inlineStr">
        <is>
          <t>A-I-0432</t>
        </is>
      </c>
      <c r="B1154" s="12" t="inlineStr">
        <is>
          <t>A</t>
        </is>
      </c>
      <c r="C1154" s="12" t="inlineStr">
        <is>
          <t>Power block</t>
        </is>
      </c>
      <c r="D1154" s="12" t="inlineStr">
        <is>
          <t>Home run JB-HRSG-3-AI05 to the control / marshalling room</t>
        </is>
      </c>
      <c r="E1154" s="12" t="inlineStr">
        <is>
          <t>R2C</t>
        </is>
      </c>
      <c r="F1154" s="12" t="inlineStr">
        <is>
          <t>R2C: unit / HRSG electrical e-house (32 x 40 ft)</t>
        </is>
      </c>
      <c r="G1154" s="12" t="inlineStr">
        <is>
          <t>JB-HRSG-3-AI05</t>
        </is>
      </c>
      <c r="H1154" s="12" t="inlineStr">
        <is>
          <t>HRSG 3 + SCR (3P reheat, horizontal)</t>
        </is>
      </c>
      <c r="I1154" s="12" t="inlineStr">
        <is>
          <t>Instrumentation</t>
        </is>
      </c>
      <c r="J1154" s="12" t="inlineStr">
        <is>
          <t>Instrumentation PLTC / TC-ER 300 V, #18 twisted shielded pairs, overall shield</t>
        </is>
      </c>
      <c r="K1154" s="12" t="inlineStr">
        <is>
          <t>PLTC|24 pr|18</t>
        </is>
      </c>
      <c r="L1154" s="12" t="inlineStr">
        <is>
          <t>24 pr</t>
        </is>
      </c>
      <c r="M1154" s="12" t="inlineStr">
        <is>
          <t>18</t>
        </is>
      </c>
      <c r="N1154" s="12" t="n">
        <v>1</v>
      </c>
      <c r="O1154" s="12" t="n">
        <v>1</v>
      </c>
      <c r="P1154" s="12" t="n"/>
      <c r="Q1154" s="12" t="n"/>
      <c r="R1154" s="12" t="n"/>
      <c r="S1154" s="12" t="inlineStr">
        <is>
          <t>Tray</t>
        </is>
      </c>
      <c r="T1154" s="16" t="n">
        <v>0</v>
      </c>
      <c r="U1154" s="16" t="n">
        <v>87</v>
      </c>
      <c r="V1154" s="16">
        <f>ROUNDUP((T1154+U1154+2*'Read Me'!$B$13)*(1+'Read Me'!$B$12),-1)</f>
        <v/>
      </c>
      <c r="W1154" s="16">
        <f>V1154*N1154*O1154</f>
        <v/>
      </c>
      <c r="X1154" s="12">
        <f>IF(LEFT(I1154,2)="MV",2*N1154*IF(L1154="1/C",O1154,1),0)</f>
        <v/>
      </c>
      <c r="Y1154" s="12">
        <f>IF(OR(LEFT(K1154,4)="LVAX",LEFT(K1154,6)="MV15AX",LEFT(K1154,4)="CTAX",LEFT(K1154,2)="W|"),2*N1154*O1154,0)</f>
        <v/>
      </c>
      <c r="Z1154" s="12" t="inlineStr"/>
      <c r="AA1154" s="12">
        <f>N1154*O1154</f>
        <v/>
      </c>
    </row>
    <row r="1155">
      <c r="A1155" s="12" t="inlineStr">
        <is>
          <t>A-I-0433</t>
        </is>
      </c>
      <c r="B1155" s="12" t="inlineStr">
        <is>
          <t>A</t>
        </is>
      </c>
      <c r="C1155" s="12" t="inlineStr">
        <is>
          <t>Power block</t>
        </is>
      </c>
      <c r="D1155" s="12" t="inlineStr">
        <is>
          <t>Analog instrument to JB JB-HRSG-3-AI06: 20 x 1 pr (field cables)</t>
        </is>
      </c>
      <c r="E1155" s="12" t="inlineStr">
        <is>
          <t>HRSG-3</t>
        </is>
      </c>
      <c r="F1155" s="12" t="inlineStr">
        <is>
          <t>HRSG 3 + SCR (3P reheat, horizontal)</t>
        </is>
      </c>
      <c r="G1155" s="12" t="inlineStr">
        <is>
          <t>JB-HRSG-3-AI06</t>
        </is>
      </c>
      <c r="H1155" s="12" t="inlineStr">
        <is>
          <t>HRSG 3 + SCR (3P reheat, horizontal)</t>
        </is>
      </c>
      <c r="I1155" s="12" t="inlineStr">
        <is>
          <t>Instrumentation</t>
        </is>
      </c>
      <c r="J1155" s="12" t="inlineStr">
        <is>
          <t>Instrumentation PLTC / TC-ER 300 V, #18 twisted shielded pairs, overall shield</t>
        </is>
      </c>
      <c r="K1155" s="12" t="inlineStr">
        <is>
          <t>PLTC|1 pr|16</t>
        </is>
      </c>
      <c r="L1155" s="12" t="inlineStr">
        <is>
          <t>1 pr</t>
        </is>
      </c>
      <c r="M1155" s="12" t="inlineStr">
        <is>
          <t>16</t>
        </is>
      </c>
      <c r="N1155" s="12" t="n">
        <v>20</v>
      </c>
      <c r="O1155" s="12" t="n">
        <v>1</v>
      </c>
      <c r="P1155" s="12" t="n"/>
      <c r="Q1155" s="12" t="n"/>
      <c r="R1155" s="12" t="n"/>
      <c r="S1155" s="12" t="inlineStr">
        <is>
          <t>Tray / conduit</t>
        </is>
      </c>
      <c r="T1155" s="16" t="n">
        <v>180</v>
      </c>
      <c r="U1155" s="16" t="n">
        <v>10</v>
      </c>
      <c r="V1155" s="16">
        <f>ROUNDUP((T1155+U1155+2*'Read Me'!$B$13)*(1+'Read Me'!$B$12),-1)</f>
        <v/>
      </c>
      <c r="W1155" s="16">
        <f>V1155*N1155*O1155</f>
        <v/>
      </c>
      <c r="X1155" s="12">
        <f>IF(LEFT(I1155,2)="MV",2*N1155*IF(L1155="1/C",O1155,1),0)</f>
        <v/>
      </c>
      <c r="Y1155" s="12">
        <f>IF(OR(LEFT(K1155,4)="LVAX",LEFT(K1155,6)="MV15AX",LEFT(K1155,4)="CTAX",LEFT(K1155,2)="W|"),2*N1155*O1155,0)</f>
        <v/>
      </c>
      <c r="Z1155" s="12" t="inlineStr">
        <is>
          <t>device-to-JB field wiring, one cable per device</t>
        </is>
      </c>
      <c r="AA1155" s="12">
        <f>N1155*O1155</f>
        <v/>
      </c>
    </row>
    <row r="1156">
      <c r="A1156" s="12" t="inlineStr">
        <is>
          <t>A-I-0434</t>
        </is>
      </c>
      <c r="B1156" s="12" t="inlineStr">
        <is>
          <t>A</t>
        </is>
      </c>
      <c r="C1156" s="12" t="inlineStr">
        <is>
          <t>Power block</t>
        </is>
      </c>
      <c r="D1156" s="12" t="inlineStr">
        <is>
          <t>Home run JB-HRSG-3-AI06 to the control / marshalling room</t>
        </is>
      </c>
      <c r="E1156" s="12" t="inlineStr">
        <is>
          <t>R2C</t>
        </is>
      </c>
      <c r="F1156" s="12" t="inlineStr">
        <is>
          <t>R2C: unit / HRSG electrical e-house (32 x 40 ft)</t>
        </is>
      </c>
      <c r="G1156" s="12" t="inlineStr">
        <is>
          <t>JB-HRSG-3-AI06</t>
        </is>
      </c>
      <c r="H1156" s="12" t="inlineStr">
        <is>
          <t>HRSG 3 + SCR (3P reheat, horizontal)</t>
        </is>
      </c>
      <c r="I1156" s="12" t="inlineStr">
        <is>
          <t>Instrumentation</t>
        </is>
      </c>
      <c r="J1156" s="12" t="inlineStr">
        <is>
          <t>Instrumentation PLTC / TC-ER 300 V, #18 twisted shielded pairs, overall shield</t>
        </is>
      </c>
      <c r="K1156" s="12" t="inlineStr">
        <is>
          <t>PLTC|24 pr|18</t>
        </is>
      </c>
      <c r="L1156" s="12" t="inlineStr">
        <is>
          <t>24 pr</t>
        </is>
      </c>
      <c r="M1156" s="12" t="inlineStr">
        <is>
          <t>18</t>
        </is>
      </c>
      <c r="N1156" s="12" t="n">
        <v>1</v>
      </c>
      <c r="O1156" s="12" t="n">
        <v>1</v>
      </c>
      <c r="P1156" s="12" t="n"/>
      <c r="Q1156" s="12" t="n"/>
      <c r="R1156" s="12" t="n"/>
      <c r="S1156" s="12" t="inlineStr">
        <is>
          <t>Tray</t>
        </is>
      </c>
      <c r="T1156" s="16" t="n">
        <v>0</v>
      </c>
      <c r="U1156" s="16" t="n">
        <v>87</v>
      </c>
      <c r="V1156" s="16">
        <f>ROUNDUP((T1156+U1156+2*'Read Me'!$B$13)*(1+'Read Me'!$B$12),-1)</f>
        <v/>
      </c>
      <c r="W1156" s="16">
        <f>V1156*N1156*O1156</f>
        <v/>
      </c>
      <c r="X1156" s="12">
        <f>IF(LEFT(I1156,2)="MV",2*N1156*IF(L1156="1/C",O1156,1),0)</f>
        <v/>
      </c>
      <c r="Y1156" s="12">
        <f>IF(OR(LEFT(K1156,4)="LVAX",LEFT(K1156,6)="MV15AX",LEFT(K1156,4)="CTAX",LEFT(K1156,2)="W|"),2*N1156*O1156,0)</f>
        <v/>
      </c>
      <c r="Z1156" s="12" t="inlineStr"/>
      <c r="AA1156" s="12">
        <f>N1156*O1156</f>
        <v/>
      </c>
    </row>
    <row r="1157">
      <c r="A1157" s="12" t="inlineStr">
        <is>
          <t>A-I-0435</t>
        </is>
      </c>
      <c r="B1157" s="12" t="inlineStr">
        <is>
          <t>A</t>
        </is>
      </c>
      <c r="C1157" s="12" t="inlineStr">
        <is>
          <t>Power block</t>
        </is>
      </c>
      <c r="D1157" s="12" t="inlineStr">
        <is>
          <t>Analog instrument to JB JB-HRSG-3-AI07: 20 x 1 pr (field cables)</t>
        </is>
      </c>
      <c r="E1157" s="12" t="inlineStr">
        <is>
          <t>HRSG-3</t>
        </is>
      </c>
      <c r="F1157" s="12" t="inlineStr">
        <is>
          <t>HRSG 3 + SCR (3P reheat, horizontal)</t>
        </is>
      </c>
      <c r="G1157" s="12" t="inlineStr">
        <is>
          <t>JB-HRSG-3-AI07</t>
        </is>
      </c>
      <c r="H1157" s="12" t="inlineStr">
        <is>
          <t>HRSG 3 + SCR (3P reheat, horizontal)</t>
        </is>
      </c>
      <c r="I1157" s="12" t="inlineStr">
        <is>
          <t>Instrumentation</t>
        </is>
      </c>
      <c r="J1157" s="12" t="inlineStr">
        <is>
          <t>Instrumentation PLTC / TC-ER 300 V, #18 twisted shielded pairs, overall shield</t>
        </is>
      </c>
      <c r="K1157" s="12" t="inlineStr">
        <is>
          <t>PLTC|1 pr|16</t>
        </is>
      </c>
      <c r="L1157" s="12" t="inlineStr">
        <is>
          <t>1 pr</t>
        </is>
      </c>
      <c r="M1157" s="12" t="inlineStr">
        <is>
          <t>16</t>
        </is>
      </c>
      <c r="N1157" s="12" t="n">
        <v>20</v>
      </c>
      <c r="O1157" s="12" t="n">
        <v>1</v>
      </c>
      <c r="P1157" s="12" t="n"/>
      <c r="Q1157" s="12" t="n"/>
      <c r="R1157" s="12" t="n"/>
      <c r="S1157" s="12" t="inlineStr">
        <is>
          <t>Tray / conduit</t>
        </is>
      </c>
      <c r="T1157" s="16" t="n">
        <v>180</v>
      </c>
      <c r="U1157" s="16" t="n">
        <v>10</v>
      </c>
      <c r="V1157" s="16">
        <f>ROUNDUP((T1157+U1157+2*'Read Me'!$B$13)*(1+'Read Me'!$B$12),-1)</f>
        <v/>
      </c>
      <c r="W1157" s="16">
        <f>V1157*N1157*O1157</f>
        <v/>
      </c>
      <c r="X1157" s="12">
        <f>IF(LEFT(I1157,2)="MV",2*N1157*IF(L1157="1/C",O1157,1),0)</f>
        <v/>
      </c>
      <c r="Y1157" s="12">
        <f>IF(OR(LEFT(K1157,4)="LVAX",LEFT(K1157,6)="MV15AX",LEFT(K1157,4)="CTAX",LEFT(K1157,2)="W|"),2*N1157*O1157,0)</f>
        <v/>
      </c>
      <c r="Z1157" s="12" t="inlineStr">
        <is>
          <t>device-to-JB field wiring, one cable per device</t>
        </is>
      </c>
      <c r="AA1157" s="12">
        <f>N1157*O1157</f>
        <v/>
      </c>
    </row>
    <row r="1158">
      <c r="A1158" s="12" t="inlineStr">
        <is>
          <t>A-I-0436</t>
        </is>
      </c>
      <c r="B1158" s="12" t="inlineStr">
        <is>
          <t>A</t>
        </is>
      </c>
      <c r="C1158" s="12" t="inlineStr">
        <is>
          <t>Power block</t>
        </is>
      </c>
      <c r="D1158" s="12" t="inlineStr">
        <is>
          <t>Home run JB-HRSG-3-AI07 to the control / marshalling room</t>
        </is>
      </c>
      <c r="E1158" s="12" t="inlineStr">
        <is>
          <t>R2C</t>
        </is>
      </c>
      <c r="F1158" s="12" t="inlineStr">
        <is>
          <t>R2C: unit / HRSG electrical e-house (32 x 40 ft)</t>
        </is>
      </c>
      <c r="G1158" s="12" t="inlineStr">
        <is>
          <t>JB-HRSG-3-AI07</t>
        </is>
      </c>
      <c r="H1158" s="12" t="inlineStr">
        <is>
          <t>HRSG 3 + SCR (3P reheat, horizontal)</t>
        </is>
      </c>
      <c r="I1158" s="12" t="inlineStr">
        <is>
          <t>Instrumentation</t>
        </is>
      </c>
      <c r="J1158" s="12" t="inlineStr">
        <is>
          <t>Instrumentation PLTC / TC-ER 300 V, #18 twisted shielded pairs, overall shield</t>
        </is>
      </c>
      <c r="K1158" s="12" t="inlineStr">
        <is>
          <t>PLTC|24 pr|18</t>
        </is>
      </c>
      <c r="L1158" s="12" t="inlineStr">
        <is>
          <t>24 pr</t>
        </is>
      </c>
      <c r="M1158" s="12" t="inlineStr">
        <is>
          <t>18</t>
        </is>
      </c>
      <c r="N1158" s="12" t="n">
        <v>1</v>
      </c>
      <c r="O1158" s="12" t="n">
        <v>1</v>
      </c>
      <c r="P1158" s="12" t="n"/>
      <c r="Q1158" s="12" t="n"/>
      <c r="R1158" s="12" t="n"/>
      <c r="S1158" s="12" t="inlineStr">
        <is>
          <t>Tray</t>
        </is>
      </c>
      <c r="T1158" s="16" t="n">
        <v>0</v>
      </c>
      <c r="U1158" s="16" t="n">
        <v>87</v>
      </c>
      <c r="V1158" s="16">
        <f>ROUNDUP((T1158+U1158+2*'Read Me'!$B$13)*(1+'Read Me'!$B$12),-1)</f>
        <v/>
      </c>
      <c r="W1158" s="16">
        <f>V1158*N1158*O1158</f>
        <v/>
      </c>
      <c r="X1158" s="12">
        <f>IF(LEFT(I1158,2)="MV",2*N1158*IF(L1158="1/C",O1158,1),0)</f>
        <v/>
      </c>
      <c r="Y1158" s="12">
        <f>IF(OR(LEFT(K1158,4)="LVAX",LEFT(K1158,6)="MV15AX",LEFT(K1158,4)="CTAX",LEFT(K1158,2)="W|"),2*N1158*O1158,0)</f>
        <v/>
      </c>
      <c r="Z1158" s="12" t="inlineStr"/>
      <c r="AA1158" s="12">
        <f>N1158*O1158</f>
        <v/>
      </c>
    </row>
    <row r="1159">
      <c r="A1159" s="12" t="inlineStr">
        <is>
          <t>A-I-0437</t>
        </is>
      </c>
      <c r="B1159" s="12" t="inlineStr">
        <is>
          <t>A</t>
        </is>
      </c>
      <c r="C1159" s="12" t="inlineStr">
        <is>
          <t>Power block</t>
        </is>
      </c>
      <c r="D1159" s="12" t="inlineStr">
        <is>
          <t>Analog instrument to JB JB-HRSG-3-AI08: 20 x 1 pr (field cables)</t>
        </is>
      </c>
      <c r="E1159" s="12" t="inlineStr">
        <is>
          <t>HRSG-3</t>
        </is>
      </c>
      <c r="F1159" s="12" t="inlineStr">
        <is>
          <t>HRSG 3 + SCR (3P reheat, horizontal)</t>
        </is>
      </c>
      <c r="G1159" s="12" t="inlineStr">
        <is>
          <t>JB-HRSG-3-AI08</t>
        </is>
      </c>
      <c r="H1159" s="12" t="inlineStr">
        <is>
          <t>HRSG 3 + SCR (3P reheat, horizontal)</t>
        </is>
      </c>
      <c r="I1159" s="12" t="inlineStr">
        <is>
          <t>Instrumentation</t>
        </is>
      </c>
      <c r="J1159" s="12" t="inlineStr">
        <is>
          <t>Instrumentation PLTC / TC-ER 300 V, #18 twisted shielded pairs, overall shield</t>
        </is>
      </c>
      <c r="K1159" s="12" t="inlineStr">
        <is>
          <t>PLTC|1 pr|16</t>
        </is>
      </c>
      <c r="L1159" s="12" t="inlineStr">
        <is>
          <t>1 pr</t>
        </is>
      </c>
      <c r="M1159" s="12" t="inlineStr">
        <is>
          <t>16</t>
        </is>
      </c>
      <c r="N1159" s="12" t="n">
        <v>20</v>
      </c>
      <c r="O1159" s="12" t="n">
        <v>1</v>
      </c>
      <c r="P1159" s="12" t="n"/>
      <c r="Q1159" s="12" t="n"/>
      <c r="R1159" s="12" t="n"/>
      <c r="S1159" s="12" t="inlineStr">
        <is>
          <t>Tray / conduit</t>
        </is>
      </c>
      <c r="T1159" s="16" t="n">
        <v>180</v>
      </c>
      <c r="U1159" s="16" t="n">
        <v>10</v>
      </c>
      <c r="V1159" s="16">
        <f>ROUNDUP((T1159+U1159+2*'Read Me'!$B$13)*(1+'Read Me'!$B$12),-1)</f>
        <v/>
      </c>
      <c r="W1159" s="16">
        <f>V1159*N1159*O1159</f>
        <v/>
      </c>
      <c r="X1159" s="12">
        <f>IF(LEFT(I1159,2)="MV",2*N1159*IF(L1159="1/C",O1159,1),0)</f>
        <v/>
      </c>
      <c r="Y1159" s="12">
        <f>IF(OR(LEFT(K1159,4)="LVAX",LEFT(K1159,6)="MV15AX",LEFT(K1159,4)="CTAX",LEFT(K1159,2)="W|"),2*N1159*O1159,0)</f>
        <v/>
      </c>
      <c r="Z1159" s="12" t="inlineStr">
        <is>
          <t>device-to-JB field wiring, one cable per device</t>
        </is>
      </c>
      <c r="AA1159" s="12">
        <f>N1159*O1159</f>
        <v/>
      </c>
    </row>
    <row r="1160">
      <c r="A1160" s="12" t="inlineStr">
        <is>
          <t>A-I-0438</t>
        </is>
      </c>
      <c r="B1160" s="12" t="inlineStr">
        <is>
          <t>A</t>
        </is>
      </c>
      <c r="C1160" s="12" t="inlineStr">
        <is>
          <t>Power block</t>
        </is>
      </c>
      <c r="D1160" s="12" t="inlineStr">
        <is>
          <t>Home run JB-HRSG-3-AI08 to the control / marshalling room</t>
        </is>
      </c>
      <c r="E1160" s="12" t="inlineStr">
        <is>
          <t>R2C</t>
        </is>
      </c>
      <c r="F1160" s="12" t="inlineStr">
        <is>
          <t>R2C: unit / HRSG electrical e-house (32 x 40 ft)</t>
        </is>
      </c>
      <c r="G1160" s="12" t="inlineStr">
        <is>
          <t>JB-HRSG-3-AI08</t>
        </is>
      </c>
      <c r="H1160" s="12" t="inlineStr">
        <is>
          <t>HRSG 3 + SCR (3P reheat, horizontal)</t>
        </is>
      </c>
      <c r="I1160" s="12" t="inlineStr">
        <is>
          <t>Instrumentation</t>
        </is>
      </c>
      <c r="J1160" s="12" t="inlineStr">
        <is>
          <t>Instrumentation PLTC / TC-ER 300 V, #18 twisted shielded pairs, overall shield</t>
        </is>
      </c>
      <c r="K1160" s="12" t="inlineStr">
        <is>
          <t>PLTC|24 pr|18</t>
        </is>
      </c>
      <c r="L1160" s="12" t="inlineStr">
        <is>
          <t>24 pr</t>
        </is>
      </c>
      <c r="M1160" s="12" t="inlineStr">
        <is>
          <t>18</t>
        </is>
      </c>
      <c r="N1160" s="12" t="n">
        <v>1</v>
      </c>
      <c r="O1160" s="12" t="n">
        <v>1</v>
      </c>
      <c r="P1160" s="12" t="n"/>
      <c r="Q1160" s="12" t="n"/>
      <c r="R1160" s="12" t="n"/>
      <c r="S1160" s="12" t="inlineStr">
        <is>
          <t>Tray</t>
        </is>
      </c>
      <c r="T1160" s="16" t="n">
        <v>0</v>
      </c>
      <c r="U1160" s="16" t="n">
        <v>87</v>
      </c>
      <c r="V1160" s="16">
        <f>ROUNDUP((T1160+U1160+2*'Read Me'!$B$13)*(1+'Read Me'!$B$12),-1)</f>
        <v/>
      </c>
      <c r="W1160" s="16">
        <f>V1160*N1160*O1160</f>
        <v/>
      </c>
      <c r="X1160" s="12">
        <f>IF(LEFT(I1160,2)="MV",2*N1160*IF(L1160="1/C",O1160,1),0)</f>
        <v/>
      </c>
      <c r="Y1160" s="12">
        <f>IF(OR(LEFT(K1160,4)="LVAX",LEFT(K1160,6)="MV15AX",LEFT(K1160,4)="CTAX",LEFT(K1160,2)="W|"),2*N1160*O1160,0)</f>
        <v/>
      </c>
      <c r="Z1160" s="12" t="inlineStr"/>
      <c r="AA1160" s="12">
        <f>N1160*O1160</f>
        <v/>
      </c>
    </row>
    <row r="1161">
      <c r="A1161" s="12" t="inlineStr">
        <is>
          <t>A-I-0439</t>
        </is>
      </c>
      <c r="B1161" s="12" t="inlineStr">
        <is>
          <t>A</t>
        </is>
      </c>
      <c r="C1161" s="12" t="inlineStr">
        <is>
          <t>Power block</t>
        </is>
      </c>
      <c r="D1161" s="12" t="inlineStr">
        <is>
          <t>Discrete device to JB JB-HRSG-3-DI01: 20 x 1 pr (field cables)</t>
        </is>
      </c>
      <c r="E1161" s="12" t="inlineStr">
        <is>
          <t>HRSG-3</t>
        </is>
      </c>
      <c r="F1161" s="12" t="inlineStr">
        <is>
          <t>HRSG 3 + SCR (3P reheat, horizontal)</t>
        </is>
      </c>
      <c r="G1161" s="12" t="inlineStr">
        <is>
          <t>JB-HRSG-3-DI01</t>
        </is>
      </c>
      <c r="H1161" s="12" t="inlineStr">
        <is>
          <t>HRSG 3 + SCR (3P reheat, horizontal)</t>
        </is>
      </c>
      <c r="I1161" s="12" t="inlineStr">
        <is>
          <t>Instrumentation</t>
        </is>
      </c>
      <c r="J1161" s="12" t="inlineStr">
        <is>
          <t>Instrumentation PLTC / TC-ER 300 V, #18 twisted shielded pairs, overall shield</t>
        </is>
      </c>
      <c r="K1161" s="12" t="inlineStr">
        <is>
          <t>PLTC|1 pr|16</t>
        </is>
      </c>
      <c r="L1161" s="12" t="inlineStr">
        <is>
          <t>1 pr</t>
        </is>
      </c>
      <c r="M1161" s="12" t="inlineStr">
        <is>
          <t>16</t>
        </is>
      </c>
      <c r="N1161" s="12" t="n">
        <v>20</v>
      </c>
      <c r="O1161" s="12" t="n">
        <v>1</v>
      </c>
      <c r="P1161" s="12" t="n"/>
      <c r="Q1161" s="12" t="n"/>
      <c r="R1161" s="12" t="n"/>
      <c r="S1161" s="12" t="inlineStr">
        <is>
          <t>Tray / conduit</t>
        </is>
      </c>
      <c r="T1161" s="16" t="n">
        <v>180</v>
      </c>
      <c r="U1161" s="16" t="n">
        <v>10</v>
      </c>
      <c r="V1161" s="16">
        <f>ROUNDUP((T1161+U1161+2*'Read Me'!$B$13)*(1+'Read Me'!$B$12),-1)</f>
        <v/>
      </c>
      <c r="W1161" s="16">
        <f>V1161*N1161*O1161</f>
        <v/>
      </c>
      <c r="X1161" s="12">
        <f>IF(LEFT(I1161,2)="MV",2*N1161*IF(L1161="1/C",O1161,1),0)</f>
        <v/>
      </c>
      <c r="Y1161" s="12">
        <f>IF(OR(LEFT(K1161,4)="LVAX",LEFT(K1161,6)="MV15AX",LEFT(K1161,4)="CTAX",LEFT(K1161,2)="W|"),2*N1161*O1161,0)</f>
        <v/>
      </c>
      <c r="Z1161" s="12" t="inlineStr">
        <is>
          <t>device-to-JB field wiring, one cable per device</t>
        </is>
      </c>
      <c r="AA1161" s="12">
        <f>N1161*O1161</f>
        <v/>
      </c>
    </row>
    <row r="1162">
      <c r="A1162" s="12" t="inlineStr">
        <is>
          <t>A-I-0440</t>
        </is>
      </c>
      <c r="B1162" s="12" t="inlineStr">
        <is>
          <t>A</t>
        </is>
      </c>
      <c r="C1162" s="12" t="inlineStr">
        <is>
          <t>Power block</t>
        </is>
      </c>
      <c r="D1162" s="12" t="inlineStr">
        <is>
          <t>Home run JB-HRSG-3-DI01 to the control / marshalling room</t>
        </is>
      </c>
      <c r="E1162" s="12" t="inlineStr">
        <is>
          <t>R2C</t>
        </is>
      </c>
      <c r="F1162" s="12" t="inlineStr">
        <is>
          <t>R2C: unit / HRSG electrical e-house (32 x 40 ft)</t>
        </is>
      </c>
      <c r="G1162" s="12" t="inlineStr">
        <is>
          <t>JB-HRSG-3-DI01</t>
        </is>
      </c>
      <c r="H1162" s="12" t="inlineStr">
        <is>
          <t>HRSG 3 + SCR (3P reheat, horizontal)</t>
        </is>
      </c>
      <c r="I1162" s="12" t="inlineStr">
        <is>
          <t>Instrumentation</t>
        </is>
      </c>
      <c r="J1162" s="12" t="inlineStr">
        <is>
          <t>Instrumentation PLTC / TC-ER 300 V, #18 twisted shielded pairs, overall shield</t>
        </is>
      </c>
      <c r="K1162" s="12" t="inlineStr">
        <is>
          <t>PLTC|24 pr|18</t>
        </is>
      </c>
      <c r="L1162" s="12" t="inlineStr">
        <is>
          <t>24 pr</t>
        </is>
      </c>
      <c r="M1162" s="12" t="inlineStr">
        <is>
          <t>18</t>
        </is>
      </c>
      <c r="N1162" s="12" t="n">
        <v>1</v>
      </c>
      <c r="O1162" s="12" t="n">
        <v>1</v>
      </c>
      <c r="P1162" s="12" t="n"/>
      <c r="Q1162" s="12" t="n"/>
      <c r="R1162" s="12" t="n"/>
      <c r="S1162" s="12" t="inlineStr">
        <is>
          <t>Tray</t>
        </is>
      </c>
      <c r="T1162" s="16" t="n">
        <v>0</v>
      </c>
      <c r="U1162" s="16" t="n">
        <v>87</v>
      </c>
      <c r="V1162" s="16">
        <f>ROUNDUP((T1162+U1162+2*'Read Me'!$B$13)*(1+'Read Me'!$B$12),-1)</f>
        <v/>
      </c>
      <c r="W1162" s="16">
        <f>V1162*N1162*O1162</f>
        <v/>
      </c>
      <c r="X1162" s="12">
        <f>IF(LEFT(I1162,2)="MV",2*N1162*IF(L1162="1/C",O1162,1),0)</f>
        <v/>
      </c>
      <c r="Y1162" s="12">
        <f>IF(OR(LEFT(K1162,4)="LVAX",LEFT(K1162,6)="MV15AX",LEFT(K1162,4)="CTAX",LEFT(K1162,2)="W|"),2*N1162*O1162,0)</f>
        <v/>
      </c>
      <c r="Z1162" s="12" t="inlineStr"/>
      <c r="AA1162" s="12">
        <f>N1162*O1162</f>
        <v/>
      </c>
    </row>
    <row r="1163">
      <c r="A1163" s="12" t="inlineStr">
        <is>
          <t>A-I-0441</t>
        </is>
      </c>
      <c r="B1163" s="12" t="inlineStr">
        <is>
          <t>A</t>
        </is>
      </c>
      <c r="C1163" s="12" t="inlineStr">
        <is>
          <t>Power block</t>
        </is>
      </c>
      <c r="D1163" s="12" t="inlineStr">
        <is>
          <t>Discrete device to JB JB-HRSG-3-DI02: 20 x 1 pr (field cables)</t>
        </is>
      </c>
      <c r="E1163" s="12" t="inlineStr">
        <is>
          <t>HRSG-3</t>
        </is>
      </c>
      <c r="F1163" s="12" t="inlineStr">
        <is>
          <t>HRSG 3 + SCR (3P reheat, horizontal)</t>
        </is>
      </c>
      <c r="G1163" s="12" t="inlineStr">
        <is>
          <t>JB-HRSG-3-DI02</t>
        </is>
      </c>
      <c r="H1163" s="12" t="inlineStr">
        <is>
          <t>HRSG 3 + SCR (3P reheat, horizontal)</t>
        </is>
      </c>
      <c r="I1163" s="12" t="inlineStr">
        <is>
          <t>Instrumentation</t>
        </is>
      </c>
      <c r="J1163" s="12" t="inlineStr">
        <is>
          <t>Instrumentation PLTC / TC-ER 300 V, #18 twisted shielded pairs, overall shield</t>
        </is>
      </c>
      <c r="K1163" s="12" t="inlineStr">
        <is>
          <t>PLTC|1 pr|16</t>
        </is>
      </c>
      <c r="L1163" s="12" t="inlineStr">
        <is>
          <t>1 pr</t>
        </is>
      </c>
      <c r="M1163" s="12" t="inlineStr">
        <is>
          <t>16</t>
        </is>
      </c>
      <c r="N1163" s="12" t="n">
        <v>20</v>
      </c>
      <c r="O1163" s="12" t="n">
        <v>1</v>
      </c>
      <c r="P1163" s="12" t="n"/>
      <c r="Q1163" s="12" t="n"/>
      <c r="R1163" s="12" t="n"/>
      <c r="S1163" s="12" t="inlineStr">
        <is>
          <t>Tray / conduit</t>
        </is>
      </c>
      <c r="T1163" s="16" t="n">
        <v>180</v>
      </c>
      <c r="U1163" s="16" t="n">
        <v>10</v>
      </c>
      <c r="V1163" s="16">
        <f>ROUNDUP((T1163+U1163+2*'Read Me'!$B$13)*(1+'Read Me'!$B$12),-1)</f>
        <v/>
      </c>
      <c r="W1163" s="16">
        <f>V1163*N1163*O1163</f>
        <v/>
      </c>
      <c r="X1163" s="12">
        <f>IF(LEFT(I1163,2)="MV",2*N1163*IF(L1163="1/C",O1163,1),0)</f>
        <v/>
      </c>
      <c r="Y1163" s="12">
        <f>IF(OR(LEFT(K1163,4)="LVAX",LEFT(K1163,6)="MV15AX",LEFT(K1163,4)="CTAX",LEFT(K1163,2)="W|"),2*N1163*O1163,0)</f>
        <v/>
      </c>
      <c r="Z1163" s="12" t="inlineStr">
        <is>
          <t>device-to-JB field wiring, one cable per device</t>
        </is>
      </c>
      <c r="AA1163" s="12">
        <f>N1163*O1163</f>
        <v/>
      </c>
    </row>
    <row r="1164">
      <c r="A1164" s="12" t="inlineStr">
        <is>
          <t>A-I-0442</t>
        </is>
      </c>
      <c r="B1164" s="12" t="inlineStr">
        <is>
          <t>A</t>
        </is>
      </c>
      <c r="C1164" s="12" t="inlineStr">
        <is>
          <t>Power block</t>
        </is>
      </c>
      <c r="D1164" s="12" t="inlineStr">
        <is>
          <t>Home run JB-HRSG-3-DI02 to the control / marshalling room</t>
        </is>
      </c>
      <c r="E1164" s="12" t="inlineStr">
        <is>
          <t>R2C</t>
        </is>
      </c>
      <c r="F1164" s="12" t="inlineStr">
        <is>
          <t>R2C: unit / HRSG electrical e-house (32 x 40 ft)</t>
        </is>
      </c>
      <c r="G1164" s="12" t="inlineStr">
        <is>
          <t>JB-HRSG-3-DI02</t>
        </is>
      </c>
      <c r="H1164" s="12" t="inlineStr">
        <is>
          <t>HRSG 3 + SCR (3P reheat, horizontal)</t>
        </is>
      </c>
      <c r="I1164" s="12" t="inlineStr">
        <is>
          <t>Instrumentation</t>
        </is>
      </c>
      <c r="J1164" s="12" t="inlineStr">
        <is>
          <t>Instrumentation PLTC / TC-ER 300 V, #18 twisted shielded pairs, overall shield</t>
        </is>
      </c>
      <c r="K1164" s="12" t="inlineStr">
        <is>
          <t>PLTC|24 pr|18</t>
        </is>
      </c>
      <c r="L1164" s="12" t="inlineStr">
        <is>
          <t>24 pr</t>
        </is>
      </c>
      <c r="M1164" s="12" t="inlineStr">
        <is>
          <t>18</t>
        </is>
      </c>
      <c r="N1164" s="12" t="n">
        <v>1</v>
      </c>
      <c r="O1164" s="12" t="n">
        <v>1</v>
      </c>
      <c r="P1164" s="12" t="n"/>
      <c r="Q1164" s="12" t="n"/>
      <c r="R1164" s="12" t="n"/>
      <c r="S1164" s="12" t="inlineStr">
        <is>
          <t>Tray</t>
        </is>
      </c>
      <c r="T1164" s="16" t="n">
        <v>0</v>
      </c>
      <c r="U1164" s="16" t="n">
        <v>87</v>
      </c>
      <c r="V1164" s="16">
        <f>ROUNDUP((T1164+U1164+2*'Read Me'!$B$13)*(1+'Read Me'!$B$12),-1)</f>
        <v/>
      </c>
      <c r="W1164" s="16">
        <f>V1164*N1164*O1164</f>
        <v/>
      </c>
      <c r="X1164" s="12">
        <f>IF(LEFT(I1164,2)="MV",2*N1164*IF(L1164="1/C",O1164,1),0)</f>
        <v/>
      </c>
      <c r="Y1164" s="12">
        <f>IF(OR(LEFT(K1164,4)="LVAX",LEFT(K1164,6)="MV15AX",LEFT(K1164,4)="CTAX",LEFT(K1164,2)="W|"),2*N1164*O1164,0)</f>
        <v/>
      </c>
      <c r="Z1164" s="12" t="inlineStr"/>
      <c r="AA1164" s="12">
        <f>N1164*O1164</f>
        <v/>
      </c>
    </row>
    <row r="1165">
      <c r="A1165" s="12" t="inlineStr">
        <is>
          <t>A-I-0443</t>
        </is>
      </c>
      <c r="B1165" s="12" t="inlineStr">
        <is>
          <t>A</t>
        </is>
      </c>
      <c r="C1165" s="12" t="inlineStr">
        <is>
          <t>Power block</t>
        </is>
      </c>
      <c r="D1165" s="12" t="inlineStr">
        <is>
          <t>Discrete device to JB JB-HRSG-3-DI03: 20 x 1 pr (field cables)</t>
        </is>
      </c>
      <c r="E1165" s="12" t="inlineStr">
        <is>
          <t>HRSG-3</t>
        </is>
      </c>
      <c r="F1165" s="12" t="inlineStr">
        <is>
          <t>HRSG 3 + SCR (3P reheat, horizontal)</t>
        </is>
      </c>
      <c r="G1165" s="12" t="inlineStr">
        <is>
          <t>JB-HRSG-3-DI03</t>
        </is>
      </c>
      <c r="H1165" s="12" t="inlineStr">
        <is>
          <t>HRSG 3 + SCR (3P reheat, horizontal)</t>
        </is>
      </c>
      <c r="I1165" s="12" t="inlineStr">
        <is>
          <t>Instrumentation</t>
        </is>
      </c>
      <c r="J1165" s="12" t="inlineStr">
        <is>
          <t>Instrumentation PLTC / TC-ER 300 V, #18 twisted shielded pairs, overall shield</t>
        </is>
      </c>
      <c r="K1165" s="12" t="inlineStr">
        <is>
          <t>PLTC|1 pr|16</t>
        </is>
      </c>
      <c r="L1165" s="12" t="inlineStr">
        <is>
          <t>1 pr</t>
        </is>
      </c>
      <c r="M1165" s="12" t="inlineStr">
        <is>
          <t>16</t>
        </is>
      </c>
      <c r="N1165" s="12" t="n">
        <v>20</v>
      </c>
      <c r="O1165" s="12" t="n">
        <v>1</v>
      </c>
      <c r="P1165" s="12" t="n"/>
      <c r="Q1165" s="12" t="n"/>
      <c r="R1165" s="12" t="n"/>
      <c r="S1165" s="12" t="inlineStr">
        <is>
          <t>Tray / conduit</t>
        </is>
      </c>
      <c r="T1165" s="16" t="n">
        <v>180</v>
      </c>
      <c r="U1165" s="16" t="n">
        <v>10</v>
      </c>
      <c r="V1165" s="16">
        <f>ROUNDUP((T1165+U1165+2*'Read Me'!$B$13)*(1+'Read Me'!$B$12),-1)</f>
        <v/>
      </c>
      <c r="W1165" s="16">
        <f>V1165*N1165*O1165</f>
        <v/>
      </c>
      <c r="X1165" s="12">
        <f>IF(LEFT(I1165,2)="MV",2*N1165*IF(L1165="1/C",O1165,1),0)</f>
        <v/>
      </c>
      <c r="Y1165" s="12">
        <f>IF(OR(LEFT(K1165,4)="LVAX",LEFT(K1165,6)="MV15AX",LEFT(K1165,4)="CTAX",LEFT(K1165,2)="W|"),2*N1165*O1165,0)</f>
        <v/>
      </c>
      <c r="Z1165" s="12" t="inlineStr">
        <is>
          <t>device-to-JB field wiring, one cable per device</t>
        </is>
      </c>
      <c r="AA1165" s="12">
        <f>N1165*O1165</f>
        <v/>
      </c>
    </row>
    <row r="1166">
      <c r="A1166" s="12" t="inlineStr">
        <is>
          <t>A-I-0444</t>
        </is>
      </c>
      <c r="B1166" s="12" t="inlineStr">
        <is>
          <t>A</t>
        </is>
      </c>
      <c r="C1166" s="12" t="inlineStr">
        <is>
          <t>Power block</t>
        </is>
      </c>
      <c r="D1166" s="12" t="inlineStr">
        <is>
          <t>Home run JB-HRSG-3-DI03 to the control / marshalling room</t>
        </is>
      </c>
      <c r="E1166" s="12" t="inlineStr">
        <is>
          <t>R2C</t>
        </is>
      </c>
      <c r="F1166" s="12" t="inlineStr">
        <is>
          <t>R2C: unit / HRSG electrical e-house (32 x 40 ft)</t>
        </is>
      </c>
      <c r="G1166" s="12" t="inlineStr">
        <is>
          <t>JB-HRSG-3-DI03</t>
        </is>
      </c>
      <c r="H1166" s="12" t="inlineStr">
        <is>
          <t>HRSG 3 + SCR (3P reheat, horizontal)</t>
        </is>
      </c>
      <c r="I1166" s="12" t="inlineStr">
        <is>
          <t>Instrumentation</t>
        </is>
      </c>
      <c r="J1166" s="12" t="inlineStr">
        <is>
          <t>Instrumentation PLTC / TC-ER 300 V, #18 twisted shielded pairs, overall shield</t>
        </is>
      </c>
      <c r="K1166" s="12" t="inlineStr">
        <is>
          <t>PLTC|24 pr|18</t>
        </is>
      </c>
      <c r="L1166" s="12" t="inlineStr">
        <is>
          <t>24 pr</t>
        </is>
      </c>
      <c r="M1166" s="12" t="inlineStr">
        <is>
          <t>18</t>
        </is>
      </c>
      <c r="N1166" s="12" t="n">
        <v>1</v>
      </c>
      <c r="O1166" s="12" t="n">
        <v>1</v>
      </c>
      <c r="P1166" s="12" t="n"/>
      <c r="Q1166" s="12" t="n"/>
      <c r="R1166" s="12" t="n"/>
      <c r="S1166" s="12" t="inlineStr">
        <is>
          <t>Tray</t>
        </is>
      </c>
      <c r="T1166" s="16" t="n">
        <v>0</v>
      </c>
      <c r="U1166" s="16" t="n">
        <v>87</v>
      </c>
      <c r="V1166" s="16">
        <f>ROUNDUP((T1166+U1166+2*'Read Me'!$B$13)*(1+'Read Me'!$B$12),-1)</f>
        <v/>
      </c>
      <c r="W1166" s="16">
        <f>V1166*N1166*O1166</f>
        <v/>
      </c>
      <c r="X1166" s="12">
        <f>IF(LEFT(I1166,2)="MV",2*N1166*IF(L1166="1/C",O1166,1),0)</f>
        <v/>
      </c>
      <c r="Y1166" s="12">
        <f>IF(OR(LEFT(K1166,4)="LVAX",LEFT(K1166,6)="MV15AX",LEFT(K1166,4)="CTAX",LEFT(K1166,2)="W|"),2*N1166*O1166,0)</f>
        <v/>
      </c>
      <c r="Z1166" s="12" t="inlineStr"/>
      <c r="AA1166" s="12">
        <f>N1166*O1166</f>
        <v/>
      </c>
    </row>
    <row r="1167">
      <c r="A1167" s="12" t="inlineStr">
        <is>
          <t>A-I-0445</t>
        </is>
      </c>
      <c r="B1167" s="12" t="inlineStr">
        <is>
          <t>A</t>
        </is>
      </c>
      <c r="C1167" s="12" t="inlineStr">
        <is>
          <t>Power block</t>
        </is>
      </c>
      <c r="D1167" s="12" t="inlineStr">
        <is>
          <t>Discrete device to JB JB-HRSG-3-DI04: 20 x 1 pr (field cables)</t>
        </is>
      </c>
      <c r="E1167" s="12" t="inlineStr">
        <is>
          <t>HRSG-3</t>
        </is>
      </c>
      <c r="F1167" s="12" t="inlineStr">
        <is>
          <t>HRSG 3 + SCR (3P reheat, horizontal)</t>
        </is>
      </c>
      <c r="G1167" s="12" t="inlineStr">
        <is>
          <t>JB-HRSG-3-DI04</t>
        </is>
      </c>
      <c r="H1167" s="12" t="inlineStr">
        <is>
          <t>HRSG 3 + SCR (3P reheat, horizontal)</t>
        </is>
      </c>
      <c r="I1167" s="12" t="inlineStr">
        <is>
          <t>Instrumentation</t>
        </is>
      </c>
      <c r="J1167" s="12" t="inlineStr">
        <is>
          <t>Instrumentation PLTC / TC-ER 300 V, #18 twisted shielded pairs, overall shield</t>
        </is>
      </c>
      <c r="K1167" s="12" t="inlineStr">
        <is>
          <t>PLTC|1 pr|16</t>
        </is>
      </c>
      <c r="L1167" s="12" t="inlineStr">
        <is>
          <t>1 pr</t>
        </is>
      </c>
      <c r="M1167" s="12" t="inlineStr">
        <is>
          <t>16</t>
        </is>
      </c>
      <c r="N1167" s="12" t="n">
        <v>20</v>
      </c>
      <c r="O1167" s="12" t="n">
        <v>1</v>
      </c>
      <c r="P1167" s="12" t="n"/>
      <c r="Q1167" s="12" t="n"/>
      <c r="R1167" s="12" t="n"/>
      <c r="S1167" s="12" t="inlineStr">
        <is>
          <t>Tray / conduit</t>
        </is>
      </c>
      <c r="T1167" s="16" t="n">
        <v>180</v>
      </c>
      <c r="U1167" s="16" t="n">
        <v>10</v>
      </c>
      <c r="V1167" s="16">
        <f>ROUNDUP((T1167+U1167+2*'Read Me'!$B$13)*(1+'Read Me'!$B$12),-1)</f>
        <v/>
      </c>
      <c r="W1167" s="16">
        <f>V1167*N1167*O1167</f>
        <v/>
      </c>
      <c r="X1167" s="12">
        <f>IF(LEFT(I1167,2)="MV",2*N1167*IF(L1167="1/C",O1167,1),0)</f>
        <v/>
      </c>
      <c r="Y1167" s="12">
        <f>IF(OR(LEFT(K1167,4)="LVAX",LEFT(K1167,6)="MV15AX",LEFT(K1167,4)="CTAX",LEFT(K1167,2)="W|"),2*N1167*O1167,0)</f>
        <v/>
      </c>
      <c r="Z1167" s="12" t="inlineStr">
        <is>
          <t>device-to-JB field wiring, one cable per device</t>
        </is>
      </c>
      <c r="AA1167" s="12">
        <f>N1167*O1167</f>
        <v/>
      </c>
    </row>
    <row r="1168">
      <c r="A1168" s="12" t="inlineStr">
        <is>
          <t>A-I-0446</t>
        </is>
      </c>
      <c r="B1168" s="12" t="inlineStr">
        <is>
          <t>A</t>
        </is>
      </c>
      <c r="C1168" s="12" t="inlineStr">
        <is>
          <t>Power block</t>
        </is>
      </c>
      <c r="D1168" s="12" t="inlineStr">
        <is>
          <t>Home run JB-HRSG-3-DI04 to the control / marshalling room</t>
        </is>
      </c>
      <c r="E1168" s="12" t="inlineStr">
        <is>
          <t>R2C</t>
        </is>
      </c>
      <c r="F1168" s="12" t="inlineStr">
        <is>
          <t>R2C: unit / HRSG electrical e-house (32 x 40 ft)</t>
        </is>
      </c>
      <c r="G1168" s="12" t="inlineStr">
        <is>
          <t>JB-HRSG-3-DI04</t>
        </is>
      </c>
      <c r="H1168" s="12" t="inlineStr">
        <is>
          <t>HRSG 3 + SCR (3P reheat, horizontal)</t>
        </is>
      </c>
      <c r="I1168" s="12" t="inlineStr">
        <is>
          <t>Instrumentation</t>
        </is>
      </c>
      <c r="J1168" s="12" t="inlineStr">
        <is>
          <t>Instrumentation PLTC / TC-ER 300 V, #18 twisted shielded pairs, overall shield</t>
        </is>
      </c>
      <c r="K1168" s="12" t="inlineStr">
        <is>
          <t>PLTC|24 pr|18</t>
        </is>
      </c>
      <c r="L1168" s="12" t="inlineStr">
        <is>
          <t>24 pr</t>
        </is>
      </c>
      <c r="M1168" s="12" t="inlineStr">
        <is>
          <t>18</t>
        </is>
      </c>
      <c r="N1168" s="12" t="n">
        <v>1</v>
      </c>
      <c r="O1168" s="12" t="n">
        <v>1</v>
      </c>
      <c r="P1168" s="12" t="n"/>
      <c r="Q1168" s="12" t="n"/>
      <c r="R1168" s="12" t="n"/>
      <c r="S1168" s="12" t="inlineStr">
        <is>
          <t>Tray</t>
        </is>
      </c>
      <c r="T1168" s="16" t="n">
        <v>0</v>
      </c>
      <c r="U1168" s="16" t="n">
        <v>87</v>
      </c>
      <c r="V1168" s="16">
        <f>ROUNDUP((T1168+U1168+2*'Read Me'!$B$13)*(1+'Read Me'!$B$12),-1)</f>
        <v/>
      </c>
      <c r="W1168" s="16">
        <f>V1168*N1168*O1168</f>
        <v/>
      </c>
      <c r="X1168" s="12">
        <f>IF(LEFT(I1168,2)="MV",2*N1168*IF(L1168="1/C",O1168,1),0)</f>
        <v/>
      </c>
      <c r="Y1168" s="12">
        <f>IF(OR(LEFT(K1168,4)="LVAX",LEFT(K1168,6)="MV15AX",LEFT(K1168,4)="CTAX",LEFT(K1168,2)="W|"),2*N1168*O1168,0)</f>
        <v/>
      </c>
      <c r="Z1168" s="12" t="inlineStr"/>
      <c r="AA1168" s="12">
        <f>N1168*O1168</f>
        <v/>
      </c>
    </row>
    <row r="1169">
      <c r="A1169" s="12" t="inlineStr">
        <is>
          <t>A-I-0447</t>
        </is>
      </c>
      <c r="B1169" s="12" t="inlineStr">
        <is>
          <t>A</t>
        </is>
      </c>
      <c r="C1169" s="12" t="inlineStr">
        <is>
          <t>Power block</t>
        </is>
      </c>
      <c r="D1169" s="12" t="inlineStr">
        <is>
          <t>Thermocouple to TC JB JB-HRSG-3-TC01: 20 x 1 pr (field cables)</t>
        </is>
      </c>
      <c r="E1169" s="12" t="inlineStr">
        <is>
          <t>HRSG-3</t>
        </is>
      </c>
      <c r="F1169" s="12" t="inlineStr">
        <is>
          <t>HRSG 3 + SCR (3P reheat, horizontal)</t>
        </is>
      </c>
      <c r="G1169" s="12" t="inlineStr">
        <is>
          <t>JB-HRSG-3-TC01</t>
        </is>
      </c>
      <c r="H1169" s="12" t="inlineStr">
        <is>
          <t>HRSG 3 + SCR (3P reheat, horizontal)</t>
        </is>
      </c>
      <c r="I1169" s="12" t="inlineStr">
        <is>
          <t>Instrumentation</t>
        </is>
      </c>
      <c r="J1169" s="12" t="inlineStr">
        <is>
          <t>Thermocouple extension KX, #16 shielded pairs, PLTC</t>
        </is>
      </c>
      <c r="K1169" s="12" t="inlineStr">
        <is>
          <t>TCX|1 pr|16</t>
        </is>
      </c>
      <c r="L1169" s="12" t="inlineStr">
        <is>
          <t>1 pr</t>
        </is>
      </c>
      <c r="M1169" s="12" t="inlineStr">
        <is>
          <t>16</t>
        </is>
      </c>
      <c r="N1169" s="12" t="n">
        <v>20</v>
      </c>
      <c r="O1169" s="12" t="n">
        <v>1</v>
      </c>
      <c r="P1169" s="12" t="n"/>
      <c r="Q1169" s="12" t="n"/>
      <c r="R1169" s="12" t="n"/>
      <c r="S1169" s="12" t="inlineStr">
        <is>
          <t>Tray / conduit</t>
        </is>
      </c>
      <c r="T1169" s="16" t="n">
        <v>180</v>
      </c>
      <c r="U1169" s="16" t="n">
        <v>10</v>
      </c>
      <c r="V1169" s="16">
        <f>ROUNDUP((T1169+U1169+2*'Read Me'!$B$13)*(1+'Read Me'!$B$12),-1)</f>
        <v/>
      </c>
      <c r="W1169" s="16">
        <f>V1169*N1169*O1169</f>
        <v/>
      </c>
      <c r="X1169" s="12">
        <f>IF(LEFT(I1169,2)="MV",2*N1169*IF(L1169="1/C",O1169,1),0)</f>
        <v/>
      </c>
      <c r="Y1169" s="12">
        <f>IF(OR(LEFT(K1169,4)="LVAX",LEFT(K1169,6)="MV15AX",LEFT(K1169,4)="CTAX",LEFT(K1169,2)="W|"),2*N1169*O1169,0)</f>
        <v/>
      </c>
      <c r="Z1169" s="12" t="inlineStr">
        <is>
          <t>device-to-JB field wiring, one cable per device</t>
        </is>
      </c>
      <c r="AA1169" s="12">
        <f>N1169*O1169</f>
        <v/>
      </c>
    </row>
    <row r="1170">
      <c r="A1170" s="12" t="inlineStr">
        <is>
          <t>A-I-0448</t>
        </is>
      </c>
      <c r="B1170" s="12" t="inlineStr">
        <is>
          <t>A</t>
        </is>
      </c>
      <c r="C1170" s="12" t="inlineStr">
        <is>
          <t>Power block</t>
        </is>
      </c>
      <c r="D1170" s="12" t="inlineStr">
        <is>
          <t>Home run JB-HRSG-3-TC01 to the control / marshalling room</t>
        </is>
      </c>
      <c r="E1170" s="12" t="inlineStr">
        <is>
          <t>R2C</t>
        </is>
      </c>
      <c r="F1170" s="12" t="inlineStr">
        <is>
          <t>R2C: unit / HRSG electrical e-house (32 x 40 ft)</t>
        </is>
      </c>
      <c r="G1170" s="12" t="inlineStr">
        <is>
          <t>JB-HRSG-3-TC01</t>
        </is>
      </c>
      <c r="H1170" s="12" t="inlineStr">
        <is>
          <t>HRSG 3 + SCR (3P reheat, horizontal)</t>
        </is>
      </c>
      <c r="I1170" s="12" t="inlineStr">
        <is>
          <t>Instrumentation</t>
        </is>
      </c>
      <c r="J1170" s="12" t="inlineStr">
        <is>
          <t>Thermocouple extension KX, #16 shielded pairs, PLTC</t>
        </is>
      </c>
      <c r="K1170" s="12" t="inlineStr">
        <is>
          <t>TCX|24 pr|16</t>
        </is>
      </c>
      <c r="L1170" s="12" t="inlineStr">
        <is>
          <t>24 pr</t>
        </is>
      </c>
      <c r="M1170" s="12" t="inlineStr">
        <is>
          <t>16</t>
        </is>
      </c>
      <c r="N1170" s="12" t="n">
        <v>1</v>
      </c>
      <c r="O1170" s="12" t="n">
        <v>1</v>
      </c>
      <c r="P1170" s="12" t="n"/>
      <c r="Q1170" s="12" t="n"/>
      <c r="R1170" s="12" t="n"/>
      <c r="S1170" s="12" t="inlineStr">
        <is>
          <t>Tray</t>
        </is>
      </c>
      <c r="T1170" s="16" t="n">
        <v>0</v>
      </c>
      <c r="U1170" s="16" t="n">
        <v>87</v>
      </c>
      <c r="V1170" s="16">
        <f>ROUNDUP((T1170+U1170+2*'Read Me'!$B$13)*(1+'Read Me'!$B$12),-1)</f>
        <v/>
      </c>
      <c r="W1170" s="16">
        <f>V1170*N1170*O1170</f>
        <v/>
      </c>
      <c r="X1170" s="12">
        <f>IF(LEFT(I1170,2)="MV",2*N1170*IF(L1170="1/C",O1170,1),0)</f>
        <v/>
      </c>
      <c r="Y1170" s="12">
        <f>IF(OR(LEFT(K1170,4)="LVAX",LEFT(K1170,6)="MV15AX",LEFT(K1170,4)="CTAX",LEFT(K1170,2)="W|"),2*N1170*O1170,0)</f>
        <v/>
      </c>
      <c r="Z1170" s="12" t="inlineStr"/>
      <c r="AA1170" s="12">
        <f>N1170*O1170</f>
        <v/>
      </c>
    </row>
    <row r="1171">
      <c r="A1171" s="12" t="inlineStr">
        <is>
          <t>A-I-0449</t>
        </is>
      </c>
      <c r="B1171" s="12" t="inlineStr">
        <is>
          <t>A</t>
        </is>
      </c>
      <c r="C1171" s="12" t="inlineStr">
        <is>
          <t>Power block</t>
        </is>
      </c>
      <c r="D1171" s="12" t="inlineStr">
        <is>
          <t>Thermocouple to TC JB JB-HRSG-3-TC02: 20 x 1 pr (field cables)</t>
        </is>
      </c>
      <c r="E1171" s="12" t="inlineStr">
        <is>
          <t>HRSG-3</t>
        </is>
      </c>
      <c r="F1171" s="12" t="inlineStr">
        <is>
          <t>HRSG 3 + SCR (3P reheat, horizontal)</t>
        </is>
      </c>
      <c r="G1171" s="12" t="inlineStr">
        <is>
          <t>JB-HRSG-3-TC02</t>
        </is>
      </c>
      <c r="H1171" s="12" t="inlineStr">
        <is>
          <t>HRSG 3 + SCR (3P reheat, horizontal)</t>
        </is>
      </c>
      <c r="I1171" s="12" t="inlineStr">
        <is>
          <t>Instrumentation</t>
        </is>
      </c>
      <c r="J1171" s="12" t="inlineStr">
        <is>
          <t>Thermocouple extension KX, #16 shielded pairs, PLTC</t>
        </is>
      </c>
      <c r="K1171" s="12" t="inlineStr">
        <is>
          <t>TCX|1 pr|16</t>
        </is>
      </c>
      <c r="L1171" s="12" t="inlineStr">
        <is>
          <t>1 pr</t>
        </is>
      </c>
      <c r="M1171" s="12" t="inlineStr">
        <is>
          <t>16</t>
        </is>
      </c>
      <c r="N1171" s="12" t="n">
        <v>20</v>
      </c>
      <c r="O1171" s="12" t="n">
        <v>1</v>
      </c>
      <c r="P1171" s="12" t="n"/>
      <c r="Q1171" s="12" t="n"/>
      <c r="R1171" s="12" t="n"/>
      <c r="S1171" s="12" t="inlineStr">
        <is>
          <t>Tray / conduit</t>
        </is>
      </c>
      <c r="T1171" s="16" t="n">
        <v>180</v>
      </c>
      <c r="U1171" s="16" t="n">
        <v>10</v>
      </c>
      <c r="V1171" s="16">
        <f>ROUNDUP((T1171+U1171+2*'Read Me'!$B$13)*(1+'Read Me'!$B$12),-1)</f>
        <v/>
      </c>
      <c r="W1171" s="16">
        <f>V1171*N1171*O1171</f>
        <v/>
      </c>
      <c r="X1171" s="12">
        <f>IF(LEFT(I1171,2)="MV",2*N1171*IF(L1171="1/C",O1171,1),0)</f>
        <v/>
      </c>
      <c r="Y1171" s="12">
        <f>IF(OR(LEFT(K1171,4)="LVAX",LEFT(K1171,6)="MV15AX",LEFT(K1171,4)="CTAX",LEFT(K1171,2)="W|"),2*N1171*O1171,0)</f>
        <v/>
      </c>
      <c r="Z1171" s="12" t="inlineStr">
        <is>
          <t>device-to-JB field wiring, one cable per device</t>
        </is>
      </c>
      <c r="AA1171" s="12">
        <f>N1171*O1171</f>
        <v/>
      </c>
    </row>
    <row r="1172">
      <c r="A1172" s="12" t="inlineStr">
        <is>
          <t>A-I-0450</t>
        </is>
      </c>
      <c r="B1172" s="12" t="inlineStr">
        <is>
          <t>A</t>
        </is>
      </c>
      <c r="C1172" s="12" t="inlineStr">
        <is>
          <t>Power block</t>
        </is>
      </c>
      <c r="D1172" s="12" t="inlineStr">
        <is>
          <t>Home run JB-HRSG-3-TC02 to the control / marshalling room</t>
        </is>
      </c>
      <c r="E1172" s="12" t="inlineStr">
        <is>
          <t>R2C</t>
        </is>
      </c>
      <c r="F1172" s="12" t="inlineStr">
        <is>
          <t>R2C: unit / HRSG electrical e-house (32 x 40 ft)</t>
        </is>
      </c>
      <c r="G1172" s="12" t="inlineStr">
        <is>
          <t>JB-HRSG-3-TC02</t>
        </is>
      </c>
      <c r="H1172" s="12" t="inlineStr">
        <is>
          <t>HRSG 3 + SCR (3P reheat, horizontal)</t>
        </is>
      </c>
      <c r="I1172" s="12" t="inlineStr">
        <is>
          <t>Instrumentation</t>
        </is>
      </c>
      <c r="J1172" s="12" t="inlineStr">
        <is>
          <t>Thermocouple extension KX, #16 shielded pairs, PLTC</t>
        </is>
      </c>
      <c r="K1172" s="12" t="inlineStr">
        <is>
          <t>TCX|24 pr|16</t>
        </is>
      </c>
      <c r="L1172" s="12" t="inlineStr">
        <is>
          <t>24 pr</t>
        </is>
      </c>
      <c r="M1172" s="12" t="inlineStr">
        <is>
          <t>16</t>
        </is>
      </c>
      <c r="N1172" s="12" t="n">
        <v>1</v>
      </c>
      <c r="O1172" s="12" t="n">
        <v>1</v>
      </c>
      <c r="P1172" s="12" t="n"/>
      <c r="Q1172" s="12" t="n"/>
      <c r="R1172" s="12" t="n"/>
      <c r="S1172" s="12" t="inlineStr">
        <is>
          <t>Tray</t>
        </is>
      </c>
      <c r="T1172" s="16" t="n">
        <v>0</v>
      </c>
      <c r="U1172" s="16" t="n">
        <v>87</v>
      </c>
      <c r="V1172" s="16">
        <f>ROUNDUP((T1172+U1172+2*'Read Me'!$B$13)*(1+'Read Me'!$B$12),-1)</f>
        <v/>
      </c>
      <c r="W1172" s="16">
        <f>V1172*N1172*O1172</f>
        <v/>
      </c>
      <c r="X1172" s="12">
        <f>IF(LEFT(I1172,2)="MV",2*N1172*IF(L1172="1/C",O1172,1),0)</f>
        <v/>
      </c>
      <c r="Y1172" s="12">
        <f>IF(OR(LEFT(K1172,4)="LVAX",LEFT(K1172,6)="MV15AX",LEFT(K1172,4)="CTAX",LEFT(K1172,2)="W|"),2*N1172*O1172,0)</f>
        <v/>
      </c>
      <c r="Z1172" s="12" t="inlineStr"/>
      <c r="AA1172" s="12">
        <f>N1172*O1172</f>
        <v/>
      </c>
    </row>
    <row r="1173">
      <c r="A1173" s="12" t="inlineStr">
        <is>
          <t>A-I-0451</t>
        </is>
      </c>
      <c r="B1173" s="12" t="inlineStr">
        <is>
          <t>A</t>
        </is>
      </c>
      <c r="C1173" s="12" t="inlineStr">
        <is>
          <t>Power block</t>
        </is>
      </c>
      <c r="D1173" s="12" t="inlineStr">
        <is>
          <t>Thermocouple to TC JB JB-HRSG-3-TC03: 20 x 1 pr (field cables)</t>
        </is>
      </c>
      <c r="E1173" s="12" t="inlineStr">
        <is>
          <t>HRSG-3</t>
        </is>
      </c>
      <c r="F1173" s="12" t="inlineStr">
        <is>
          <t>HRSG 3 + SCR (3P reheat, horizontal)</t>
        </is>
      </c>
      <c r="G1173" s="12" t="inlineStr">
        <is>
          <t>JB-HRSG-3-TC03</t>
        </is>
      </c>
      <c r="H1173" s="12" t="inlineStr">
        <is>
          <t>HRSG 3 + SCR (3P reheat, horizontal)</t>
        </is>
      </c>
      <c r="I1173" s="12" t="inlineStr">
        <is>
          <t>Instrumentation</t>
        </is>
      </c>
      <c r="J1173" s="12" t="inlineStr">
        <is>
          <t>Thermocouple extension KX, #16 shielded pairs, PLTC</t>
        </is>
      </c>
      <c r="K1173" s="12" t="inlineStr">
        <is>
          <t>TCX|1 pr|16</t>
        </is>
      </c>
      <c r="L1173" s="12" t="inlineStr">
        <is>
          <t>1 pr</t>
        </is>
      </c>
      <c r="M1173" s="12" t="inlineStr">
        <is>
          <t>16</t>
        </is>
      </c>
      <c r="N1173" s="12" t="n">
        <v>20</v>
      </c>
      <c r="O1173" s="12" t="n">
        <v>1</v>
      </c>
      <c r="P1173" s="12" t="n"/>
      <c r="Q1173" s="12" t="n"/>
      <c r="R1173" s="12" t="n"/>
      <c r="S1173" s="12" t="inlineStr">
        <is>
          <t>Tray / conduit</t>
        </is>
      </c>
      <c r="T1173" s="16" t="n">
        <v>180</v>
      </c>
      <c r="U1173" s="16" t="n">
        <v>10</v>
      </c>
      <c r="V1173" s="16">
        <f>ROUNDUP((T1173+U1173+2*'Read Me'!$B$13)*(1+'Read Me'!$B$12),-1)</f>
        <v/>
      </c>
      <c r="W1173" s="16">
        <f>V1173*N1173*O1173</f>
        <v/>
      </c>
      <c r="X1173" s="12">
        <f>IF(LEFT(I1173,2)="MV",2*N1173*IF(L1173="1/C",O1173,1),0)</f>
        <v/>
      </c>
      <c r="Y1173" s="12">
        <f>IF(OR(LEFT(K1173,4)="LVAX",LEFT(K1173,6)="MV15AX",LEFT(K1173,4)="CTAX",LEFT(K1173,2)="W|"),2*N1173*O1173,0)</f>
        <v/>
      </c>
      <c r="Z1173" s="12" t="inlineStr">
        <is>
          <t>device-to-JB field wiring, one cable per device</t>
        </is>
      </c>
      <c r="AA1173" s="12">
        <f>N1173*O1173</f>
        <v/>
      </c>
    </row>
    <row r="1174">
      <c r="A1174" s="12" t="inlineStr">
        <is>
          <t>A-I-0452</t>
        </is>
      </c>
      <c r="B1174" s="12" t="inlineStr">
        <is>
          <t>A</t>
        </is>
      </c>
      <c r="C1174" s="12" t="inlineStr">
        <is>
          <t>Power block</t>
        </is>
      </c>
      <c r="D1174" s="12" t="inlineStr">
        <is>
          <t>Home run JB-HRSG-3-TC03 to the control / marshalling room</t>
        </is>
      </c>
      <c r="E1174" s="12" t="inlineStr">
        <is>
          <t>R2C</t>
        </is>
      </c>
      <c r="F1174" s="12" t="inlineStr">
        <is>
          <t>R2C: unit / HRSG electrical e-house (32 x 40 ft)</t>
        </is>
      </c>
      <c r="G1174" s="12" t="inlineStr">
        <is>
          <t>JB-HRSG-3-TC03</t>
        </is>
      </c>
      <c r="H1174" s="12" t="inlineStr">
        <is>
          <t>HRSG 3 + SCR (3P reheat, horizontal)</t>
        </is>
      </c>
      <c r="I1174" s="12" t="inlineStr">
        <is>
          <t>Instrumentation</t>
        </is>
      </c>
      <c r="J1174" s="12" t="inlineStr">
        <is>
          <t>Thermocouple extension KX, #16 shielded pairs, PLTC</t>
        </is>
      </c>
      <c r="K1174" s="12" t="inlineStr">
        <is>
          <t>TCX|24 pr|16</t>
        </is>
      </c>
      <c r="L1174" s="12" t="inlineStr">
        <is>
          <t>24 pr</t>
        </is>
      </c>
      <c r="M1174" s="12" t="inlineStr">
        <is>
          <t>16</t>
        </is>
      </c>
      <c r="N1174" s="12" t="n">
        <v>1</v>
      </c>
      <c r="O1174" s="12" t="n">
        <v>1</v>
      </c>
      <c r="P1174" s="12" t="n"/>
      <c r="Q1174" s="12" t="n"/>
      <c r="R1174" s="12" t="n"/>
      <c r="S1174" s="12" t="inlineStr">
        <is>
          <t>Tray</t>
        </is>
      </c>
      <c r="T1174" s="16" t="n">
        <v>0</v>
      </c>
      <c r="U1174" s="16" t="n">
        <v>87</v>
      </c>
      <c r="V1174" s="16">
        <f>ROUNDUP((T1174+U1174+2*'Read Me'!$B$13)*(1+'Read Me'!$B$12),-1)</f>
        <v/>
      </c>
      <c r="W1174" s="16">
        <f>V1174*N1174*O1174</f>
        <v/>
      </c>
      <c r="X1174" s="12">
        <f>IF(LEFT(I1174,2)="MV",2*N1174*IF(L1174="1/C",O1174,1),0)</f>
        <v/>
      </c>
      <c r="Y1174" s="12">
        <f>IF(OR(LEFT(K1174,4)="LVAX",LEFT(K1174,6)="MV15AX",LEFT(K1174,4)="CTAX",LEFT(K1174,2)="W|"),2*N1174*O1174,0)</f>
        <v/>
      </c>
      <c r="Z1174" s="12" t="inlineStr"/>
      <c r="AA1174" s="12">
        <f>N1174*O1174</f>
        <v/>
      </c>
    </row>
    <row r="1175">
      <c r="A1175" s="12" t="inlineStr">
        <is>
          <t>A-I-0453</t>
        </is>
      </c>
      <c r="B1175" s="12" t="inlineStr">
        <is>
          <t>A</t>
        </is>
      </c>
      <c r="C1175" s="12" t="inlineStr">
        <is>
          <t>Power block</t>
        </is>
      </c>
      <c r="D1175" s="12" t="inlineStr">
        <is>
          <t>Thermocouple to TC JB JB-HRSG-3-TC04: 20 x 1 pr (field cables)</t>
        </is>
      </c>
      <c r="E1175" s="12" t="inlineStr">
        <is>
          <t>HRSG-3</t>
        </is>
      </c>
      <c r="F1175" s="12" t="inlineStr">
        <is>
          <t>HRSG 3 + SCR (3P reheat, horizontal)</t>
        </is>
      </c>
      <c r="G1175" s="12" t="inlineStr">
        <is>
          <t>JB-HRSG-3-TC04</t>
        </is>
      </c>
      <c r="H1175" s="12" t="inlineStr">
        <is>
          <t>HRSG 3 + SCR (3P reheat, horizontal)</t>
        </is>
      </c>
      <c r="I1175" s="12" t="inlineStr">
        <is>
          <t>Instrumentation</t>
        </is>
      </c>
      <c r="J1175" s="12" t="inlineStr">
        <is>
          <t>Thermocouple extension KX, #16 shielded pairs, PLTC</t>
        </is>
      </c>
      <c r="K1175" s="12" t="inlineStr">
        <is>
          <t>TCX|1 pr|16</t>
        </is>
      </c>
      <c r="L1175" s="12" t="inlineStr">
        <is>
          <t>1 pr</t>
        </is>
      </c>
      <c r="M1175" s="12" t="inlineStr">
        <is>
          <t>16</t>
        </is>
      </c>
      <c r="N1175" s="12" t="n">
        <v>20</v>
      </c>
      <c r="O1175" s="12" t="n">
        <v>1</v>
      </c>
      <c r="P1175" s="12" t="n"/>
      <c r="Q1175" s="12" t="n"/>
      <c r="R1175" s="12" t="n"/>
      <c r="S1175" s="12" t="inlineStr">
        <is>
          <t>Tray / conduit</t>
        </is>
      </c>
      <c r="T1175" s="16" t="n">
        <v>180</v>
      </c>
      <c r="U1175" s="16" t="n">
        <v>10</v>
      </c>
      <c r="V1175" s="16">
        <f>ROUNDUP((T1175+U1175+2*'Read Me'!$B$13)*(1+'Read Me'!$B$12),-1)</f>
        <v/>
      </c>
      <c r="W1175" s="16">
        <f>V1175*N1175*O1175</f>
        <v/>
      </c>
      <c r="X1175" s="12">
        <f>IF(LEFT(I1175,2)="MV",2*N1175*IF(L1175="1/C",O1175,1),0)</f>
        <v/>
      </c>
      <c r="Y1175" s="12">
        <f>IF(OR(LEFT(K1175,4)="LVAX",LEFT(K1175,6)="MV15AX",LEFT(K1175,4)="CTAX",LEFT(K1175,2)="W|"),2*N1175*O1175,0)</f>
        <v/>
      </c>
      <c r="Z1175" s="12" t="inlineStr">
        <is>
          <t>device-to-JB field wiring, one cable per device</t>
        </is>
      </c>
      <c r="AA1175" s="12">
        <f>N1175*O1175</f>
        <v/>
      </c>
    </row>
    <row r="1176">
      <c r="A1176" s="12" t="inlineStr">
        <is>
          <t>A-I-0454</t>
        </is>
      </c>
      <c r="B1176" s="12" t="inlineStr">
        <is>
          <t>A</t>
        </is>
      </c>
      <c r="C1176" s="12" t="inlineStr">
        <is>
          <t>Power block</t>
        </is>
      </c>
      <c r="D1176" s="12" t="inlineStr">
        <is>
          <t>Home run JB-HRSG-3-TC04 to the control / marshalling room</t>
        </is>
      </c>
      <c r="E1176" s="12" t="inlineStr">
        <is>
          <t>R2C</t>
        </is>
      </c>
      <c r="F1176" s="12" t="inlineStr">
        <is>
          <t>R2C: unit / HRSG electrical e-house (32 x 40 ft)</t>
        </is>
      </c>
      <c r="G1176" s="12" t="inlineStr">
        <is>
          <t>JB-HRSG-3-TC04</t>
        </is>
      </c>
      <c r="H1176" s="12" t="inlineStr">
        <is>
          <t>HRSG 3 + SCR (3P reheat, horizontal)</t>
        </is>
      </c>
      <c r="I1176" s="12" t="inlineStr">
        <is>
          <t>Instrumentation</t>
        </is>
      </c>
      <c r="J1176" s="12" t="inlineStr">
        <is>
          <t>Thermocouple extension KX, #16 shielded pairs, PLTC</t>
        </is>
      </c>
      <c r="K1176" s="12" t="inlineStr">
        <is>
          <t>TCX|24 pr|16</t>
        </is>
      </c>
      <c r="L1176" s="12" t="inlineStr">
        <is>
          <t>24 pr</t>
        </is>
      </c>
      <c r="M1176" s="12" t="inlineStr">
        <is>
          <t>16</t>
        </is>
      </c>
      <c r="N1176" s="12" t="n">
        <v>1</v>
      </c>
      <c r="O1176" s="12" t="n">
        <v>1</v>
      </c>
      <c r="P1176" s="12" t="n"/>
      <c r="Q1176" s="12" t="n"/>
      <c r="R1176" s="12" t="n"/>
      <c r="S1176" s="12" t="inlineStr">
        <is>
          <t>Tray</t>
        </is>
      </c>
      <c r="T1176" s="16" t="n">
        <v>0</v>
      </c>
      <c r="U1176" s="16" t="n">
        <v>87</v>
      </c>
      <c r="V1176" s="16">
        <f>ROUNDUP((T1176+U1176+2*'Read Me'!$B$13)*(1+'Read Me'!$B$12),-1)</f>
        <v/>
      </c>
      <c r="W1176" s="16">
        <f>V1176*N1176*O1176</f>
        <v/>
      </c>
      <c r="X1176" s="12">
        <f>IF(LEFT(I1176,2)="MV",2*N1176*IF(L1176="1/C",O1176,1),0)</f>
        <v/>
      </c>
      <c r="Y1176" s="12">
        <f>IF(OR(LEFT(K1176,4)="LVAX",LEFT(K1176,6)="MV15AX",LEFT(K1176,4)="CTAX",LEFT(K1176,2)="W|"),2*N1176*O1176,0)</f>
        <v/>
      </c>
      <c r="Z1176" s="12" t="inlineStr"/>
      <c r="AA1176" s="12">
        <f>N1176*O1176</f>
        <v/>
      </c>
    </row>
    <row r="1177">
      <c r="A1177" s="12" t="inlineStr">
        <is>
          <t>A-I-0455</t>
        </is>
      </c>
      <c r="B1177" s="12" t="inlineStr">
        <is>
          <t>A</t>
        </is>
      </c>
      <c r="C1177" s="12" t="inlineStr">
        <is>
          <t>Power block</t>
        </is>
      </c>
      <c r="D1177" s="12" t="inlineStr">
        <is>
          <t>Analog instrument to JB JB-HRSG 3 blowdown ta-AI01: 6 x 1 pr (field cables)</t>
        </is>
      </c>
      <c r="E1177" s="12" t="inlineStr"/>
      <c r="F1177" s="12" t="inlineStr">
        <is>
          <t>HRSG 3 blowdown tank (continuous / intermittent)</t>
        </is>
      </c>
      <c r="G1177" s="12" t="inlineStr">
        <is>
          <t>JB-HRSG 3 blowdown ta-AI01</t>
        </is>
      </c>
      <c r="H1177" s="12" t="inlineStr">
        <is>
          <t>HRSG 3 blowdown tank (continuous / intermittent)</t>
        </is>
      </c>
      <c r="I1177" s="12" t="inlineStr">
        <is>
          <t>Instrumentation</t>
        </is>
      </c>
      <c r="J1177" s="12" t="inlineStr">
        <is>
          <t>Instrumentation PLTC / TC-ER 300 V, #18 twisted shielded pairs, overall shield</t>
        </is>
      </c>
      <c r="K1177" s="12" t="inlineStr">
        <is>
          <t>PLTC|1 pr|16</t>
        </is>
      </c>
      <c r="L1177" s="12" t="inlineStr">
        <is>
          <t>1 pr</t>
        </is>
      </c>
      <c r="M1177" s="12" t="inlineStr">
        <is>
          <t>16</t>
        </is>
      </c>
      <c r="N1177" s="12" t="n">
        <v>6</v>
      </c>
      <c r="O1177" s="12" t="n">
        <v>1</v>
      </c>
      <c r="P1177" s="12" t="n"/>
      <c r="Q1177" s="12" t="n"/>
      <c r="R1177" s="12" t="n"/>
      <c r="S1177" s="12" t="inlineStr">
        <is>
          <t>Tray / conduit</t>
        </is>
      </c>
      <c r="T1177" s="16" t="n">
        <v>43</v>
      </c>
      <c r="U1177" s="16" t="n">
        <v>10</v>
      </c>
      <c r="V1177" s="16">
        <f>ROUNDUP((T1177+U1177+2*'Read Me'!$B$13)*(1+'Read Me'!$B$12),-1)</f>
        <v/>
      </c>
      <c r="W1177" s="16">
        <f>V1177*N1177*O1177</f>
        <v/>
      </c>
      <c r="X1177" s="12">
        <f>IF(LEFT(I1177,2)="MV",2*N1177*IF(L1177="1/C",O1177,1),0)</f>
        <v/>
      </c>
      <c r="Y1177" s="12">
        <f>IF(OR(LEFT(K1177,4)="LVAX",LEFT(K1177,6)="MV15AX",LEFT(K1177,4)="CTAX",LEFT(K1177,2)="W|"),2*N1177*O1177,0)</f>
        <v/>
      </c>
      <c r="Z1177" s="12" t="inlineStr">
        <is>
          <t>device-to-JB field wiring, one cable per device</t>
        </is>
      </c>
      <c r="AA1177" s="12">
        <f>N1177*O1177</f>
        <v/>
      </c>
    </row>
    <row r="1178">
      <c r="A1178" s="12" t="inlineStr">
        <is>
          <t>A-I-0456</t>
        </is>
      </c>
      <c r="B1178" s="12" t="inlineStr">
        <is>
          <t>A</t>
        </is>
      </c>
      <c r="C1178" s="12" t="inlineStr">
        <is>
          <t>Power block</t>
        </is>
      </c>
      <c r="D1178" s="12" t="inlineStr">
        <is>
          <t>Home run JB-HRSG 3 blowdown ta-AI01 to the control / marshalling room</t>
        </is>
      </c>
      <c r="E1178" s="12" t="inlineStr">
        <is>
          <t>R2C</t>
        </is>
      </c>
      <c r="F1178" s="12" t="inlineStr">
        <is>
          <t>R2C: unit / HRSG electrical e-house (32 x 40 ft)</t>
        </is>
      </c>
      <c r="G1178" s="12" t="inlineStr">
        <is>
          <t>JB-HRSG 3 blowdown ta-AI01</t>
        </is>
      </c>
      <c r="H1178" s="12" t="inlineStr">
        <is>
          <t>HRSG 3 blowdown tank (continuous / intermittent)</t>
        </is>
      </c>
      <c r="I1178" s="12" t="inlineStr">
        <is>
          <t>Instrumentation</t>
        </is>
      </c>
      <c r="J1178" s="12" t="inlineStr">
        <is>
          <t>Instrumentation PLTC / TC-ER 300 V, #18 twisted shielded pairs, overall shield</t>
        </is>
      </c>
      <c r="K1178" s="12" t="inlineStr">
        <is>
          <t>PLTC|24 pr|18</t>
        </is>
      </c>
      <c r="L1178" s="12" t="inlineStr">
        <is>
          <t>24 pr</t>
        </is>
      </c>
      <c r="M1178" s="12" t="inlineStr">
        <is>
          <t>18</t>
        </is>
      </c>
      <c r="N1178" s="12" t="n">
        <v>1</v>
      </c>
      <c r="O1178" s="12" t="n">
        <v>1</v>
      </c>
      <c r="P1178" s="12" t="n"/>
      <c r="Q1178" s="12" t="n"/>
      <c r="R1178" s="12" t="n"/>
      <c r="S1178" s="12" t="inlineStr">
        <is>
          <t>Tray</t>
        </is>
      </c>
      <c r="T1178" s="16" t="n">
        <v>38</v>
      </c>
      <c r="U1178" s="16" t="n">
        <v>86</v>
      </c>
      <c r="V1178" s="16">
        <f>ROUNDUP((T1178+U1178+2*'Read Me'!$B$13)*(1+'Read Me'!$B$12),-1)</f>
        <v/>
      </c>
      <c r="W1178" s="16">
        <f>V1178*N1178*O1178</f>
        <v/>
      </c>
      <c r="X1178" s="12">
        <f>IF(LEFT(I1178,2)="MV",2*N1178*IF(L1178="1/C",O1178,1),0)</f>
        <v/>
      </c>
      <c r="Y1178" s="12">
        <f>IF(OR(LEFT(K1178,4)="LVAX",LEFT(K1178,6)="MV15AX",LEFT(K1178,4)="CTAX",LEFT(K1178,2)="W|"),2*N1178*O1178,0)</f>
        <v/>
      </c>
      <c r="Z1178" s="12" t="inlineStr"/>
      <c r="AA1178" s="12">
        <f>N1178*O1178</f>
        <v/>
      </c>
    </row>
    <row r="1179">
      <c r="A1179" s="12" t="inlineStr">
        <is>
          <t>A-I-0457</t>
        </is>
      </c>
      <c r="B1179" s="12" t="inlineStr">
        <is>
          <t>A</t>
        </is>
      </c>
      <c r="C1179" s="12" t="inlineStr">
        <is>
          <t>Power block</t>
        </is>
      </c>
      <c r="D1179" s="12" t="inlineStr">
        <is>
          <t>Discrete device to JB JB-HRSG 3 blowdown ta-DI01: 4 x 1 pr (field cables)</t>
        </is>
      </c>
      <c r="E1179" s="12" t="inlineStr"/>
      <c r="F1179" s="12" t="inlineStr">
        <is>
          <t>HRSG 3 blowdown tank (continuous / intermittent)</t>
        </is>
      </c>
      <c r="G1179" s="12" t="inlineStr">
        <is>
          <t>JB-HRSG 3 blowdown ta-DI01</t>
        </is>
      </c>
      <c r="H1179" s="12" t="inlineStr">
        <is>
          <t>HRSG 3 blowdown tank (continuous / intermittent)</t>
        </is>
      </c>
      <c r="I1179" s="12" t="inlineStr">
        <is>
          <t>Instrumentation</t>
        </is>
      </c>
      <c r="J1179" s="12" t="inlineStr">
        <is>
          <t>Instrumentation PLTC / TC-ER 300 V, #18 twisted shielded pairs, overall shield</t>
        </is>
      </c>
      <c r="K1179" s="12" t="inlineStr">
        <is>
          <t>PLTC|1 pr|16</t>
        </is>
      </c>
      <c r="L1179" s="12" t="inlineStr">
        <is>
          <t>1 pr</t>
        </is>
      </c>
      <c r="M1179" s="12" t="inlineStr">
        <is>
          <t>16</t>
        </is>
      </c>
      <c r="N1179" s="12" t="n">
        <v>4</v>
      </c>
      <c r="O1179" s="12" t="n">
        <v>1</v>
      </c>
      <c r="P1179" s="12" t="n"/>
      <c r="Q1179" s="12" t="n"/>
      <c r="R1179" s="12" t="n"/>
      <c r="S1179" s="12" t="inlineStr">
        <is>
          <t>Tray / conduit</t>
        </is>
      </c>
      <c r="T1179" s="16" t="n">
        <v>43</v>
      </c>
      <c r="U1179" s="16" t="n">
        <v>10</v>
      </c>
      <c r="V1179" s="16">
        <f>ROUNDUP((T1179+U1179+2*'Read Me'!$B$13)*(1+'Read Me'!$B$12),-1)</f>
        <v/>
      </c>
      <c r="W1179" s="16">
        <f>V1179*N1179*O1179</f>
        <v/>
      </c>
      <c r="X1179" s="12">
        <f>IF(LEFT(I1179,2)="MV",2*N1179*IF(L1179="1/C",O1179,1),0)</f>
        <v/>
      </c>
      <c r="Y1179" s="12">
        <f>IF(OR(LEFT(K1179,4)="LVAX",LEFT(K1179,6)="MV15AX",LEFT(K1179,4)="CTAX",LEFT(K1179,2)="W|"),2*N1179*O1179,0)</f>
        <v/>
      </c>
      <c r="Z1179" s="12" t="inlineStr">
        <is>
          <t>device-to-JB field wiring, one cable per device</t>
        </is>
      </c>
      <c r="AA1179" s="12">
        <f>N1179*O1179</f>
        <v/>
      </c>
    </row>
    <row r="1180">
      <c r="A1180" s="12" t="inlineStr">
        <is>
          <t>A-I-0458</t>
        </is>
      </c>
      <c r="B1180" s="12" t="inlineStr">
        <is>
          <t>A</t>
        </is>
      </c>
      <c r="C1180" s="12" t="inlineStr">
        <is>
          <t>Power block</t>
        </is>
      </c>
      <c r="D1180" s="12" t="inlineStr">
        <is>
          <t>Home run JB-HRSG 3 blowdown ta-DI01 to the control / marshalling room</t>
        </is>
      </c>
      <c r="E1180" s="12" t="inlineStr">
        <is>
          <t>R2C</t>
        </is>
      </c>
      <c r="F1180" s="12" t="inlineStr">
        <is>
          <t>R2C: unit / HRSG electrical e-house (32 x 40 ft)</t>
        </is>
      </c>
      <c r="G1180" s="12" t="inlineStr">
        <is>
          <t>JB-HRSG 3 blowdown ta-DI01</t>
        </is>
      </c>
      <c r="H1180" s="12" t="inlineStr">
        <is>
          <t>HRSG 3 blowdown tank (continuous / intermittent)</t>
        </is>
      </c>
      <c r="I1180" s="12" t="inlineStr">
        <is>
          <t>Instrumentation</t>
        </is>
      </c>
      <c r="J1180" s="12" t="inlineStr">
        <is>
          <t>Instrumentation PLTC / TC-ER 300 V, #18 twisted shielded pairs, overall shield</t>
        </is>
      </c>
      <c r="K1180" s="12" t="inlineStr">
        <is>
          <t>PLTC|24 pr|18</t>
        </is>
      </c>
      <c r="L1180" s="12" t="inlineStr">
        <is>
          <t>24 pr</t>
        </is>
      </c>
      <c r="M1180" s="12" t="inlineStr">
        <is>
          <t>18</t>
        </is>
      </c>
      <c r="N1180" s="12" t="n">
        <v>1</v>
      </c>
      <c r="O1180" s="12" t="n">
        <v>1</v>
      </c>
      <c r="P1180" s="12" t="n"/>
      <c r="Q1180" s="12" t="n"/>
      <c r="R1180" s="12" t="n"/>
      <c r="S1180" s="12" t="inlineStr">
        <is>
          <t>Tray</t>
        </is>
      </c>
      <c r="T1180" s="16" t="n">
        <v>38</v>
      </c>
      <c r="U1180" s="16" t="n">
        <v>86</v>
      </c>
      <c r="V1180" s="16">
        <f>ROUNDUP((T1180+U1180+2*'Read Me'!$B$13)*(1+'Read Me'!$B$12),-1)</f>
        <v/>
      </c>
      <c r="W1180" s="16">
        <f>V1180*N1180*O1180</f>
        <v/>
      </c>
      <c r="X1180" s="12">
        <f>IF(LEFT(I1180,2)="MV",2*N1180*IF(L1180="1/C",O1180,1),0)</f>
        <v/>
      </c>
      <c r="Y1180" s="12">
        <f>IF(OR(LEFT(K1180,4)="LVAX",LEFT(K1180,6)="MV15AX",LEFT(K1180,4)="CTAX",LEFT(K1180,2)="W|"),2*N1180*O1180,0)</f>
        <v/>
      </c>
      <c r="Z1180" s="12" t="inlineStr"/>
      <c r="AA1180" s="12">
        <f>N1180*O1180</f>
        <v/>
      </c>
    </row>
    <row r="1181">
      <c r="A1181" s="12" t="inlineStr">
        <is>
          <t>A-I-0459</t>
        </is>
      </c>
      <c r="B1181" s="12" t="inlineStr">
        <is>
          <t>A</t>
        </is>
      </c>
      <c r="C1181" s="12" t="inlineStr">
        <is>
          <t>Power block</t>
        </is>
      </c>
      <c r="D1181" s="12" t="inlineStr">
        <is>
          <t>Analog instrument to JB JB-HRSG 3 chemical fe-AI01: 8 x 1 pr (field cables)</t>
        </is>
      </c>
      <c r="E1181" s="12" t="inlineStr"/>
      <c r="F1181" s="12" t="inlineStr">
        <is>
          <t>HRSG 3 chemical feed skid (phosphate / amine)</t>
        </is>
      </c>
      <c r="G1181" s="12" t="inlineStr">
        <is>
          <t>JB-HRSG 3 chemical fe-AI01</t>
        </is>
      </c>
      <c r="H1181" s="12" t="inlineStr">
        <is>
          <t>HRSG 3 chemical feed skid (phosphate / amine)</t>
        </is>
      </c>
      <c r="I1181" s="12" t="inlineStr">
        <is>
          <t>Instrumentation</t>
        </is>
      </c>
      <c r="J1181" s="12" t="inlineStr">
        <is>
          <t>Instrumentation PLTC / TC-ER 300 V, #18 twisted shielded pairs, overall shield</t>
        </is>
      </c>
      <c r="K1181" s="12" t="inlineStr">
        <is>
          <t>PLTC|1 pr|16</t>
        </is>
      </c>
      <c r="L1181" s="12" t="inlineStr">
        <is>
          <t>1 pr</t>
        </is>
      </c>
      <c r="M1181" s="12" t="inlineStr">
        <is>
          <t>16</t>
        </is>
      </c>
      <c r="N1181" s="12" t="n">
        <v>8</v>
      </c>
      <c r="O1181" s="12" t="n">
        <v>1</v>
      </c>
      <c r="P1181" s="12" t="n"/>
      <c r="Q1181" s="12" t="n"/>
      <c r="R1181" s="12" t="n"/>
      <c r="S1181" s="12" t="inlineStr">
        <is>
          <t>Tray / conduit</t>
        </is>
      </c>
      <c r="T1181" s="16" t="n">
        <v>42</v>
      </c>
      <c r="U1181" s="16" t="n">
        <v>10</v>
      </c>
      <c r="V1181" s="16">
        <f>ROUNDUP((T1181+U1181+2*'Read Me'!$B$13)*(1+'Read Me'!$B$12),-1)</f>
        <v/>
      </c>
      <c r="W1181" s="16">
        <f>V1181*N1181*O1181</f>
        <v/>
      </c>
      <c r="X1181" s="12">
        <f>IF(LEFT(I1181,2)="MV",2*N1181*IF(L1181="1/C",O1181,1),0)</f>
        <v/>
      </c>
      <c r="Y1181" s="12">
        <f>IF(OR(LEFT(K1181,4)="LVAX",LEFT(K1181,6)="MV15AX",LEFT(K1181,4)="CTAX",LEFT(K1181,2)="W|"),2*N1181*O1181,0)</f>
        <v/>
      </c>
      <c r="Z1181" s="12" t="inlineStr">
        <is>
          <t>device-to-JB field wiring, one cable per device</t>
        </is>
      </c>
      <c r="AA1181" s="12">
        <f>N1181*O1181</f>
        <v/>
      </c>
    </row>
    <row r="1182">
      <c r="A1182" s="12" t="inlineStr">
        <is>
          <t>A-I-0460</t>
        </is>
      </c>
      <c r="B1182" s="12" t="inlineStr">
        <is>
          <t>A</t>
        </is>
      </c>
      <c r="C1182" s="12" t="inlineStr">
        <is>
          <t>Power block</t>
        </is>
      </c>
      <c r="D1182" s="12" t="inlineStr">
        <is>
          <t>Home run JB-HRSG 3 chemical fe-AI01 to the control / marshalling room</t>
        </is>
      </c>
      <c r="E1182" s="12" t="inlineStr">
        <is>
          <t>R2C</t>
        </is>
      </c>
      <c r="F1182" s="12" t="inlineStr">
        <is>
          <t>R2C: unit / HRSG electrical e-house (32 x 40 ft)</t>
        </is>
      </c>
      <c r="G1182" s="12" t="inlineStr">
        <is>
          <t>JB-HRSG 3 chemical fe-AI01</t>
        </is>
      </c>
      <c r="H1182" s="12" t="inlineStr">
        <is>
          <t>HRSG 3 chemical feed skid (phosphate / amine)</t>
        </is>
      </c>
      <c r="I1182" s="12" t="inlineStr">
        <is>
          <t>Instrumentation</t>
        </is>
      </c>
      <c r="J1182" s="12" t="inlineStr">
        <is>
          <t>Instrumentation PLTC / TC-ER 300 V, #18 twisted shielded pairs, overall shield</t>
        </is>
      </c>
      <c r="K1182" s="12" t="inlineStr">
        <is>
          <t>PLTC|24 pr|18</t>
        </is>
      </c>
      <c r="L1182" s="12" t="inlineStr">
        <is>
          <t>24 pr</t>
        </is>
      </c>
      <c r="M1182" s="12" t="inlineStr">
        <is>
          <t>18</t>
        </is>
      </c>
      <c r="N1182" s="12" t="n">
        <v>1</v>
      </c>
      <c r="O1182" s="12" t="n">
        <v>1</v>
      </c>
      <c r="P1182" s="12" t="n"/>
      <c r="Q1182" s="12" t="n"/>
      <c r="R1182" s="12" t="n"/>
      <c r="S1182" s="12" t="inlineStr">
        <is>
          <t>Tray</t>
        </is>
      </c>
      <c r="T1182" s="16" t="n">
        <v>404</v>
      </c>
      <c r="U1182" s="16" t="n">
        <v>108</v>
      </c>
      <c r="V1182" s="16">
        <f>ROUNDUP((T1182+U1182+2*'Read Me'!$B$13)*(1+'Read Me'!$B$12),-1)</f>
        <v/>
      </c>
      <c r="W1182" s="16">
        <f>V1182*N1182*O1182</f>
        <v/>
      </c>
      <c r="X1182" s="12">
        <f>IF(LEFT(I1182,2)="MV",2*N1182*IF(L1182="1/C",O1182,1),0)</f>
        <v/>
      </c>
      <c r="Y1182" s="12">
        <f>IF(OR(LEFT(K1182,4)="LVAX",LEFT(K1182,6)="MV15AX",LEFT(K1182,4)="CTAX",LEFT(K1182,2)="W|"),2*N1182*O1182,0)</f>
        <v/>
      </c>
      <c r="Z1182" s="12" t="inlineStr"/>
      <c r="AA1182" s="12">
        <f>N1182*O1182</f>
        <v/>
      </c>
    </row>
    <row r="1183">
      <c r="A1183" s="12" t="inlineStr">
        <is>
          <t>A-I-0461</t>
        </is>
      </c>
      <c r="B1183" s="12" t="inlineStr">
        <is>
          <t>A</t>
        </is>
      </c>
      <c r="C1183" s="12" t="inlineStr">
        <is>
          <t>Power block</t>
        </is>
      </c>
      <c r="D1183" s="12" t="inlineStr">
        <is>
          <t>Discrete device to JB JB-HRSG 3 chemical fe-DI01: 12 x 1 pr (field cables)</t>
        </is>
      </c>
      <c r="E1183" s="12" t="inlineStr"/>
      <c r="F1183" s="12" t="inlineStr">
        <is>
          <t>HRSG 3 chemical feed skid (phosphate / amine)</t>
        </is>
      </c>
      <c r="G1183" s="12" t="inlineStr">
        <is>
          <t>JB-HRSG 3 chemical fe-DI01</t>
        </is>
      </c>
      <c r="H1183" s="12" t="inlineStr">
        <is>
          <t>HRSG 3 chemical feed skid (phosphate / amine)</t>
        </is>
      </c>
      <c r="I1183" s="12" t="inlineStr">
        <is>
          <t>Instrumentation</t>
        </is>
      </c>
      <c r="J1183" s="12" t="inlineStr">
        <is>
          <t>Instrumentation PLTC / TC-ER 300 V, #18 twisted shielded pairs, overall shield</t>
        </is>
      </c>
      <c r="K1183" s="12" t="inlineStr">
        <is>
          <t>PLTC|1 pr|16</t>
        </is>
      </c>
      <c r="L1183" s="12" t="inlineStr">
        <is>
          <t>1 pr</t>
        </is>
      </c>
      <c r="M1183" s="12" t="inlineStr">
        <is>
          <t>16</t>
        </is>
      </c>
      <c r="N1183" s="12" t="n">
        <v>12</v>
      </c>
      <c r="O1183" s="12" t="n">
        <v>1</v>
      </c>
      <c r="P1183" s="12" t="n"/>
      <c r="Q1183" s="12" t="n"/>
      <c r="R1183" s="12" t="n"/>
      <c r="S1183" s="12" t="inlineStr">
        <is>
          <t>Tray / conduit</t>
        </is>
      </c>
      <c r="T1183" s="16" t="n">
        <v>42</v>
      </c>
      <c r="U1183" s="16" t="n">
        <v>10</v>
      </c>
      <c r="V1183" s="16">
        <f>ROUNDUP((T1183+U1183+2*'Read Me'!$B$13)*(1+'Read Me'!$B$12),-1)</f>
        <v/>
      </c>
      <c r="W1183" s="16">
        <f>V1183*N1183*O1183</f>
        <v/>
      </c>
      <c r="X1183" s="12">
        <f>IF(LEFT(I1183,2)="MV",2*N1183*IF(L1183="1/C",O1183,1),0)</f>
        <v/>
      </c>
      <c r="Y1183" s="12">
        <f>IF(OR(LEFT(K1183,4)="LVAX",LEFT(K1183,6)="MV15AX",LEFT(K1183,4)="CTAX",LEFT(K1183,2)="W|"),2*N1183*O1183,0)</f>
        <v/>
      </c>
      <c r="Z1183" s="12" t="inlineStr">
        <is>
          <t>device-to-JB field wiring, one cable per device</t>
        </is>
      </c>
      <c r="AA1183" s="12">
        <f>N1183*O1183</f>
        <v/>
      </c>
    </row>
    <row r="1184">
      <c r="A1184" s="12" t="inlineStr">
        <is>
          <t>A-I-0462</t>
        </is>
      </c>
      <c r="B1184" s="12" t="inlineStr">
        <is>
          <t>A</t>
        </is>
      </c>
      <c r="C1184" s="12" t="inlineStr">
        <is>
          <t>Power block</t>
        </is>
      </c>
      <c r="D1184" s="12" t="inlineStr">
        <is>
          <t>Home run JB-HRSG 3 chemical fe-DI01 to the control / marshalling room</t>
        </is>
      </c>
      <c r="E1184" s="12" t="inlineStr">
        <is>
          <t>R2C</t>
        </is>
      </c>
      <c r="F1184" s="12" t="inlineStr">
        <is>
          <t>R2C: unit / HRSG electrical e-house (32 x 40 ft)</t>
        </is>
      </c>
      <c r="G1184" s="12" t="inlineStr">
        <is>
          <t>JB-HRSG 3 chemical fe-DI01</t>
        </is>
      </c>
      <c r="H1184" s="12" t="inlineStr">
        <is>
          <t>HRSG 3 chemical feed skid (phosphate / amine)</t>
        </is>
      </c>
      <c r="I1184" s="12" t="inlineStr">
        <is>
          <t>Instrumentation</t>
        </is>
      </c>
      <c r="J1184" s="12" t="inlineStr">
        <is>
          <t>Instrumentation PLTC / TC-ER 300 V, #18 twisted shielded pairs, overall shield</t>
        </is>
      </c>
      <c r="K1184" s="12" t="inlineStr">
        <is>
          <t>PLTC|24 pr|18</t>
        </is>
      </c>
      <c r="L1184" s="12" t="inlineStr">
        <is>
          <t>24 pr</t>
        </is>
      </c>
      <c r="M1184" s="12" t="inlineStr">
        <is>
          <t>18</t>
        </is>
      </c>
      <c r="N1184" s="12" t="n">
        <v>1</v>
      </c>
      <c r="O1184" s="12" t="n">
        <v>1</v>
      </c>
      <c r="P1184" s="12" t="n"/>
      <c r="Q1184" s="12" t="n"/>
      <c r="R1184" s="12" t="n"/>
      <c r="S1184" s="12" t="inlineStr">
        <is>
          <t>Tray</t>
        </is>
      </c>
      <c r="T1184" s="16" t="n">
        <v>404</v>
      </c>
      <c r="U1184" s="16" t="n">
        <v>108</v>
      </c>
      <c r="V1184" s="16">
        <f>ROUNDUP((T1184+U1184+2*'Read Me'!$B$13)*(1+'Read Me'!$B$12),-1)</f>
        <v/>
      </c>
      <c r="W1184" s="16">
        <f>V1184*N1184*O1184</f>
        <v/>
      </c>
      <c r="X1184" s="12">
        <f>IF(LEFT(I1184,2)="MV",2*N1184*IF(L1184="1/C",O1184,1),0)</f>
        <v/>
      </c>
      <c r="Y1184" s="12">
        <f>IF(OR(LEFT(K1184,4)="LVAX",LEFT(K1184,6)="MV15AX",LEFT(K1184,4)="CTAX",LEFT(K1184,2)="W|"),2*N1184*O1184,0)</f>
        <v/>
      </c>
      <c r="Z1184" s="12" t="inlineStr"/>
      <c r="AA1184" s="12">
        <f>N1184*O1184</f>
        <v/>
      </c>
    </row>
    <row r="1185">
      <c r="A1185" s="12" t="inlineStr">
        <is>
          <t>A-I-0463</t>
        </is>
      </c>
      <c r="B1185" s="12" t="inlineStr">
        <is>
          <t>A</t>
        </is>
      </c>
      <c r="C1185" s="12" t="inlineStr">
        <is>
          <t>Power block</t>
        </is>
      </c>
      <c r="D1185" s="12" t="inlineStr">
        <is>
          <t>Analog instrument to JB JB-LCT-A-AI01: 8 x 1 pr (field cables)</t>
        </is>
      </c>
      <c r="E1185" s="12" t="inlineStr">
        <is>
          <t>LCT-A</t>
        </is>
      </c>
      <c r="F1185" s="12" t="inlineStr">
        <is>
          <t>LCT-A: 13.8/0.48 kV load-centre transformer</t>
        </is>
      </c>
      <c r="G1185" s="12" t="inlineStr">
        <is>
          <t>JB-LCT-A-AI01</t>
        </is>
      </c>
      <c r="H1185" s="12" t="inlineStr">
        <is>
          <t>LCT-A: 13.8/0.48 kV load-centre transformer</t>
        </is>
      </c>
      <c r="I1185" s="12" t="inlineStr">
        <is>
          <t>Instrumentation</t>
        </is>
      </c>
      <c r="J1185" s="12" t="inlineStr">
        <is>
          <t>Instrumentation PLTC / TC-ER 300 V, #18 twisted shielded pairs, overall shield</t>
        </is>
      </c>
      <c r="K1185" s="12" t="inlineStr">
        <is>
          <t>PLTC|1 pr|16</t>
        </is>
      </c>
      <c r="L1185" s="12" t="inlineStr">
        <is>
          <t>1 pr</t>
        </is>
      </c>
      <c r="M1185" s="12" t="inlineStr">
        <is>
          <t>16</t>
        </is>
      </c>
      <c r="N1185" s="12" t="n">
        <v>8</v>
      </c>
      <c r="O1185" s="12" t="n">
        <v>1</v>
      </c>
      <c r="P1185" s="12" t="n"/>
      <c r="Q1185" s="12" t="n"/>
      <c r="R1185" s="12" t="n"/>
      <c r="S1185" s="12" t="inlineStr">
        <is>
          <t>Tray / conduit</t>
        </is>
      </c>
      <c r="T1185" s="16" t="n">
        <v>41</v>
      </c>
      <c r="U1185" s="16" t="n">
        <v>10</v>
      </c>
      <c r="V1185" s="16">
        <f>ROUNDUP((T1185+U1185+2*'Read Me'!$B$13)*(1+'Read Me'!$B$12),-1)</f>
        <v/>
      </c>
      <c r="W1185" s="16">
        <f>V1185*N1185*O1185</f>
        <v/>
      </c>
      <c r="X1185" s="12">
        <f>IF(LEFT(I1185,2)="MV",2*N1185*IF(L1185="1/C",O1185,1),0)</f>
        <v/>
      </c>
      <c r="Y1185" s="12">
        <f>IF(OR(LEFT(K1185,4)="LVAX",LEFT(K1185,6)="MV15AX",LEFT(K1185,4)="CTAX",LEFT(K1185,2)="W|"),2*N1185*O1185,0)</f>
        <v/>
      </c>
      <c r="Z1185" s="12" t="inlineStr">
        <is>
          <t>device-to-JB field wiring, one cable per device</t>
        </is>
      </c>
      <c r="AA1185" s="12">
        <f>N1185*O1185</f>
        <v/>
      </c>
    </row>
    <row r="1186">
      <c r="A1186" s="12" t="inlineStr">
        <is>
          <t>A-I-0464</t>
        </is>
      </c>
      <c r="B1186" s="12" t="inlineStr">
        <is>
          <t>A</t>
        </is>
      </c>
      <c r="C1186" s="12" t="inlineStr">
        <is>
          <t>Power block</t>
        </is>
      </c>
      <c r="D1186" s="12" t="inlineStr">
        <is>
          <t>Home run JB-LCT-A-AI01 to the control / marshalling room</t>
        </is>
      </c>
      <c r="E1186" s="12" t="inlineStr">
        <is>
          <t>R1</t>
        </is>
      </c>
      <c r="F1186" s="12" t="inlineStr">
        <is>
          <t>R1: main electrical building (64 x 180 ft)</t>
        </is>
      </c>
      <c r="G1186" s="12" t="inlineStr">
        <is>
          <t>JB-LCT-A-AI01</t>
        </is>
      </c>
      <c r="H1186" s="12" t="inlineStr">
        <is>
          <t>LCT-A: 13.8/0.48 kV load-centre transformer</t>
        </is>
      </c>
      <c r="I1186" s="12" t="inlineStr">
        <is>
          <t>Instrumentation</t>
        </is>
      </c>
      <c r="J1186" s="12" t="inlineStr">
        <is>
          <t>Instrumentation PLTC / TC-ER 300 V, #18 twisted shielded pairs, overall shield</t>
        </is>
      </c>
      <c r="K1186" s="12" t="inlineStr">
        <is>
          <t>PLTC|24 pr|18</t>
        </is>
      </c>
      <c r="L1186" s="12" t="inlineStr">
        <is>
          <t>24 pr</t>
        </is>
      </c>
      <c r="M1186" s="12" t="inlineStr">
        <is>
          <t>18</t>
        </is>
      </c>
      <c r="N1186" s="12" t="n">
        <v>1</v>
      </c>
      <c r="O1186" s="12" t="n">
        <v>1</v>
      </c>
      <c r="P1186" s="12" t="n"/>
      <c r="Q1186" s="12" t="n"/>
      <c r="R1186" s="12" t="n"/>
      <c r="S1186" s="12" t="inlineStr">
        <is>
          <t>Tray</t>
        </is>
      </c>
      <c r="T1186" s="16" t="n">
        <v>718</v>
      </c>
      <c r="U1186" s="16" t="n">
        <v>124</v>
      </c>
      <c r="V1186" s="16">
        <f>ROUNDUP((T1186+U1186+2*'Read Me'!$B$13)*(1+'Read Me'!$B$12),-1)</f>
        <v/>
      </c>
      <c r="W1186" s="16">
        <f>V1186*N1186*O1186</f>
        <v/>
      </c>
      <c r="X1186" s="12">
        <f>IF(LEFT(I1186,2)="MV",2*N1186*IF(L1186="1/C",O1186,1),0)</f>
        <v/>
      </c>
      <c r="Y1186" s="12">
        <f>IF(OR(LEFT(K1186,4)="LVAX",LEFT(K1186,6)="MV15AX",LEFT(K1186,4)="CTAX",LEFT(K1186,2)="W|"),2*N1186*O1186,0)</f>
        <v/>
      </c>
      <c r="Z1186" s="12" t="inlineStr"/>
      <c r="AA1186" s="12">
        <f>N1186*O1186</f>
        <v/>
      </c>
    </row>
    <row r="1187">
      <c r="A1187" s="12" t="inlineStr">
        <is>
          <t>A-I-0465</t>
        </is>
      </c>
      <c r="B1187" s="12" t="inlineStr">
        <is>
          <t>A</t>
        </is>
      </c>
      <c r="C1187" s="12" t="inlineStr">
        <is>
          <t>Power block</t>
        </is>
      </c>
      <c r="D1187" s="12" t="inlineStr">
        <is>
          <t>Discrete device to JB JB-LCT-A-DI01: 16 x 1 pr (field cables)</t>
        </is>
      </c>
      <c r="E1187" s="12" t="inlineStr">
        <is>
          <t>LCT-A</t>
        </is>
      </c>
      <c r="F1187" s="12" t="inlineStr">
        <is>
          <t>LCT-A: 13.8/0.48 kV load-centre transformer</t>
        </is>
      </c>
      <c r="G1187" s="12" t="inlineStr">
        <is>
          <t>JB-LCT-A-DI01</t>
        </is>
      </c>
      <c r="H1187" s="12" t="inlineStr">
        <is>
          <t>LCT-A: 13.8/0.48 kV load-centre transformer</t>
        </is>
      </c>
      <c r="I1187" s="12" t="inlineStr">
        <is>
          <t>Instrumentation</t>
        </is>
      </c>
      <c r="J1187" s="12" t="inlineStr">
        <is>
          <t>Instrumentation PLTC / TC-ER 300 V, #18 twisted shielded pairs, overall shield</t>
        </is>
      </c>
      <c r="K1187" s="12" t="inlineStr">
        <is>
          <t>PLTC|1 pr|16</t>
        </is>
      </c>
      <c r="L1187" s="12" t="inlineStr">
        <is>
          <t>1 pr</t>
        </is>
      </c>
      <c r="M1187" s="12" t="inlineStr">
        <is>
          <t>16</t>
        </is>
      </c>
      <c r="N1187" s="12" t="n">
        <v>16</v>
      </c>
      <c r="O1187" s="12" t="n">
        <v>1</v>
      </c>
      <c r="P1187" s="12" t="n"/>
      <c r="Q1187" s="12" t="n"/>
      <c r="R1187" s="12" t="n"/>
      <c r="S1187" s="12" t="inlineStr">
        <is>
          <t>Tray / conduit</t>
        </is>
      </c>
      <c r="T1187" s="16" t="n">
        <v>41</v>
      </c>
      <c r="U1187" s="16" t="n">
        <v>10</v>
      </c>
      <c r="V1187" s="16">
        <f>ROUNDUP((T1187+U1187+2*'Read Me'!$B$13)*(1+'Read Me'!$B$12),-1)</f>
        <v/>
      </c>
      <c r="W1187" s="16">
        <f>V1187*N1187*O1187</f>
        <v/>
      </c>
      <c r="X1187" s="12">
        <f>IF(LEFT(I1187,2)="MV",2*N1187*IF(L1187="1/C",O1187,1),0)</f>
        <v/>
      </c>
      <c r="Y1187" s="12">
        <f>IF(OR(LEFT(K1187,4)="LVAX",LEFT(K1187,6)="MV15AX",LEFT(K1187,4)="CTAX",LEFT(K1187,2)="W|"),2*N1187*O1187,0)</f>
        <v/>
      </c>
      <c r="Z1187" s="12" t="inlineStr">
        <is>
          <t>device-to-JB field wiring, one cable per device</t>
        </is>
      </c>
      <c r="AA1187" s="12">
        <f>N1187*O1187</f>
        <v/>
      </c>
    </row>
    <row r="1188">
      <c r="A1188" s="12" t="inlineStr">
        <is>
          <t>A-I-0466</t>
        </is>
      </c>
      <c r="B1188" s="12" t="inlineStr">
        <is>
          <t>A</t>
        </is>
      </c>
      <c r="C1188" s="12" t="inlineStr">
        <is>
          <t>Power block</t>
        </is>
      </c>
      <c r="D1188" s="12" t="inlineStr">
        <is>
          <t>Home run JB-LCT-A-DI01 to the control / marshalling room</t>
        </is>
      </c>
      <c r="E1188" s="12" t="inlineStr">
        <is>
          <t>R1</t>
        </is>
      </c>
      <c r="F1188" s="12" t="inlineStr">
        <is>
          <t>R1: main electrical building (64 x 180 ft)</t>
        </is>
      </c>
      <c r="G1188" s="12" t="inlineStr">
        <is>
          <t>JB-LCT-A-DI01</t>
        </is>
      </c>
      <c r="H1188" s="12" t="inlineStr">
        <is>
          <t>LCT-A: 13.8/0.48 kV load-centre transformer</t>
        </is>
      </c>
      <c r="I1188" s="12" t="inlineStr">
        <is>
          <t>Instrumentation</t>
        </is>
      </c>
      <c r="J1188" s="12" t="inlineStr">
        <is>
          <t>Instrumentation PLTC / TC-ER 300 V, #18 twisted shielded pairs, overall shield</t>
        </is>
      </c>
      <c r="K1188" s="12" t="inlineStr">
        <is>
          <t>PLTC|24 pr|18</t>
        </is>
      </c>
      <c r="L1188" s="12" t="inlineStr">
        <is>
          <t>24 pr</t>
        </is>
      </c>
      <c r="M1188" s="12" t="inlineStr">
        <is>
          <t>18</t>
        </is>
      </c>
      <c r="N1188" s="12" t="n">
        <v>1</v>
      </c>
      <c r="O1188" s="12" t="n">
        <v>1</v>
      </c>
      <c r="P1188" s="12" t="n"/>
      <c r="Q1188" s="12" t="n"/>
      <c r="R1188" s="12" t="n"/>
      <c r="S1188" s="12" t="inlineStr">
        <is>
          <t>Tray</t>
        </is>
      </c>
      <c r="T1188" s="16" t="n">
        <v>718</v>
      </c>
      <c r="U1188" s="16" t="n">
        <v>124</v>
      </c>
      <c r="V1188" s="16">
        <f>ROUNDUP((T1188+U1188+2*'Read Me'!$B$13)*(1+'Read Me'!$B$12),-1)</f>
        <v/>
      </c>
      <c r="W1188" s="16">
        <f>V1188*N1188*O1188</f>
        <v/>
      </c>
      <c r="X1188" s="12">
        <f>IF(LEFT(I1188,2)="MV",2*N1188*IF(L1188="1/C",O1188,1),0)</f>
        <v/>
      </c>
      <c r="Y1188" s="12">
        <f>IF(OR(LEFT(K1188,4)="LVAX",LEFT(K1188,6)="MV15AX",LEFT(K1188,4)="CTAX",LEFT(K1188,2)="W|"),2*N1188*O1188,0)</f>
        <v/>
      </c>
      <c r="Z1188" s="12" t="inlineStr"/>
      <c r="AA1188" s="12">
        <f>N1188*O1188</f>
        <v/>
      </c>
    </row>
    <row r="1189">
      <c r="A1189" s="12" t="inlineStr">
        <is>
          <t>A-I-0467</t>
        </is>
      </c>
      <c r="B1189" s="12" t="inlineStr">
        <is>
          <t>A</t>
        </is>
      </c>
      <c r="C1189" s="12" t="inlineStr">
        <is>
          <t>Power block</t>
        </is>
      </c>
      <c r="D1189" s="12" t="inlineStr">
        <is>
          <t>Analog instrument to JB JB-LCT-B-AI01: 8 x 1 pr (field cables)</t>
        </is>
      </c>
      <c r="E1189" s="12" t="inlineStr">
        <is>
          <t>LCT-B</t>
        </is>
      </c>
      <c r="F1189" s="12" t="inlineStr">
        <is>
          <t>LCT-B: 13.8/0.48 kV load-centre transformer</t>
        </is>
      </c>
      <c r="G1189" s="12" t="inlineStr">
        <is>
          <t>JB-LCT-B-AI01</t>
        </is>
      </c>
      <c r="H1189" s="12" t="inlineStr">
        <is>
          <t>LCT-B: 13.8/0.48 kV load-centre transformer</t>
        </is>
      </c>
      <c r="I1189" s="12" t="inlineStr">
        <is>
          <t>Instrumentation</t>
        </is>
      </c>
      <c r="J1189" s="12" t="inlineStr">
        <is>
          <t>Instrumentation PLTC / TC-ER 300 V, #18 twisted shielded pairs, overall shield</t>
        </is>
      </c>
      <c r="K1189" s="12" t="inlineStr">
        <is>
          <t>PLTC|1 pr|16</t>
        </is>
      </c>
      <c r="L1189" s="12" t="inlineStr">
        <is>
          <t>1 pr</t>
        </is>
      </c>
      <c r="M1189" s="12" t="inlineStr">
        <is>
          <t>16</t>
        </is>
      </c>
      <c r="N1189" s="12" t="n">
        <v>8</v>
      </c>
      <c r="O1189" s="12" t="n">
        <v>1</v>
      </c>
      <c r="P1189" s="12" t="n"/>
      <c r="Q1189" s="12" t="n"/>
      <c r="R1189" s="12" t="n"/>
      <c r="S1189" s="12" t="inlineStr">
        <is>
          <t>Tray / conduit</t>
        </is>
      </c>
      <c r="T1189" s="16" t="n">
        <v>41</v>
      </c>
      <c r="U1189" s="16" t="n">
        <v>10</v>
      </c>
      <c r="V1189" s="16">
        <f>ROUNDUP((T1189+U1189+2*'Read Me'!$B$13)*(1+'Read Me'!$B$12),-1)</f>
        <v/>
      </c>
      <c r="W1189" s="16">
        <f>V1189*N1189*O1189</f>
        <v/>
      </c>
      <c r="X1189" s="12">
        <f>IF(LEFT(I1189,2)="MV",2*N1189*IF(L1189="1/C",O1189,1),0)</f>
        <v/>
      </c>
      <c r="Y1189" s="12">
        <f>IF(OR(LEFT(K1189,4)="LVAX",LEFT(K1189,6)="MV15AX",LEFT(K1189,4)="CTAX",LEFT(K1189,2)="W|"),2*N1189*O1189,0)</f>
        <v/>
      </c>
      <c r="Z1189" s="12" t="inlineStr">
        <is>
          <t>device-to-JB field wiring, one cable per device</t>
        </is>
      </c>
      <c r="AA1189" s="12">
        <f>N1189*O1189</f>
        <v/>
      </c>
    </row>
    <row r="1190">
      <c r="A1190" s="12" t="inlineStr">
        <is>
          <t>A-I-0468</t>
        </is>
      </c>
      <c r="B1190" s="12" t="inlineStr">
        <is>
          <t>A</t>
        </is>
      </c>
      <c r="C1190" s="12" t="inlineStr">
        <is>
          <t>Power block</t>
        </is>
      </c>
      <c r="D1190" s="12" t="inlineStr">
        <is>
          <t>Home run JB-LCT-B-AI01 to the control / marshalling room</t>
        </is>
      </c>
      <c r="E1190" s="12" t="inlineStr">
        <is>
          <t>R1</t>
        </is>
      </c>
      <c r="F1190" s="12" t="inlineStr">
        <is>
          <t>R1: main electrical building (64 x 180 ft)</t>
        </is>
      </c>
      <c r="G1190" s="12" t="inlineStr">
        <is>
          <t>JB-LCT-B-AI01</t>
        </is>
      </c>
      <c r="H1190" s="12" t="inlineStr">
        <is>
          <t>LCT-B: 13.8/0.48 kV load-centre transformer</t>
        </is>
      </c>
      <c r="I1190" s="12" t="inlineStr">
        <is>
          <t>Instrumentation</t>
        </is>
      </c>
      <c r="J1190" s="12" t="inlineStr">
        <is>
          <t>Instrumentation PLTC / TC-ER 300 V, #18 twisted shielded pairs, overall shield</t>
        </is>
      </c>
      <c r="K1190" s="12" t="inlineStr">
        <is>
          <t>PLTC|24 pr|18</t>
        </is>
      </c>
      <c r="L1190" s="12" t="inlineStr">
        <is>
          <t>24 pr</t>
        </is>
      </c>
      <c r="M1190" s="12" t="inlineStr">
        <is>
          <t>18</t>
        </is>
      </c>
      <c r="N1190" s="12" t="n">
        <v>1</v>
      </c>
      <c r="O1190" s="12" t="n">
        <v>1</v>
      </c>
      <c r="P1190" s="12" t="n"/>
      <c r="Q1190" s="12" t="n"/>
      <c r="R1190" s="12" t="n"/>
      <c r="S1190" s="12" t="inlineStr">
        <is>
          <t>Tray</t>
        </is>
      </c>
      <c r="T1190" s="16" t="n">
        <v>718</v>
      </c>
      <c r="U1190" s="16" t="n">
        <v>146</v>
      </c>
      <c r="V1190" s="16">
        <f>ROUNDUP((T1190+U1190+2*'Read Me'!$B$13)*(1+'Read Me'!$B$12),-1)</f>
        <v/>
      </c>
      <c r="W1190" s="16">
        <f>V1190*N1190*O1190</f>
        <v/>
      </c>
      <c r="X1190" s="12">
        <f>IF(LEFT(I1190,2)="MV",2*N1190*IF(L1190="1/C",O1190,1),0)</f>
        <v/>
      </c>
      <c r="Y1190" s="12">
        <f>IF(OR(LEFT(K1190,4)="LVAX",LEFT(K1190,6)="MV15AX",LEFT(K1190,4)="CTAX",LEFT(K1190,2)="W|"),2*N1190*O1190,0)</f>
        <v/>
      </c>
      <c r="Z1190" s="12" t="inlineStr"/>
      <c r="AA1190" s="12">
        <f>N1190*O1190</f>
        <v/>
      </c>
    </row>
    <row r="1191">
      <c r="A1191" s="12" t="inlineStr">
        <is>
          <t>A-I-0469</t>
        </is>
      </c>
      <c r="B1191" s="12" t="inlineStr">
        <is>
          <t>A</t>
        </is>
      </c>
      <c r="C1191" s="12" t="inlineStr">
        <is>
          <t>Power block</t>
        </is>
      </c>
      <c r="D1191" s="12" t="inlineStr">
        <is>
          <t>Discrete device to JB JB-LCT-B-DI01: 16 x 1 pr (field cables)</t>
        </is>
      </c>
      <c r="E1191" s="12" t="inlineStr">
        <is>
          <t>LCT-B</t>
        </is>
      </c>
      <c r="F1191" s="12" t="inlineStr">
        <is>
          <t>LCT-B: 13.8/0.48 kV load-centre transformer</t>
        </is>
      </c>
      <c r="G1191" s="12" t="inlineStr">
        <is>
          <t>JB-LCT-B-DI01</t>
        </is>
      </c>
      <c r="H1191" s="12" t="inlineStr">
        <is>
          <t>LCT-B: 13.8/0.48 kV load-centre transformer</t>
        </is>
      </c>
      <c r="I1191" s="12" t="inlineStr">
        <is>
          <t>Instrumentation</t>
        </is>
      </c>
      <c r="J1191" s="12" t="inlineStr">
        <is>
          <t>Instrumentation PLTC / TC-ER 300 V, #18 twisted shielded pairs, overall shield</t>
        </is>
      </c>
      <c r="K1191" s="12" t="inlineStr">
        <is>
          <t>PLTC|1 pr|16</t>
        </is>
      </c>
      <c r="L1191" s="12" t="inlineStr">
        <is>
          <t>1 pr</t>
        </is>
      </c>
      <c r="M1191" s="12" t="inlineStr">
        <is>
          <t>16</t>
        </is>
      </c>
      <c r="N1191" s="12" t="n">
        <v>16</v>
      </c>
      <c r="O1191" s="12" t="n">
        <v>1</v>
      </c>
      <c r="P1191" s="12" t="n"/>
      <c r="Q1191" s="12" t="n"/>
      <c r="R1191" s="12" t="n"/>
      <c r="S1191" s="12" t="inlineStr">
        <is>
          <t>Tray / conduit</t>
        </is>
      </c>
      <c r="T1191" s="16" t="n">
        <v>41</v>
      </c>
      <c r="U1191" s="16" t="n">
        <v>10</v>
      </c>
      <c r="V1191" s="16">
        <f>ROUNDUP((T1191+U1191+2*'Read Me'!$B$13)*(1+'Read Me'!$B$12),-1)</f>
        <v/>
      </c>
      <c r="W1191" s="16">
        <f>V1191*N1191*O1191</f>
        <v/>
      </c>
      <c r="X1191" s="12">
        <f>IF(LEFT(I1191,2)="MV",2*N1191*IF(L1191="1/C",O1191,1),0)</f>
        <v/>
      </c>
      <c r="Y1191" s="12">
        <f>IF(OR(LEFT(K1191,4)="LVAX",LEFT(K1191,6)="MV15AX",LEFT(K1191,4)="CTAX",LEFT(K1191,2)="W|"),2*N1191*O1191,0)</f>
        <v/>
      </c>
      <c r="Z1191" s="12" t="inlineStr">
        <is>
          <t>device-to-JB field wiring, one cable per device</t>
        </is>
      </c>
      <c r="AA1191" s="12">
        <f>N1191*O1191</f>
        <v/>
      </c>
    </row>
    <row r="1192">
      <c r="A1192" s="12" t="inlineStr">
        <is>
          <t>A-I-0470</t>
        </is>
      </c>
      <c r="B1192" s="12" t="inlineStr">
        <is>
          <t>A</t>
        </is>
      </c>
      <c r="C1192" s="12" t="inlineStr">
        <is>
          <t>Power block</t>
        </is>
      </c>
      <c r="D1192" s="12" t="inlineStr">
        <is>
          <t>Home run JB-LCT-B-DI01 to the control / marshalling room</t>
        </is>
      </c>
      <c r="E1192" s="12" t="inlineStr">
        <is>
          <t>R1</t>
        </is>
      </c>
      <c r="F1192" s="12" t="inlineStr">
        <is>
          <t>R1: main electrical building (64 x 180 ft)</t>
        </is>
      </c>
      <c r="G1192" s="12" t="inlineStr">
        <is>
          <t>JB-LCT-B-DI01</t>
        </is>
      </c>
      <c r="H1192" s="12" t="inlineStr">
        <is>
          <t>LCT-B: 13.8/0.48 kV load-centre transformer</t>
        </is>
      </c>
      <c r="I1192" s="12" t="inlineStr">
        <is>
          <t>Instrumentation</t>
        </is>
      </c>
      <c r="J1192" s="12" t="inlineStr">
        <is>
          <t>Instrumentation PLTC / TC-ER 300 V, #18 twisted shielded pairs, overall shield</t>
        </is>
      </c>
      <c r="K1192" s="12" t="inlineStr">
        <is>
          <t>PLTC|24 pr|18</t>
        </is>
      </c>
      <c r="L1192" s="12" t="inlineStr">
        <is>
          <t>24 pr</t>
        </is>
      </c>
      <c r="M1192" s="12" t="inlineStr">
        <is>
          <t>18</t>
        </is>
      </c>
      <c r="N1192" s="12" t="n">
        <v>1</v>
      </c>
      <c r="O1192" s="12" t="n">
        <v>1</v>
      </c>
      <c r="P1192" s="12" t="n"/>
      <c r="Q1192" s="12" t="n"/>
      <c r="R1192" s="12" t="n"/>
      <c r="S1192" s="12" t="inlineStr">
        <is>
          <t>Tray</t>
        </is>
      </c>
      <c r="T1192" s="16" t="n">
        <v>718</v>
      </c>
      <c r="U1192" s="16" t="n">
        <v>146</v>
      </c>
      <c r="V1192" s="16">
        <f>ROUNDUP((T1192+U1192+2*'Read Me'!$B$13)*(1+'Read Me'!$B$12),-1)</f>
        <v/>
      </c>
      <c r="W1192" s="16">
        <f>V1192*N1192*O1192</f>
        <v/>
      </c>
      <c r="X1192" s="12">
        <f>IF(LEFT(I1192,2)="MV",2*N1192*IF(L1192="1/C",O1192,1),0)</f>
        <v/>
      </c>
      <c r="Y1192" s="12">
        <f>IF(OR(LEFT(K1192,4)="LVAX",LEFT(K1192,6)="MV15AX",LEFT(K1192,4)="CTAX",LEFT(K1192,2)="W|"),2*N1192*O1192,0)</f>
        <v/>
      </c>
      <c r="Z1192" s="12" t="inlineStr"/>
      <c r="AA1192" s="12">
        <f>N1192*O1192</f>
        <v/>
      </c>
    </row>
    <row r="1193">
      <c r="A1193" s="12" t="inlineStr">
        <is>
          <t>A-I-0471</t>
        </is>
      </c>
      <c r="B1193" s="12" t="inlineStr">
        <is>
          <t>A</t>
        </is>
      </c>
      <c r="C1193" s="12" t="inlineStr">
        <is>
          <t>Power block</t>
        </is>
      </c>
      <c r="D1193" s="12" t="inlineStr">
        <is>
          <t>Analog instrument to JB JB-NGT-1-AI01: 10 x 1 pr (field cables)</t>
        </is>
      </c>
      <c r="E1193" s="12" t="inlineStr">
        <is>
          <t>NGT-1</t>
        </is>
      </c>
      <c r="F1193" s="12" t="inlineStr">
        <is>
          <t>NGT-1: neutral grounding cubicle (GTG-1)</t>
        </is>
      </c>
      <c r="G1193" s="12" t="inlineStr">
        <is>
          <t>JB-NGT-1-AI01</t>
        </is>
      </c>
      <c r="H1193" s="12" t="inlineStr">
        <is>
          <t>NGT-1: neutral grounding cubicle (GTG-1)</t>
        </is>
      </c>
      <c r="I1193" s="12" t="inlineStr">
        <is>
          <t>Instrumentation</t>
        </is>
      </c>
      <c r="J1193" s="12" t="inlineStr">
        <is>
          <t>Instrumentation PLTC / TC-ER 300 V, #18 twisted shielded pairs, overall shield</t>
        </is>
      </c>
      <c r="K1193" s="12" t="inlineStr">
        <is>
          <t>PLTC|1 pr|16</t>
        </is>
      </c>
      <c r="L1193" s="12" t="inlineStr">
        <is>
          <t>1 pr</t>
        </is>
      </c>
      <c r="M1193" s="12" t="inlineStr">
        <is>
          <t>16</t>
        </is>
      </c>
      <c r="N1193" s="12" t="n">
        <v>10</v>
      </c>
      <c r="O1193" s="12" t="n">
        <v>1</v>
      </c>
      <c r="P1193" s="12" t="n"/>
      <c r="Q1193" s="12" t="n"/>
      <c r="R1193" s="12" t="n"/>
      <c r="S1193" s="12" t="inlineStr">
        <is>
          <t>Tray / conduit</t>
        </is>
      </c>
      <c r="T1193" s="16" t="n">
        <v>43</v>
      </c>
      <c r="U1193" s="16" t="n">
        <v>10</v>
      </c>
      <c r="V1193" s="16">
        <f>ROUNDUP((T1193+U1193+2*'Read Me'!$B$13)*(1+'Read Me'!$B$12),-1)</f>
        <v/>
      </c>
      <c r="W1193" s="16">
        <f>V1193*N1193*O1193</f>
        <v/>
      </c>
      <c r="X1193" s="12">
        <f>IF(LEFT(I1193,2)="MV",2*N1193*IF(L1193="1/C",O1193,1),0)</f>
        <v/>
      </c>
      <c r="Y1193" s="12">
        <f>IF(OR(LEFT(K1193,4)="LVAX",LEFT(K1193,6)="MV15AX",LEFT(K1193,4)="CTAX",LEFT(K1193,2)="W|"),2*N1193*O1193,0)</f>
        <v/>
      </c>
      <c r="Z1193" s="12" t="inlineStr">
        <is>
          <t>device-to-JB field wiring, one cable per device</t>
        </is>
      </c>
      <c r="AA1193" s="12">
        <f>N1193*O1193</f>
        <v/>
      </c>
    </row>
    <row r="1194">
      <c r="A1194" s="12" t="inlineStr">
        <is>
          <t>A-I-0472</t>
        </is>
      </c>
      <c r="B1194" s="12" t="inlineStr">
        <is>
          <t>A</t>
        </is>
      </c>
      <c r="C1194" s="12" t="inlineStr">
        <is>
          <t>Power block</t>
        </is>
      </c>
      <c r="D1194" s="12" t="inlineStr">
        <is>
          <t>Home run JB-NGT-1-AI01 to the control / marshalling room</t>
        </is>
      </c>
      <c r="E1194" s="12" t="inlineStr">
        <is>
          <t>R2A</t>
        </is>
      </c>
      <c r="F1194" s="12" t="inlineStr">
        <is>
          <t>R2A: unit / HRSG electrical e-house (32 x 40 ft)</t>
        </is>
      </c>
      <c r="G1194" s="12" t="inlineStr">
        <is>
          <t>JB-NGT-1-AI01</t>
        </is>
      </c>
      <c r="H1194" s="12" t="inlineStr">
        <is>
          <t>NGT-1: neutral grounding cubicle (GTG-1)</t>
        </is>
      </c>
      <c r="I1194" s="12" t="inlineStr">
        <is>
          <t>Instrumentation</t>
        </is>
      </c>
      <c r="J1194" s="12" t="inlineStr">
        <is>
          <t>Instrumentation PLTC / TC-ER 300 V, #18 twisted shielded pairs, overall shield</t>
        </is>
      </c>
      <c r="K1194" s="12" t="inlineStr">
        <is>
          <t>PLTC|24 pr|18</t>
        </is>
      </c>
      <c r="L1194" s="12" t="inlineStr">
        <is>
          <t>24 pr</t>
        </is>
      </c>
      <c r="M1194" s="12" t="inlineStr">
        <is>
          <t>18</t>
        </is>
      </c>
      <c r="N1194" s="12" t="n">
        <v>1</v>
      </c>
      <c r="O1194" s="12" t="n">
        <v>1</v>
      </c>
      <c r="P1194" s="12" t="n"/>
      <c r="Q1194" s="12" t="n"/>
      <c r="R1194" s="12" t="n"/>
      <c r="S1194" s="12" t="inlineStr">
        <is>
          <t>Tray</t>
        </is>
      </c>
      <c r="T1194" s="16" t="n">
        <v>359</v>
      </c>
      <c r="U1194" s="16" t="n">
        <v>120</v>
      </c>
      <c r="V1194" s="16">
        <f>ROUNDUP((T1194+U1194+2*'Read Me'!$B$13)*(1+'Read Me'!$B$12),-1)</f>
        <v/>
      </c>
      <c r="W1194" s="16">
        <f>V1194*N1194*O1194</f>
        <v/>
      </c>
      <c r="X1194" s="12">
        <f>IF(LEFT(I1194,2)="MV",2*N1194*IF(L1194="1/C",O1194,1),0)</f>
        <v/>
      </c>
      <c r="Y1194" s="12">
        <f>IF(OR(LEFT(K1194,4)="LVAX",LEFT(K1194,6)="MV15AX",LEFT(K1194,4)="CTAX",LEFT(K1194,2)="W|"),2*N1194*O1194,0)</f>
        <v/>
      </c>
      <c r="Z1194" s="12" t="inlineStr"/>
      <c r="AA1194" s="12">
        <f>N1194*O1194</f>
        <v/>
      </c>
    </row>
    <row r="1195">
      <c r="A1195" s="12" t="inlineStr">
        <is>
          <t>A-I-0473</t>
        </is>
      </c>
      <c r="B1195" s="12" t="inlineStr">
        <is>
          <t>A</t>
        </is>
      </c>
      <c r="C1195" s="12" t="inlineStr">
        <is>
          <t>Power block</t>
        </is>
      </c>
      <c r="D1195" s="12" t="inlineStr">
        <is>
          <t>Discrete device to JB JB-NGT-1-DI01: 20 x 1 pr (field cables)</t>
        </is>
      </c>
      <c r="E1195" s="12" t="inlineStr">
        <is>
          <t>NGT-1</t>
        </is>
      </c>
      <c r="F1195" s="12" t="inlineStr">
        <is>
          <t>NGT-1: neutral grounding cubicle (GTG-1)</t>
        </is>
      </c>
      <c r="G1195" s="12" t="inlineStr">
        <is>
          <t>JB-NGT-1-DI01</t>
        </is>
      </c>
      <c r="H1195" s="12" t="inlineStr">
        <is>
          <t>NGT-1: neutral grounding cubicle (GTG-1)</t>
        </is>
      </c>
      <c r="I1195" s="12" t="inlineStr">
        <is>
          <t>Instrumentation</t>
        </is>
      </c>
      <c r="J1195" s="12" t="inlineStr">
        <is>
          <t>Instrumentation PLTC / TC-ER 300 V, #18 twisted shielded pairs, overall shield</t>
        </is>
      </c>
      <c r="K1195" s="12" t="inlineStr">
        <is>
          <t>PLTC|1 pr|16</t>
        </is>
      </c>
      <c r="L1195" s="12" t="inlineStr">
        <is>
          <t>1 pr</t>
        </is>
      </c>
      <c r="M1195" s="12" t="inlineStr">
        <is>
          <t>16</t>
        </is>
      </c>
      <c r="N1195" s="12" t="n">
        <v>20</v>
      </c>
      <c r="O1195" s="12" t="n">
        <v>1</v>
      </c>
      <c r="P1195" s="12" t="n"/>
      <c r="Q1195" s="12" t="n"/>
      <c r="R1195" s="12" t="n"/>
      <c r="S1195" s="12" t="inlineStr">
        <is>
          <t>Tray / conduit</t>
        </is>
      </c>
      <c r="T1195" s="16" t="n">
        <v>43</v>
      </c>
      <c r="U1195" s="16" t="n">
        <v>10</v>
      </c>
      <c r="V1195" s="16">
        <f>ROUNDUP((T1195+U1195+2*'Read Me'!$B$13)*(1+'Read Me'!$B$12),-1)</f>
        <v/>
      </c>
      <c r="W1195" s="16">
        <f>V1195*N1195*O1195</f>
        <v/>
      </c>
      <c r="X1195" s="12">
        <f>IF(LEFT(I1195,2)="MV",2*N1195*IF(L1195="1/C",O1195,1),0)</f>
        <v/>
      </c>
      <c r="Y1195" s="12">
        <f>IF(OR(LEFT(K1195,4)="LVAX",LEFT(K1195,6)="MV15AX",LEFT(K1195,4)="CTAX",LEFT(K1195,2)="W|"),2*N1195*O1195,0)</f>
        <v/>
      </c>
      <c r="Z1195" s="12" t="inlineStr">
        <is>
          <t>device-to-JB field wiring, one cable per device</t>
        </is>
      </c>
      <c r="AA1195" s="12">
        <f>N1195*O1195</f>
        <v/>
      </c>
    </row>
    <row r="1196">
      <c r="A1196" s="12" t="inlineStr">
        <is>
          <t>A-I-0474</t>
        </is>
      </c>
      <c r="B1196" s="12" t="inlineStr">
        <is>
          <t>A</t>
        </is>
      </c>
      <c r="C1196" s="12" t="inlineStr">
        <is>
          <t>Power block</t>
        </is>
      </c>
      <c r="D1196" s="12" t="inlineStr">
        <is>
          <t>Home run JB-NGT-1-DI01 to the control / marshalling room</t>
        </is>
      </c>
      <c r="E1196" s="12" t="inlineStr">
        <is>
          <t>R2A</t>
        </is>
      </c>
      <c r="F1196" s="12" t="inlineStr">
        <is>
          <t>R2A: unit / HRSG electrical e-house (32 x 40 ft)</t>
        </is>
      </c>
      <c r="G1196" s="12" t="inlineStr">
        <is>
          <t>JB-NGT-1-DI01</t>
        </is>
      </c>
      <c r="H1196" s="12" t="inlineStr">
        <is>
          <t>NGT-1: neutral grounding cubicle (GTG-1)</t>
        </is>
      </c>
      <c r="I1196" s="12" t="inlineStr">
        <is>
          <t>Instrumentation</t>
        </is>
      </c>
      <c r="J1196" s="12" t="inlineStr">
        <is>
          <t>Instrumentation PLTC / TC-ER 300 V, #18 twisted shielded pairs, overall shield</t>
        </is>
      </c>
      <c r="K1196" s="12" t="inlineStr">
        <is>
          <t>PLTC|24 pr|18</t>
        </is>
      </c>
      <c r="L1196" s="12" t="inlineStr">
        <is>
          <t>24 pr</t>
        </is>
      </c>
      <c r="M1196" s="12" t="inlineStr">
        <is>
          <t>18</t>
        </is>
      </c>
      <c r="N1196" s="12" t="n">
        <v>1</v>
      </c>
      <c r="O1196" s="12" t="n">
        <v>1</v>
      </c>
      <c r="P1196" s="12" t="n"/>
      <c r="Q1196" s="12" t="n"/>
      <c r="R1196" s="12" t="n"/>
      <c r="S1196" s="12" t="inlineStr">
        <is>
          <t>Tray</t>
        </is>
      </c>
      <c r="T1196" s="16" t="n">
        <v>359</v>
      </c>
      <c r="U1196" s="16" t="n">
        <v>120</v>
      </c>
      <c r="V1196" s="16">
        <f>ROUNDUP((T1196+U1196+2*'Read Me'!$B$13)*(1+'Read Me'!$B$12),-1)</f>
        <v/>
      </c>
      <c r="W1196" s="16">
        <f>V1196*N1196*O1196</f>
        <v/>
      </c>
      <c r="X1196" s="12">
        <f>IF(LEFT(I1196,2)="MV",2*N1196*IF(L1196="1/C",O1196,1),0)</f>
        <v/>
      </c>
      <c r="Y1196" s="12">
        <f>IF(OR(LEFT(K1196,4)="LVAX",LEFT(K1196,6)="MV15AX",LEFT(K1196,4)="CTAX",LEFT(K1196,2)="W|"),2*N1196*O1196,0)</f>
        <v/>
      </c>
      <c r="Z1196" s="12" t="inlineStr"/>
      <c r="AA1196" s="12">
        <f>N1196*O1196</f>
        <v/>
      </c>
    </row>
    <row r="1197">
      <c r="A1197" s="12" t="inlineStr">
        <is>
          <t>A-I-0475</t>
        </is>
      </c>
      <c r="B1197" s="12" t="inlineStr">
        <is>
          <t>A</t>
        </is>
      </c>
      <c r="C1197" s="12" t="inlineStr">
        <is>
          <t>Power block</t>
        </is>
      </c>
      <c r="D1197" s="12" t="inlineStr">
        <is>
          <t>Analog instrument to JB JB-NGT-2-AI01: 10 x 1 pr (field cables)</t>
        </is>
      </c>
      <c r="E1197" s="12" t="inlineStr">
        <is>
          <t>NGT-2</t>
        </is>
      </c>
      <c r="F1197" s="12" t="inlineStr">
        <is>
          <t>NGT-2: neutral grounding cubicle (GTG-2)</t>
        </is>
      </c>
      <c r="G1197" s="12" t="inlineStr">
        <is>
          <t>JB-NGT-2-AI01</t>
        </is>
      </c>
      <c r="H1197" s="12" t="inlineStr">
        <is>
          <t>NGT-2: neutral grounding cubicle (GTG-2)</t>
        </is>
      </c>
      <c r="I1197" s="12" t="inlineStr">
        <is>
          <t>Instrumentation</t>
        </is>
      </c>
      <c r="J1197" s="12" t="inlineStr">
        <is>
          <t>Instrumentation PLTC / TC-ER 300 V, #18 twisted shielded pairs, overall shield</t>
        </is>
      </c>
      <c r="K1197" s="12" t="inlineStr">
        <is>
          <t>PLTC|1 pr|16</t>
        </is>
      </c>
      <c r="L1197" s="12" t="inlineStr">
        <is>
          <t>1 pr</t>
        </is>
      </c>
      <c r="M1197" s="12" t="inlineStr">
        <is>
          <t>16</t>
        </is>
      </c>
      <c r="N1197" s="12" t="n">
        <v>10</v>
      </c>
      <c r="O1197" s="12" t="n">
        <v>1</v>
      </c>
      <c r="P1197" s="12" t="n"/>
      <c r="Q1197" s="12" t="n"/>
      <c r="R1197" s="12" t="n"/>
      <c r="S1197" s="12" t="inlineStr">
        <is>
          <t>Tray / conduit</t>
        </is>
      </c>
      <c r="T1197" s="16" t="n">
        <v>43</v>
      </c>
      <c r="U1197" s="16" t="n">
        <v>10</v>
      </c>
      <c r="V1197" s="16">
        <f>ROUNDUP((T1197+U1197+2*'Read Me'!$B$13)*(1+'Read Me'!$B$12),-1)</f>
        <v/>
      </c>
      <c r="W1197" s="16">
        <f>V1197*N1197*O1197</f>
        <v/>
      </c>
      <c r="X1197" s="12">
        <f>IF(LEFT(I1197,2)="MV",2*N1197*IF(L1197="1/C",O1197,1),0)</f>
        <v/>
      </c>
      <c r="Y1197" s="12">
        <f>IF(OR(LEFT(K1197,4)="LVAX",LEFT(K1197,6)="MV15AX",LEFT(K1197,4)="CTAX",LEFT(K1197,2)="W|"),2*N1197*O1197,0)</f>
        <v/>
      </c>
      <c r="Z1197" s="12" t="inlineStr">
        <is>
          <t>device-to-JB field wiring, one cable per device</t>
        </is>
      </c>
      <c r="AA1197" s="12">
        <f>N1197*O1197</f>
        <v/>
      </c>
    </row>
    <row r="1198">
      <c r="A1198" s="12" t="inlineStr">
        <is>
          <t>A-I-0476</t>
        </is>
      </c>
      <c r="B1198" s="12" t="inlineStr">
        <is>
          <t>A</t>
        </is>
      </c>
      <c r="C1198" s="12" t="inlineStr">
        <is>
          <t>Power block</t>
        </is>
      </c>
      <c r="D1198" s="12" t="inlineStr">
        <is>
          <t>Home run JB-NGT-2-AI01 to the control / marshalling room</t>
        </is>
      </c>
      <c r="E1198" s="12" t="inlineStr">
        <is>
          <t>R2B</t>
        </is>
      </c>
      <c r="F1198" s="12" t="inlineStr">
        <is>
          <t>R2B: unit / HRSG electrical e-house (32 x 40 ft)</t>
        </is>
      </c>
      <c r="G1198" s="12" t="inlineStr">
        <is>
          <t>JB-NGT-2-AI01</t>
        </is>
      </c>
      <c r="H1198" s="12" t="inlineStr">
        <is>
          <t>NGT-2: neutral grounding cubicle (GTG-2)</t>
        </is>
      </c>
      <c r="I1198" s="12" t="inlineStr">
        <is>
          <t>Instrumentation</t>
        </is>
      </c>
      <c r="J1198" s="12" t="inlineStr">
        <is>
          <t>Instrumentation PLTC / TC-ER 300 V, #18 twisted shielded pairs, overall shield</t>
        </is>
      </c>
      <c r="K1198" s="12" t="inlineStr">
        <is>
          <t>PLTC|24 pr|18</t>
        </is>
      </c>
      <c r="L1198" s="12" t="inlineStr">
        <is>
          <t>24 pr</t>
        </is>
      </c>
      <c r="M1198" s="12" t="inlineStr">
        <is>
          <t>18</t>
        </is>
      </c>
      <c r="N1198" s="12" t="n">
        <v>1</v>
      </c>
      <c r="O1198" s="12" t="n">
        <v>1</v>
      </c>
      <c r="P1198" s="12" t="n"/>
      <c r="Q1198" s="12" t="n"/>
      <c r="R1198" s="12" t="n"/>
      <c r="S1198" s="12" t="inlineStr">
        <is>
          <t>Tray</t>
        </is>
      </c>
      <c r="T1198" s="16" t="n">
        <v>1233</v>
      </c>
      <c r="U1198" s="16" t="n">
        <v>210</v>
      </c>
      <c r="V1198" s="16">
        <f>ROUNDUP((T1198+U1198+2*'Read Me'!$B$13)*(1+'Read Me'!$B$12),-1)</f>
        <v/>
      </c>
      <c r="W1198" s="16">
        <f>V1198*N1198*O1198</f>
        <v/>
      </c>
      <c r="X1198" s="12">
        <f>IF(LEFT(I1198,2)="MV",2*N1198*IF(L1198="1/C",O1198,1),0)</f>
        <v/>
      </c>
      <c r="Y1198" s="12">
        <f>IF(OR(LEFT(K1198,4)="LVAX",LEFT(K1198,6)="MV15AX",LEFT(K1198,4)="CTAX",LEFT(K1198,2)="W|"),2*N1198*O1198,0)</f>
        <v/>
      </c>
      <c r="Z1198" s="12" t="inlineStr"/>
      <c r="AA1198" s="12">
        <f>N1198*O1198</f>
        <v/>
      </c>
    </row>
    <row r="1199">
      <c r="A1199" s="12" t="inlineStr">
        <is>
          <t>A-I-0477</t>
        </is>
      </c>
      <c r="B1199" s="12" t="inlineStr">
        <is>
          <t>A</t>
        </is>
      </c>
      <c r="C1199" s="12" t="inlineStr">
        <is>
          <t>Power block</t>
        </is>
      </c>
      <c r="D1199" s="12" t="inlineStr">
        <is>
          <t>Discrete device to JB JB-NGT-2-DI01: 20 x 1 pr (field cables)</t>
        </is>
      </c>
      <c r="E1199" s="12" t="inlineStr">
        <is>
          <t>NGT-2</t>
        </is>
      </c>
      <c r="F1199" s="12" t="inlineStr">
        <is>
          <t>NGT-2: neutral grounding cubicle (GTG-2)</t>
        </is>
      </c>
      <c r="G1199" s="12" t="inlineStr">
        <is>
          <t>JB-NGT-2-DI01</t>
        </is>
      </c>
      <c r="H1199" s="12" t="inlineStr">
        <is>
          <t>NGT-2: neutral grounding cubicle (GTG-2)</t>
        </is>
      </c>
      <c r="I1199" s="12" t="inlineStr">
        <is>
          <t>Instrumentation</t>
        </is>
      </c>
      <c r="J1199" s="12" t="inlineStr">
        <is>
          <t>Instrumentation PLTC / TC-ER 300 V, #18 twisted shielded pairs, overall shield</t>
        </is>
      </c>
      <c r="K1199" s="12" t="inlineStr">
        <is>
          <t>PLTC|1 pr|16</t>
        </is>
      </c>
      <c r="L1199" s="12" t="inlineStr">
        <is>
          <t>1 pr</t>
        </is>
      </c>
      <c r="M1199" s="12" t="inlineStr">
        <is>
          <t>16</t>
        </is>
      </c>
      <c r="N1199" s="12" t="n">
        <v>20</v>
      </c>
      <c r="O1199" s="12" t="n">
        <v>1</v>
      </c>
      <c r="P1199" s="12" t="n"/>
      <c r="Q1199" s="12" t="n"/>
      <c r="R1199" s="12" t="n"/>
      <c r="S1199" s="12" t="inlineStr">
        <is>
          <t>Tray / conduit</t>
        </is>
      </c>
      <c r="T1199" s="16" t="n">
        <v>43</v>
      </c>
      <c r="U1199" s="16" t="n">
        <v>10</v>
      </c>
      <c r="V1199" s="16">
        <f>ROUNDUP((T1199+U1199+2*'Read Me'!$B$13)*(1+'Read Me'!$B$12),-1)</f>
        <v/>
      </c>
      <c r="W1199" s="16">
        <f>V1199*N1199*O1199</f>
        <v/>
      </c>
      <c r="X1199" s="12">
        <f>IF(LEFT(I1199,2)="MV",2*N1199*IF(L1199="1/C",O1199,1),0)</f>
        <v/>
      </c>
      <c r="Y1199" s="12">
        <f>IF(OR(LEFT(K1199,4)="LVAX",LEFT(K1199,6)="MV15AX",LEFT(K1199,4)="CTAX",LEFT(K1199,2)="W|"),2*N1199*O1199,0)</f>
        <v/>
      </c>
      <c r="Z1199" s="12" t="inlineStr">
        <is>
          <t>device-to-JB field wiring, one cable per device</t>
        </is>
      </c>
      <c r="AA1199" s="12">
        <f>N1199*O1199</f>
        <v/>
      </c>
    </row>
    <row r="1200">
      <c r="A1200" s="12" t="inlineStr">
        <is>
          <t>A-I-0478</t>
        </is>
      </c>
      <c r="B1200" s="12" t="inlineStr">
        <is>
          <t>A</t>
        </is>
      </c>
      <c r="C1200" s="12" t="inlineStr">
        <is>
          <t>Power block</t>
        </is>
      </c>
      <c r="D1200" s="12" t="inlineStr">
        <is>
          <t>Home run JB-NGT-2-DI01 to the control / marshalling room</t>
        </is>
      </c>
      <c r="E1200" s="12" t="inlineStr">
        <is>
          <t>R2B</t>
        </is>
      </c>
      <c r="F1200" s="12" t="inlineStr">
        <is>
          <t>R2B: unit / HRSG electrical e-house (32 x 40 ft)</t>
        </is>
      </c>
      <c r="G1200" s="12" t="inlineStr">
        <is>
          <t>JB-NGT-2-DI01</t>
        </is>
      </c>
      <c r="H1200" s="12" t="inlineStr">
        <is>
          <t>NGT-2: neutral grounding cubicle (GTG-2)</t>
        </is>
      </c>
      <c r="I1200" s="12" t="inlineStr">
        <is>
          <t>Instrumentation</t>
        </is>
      </c>
      <c r="J1200" s="12" t="inlineStr">
        <is>
          <t>Instrumentation PLTC / TC-ER 300 V, #18 twisted shielded pairs, overall shield</t>
        </is>
      </c>
      <c r="K1200" s="12" t="inlineStr">
        <is>
          <t>PLTC|24 pr|18</t>
        </is>
      </c>
      <c r="L1200" s="12" t="inlineStr">
        <is>
          <t>24 pr</t>
        </is>
      </c>
      <c r="M1200" s="12" t="inlineStr">
        <is>
          <t>18</t>
        </is>
      </c>
      <c r="N1200" s="12" t="n">
        <v>1</v>
      </c>
      <c r="O1200" s="12" t="n">
        <v>1</v>
      </c>
      <c r="P1200" s="12" t="n"/>
      <c r="Q1200" s="12" t="n"/>
      <c r="R1200" s="12" t="n"/>
      <c r="S1200" s="12" t="inlineStr">
        <is>
          <t>Tray</t>
        </is>
      </c>
      <c r="T1200" s="16" t="n">
        <v>1233</v>
      </c>
      <c r="U1200" s="16" t="n">
        <v>210</v>
      </c>
      <c r="V1200" s="16">
        <f>ROUNDUP((T1200+U1200+2*'Read Me'!$B$13)*(1+'Read Me'!$B$12),-1)</f>
        <v/>
      </c>
      <c r="W1200" s="16">
        <f>V1200*N1200*O1200</f>
        <v/>
      </c>
      <c r="X1200" s="12">
        <f>IF(LEFT(I1200,2)="MV",2*N1200*IF(L1200="1/C",O1200,1),0)</f>
        <v/>
      </c>
      <c r="Y1200" s="12">
        <f>IF(OR(LEFT(K1200,4)="LVAX",LEFT(K1200,6)="MV15AX",LEFT(K1200,4)="CTAX",LEFT(K1200,2)="W|"),2*N1200*O1200,0)</f>
        <v/>
      </c>
      <c r="Z1200" s="12" t="inlineStr"/>
      <c r="AA1200" s="12">
        <f>N1200*O1200</f>
        <v/>
      </c>
    </row>
    <row r="1201">
      <c r="A1201" s="12" t="inlineStr">
        <is>
          <t>A-I-0479</t>
        </is>
      </c>
      <c r="B1201" s="12" t="inlineStr">
        <is>
          <t>A</t>
        </is>
      </c>
      <c r="C1201" s="12" t="inlineStr">
        <is>
          <t>Power block</t>
        </is>
      </c>
      <c r="D1201" s="12" t="inlineStr">
        <is>
          <t>Analog instrument to JB JB-NGT-3-AI01: 10 x 1 pr (field cables)</t>
        </is>
      </c>
      <c r="E1201" s="12" t="inlineStr">
        <is>
          <t>NGT-3</t>
        </is>
      </c>
      <c r="F1201" s="12" t="inlineStr">
        <is>
          <t>NGT-3: neutral grounding cubicle (GTG-3)</t>
        </is>
      </c>
      <c r="G1201" s="12" t="inlineStr">
        <is>
          <t>JB-NGT-3-AI01</t>
        </is>
      </c>
      <c r="H1201" s="12" t="inlineStr">
        <is>
          <t>NGT-3: neutral grounding cubicle (GTG-3)</t>
        </is>
      </c>
      <c r="I1201" s="12" t="inlineStr">
        <is>
          <t>Instrumentation</t>
        </is>
      </c>
      <c r="J1201" s="12" t="inlineStr">
        <is>
          <t>Instrumentation PLTC / TC-ER 300 V, #18 twisted shielded pairs, overall shield</t>
        </is>
      </c>
      <c r="K1201" s="12" t="inlineStr">
        <is>
          <t>PLTC|1 pr|16</t>
        </is>
      </c>
      <c r="L1201" s="12" t="inlineStr">
        <is>
          <t>1 pr</t>
        </is>
      </c>
      <c r="M1201" s="12" t="inlineStr">
        <is>
          <t>16</t>
        </is>
      </c>
      <c r="N1201" s="12" t="n">
        <v>10</v>
      </c>
      <c r="O1201" s="12" t="n">
        <v>1</v>
      </c>
      <c r="P1201" s="12" t="n"/>
      <c r="Q1201" s="12" t="n"/>
      <c r="R1201" s="12" t="n"/>
      <c r="S1201" s="12" t="inlineStr">
        <is>
          <t>Tray / conduit</t>
        </is>
      </c>
      <c r="T1201" s="16" t="n">
        <v>43</v>
      </c>
      <c r="U1201" s="16" t="n">
        <v>10</v>
      </c>
      <c r="V1201" s="16">
        <f>ROUNDUP((T1201+U1201+2*'Read Me'!$B$13)*(1+'Read Me'!$B$12),-1)</f>
        <v/>
      </c>
      <c r="W1201" s="16">
        <f>V1201*N1201*O1201</f>
        <v/>
      </c>
      <c r="X1201" s="12">
        <f>IF(LEFT(I1201,2)="MV",2*N1201*IF(L1201="1/C",O1201,1),0)</f>
        <v/>
      </c>
      <c r="Y1201" s="12">
        <f>IF(OR(LEFT(K1201,4)="LVAX",LEFT(K1201,6)="MV15AX",LEFT(K1201,4)="CTAX",LEFT(K1201,2)="W|"),2*N1201*O1201,0)</f>
        <v/>
      </c>
      <c r="Z1201" s="12" t="inlineStr">
        <is>
          <t>device-to-JB field wiring, one cable per device</t>
        </is>
      </c>
      <c r="AA1201" s="12">
        <f>N1201*O1201</f>
        <v/>
      </c>
    </row>
    <row r="1202">
      <c r="A1202" s="12" t="inlineStr">
        <is>
          <t>A-I-0480</t>
        </is>
      </c>
      <c r="B1202" s="12" t="inlineStr">
        <is>
          <t>A</t>
        </is>
      </c>
      <c r="C1202" s="12" t="inlineStr">
        <is>
          <t>Power block</t>
        </is>
      </c>
      <c r="D1202" s="12" t="inlineStr">
        <is>
          <t>Home run JB-NGT-3-AI01 to the control / marshalling room</t>
        </is>
      </c>
      <c r="E1202" s="12" t="inlineStr">
        <is>
          <t>R2C</t>
        </is>
      </c>
      <c r="F1202" s="12" t="inlineStr">
        <is>
          <t>R2C: unit / HRSG electrical e-house (32 x 40 ft)</t>
        </is>
      </c>
      <c r="G1202" s="12" t="inlineStr">
        <is>
          <t>JB-NGT-3-AI01</t>
        </is>
      </c>
      <c r="H1202" s="12" t="inlineStr">
        <is>
          <t>NGT-3: neutral grounding cubicle (GTG-3)</t>
        </is>
      </c>
      <c r="I1202" s="12" t="inlineStr">
        <is>
          <t>Instrumentation</t>
        </is>
      </c>
      <c r="J1202" s="12" t="inlineStr">
        <is>
          <t>Instrumentation PLTC / TC-ER 300 V, #18 twisted shielded pairs, overall shield</t>
        </is>
      </c>
      <c r="K1202" s="12" t="inlineStr">
        <is>
          <t>PLTC|24 pr|18</t>
        </is>
      </c>
      <c r="L1202" s="12" t="inlineStr">
        <is>
          <t>24 pr</t>
        </is>
      </c>
      <c r="M1202" s="12" t="inlineStr">
        <is>
          <t>18</t>
        </is>
      </c>
      <c r="N1202" s="12" t="n">
        <v>1</v>
      </c>
      <c r="O1202" s="12" t="n">
        <v>1</v>
      </c>
      <c r="P1202" s="12" t="n"/>
      <c r="Q1202" s="12" t="n"/>
      <c r="R1202" s="12" t="n"/>
      <c r="S1202" s="12" t="inlineStr">
        <is>
          <t>Duct bank</t>
        </is>
      </c>
      <c r="T1202" s="16" t="n">
        <v>1229</v>
      </c>
      <c r="U1202" s="16" t="n">
        <v>198</v>
      </c>
      <c r="V1202" s="16">
        <f>ROUNDUP((T1202+U1202+2*'Read Me'!$B$13)*(1+'Read Me'!$B$12),-1)</f>
        <v/>
      </c>
      <c r="W1202" s="16">
        <f>V1202*N1202*O1202</f>
        <v/>
      </c>
      <c r="X1202" s="12">
        <f>IF(LEFT(I1202,2)="MV",2*N1202*IF(L1202="1/C",O1202,1),0)</f>
        <v/>
      </c>
      <c r="Y1202" s="12">
        <f>IF(OR(LEFT(K1202,4)="LVAX",LEFT(K1202,6)="MV15AX",LEFT(K1202,4)="CTAX",LEFT(K1202,2)="W|"),2*N1202*O1202,0)</f>
        <v/>
      </c>
      <c r="Z1202" s="12" t="inlineStr"/>
      <c r="AA1202" s="12">
        <f>N1202*O1202</f>
        <v/>
      </c>
    </row>
    <row r="1203">
      <c r="A1203" s="12" t="inlineStr">
        <is>
          <t>A-I-0481</t>
        </is>
      </c>
      <c r="B1203" s="12" t="inlineStr">
        <is>
          <t>A</t>
        </is>
      </c>
      <c r="C1203" s="12" t="inlineStr">
        <is>
          <t>Power block</t>
        </is>
      </c>
      <c r="D1203" s="12" t="inlineStr">
        <is>
          <t>Discrete device to JB JB-NGT-3-DI01: 20 x 1 pr (field cables)</t>
        </is>
      </c>
      <c r="E1203" s="12" t="inlineStr">
        <is>
          <t>NGT-3</t>
        </is>
      </c>
      <c r="F1203" s="12" t="inlineStr">
        <is>
          <t>NGT-3: neutral grounding cubicle (GTG-3)</t>
        </is>
      </c>
      <c r="G1203" s="12" t="inlineStr">
        <is>
          <t>JB-NGT-3-DI01</t>
        </is>
      </c>
      <c r="H1203" s="12" t="inlineStr">
        <is>
          <t>NGT-3: neutral grounding cubicle (GTG-3)</t>
        </is>
      </c>
      <c r="I1203" s="12" t="inlineStr">
        <is>
          <t>Instrumentation</t>
        </is>
      </c>
      <c r="J1203" s="12" t="inlineStr">
        <is>
          <t>Instrumentation PLTC / TC-ER 300 V, #18 twisted shielded pairs, overall shield</t>
        </is>
      </c>
      <c r="K1203" s="12" t="inlineStr">
        <is>
          <t>PLTC|1 pr|16</t>
        </is>
      </c>
      <c r="L1203" s="12" t="inlineStr">
        <is>
          <t>1 pr</t>
        </is>
      </c>
      <c r="M1203" s="12" t="inlineStr">
        <is>
          <t>16</t>
        </is>
      </c>
      <c r="N1203" s="12" t="n">
        <v>20</v>
      </c>
      <c r="O1203" s="12" t="n">
        <v>1</v>
      </c>
      <c r="P1203" s="12" t="n"/>
      <c r="Q1203" s="12" t="n"/>
      <c r="R1203" s="12" t="n"/>
      <c r="S1203" s="12" t="inlineStr">
        <is>
          <t>Tray / conduit</t>
        </is>
      </c>
      <c r="T1203" s="16" t="n">
        <v>43</v>
      </c>
      <c r="U1203" s="16" t="n">
        <v>10</v>
      </c>
      <c r="V1203" s="16">
        <f>ROUNDUP((T1203+U1203+2*'Read Me'!$B$13)*(1+'Read Me'!$B$12),-1)</f>
        <v/>
      </c>
      <c r="W1203" s="16">
        <f>V1203*N1203*O1203</f>
        <v/>
      </c>
      <c r="X1203" s="12">
        <f>IF(LEFT(I1203,2)="MV",2*N1203*IF(L1203="1/C",O1203,1),0)</f>
        <v/>
      </c>
      <c r="Y1203" s="12">
        <f>IF(OR(LEFT(K1203,4)="LVAX",LEFT(K1203,6)="MV15AX",LEFT(K1203,4)="CTAX",LEFT(K1203,2)="W|"),2*N1203*O1203,0)</f>
        <v/>
      </c>
      <c r="Z1203" s="12" t="inlineStr">
        <is>
          <t>device-to-JB field wiring, one cable per device</t>
        </is>
      </c>
      <c r="AA1203" s="12">
        <f>N1203*O1203</f>
        <v/>
      </c>
    </row>
    <row r="1204">
      <c r="A1204" s="12" t="inlineStr">
        <is>
          <t>A-I-0482</t>
        </is>
      </c>
      <c r="B1204" s="12" t="inlineStr">
        <is>
          <t>A</t>
        </is>
      </c>
      <c r="C1204" s="12" t="inlineStr">
        <is>
          <t>Power block</t>
        </is>
      </c>
      <c r="D1204" s="12" t="inlineStr">
        <is>
          <t>Home run JB-NGT-3-DI01 to the control / marshalling room</t>
        </is>
      </c>
      <c r="E1204" s="12" t="inlineStr">
        <is>
          <t>R2C</t>
        </is>
      </c>
      <c r="F1204" s="12" t="inlineStr">
        <is>
          <t>R2C: unit / HRSG electrical e-house (32 x 40 ft)</t>
        </is>
      </c>
      <c r="G1204" s="12" t="inlineStr">
        <is>
          <t>JB-NGT-3-DI01</t>
        </is>
      </c>
      <c r="H1204" s="12" t="inlineStr">
        <is>
          <t>NGT-3: neutral grounding cubicle (GTG-3)</t>
        </is>
      </c>
      <c r="I1204" s="12" t="inlineStr">
        <is>
          <t>Instrumentation</t>
        </is>
      </c>
      <c r="J1204" s="12" t="inlineStr">
        <is>
          <t>Instrumentation PLTC / TC-ER 300 V, #18 twisted shielded pairs, overall shield</t>
        </is>
      </c>
      <c r="K1204" s="12" t="inlineStr">
        <is>
          <t>PLTC|24 pr|18</t>
        </is>
      </c>
      <c r="L1204" s="12" t="inlineStr">
        <is>
          <t>24 pr</t>
        </is>
      </c>
      <c r="M1204" s="12" t="inlineStr">
        <is>
          <t>18</t>
        </is>
      </c>
      <c r="N1204" s="12" t="n">
        <v>1</v>
      </c>
      <c r="O1204" s="12" t="n">
        <v>1</v>
      </c>
      <c r="P1204" s="12" t="n"/>
      <c r="Q1204" s="12" t="n"/>
      <c r="R1204" s="12" t="n"/>
      <c r="S1204" s="12" t="inlineStr">
        <is>
          <t>Duct bank</t>
        </is>
      </c>
      <c r="T1204" s="16" t="n">
        <v>1229</v>
      </c>
      <c r="U1204" s="16" t="n">
        <v>198</v>
      </c>
      <c r="V1204" s="16">
        <f>ROUNDUP((T1204+U1204+2*'Read Me'!$B$13)*(1+'Read Me'!$B$12),-1)</f>
        <v/>
      </c>
      <c r="W1204" s="16">
        <f>V1204*N1204*O1204</f>
        <v/>
      </c>
      <c r="X1204" s="12">
        <f>IF(LEFT(I1204,2)="MV",2*N1204*IF(L1204="1/C",O1204,1),0)</f>
        <v/>
      </c>
      <c r="Y1204" s="12">
        <f>IF(OR(LEFT(K1204,4)="LVAX",LEFT(K1204,6)="MV15AX",LEFT(K1204,4)="CTAX",LEFT(K1204,2)="W|"),2*N1204*O1204,0)</f>
        <v/>
      </c>
      <c r="Z1204" s="12" t="inlineStr"/>
      <c r="AA1204" s="12">
        <f>N1204*O1204</f>
        <v/>
      </c>
    </row>
    <row r="1205">
      <c r="A1205" s="12" t="inlineStr">
        <is>
          <t>A-I-0483</t>
        </is>
      </c>
      <c r="B1205" s="12" t="inlineStr">
        <is>
          <t>A</t>
        </is>
      </c>
      <c r="C1205" s="12" t="inlineStr">
        <is>
          <t>Power block</t>
        </is>
      </c>
      <c r="D1205" s="12" t="inlineStr">
        <is>
          <t>Analog instrument to JB JB-NGT-ST-AI01: 10 x 1 pr (field cables)</t>
        </is>
      </c>
      <c r="E1205" s="12" t="inlineStr">
        <is>
          <t>NGT-ST</t>
        </is>
      </c>
      <c r="F1205" s="12" t="inlineStr">
        <is>
          <t>NGT-ST: neutral grounding cubicle (STG)</t>
        </is>
      </c>
      <c r="G1205" s="12" t="inlineStr">
        <is>
          <t>JB-NGT-ST-AI01</t>
        </is>
      </c>
      <c r="H1205" s="12" t="inlineStr">
        <is>
          <t>NGT-ST: neutral grounding cubicle (STG)</t>
        </is>
      </c>
      <c r="I1205" s="12" t="inlineStr">
        <is>
          <t>Instrumentation</t>
        </is>
      </c>
      <c r="J1205" s="12" t="inlineStr">
        <is>
          <t>Instrumentation PLTC / TC-ER 300 V, #18 twisted shielded pairs, overall shield</t>
        </is>
      </c>
      <c r="K1205" s="12" t="inlineStr">
        <is>
          <t>PLTC|1 pr|16</t>
        </is>
      </c>
      <c r="L1205" s="12" t="inlineStr">
        <is>
          <t>1 pr</t>
        </is>
      </c>
      <c r="M1205" s="12" t="inlineStr">
        <is>
          <t>16</t>
        </is>
      </c>
      <c r="N1205" s="12" t="n">
        <v>10</v>
      </c>
      <c r="O1205" s="12" t="n">
        <v>1</v>
      </c>
      <c r="P1205" s="12" t="n"/>
      <c r="Q1205" s="12" t="n"/>
      <c r="R1205" s="12" t="n"/>
      <c r="S1205" s="12" t="inlineStr">
        <is>
          <t>Tray / conduit</t>
        </is>
      </c>
      <c r="T1205" s="16" t="n">
        <v>43</v>
      </c>
      <c r="U1205" s="16" t="n">
        <v>10</v>
      </c>
      <c r="V1205" s="16">
        <f>ROUNDUP((T1205+U1205+2*'Read Me'!$B$13)*(1+'Read Me'!$B$12),-1)</f>
        <v/>
      </c>
      <c r="W1205" s="16">
        <f>V1205*N1205*O1205</f>
        <v/>
      </c>
      <c r="X1205" s="12">
        <f>IF(LEFT(I1205,2)="MV",2*N1205*IF(L1205="1/C",O1205,1),0)</f>
        <v/>
      </c>
      <c r="Y1205" s="12">
        <f>IF(OR(LEFT(K1205,4)="LVAX",LEFT(K1205,6)="MV15AX",LEFT(K1205,4)="CTAX",LEFT(K1205,2)="W|"),2*N1205*O1205,0)</f>
        <v/>
      </c>
      <c r="Z1205" s="12" t="inlineStr">
        <is>
          <t>device-to-JB field wiring, one cable per device</t>
        </is>
      </c>
      <c r="AA1205" s="12">
        <f>N1205*O1205</f>
        <v/>
      </c>
    </row>
    <row r="1206">
      <c r="A1206" s="12" t="inlineStr">
        <is>
          <t>A-I-0484</t>
        </is>
      </c>
      <c r="B1206" s="12" t="inlineStr">
        <is>
          <t>A</t>
        </is>
      </c>
      <c r="C1206" s="12" t="inlineStr">
        <is>
          <t>Power block</t>
        </is>
      </c>
      <c r="D1206" s="12" t="inlineStr">
        <is>
          <t>Home run JB-NGT-ST-AI01 to the control / marshalling room</t>
        </is>
      </c>
      <c r="E1206" s="12" t="inlineStr">
        <is>
          <t>R3</t>
        </is>
      </c>
      <c r="F1206" s="12" t="inlineStr">
        <is>
          <t>R3: ST auxiliary electrical e-house (40 x 65 ft)</t>
        </is>
      </c>
      <c r="G1206" s="12" t="inlineStr">
        <is>
          <t>JB-NGT-ST-AI01</t>
        </is>
      </c>
      <c r="H1206" s="12" t="inlineStr">
        <is>
          <t>NGT-ST: neutral grounding cubicle (STG)</t>
        </is>
      </c>
      <c r="I1206" s="12" t="inlineStr">
        <is>
          <t>Instrumentation</t>
        </is>
      </c>
      <c r="J1206" s="12" t="inlineStr">
        <is>
          <t>Instrumentation PLTC / TC-ER 300 V, #18 twisted shielded pairs, overall shield</t>
        </is>
      </c>
      <c r="K1206" s="12" t="inlineStr">
        <is>
          <t>PLTC|24 pr|18</t>
        </is>
      </c>
      <c r="L1206" s="12" t="inlineStr">
        <is>
          <t>24 pr</t>
        </is>
      </c>
      <c r="M1206" s="12" t="inlineStr">
        <is>
          <t>18</t>
        </is>
      </c>
      <c r="N1206" s="12" t="n">
        <v>1</v>
      </c>
      <c r="O1206" s="12" t="n">
        <v>1</v>
      </c>
      <c r="P1206" s="12" t="n"/>
      <c r="Q1206" s="12" t="n"/>
      <c r="R1206" s="12" t="n"/>
      <c r="S1206" s="12" t="inlineStr">
        <is>
          <t>Tray</t>
        </is>
      </c>
      <c r="T1206" s="16" t="n">
        <v>392</v>
      </c>
      <c r="U1206" s="16" t="n">
        <v>105</v>
      </c>
      <c r="V1206" s="16">
        <f>ROUNDUP((T1206+U1206+2*'Read Me'!$B$13)*(1+'Read Me'!$B$12),-1)</f>
        <v/>
      </c>
      <c r="W1206" s="16">
        <f>V1206*N1206*O1206</f>
        <v/>
      </c>
      <c r="X1206" s="12">
        <f>IF(LEFT(I1206,2)="MV",2*N1206*IF(L1206="1/C",O1206,1),0)</f>
        <v/>
      </c>
      <c r="Y1206" s="12">
        <f>IF(OR(LEFT(K1206,4)="LVAX",LEFT(K1206,6)="MV15AX",LEFT(K1206,4)="CTAX",LEFT(K1206,2)="W|"),2*N1206*O1206,0)</f>
        <v/>
      </c>
      <c r="Z1206" s="12" t="inlineStr"/>
      <c r="AA1206" s="12">
        <f>N1206*O1206</f>
        <v/>
      </c>
    </row>
    <row r="1207">
      <c r="A1207" s="12" t="inlineStr">
        <is>
          <t>A-I-0485</t>
        </is>
      </c>
      <c r="B1207" s="12" t="inlineStr">
        <is>
          <t>A</t>
        </is>
      </c>
      <c r="C1207" s="12" t="inlineStr">
        <is>
          <t>Power block</t>
        </is>
      </c>
      <c r="D1207" s="12" t="inlineStr">
        <is>
          <t>Discrete device to JB JB-NGT-ST-DI01: 20 x 1 pr (field cables)</t>
        </is>
      </c>
      <c r="E1207" s="12" t="inlineStr">
        <is>
          <t>NGT-ST</t>
        </is>
      </c>
      <c r="F1207" s="12" t="inlineStr">
        <is>
          <t>NGT-ST: neutral grounding cubicle (STG)</t>
        </is>
      </c>
      <c r="G1207" s="12" t="inlineStr">
        <is>
          <t>JB-NGT-ST-DI01</t>
        </is>
      </c>
      <c r="H1207" s="12" t="inlineStr">
        <is>
          <t>NGT-ST: neutral grounding cubicle (STG)</t>
        </is>
      </c>
      <c r="I1207" s="12" t="inlineStr">
        <is>
          <t>Instrumentation</t>
        </is>
      </c>
      <c r="J1207" s="12" t="inlineStr">
        <is>
          <t>Instrumentation PLTC / TC-ER 300 V, #18 twisted shielded pairs, overall shield</t>
        </is>
      </c>
      <c r="K1207" s="12" t="inlineStr">
        <is>
          <t>PLTC|1 pr|16</t>
        </is>
      </c>
      <c r="L1207" s="12" t="inlineStr">
        <is>
          <t>1 pr</t>
        </is>
      </c>
      <c r="M1207" s="12" t="inlineStr">
        <is>
          <t>16</t>
        </is>
      </c>
      <c r="N1207" s="12" t="n">
        <v>20</v>
      </c>
      <c r="O1207" s="12" t="n">
        <v>1</v>
      </c>
      <c r="P1207" s="12" t="n"/>
      <c r="Q1207" s="12" t="n"/>
      <c r="R1207" s="12" t="n"/>
      <c r="S1207" s="12" t="inlineStr">
        <is>
          <t>Tray / conduit</t>
        </is>
      </c>
      <c r="T1207" s="16" t="n">
        <v>43</v>
      </c>
      <c r="U1207" s="16" t="n">
        <v>10</v>
      </c>
      <c r="V1207" s="16">
        <f>ROUNDUP((T1207+U1207+2*'Read Me'!$B$13)*(1+'Read Me'!$B$12),-1)</f>
        <v/>
      </c>
      <c r="W1207" s="16">
        <f>V1207*N1207*O1207</f>
        <v/>
      </c>
      <c r="X1207" s="12">
        <f>IF(LEFT(I1207,2)="MV",2*N1207*IF(L1207="1/C",O1207,1),0)</f>
        <v/>
      </c>
      <c r="Y1207" s="12">
        <f>IF(OR(LEFT(K1207,4)="LVAX",LEFT(K1207,6)="MV15AX",LEFT(K1207,4)="CTAX",LEFT(K1207,2)="W|"),2*N1207*O1207,0)</f>
        <v/>
      </c>
      <c r="Z1207" s="12" t="inlineStr">
        <is>
          <t>device-to-JB field wiring, one cable per device</t>
        </is>
      </c>
      <c r="AA1207" s="12">
        <f>N1207*O1207</f>
        <v/>
      </c>
    </row>
    <row r="1208">
      <c r="A1208" s="12" t="inlineStr">
        <is>
          <t>A-I-0486</t>
        </is>
      </c>
      <c r="B1208" s="12" t="inlineStr">
        <is>
          <t>A</t>
        </is>
      </c>
      <c r="C1208" s="12" t="inlineStr">
        <is>
          <t>Power block</t>
        </is>
      </c>
      <c r="D1208" s="12" t="inlineStr">
        <is>
          <t>Home run JB-NGT-ST-DI01 to the control / marshalling room</t>
        </is>
      </c>
      <c r="E1208" s="12" t="inlineStr">
        <is>
          <t>R3</t>
        </is>
      </c>
      <c r="F1208" s="12" t="inlineStr">
        <is>
          <t>R3: ST auxiliary electrical e-house (40 x 65 ft)</t>
        </is>
      </c>
      <c r="G1208" s="12" t="inlineStr">
        <is>
          <t>JB-NGT-ST-DI01</t>
        </is>
      </c>
      <c r="H1208" s="12" t="inlineStr">
        <is>
          <t>NGT-ST: neutral grounding cubicle (STG)</t>
        </is>
      </c>
      <c r="I1208" s="12" t="inlineStr">
        <is>
          <t>Instrumentation</t>
        </is>
      </c>
      <c r="J1208" s="12" t="inlineStr">
        <is>
          <t>Instrumentation PLTC / TC-ER 300 V, #18 twisted shielded pairs, overall shield</t>
        </is>
      </c>
      <c r="K1208" s="12" t="inlineStr">
        <is>
          <t>PLTC|24 pr|18</t>
        </is>
      </c>
      <c r="L1208" s="12" t="inlineStr">
        <is>
          <t>24 pr</t>
        </is>
      </c>
      <c r="M1208" s="12" t="inlineStr">
        <is>
          <t>18</t>
        </is>
      </c>
      <c r="N1208" s="12" t="n">
        <v>1</v>
      </c>
      <c r="O1208" s="12" t="n">
        <v>1</v>
      </c>
      <c r="P1208" s="12" t="n"/>
      <c r="Q1208" s="12" t="n"/>
      <c r="R1208" s="12" t="n"/>
      <c r="S1208" s="12" t="inlineStr">
        <is>
          <t>Tray</t>
        </is>
      </c>
      <c r="T1208" s="16" t="n">
        <v>392</v>
      </c>
      <c r="U1208" s="16" t="n">
        <v>105</v>
      </c>
      <c r="V1208" s="16">
        <f>ROUNDUP((T1208+U1208+2*'Read Me'!$B$13)*(1+'Read Me'!$B$12),-1)</f>
        <v/>
      </c>
      <c r="W1208" s="16">
        <f>V1208*N1208*O1208</f>
        <v/>
      </c>
      <c r="X1208" s="12">
        <f>IF(LEFT(I1208,2)="MV",2*N1208*IF(L1208="1/C",O1208,1),0)</f>
        <v/>
      </c>
      <c r="Y1208" s="12">
        <f>IF(OR(LEFT(K1208,4)="LVAX",LEFT(K1208,6)="MV15AX",LEFT(K1208,4)="CTAX",LEFT(K1208,2)="W|"),2*N1208*O1208,0)</f>
        <v/>
      </c>
      <c r="Z1208" s="12" t="inlineStr"/>
      <c r="AA1208" s="12">
        <f>N1208*O1208</f>
        <v/>
      </c>
    </row>
    <row r="1209">
      <c r="A1209" s="12" t="inlineStr">
        <is>
          <t>A-I-0487</t>
        </is>
      </c>
      <c r="B1209" s="12" t="inlineStr">
        <is>
          <t>A</t>
        </is>
      </c>
      <c r="C1209" s="12" t="inlineStr">
        <is>
          <t>Power block</t>
        </is>
      </c>
      <c r="D1209" s="12" t="inlineStr">
        <is>
          <t>Instrumentation</t>
        </is>
      </c>
      <c r="E1209" s="12" t="inlineStr">
        <is>
          <t>R1</t>
        </is>
      </c>
      <c r="F1209" s="12" t="inlineStr">
        <is>
          <t>R1: main electrical building (64 x 180 ft)</t>
        </is>
      </c>
      <c r="G1209" s="12" t="inlineStr">
        <is>
          <t>TX-LCI-1</t>
        </is>
      </c>
      <c r="H1209" s="12" t="inlineStr">
        <is>
          <t>R1 TX-LCI-1 dry-type input transformer</t>
        </is>
      </c>
      <c r="I1209" s="12" t="inlineStr">
        <is>
          <t>Instrumentation</t>
        </is>
      </c>
      <c r="J1209" s="12" t="inlineStr">
        <is>
          <t>Instrumentation PLTC / TC-ER 300 V, #18 twisted shielded pairs, overall shield</t>
        </is>
      </c>
      <c r="K1209" s="12" t="inlineStr">
        <is>
          <t>PLTC|4 pr|18</t>
        </is>
      </c>
      <c r="L1209" s="12" t="inlineStr">
        <is>
          <t>4 pr</t>
        </is>
      </c>
      <c r="M1209" s="12" t="inlineStr">
        <is>
          <t>18</t>
        </is>
      </c>
      <c r="N1209" s="12" t="n">
        <v>1</v>
      </c>
      <c r="O1209" s="12" t="n">
        <v>1</v>
      </c>
      <c r="P1209" s="12" t="n"/>
      <c r="Q1209" s="12" t="n"/>
      <c r="R1209" s="12" t="n"/>
      <c r="S1209" s="12" t="inlineStr">
        <is>
          <t>Tray</t>
        </is>
      </c>
      <c r="T1209" s="16" t="n">
        <v>0</v>
      </c>
      <c r="U1209" s="16" t="n">
        <v>73</v>
      </c>
      <c r="V1209" s="16">
        <f>ROUNDUP((T1209+U1209+2*'Read Me'!$B$13)*(1+'Read Me'!$B$12),-1)</f>
        <v/>
      </c>
      <c r="W1209" s="16">
        <f>V1209*N1209*O1209</f>
        <v/>
      </c>
      <c r="X1209" s="12">
        <f>IF(LEFT(I1209,2)="MV",2*N1209*IF(L1209="1/C",O1209,1),0)</f>
        <v/>
      </c>
      <c r="Y1209" s="12">
        <f>IF(OR(LEFT(K1209,4)="LVAX",LEFT(K1209,6)="MV15AX",LEFT(K1209,4)="CTAX",LEFT(K1209,2)="W|"),2*N1209*O1209,0)</f>
        <v/>
      </c>
      <c r="Z1209" s="12" t="inlineStr"/>
      <c r="AA1209" s="12">
        <f>N1209*O1209</f>
        <v/>
      </c>
    </row>
    <row r="1210">
      <c r="A1210" s="12" t="inlineStr">
        <is>
          <t>A-I-0488</t>
        </is>
      </c>
      <c r="B1210" s="12" t="inlineStr">
        <is>
          <t>A</t>
        </is>
      </c>
      <c r="C1210" s="12" t="inlineStr">
        <is>
          <t>Power block</t>
        </is>
      </c>
      <c r="D1210" s="12" t="inlineStr">
        <is>
          <t>Instrumentation</t>
        </is>
      </c>
      <c r="E1210" s="12" t="inlineStr">
        <is>
          <t>R1</t>
        </is>
      </c>
      <c r="F1210" s="12" t="inlineStr">
        <is>
          <t>R1: main electrical building (64 x 180 ft)</t>
        </is>
      </c>
      <c r="G1210" s="12" t="inlineStr">
        <is>
          <t>TX-LCI-2</t>
        </is>
      </c>
      <c r="H1210" s="12" t="inlineStr">
        <is>
          <t>R1 TX-LCI-2 dry-type input transformer</t>
        </is>
      </c>
      <c r="I1210" s="12" t="inlineStr">
        <is>
          <t>Instrumentation</t>
        </is>
      </c>
      <c r="J1210" s="12" t="inlineStr">
        <is>
          <t>Instrumentation PLTC / TC-ER 300 V, #18 twisted shielded pairs, overall shield</t>
        </is>
      </c>
      <c r="K1210" s="12" t="inlineStr">
        <is>
          <t>PLTC|4 pr|18</t>
        </is>
      </c>
      <c r="L1210" s="12" t="inlineStr">
        <is>
          <t>4 pr</t>
        </is>
      </c>
      <c r="M1210" s="12" t="inlineStr">
        <is>
          <t>18</t>
        </is>
      </c>
      <c r="N1210" s="12" t="n">
        <v>1</v>
      </c>
      <c r="O1210" s="12" t="n">
        <v>1</v>
      </c>
      <c r="P1210" s="12" t="n"/>
      <c r="Q1210" s="12" t="n"/>
      <c r="R1210" s="12" t="n"/>
      <c r="S1210" s="12" t="inlineStr">
        <is>
          <t>Tray</t>
        </is>
      </c>
      <c r="T1210" s="16" t="n">
        <v>0</v>
      </c>
      <c r="U1210" s="16" t="n">
        <v>109</v>
      </c>
      <c r="V1210" s="16">
        <f>ROUNDUP((T1210+U1210+2*'Read Me'!$B$13)*(1+'Read Me'!$B$12),-1)</f>
        <v/>
      </c>
      <c r="W1210" s="16">
        <f>V1210*N1210*O1210</f>
        <v/>
      </c>
      <c r="X1210" s="12">
        <f>IF(LEFT(I1210,2)="MV",2*N1210*IF(L1210="1/C",O1210,1),0)</f>
        <v/>
      </c>
      <c r="Y1210" s="12">
        <f>IF(OR(LEFT(K1210,4)="LVAX",LEFT(K1210,6)="MV15AX",LEFT(K1210,4)="CTAX",LEFT(K1210,2)="W|"),2*N1210*O1210,0)</f>
        <v/>
      </c>
      <c r="Z1210" s="12" t="inlineStr"/>
      <c r="AA1210" s="12">
        <f>N1210*O1210</f>
        <v/>
      </c>
    </row>
    <row r="1211">
      <c r="A1211" s="12" t="inlineStr">
        <is>
          <t>A-I-0489</t>
        </is>
      </c>
      <c r="B1211" s="12" t="inlineStr">
        <is>
          <t>A</t>
        </is>
      </c>
      <c r="C1211" s="12" t="inlineStr">
        <is>
          <t>Power block</t>
        </is>
      </c>
      <c r="D1211" s="12" t="inlineStr">
        <is>
          <t>Instrumentation</t>
        </is>
      </c>
      <c r="E1211" s="12" t="inlineStr">
        <is>
          <t>R1</t>
        </is>
      </c>
      <c r="F1211" s="12" t="inlineStr">
        <is>
          <t>R1: main electrical building (64 x 180 ft)</t>
        </is>
      </c>
      <c r="G1211" s="12" t="inlineStr">
        <is>
          <t>TX-LCI-3</t>
        </is>
      </c>
      <c r="H1211" s="12" t="inlineStr">
        <is>
          <t>R1 TX-LCI-3 dry-type input transformer</t>
        </is>
      </c>
      <c r="I1211" s="12" t="inlineStr">
        <is>
          <t>Instrumentation</t>
        </is>
      </c>
      <c r="J1211" s="12" t="inlineStr">
        <is>
          <t>Instrumentation PLTC / TC-ER 300 V, #18 twisted shielded pairs, overall shield</t>
        </is>
      </c>
      <c r="K1211" s="12" t="inlineStr">
        <is>
          <t>PLTC|4 pr|18</t>
        </is>
      </c>
      <c r="L1211" s="12" t="inlineStr">
        <is>
          <t>4 pr</t>
        </is>
      </c>
      <c r="M1211" s="12" t="inlineStr">
        <is>
          <t>18</t>
        </is>
      </c>
      <c r="N1211" s="12" t="n">
        <v>1</v>
      </c>
      <c r="O1211" s="12" t="n">
        <v>1</v>
      </c>
      <c r="P1211" s="12" t="n"/>
      <c r="Q1211" s="12" t="n"/>
      <c r="R1211" s="12" t="n"/>
      <c r="S1211" s="12" t="inlineStr">
        <is>
          <t>Tray</t>
        </is>
      </c>
      <c r="T1211" s="16" t="n">
        <v>667</v>
      </c>
      <c r="U1211" s="16" t="n">
        <v>144</v>
      </c>
      <c r="V1211" s="16">
        <f>ROUNDUP((T1211+U1211+2*'Read Me'!$B$13)*(1+'Read Me'!$B$12),-1)</f>
        <v/>
      </c>
      <c r="W1211" s="16">
        <f>V1211*N1211*O1211</f>
        <v/>
      </c>
      <c r="X1211" s="12">
        <f>IF(LEFT(I1211,2)="MV",2*N1211*IF(L1211="1/C",O1211,1),0)</f>
        <v/>
      </c>
      <c r="Y1211" s="12">
        <f>IF(OR(LEFT(K1211,4)="LVAX",LEFT(K1211,6)="MV15AX",LEFT(K1211,4)="CTAX",LEFT(K1211,2)="W|"),2*N1211*O1211,0)</f>
        <v/>
      </c>
      <c r="Z1211" s="12" t="inlineStr"/>
      <c r="AA1211" s="12">
        <f>N1211*O1211</f>
        <v/>
      </c>
    </row>
    <row r="1212">
      <c r="A1212" s="12" t="inlineStr">
        <is>
          <t>A-I-0490</t>
        </is>
      </c>
      <c r="B1212" s="12" t="inlineStr">
        <is>
          <t>A</t>
        </is>
      </c>
      <c r="C1212" s="12" t="inlineStr">
        <is>
          <t>Power block</t>
        </is>
      </c>
      <c r="D1212" s="12" t="inlineStr">
        <is>
          <t>Analog instrument to JB JB-SCRB-1-AI01: 6 x 1 pr (field cables)</t>
        </is>
      </c>
      <c r="E1212" s="12" t="inlineStr">
        <is>
          <t>SCRB-1</t>
        </is>
      </c>
      <c r="F1212" s="12" t="inlineStr">
        <is>
          <t>SCRB-1A/B: SCR dilution-air blowers</t>
        </is>
      </c>
      <c r="G1212" s="12" t="inlineStr">
        <is>
          <t>JB-SCRB-1-AI01</t>
        </is>
      </c>
      <c r="H1212" s="12" t="inlineStr">
        <is>
          <t>SCRB-1A/B: SCR dilution-air blowers</t>
        </is>
      </c>
      <c r="I1212" s="12" t="inlineStr">
        <is>
          <t>Instrumentation</t>
        </is>
      </c>
      <c r="J1212" s="12" t="inlineStr">
        <is>
          <t>Instrumentation PLTC / TC-ER 300 V, #18 twisted shielded pairs, overall shield</t>
        </is>
      </c>
      <c r="K1212" s="12" t="inlineStr">
        <is>
          <t>PLTC|1 pr|16</t>
        </is>
      </c>
      <c r="L1212" s="12" t="inlineStr">
        <is>
          <t>1 pr</t>
        </is>
      </c>
      <c r="M1212" s="12" t="inlineStr">
        <is>
          <t>16</t>
        </is>
      </c>
      <c r="N1212" s="12" t="n">
        <v>6</v>
      </c>
      <c r="O1212" s="12" t="n">
        <v>1</v>
      </c>
      <c r="P1212" s="12" t="n"/>
      <c r="Q1212" s="12" t="n"/>
      <c r="R1212" s="12" t="n"/>
      <c r="S1212" s="12" t="inlineStr">
        <is>
          <t>Tray / conduit</t>
        </is>
      </c>
      <c r="T1212" s="16" t="n">
        <v>51</v>
      </c>
      <c r="U1212" s="16" t="n">
        <v>10</v>
      </c>
      <c r="V1212" s="16">
        <f>ROUNDUP((T1212+U1212+2*'Read Me'!$B$13)*(1+'Read Me'!$B$12),-1)</f>
        <v/>
      </c>
      <c r="W1212" s="16">
        <f>V1212*N1212*O1212</f>
        <v/>
      </c>
      <c r="X1212" s="12">
        <f>IF(LEFT(I1212,2)="MV",2*N1212*IF(L1212="1/C",O1212,1),0)</f>
        <v/>
      </c>
      <c r="Y1212" s="12">
        <f>IF(OR(LEFT(K1212,4)="LVAX",LEFT(K1212,6)="MV15AX",LEFT(K1212,4)="CTAX",LEFT(K1212,2)="W|"),2*N1212*O1212,0)</f>
        <v/>
      </c>
      <c r="Z1212" s="12" t="inlineStr">
        <is>
          <t>device-to-JB field wiring, one cable per device</t>
        </is>
      </c>
      <c r="AA1212" s="12">
        <f>N1212*O1212</f>
        <v/>
      </c>
    </row>
    <row r="1213">
      <c r="A1213" s="12" t="inlineStr">
        <is>
          <t>A-I-0491</t>
        </is>
      </c>
      <c r="B1213" s="12" t="inlineStr">
        <is>
          <t>A</t>
        </is>
      </c>
      <c r="C1213" s="12" t="inlineStr">
        <is>
          <t>Power block</t>
        </is>
      </c>
      <c r="D1213" s="12" t="inlineStr">
        <is>
          <t>Home run JB-SCRB-1-AI01 to the control / marshalling room</t>
        </is>
      </c>
      <c r="E1213" s="12" t="inlineStr">
        <is>
          <t>R2A</t>
        </is>
      </c>
      <c r="F1213" s="12" t="inlineStr">
        <is>
          <t>R2A: unit / HRSG electrical e-house (32 x 40 ft)</t>
        </is>
      </c>
      <c r="G1213" s="12" t="inlineStr">
        <is>
          <t>JB-SCRB-1-AI01</t>
        </is>
      </c>
      <c r="H1213" s="12" t="inlineStr">
        <is>
          <t>SCRB-1A/B: SCR dilution-air blowers</t>
        </is>
      </c>
      <c r="I1213" s="12" t="inlineStr">
        <is>
          <t>Instrumentation</t>
        </is>
      </c>
      <c r="J1213" s="12" t="inlineStr">
        <is>
          <t>Instrumentation PLTC / TC-ER 300 V, #18 twisted shielded pairs, overall shield</t>
        </is>
      </c>
      <c r="K1213" s="12" t="inlineStr">
        <is>
          <t>PLTC|24 pr|18</t>
        </is>
      </c>
      <c r="L1213" s="12" t="inlineStr">
        <is>
          <t>24 pr</t>
        </is>
      </c>
      <c r="M1213" s="12" t="inlineStr">
        <is>
          <t>18</t>
        </is>
      </c>
      <c r="N1213" s="12" t="n">
        <v>1</v>
      </c>
      <c r="O1213" s="12" t="n">
        <v>1</v>
      </c>
      <c r="P1213" s="12" t="n"/>
      <c r="Q1213" s="12" t="n"/>
      <c r="R1213" s="12" t="n"/>
      <c r="S1213" s="12" t="inlineStr">
        <is>
          <t>Tray</t>
        </is>
      </c>
      <c r="T1213" s="16" t="n">
        <v>404</v>
      </c>
      <c r="U1213" s="16" t="n">
        <v>72</v>
      </c>
      <c r="V1213" s="16">
        <f>ROUNDUP((T1213+U1213+2*'Read Me'!$B$13)*(1+'Read Me'!$B$12),-1)</f>
        <v/>
      </c>
      <c r="W1213" s="16">
        <f>V1213*N1213*O1213</f>
        <v/>
      </c>
      <c r="X1213" s="12">
        <f>IF(LEFT(I1213,2)="MV",2*N1213*IF(L1213="1/C",O1213,1),0)</f>
        <v/>
      </c>
      <c r="Y1213" s="12">
        <f>IF(OR(LEFT(K1213,4)="LVAX",LEFT(K1213,6)="MV15AX",LEFT(K1213,4)="CTAX",LEFT(K1213,2)="W|"),2*N1213*O1213,0)</f>
        <v/>
      </c>
      <c r="Z1213" s="12" t="inlineStr"/>
      <c r="AA1213" s="12">
        <f>N1213*O1213</f>
        <v/>
      </c>
    </row>
    <row r="1214">
      <c r="A1214" s="12" t="inlineStr">
        <is>
          <t>A-I-0492</t>
        </is>
      </c>
      <c r="B1214" s="12" t="inlineStr">
        <is>
          <t>A</t>
        </is>
      </c>
      <c r="C1214" s="12" t="inlineStr">
        <is>
          <t>Power block</t>
        </is>
      </c>
      <c r="D1214" s="12" t="inlineStr">
        <is>
          <t>Discrete device to JB JB-SCRB-1-DI01: 6 x 1 pr (field cables)</t>
        </is>
      </c>
      <c r="E1214" s="12" t="inlineStr">
        <is>
          <t>SCRB-1</t>
        </is>
      </c>
      <c r="F1214" s="12" t="inlineStr">
        <is>
          <t>SCRB-1A/B: SCR dilution-air blowers</t>
        </is>
      </c>
      <c r="G1214" s="12" t="inlineStr">
        <is>
          <t>JB-SCRB-1-DI01</t>
        </is>
      </c>
      <c r="H1214" s="12" t="inlineStr">
        <is>
          <t>SCRB-1A/B: SCR dilution-air blowers</t>
        </is>
      </c>
      <c r="I1214" s="12" t="inlineStr">
        <is>
          <t>Instrumentation</t>
        </is>
      </c>
      <c r="J1214" s="12" t="inlineStr">
        <is>
          <t>Instrumentation PLTC / TC-ER 300 V, #18 twisted shielded pairs, overall shield</t>
        </is>
      </c>
      <c r="K1214" s="12" t="inlineStr">
        <is>
          <t>PLTC|1 pr|16</t>
        </is>
      </c>
      <c r="L1214" s="12" t="inlineStr">
        <is>
          <t>1 pr</t>
        </is>
      </c>
      <c r="M1214" s="12" t="inlineStr">
        <is>
          <t>16</t>
        </is>
      </c>
      <c r="N1214" s="12" t="n">
        <v>6</v>
      </c>
      <c r="O1214" s="12" t="n">
        <v>1</v>
      </c>
      <c r="P1214" s="12" t="n"/>
      <c r="Q1214" s="12" t="n"/>
      <c r="R1214" s="12" t="n"/>
      <c r="S1214" s="12" t="inlineStr">
        <is>
          <t>Tray / conduit</t>
        </is>
      </c>
      <c r="T1214" s="16" t="n">
        <v>51</v>
      </c>
      <c r="U1214" s="16" t="n">
        <v>10</v>
      </c>
      <c r="V1214" s="16">
        <f>ROUNDUP((T1214+U1214+2*'Read Me'!$B$13)*(1+'Read Me'!$B$12),-1)</f>
        <v/>
      </c>
      <c r="W1214" s="16">
        <f>V1214*N1214*O1214</f>
        <v/>
      </c>
      <c r="X1214" s="12">
        <f>IF(LEFT(I1214,2)="MV",2*N1214*IF(L1214="1/C",O1214,1),0)</f>
        <v/>
      </c>
      <c r="Y1214" s="12">
        <f>IF(OR(LEFT(K1214,4)="LVAX",LEFT(K1214,6)="MV15AX",LEFT(K1214,4)="CTAX",LEFT(K1214,2)="W|"),2*N1214*O1214,0)</f>
        <v/>
      </c>
      <c r="Z1214" s="12" t="inlineStr">
        <is>
          <t>device-to-JB field wiring, one cable per device</t>
        </is>
      </c>
      <c r="AA1214" s="12">
        <f>N1214*O1214</f>
        <v/>
      </c>
    </row>
    <row r="1215">
      <c r="A1215" s="12" t="inlineStr">
        <is>
          <t>A-I-0493</t>
        </is>
      </c>
      <c r="B1215" s="12" t="inlineStr">
        <is>
          <t>A</t>
        </is>
      </c>
      <c r="C1215" s="12" t="inlineStr">
        <is>
          <t>Power block</t>
        </is>
      </c>
      <c r="D1215" s="12" t="inlineStr">
        <is>
          <t>Home run JB-SCRB-1-DI01 to the control / marshalling room</t>
        </is>
      </c>
      <c r="E1215" s="12" t="inlineStr">
        <is>
          <t>R2A</t>
        </is>
      </c>
      <c r="F1215" s="12" t="inlineStr">
        <is>
          <t>R2A: unit / HRSG electrical e-house (32 x 40 ft)</t>
        </is>
      </c>
      <c r="G1215" s="12" t="inlineStr">
        <is>
          <t>JB-SCRB-1-DI01</t>
        </is>
      </c>
      <c r="H1215" s="12" t="inlineStr">
        <is>
          <t>SCRB-1A/B: SCR dilution-air blowers</t>
        </is>
      </c>
      <c r="I1215" s="12" t="inlineStr">
        <is>
          <t>Instrumentation</t>
        </is>
      </c>
      <c r="J1215" s="12" t="inlineStr">
        <is>
          <t>Instrumentation PLTC / TC-ER 300 V, #18 twisted shielded pairs, overall shield</t>
        </is>
      </c>
      <c r="K1215" s="12" t="inlineStr">
        <is>
          <t>PLTC|24 pr|18</t>
        </is>
      </c>
      <c r="L1215" s="12" t="inlineStr">
        <is>
          <t>24 pr</t>
        </is>
      </c>
      <c r="M1215" s="12" t="inlineStr">
        <is>
          <t>18</t>
        </is>
      </c>
      <c r="N1215" s="12" t="n">
        <v>1</v>
      </c>
      <c r="O1215" s="12" t="n">
        <v>1</v>
      </c>
      <c r="P1215" s="12" t="n"/>
      <c r="Q1215" s="12" t="n"/>
      <c r="R1215" s="12" t="n"/>
      <c r="S1215" s="12" t="inlineStr">
        <is>
          <t>Tray</t>
        </is>
      </c>
      <c r="T1215" s="16" t="n">
        <v>404</v>
      </c>
      <c r="U1215" s="16" t="n">
        <v>72</v>
      </c>
      <c r="V1215" s="16">
        <f>ROUNDUP((T1215+U1215+2*'Read Me'!$B$13)*(1+'Read Me'!$B$12),-1)</f>
        <v/>
      </c>
      <c r="W1215" s="16">
        <f>V1215*N1215*O1215</f>
        <v/>
      </c>
      <c r="X1215" s="12">
        <f>IF(LEFT(I1215,2)="MV",2*N1215*IF(L1215="1/C",O1215,1),0)</f>
        <v/>
      </c>
      <c r="Y1215" s="12">
        <f>IF(OR(LEFT(K1215,4)="LVAX",LEFT(K1215,6)="MV15AX",LEFT(K1215,4)="CTAX",LEFT(K1215,2)="W|"),2*N1215*O1215,0)</f>
        <v/>
      </c>
      <c r="Z1215" s="12" t="inlineStr"/>
      <c r="AA1215" s="12">
        <f>N1215*O1215</f>
        <v/>
      </c>
    </row>
    <row r="1216">
      <c r="A1216" s="12" t="inlineStr">
        <is>
          <t>A-I-0494</t>
        </is>
      </c>
      <c r="B1216" s="12" t="inlineStr">
        <is>
          <t>A</t>
        </is>
      </c>
      <c r="C1216" s="12" t="inlineStr">
        <is>
          <t>Power block</t>
        </is>
      </c>
      <c r="D1216" s="12" t="inlineStr">
        <is>
          <t>Analog instrument to JB JB-SCRB-2-AI01: 6 x 1 pr (field cables)</t>
        </is>
      </c>
      <c r="E1216" s="12" t="inlineStr">
        <is>
          <t>SCRB-2</t>
        </is>
      </c>
      <c r="F1216" s="12" t="inlineStr">
        <is>
          <t>SCRB-2A/B: SCR dilution-air blowers</t>
        </is>
      </c>
      <c r="G1216" s="12" t="inlineStr">
        <is>
          <t>JB-SCRB-2-AI01</t>
        </is>
      </c>
      <c r="H1216" s="12" t="inlineStr">
        <is>
          <t>SCRB-2A/B: SCR dilution-air blowers</t>
        </is>
      </c>
      <c r="I1216" s="12" t="inlineStr">
        <is>
          <t>Instrumentation</t>
        </is>
      </c>
      <c r="J1216" s="12" t="inlineStr">
        <is>
          <t>Instrumentation PLTC / TC-ER 300 V, #18 twisted shielded pairs, overall shield</t>
        </is>
      </c>
      <c r="K1216" s="12" t="inlineStr">
        <is>
          <t>PLTC|1 pr|16</t>
        </is>
      </c>
      <c r="L1216" s="12" t="inlineStr">
        <is>
          <t>1 pr</t>
        </is>
      </c>
      <c r="M1216" s="12" t="inlineStr">
        <is>
          <t>16</t>
        </is>
      </c>
      <c r="N1216" s="12" t="n">
        <v>6</v>
      </c>
      <c r="O1216" s="12" t="n">
        <v>1</v>
      </c>
      <c r="P1216" s="12" t="n"/>
      <c r="Q1216" s="12" t="n"/>
      <c r="R1216" s="12" t="n"/>
      <c r="S1216" s="12" t="inlineStr">
        <is>
          <t>Tray / conduit</t>
        </is>
      </c>
      <c r="T1216" s="16" t="n">
        <v>51</v>
      </c>
      <c r="U1216" s="16" t="n">
        <v>10</v>
      </c>
      <c r="V1216" s="16">
        <f>ROUNDUP((T1216+U1216+2*'Read Me'!$B$13)*(1+'Read Me'!$B$12),-1)</f>
        <v/>
      </c>
      <c r="W1216" s="16">
        <f>V1216*N1216*O1216</f>
        <v/>
      </c>
      <c r="X1216" s="12">
        <f>IF(LEFT(I1216,2)="MV",2*N1216*IF(L1216="1/C",O1216,1),0)</f>
        <v/>
      </c>
      <c r="Y1216" s="12">
        <f>IF(OR(LEFT(K1216,4)="LVAX",LEFT(K1216,6)="MV15AX",LEFT(K1216,4)="CTAX",LEFT(K1216,2)="W|"),2*N1216*O1216,0)</f>
        <v/>
      </c>
      <c r="Z1216" s="12" t="inlineStr">
        <is>
          <t>device-to-JB field wiring, one cable per device</t>
        </is>
      </c>
      <c r="AA1216" s="12">
        <f>N1216*O1216</f>
        <v/>
      </c>
    </row>
    <row r="1217">
      <c r="A1217" s="12" t="inlineStr">
        <is>
          <t>A-I-0495</t>
        </is>
      </c>
      <c r="B1217" s="12" t="inlineStr">
        <is>
          <t>A</t>
        </is>
      </c>
      <c r="C1217" s="12" t="inlineStr">
        <is>
          <t>Power block</t>
        </is>
      </c>
      <c r="D1217" s="12" t="inlineStr">
        <is>
          <t>Home run JB-SCRB-2-AI01 to the control / marshalling room</t>
        </is>
      </c>
      <c r="E1217" s="12" t="inlineStr">
        <is>
          <t>R2B</t>
        </is>
      </c>
      <c r="F1217" s="12" t="inlineStr">
        <is>
          <t>R2B: unit / HRSG electrical e-house (32 x 40 ft)</t>
        </is>
      </c>
      <c r="G1217" s="12" t="inlineStr">
        <is>
          <t>JB-SCRB-2-AI01</t>
        </is>
      </c>
      <c r="H1217" s="12" t="inlineStr">
        <is>
          <t>SCRB-2A/B: SCR dilution-air blowers</t>
        </is>
      </c>
      <c r="I1217" s="12" t="inlineStr">
        <is>
          <t>Instrumentation</t>
        </is>
      </c>
      <c r="J1217" s="12" t="inlineStr">
        <is>
          <t>Instrumentation PLTC / TC-ER 300 V, #18 twisted shielded pairs, overall shield</t>
        </is>
      </c>
      <c r="K1217" s="12" t="inlineStr">
        <is>
          <t>PLTC|24 pr|18</t>
        </is>
      </c>
      <c r="L1217" s="12" t="inlineStr">
        <is>
          <t>24 pr</t>
        </is>
      </c>
      <c r="M1217" s="12" t="inlineStr">
        <is>
          <t>18</t>
        </is>
      </c>
      <c r="N1217" s="12" t="n">
        <v>1</v>
      </c>
      <c r="O1217" s="12" t="n">
        <v>1</v>
      </c>
      <c r="P1217" s="12" t="n"/>
      <c r="Q1217" s="12" t="n"/>
      <c r="R1217" s="12" t="n"/>
      <c r="S1217" s="12" t="inlineStr">
        <is>
          <t>Tray</t>
        </is>
      </c>
      <c r="T1217" s="16" t="n">
        <v>404</v>
      </c>
      <c r="U1217" s="16" t="n">
        <v>72</v>
      </c>
      <c r="V1217" s="16">
        <f>ROUNDUP((T1217+U1217+2*'Read Me'!$B$13)*(1+'Read Me'!$B$12),-1)</f>
        <v/>
      </c>
      <c r="W1217" s="16">
        <f>V1217*N1217*O1217</f>
        <v/>
      </c>
      <c r="X1217" s="12">
        <f>IF(LEFT(I1217,2)="MV",2*N1217*IF(L1217="1/C",O1217,1),0)</f>
        <v/>
      </c>
      <c r="Y1217" s="12">
        <f>IF(OR(LEFT(K1217,4)="LVAX",LEFT(K1217,6)="MV15AX",LEFT(K1217,4)="CTAX",LEFT(K1217,2)="W|"),2*N1217*O1217,0)</f>
        <v/>
      </c>
      <c r="Z1217" s="12" t="inlineStr"/>
      <c r="AA1217" s="12">
        <f>N1217*O1217</f>
        <v/>
      </c>
    </row>
    <row r="1218">
      <c r="A1218" s="12" t="inlineStr">
        <is>
          <t>A-I-0496</t>
        </is>
      </c>
      <c r="B1218" s="12" t="inlineStr">
        <is>
          <t>A</t>
        </is>
      </c>
      <c r="C1218" s="12" t="inlineStr">
        <is>
          <t>Power block</t>
        </is>
      </c>
      <c r="D1218" s="12" t="inlineStr">
        <is>
          <t>Discrete device to JB JB-SCRB-2-DI01: 6 x 1 pr (field cables)</t>
        </is>
      </c>
      <c r="E1218" s="12" t="inlineStr">
        <is>
          <t>SCRB-2</t>
        </is>
      </c>
      <c r="F1218" s="12" t="inlineStr">
        <is>
          <t>SCRB-2A/B: SCR dilution-air blowers</t>
        </is>
      </c>
      <c r="G1218" s="12" t="inlineStr">
        <is>
          <t>JB-SCRB-2-DI01</t>
        </is>
      </c>
      <c r="H1218" s="12" t="inlineStr">
        <is>
          <t>SCRB-2A/B: SCR dilution-air blowers</t>
        </is>
      </c>
      <c r="I1218" s="12" t="inlineStr">
        <is>
          <t>Instrumentation</t>
        </is>
      </c>
      <c r="J1218" s="12" t="inlineStr">
        <is>
          <t>Instrumentation PLTC / TC-ER 300 V, #18 twisted shielded pairs, overall shield</t>
        </is>
      </c>
      <c r="K1218" s="12" t="inlineStr">
        <is>
          <t>PLTC|1 pr|16</t>
        </is>
      </c>
      <c r="L1218" s="12" t="inlineStr">
        <is>
          <t>1 pr</t>
        </is>
      </c>
      <c r="M1218" s="12" t="inlineStr">
        <is>
          <t>16</t>
        </is>
      </c>
      <c r="N1218" s="12" t="n">
        <v>6</v>
      </c>
      <c r="O1218" s="12" t="n">
        <v>1</v>
      </c>
      <c r="P1218" s="12" t="n"/>
      <c r="Q1218" s="12" t="n"/>
      <c r="R1218" s="12" t="n"/>
      <c r="S1218" s="12" t="inlineStr">
        <is>
          <t>Tray / conduit</t>
        </is>
      </c>
      <c r="T1218" s="16" t="n">
        <v>51</v>
      </c>
      <c r="U1218" s="16" t="n">
        <v>10</v>
      </c>
      <c r="V1218" s="16">
        <f>ROUNDUP((T1218+U1218+2*'Read Me'!$B$13)*(1+'Read Me'!$B$12),-1)</f>
        <v/>
      </c>
      <c r="W1218" s="16">
        <f>V1218*N1218*O1218</f>
        <v/>
      </c>
      <c r="X1218" s="12">
        <f>IF(LEFT(I1218,2)="MV",2*N1218*IF(L1218="1/C",O1218,1),0)</f>
        <v/>
      </c>
      <c r="Y1218" s="12">
        <f>IF(OR(LEFT(K1218,4)="LVAX",LEFT(K1218,6)="MV15AX",LEFT(K1218,4)="CTAX",LEFT(K1218,2)="W|"),2*N1218*O1218,0)</f>
        <v/>
      </c>
      <c r="Z1218" s="12" t="inlineStr">
        <is>
          <t>device-to-JB field wiring, one cable per device</t>
        </is>
      </c>
      <c r="AA1218" s="12">
        <f>N1218*O1218</f>
        <v/>
      </c>
    </row>
    <row r="1219">
      <c r="A1219" s="12" t="inlineStr">
        <is>
          <t>A-I-0497</t>
        </is>
      </c>
      <c r="B1219" s="12" t="inlineStr">
        <is>
          <t>A</t>
        </is>
      </c>
      <c r="C1219" s="12" t="inlineStr">
        <is>
          <t>Power block</t>
        </is>
      </c>
      <c r="D1219" s="12" t="inlineStr">
        <is>
          <t>Home run JB-SCRB-2-DI01 to the control / marshalling room</t>
        </is>
      </c>
      <c r="E1219" s="12" t="inlineStr">
        <is>
          <t>R2B</t>
        </is>
      </c>
      <c r="F1219" s="12" t="inlineStr">
        <is>
          <t>R2B: unit / HRSG electrical e-house (32 x 40 ft)</t>
        </is>
      </c>
      <c r="G1219" s="12" t="inlineStr">
        <is>
          <t>JB-SCRB-2-DI01</t>
        </is>
      </c>
      <c r="H1219" s="12" t="inlineStr">
        <is>
          <t>SCRB-2A/B: SCR dilution-air blowers</t>
        </is>
      </c>
      <c r="I1219" s="12" t="inlineStr">
        <is>
          <t>Instrumentation</t>
        </is>
      </c>
      <c r="J1219" s="12" t="inlineStr">
        <is>
          <t>Instrumentation PLTC / TC-ER 300 V, #18 twisted shielded pairs, overall shield</t>
        </is>
      </c>
      <c r="K1219" s="12" t="inlineStr">
        <is>
          <t>PLTC|24 pr|18</t>
        </is>
      </c>
      <c r="L1219" s="12" t="inlineStr">
        <is>
          <t>24 pr</t>
        </is>
      </c>
      <c r="M1219" s="12" t="inlineStr">
        <is>
          <t>18</t>
        </is>
      </c>
      <c r="N1219" s="12" t="n">
        <v>1</v>
      </c>
      <c r="O1219" s="12" t="n">
        <v>1</v>
      </c>
      <c r="P1219" s="12" t="n"/>
      <c r="Q1219" s="12" t="n"/>
      <c r="R1219" s="12" t="n"/>
      <c r="S1219" s="12" t="inlineStr">
        <is>
          <t>Tray</t>
        </is>
      </c>
      <c r="T1219" s="16" t="n">
        <v>404</v>
      </c>
      <c r="U1219" s="16" t="n">
        <v>72</v>
      </c>
      <c r="V1219" s="16">
        <f>ROUNDUP((T1219+U1219+2*'Read Me'!$B$13)*(1+'Read Me'!$B$12),-1)</f>
        <v/>
      </c>
      <c r="W1219" s="16">
        <f>V1219*N1219*O1219</f>
        <v/>
      </c>
      <c r="X1219" s="12">
        <f>IF(LEFT(I1219,2)="MV",2*N1219*IF(L1219="1/C",O1219,1),0)</f>
        <v/>
      </c>
      <c r="Y1219" s="12">
        <f>IF(OR(LEFT(K1219,4)="LVAX",LEFT(K1219,6)="MV15AX",LEFT(K1219,4)="CTAX",LEFT(K1219,2)="W|"),2*N1219*O1219,0)</f>
        <v/>
      </c>
      <c r="Z1219" s="12" t="inlineStr"/>
      <c r="AA1219" s="12">
        <f>N1219*O1219</f>
        <v/>
      </c>
    </row>
    <row r="1220">
      <c r="A1220" s="12" t="inlineStr">
        <is>
          <t>A-I-0498</t>
        </is>
      </c>
      <c r="B1220" s="12" t="inlineStr">
        <is>
          <t>A</t>
        </is>
      </c>
      <c r="C1220" s="12" t="inlineStr">
        <is>
          <t>Power block</t>
        </is>
      </c>
      <c r="D1220" s="12" t="inlineStr">
        <is>
          <t>Analog instrument to JB JB-SCRB-3-AI01: 6 x 1 pr (field cables)</t>
        </is>
      </c>
      <c r="E1220" s="12" t="inlineStr">
        <is>
          <t>SCRB-3</t>
        </is>
      </c>
      <c r="F1220" s="12" t="inlineStr">
        <is>
          <t>SCRB-3A/B: SCR dilution-air blowers</t>
        </is>
      </c>
      <c r="G1220" s="12" t="inlineStr">
        <is>
          <t>JB-SCRB-3-AI01</t>
        </is>
      </c>
      <c r="H1220" s="12" t="inlineStr">
        <is>
          <t>SCRB-3A/B: SCR dilution-air blowers</t>
        </is>
      </c>
      <c r="I1220" s="12" t="inlineStr">
        <is>
          <t>Instrumentation</t>
        </is>
      </c>
      <c r="J1220" s="12" t="inlineStr">
        <is>
          <t>Instrumentation PLTC / TC-ER 300 V, #18 twisted shielded pairs, overall shield</t>
        </is>
      </c>
      <c r="K1220" s="12" t="inlineStr">
        <is>
          <t>PLTC|1 pr|16</t>
        </is>
      </c>
      <c r="L1220" s="12" t="inlineStr">
        <is>
          <t>1 pr</t>
        </is>
      </c>
      <c r="M1220" s="12" t="inlineStr">
        <is>
          <t>16</t>
        </is>
      </c>
      <c r="N1220" s="12" t="n">
        <v>6</v>
      </c>
      <c r="O1220" s="12" t="n">
        <v>1</v>
      </c>
      <c r="P1220" s="12" t="n"/>
      <c r="Q1220" s="12" t="n"/>
      <c r="R1220" s="12" t="n"/>
      <c r="S1220" s="12" t="inlineStr">
        <is>
          <t>Tray / conduit</t>
        </is>
      </c>
      <c r="T1220" s="16" t="n">
        <v>51</v>
      </c>
      <c r="U1220" s="16" t="n">
        <v>10</v>
      </c>
      <c r="V1220" s="16">
        <f>ROUNDUP((T1220+U1220+2*'Read Me'!$B$13)*(1+'Read Me'!$B$12),-1)</f>
        <v/>
      </c>
      <c r="W1220" s="16">
        <f>V1220*N1220*O1220</f>
        <v/>
      </c>
      <c r="X1220" s="12">
        <f>IF(LEFT(I1220,2)="MV",2*N1220*IF(L1220="1/C",O1220,1),0)</f>
        <v/>
      </c>
      <c r="Y1220" s="12">
        <f>IF(OR(LEFT(K1220,4)="LVAX",LEFT(K1220,6)="MV15AX",LEFT(K1220,4)="CTAX",LEFT(K1220,2)="W|"),2*N1220*O1220,0)</f>
        <v/>
      </c>
      <c r="Z1220" s="12" t="inlineStr">
        <is>
          <t>device-to-JB field wiring, one cable per device</t>
        </is>
      </c>
      <c r="AA1220" s="12">
        <f>N1220*O1220</f>
        <v/>
      </c>
    </row>
    <row r="1221">
      <c r="A1221" s="12" t="inlineStr">
        <is>
          <t>A-I-0499</t>
        </is>
      </c>
      <c r="B1221" s="12" t="inlineStr">
        <is>
          <t>A</t>
        </is>
      </c>
      <c r="C1221" s="12" t="inlineStr">
        <is>
          <t>Power block</t>
        </is>
      </c>
      <c r="D1221" s="12" t="inlineStr">
        <is>
          <t>Home run JB-SCRB-3-AI01 to the control / marshalling room</t>
        </is>
      </c>
      <c r="E1221" s="12" t="inlineStr">
        <is>
          <t>R2C</t>
        </is>
      </c>
      <c r="F1221" s="12" t="inlineStr">
        <is>
          <t>R2C: unit / HRSG electrical e-house (32 x 40 ft)</t>
        </is>
      </c>
      <c r="G1221" s="12" t="inlineStr">
        <is>
          <t>JB-SCRB-3-AI01</t>
        </is>
      </c>
      <c r="H1221" s="12" t="inlineStr">
        <is>
          <t>SCRB-3A/B: SCR dilution-air blowers</t>
        </is>
      </c>
      <c r="I1221" s="12" t="inlineStr">
        <is>
          <t>Instrumentation</t>
        </is>
      </c>
      <c r="J1221" s="12" t="inlineStr">
        <is>
          <t>Instrumentation PLTC / TC-ER 300 V, #18 twisted shielded pairs, overall shield</t>
        </is>
      </c>
      <c r="K1221" s="12" t="inlineStr">
        <is>
          <t>PLTC|24 pr|18</t>
        </is>
      </c>
      <c r="L1221" s="12" t="inlineStr">
        <is>
          <t>24 pr</t>
        </is>
      </c>
      <c r="M1221" s="12" t="inlineStr">
        <is>
          <t>18</t>
        </is>
      </c>
      <c r="N1221" s="12" t="n">
        <v>1</v>
      </c>
      <c r="O1221" s="12" t="n">
        <v>1</v>
      </c>
      <c r="P1221" s="12" t="n"/>
      <c r="Q1221" s="12" t="n"/>
      <c r="R1221" s="12" t="n"/>
      <c r="S1221" s="12" t="inlineStr">
        <is>
          <t>Tray</t>
        </is>
      </c>
      <c r="T1221" s="16" t="n">
        <v>404</v>
      </c>
      <c r="U1221" s="16" t="n">
        <v>72</v>
      </c>
      <c r="V1221" s="16">
        <f>ROUNDUP((T1221+U1221+2*'Read Me'!$B$13)*(1+'Read Me'!$B$12),-1)</f>
        <v/>
      </c>
      <c r="W1221" s="16">
        <f>V1221*N1221*O1221</f>
        <v/>
      </c>
      <c r="X1221" s="12">
        <f>IF(LEFT(I1221,2)="MV",2*N1221*IF(L1221="1/C",O1221,1),0)</f>
        <v/>
      </c>
      <c r="Y1221" s="12">
        <f>IF(OR(LEFT(K1221,4)="LVAX",LEFT(K1221,6)="MV15AX",LEFT(K1221,4)="CTAX",LEFT(K1221,2)="W|"),2*N1221*O1221,0)</f>
        <v/>
      </c>
      <c r="Z1221" s="12" t="inlineStr"/>
      <c r="AA1221" s="12">
        <f>N1221*O1221</f>
        <v/>
      </c>
    </row>
    <row r="1222">
      <c r="A1222" s="12" t="inlineStr">
        <is>
          <t>A-I-0500</t>
        </is>
      </c>
      <c r="B1222" s="12" t="inlineStr">
        <is>
          <t>A</t>
        </is>
      </c>
      <c r="C1222" s="12" t="inlineStr">
        <is>
          <t>Power block</t>
        </is>
      </c>
      <c r="D1222" s="12" t="inlineStr">
        <is>
          <t>Discrete device to JB JB-SCRB-3-DI01: 6 x 1 pr (field cables)</t>
        </is>
      </c>
      <c r="E1222" s="12" t="inlineStr">
        <is>
          <t>SCRB-3</t>
        </is>
      </c>
      <c r="F1222" s="12" t="inlineStr">
        <is>
          <t>SCRB-3A/B: SCR dilution-air blowers</t>
        </is>
      </c>
      <c r="G1222" s="12" t="inlineStr">
        <is>
          <t>JB-SCRB-3-DI01</t>
        </is>
      </c>
      <c r="H1222" s="12" t="inlineStr">
        <is>
          <t>SCRB-3A/B: SCR dilution-air blowers</t>
        </is>
      </c>
      <c r="I1222" s="12" t="inlineStr">
        <is>
          <t>Instrumentation</t>
        </is>
      </c>
      <c r="J1222" s="12" t="inlineStr">
        <is>
          <t>Instrumentation PLTC / TC-ER 300 V, #18 twisted shielded pairs, overall shield</t>
        </is>
      </c>
      <c r="K1222" s="12" t="inlineStr">
        <is>
          <t>PLTC|1 pr|16</t>
        </is>
      </c>
      <c r="L1222" s="12" t="inlineStr">
        <is>
          <t>1 pr</t>
        </is>
      </c>
      <c r="M1222" s="12" t="inlineStr">
        <is>
          <t>16</t>
        </is>
      </c>
      <c r="N1222" s="12" t="n">
        <v>6</v>
      </c>
      <c r="O1222" s="12" t="n">
        <v>1</v>
      </c>
      <c r="P1222" s="12" t="n"/>
      <c r="Q1222" s="12" t="n"/>
      <c r="R1222" s="12" t="n"/>
      <c r="S1222" s="12" t="inlineStr">
        <is>
          <t>Tray / conduit</t>
        </is>
      </c>
      <c r="T1222" s="16" t="n">
        <v>51</v>
      </c>
      <c r="U1222" s="16" t="n">
        <v>10</v>
      </c>
      <c r="V1222" s="16">
        <f>ROUNDUP((T1222+U1222+2*'Read Me'!$B$13)*(1+'Read Me'!$B$12),-1)</f>
        <v/>
      </c>
      <c r="W1222" s="16">
        <f>V1222*N1222*O1222</f>
        <v/>
      </c>
      <c r="X1222" s="12">
        <f>IF(LEFT(I1222,2)="MV",2*N1222*IF(L1222="1/C",O1222,1),0)</f>
        <v/>
      </c>
      <c r="Y1222" s="12">
        <f>IF(OR(LEFT(K1222,4)="LVAX",LEFT(K1222,6)="MV15AX",LEFT(K1222,4)="CTAX",LEFT(K1222,2)="W|"),2*N1222*O1222,0)</f>
        <v/>
      </c>
      <c r="Z1222" s="12" t="inlineStr">
        <is>
          <t>device-to-JB field wiring, one cable per device</t>
        </is>
      </c>
      <c r="AA1222" s="12">
        <f>N1222*O1222</f>
        <v/>
      </c>
    </row>
    <row r="1223">
      <c r="A1223" s="12" t="inlineStr">
        <is>
          <t>A-I-0501</t>
        </is>
      </c>
      <c r="B1223" s="12" t="inlineStr">
        <is>
          <t>A</t>
        </is>
      </c>
      <c r="C1223" s="12" t="inlineStr">
        <is>
          <t>Power block</t>
        </is>
      </c>
      <c r="D1223" s="12" t="inlineStr">
        <is>
          <t>Home run JB-SCRB-3-DI01 to the control / marshalling room</t>
        </is>
      </c>
      <c r="E1223" s="12" t="inlineStr">
        <is>
          <t>R2C</t>
        </is>
      </c>
      <c r="F1223" s="12" t="inlineStr">
        <is>
          <t>R2C: unit / HRSG electrical e-house (32 x 40 ft)</t>
        </is>
      </c>
      <c r="G1223" s="12" t="inlineStr">
        <is>
          <t>JB-SCRB-3-DI01</t>
        </is>
      </c>
      <c r="H1223" s="12" t="inlineStr">
        <is>
          <t>SCRB-3A/B: SCR dilution-air blowers</t>
        </is>
      </c>
      <c r="I1223" s="12" t="inlineStr">
        <is>
          <t>Instrumentation</t>
        </is>
      </c>
      <c r="J1223" s="12" t="inlineStr">
        <is>
          <t>Instrumentation PLTC / TC-ER 300 V, #18 twisted shielded pairs, overall shield</t>
        </is>
      </c>
      <c r="K1223" s="12" t="inlineStr">
        <is>
          <t>PLTC|24 pr|18</t>
        </is>
      </c>
      <c r="L1223" s="12" t="inlineStr">
        <is>
          <t>24 pr</t>
        </is>
      </c>
      <c r="M1223" s="12" t="inlineStr">
        <is>
          <t>18</t>
        </is>
      </c>
      <c r="N1223" s="12" t="n">
        <v>1</v>
      </c>
      <c r="O1223" s="12" t="n">
        <v>1</v>
      </c>
      <c r="P1223" s="12" t="n"/>
      <c r="Q1223" s="12" t="n"/>
      <c r="R1223" s="12" t="n"/>
      <c r="S1223" s="12" t="inlineStr">
        <is>
          <t>Tray</t>
        </is>
      </c>
      <c r="T1223" s="16" t="n">
        <v>404</v>
      </c>
      <c r="U1223" s="16" t="n">
        <v>72</v>
      </c>
      <c r="V1223" s="16">
        <f>ROUNDUP((T1223+U1223+2*'Read Me'!$B$13)*(1+'Read Me'!$B$12),-1)</f>
        <v/>
      </c>
      <c r="W1223" s="16">
        <f>V1223*N1223*O1223</f>
        <v/>
      </c>
      <c r="X1223" s="12">
        <f>IF(LEFT(I1223,2)="MV",2*N1223*IF(L1223="1/C",O1223,1),0)</f>
        <v/>
      </c>
      <c r="Y1223" s="12">
        <f>IF(OR(LEFT(K1223,4)="LVAX",LEFT(K1223,6)="MV15AX",LEFT(K1223,4)="CTAX",LEFT(K1223,2)="W|"),2*N1223*O1223,0)</f>
        <v/>
      </c>
      <c r="Z1223" s="12" t="inlineStr"/>
      <c r="AA1223" s="12">
        <f>N1223*O1223</f>
        <v/>
      </c>
    </row>
    <row r="1224">
      <c r="A1224" s="12" t="inlineStr">
        <is>
          <t>A-I-0502</t>
        </is>
      </c>
      <c r="B1224" s="12" t="inlineStr">
        <is>
          <t>A</t>
        </is>
      </c>
      <c r="C1224" s="12" t="inlineStr">
        <is>
          <t>Power block</t>
        </is>
      </c>
      <c r="D1224" s="12" t="inlineStr">
        <is>
          <t>Analog instrument to JB JB-SFC-1-AI01: 10 x 1 pr (field cables)</t>
        </is>
      </c>
      <c r="E1224" s="12" t="inlineStr">
        <is>
          <t>SFC-1</t>
        </is>
      </c>
      <c r="F1224" s="12" t="inlineStr">
        <is>
          <t>SFC-1: GT1 static starter (LCI) and isolation transformer</t>
        </is>
      </c>
      <c r="G1224" s="12" t="inlineStr">
        <is>
          <t>JB-SFC-1-AI01</t>
        </is>
      </c>
      <c r="H1224" s="12" t="inlineStr">
        <is>
          <t>SFC-1: GT1 static starter (LCI) and isolation transformer</t>
        </is>
      </c>
      <c r="I1224" s="12" t="inlineStr">
        <is>
          <t>Instrumentation</t>
        </is>
      </c>
      <c r="J1224" s="12" t="inlineStr">
        <is>
          <t>Instrumentation PLTC / TC-ER 300 V, #18 twisted shielded pairs, overall shield</t>
        </is>
      </c>
      <c r="K1224" s="12" t="inlineStr">
        <is>
          <t>PLTC|1 pr|16</t>
        </is>
      </c>
      <c r="L1224" s="12" t="inlineStr">
        <is>
          <t>1 pr</t>
        </is>
      </c>
      <c r="M1224" s="12" t="inlineStr">
        <is>
          <t>16</t>
        </is>
      </c>
      <c r="N1224" s="12" t="n">
        <v>10</v>
      </c>
      <c r="O1224" s="12" t="n">
        <v>1</v>
      </c>
      <c r="P1224" s="12" t="n"/>
      <c r="Q1224" s="12" t="n"/>
      <c r="R1224" s="12" t="n"/>
      <c r="S1224" s="12" t="inlineStr">
        <is>
          <t>Tray / conduit</t>
        </is>
      </c>
      <c r="T1224" s="16" t="n">
        <v>54</v>
      </c>
      <c r="U1224" s="16" t="n">
        <v>10</v>
      </c>
      <c r="V1224" s="16">
        <f>ROUNDUP((T1224+U1224+2*'Read Me'!$B$13)*(1+'Read Me'!$B$12),-1)</f>
        <v/>
      </c>
      <c r="W1224" s="16">
        <f>V1224*N1224*O1224</f>
        <v/>
      </c>
      <c r="X1224" s="12">
        <f>IF(LEFT(I1224,2)="MV",2*N1224*IF(L1224="1/C",O1224,1),0)</f>
        <v/>
      </c>
      <c r="Y1224" s="12">
        <f>IF(OR(LEFT(K1224,4)="LVAX",LEFT(K1224,6)="MV15AX",LEFT(K1224,4)="CTAX",LEFT(K1224,2)="W|"),2*N1224*O1224,0)</f>
        <v/>
      </c>
      <c r="Z1224" s="12" t="inlineStr">
        <is>
          <t>device-to-JB field wiring, one cable per device</t>
        </is>
      </c>
      <c r="AA1224" s="12">
        <f>N1224*O1224</f>
        <v/>
      </c>
    </row>
    <row r="1225">
      <c r="A1225" s="12" t="inlineStr">
        <is>
          <t>A-I-0503</t>
        </is>
      </c>
      <c r="B1225" s="12" t="inlineStr">
        <is>
          <t>A</t>
        </is>
      </c>
      <c r="C1225" s="12" t="inlineStr">
        <is>
          <t>Power block</t>
        </is>
      </c>
      <c r="D1225" s="12" t="inlineStr">
        <is>
          <t>Home run JB-SFC-1-AI01 to the control / marshalling room</t>
        </is>
      </c>
      <c r="E1225" s="12" t="inlineStr">
        <is>
          <t>R2A</t>
        </is>
      </c>
      <c r="F1225" s="12" t="inlineStr">
        <is>
          <t>R2A: unit / HRSG electrical e-house (32 x 40 ft)</t>
        </is>
      </c>
      <c r="G1225" s="12" t="inlineStr">
        <is>
          <t>JB-SFC-1-AI01</t>
        </is>
      </c>
      <c r="H1225" s="12" t="inlineStr">
        <is>
          <t>SFC-1: GT1 static starter (LCI) and isolation transformer</t>
        </is>
      </c>
      <c r="I1225" s="12" t="inlineStr">
        <is>
          <t>Instrumentation</t>
        </is>
      </c>
      <c r="J1225" s="12" t="inlineStr">
        <is>
          <t>Instrumentation PLTC / TC-ER 300 V, #18 twisted shielded pairs, overall shield</t>
        </is>
      </c>
      <c r="K1225" s="12" t="inlineStr">
        <is>
          <t>PLTC|24 pr|18</t>
        </is>
      </c>
      <c r="L1225" s="12" t="inlineStr">
        <is>
          <t>24 pr</t>
        </is>
      </c>
      <c r="M1225" s="12" t="inlineStr">
        <is>
          <t>18</t>
        </is>
      </c>
      <c r="N1225" s="12" t="n">
        <v>1</v>
      </c>
      <c r="O1225" s="12" t="n">
        <v>1</v>
      </c>
      <c r="P1225" s="12" t="n"/>
      <c r="Q1225" s="12" t="n"/>
      <c r="R1225" s="12" t="n"/>
      <c r="S1225" s="12" t="inlineStr">
        <is>
          <t>Tray</t>
        </is>
      </c>
      <c r="T1225" s="16" t="n">
        <v>359</v>
      </c>
      <c r="U1225" s="16" t="n">
        <v>147</v>
      </c>
      <c r="V1225" s="16">
        <f>ROUNDUP((T1225+U1225+2*'Read Me'!$B$13)*(1+'Read Me'!$B$12),-1)</f>
        <v/>
      </c>
      <c r="W1225" s="16">
        <f>V1225*N1225*O1225</f>
        <v/>
      </c>
      <c r="X1225" s="12">
        <f>IF(LEFT(I1225,2)="MV",2*N1225*IF(L1225="1/C",O1225,1),0)</f>
        <v/>
      </c>
      <c r="Y1225" s="12">
        <f>IF(OR(LEFT(K1225,4)="LVAX",LEFT(K1225,6)="MV15AX",LEFT(K1225,4)="CTAX",LEFT(K1225,2)="W|"),2*N1225*O1225,0)</f>
        <v/>
      </c>
      <c r="Z1225" s="12" t="inlineStr"/>
      <c r="AA1225" s="12">
        <f>N1225*O1225</f>
        <v/>
      </c>
    </row>
    <row r="1226">
      <c r="A1226" s="12" t="inlineStr">
        <is>
          <t>A-I-0504</t>
        </is>
      </c>
      <c r="B1226" s="12" t="inlineStr">
        <is>
          <t>A</t>
        </is>
      </c>
      <c r="C1226" s="12" t="inlineStr">
        <is>
          <t>Power block</t>
        </is>
      </c>
      <c r="D1226" s="12" t="inlineStr">
        <is>
          <t>Discrete device to JB JB-SFC-1-DI01: 20 x 1 pr (field cables)</t>
        </is>
      </c>
      <c r="E1226" s="12" t="inlineStr">
        <is>
          <t>SFC-1</t>
        </is>
      </c>
      <c r="F1226" s="12" t="inlineStr">
        <is>
          <t>SFC-1: GT1 static starter (LCI) and isolation transformer</t>
        </is>
      </c>
      <c r="G1226" s="12" t="inlineStr">
        <is>
          <t>JB-SFC-1-DI01</t>
        </is>
      </c>
      <c r="H1226" s="12" t="inlineStr">
        <is>
          <t>SFC-1: GT1 static starter (LCI) and isolation transformer</t>
        </is>
      </c>
      <c r="I1226" s="12" t="inlineStr">
        <is>
          <t>Instrumentation</t>
        </is>
      </c>
      <c r="J1226" s="12" t="inlineStr">
        <is>
          <t>Instrumentation PLTC / TC-ER 300 V, #18 twisted shielded pairs, overall shield</t>
        </is>
      </c>
      <c r="K1226" s="12" t="inlineStr">
        <is>
          <t>PLTC|1 pr|16</t>
        </is>
      </c>
      <c r="L1226" s="12" t="inlineStr">
        <is>
          <t>1 pr</t>
        </is>
      </c>
      <c r="M1226" s="12" t="inlineStr">
        <is>
          <t>16</t>
        </is>
      </c>
      <c r="N1226" s="12" t="n">
        <v>20</v>
      </c>
      <c r="O1226" s="12" t="n">
        <v>1</v>
      </c>
      <c r="P1226" s="12" t="n"/>
      <c r="Q1226" s="12" t="n"/>
      <c r="R1226" s="12" t="n"/>
      <c r="S1226" s="12" t="inlineStr">
        <is>
          <t>Tray / conduit</t>
        </is>
      </c>
      <c r="T1226" s="16" t="n">
        <v>54</v>
      </c>
      <c r="U1226" s="16" t="n">
        <v>10</v>
      </c>
      <c r="V1226" s="16">
        <f>ROUNDUP((T1226+U1226+2*'Read Me'!$B$13)*(1+'Read Me'!$B$12),-1)</f>
        <v/>
      </c>
      <c r="W1226" s="16">
        <f>V1226*N1226*O1226</f>
        <v/>
      </c>
      <c r="X1226" s="12">
        <f>IF(LEFT(I1226,2)="MV",2*N1226*IF(L1226="1/C",O1226,1),0)</f>
        <v/>
      </c>
      <c r="Y1226" s="12">
        <f>IF(OR(LEFT(K1226,4)="LVAX",LEFT(K1226,6)="MV15AX",LEFT(K1226,4)="CTAX",LEFT(K1226,2)="W|"),2*N1226*O1226,0)</f>
        <v/>
      </c>
      <c r="Z1226" s="12" t="inlineStr">
        <is>
          <t>device-to-JB field wiring, one cable per device</t>
        </is>
      </c>
      <c r="AA1226" s="12">
        <f>N1226*O1226</f>
        <v/>
      </c>
    </row>
    <row r="1227">
      <c r="A1227" s="12" t="inlineStr">
        <is>
          <t>A-I-0505</t>
        </is>
      </c>
      <c r="B1227" s="12" t="inlineStr">
        <is>
          <t>A</t>
        </is>
      </c>
      <c r="C1227" s="12" t="inlineStr">
        <is>
          <t>Power block</t>
        </is>
      </c>
      <c r="D1227" s="12" t="inlineStr">
        <is>
          <t>Home run JB-SFC-1-DI01 to the control / marshalling room</t>
        </is>
      </c>
      <c r="E1227" s="12" t="inlineStr">
        <is>
          <t>R2A</t>
        </is>
      </c>
      <c r="F1227" s="12" t="inlineStr">
        <is>
          <t>R2A: unit / HRSG electrical e-house (32 x 40 ft)</t>
        </is>
      </c>
      <c r="G1227" s="12" t="inlineStr">
        <is>
          <t>JB-SFC-1-DI01</t>
        </is>
      </c>
      <c r="H1227" s="12" t="inlineStr">
        <is>
          <t>SFC-1: GT1 static starter (LCI) and isolation transformer</t>
        </is>
      </c>
      <c r="I1227" s="12" t="inlineStr">
        <is>
          <t>Instrumentation</t>
        </is>
      </c>
      <c r="J1227" s="12" t="inlineStr">
        <is>
          <t>Instrumentation PLTC / TC-ER 300 V, #18 twisted shielded pairs, overall shield</t>
        </is>
      </c>
      <c r="K1227" s="12" t="inlineStr">
        <is>
          <t>PLTC|24 pr|18</t>
        </is>
      </c>
      <c r="L1227" s="12" t="inlineStr">
        <is>
          <t>24 pr</t>
        </is>
      </c>
      <c r="M1227" s="12" t="inlineStr">
        <is>
          <t>18</t>
        </is>
      </c>
      <c r="N1227" s="12" t="n">
        <v>1</v>
      </c>
      <c r="O1227" s="12" t="n">
        <v>1</v>
      </c>
      <c r="P1227" s="12" t="n"/>
      <c r="Q1227" s="12" t="n"/>
      <c r="R1227" s="12" t="n"/>
      <c r="S1227" s="12" t="inlineStr">
        <is>
          <t>Tray</t>
        </is>
      </c>
      <c r="T1227" s="16" t="n">
        <v>359</v>
      </c>
      <c r="U1227" s="16" t="n">
        <v>147</v>
      </c>
      <c r="V1227" s="16">
        <f>ROUNDUP((T1227+U1227+2*'Read Me'!$B$13)*(1+'Read Me'!$B$12),-1)</f>
        <v/>
      </c>
      <c r="W1227" s="16">
        <f>V1227*N1227*O1227</f>
        <v/>
      </c>
      <c r="X1227" s="12">
        <f>IF(LEFT(I1227,2)="MV",2*N1227*IF(L1227="1/C",O1227,1),0)</f>
        <v/>
      </c>
      <c r="Y1227" s="12">
        <f>IF(OR(LEFT(K1227,4)="LVAX",LEFT(K1227,6)="MV15AX",LEFT(K1227,4)="CTAX",LEFT(K1227,2)="W|"),2*N1227*O1227,0)</f>
        <v/>
      </c>
      <c r="Z1227" s="12" t="inlineStr"/>
      <c r="AA1227" s="12">
        <f>N1227*O1227</f>
        <v/>
      </c>
    </row>
    <row r="1228">
      <c r="A1228" s="12" t="inlineStr">
        <is>
          <t>A-I-0506</t>
        </is>
      </c>
      <c r="B1228" s="12" t="inlineStr">
        <is>
          <t>A</t>
        </is>
      </c>
      <c r="C1228" s="12" t="inlineStr">
        <is>
          <t>Power block</t>
        </is>
      </c>
      <c r="D1228" s="12" t="inlineStr">
        <is>
          <t>Analog instrument to JB JB-SFC-2-AI01: 10 x 1 pr (field cables)</t>
        </is>
      </c>
      <c r="E1228" s="12" t="inlineStr">
        <is>
          <t>SFC-2</t>
        </is>
      </c>
      <c r="F1228" s="12" t="inlineStr">
        <is>
          <t>SFC-2: GT2 static starter (LCI) and isolation transformer</t>
        </is>
      </c>
      <c r="G1228" s="12" t="inlineStr">
        <is>
          <t>JB-SFC-2-AI01</t>
        </is>
      </c>
      <c r="H1228" s="12" t="inlineStr">
        <is>
          <t>SFC-2: GT2 static starter (LCI) and isolation transformer</t>
        </is>
      </c>
      <c r="I1228" s="12" t="inlineStr">
        <is>
          <t>Instrumentation</t>
        </is>
      </c>
      <c r="J1228" s="12" t="inlineStr">
        <is>
          <t>Instrumentation PLTC / TC-ER 300 V, #18 twisted shielded pairs, overall shield</t>
        </is>
      </c>
      <c r="K1228" s="12" t="inlineStr">
        <is>
          <t>PLTC|1 pr|16</t>
        </is>
      </c>
      <c r="L1228" s="12" t="inlineStr">
        <is>
          <t>1 pr</t>
        </is>
      </c>
      <c r="M1228" s="12" t="inlineStr">
        <is>
          <t>16</t>
        </is>
      </c>
      <c r="N1228" s="12" t="n">
        <v>10</v>
      </c>
      <c r="O1228" s="12" t="n">
        <v>1</v>
      </c>
      <c r="P1228" s="12" t="n"/>
      <c r="Q1228" s="12" t="n"/>
      <c r="R1228" s="12" t="n"/>
      <c r="S1228" s="12" t="inlineStr">
        <is>
          <t>Tray / conduit</t>
        </is>
      </c>
      <c r="T1228" s="16" t="n">
        <v>54</v>
      </c>
      <c r="U1228" s="16" t="n">
        <v>10</v>
      </c>
      <c r="V1228" s="16">
        <f>ROUNDUP((T1228+U1228+2*'Read Me'!$B$13)*(1+'Read Me'!$B$12),-1)</f>
        <v/>
      </c>
      <c r="W1228" s="16">
        <f>V1228*N1228*O1228</f>
        <v/>
      </c>
      <c r="X1228" s="12">
        <f>IF(LEFT(I1228,2)="MV",2*N1228*IF(L1228="1/C",O1228,1),0)</f>
        <v/>
      </c>
      <c r="Y1228" s="12">
        <f>IF(OR(LEFT(K1228,4)="LVAX",LEFT(K1228,6)="MV15AX",LEFT(K1228,4)="CTAX",LEFT(K1228,2)="W|"),2*N1228*O1228,0)</f>
        <v/>
      </c>
      <c r="Z1228" s="12" t="inlineStr">
        <is>
          <t>device-to-JB field wiring, one cable per device</t>
        </is>
      </c>
      <c r="AA1228" s="12">
        <f>N1228*O1228</f>
        <v/>
      </c>
    </row>
    <row r="1229">
      <c r="A1229" s="12" t="inlineStr">
        <is>
          <t>A-I-0507</t>
        </is>
      </c>
      <c r="B1229" s="12" t="inlineStr">
        <is>
          <t>A</t>
        </is>
      </c>
      <c r="C1229" s="12" t="inlineStr">
        <is>
          <t>Power block</t>
        </is>
      </c>
      <c r="D1229" s="12" t="inlineStr">
        <is>
          <t>Home run JB-SFC-2-AI01 to the control / marshalling room</t>
        </is>
      </c>
      <c r="E1229" s="12" t="inlineStr">
        <is>
          <t>R2B</t>
        </is>
      </c>
      <c r="F1229" s="12" t="inlineStr">
        <is>
          <t>R2B: unit / HRSG electrical e-house (32 x 40 ft)</t>
        </is>
      </c>
      <c r="G1229" s="12" t="inlineStr">
        <is>
          <t>JB-SFC-2-AI01</t>
        </is>
      </c>
      <c r="H1229" s="12" t="inlineStr">
        <is>
          <t>SFC-2: GT2 static starter (LCI) and isolation transformer</t>
        </is>
      </c>
      <c r="I1229" s="12" t="inlineStr">
        <is>
          <t>Instrumentation</t>
        </is>
      </c>
      <c r="J1229" s="12" t="inlineStr">
        <is>
          <t>Instrumentation PLTC / TC-ER 300 V, #18 twisted shielded pairs, overall shield</t>
        </is>
      </c>
      <c r="K1229" s="12" t="inlineStr">
        <is>
          <t>PLTC|24 pr|18</t>
        </is>
      </c>
      <c r="L1229" s="12" t="inlineStr">
        <is>
          <t>24 pr</t>
        </is>
      </c>
      <c r="M1229" s="12" t="inlineStr">
        <is>
          <t>18</t>
        </is>
      </c>
      <c r="N1229" s="12" t="n">
        <v>1</v>
      </c>
      <c r="O1229" s="12" t="n">
        <v>1</v>
      </c>
      <c r="P1229" s="12" t="n"/>
      <c r="Q1229" s="12" t="n"/>
      <c r="R1229" s="12" t="n"/>
      <c r="S1229" s="12" t="inlineStr">
        <is>
          <t>Tray</t>
        </is>
      </c>
      <c r="T1229" s="16" t="n">
        <v>1233</v>
      </c>
      <c r="U1229" s="16" t="n">
        <v>237</v>
      </c>
      <c r="V1229" s="16">
        <f>ROUNDUP((T1229+U1229+2*'Read Me'!$B$13)*(1+'Read Me'!$B$12),-1)</f>
        <v/>
      </c>
      <c r="W1229" s="16">
        <f>V1229*N1229*O1229</f>
        <v/>
      </c>
      <c r="X1229" s="12">
        <f>IF(LEFT(I1229,2)="MV",2*N1229*IF(L1229="1/C",O1229,1),0)</f>
        <v/>
      </c>
      <c r="Y1229" s="12">
        <f>IF(OR(LEFT(K1229,4)="LVAX",LEFT(K1229,6)="MV15AX",LEFT(K1229,4)="CTAX",LEFT(K1229,2)="W|"),2*N1229*O1229,0)</f>
        <v/>
      </c>
      <c r="Z1229" s="12" t="inlineStr"/>
      <c r="AA1229" s="12">
        <f>N1229*O1229</f>
        <v/>
      </c>
    </row>
    <row r="1230">
      <c r="A1230" s="12" t="inlineStr">
        <is>
          <t>A-I-0508</t>
        </is>
      </c>
      <c r="B1230" s="12" t="inlineStr">
        <is>
          <t>A</t>
        </is>
      </c>
      <c r="C1230" s="12" t="inlineStr">
        <is>
          <t>Power block</t>
        </is>
      </c>
      <c r="D1230" s="12" t="inlineStr">
        <is>
          <t>Discrete device to JB JB-SFC-2-DI01: 20 x 1 pr (field cables)</t>
        </is>
      </c>
      <c r="E1230" s="12" t="inlineStr">
        <is>
          <t>SFC-2</t>
        </is>
      </c>
      <c r="F1230" s="12" t="inlineStr">
        <is>
          <t>SFC-2: GT2 static starter (LCI) and isolation transformer</t>
        </is>
      </c>
      <c r="G1230" s="12" t="inlineStr">
        <is>
          <t>JB-SFC-2-DI01</t>
        </is>
      </c>
      <c r="H1230" s="12" t="inlineStr">
        <is>
          <t>SFC-2: GT2 static starter (LCI) and isolation transformer</t>
        </is>
      </c>
      <c r="I1230" s="12" t="inlineStr">
        <is>
          <t>Instrumentation</t>
        </is>
      </c>
      <c r="J1230" s="12" t="inlineStr">
        <is>
          <t>Instrumentation PLTC / TC-ER 300 V, #18 twisted shielded pairs, overall shield</t>
        </is>
      </c>
      <c r="K1230" s="12" t="inlineStr">
        <is>
          <t>PLTC|1 pr|16</t>
        </is>
      </c>
      <c r="L1230" s="12" t="inlineStr">
        <is>
          <t>1 pr</t>
        </is>
      </c>
      <c r="M1230" s="12" t="inlineStr">
        <is>
          <t>16</t>
        </is>
      </c>
      <c r="N1230" s="12" t="n">
        <v>20</v>
      </c>
      <c r="O1230" s="12" t="n">
        <v>1</v>
      </c>
      <c r="P1230" s="12" t="n"/>
      <c r="Q1230" s="12" t="n"/>
      <c r="R1230" s="12" t="n"/>
      <c r="S1230" s="12" t="inlineStr">
        <is>
          <t>Tray / conduit</t>
        </is>
      </c>
      <c r="T1230" s="16" t="n">
        <v>54</v>
      </c>
      <c r="U1230" s="16" t="n">
        <v>10</v>
      </c>
      <c r="V1230" s="16">
        <f>ROUNDUP((T1230+U1230+2*'Read Me'!$B$13)*(1+'Read Me'!$B$12),-1)</f>
        <v/>
      </c>
      <c r="W1230" s="16">
        <f>V1230*N1230*O1230</f>
        <v/>
      </c>
      <c r="X1230" s="12">
        <f>IF(LEFT(I1230,2)="MV",2*N1230*IF(L1230="1/C",O1230,1),0)</f>
        <v/>
      </c>
      <c r="Y1230" s="12">
        <f>IF(OR(LEFT(K1230,4)="LVAX",LEFT(K1230,6)="MV15AX",LEFT(K1230,4)="CTAX",LEFT(K1230,2)="W|"),2*N1230*O1230,0)</f>
        <v/>
      </c>
      <c r="Z1230" s="12" t="inlineStr">
        <is>
          <t>device-to-JB field wiring, one cable per device</t>
        </is>
      </c>
      <c r="AA1230" s="12">
        <f>N1230*O1230</f>
        <v/>
      </c>
    </row>
    <row r="1231">
      <c r="A1231" s="12" t="inlineStr">
        <is>
          <t>A-I-0509</t>
        </is>
      </c>
      <c r="B1231" s="12" t="inlineStr">
        <is>
          <t>A</t>
        </is>
      </c>
      <c r="C1231" s="12" t="inlineStr">
        <is>
          <t>Power block</t>
        </is>
      </c>
      <c r="D1231" s="12" t="inlineStr">
        <is>
          <t>Home run JB-SFC-2-DI01 to the control / marshalling room</t>
        </is>
      </c>
      <c r="E1231" s="12" t="inlineStr">
        <is>
          <t>R2B</t>
        </is>
      </c>
      <c r="F1231" s="12" t="inlineStr">
        <is>
          <t>R2B: unit / HRSG electrical e-house (32 x 40 ft)</t>
        </is>
      </c>
      <c r="G1231" s="12" t="inlineStr">
        <is>
          <t>JB-SFC-2-DI01</t>
        </is>
      </c>
      <c r="H1231" s="12" t="inlineStr">
        <is>
          <t>SFC-2: GT2 static starter (LCI) and isolation transformer</t>
        </is>
      </c>
      <c r="I1231" s="12" t="inlineStr">
        <is>
          <t>Instrumentation</t>
        </is>
      </c>
      <c r="J1231" s="12" t="inlineStr">
        <is>
          <t>Instrumentation PLTC / TC-ER 300 V, #18 twisted shielded pairs, overall shield</t>
        </is>
      </c>
      <c r="K1231" s="12" t="inlineStr">
        <is>
          <t>PLTC|24 pr|18</t>
        </is>
      </c>
      <c r="L1231" s="12" t="inlineStr">
        <is>
          <t>24 pr</t>
        </is>
      </c>
      <c r="M1231" s="12" t="inlineStr">
        <is>
          <t>18</t>
        </is>
      </c>
      <c r="N1231" s="12" t="n">
        <v>1</v>
      </c>
      <c r="O1231" s="12" t="n">
        <v>1</v>
      </c>
      <c r="P1231" s="12" t="n"/>
      <c r="Q1231" s="12" t="n"/>
      <c r="R1231" s="12" t="n"/>
      <c r="S1231" s="12" t="inlineStr">
        <is>
          <t>Tray</t>
        </is>
      </c>
      <c r="T1231" s="16" t="n">
        <v>1233</v>
      </c>
      <c r="U1231" s="16" t="n">
        <v>237</v>
      </c>
      <c r="V1231" s="16">
        <f>ROUNDUP((T1231+U1231+2*'Read Me'!$B$13)*(1+'Read Me'!$B$12),-1)</f>
        <v/>
      </c>
      <c r="W1231" s="16">
        <f>V1231*N1231*O1231</f>
        <v/>
      </c>
      <c r="X1231" s="12">
        <f>IF(LEFT(I1231,2)="MV",2*N1231*IF(L1231="1/C",O1231,1),0)</f>
        <v/>
      </c>
      <c r="Y1231" s="12">
        <f>IF(OR(LEFT(K1231,4)="LVAX",LEFT(K1231,6)="MV15AX",LEFT(K1231,4)="CTAX",LEFT(K1231,2)="W|"),2*N1231*O1231,0)</f>
        <v/>
      </c>
      <c r="Z1231" s="12" t="inlineStr"/>
      <c r="AA1231" s="12">
        <f>N1231*O1231</f>
        <v/>
      </c>
    </row>
    <row r="1232">
      <c r="A1232" s="12" t="inlineStr">
        <is>
          <t>A-I-0510</t>
        </is>
      </c>
      <c r="B1232" s="12" t="inlineStr">
        <is>
          <t>A</t>
        </is>
      </c>
      <c r="C1232" s="12" t="inlineStr">
        <is>
          <t>Power block</t>
        </is>
      </c>
      <c r="D1232" s="12" t="inlineStr">
        <is>
          <t>Analog instrument to JB JB-SFC-3-AI01: 10 x 1 pr (field cables)</t>
        </is>
      </c>
      <c r="E1232" s="12" t="inlineStr">
        <is>
          <t>SFC-3</t>
        </is>
      </c>
      <c r="F1232" s="12" t="inlineStr">
        <is>
          <t>SFC-3: GT3 static starter (LCI) and isolation transformer</t>
        </is>
      </c>
      <c r="G1232" s="12" t="inlineStr">
        <is>
          <t>JB-SFC-3-AI01</t>
        </is>
      </c>
      <c r="H1232" s="12" t="inlineStr">
        <is>
          <t>SFC-3: GT3 static starter (LCI) and isolation transformer</t>
        </is>
      </c>
      <c r="I1232" s="12" t="inlineStr">
        <is>
          <t>Instrumentation</t>
        </is>
      </c>
      <c r="J1232" s="12" t="inlineStr">
        <is>
          <t>Instrumentation PLTC / TC-ER 300 V, #18 twisted shielded pairs, overall shield</t>
        </is>
      </c>
      <c r="K1232" s="12" t="inlineStr">
        <is>
          <t>PLTC|1 pr|16</t>
        </is>
      </c>
      <c r="L1232" s="12" t="inlineStr">
        <is>
          <t>1 pr</t>
        </is>
      </c>
      <c r="M1232" s="12" t="inlineStr">
        <is>
          <t>16</t>
        </is>
      </c>
      <c r="N1232" s="12" t="n">
        <v>10</v>
      </c>
      <c r="O1232" s="12" t="n">
        <v>1</v>
      </c>
      <c r="P1232" s="12" t="n"/>
      <c r="Q1232" s="12" t="n"/>
      <c r="R1232" s="12" t="n"/>
      <c r="S1232" s="12" t="inlineStr">
        <is>
          <t>Tray / conduit</t>
        </is>
      </c>
      <c r="T1232" s="16" t="n">
        <v>54</v>
      </c>
      <c r="U1232" s="16" t="n">
        <v>10</v>
      </c>
      <c r="V1232" s="16">
        <f>ROUNDUP((T1232+U1232+2*'Read Me'!$B$13)*(1+'Read Me'!$B$12),-1)</f>
        <v/>
      </c>
      <c r="W1232" s="16">
        <f>V1232*N1232*O1232</f>
        <v/>
      </c>
      <c r="X1232" s="12">
        <f>IF(LEFT(I1232,2)="MV",2*N1232*IF(L1232="1/C",O1232,1),0)</f>
        <v/>
      </c>
      <c r="Y1232" s="12">
        <f>IF(OR(LEFT(K1232,4)="LVAX",LEFT(K1232,6)="MV15AX",LEFT(K1232,4)="CTAX",LEFT(K1232,2)="W|"),2*N1232*O1232,0)</f>
        <v/>
      </c>
      <c r="Z1232" s="12" t="inlineStr">
        <is>
          <t>device-to-JB field wiring, one cable per device</t>
        </is>
      </c>
      <c r="AA1232" s="12">
        <f>N1232*O1232</f>
        <v/>
      </c>
    </row>
    <row r="1233">
      <c r="A1233" s="12" t="inlineStr">
        <is>
          <t>A-I-0511</t>
        </is>
      </c>
      <c r="B1233" s="12" t="inlineStr">
        <is>
          <t>A</t>
        </is>
      </c>
      <c r="C1233" s="12" t="inlineStr">
        <is>
          <t>Power block</t>
        </is>
      </c>
      <c r="D1233" s="12" t="inlineStr">
        <is>
          <t>Home run JB-SFC-3-AI01 to the control / marshalling room</t>
        </is>
      </c>
      <c r="E1233" s="12" t="inlineStr">
        <is>
          <t>R2C</t>
        </is>
      </c>
      <c r="F1233" s="12" t="inlineStr">
        <is>
          <t>R2C: unit / HRSG electrical e-house (32 x 40 ft)</t>
        </is>
      </c>
      <c r="G1233" s="12" t="inlineStr">
        <is>
          <t>JB-SFC-3-AI01</t>
        </is>
      </c>
      <c r="H1233" s="12" t="inlineStr">
        <is>
          <t>SFC-3: GT3 static starter (LCI) and isolation transformer</t>
        </is>
      </c>
      <c r="I1233" s="12" t="inlineStr">
        <is>
          <t>Instrumentation</t>
        </is>
      </c>
      <c r="J1233" s="12" t="inlineStr">
        <is>
          <t>Instrumentation PLTC / TC-ER 300 V, #18 twisted shielded pairs, overall shield</t>
        </is>
      </c>
      <c r="K1233" s="12" t="inlineStr">
        <is>
          <t>PLTC|24 pr|18</t>
        </is>
      </c>
      <c r="L1233" s="12" t="inlineStr">
        <is>
          <t>24 pr</t>
        </is>
      </c>
      <c r="M1233" s="12" t="inlineStr">
        <is>
          <t>18</t>
        </is>
      </c>
      <c r="N1233" s="12" t="n">
        <v>1</v>
      </c>
      <c r="O1233" s="12" t="n">
        <v>1</v>
      </c>
      <c r="P1233" s="12" t="n"/>
      <c r="Q1233" s="12" t="n"/>
      <c r="R1233" s="12" t="n"/>
      <c r="S1233" s="12" t="inlineStr">
        <is>
          <t>Tray</t>
        </is>
      </c>
      <c r="T1233" s="16" t="n">
        <v>987</v>
      </c>
      <c r="U1233" s="16" t="n">
        <v>184</v>
      </c>
      <c r="V1233" s="16">
        <f>ROUNDUP((T1233+U1233+2*'Read Me'!$B$13)*(1+'Read Me'!$B$12),-1)</f>
        <v/>
      </c>
      <c r="W1233" s="16">
        <f>V1233*N1233*O1233</f>
        <v/>
      </c>
      <c r="X1233" s="12">
        <f>IF(LEFT(I1233,2)="MV",2*N1233*IF(L1233="1/C",O1233,1),0)</f>
        <v/>
      </c>
      <c r="Y1233" s="12">
        <f>IF(OR(LEFT(K1233,4)="LVAX",LEFT(K1233,6)="MV15AX",LEFT(K1233,4)="CTAX",LEFT(K1233,2)="W|"),2*N1233*O1233,0)</f>
        <v/>
      </c>
      <c r="Z1233" s="12" t="inlineStr"/>
      <c r="AA1233" s="12">
        <f>N1233*O1233</f>
        <v/>
      </c>
    </row>
    <row r="1234">
      <c r="A1234" s="12" t="inlineStr">
        <is>
          <t>A-I-0512</t>
        </is>
      </c>
      <c r="B1234" s="12" t="inlineStr">
        <is>
          <t>A</t>
        </is>
      </c>
      <c r="C1234" s="12" t="inlineStr">
        <is>
          <t>Power block</t>
        </is>
      </c>
      <c r="D1234" s="12" t="inlineStr">
        <is>
          <t>Discrete device to JB JB-SFC-3-DI01: 20 x 1 pr (field cables)</t>
        </is>
      </c>
      <c r="E1234" s="12" t="inlineStr">
        <is>
          <t>SFC-3</t>
        </is>
      </c>
      <c r="F1234" s="12" t="inlineStr">
        <is>
          <t>SFC-3: GT3 static starter (LCI) and isolation transformer</t>
        </is>
      </c>
      <c r="G1234" s="12" t="inlineStr">
        <is>
          <t>JB-SFC-3-DI01</t>
        </is>
      </c>
      <c r="H1234" s="12" t="inlineStr">
        <is>
          <t>SFC-3: GT3 static starter (LCI) and isolation transformer</t>
        </is>
      </c>
      <c r="I1234" s="12" t="inlineStr">
        <is>
          <t>Instrumentation</t>
        </is>
      </c>
      <c r="J1234" s="12" t="inlineStr">
        <is>
          <t>Instrumentation PLTC / TC-ER 300 V, #18 twisted shielded pairs, overall shield</t>
        </is>
      </c>
      <c r="K1234" s="12" t="inlineStr">
        <is>
          <t>PLTC|1 pr|16</t>
        </is>
      </c>
      <c r="L1234" s="12" t="inlineStr">
        <is>
          <t>1 pr</t>
        </is>
      </c>
      <c r="M1234" s="12" t="inlineStr">
        <is>
          <t>16</t>
        </is>
      </c>
      <c r="N1234" s="12" t="n">
        <v>20</v>
      </c>
      <c r="O1234" s="12" t="n">
        <v>1</v>
      </c>
      <c r="P1234" s="12" t="n"/>
      <c r="Q1234" s="12" t="n"/>
      <c r="R1234" s="12" t="n"/>
      <c r="S1234" s="12" t="inlineStr">
        <is>
          <t>Tray / conduit</t>
        </is>
      </c>
      <c r="T1234" s="16" t="n">
        <v>54</v>
      </c>
      <c r="U1234" s="16" t="n">
        <v>10</v>
      </c>
      <c r="V1234" s="16">
        <f>ROUNDUP((T1234+U1234+2*'Read Me'!$B$13)*(1+'Read Me'!$B$12),-1)</f>
        <v/>
      </c>
      <c r="W1234" s="16">
        <f>V1234*N1234*O1234</f>
        <v/>
      </c>
      <c r="X1234" s="12">
        <f>IF(LEFT(I1234,2)="MV",2*N1234*IF(L1234="1/C",O1234,1),0)</f>
        <v/>
      </c>
      <c r="Y1234" s="12">
        <f>IF(OR(LEFT(K1234,4)="LVAX",LEFT(K1234,6)="MV15AX",LEFT(K1234,4)="CTAX",LEFT(K1234,2)="W|"),2*N1234*O1234,0)</f>
        <v/>
      </c>
      <c r="Z1234" s="12" t="inlineStr">
        <is>
          <t>device-to-JB field wiring, one cable per device</t>
        </is>
      </c>
      <c r="AA1234" s="12">
        <f>N1234*O1234</f>
        <v/>
      </c>
    </row>
    <row r="1235">
      <c r="A1235" s="12" t="inlineStr">
        <is>
          <t>A-I-0513</t>
        </is>
      </c>
      <c r="B1235" s="12" t="inlineStr">
        <is>
          <t>A</t>
        </is>
      </c>
      <c r="C1235" s="12" t="inlineStr">
        <is>
          <t>Power block</t>
        </is>
      </c>
      <c r="D1235" s="12" t="inlineStr">
        <is>
          <t>Home run JB-SFC-3-DI01 to the control / marshalling room</t>
        </is>
      </c>
      <c r="E1235" s="12" t="inlineStr">
        <is>
          <t>R2C</t>
        </is>
      </c>
      <c r="F1235" s="12" t="inlineStr">
        <is>
          <t>R2C: unit / HRSG electrical e-house (32 x 40 ft)</t>
        </is>
      </c>
      <c r="G1235" s="12" t="inlineStr">
        <is>
          <t>JB-SFC-3-DI01</t>
        </is>
      </c>
      <c r="H1235" s="12" t="inlineStr">
        <is>
          <t>SFC-3: GT3 static starter (LCI) and isolation transformer</t>
        </is>
      </c>
      <c r="I1235" s="12" t="inlineStr">
        <is>
          <t>Instrumentation</t>
        </is>
      </c>
      <c r="J1235" s="12" t="inlineStr">
        <is>
          <t>Instrumentation PLTC / TC-ER 300 V, #18 twisted shielded pairs, overall shield</t>
        </is>
      </c>
      <c r="K1235" s="12" t="inlineStr">
        <is>
          <t>PLTC|24 pr|18</t>
        </is>
      </c>
      <c r="L1235" s="12" t="inlineStr">
        <is>
          <t>24 pr</t>
        </is>
      </c>
      <c r="M1235" s="12" t="inlineStr">
        <is>
          <t>18</t>
        </is>
      </c>
      <c r="N1235" s="12" t="n">
        <v>1</v>
      </c>
      <c r="O1235" s="12" t="n">
        <v>1</v>
      </c>
      <c r="P1235" s="12" t="n"/>
      <c r="Q1235" s="12" t="n"/>
      <c r="R1235" s="12" t="n"/>
      <c r="S1235" s="12" t="inlineStr">
        <is>
          <t>Tray</t>
        </is>
      </c>
      <c r="T1235" s="16" t="n">
        <v>987</v>
      </c>
      <c r="U1235" s="16" t="n">
        <v>184</v>
      </c>
      <c r="V1235" s="16">
        <f>ROUNDUP((T1235+U1235+2*'Read Me'!$B$13)*(1+'Read Me'!$B$12),-1)</f>
        <v/>
      </c>
      <c r="W1235" s="16">
        <f>V1235*N1235*O1235</f>
        <v/>
      </c>
      <c r="X1235" s="12">
        <f>IF(LEFT(I1235,2)="MV",2*N1235*IF(L1235="1/C",O1235,1),0)</f>
        <v/>
      </c>
      <c r="Y1235" s="12">
        <f>IF(OR(LEFT(K1235,4)="LVAX",LEFT(K1235,6)="MV15AX",LEFT(K1235,4)="CTAX",LEFT(K1235,2)="W|"),2*N1235*O1235,0)</f>
        <v/>
      </c>
      <c r="Z1235" s="12" t="inlineStr"/>
      <c r="AA1235" s="12">
        <f>N1235*O1235</f>
        <v/>
      </c>
    </row>
    <row r="1236">
      <c r="A1236" s="12" t="inlineStr">
        <is>
          <t>A-I-0514</t>
        </is>
      </c>
      <c r="B1236" s="12" t="inlineStr">
        <is>
          <t>A</t>
        </is>
      </c>
      <c r="C1236" s="12" t="inlineStr">
        <is>
          <t>Power block</t>
        </is>
      </c>
      <c r="D1236" s="12" t="inlineStr">
        <is>
          <t>Analog instrument to JB JB-SOS-1-AI01: 15 x 1 pr (field cables)</t>
        </is>
      </c>
      <c r="E1236" s="12" t="inlineStr">
        <is>
          <t>SOS-1</t>
        </is>
      </c>
      <c r="F1236" s="12" t="inlineStr">
        <is>
          <t>SOS-1: GTG-1 seal-oil and H2 / CO2 gas-control skid</t>
        </is>
      </c>
      <c r="G1236" s="12" t="inlineStr">
        <is>
          <t>JB-SOS-1-AI01</t>
        </is>
      </c>
      <c r="H1236" s="12" t="inlineStr">
        <is>
          <t>SOS-1: GTG-1 seal-oil and H2 / CO2 gas-control skid</t>
        </is>
      </c>
      <c r="I1236" s="12" t="inlineStr">
        <is>
          <t>Instrumentation</t>
        </is>
      </c>
      <c r="J1236" s="12" t="inlineStr">
        <is>
          <t>Instrumentation ITC / PLTC, IS, #18 shielded pairs, blue jacket</t>
        </is>
      </c>
      <c r="K1236" s="12" t="inlineStr">
        <is>
          <t>ITC|1 pr|16</t>
        </is>
      </c>
      <c r="L1236" s="12" t="inlineStr">
        <is>
          <t>1 pr</t>
        </is>
      </c>
      <c r="M1236" s="12" t="inlineStr">
        <is>
          <t>16</t>
        </is>
      </c>
      <c r="N1236" s="12" t="n">
        <v>15</v>
      </c>
      <c r="O1236" s="12" t="n">
        <v>1</v>
      </c>
      <c r="P1236" s="12" t="n"/>
      <c r="Q1236" s="12" t="n"/>
      <c r="R1236" s="12" t="n"/>
      <c r="S1236" s="12" t="inlineStr">
        <is>
          <t>Tray / conduit</t>
        </is>
      </c>
      <c r="T1236" s="16" t="n">
        <v>52</v>
      </c>
      <c r="U1236" s="16" t="n">
        <v>10</v>
      </c>
      <c r="V1236" s="16">
        <f>ROUNDUP((T1236+U1236+2*'Read Me'!$B$13)*(1+'Read Me'!$B$12),-1)</f>
        <v/>
      </c>
      <c r="W1236" s="16">
        <f>V1236*N1236*O1236</f>
        <v/>
      </c>
      <c r="X1236" s="12">
        <f>IF(LEFT(I1236,2)="MV",2*N1236*IF(L1236="1/C",O1236,1),0)</f>
        <v/>
      </c>
      <c r="Y1236" s="12">
        <f>IF(OR(LEFT(K1236,4)="LVAX",LEFT(K1236,6)="MV15AX",LEFT(K1236,4)="CTAX",LEFT(K1236,2)="W|"),2*N1236*O1236,0)</f>
        <v/>
      </c>
      <c r="Z1236" s="12" t="inlineStr">
        <is>
          <t>device-to-JB field wiring, one cable per device</t>
        </is>
      </c>
      <c r="AA1236" s="12">
        <f>N1236*O1236</f>
        <v/>
      </c>
    </row>
    <row r="1237">
      <c r="A1237" s="12" t="inlineStr">
        <is>
          <t>A-I-0515</t>
        </is>
      </c>
      <c r="B1237" s="12" t="inlineStr">
        <is>
          <t>A</t>
        </is>
      </c>
      <c r="C1237" s="12" t="inlineStr">
        <is>
          <t>Power block</t>
        </is>
      </c>
      <c r="D1237" s="12" t="inlineStr">
        <is>
          <t>Home run JB-SOS-1-AI01 to the control / marshalling room</t>
        </is>
      </c>
      <c r="E1237" s="12" t="inlineStr">
        <is>
          <t>R2A</t>
        </is>
      </c>
      <c r="F1237" s="12" t="inlineStr">
        <is>
          <t>R2A: unit / HRSG electrical e-house (32 x 40 ft)</t>
        </is>
      </c>
      <c r="G1237" s="12" t="inlineStr">
        <is>
          <t>JB-SOS-1-AI01</t>
        </is>
      </c>
      <c r="H1237" s="12" t="inlineStr">
        <is>
          <t>SOS-1: GTG-1 seal-oil and H2 / CO2 gas-control skid</t>
        </is>
      </c>
      <c r="I1237" s="12" t="inlineStr">
        <is>
          <t>Instrumentation</t>
        </is>
      </c>
      <c r="J1237" s="12" t="inlineStr">
        <is>
          <t>Instrumentation ITC / PLTC, IS, #18 shielded pairs, blue jacket</t>
        </is>
      </c>
      <c r="K1237" s="12" t="inlineStr">
        <is>
          <t>ITC|24 pr|18</t>
        </is>
      </c>
      <c r="L1237" s="12" t="inlineStr">
        <is>
          <t>24 pr</t>
        </is>
      </c>
      <c r="M1237" s="12" t="inlineStr">
        <is>
          <t>18</t>
        </is>
      </c>
      <c r="N1237" s="12" t="n">
        <v>1</v>
      </c>
      <c r="O1237" s="12" t="n">
        <v>1</v>
      </c>
      <c r="P1237" s="12" t="n"/>
      <c r="Q1237" s="12" t="n"/>
      <c r="R1237" s="12" t="n"/>
      <c r="S1237" s="12" t="inlineStr">
        <is>
          <t>Tray</t>
        </is>
      </c>
      <c r="T1237" s="16" t="n">
        <v>403</v>
      </c>
      <c r="U1237" s="16" t="n">
        <v>138</v>
      </c>
      <c r="V1237" s="16">
        <f>ROUNDUP((T1237+U1237+2*'Read Me'!$B$13)*(1+'Read Me'!$B$12),-1)</f>
        <v/>
      </c>
      <c r="W1237" s="16">
        <f>V1237*N1237*O1237</f>
        <v/>
      </c>
      <c r="X1237" s="12">
        <f>IF(LEFT(I1237,2)="MV",2*N1237*IF(L1237="1/C",O1237,1),0)</f>
        <v/>
      </c>
      <c r="Y1237" s="12">
        <f>IF(OR(LEFT(K1237,4)="LVAX",LEFT(K1237,6)="MV15AX",LEFT(K1237,4)="CTAX",LEFT(K1237,2)="W|"),2*N1237*O1237,0)</f>
        <v/>
      </c>
      <c r="Z1237" s="12" t="inlineStr"/>
      <c r="AA1237" s="12">
        <f>N1237*O1237</f>
        <v/>
      </c>
    </row>
    <row r="1238">
      <c r="A1238" s="12" t="inlineStr">
        <is>
          <t>A-I-0516</t>
        </is>
      </c>
      <c r="B1238" s="12" t="inlineStr">
        <is>
          <t>A</t>
        </is>
      </c>
      <c r="C1238" s="12" t="inlineStr">
        <is>
          <t>Power block</t>
        </is>
      </c>
      <c r="D1238" s="12" t="inlineStr">
        <is>
          <t>Discrete device to JB JB-SOS-1-DI01: 15 x 1 pr (field cables)</t>
        </is>
      </c>
      <c r="E1238" s="12" t="inlineStr">
        <is>
          <t>SOS-1</t>
        </is>
      </c>
      <c r="F1238" s="12" t="inlineStr">
        <is>
          <t>SOS-1: GTG-1 seal-oil and H2 / CO2 gas-control skid</t>
        </is>
      </c>
      <c r="G1238" s="12" t="inlineStr">
        <is>
          <t>JB-SOS-1-DI01</t>
        </is>
      </c>
      <c r="H1238" s="12" t="inlineStr">
        <is>
          <t>SOS-1: GTG-1 seal-oil and H2 / CO2 gas-control skid</t>
        </is>
      </c>
      <c r="I1238" s="12" t="inlineStr">
        <is>
          <t>Instrumentation</t>
        </is>
      </c>
      <c r="J1238" s="12" t="inlineStr">
        <is>
          <t>Instrumentation ITC / PLTC, IS, #18 shielded pairs, blue jacket</t>
        </is>
      </c>
      <c r="K1238" s="12" t="inlineStr">
        <is>
          <t>ITC|1 pr|16</t>
        </is>
      </c>
      <c r="L1238" s="12" t="inlineStr">
        <is>
          <t>1 pr</t>
        </is>
      </c>
      <c r="M1238" s="12" t="inlineStr">
        <is>
          <t>16</t>
        </is>
      </c>
      <c r="N1238" s="12" t="n">
        <v>15</v>
      </c>
      <c r="O1238" s="12" t="n">
        <v>1</v>
      </c>
      <c r="P1238" s="12" t="n"/>
      <c r="Q1238" s="12" t="n"/>
      <c r="R1238" s="12" t="n"/>
      <c r="S1238" s="12" t="inlineStr">
        <is>
          <t>Tray / conduit</t>
        </is>
      </c>
      <c r="T1238" s="16" t="n">
        <v>52</v>
      </c>
      <c r="U1238" s="16" t="n">
        <v>10</v>
      </c>
      <c r="V1238" s="16">
        <f>ROUNDUP((T1238+U1238+2*'Read Me'!$B$13)*(1+'Read Me'!$B$12),-1)</f>
        <v/>
      </c>
      <c r="W1238" s="16">
        <f>V1238*N1238*O1238</f>
        <v/>
      </c>
      <c r="X1238" s="12">
        <f>IF(LEFT(I1238,2)="MV",2*N1238*IF(L1238="1/C",O1238,1),0)</f>
        <v/>
      </c>
      <c r="Y1238" s="12">
        <f>IF(OR(LEFT(K1238,4)="LVAX",LEFT(K1238,6)="MV15AX",LEFT(K1238,4)="CTAX",LEFT(K1238,2)="W|"),2*N1238*O1238,0)</f>
        <v/>
      </c>
      <c r="Z1238" s="12" t="inlineStr">
        <is>
          <t>device-to-JB field wiring, one cable per device</t>
        </is>
      </c>
      <c r="AA1238" s="12">
        <f>N1238*O1238</f>
        <v/>
      </c>
    </row>
    <row r="1239">
      <c r="A1239" s="12" t="inlineStr">
        <is>
          <t>A-I-0517</t>
        </is>
      </c>
      <c r="B1239" s="12" t="inlineStr">
        <is>
          <t>A</t>
        </is>
      </c>
      <c r="C1239" s="12" t="inlineStr">
        <is>
          <t>Power block</t>
        </is>
      </c>
      <c r="D1239" s="12" t="inlineStr">
        <is>
          <t>Home run JB-SOS-1-DI01 to the control / marshalling room</t>
        </is>
      </c>
      <c r="E1239" s="12" t="inlineStr">
        <is>
          <t>R2A</t>
        </is>
      </c>
      <c r="F1239" s="12" t="inlineStr">
        <is>
          <t>R2A: unit / HRSG electrical e-house (32 x 40 ft)</t>
        </is>
      </c>
      <c r="G1239" s="12" t="inlineStr">
        <is>
          <t>JB-SOS-1-DI01</t>
        </is>
      </c>
      <c r="H1239" s="12" t="inlineStr">
        <is>
          <t>SOS-1: GTG-1 seal-oil and H2 / CO2 gas-control skid</t>
        </is>
      </c>
      <c r="I1239" s="12" t="inlineStr">
        <is>
          <t>Instrumentation</t>
        </is>
      </c>
      <c r="J1239" s="12" t="inlineStr">
        <is>
          <t>Instrumentation ITC / PLTC, IS, #18 shielded pairs, blue jacket</t>
        </is>
      </c>
      <c r="K1239" s="12" t="inlineStr">
        <is>
          <t>ITC|24 pr|18</t>
        </is>
      </c>
      <c r="L1239" s="12" t="inlineStr">
        <is>
          <t>24 pr</t>
        </is>
      </c>
      <c r="M1239" s="12" t="inlineStr">
        <is>
          <t>18</t>
        </is>
      </c>
      <c r="N1239" s="12" t="n">
        <v>1</v>
      </c>
      <c r="O1239" s="12" t="n">
        <v>1</v>
      </c>
      <c r="P1239" s="12" t="n"/>
      <c r="Q1239" s="12" t="n"/>
      <c r="R1239" s="12" t="n"/>
      <c r="S1239" s="12" t="inlineStr">
        <is>
          <t>Tray</t>
        </is>
      </c>
      <c r="T1239" s="16" t="n">
        <v>403</v>
      </c>
      <c r="U1239" s="16" t="n">
        <v>138</v>
      </c>
      <c r="V1239" s="16">
        <f>ROUNDUP((T1239+U1239+2*'Read Me'!$B$13)*(1+'Read Me'!$B$12),-1)</f>
        <v/>
      </c>
      <c r="W1239" s="16">
        <f>V1239*N1239*O1239</f>
        <v/>
      </c>
      <c r="X1239" s="12">
        <f>IF(LEFT(I1239,2)="MV",2*N1239*IF(L1239="1/C",O1239,1),0)</f>
        <v/>
      </c>
      <c r="Y1239" s="12">
        <f>IF(OR(LEFT(K1239,4)="LVAX",LEFT(K1239,6)="MV15AX",LEFT(K1239,4)="CTAX",LEFT(K1239,2)="W|"),2*N1239*O1239,0)</f>
        <v/>
      </c>
      <c r="Z1239" s="12" t="inlineStr"/>
      <c r="AA1239" s="12">
        <f>N1239*O1239</f>
        <v/>
      </c>
    </row>
    <row r="1240">
      <c r="A1240" s="12" t="inlineStr">
        <is>
          <t>A-I-0518</t>
        </is>
      </c>
      <c r="B1240" s="12" t="inlineStr">
        <is>
          <t>A</t>
        </is>
      </c>
      <c r="C1240" s="12" t="inlineStr">
        <is>
          <t>Power block</t>
        </is>
      </c>
      <c r="D1240" s="12" t="inlineStr">
        <is>
          <t>Analog instrument to JB JB-SOS-2-AI01: 15 x 1 pr (field cables)</t>
        </is>
      </c>
      <c r="E1240" s="12" t="inlineStr">
        <is>
          <t>SOS-2</t>
        </is>
      </c>
      <c r="F1240" s="12" t="inlineStr">
        <is>
          <t>SOS-2: GTG-2 seal-oil and H2 / CO2 gas-control skid</t>
        </is>
      </c>
      <c r="G1240" s="12" t="inlineStr">
        <is>
          <t>JB-SOS-2-AI01</t>
        </is>
      </c>
      <c r="H1240" s="12" t="inlineStr">
        <is>
          <t>SOS-2: GTG-2 seal-oil and H2 / CO2 gas-control skid</t>
        </is>
      </c>
      <c r="I1240" s="12" t="inlineStr">
        <is>
          <t>Instrumentation</t>
        </is>
      </c>
      <c r="J1240" s="12" t="inlineStr">
        <is>
          <t>Instrumentation ITC / PLTC, IS, #18 shielded pairs, blue jacket</t>
        </is>
      </c>
      <c r="K1240" s="12" t="inlineStr">
        <is>
          <t>ITC|1 pr|16</t>
        </is>
      </c>
      <c r="L1240" s="12" t="inlineStr">
        <is>
          <t>1 pr</t>
        </is>
      </c>
      <c r="M1240" s="12" t="inlineStr">
        <is>
          <t>16</t>
        </is>
      </c>
      <c r="N1240" s="12" t="n">
        <v>15</v>
      </c>
      <c r="O1240" s="12" t="n">
        <v>1</v>
      </c>
      <c r="P1240" s="12" t="n"/>
      <c r="Q1240" s="12" t="n"/>
      <c r="R1240" s="12" t="n"/>
      <c r="S1240" s="12" t="inlineStr">
        <is>
          <t>Tray / conduit</t>
        </is>
      </c>
      <c r="T1240" s="16" t="n">
        <v>52</v>
      </c>
      <c r="U1240" s="16" t="n">
        <v>10</v>
      </c>
      <c r="V1240" s="16">
        <f>ROUNDUP((T1240+U1240+2*'Read Me'!$B$13)*(1+'Read Me'!$B$12),-1)</f>
        <v/>
      </c>
      <c r="W1240" s="16">
        <f>V1240*N1240*O1240</f>
        <v/>
      </c>
      <c r="X1240" s="12">
        <f>IF(LEFT(I1240,2)="MV",2*N1240*IF(L1240="1/C",O1240,1),0)</f>
        <v/>
      </c>
      <c r="Y1240" s="12">
        <f>IF(OR(LEFT(K1240,4)="LVAX",LEFT(K1240,6)="MV15AX",LEFT(K1240,4)="CTAX",LEFT(K1240,2)="W|"),2*N1240*O1240,0)</f>
        <v/>
      </c>
      <c r="Z1240" s="12" t="inlineStr">
        <is>
          <t>device-to-JB field wiring, one cable per device</t>
        </is>
      </c>
      <c r="AA1240" s="12">
        <f>N1240*O1240</f>
        <v/>
      </c>
    </row>
    <row r="1241">
      <c r="A1241" s="12" t="inlineStr">
        <is>
          <t>A-I-0519</t>
        </is>
      </c>
      <c r="B1241" s="12" t="inlineStr">
        <is>
          <t>A</t>
        </is>
      </c>
      <c r="C1241" s="12" t="inlineStr">
        <is>
          <t>Power block</t>
        </is>
      </c>
      <c r="D1241" s="12" t="inlineStr">
        <is>
          <t>Home run JB-SOS-2-AI01 to the control / marshalling room</t>
        </is>
      </c>
      <c r="E1241" s="12" t="inlineStr">
        <is>
          <t>R2B</t>
        </is>
      </c>
      <c r="F1241" s="12" t="inlineStr">
        <is>
          <t>R2B: unit / HRSG electrical e-house (32 x 40 ft)</t>
        </is>
      </c>
      <c r="G1241" s="12" t="inlineStr">
        <is>
          <t>JB-SOS-2-AI01</t>
        </is>
      </c>
      <c r="H1241" s="12" t="inlineStr">
        <is>
          <t>SOS-2: GTG-2 seal-oil and H2 / CO2 gas-control skid</t>
        </is>
      </c>
      <c r="I1241" s="12" t="inlineStr">
        <is>
          <t>Instrumentation</t>
        </is>
      </c>
      <c r="J1241" s="12" t="inlineStr">
        <is>
          <t>Instrumentation ITC / PLTC, IS, #18 shielded pairs, blue jacket</t>
        </is>
      </c>
      <c r="K1241" s="12" t="inlineStr">
        <is>
          <t>ITC|24 pr|18</t>
        </is>
      </c>
      <c r="L1241" s="12" t="inlineStr">
        <is>
          <t>24 pr</t>
        </is>
      </c>
      <c r="M1241" s="12" t="inlineStr">
        <is>
          <t>18</t>
        </is>
      </c>
      <c r="N1241" s="12" t="n">
        <v>1</v>
      </c>
      <c r="O1241" s="12" t="n">
        <v>1</v>
      </c>
      <c r="P1241" s="12" t="n"/>
      <c r="Q1241" s="12" t="n"/>
      <c r="R1241" s="12" t="n"/>
      <c r="S1241" s="12" t="inlineStr">
        <is>
          <t>Tray</t>
        </is>
      </c>
      <c r="T1241" s="16" t="n">
        <v>1277</v>
      </c>
      <c r="U1241" s="16" t="n">
        <v>228</v>
      </c>
      <c r="V1241" s="16">
        <f>ROUNDUP((T1241+U1241+2*'Read Me'!$B$13)*(1+'Read Me'!$B$12),-1)</f>
        <v/>
      </c>
      <c r="W1241" s="16">
        <f>V1241*N1241*O1241</f>
        <v/>
      </c>
      <c r="X1241" s="12">
        <f>IF(LEFT(I1241,2)="MV",2*N1241*IF(L1241="1/C",O1241,1),0)</f>
        <v/>
      </c>
      <c r="Y1241" s="12">
        <f>IF(OR(LEFT(K1241,4)="LVAX",LEFT(K1241,6)="MV15AX",LEFT(K1241,4)="CTAX",LEFT(K1241,2)="W|"),2*N1241*O1241,0)</f>
        <v/>
      </c>
      <c r="Z1241" s="12" t="inlineStr"/>
      <c r="AA1241" s="12">
        <f>N1241*O1241</f>
        <v/>
      </c>
    </row>
    <row r="1242">
      <c r="A1242" s="12" t="inlineStr">
        <is>
          <t>A-I-0520</t>
        </is>
      </c>
      <c r="B1242" s="12" t="inlineStr">
        <is>
          <t>A</t>
        </is>
      </c>
      <c r="C1242" s="12" t="inlineStr">
        <is>
          <t>Power block</t>
        </is>
      </c>
      <c r="D1242" s="12" t="inlineStr">
        <is>
          <t>Discrete device to JB JB-SOS-2-DI01: 15 x 1 pr (field cables)</t>
        </is>
      </c>
      <c r="E1242" s="12" t="inlineStr">
        <is>
          <t>SOS-2</t>
        </is>
      </c>
      <c r="F1242" s="12" t="inlineStr">
        <is>
          <t>SOS-2: GTG-2 seal-oil and H2 / CO2 gas-control skid</t>
        </is>
      </c>
      <c r="G1242" s="12" t="inlineStr">
        <is>
          <t>JB-SOS-2-DI01</t>
        </is>
      </c>
      <c r="H1242" s="12" t="inlineStr">
        <is>
          <t>SOS-2: GTG-2 seal-oil and H2 / CO2 gas-control skid</t>
        </is>
      </c>
      <c r="I1242" s="12" t="inlineStr">
        <is>
          <t>Instrumentation</t>
        </is>
      </c>
      <c r="J1242" s="12" t="inlineStr">
        <is>
          <t>Instrumentation ITC / PLTC, IS, #18 shielded pairs, blue jacket</t>
        </is>
      </c>
      <c r="K1242" s="12" t="inlineStr">
        <is>
          <t>ITC|1 pr|16</t>
        </is>
      </c>
      <c r="L1242" s="12" t="inlineStr">
        <is>
          <t>1 pr</t>
        </is>
      </c>
      <c r="M1242" s="12" t="inlineStr">
        <is>
          <t>16</t>
        </is>
      </c>
      <c r="N1242" s="12" t="n">
        <v>15</v>
      </c>
      <c r="O1242" s="12" t="n">
        <v>1</v>
      </c>
      <c r="P1242" s="12" t="n"/>
      <c r="Q1242" s="12" t="n"/>
      <c r="R1242" s="12" t="n"/>
      <c r="S1242" s="12" t="inlineStr">
        <is>
          <t>Tray / conduit</t>
        </is>
      </c>
      <c r="T1242" s="16" t="n">
        <v>52</v>
      </c>
      <c r="U1242" s="16" t="n">
        <v>10</v>
      </c>
      <c r="V1242" s="16">
        <f>ROUNDUP((T1242+U1242+2*'Read Me'!$B$13)*(1+'Read Me'!$B$12),-1)</f>
        <v/>
      </c>
      <c r="W1242" s="16">
        <f>V1242*N1242*O1242</f>
        <v/>
      </c>
      <c r="X1242" s="12">
        <f>IF(LEFT(I1242,2)="MV",2*N1242*IF(L1242="1/C",O1242,1),0)</f>
        <v/>
      </c>
      <c r="Y1242" s="12">
        <f>IF(OR(LEFT(K1242,4)="LVAX",LEFT(K1242,6)="MV15AX",LEFT(K1242,4)="CTAX",LEFT(K1242,2)="W|"),2*N1242*O1242,0)</f>
        <v/>
      </c>
      <c r="Z1242" s="12" t="inlineStr">
        <is>
          <t>device-to-JB field wiring, one cable per device</t>
        </is>
      </c>
      <c r="AA1242" s="12">
        <f>N1242*O1242</f>
        <v/>
      </c>
    </row>
    <row r="1243">
      <c r="A1243" s="12" t="inlineStr">
        <is>
          <t>A-I-0521</t>
        </is>
      </c>
      <c r="B1243" s="12" t="inlineStr">
        <is>
          <t>A</t>
        </is>
      </c>
      <c r="C1243" s="12" t="inlineStr">
        <is>
          <t>Power block</t>
        </is>
      </c>
      <c r="D1243" s="12" t="inlineStr">
        <is>
          <t>Home run JB-SOS-2-DI01 to the control / marshalling room</t>
        </is>
      </c>
      <c r="E1243" s="12" t="inlineStr">
        <is>
          <t>R2B</t>
        </is>
      </c>
      <c r="F1243" s="12" t="inlineStr">
        <is>
          <t>R2B: unit / HRSG electrical e-house (32 x 40 ft)</t>
        </is>
      </c>
      <c r="G1243" s="12" t="inlineStr">
        <is>
          <t>JB-SOS-2-DI01</t>
        </is>
      </c>
      <c r="H1243" s="12" t="inlineStr">
        <is>
          <t>SOS-2: GTG-2 seal-oil and H2 / CO2 gas-control skid</t>
        </is>
      </c>
      <c r="I1243" s="12" t="inlineStr">
        <is>
          <t>Instrumentation</t>
        </is>
      </c>
      <c r="J1243" s="12" t="inlineStr">
        <is>
          <t>Instrumentation ITC / PLTC, IS, #18 shielded pairs, blue jacket</t>
        </is>
      </c>
      <c r="K1243" s="12" t="inlineStr">
        <is>
          <t>ITC|24 pr|18</t>
        </is>
      </c>
      <c r="L1243" s="12" t="inlineStr">
        <is>
          <t>24 pr</t>
        </is>
      </c>
      <c r="M1243" s="12" t="inlineStr">
        <is>
          <t>18</t>
        </is>
      </c>
      <c r="N1243" s="12" t="n">
        <v>1</v>
      </c>
      <c r="O1243" s="12" t="n">
        <v>1</v>
      </c>
      <c r="P1243" s="12" t="n"/>
      <c r="Q1243" s="12" t="n"/>
      <c r="R1243" s="12" t="n"/>
      <c r="S1243" s="12" t="inlineStr">
        <is>
          <t>Tray</t>
        </is>
      </c>
      <c r="T1243" s="16" t="n">
        <v>1277</v>
      </c>
      <c r="U1243" s="16" t="n">
        <v>228</v>
      </c>
      <c r="V1243" s="16">
        <f>ROUNDUP((T1243+U1243+2*'Read Me'!$B$13)*(1+'Read Me'!$B$12),-1)</f>
        <v/>
      </c>
      <c r="W1243" s="16">
        <f>V1243*N1243*O1243</f>
        <v/>
      </c>
      <c r="X1243" s="12">
        <f>IF(LEFT(I1243,2)="MV",2*N1243*IF(L1243="1/C",O1243,1),0)</f>
        <v/>
      </c>
      <c r="Y1243" s="12">
        <f>IF(OR(LEFT(K1243,4)="LVAX",LEFT(K1243,6)="MV15AX",LEFT(K1243,4)="CTAX",LEFT(K1243,2)="W|"),2*N1243*O1243,0)</f>
        <v/>
      </c>
      <c r="Z1243" s="12" t="inlineStr"/>
      <c r="AA1243" s="12">
        <f>N1243*O1243</f>
        <v/>
      </c>
    </row>
    <row r="1244">
      <c r="A1244" s="12" t="inlineStr">
        <is>
          <t>A-I-0522</t>
        </is>
      </c>
      <c r="B1244" s="12" t="inlineStr">
        <is>
          <t>A</t>
        </is>
      </c>
      <c r="C1244" s="12" t="inlineStr">
        <is>
          <t>Power block</t>
        </is>
      </c>
      <c r="D1244" s="12" t="inlineStr">
        <is>
          <t>Analog instrument to JB JB-SOS-3-AI01: 15 x 1 pr (field cables)</t>
        </is>
      </c>
      <c r="E1244" s="12" t="inlineStr">
        <is>
          <t>SOS-3</t>
        </is>
      </c>
      <c r="F1244" s="12" t="inlineStr">
        <is>
          <t>SOS-3: GTG-3 seal-oil and H2 / CO2 gas-control skid</t>
        </is>
      </c>
      <c r="G1244" s="12" t="inlineStr">
        <is>
          <t>JB-SOS-3-AI01</t>
        </is>
      </c>
      <c r="H1244" s="12" t="inlineStr">
        <is>
          <t>SOS-3: GTG-3 seal-oil and H2 / CO2 gas-control skid</t>
        </is>
      </c>
      <c r="I1244" s="12" t="inlineStr">
        <is>
          <t>Instrumentation</t>
        </is>
      </c>
      <c r="J1244" s="12" t="inlineStr">
        <is>
          <t>Instrumentation ITC / PLTC, IS, #18 shielded pairs, blue jacket</t>
        </is>
      </c>
      <c r="K1244" s="12" t="inlineStr">
        <is>
          <t>ITC|1 pr|16</t>
        </is>
      </c>
      <c r="L1244" s="12" t="inlineStr">
        <is>
          <t>1 pr</t>
        </is>
      </c>
      <c r="M1244" s="12" t="inlineStr">
        <is>
          <t>16</t>
        </is>
      </c>
      <c r="N1244" s="12" t="n">
        <v>15</v>
      </c>
      <c r="O1244" s="12" t="n">
        <v>1</v>
      </c>
      <c r="P1244" s="12" t="n"/>
      <c r="Q1244" s="12" t="n"/>
      <c r="R1244" s="12" t="n"/>
      <c r="S1244" s="12" t="inlineStr">
        <is>
          <t>Tray / conduit</t>
        </is>
      </c>
      <c r="T1244" s="16" t="n">
        <v>52</v>
      </c>
      <c r="U1244" s="16" t="n">
        <v>10</v>
      </c>
      <c r="V1244" s="16">
        <f>ROUNDUP((T1244+U1244+2*'Read Me'!$B$13)*(1+'Read Me'!$B$12),-1)</f>
        <v/>
      </c>
      <c r="W1244" s="16">
        <f>V1244*N1244*O1244</f>
        <v/>
      </c>
      <c r="X1244" s="12">
        <f>IF(LEFT(I1244,2)="MV",2*N1244*IF(L1244="1/C",O1244,1),0)</f>
        <v/>
      </c>
      <c r="Y1244" s="12">
        <f>IF(OR(LEFT(K1244,4)="LVAX",LEFT(K1244,6)="MV15AX",LEFT(K1244,4)="CTAX",LEFT(K1244,2)="W|"),2*N1244*O1244,0)</f>
        <v/>
      </c>
      <c r="Z1244" s="12" t="inlineStr">
        <is>
          <t>device-to-JB field wiring, one cable per device</t>
        </is>
      </c>
      <c r="AA1244" s="12">
        <f>N1244*O1244</f>
        <v/>
      </c>
    </row>
    <row r="1245">
      <c r="A1245" s="12" t="inlineStr">
        <is>
          <t>A-I-0523</t>
        </is>
      </c>
      <c r="B1245" s="12" t="inlineStr">
        <is>
          <t>A</t>
        </is>
      </c>
      <c r="C1245" s="12" t="inlineStr">
        <is>
          <t>Power block</t>
        </is>
      </c>
      <c r="D1245" s="12" t="inlineStr">
        <is>
          <t>Home run JB-SOS-3-AI01 to the control / marshalling room</t>
        </is>
      </c>
      <c r="E1245" s="12" t="inlineStr">
        <is>
          <t>R2C</t>
        </is>
      </c>
      <c r="F1245" s="12" t="inlineStr">
        <is>
          <t>R2C: unit / HRSG electrical e-house (32 x 40 ft)</t>
        </is>
      </c>
      <c r="G1245" s="12" t="inlineStr">
        <is>
          <t>JB-SOS-3-AI01</t>
        </is>
      </c>
      <c r="H1245" s="12" t="inlineStr">
        <is>
          <t>SOS-3: GTG-3 seal-oil and H2 / CO2 gas-control skid</t>
        </is>
      </c>
      <c r="I1245" s="12" t="inlineStr">
        <is>
          <t>Instrumentation</t>
        </is>
      </c>
      <c r="J1245" s="12" t="inlineStr">
        <is>
          <t>Instrumentation ITC / PLTC, IS, #18 shielded pairs, blue jacket</t>
        </is>
      </c>
      <c r="K1245" s="12" t="inlineStr">
        <is>
          <t>ITC|24 pr|18</t>
        </is>
      </c>
      <c r="L1245" s="12" t="inlineStr">
        <is>
          <t>24 pr</t>
        </is>
      </c>
      <c r="M1245" s="12" t="inlineStr">
        <is>
          <t>18</t>
        </is>
      </c>
      <c r="N1245" s="12" t="n">
        <v>1</v>
      </c>
      <c r="O1245" s="12" t="n">
        <v>1</v>
      </c>
      <c r="P1245" s="12" t="n"/>
      <c r="Q1245" s="12" t="n"/>
      <c r="R1245" s="12" t="n"/>
      <c r="S1245" s="12" t="inlineStr">
        <is>
          <t>Duct bank</t>
        </is>
      </c>
      <c r="T1245" s="16" t="n">
        <v>1214</v>
      </c>
      <c r="U1245" s="16" t="n">
        <v>126</v>
      </c>
      <c r="V1245" s="16">
        <f>ROUNDUP((T1245+U1245+2*'Read Me'!$B$13)*(1+'Read Me'!$B$12),-1)</f>
        <v/>
      </c>
      <c r="W1245" s="16">
        <f>V1245*N1245*O1245</f>
        <v/>
      </c>
      <c r="X1245" s="12">
        <f>IF(LEFT(I1245,2)="MV",2*N1245*IF(L1245="1/C",O1245,1),0)</f>
        <v/>
      </c>
      <c r="Y1245" s="12">
        <f>IF(OR(LEFT(K1245,4)="LVAX",LEFT(K1245,6)="MV15AX",LEFT(K1245,4)="CTAX",LEFT(K1245,2)="W|"),2*N1245*O1245,0)</f>
        <v/>
      </c>
      <c r="Z1245" s="12" t="inlineStr"/>
      <c r="AA1245" s="12">
        <f>N1245*O1245</f>
        <v/>
      </c>
    </row>
    <row r="1246">
      <c r="A1246" s="12" t="inlineStr">
        <is>
          <t>A-I-0524</t>
        </is>
      </c>
      <c r="B1246" s="12" t="inlineStr">
        <is>
          <t>A</t>
        </is>
      </c>
      <c r="C1246" s="12" t="inlineStr">
        <is>
          <t>Power block</t>
        </is>
      </c>
      <c r="D1246" s="12" t="inlineStr">
        <is>
          <t>Discrete device to JB JB-SOS-3-DI01: 15 x 1 pr (field cables)</t>
        </is>
      </c>
      <c r="E1246" s="12" t="inlineStr">
        <is>
          <t>SOS-3</t>
        </is>
      </c>
      <c r="F1246" s="12" t="inlineStr">
        <is>
          <t>SOS-3: GTG-3 seal-oil and H2 / CO2 gas-control skid</t>
        </is>
      </c>
      <c r="G1246" s="12" t="inlineStr">
        <is>
          <t>JB-SOS-3-DI01</t>
        </is>
      </c>
      <c r="H1246" s="12" t="inlineStr">
        <is>
          <t>SOS-3: GTG-3 seal-oil and H2 / CO2 gas-control skid</t>
        </is>
      </c>
      <c r="I1246" s="12" t="inlineStr">
        <is>
          <t>Instrumentation</t>
        </is>
      </c>
      <c r="J1246" s="12" t="inlineStr">
        <is>
          <t>Instrumentation ITC / PLTC, IS, #18 shielded pairs, blue jacket</t>
        </is>
      </c>
      <c r="K1246" s="12" t="inlineStr">
        <is>
          <t>ITC|1 pr|16</t>
        </is>
      </c>
      <c r="L1246" s="12" t="inlineStr">
        <is>
          <t>1 pr</t>
        </is>
      </c>
      <c r="M1246" s="12" t="inlineStr">
        <is>
          <t>16</t>
        </is>
      </c>
      <c r="N1246" s="12" t="n">
        <v>15</v>
      </c>
      <c r="O1246" s="12" t="n">
        <v>1</v>
      </c>
      <c r="P1246" s="12" t="n"/>
      <c r="Q1246" s="12" t="n"/>
      <c r="R1246" s="12" t="n"/>
      <c r="S1246" s="12" t="inlineStr">
        <is>
          <t>Tray / conduit</t>
        </is>
      </c>
      <c r="T1246" s="16" t="n">
        <v>52</v>
      </c>
      <c r="U1246" s="16" t="n">
        <v>10</v>
      </c>
      <c r="V1246" s="16">
        <f>ROUNDUP((T1246+U1246+2*'Read Me'!$B$13)*(1+'Read Me'!$B$12),-1)</f>
        <v/>
      </c>
      <c r="W1246" s="16">
        <f>V1246*N1246*O1246</f>
        <v/>
      </c>
      <c r="X1246" s="12">
        <f>IF(LEFT(I1246,2)="MV",2*N1246*IF(L1246="1/C",O1246,1),0)</f>
        <v/>
      </c>
      <c r="Y1246" s="12">
        <f>IF(OR(LEFT(K1246,4)="LVAX",LEFT(K1246,6)="MV15AX",LEFT(K1246,4)="CTAX",LEFT(K1246,2)="W|"),2*N1246*O1246,0)</f>
        <v/>
      </c>
      <c r="Z1246" s="12" t="inlineStr">
        <is>
          <t>device-to-JB field wiring, one cable per device</t>
        </is>
      </c>
      <c r="AA1246" s="12">
        <f>N1246*O1246</f>
        <v/>
      </c>
    </row>
    <row r="1247">
      <c r="A1247" s="12" t="inlineStr">
        <is>
          <t>A-I-0525</t>
        </is>
      </c>
      <c r="B1247" s="12" t="inlineStr">
        <is>
          <t>A</t>
        </is>
      </c>
      <c r="C1247" s="12" t="inlineStr">
        <is>
          <t>Power block</t>
        </is>
      </c>
      <c r="D1247" s="12" t="inlineStr">
        <is>
          <t>Home run JB-SOS-3-DI01 to the control / marshalling room</t>
        </is>
      </c>
      <c r="E1247" s="12" t="inlineStr">
        <is>
          <t>R2C</t>
        </is>
      </c>
      <c r="F1247" s="12" t="inlineStr">
        <is>
          <t>R2C: unit / HRSG electrical e-house (32 x 40 ft)</t>
        </is>
      </c>
      <c r="G1247" s="12" t="inlineStr">
        <is>
          <t>JB-SOS-3-DI01</t>
        </is>
      </c>
      <c r="H1247" s="12" t="inlineStr">
        <is>
          <t>SOS-3: GTG-3 seal-oil and H2 / CO2 gas-control skid</t>
        </is>
      </c>
      <c r="I1247" s="12" t="inlineStr">
        <is>
          <t>Instrumentation</t>
        </is>
      </c>
      <c r="J1247" s="12" t="inlineStr">
        <is>
          <t>Instrumentation ITC / PLTC, IS, #18 shielded pairs, blue jacket</t>
        </is>
      </c>
      <c r="K1247" s="12" t="inlineStr">
        <is>
          <t>ITC|24 pr|18</t>
        </is>
      </c>
      <c r="L1247" s="12" t="inlineStr">
        <is>
          <t>24 pr</t>
        </is>
      </c>
      <c r="M1247" s="12" t="inlineStr">
        <is>
          <t>18</t>
        </is>
      </c>
      <c r="N1247" s="12" t="n">
        <v>1</v>
      </c>
      <c r="O1247" s="12" t="n">
        <v>1</v>
      </c>
      <c r="P1247" s="12" t="n"/>
      <c r="Q1247" s="12" t="n"/>
      <c r="R1247" s="12" t="n"/>
      <c r="S1247" s="12" t="inlineStr">
        <is>
          <t>Duct bank</t>
        </is>
      </c>
      <c r="T1247" s="16" t="n">
        <v>1214</v>
      </c>
      <c r="U1247" s="16" t="n">
        <v>126</v>
      </c>
      <c r="V1247" s="16">
        <f>ROUNDUP((T1247+U1247+2*'Read Me'!$B$13)*(1+'Read Me'!$B$12),-1)</f>
        <v/>
      </c>
      <c r="W1247" s="16">
        <f>V1247*N1247*O1247</f>
        <v/>
      </c>
      <c r="X1247" s="12">
        <f>IF(LEFT(I1247,2)="MV",2*N1247*IF(L1247="1/C",O1247,1),0)</f>
        <v/>
      </c>
      <c r="Y1247" s="12">
        <f>IF(OR(LEFT(K1247,4)="LVAX",LEFT(K1247,6)="MV15AX",LEFT(K1247,4)="CTAX",LEFT(K1247,2)="W|"),2*N1247*O1247,0)</f>
        <v/>
      </c>
      <c r="Z1247" s="12" t="inlineStr"/>
      <c r="AA1247" s="12">
        <f>N1247*O1247</f>
        <v/>
      </c>
    </row>
    <row r="1248">
      <c r="A1248" s="12" t="inlineStr">
        <is>
          <t>A-I-0526</t>
        </is>
      </c>
      <c r="B1248" s="12" t="inlineStr">
        <is>
          <t>A</t>
        </is>
      </c>
      <c r="C1248" s="12" t="inlineStr">
        <is>
          <t>Power block</t>
        </is>
      </c>
      <c r="D1248" s="12" t="inlineStr">
        <is>
          <t>Analog instrument to JB JB-SPC-1-AI01: 10 x 1 pr (field cables)</t>
        </is>
      </c>
      <c r="E1248" s="12" t="inlineStr">
        <is>
          <t>SPC-1</t>
        </is>
      </c>
      <c r="F1248" s="12" t="inlineStr">
        <is>
          <t>SPC-1: surge-protection and VT cubicle on the IPB (GTG-1)</t>
        </is>
      </c>
      <c r="G1248" s="12" t="inlineStr">
        <is>
          <t>JB-SPC-1-AI01</t>
        </is>
      </c>
      <c r="H1248" s="12" t="inlineStr">
        <is>
          <t>SPC-1: surge-protection and VT cubicle on the IPB (GTG-1)</t>
        </is>
      </c>
      <c r="I1248" s="12" t="inlineStr">
        <is>
          <t>Instrumentation</t>
        </is>
      </c>
      <c r="J1248" s="12" t="inlineStr">
        <is>
          <t>Instrumentation PLTC / TC-ER 300 V, #18 twisted shielded pairs, overall shield</t>
        </is>
      </c>
      <c r="K1248" s="12" t="inlineStr">
        <is>
          <t>PLTC|1 pr|16</t>
        </is>
      </c>
      <c r="L1248" s="12" t="inlineStr">
        <is>
          <t>1 pr</t>
        </is>
      </c>
      <c r="M1248" s="12" t="inlineStr">
        <is>
          <t>16</t>
        </is>
      </c>
      <c r="N1248" s="12" t="n">
        <v>10</v>
      </c>
      <c r="O1248" s="12" t="n">
        <v>1</v>
      </c>
      <c r="P1248" s="12" t="n"/>
      <c r="Q1248" s="12" t="n"/>
      <c r="R1248" s="12" t="n"/>
      <c r="S1248" s="12" t="inlineStr">
        <is>
          <t>Tray / conduit</t>
        </is>
      </c>
      <c r="T1248" s="16" t="n">
        <v>40</v>
      </c>
      <c r="U1248" s="16" t="n">
        <v>10</v>
      </c>
      <c r="V1248" s="16">
        <f>ROUNDUP((T1248+U1248+2*'Read Me'!$B$13)*(1+'Read Me'!$B$12),-1)</f>
        <v/>
      </c>
      <c r="W1248" s="16">
        <f>V1248*N1248*O1248</f>
        <v/>
      </c>
      <c r="X1248" s="12">
        <f>IF(LEFT(I1248,2)="MV",2*N1248*IF(L1248="1/C",O1248,1),0)</f>
        <v/>
      </c>
      <c r="Y1248" s="12">
        <f>IF(OR(LEFT(K1248,4)="LVAX",LEFT(K1248,6)="MV15AX",LEFT(K1248,4)="CTAX",LEFT(K1248,2)="W|"),2*N1248*O1248,0)</f>
        <v/>
      </c>
      <c r="Z1248" s="12" t="inlineStr">
        <is>
          <t>device-to-JB field wiring, one cable per device</t>
        </is>
      </c>
      <c r="AA1248" s="12">
        <f>N1248*O1248</f>
        <v/>
      </c>
    </row>
    <row r="1249">
      <c r="A1249" s="12" t="inlineStr">
        <is>
          <t>A-I-0527</t>
        </is>
      </c>
      <c r="B1249" s="12" t="inlineStr">
        <is>
          <t>A</t>
        </is>
      </c>
      <c r="C1249" s="12" t="inlineStr">
        <is>
          <t>Power block</t>
        </is>
      </c>
      <c r="D1249" s="12" t="inlineStr">
        <is>
          <t>Home run JB-SPC-1-AI01 to the control / marshalling room</t>
        </is>
      </c>
      <c r="E1249" s="12" t="inlineStr">
        <is>
          <t>R2A</t>
        </is>
      </c>
      <c r="F1249" s="12" t="inlineStr">
        <is>
          <t>R2A: unit / HRSG electrical e-house (32 x 40 ft)</t>
        </is>
      </c>
      <c r="G1249" s="12" t="inlineStr">
        <is>
          <t>JB-SPC-1-AI01</t>
        </is>
      </c>
      <c r="H1249" s="12" t="inlineStr">
        <is>
          <t>SPC-1: surge-protection and VT cubicle on the IPB (GTG-1)</t>
        </is>
      </c>
      <c r="I1249" s="12" t="inlineStr">
        <is>
          <t>Instrumentation</t>
        </is>
      </c>
      <c r="J1249" s="12" t="inlineStr">
        <is>
          <t>Instrumentation PLTC / TC-ER 300 V, #18 twisted shielded pairs, overall shield</t>
        </is>
      </c>
      <c r="K1249" s="12" t="inlineStr">
        <is>
          <t>PLTC|24 pr|18</t>
        </is>
      </c>
      <c r="L1249" s="12" t="inlineStr">
        <is>
          <t>24 pr</t>
        </is>
      </c>
      <c r="M1249" s="12" t="inlineStr">
        <is>
          <t>18</t>
        </is>
      </c>
      <c r="N1249" s="12" t="n">
        <v>1</v>
      </c>
      <c r="O1249" s="12" t="n">
        <v>1</v>
      </c>
      <c r="P1249" s="12" t="n"/>
      <c r="Q1249" s="12" t="n"/>
      <c r="R1249" s="12" t="n"/>
      <c r="S1249" s="12" t="inlineStr">
        <is>
          <t>Tray</t>
        </is>
      </c>
      <c r="T1249" s="16" t="n">
        <v>395</v>
      </c>
      <c r="U1249" s="16" t="n">
        <v>124</v>
      </c>
      <c r="V1249" s="16">
        <f>ROUNDUP((T1249+U1249+2*'Read Me'!$B$13)*(1+'Read Me'!$B$12),-1)</f>
        <v/>
      </c>
      <c r="W1249" s="16">
        <f>V1249*N1249*O1249</f>
        <v/>
      </c>
      <c r="X1249" s="12">
        <f>IF(LEFT(I1249,2)="MV",2*N1249*IF(L1249="1/C",O1249,1),0)</f>
        <v/>
      </c>
      <c r="Y1249" s="12">
        <f>IF(OR(LEFT(K1249,4)="LVAX",LEFT(K1249,6)="MV15AX",LEFT(K1249,4)="CTAX",LEFT(K1249,2)="W|"),2*N1249*O1249,0)</f>
        <v/>
      </c>
      <c r="Z1249" s="12" t="inlineStr"/>
      <c r="AA1249" s="12">
        <f>N1249*O1249</f>
        <v/>
      </c>
    </row>
    <row r="1250">
      <c r="A1250" s="12" t="inlineStr">
        <is>
          <t>A-I-0528</t>
        </is>
      </c>
      <c r="B1250" s="12" t="inlineStr">
        <is>
          <t>A</t>
        </is>
      </c>
      <c r="C1250" s="12" t="inlineStr">
        <is>
          <t>Power block</t>
        </is>
      </c>
      <c r="D1250" s="12" t="inlineStr">
        <is>
          <t>Discrete device to JB JB-SPC-1-DI01: 20 x 1 pr (field cables)</t>
        </is>
      </c>
      <c r="E1250" s="12" t="inlineStr">
        <is>
          <t>SPC-1</t>
        </is>
      </c>
      <c r="F1250" s="12" t="inlineStr">
        <is>
          <t>SPC-1: surge-protection and VT cubicle on the IPB (GTG-1)</t>
        </is>
      </c>
      <c r="G1250" s="12" t="inlineStr">
        <is>
          <t>JB-SPC-1-DI01</t>
        </is>
      </c>
      <c r="H1250" s="12" t="inlineStr">
        <is>
          <t>SPC-1: surge-protection and VT cubicle on the IPB (GTG-1)</t>
        </is>
      </c>
      <c r="I1250" s="12" t="inlineStr">
        <is>
          <t>Instrumentation</t>
        </is>
      </c>
      <c r="J1250" s="12" t="inlineStr">
        <is>
          <t>Instrumentation PLTC / TC-ER 300 V, #18 twisted shielded pairs, overall shield</t>
        </is>
      </c>
      <c r="K1250" s="12" t="inlineStr">
        <is>
          <t>PLTC|1 pr|16</t>
        </is>
      </c>
      <c r="L1250" s="12" t="inlineStr">
        <is>
          <t>1 pr</t>
        </is>
      </c>
      <c r="M1250" s="12" t="inlineStr">
        <is>
          <t>16</t>
        </is>
      </c>
      <c r="N1250" s="12" t="n">
        <v>20</v>
      </c>
      <c r="O1250" s="12" t="n">
        <v>1</v>
      </c>
      <c r="P1250" s="12" t="n"/>
      <c r="Q1250" s="12" t="n"/>
      <c r="R1250" s="12" t="n"/>
      <c r="S1250" s="12" t="inlineStr">
        <is>
          <t>Tray / conduit</t>
        </is>
      </c>
      <c r="T1250" s="16" t="n">
        <v>40</v>
      </c>
      <c r="U1250" s="16" t="n">
        <v>10</v>
      </c>
      <c r="V1250" s="16">
        <f>ROUNDUP((T1250+U1250+2*'Read Me'!$B$13)*(1+'Read Me'!$B$12),-1)</f>
        <v/>
      </c>
      <c r="W1250" s="16">
        <f>V1250*N1250*O1250</f>
        <v/>
      </c>
      <c r="X1250" s="12">
        <f>IF(LEFT(I1250,2)="MV",2*N1250*IF(L1250="1/C",O1250,1),0)</f>
        <v/>
      </c>
      <c r="Y1250" s="12">
        <f>IF(OR(LEFT(K1250,4)="LVAX",LEFT(K1250,6)="MV15AX",LEFT(K1250,4)="CTAX",LEFT(K1250,2)="W|"),2*N1250*O1250,0)</f>
        <v/>
      </c>
      <c r="Z1250" s="12" t="inlineStr">
        <is>
          <t>device-to-JB field wiring, one cable per device</t>
        </is>
      </c>
      <c r="AA1250" s="12">
        <f>N1250*O1250</f>
        <v/>
      </c>
    </row>
    <row r="1251">
      <c r="A1251" s="12" t="inlineStr">
        <is>
          <t>A-I-0529</t>
        </is>
      </c>
      <c r="B1251" s="12" t="inlineStr">
        <is>
          <t>A</t>
        </is>
      </c>
      <c r="C1251" s="12" t="inlineStr">
        <is>
          <t>Power block</t>
        </is>
      </c>
      <c r="D1251" s="12" t="inlineStr">
        <is>
          <t>Home run JB-SPC-1-DI01 to the control / marshalling room</t>
        </is>
      </c>
      <c r="E1251" s="12" t="inlineStr">
        <is>
          <t>R2A</t>
        </is>
      </c>
      <c r="F1251" s="12" t="inlineStr">
        <is>
          <t>R2A: unit / HRSG electrical e-house (32 x 40 ft)</t>
        </is>
      </c>
      <c r="G1251" s="12" t="inlineStr">
        <is>
          <t>JB-SPC-1-DI01</t>
        </is>
      </c>
      <c r="H1251" s="12" t="inlineStr">
        <is>
          <t>SPC-1: surge-protection and VT cubicle on the IPB (GTG-1)</t>
        </is>
      </c>
      <c r="I1251" s="12" t="inlineStr">
        <is>
          <t>Instrumentation</t>
        </is>
      </c>
      <c r="J1251" s="12" t="inlineStr">
        <is>
          <t>Instrumentation PLTC / TC-ER 300 V, #18 twisted shielded pairs, overall shield</t>
        </is>
      </c>
      <c r="K1251" s="12" t="inlineStr">
        <is>
          <t>PLTC|24 pr|18</t>
        </is>
      </c>
      <c r="L1251" s="12" t="inlineStr">
        <is>
          <t>24 pr</t>
        </is>
      </c>
      <c r="M1251" s="12" t="inlineStr">
        <is>
          <t>18</t>
        </is>
      </c>
      <c r="N1251" s="12" t="n">
        <v>1</v>
      </c>
      <c r="O1251" s="12" t="n">
        <v>1</v>
      </c>
      <c r="P1251" s="12" t="n"/>
      <c r="Q1251" s="12" t="n"/>
      <c r="R1251" s="12" t="n"/>
      <c r="S1251" s="12" t="inlineStr">
        <is>
          <t>Tray</t>
        </is>
      </c>
      <c r="T1251" s="16" t="n">
        <v>395</v>
      </c>
      <c r="U1251" s="16" t="n">
        <v>124</v>
      </c>
      <c r="V1251" s="16">
        <f>ROUNDUP((T1251+U1251+2*'Read Me'!$B$13)*(1+'Read Me'!$B$12),-1)</f>
        <v/>
      </c>
      <c r="W1251" s="16">
        <f>V1251*N1251*O1251</f>
        <v/>
      </c>
      <c r="X1251" s="12">
        <f>IF(LEFT(I1251,2)="MV",2*N1251*IF(L1251="1/C",O1251,1),0)</f>
        <v/>
      </c>
      <c r="Y1251" s="12">
        <f>IF(OR(LEFT(K1251,4)="LVAX",LEFT(K1251,6)="MV15AX",LEFT(K1251,4)="CTAX",LEFT(K1251,2)="W|"),2*N1251*O1251,0)</f>
        <v/>
      </c>
      <c r="Z1251" s="12" t="inlineStr"/>
      <c r="AA1251" s="12">
        <f>N1251*O1251</f>
        <v/>
      </c>
    </row>
    <row r="1252">
      <c r="A1252" s="12" t="inlineStr">
        <is>
          <t>A-I-0530</t>
        </is>
      </c>
      <c r="B1252" s="12" t="inlineStr">
        <is>
          <t>A</t>
        </is>
      </c>
      <c r="C1252" s="12" t="inlineStr">
        <is>
          <t>Power block</t>
        </is>
      </c>
      <c r="D1252" s="12" t="inlineStr">
        <is>
          <t>Analog instrument to JB JB-SPC-2-AI01: 10 x 1 pr (field cables)</t>
        </is>
      </c>
      <c r="E1252" s="12" t="inlineStr">
        <is>
          <t>SPC-2</t>
        </is>
      </c>
      <c r="F1252" s="12" t="inlineStr">
        <is>
          <t>SPC-2: surge-protection and VT cubicle on the IPB (GTG-2)</t>
        </is>
      </c>
      <c r="G1252" s="12" t="inlineStr">
        <is>
          <t>JB-SPC-2-AI01</t>
        </is>
      </c>
      <c r="H1252" s="12" t="inlineStr">
        <is>
          <t>SPC-2: surge-protection and VT cubicle on the IPB (GTG-2)</t>
        </is>
      </c>
      <c r="I1252" s="12" t="inlineStr">
        <is>
          <t>Instrumentation</t>
        </is>
      </c>
      <c r="J1252" s="12" t="inlineStr">
        <is>
          <t>Instrumentation PLTC / TC-ER 300 V, #18 twisted shielded pairs, overall shield</t>
        </is>
      </c>
      <c r="K1252" s="12" t="inlineStr">
        <is>
          <t>PLTC|1 pr|16</t>
        </is>
      </c>
      <c r="L1252" s="12" t="inlineStr">
        <is>
          <t>1 pr</t>
        </is>
      </c>
      <c r="M1252" s="12" t="inlineStr">
        <is>
          <t>16</t>
        </is>
      </c>
      <c r="N1252" s="12" t="n">
        <v>10</v>
      </c>
      <c r="O1252" s="12" t="n">
        <v>1</v>
      </c>
      <c r="P1252" s="12" t="n"/>
      <c r="Q1252" s="12" t="n"/>
      <c r="R1252" s="12" t="n"/>
      <c r="S1252" s="12" t="inlineStr">
        <is>
          <t>Tray / conduit</t>
        </is>
      </c>
      <c r="T1252" s="16" t="n">
        <v>40</v>
      </c>
      <c r="U1252" s="16" t="n">
        <v>10</v>
      </c>
      <c r="V1252" s="16">
        <f>ROUNDUP((T1252+U1252+2*'Read Me'!$B$13)*(1+'Read Me'!$B$12),-1)</f>
        <v/>
      </c>
      <c r="W1252" s="16">
        <f>V1252*N1252*O1252</f>
        <v/>
      </c>
      <c r="X1252" s="12">
        <f>IF(LEFT(I1252,2)="MV",2*N1252*IF(L1252="1/C",O1252,1),0)</f>
        <v/>
      </c>
      <c r="Y1252" s="12">
        <f>IF(OR(LEFT(K1252,4)="LVAX",LEFT(K1252,6)="MV15AX",LEFT(K1252,4)="CTAX",LEFT(K1252,2)="W|"),2*N1252*O1252,0)</f>
        <v/>
      </c>
      <c r="Z1252" s="12" t="inlineStr">
        <is>
          <t>device-to-JB field wiring, one cable per device</t>
        </is>
      </c>
      <c r="AA1252" s="12">
        <f>N1252*O1252</f>
        <v/>
      </c>
    </row>
    <row r="1253">
      <c r="A1253" s="12" t="inlineStr">
        <is>
          <t>A-I-0531</t>
        </is>
      </c>
      <c r="B1253" s="12" t="inlineStr">
        <is>
          <t>A</t>
        </is>
      </c>
      <c r="C1253" s="12" t="inlineStr">
        <is>
          <t>Power block</t>
        </is>
      </c>
      <c r="D1253" s="12" t="inlineStr">
        <is>
          <t>Home run JB-SPC-2-AI01 to the control / marshalling room</t>
        </is>
      </c>
      <c r="E1253" s="12" t="inlineStr">
        <is>
          <t>R2B</t>
        </is>
      </c>
      <c r="F1253" s="12" t="inlineStr">
        <is>
          <t>R2B: unit / HRSG electrical e-house (32 x 40 ft)</t>
        </is>
      </c>
      <c r="G1253" s="12" t="inlineStr">
        <is>
          <t>JB-SPC-2-AI01</t>
        </is>
      </c>
      <c r="H1253" s="12" t="inlineStr">
        <is>
          <t>SPC-2: surge-protection and VT cubicle on the IPB (GTG-2)</t>
        </is>
      </c>
      <c r="I1253" s="12" t="inlineStr">
        <is>
          <t>Instrumentation</t>
        </is>
      </c>
      <c r="J1253" s="12" t="inlineStr">
        <is>
          <t>Instrumentation PLTC / TC-ER 300 V, #18 twisted shielded pairs, overall shield</t>
        </is>
      </c>
      <c r="K1253" s="12" t="inlineStr">
        <is>
          <t>PLTC|24 pr|18</t>
        </is>
      </c>
      <c r="L1253" s="12" t="inlineStr">
        <is>
          <t>24 pr</t>
        </is>
      </c>
      <c r="M1253" s="12" t="inlineStr">
        <is>
          <t>18</t>
        </is>
      </c>
      <c r="N1253" s="12" t="n">
        <v>1</v>
      </c>
      <c r="O1253" s="12" t="n">
        <v>1</v>
      </c>
      <c r="P1253" s="12" t="n"/>
      <c r="Q1253" s="12" t="n"/>
      <c r="R1253" s="12" t="n"/>
      <c r="S1253" s="12" t="inlineStr">
        <is>
          <t>Tray</t>
        </is>
      </c>
      <c r="T1253" s="16" t="n">
        <v>1269</v>
      </c>
      <c r="U1253" s="16" t="n">
        <v>214</v>
      </c>
      <c r="V1253" s="16">
        <f>ROUNDUP((T1253+U1253+2*'Read Me'!$B$13)*(1+'Read Me'!$B$12),-1)</f>
        <v/>
      </c>
      <c r="W1253" s="16">
        <f>V1253*N1253*O1253</f>
        <v/>
      </c>
      <c r="X1253" s="12">
        <f>IF(LEFT(I1253,2)="MV",2*N1253*IF(L1253="1/C",O1253,1),0)</f>
        <v/>
      </c>
      <c r="Y1253" s="12">
        <f>IF(OR(LEFT(K1253,4)="LVAX",LEFT(K1253,6)="MV15AX",LEFT(K1253,4)="CTAX",LEFT(K1253,2)="W|"),2*N1253*O1253,0)</f>
        <v/>
      </c>
      <c r="Z1253" s="12" t="inlineStr"/>
      <c r="AA1253" s="12">
        <f>N1253*O1253</f>
        <v/>
      </c>
    </row>
    <row r="1254">
      <c r="A1254" s="12" t="inlineStr">
        <is>
          <t>A-I-0532</t>
        </is>
      </c>
      <c r="B1254" s="12" t="inlineStr">
        <is>
          <t>A</t>
        </is>
      </c>
      <c r="C1254" s="12" t="inlineStr">
        <is>
          <t>Power block</t>
        </is>
      </c>
      <c r="D1254" s="12" t="inlineStr">
        <is>
          <t>Discrete device to JB JB-SPC-2-DI01: 20 x 1 pr (field cables)</t>
        </is>
      </c>
      <c r="E1254" s="12" t="inlineStr">
        <is>
          <t>SPC-2</t>
        </is>
      </c>
      <c r="F1254" s="12" t="inlineStr">
        <is>
          <t>SPC-2: surge-protection and VT cubicle on the IPB (GTG-2)</t>
        </is>
      </c>
      <c r="G1254" s="12" t="inlineStr">
        <is>
          <t>JB-SPC-2-DI01</t>
        </is>
      </c>
      <c r="H1254" s="12" t="inlineStr">
        <is>
          <t>SPC-2: surge-protection and VT cubicle on the IPB (GTG-2)</t>
        </is>
      </c>
      <c r="I1254" s="12" t="inlineStr">
        <is>
          <t>Instrumentation</t>
        </is>
      </c>
      <c r="J1254" s="12" t="inlineStr">
        <is>
          <t>Instrumentation PLTC / TC-ER 300 V, #18 twisted shielded pairs, overall shield</t>
        </is>
      </c>
      <c r="K1254" s="12" t="inlineStr">
        <is>
          <t>PLTC|1 pr|16</t>
        </is>
      </c>
      <c r="L1254" s="12" t="inlineStr">
        <is>
          <t>1 pr</t>
        </is>
      </c>
      <c r="M1254" s="12" t="inlineStr">
        <is>
          <t>16</t>
        </is>
      </c>
      <c r="N1254" s="12" t="n">
        <v>20</v>
      </c>
      <c r="O1254" s="12" t="n">
        <v>1</v>
      </c>
      <c r="P1254" s="12" t="n"/>
      <c r="Q1254" s="12" t="n"/>
      <c r="R1254" s="12" t="n"/>
      <c r="S1254" s="12" t="inlineStr">
        <is>
          <t>Tray / conduit</t>
        </is>
      </c>
      <c r="T1254" s="16" t="n">
        <v>40</v>
      </c>
      <c r="U1254" s="16" t="n">
        <v>10</v>
      </c>
      <c r="V1254" s="16">
        <f>ROUNDUP((T1254+U1254+2*'Read Me'!$B$13)*(1+'Read Me'!$B$12),-1)</f>
        <v/>
      </c>
      <c r="W1254" s="16">
        <f>V1254*N1254*O1254</f>
        <v/>
      </c>
      <c r="X1254" s="12">
        <f>IF(LEFT(I1254,2)="MV",2*N1254*IF(L1254="1/C",O1254,1),0)</f>
        <v/>
      </c>
      <c r="Y1254" s="12">
        <f>IF(OR(LEFT(K1254,4)="LVAX",LEFT(K1254,6)="MV15AX",LEFT(K1254,4)="CTAX",LEFT(K1254,2)="W|"),2*N1254*O1254,0)</f>
        <v/>
      </c>
      <c r="Z1254" s="12" t="inlineStr">
        <is>
          <t>device-to-JB field wiring, one cable per device</t>
        </is>
      </c>
      <c r="AA1254" s="12">
        <f>N1254*O1254</f>
        <v/>
      </c>
    </row>
    <row r="1255">
      <c r="A1255" s="12" t="inlineStr">
        <is>
          <t>A-I-0533</t>
        </is>
      </c>
      <c r="B1255" s="12" t="inlineStr">
        <is>
          <t>A</t>
        </is>
      </c>
      <c r="C1255" s="12" t="inlineStr">
        <is>
          <t>Power block</t>
        </is>
      </c>
      <c r="D1255" s="12" t="inlineStr">
        <is>
          <t>Home run JB-SPC-2-DI01 to the control / marshalling room</t>
        </is>
      </c>
      <c r="E1255" s="12" t="inlineStr">
        <is>
          <t>R2B</t>
        </is>
      </c>
      <c r="F1255" s="12" t="inlineStr">
        <is>
          <t>R2B: unit / HRSG electrical e-house (32 x 40 ft)</t>
        </is>
      </c>
      <c r="G1255" s="12" t="inlineStr">
        <is>
          <t>JB-SPC-2-DI01</t>
        </is>
      </c>
      <c r="H1255" s="12" t="inlineStr">
        <is>
          <t>SPC-2: surge-protection and VT cubicle on the IPB (GTG-2)</t>
        </is>
      </c>
      <c r="I1255" s="12" t="inlineStr">
        <is>
          <t>Instrumentation</t>
        </is>
      </c>
      <c r="J1255" s="12" t="inlineStr">
        <is>
          <t>Instrumentation PLTC / TC-ER 300 V, #18 twisted shielded pairs, overall shield</t>
        </is>
      </c>
      <c r="K1255" s="12" t="inlineStr">
        <is>
          <t>PLTC|24 pr|18</t>
        </is>
      </c>
      <c r="L1255" s="12" t="inlineStr">
        <is>
          <t>24 pr</t>
        </is>
      </c>
      <c r="M1255" s="12" t="inlineStr">
        <is>
          <t>18</t>
        </is>
      </c>
      <c r="N1255" s="12" t="n">
        <v>1</v>
      </c>
      <c r="O1255" s="12" t="n">
        <v>1</v>
      </c>
      <c r="P1255" s="12" t="n"/>
      <c r="Q1255" s="12" t="n"/>
      <c r="R1255" s="12" t="n"/>
      <c r="S1255" s="12" t="inlineStr">
        <is>
          <t>Tray</t>
        </is>
      </c>
      <c r="T1255" s="16" t="n">
        <v>1269</v>
      </c>
      <c r="U1255" s="16" t="n">
        <v>214</v>
      </c>
      <c r="V1255" s="16">
        <f>ROUNDUP((T1255+U1255+2*'Read Me'!$B$13)*(1+'Read Me'!$B$12),-1)</f>
        <v/>
      </c>
      <c r="W1255" s="16">
        <f>V1255*N1255*O1255</f>
        <v/>
      </c>
      <c r="X1255" s="12">
        <f>IF(LEFT(I1255,2)="MV",2*N1255*IF(L1255="1/C",O1255,1),0)</f>
        <v/>
      </c>
      <c r="Y1255" s="12">
        <f>IF(OR(LEFT(K1255,4)="LVAX",LEFT(K1255,6)="MV15AX",LEFT(K1255,4)="CTAX",LEFT(K1255,2)="W|"),2*N1255*O1255,0)</f>
        <v/>
      </c>
      <c r="Z1255" s="12" t="inlineStr"/>
      <c r="AA1255" s="12">
        <f>N1255*O1255</f>
        <v/>
      </c>
    </row>
    <row r="1256">
      <c r="A1256" s="12" t="inlineStr">
        <is>
          <t>A-I-0534</t>
        </is>
      </c>
      <c r="B1256" s="12" t="inlineStr">
        <is>
          <t>A</t>
        </is>
      </c>
      <c r="C1256" s="12" t="inlineStr">
        <is>
          <t>Power block</t>
        </is>
      </c>
      <c r="D1256" s="12" t="inlineStr">
        <is>
          <t>Analog instrument to JB JB-SPC-3-AI01: 10 x 1 pr (field cables)</t>
        </is>
      </c>
      <c r="E1256" s="12" t="inlineStr">
        <is>
          <t>SPC-3</t>
        </is>
      </c>
      <c r="F1256" s="12" t="inlineStr">
        <is>
          <t>SPC-3: surge-protection and VT cubicle on the IPB (GTG-3)</t>
        </is>
      </c>
      <c r="G1256" s="12" t="inlineStr">
        <is>
          <t>JB-SPC-3-AI01</t>
        </is>
      </c>
      <c r="H1256" s="12" t="inlineStr">
        <is>
          <t>SPC-3: surge-protection and VT cubicle on the IPB (GTG-3)</t>
        </is>
      </c>
      <c r="I1256" s="12" t="inlineStr">
        <is>
          <t>Instrumentation</t>
        </is>
      </c>
      <c r="J1256" s="12" t="inlineStr">
        <is>
          <t>Instrumentation PLTC / TC-ER 300 V, #18 twisted shielded pairs, overall shield</t>
        </is>
      </c>
      <c r="K1256" s="12" t="inlineStr">
        <is>
          <t>PLTC|1 pr|16</t>
        </is>
      </c>
      <c r="L1256" s="12" t="inlineStr">
        <is>
          <t>1 pr</t>
        </is>
      </c>
      <c r="M1256" s="12" t="inlineStr">
        <is>
          <t>16</t>
        </is>
      </c>
      <c r="N1256" s="12" t="n">
        <v>10</v>
      </c>
      <c r="O1256" s="12" t="n">
        <v>1</v>
      </c>
      <c r="P1256" s="12" t="n"/>
      <c r="Q1256" s="12" t="n"/>
      <c r="R1256" s="12" t="n"/>
      <c r="S1256" s="12" t="inlineStr">
        <is>
          <t>Tray / conduit</t>
        </is>
      </c>
      <c r="T1256" s="16" t="n">
        <v>40</v>
      </c>
      <c r="U1256" s="16" t="n">
        <v>10</v>
      </c>
      <c r="V1256" s="16">
        <f>ROUNDUP((T1256+U1256+2*'Read Me'!$B$13)*(1+'Read Me'!$B$12),-1)</f>
        <v/>
      </c>
      <c r="W1256" s="16">
        <f>V1256*N1256*O1256</f>
        <v/>
      </c>
      <c r="X1256" s="12">
        <f>IF(LEFT(I1256,2)="MV",2*N1256*IF(L1256="1/C",O1256,1),0)</f>
        <v/>
      </c>
      <c r="Y1256" s="12">
        <f>IF(OR(LEFT(K1256,4)="LVAX",LEFT(K1256,6)="MV15AX",LEFT(K1256,4)="CTAX",LEFT(K1256,2)="W|"),2*N1256*O1256,0)</f>
        <v/>
      </c>
      <c r="Z1256" s="12" t="inlineStr">
        <is>
          <t>device-to-JB field wiring, one cable per device</t>
        </is>
      </c>
      <c r="AA1256" s="12">
        <f>N1256*O1256</f>
        <v/>
      </c>
    </row>
    <row r="1257">
      <c r="A1257" s="12" t="inlineStr">
        <is>
          <t>A-I-0535</t>
        </is>
      </c>
      <c r="B1257" s="12" t="inlineStr">
        <is>
          <t>A</t>
        </is>
      </c>
      <c r="C1257" s="12" t="inlineStr">
        <is>
          <t>Power block</t>
        </is>
      </c>
      <c r="D1257" s="12" t="inlineStr">
        <is>
          <t>Home run JB-SPC-3-AI01 to the control / marshalling room</t>
        </is>
      </c>
      <c r="E1257" s="12" t="inlineStr">
        <is>
          <t>R2C</t>
        </is>
      </c>
      <c r="F1257" s="12" t="inlineStr">
        <is>
          <t>R2C: unit / HRSG electrical e-house (32 x 40 ft)</t>
        </is>
      </c>
      <c r="G1257" s="12" t="inlineStr">
        <is>
          <t>JB-SPC-3-AI01</t>
        </is>
      </c>
      <c r="H1257" s="12" t="inlineStr">
        <is>
          <t>SPC-3: surge-protection and VT cubicle on the IPB (GTG-3)</t>
        </is>
      </c>
      <c r="I1257" s="12" t="inlineStr">
        <is>
          <t>Instrumentation</t>
        </is>
      </c>
      <c r="J1257" s="12" t="inlineStr">
        <is>
          <t>Instrumentation PLTC / TC-ER 300 V, #18 twisted shielded pairs, overall shield</t>
        </is>
      </c>
      <c r="K1257" s="12" t="inlineStr">
        <is>
          <t>PLTC|24 pr|18</t>
        </is>
      </c>
      <c r="L1257" s="12" t="inlineStr">
        <is>
          <t>24 pr</t>
        </is>
      </c>
      <c r="M1257" s="12" t="inlineStr">
        <is>
          <t>18</t>
        </is>
      </c>
      <c r="N1257" s="12" t="n">
        <v>1</v>
      </c>
      <c r="O1257" s="12" t="n">
        <v>1</v>
      </c>
      <c r="P1257" s="12" t="n"/>
      <c r="Q1257" s="12" t="n"/>
      <c r="R1257" s="12" t="n"/>
      <c r="S1257" s="12" t="inlineStr">
        <is>
          <t>Duct bank</t>
        </is>
      </c>
      <c r="T1257" s="16" t="n">
        <v>1193</v>
      </c>
      <c r="U1257" s="16" t="n">
        <v>114</v>
      </c>
      <c r="V1257" s="16">
        <f>ROUNDUP((T1257+U1257+2*'Read Me'!$B$13)*(1+'Read Me'!$B$12),-1)</f>
        <v/>
      </c>
      <c r="W1257" s="16">
        <f>V1257*N1257*O1257</f>
        <v/>
      </c>
      <c r="X1257" s="12">
        <f>IF(LEFT(I1257,2)="MV",2*N1257*IF(L1257="1/C",O1257,1),0)</f>
        <v/>
      </c>
      <c r="Y1257" s="12">
        <f>IF(OR(LEFT(K1257,4)="LVAX",LEFT(K1257,6)="MV15AX",LEFT(K1257,4)="CTAX",LEFT(K1257,2)="W|"),2*N1257*O1257,0)</f>
        <v/>
      </c>
      <c r="Z1257" s="12" t="inlineStr"/>
      <c r="AA1257" s="12">
        <f>N1257*O1257</f>
        <v/>
      </c>
    </row>
    <row r="1258">
      <c r="A1258" s="12" t="inlineStr">
        <is>
          <t>A-I-0536</t>
        </is>
      </c>
      <c r="B1258" s="12" t="inlineStr">
        <is>
          <t>A</t>
        </is>
      </c>
      <c r="C1258" s="12" t="inlineStr">
        <is>
          <t>Power block</t>
        </is>
      </c>
      <c r="D1258" s="12" t="inlineStr">
        <is>
          <t>Discrete device to JB JB-SPC-3-DI01: 20 x 1 pr (field cables)</t>
        </is>
      </c>
      <c r="E1258" s="12" t="inlineStr">
        <is>
          <t>SPC-3</t>
        </is>
      </c>
      <c r="F1258" s="12" t="inlineStr">
        <is>
          <t>SPC-3: surge-protection and VT cubicle on the IPB (GTG-3)</t>
        </is>
      </c>
      <c r="G1258" s="12" t="inlineStr">
        <is>
          <t>JB-SPC-3-DI01</t>
        </is>
      </c>
      <c r="H1258" s="12" t="inlineStr">
        <is>
          <t>SPC-3: surge-protection and VT cubicle on the IPB (GTG-3)</t>
        </is>
      </c>
      <c r="I1258" s="12" t="inlineStr">
        <is>
          <t>Instrumentation</t>
        </is>
      </c>
      <c r="J1258" s="12" t="inlineStr">
        <is>
          <t>Instrumentation PLTC / TC-ER 300 V, #18 twisted shielded pairs, overall shield</t>
        </is>
      </c>
      <c r="K1258" s="12" t="inlineStr">
        <is>
          <t>PLTC|1 pr|16</t>
        </is>
      </c>
      <c r="L1258" s="12" t="inlineStr">
        <is>
          <t>1 pr</t>
        </is>
      </c>
      <c r="M1258" s="12" t="inlineStr">
        <is>
          <t>16</t>
        </is>
      </c>
      <c r="N1258" s="12" t="n">
        <v>20</v>
      </c>
      <c r="O1258" s="12" t="n">
        <v>1</v>
      </c>
      <c r="P1258" s="12" t="n"/>
      <c r="Q1258" s="12" t="n"/>
      <c r="R1258" s="12" t="n"/>
      <c r="S1258" s="12" t="inlineStr">
        <is>
          <t>Tray / conduit</t>
        </is>
      </c>
      <c r="T1258" s="16" t="n">
        <v>40</v>
      </c>
      <c r="U1258" s="16" t="n">
        <v>10</v>
      </c>
      <c r="V1258" s="16">
        <f>ROUNDUP((T1258+U1258+2*'Read Me'!$B$13)*(1+'Read Me'!$B$12),-1)</f>
        <v/>
      </c>
      <c r="W1258" s="16">
        <f>V1258*N1258*O1258</f>
        <v/>
      </c>
      <c r="X1258" s="12">
        <f>IF(LEFT(I1258,2)="MV",2*N1258*IF(L1258="1/C",O1258,1),0)</f>
        <v/>
      </c>
      <c r="Y1258" s="12">
        <f>IF(OR(LEFT(K1258,4)="LVAX",LEFT(K1258,6)="MV15AX",LEFT(K1258,4)="CTAX",LEFT(K1258,2)="W|"),2*N1258*O1258,0)</f>
        <v/>
      </c>
      <c r="Z1258" s="12" t="inlineStr">
        <is>
          <t>device-to-JB field wiring, one cable per device</t>
        </is>
      </c>
      <c r="AA1258" s="12">
        <f>N1258*O1258</f>
        <v/>
      </c>
    </row>
    <row r="1259">
      <c r="A1259" s="12" t="inlineStr">
        <is>
          <t>A-I-0537</t>
        </is>
      </c>
      <c r="B1259" s="12" t="inlineStr">
        <is>
          <t>A</t>
        </is>
      </c>
      <c r="C1259" s="12" t="inlineStr">
        <is>
          <t>Power block</t>
        </is>
      </c>
      <c r="D1259" s="12" t="inlineStr">
        <is>
          <t>Home run JB-SPC-3-DI01 to the control / marshalling room</t>
        </is>
      </c>
      <c r="E1259" s="12" t="inlineStr">
        <is>
          <t>R2C</t>
        </is>
      </c>
      <c r="F1259" s="12" t="inlineStr">
        <is>
          <t>R2C: unit / HRSG electrical e-house (32 x 40 ft)</t>
        </is>
      </c>
      <c r="G1259" s="12" t="inlineStr">
        <is>
          <t>JB-SPC-3-DI01</t>
        </is>
      </c>
      <c r="H1259" s="12" t="inlineStr">
        <is>
          <t>SPC-3: surge-protection and VT cubicle on the IPB (GTG-3)</t>
        </is>
      </c>
      <c r="I1259" s="12" t="inlineStr">
        <is>
          <t>Instrumentation</t>
        </is>
      </c>
      <c r="J1259" s="12" t="inlineStr">
        <is>
          <t>Instrumentation PLTC / TC-ER 300 V, #18 twisted shielded pairs, overall shield</t>
        </is>
      </c>
      <c r="K1259" s="12" t="inlineStr">
        <is>
          <t>PLTC|24 pr|18</t>
        </is>
      </c>
      <c r="L1259" s="12" t="inlineStr">
        <is>
          <t>24 pr</t>
        </is>
      </c>
      <c r="M1259" s="12" t="inlineStr">
        <is>
          <t>18</t>
        </is>
      </c>
      <c r="N1259" s="12" t="n">
        <v>1</v>
      </c>
      <c r="O1259" s="12" t="n">
        <v>1</v>
      </c>
      <c r="P1259" s="12" t="n"/>
      <c r="Q1259" s="12" t="n"/>
      <c r="R1259" s="12" t="n"/>
      <c r="S1259" s="12" t="inlineStr">
        <is>
          <t>Duct bank</t>
        </is>
      </c>
      <c r="T1259" s="16" t="n">
        <v>1193</v>
      </c>
      <c r="U1259" s="16" t="n">
        <v>114</v>
      </c>
      <c r="V1259" s="16">
        <f>ROUNDUP((T1259+U1259+2*'Read Me'!$B$13)*(1+'Read Me'!$B$12),-1)</f>
        <v/>
      </c>
      <c r="W1259" s="16">
        <f>V1259*N1259*O1259</f>
        <v/>
      </c>
      <c r="X1259" s="12">
        <f>IF(LEFT(I1259,2)="MV",2*N1259*IF(L1259="1/C",O1259,1),0)</f>
        <v/>
      </c>
      <c r="Y1259" s="12">
        <f>IF(OR(LEFT(K1259,4)="LVAX",LEFT(K1259,6)="MV15AX",LEFT(K1259,4)="CTAX",LEFT(K1259,2)="W|"),2*N1259*O1259,0)</f>
        <v/>
      </c>
      <c r="Z1259" s="12" t="inlineStr"/>
      <c r="AA1259" s="12">
        <f>N1259*O1259</f>
        <v/>
      </c>
    </row>
    <row r="1260">
      <c r="A1260" s="12" t="inlineStr">
        <is>
          <t>A-I-0538</t>
        </is>
      </c>
      <c r="B1260" s="12" t="inlineStr">
        <is>
          <t>A</t>
        </is>
      </c>
      <c r="C1260" s="12" t="inlineStr">
        <is>
          <t>Power block</t>
        </is>
      </c>
      <c r="D1260" s="12" t="inlineStr">
        <is>
          <t>Analog instrument to JB JB-ST aux-AI01: 20 x 1 pr (field cables)</t>
        </is>
      </c>
      <c r="E1260" s="12" t="inlineStr">
        <is>
          <t>ST aux</t>
        </is>
      </c>
      <c r="F1260" s="12" t="inlineStr">
        <is>
          <t>ST aux: lube oil, turning gear, EHC</t>
        </is>
      </c>
      <c r="G1260" s="12" t="inlineStr">
        <is>
          <t>JB-ST aux-AI01</t>
        </is>
      </c>
      <c r="H1260" s="12" t="inlineStr">
        <is>
          <t>ST aux: lube oil, turning gear, EHC</t>
        </is>
      </c>
      <c r="I1260" s="12" t="inlineStr">
        <is>
          <t>Instrumentation</t>
        </is>
      </c>
      <c r="J1260" s="12" t="inlineStr">
        <is>
          <t>Instrumentation PLTC / TC-ER 300 V, #18 twisted shielded pairs, overall shield</t>
        </is>
      </c>
      <c r="K1260" s="12" t="inlineStr">
        <is>
          <t>PLTC|1 pr|16</t>
        </is>
      </c>
      <c r="L1260" s="12" t="inlineStr">
        <is>
          <t>1 pr</t>
        </is>
      </c>
      <c r="M1260" s="12" t="inlineStr">
        <is>
          <t>16</t>
        </is>
      </c>
      <c r="N1260" s="12" t="n">
        <v>20</v>
      </c>
      <c r="O1260" s="12" t="n">
        <v>1</v>
      </c>
      <c r="P1260" s="12" t="n"/>
      <c r="Q1260" s="12" t="n"/>
      <c r="R1260" s="12" t="n"/>
      <c r="S1260" s="12" t="inlineStr">
        <is>
          <t>Tray / conduit</t>
        </is>
      </c>
      <c r="T1260" s="16" t="n">
        <v>62</v>
      </c>
      <c r="U1260" s="16" t="n">
        <v>10</v>
      </c>
      <c r="V1260" s="16">
        <f>ROUNDUP((T1260+U1260+2*'Read Me'!$B$13)*(1+'Read Me'!$B$12),-1)</f>
        <v/>
      </c>
      <c r="W1260" s="16">
        <f>V1260*N1260*O1260</f>
        <v/>
      </c>
      <c r="X1260" s="12">
        <f>IF(LEFT(I1260,2)="MV",2*N1260*IF(L1260="1/C",O1260,1),0)</f>
        <v/>
      </c>
      <c r="Y1260" s="12">
        <f>IF(OR(LEFT(K1260,4)="LVAX",LEFT(K1260,6)="MV15AX",LEFT(K1260,4)="CTAX",LEFT(K1260,2)="W|"),2*N1260*O1260,0)</f>
        <v/>
      </c>
      <c r="Z1260" s="12" t="inlineStr">
        <is>
          <t>device-to-JB field wiring, one cable per device</t>
        </is>
      </c>
      <c r="AA1260" s="12">
        <f>N1260*O1260</f>
        <v/>
      </c>
    </row>
    <row r="1261">
      <c r="A1261" s="12" t="inlineStr">
        <is>
          <t>A-I-0539</t>
        </is>
      </c>
      <c r="B1261" s="12" t="inlineStr">
        <is>
          <t>A</t>
        </is>
      </c>
      <c r="C1261" s="12" t="inlineStr">
        <is>
          <t>Power block</t>
        </is>
      </c>
      <c r="D1261" s="12" t="inlineStr">
        <is>
          <t>Home run JB-ST aux-AI01 to the control / marshalling room</t>
        </is>
      </c>
      <c r="E1261" s="12" t="inlineStr">
        <is>
          <t>R3</t>
        </is>
      </c>
      <c r="F1261" s="12" t="inlineStr">
        <is>
          <t>R3: ST auxiliary electrical e-house (40 x 65 ft)</t>
        </is>
      </c>
      <c r="G1261" s="12" t="inlineStr">
        <is>
          <t>JB-ST aux-AI01</t>
        </is>
      </c>
      <c r="H1261" s="12" t="inlineStr">
        <is>
          <t>ST aux: lube oil, turning gear, EHC</t>
        </is>
      </c>
      <c r="I1261" s="12" t="inlineStr">
        <is>
          <t>Instrumentation</t>
        </is>
      </c>
      <c r="J1261" s="12" t="inlineStr">
        <is>
          <t>Instrumentation PLTC / TC-ER 300 V, #18 twisted shielded pairs, overall shield</t>
        </is>
      </c>
      <c r="K1261" s="12" t="inlineStr">
        <is>
          <t>PLTC|24 pr|18</t>
        </is>
      </c>
      <c r="L1261" s="12" t="inlineStr">
        <is>
          <t>24 pr</t>
        </is>
      </c>
      <c r="M1261" s="12" t="inlineStr">
        <is>
          <t>18</t>
        </is>
      </c>
      <c r="N1261" s="12" t="n">
        <v>1</v>
      </c>
      <c r="O1261" s="12" t="n">
        <v>1</v>
      </c>
      <c r="P1261" s="12" t="n"/>
      <c r="Q1261" s="12" t="n"/>
      <c r="R1261" s="12" t="n"/>
      <c r="S1261" s="12" t="inlineStr">
        <is>
          <t>Tray</t>
        </is>
      </c>
      <c r="T1261" s="16" t="n">
        <v>67</v>
      </c>
      <c r="U1261" s="16" t="n">
        <v>84</v>
      </c>
      <c r="V1261" s="16">
        <f>ROUNDUP((T1261+U1261+2*'Read Me'!$B$13)*(1+'Read Me'!$B$12),-1)</f>
        <v/>
      </c>
      <c r="W1261" s="16">
        <f>V1261*N1261*O1261</f>
        <v/>
      </c>
      <c r="X1261" s="12">
        <f>IF(LEFT(I1261,2)="MV",2*N1261*IF(L1261="1/C",O1261,1),0)</f>
        <v/>
      </c>
      <c r="Y1261" s="12">
        <f>IF(OR(LEFT(K1261,4)="LVAX",LEFT(K1261,6)="MV15AX",LEFT(K1261,4)="CTAX",LEFT(K1261,2)="W|"),2*N1261*O1261,0)</f>
        <v/>
      </c>
      <c r="Z1261" s="12" t="inlineStr"/>
      <c r="AA1261" s="12">
        <f>N1261*O1261</f>
        <v/>
      </c>
    </row>
    <row r="1262">
      <c r="A1262" s="12" t="inlineStr">
        <is>
          <t>A-I-0540</t>
        </is>
      </c>
      <c r="B1262" s="12" t="inlineStr">
        <is>
          <t>A</t>
        </is>
      </c>
      <c r="C1262" s="12" t="inlineStr">
        <is>
          <t>Power block</t>
        </is>
      </c>
      <c r="D1262" s="12" t="inlineStr">
        <is>
          <t>Analog instrument to JB JB-ST aux-AI02: 10 x 1 pr (field cables)</t>
        </is>
      </c>
      <c r="E1262" s="12" t="inlineStr">
        <is>
          <t>ST aux</t>
        </is>
      </c>
      <c r="F1262" s="12" t="inlineStr">
        <is>
          <t>ST aux: lube oil, turning gear, EHC</t>
        </is>
      </c>
      <c r="G1262" s="12" t="inlineStr">
        <is>
          <t>JB-ST aux-AI02</t>
        </is>
      </c>
      <c r="H1262" s="12" t="inlineStr">
        <is>
          <t>ST aux: lube oil, turning gear, EHC</t>
        </is>
      </c>
      <c r="I1262" s="12" t="inlineStr">
        <is>
          <t>Instrumentation</t>
        </is>
      </c>
      <c r="J1262" s="12" t="inlineStr">
        <is>
          <t>Instrumentation PLTC / TC-ER 300 V, #18 twisted shielded pairs, overall shield</t>
        </is>
      </c>
      <c r="K1262" s="12" t="inlineStr">
        <is>
          <t>PLTC|1 pr|16</t>
        </is>
      </c>
      <c r="L1262" s="12" t="inlineStr">
        <is>
          <t>1 pr</t>
        </is>
      </c>
      <c r="M1262" s="12" t="inlineStr">
        <is>
          <t>16</t>
        </is>
      </c>
      <c r="N1262" s="12" t="n">
        <v>10</v>
      </c>
      <c r="O1262" s="12" t="n">
        <v>1</v>
      </c>
      <c r="P1262" s="12" t="n"/>
      <c r="Q1262" s="12" t="n"/>
      <c r="R1262" s="12" t="n"/>
      <c r="S1262" s="12" t="inlineStr">
        <is>
          <t>Tray / conduit</t>
        </is>
      </c>
      <c r="T1262" s="16" t="n">
        <v>62</v>
      </c>
      <c r="U1262" s="16" t="n">
        <v>10</v>
      </c>
      <c r="V1262" s="16">
        <f>ROUNDUP((T1262+U1262+2*'Read Me'!$B$13)*(1+'Read Me'!$B$12),-1)</f>
        <v/>
      </c>
      <c r="W1262" s="16">
        <f>V1262*N1262*O1262</f>
        <v/>
      </c>
      <c r="X1262" s="12">
        <f>IF(LEFT(I1262,2)="MV",2*N1262*IF(L1262="1/C",O1262,1),0)</f>
        <v/>
      </c>
      <c r="Y1262" s="12">
        <f>IF(OR(LEFT(K1262,4)="LVAX",LEFT(K1262,6)="MV15AX",LEFT(K1262,4)="CTAX",LEFT(K1262,2)="W|"),2*N1262*O1262,0)</f>
        <v/>
      </c>
      <c r="Z1262" s="12" t="inlineStr">
        <is>
          <t>device-to-JB field wiring, one cable per device</t>
        </is>
      </c>
      <c r="AA1262" s="12">
        <f>N1262*O1262</f>
        <v/>
      </c>
    </row>
    <row r="1263">
      <c r="A1263" s="12" t="inlineStr">
        <is>
          <t>A-I-0541</t>
        </is>
      </c>
      <c r="B1263" s="12" t="inlineStr">
        <is>
          <t>A</t>
        </is>
      </c>
      <c r="C1263" s="12" t="inlineStr">
        <is>
          <t>Power block</t>
        </is>
      </c>
      <c r="D1263" s="12" t="inlineStr">
        <is>
          <t>Home run JB-ST aux-AI02 to the control / marshalling room</t>
        </is>
      </c>
      <c r="E1263" s="12" t="inlineStr">
        <is>
          <t>R3</t>
        </is>
      </c>
      <c r="F1263" s="12" t="inlineStr">
        <is>
          <t>R3: ST auxiliary electrical e-house (40 x 65 ft)</t>
        </is>
      </c>
      <c r="G1263" s="12" t="inlineStr">
        <is>
          <t>JB-ST aux-AI02</t>
        </is>
      </c>
      <c r="H1263" s="12" t="inlineStr">
        <is>
          <t>ST aux: lube oil, turning gear, EHC</t>
        </is>
      </c>
      <c r="I1263" s="12" t="inlineStr">
        <is>
          <t>Instrumentation</t>
        </is>
      </c>
      <c r="J1263" s="12" t="inlineStr">
        <is>
          <t>Instrumentation PLTC / TC-ER 300 V, #18 twisted shielded pairs, overall shield</t>
        </is>
      </c>
      <c r="K1263" s="12" t="inlineStr">
        <is>
          <t>PLTC|24 pr|18</t>
        </is>
      </c>
      <c r="L1263" s="12" t="inlineStr">
        <is>
          <t>24 pr</t>
        </is>
      </c>
      <c r="M1263" s="12" t="inlineStr">
        <is>
          <t>18</t>
        </is>
      </c>
      <c r="N1263" s="12" t="n">
        <v>1</v>
      </c>
      <c r="O1263" s="12" t="n">
        <v>1</v>
      </c>
      <c r="P1263" s="12" t="n"/>
      <c r="Q1263" s="12" t="n"/>
      <c r="R1263" s="12" t="n"/>
      <c r="S1263" s="12" t="inlineStr">
        <is>
          <t>Tray</t>
        </is>
      </c>
      <c r="T1263" s="16" t="n">
        <v>67</v>
      </c>
      <c r="U1263" s="16" t="n">
        <v>84</v>
      </c>
      <c r="V1263" s="16">
        <f>ROUNDUP((T1263+U1263+2*'Read Me'!$B$13)*(1+'Read Me'!$B$12),-1)</f>
        <v/>
      </c>
      <c r="W1263" s="16">
        <f>V1263*N1263*O1263</f>
        <v/>
      </c>
      <c r="X1263" s="12">
        <f>IF(LEFT(I1263,2)="MV",2*N1263*IF(L1263="1/C",O1263,1),0)</f>
        <v/>
      </c>
      <c r="Y1263" s="12">
        <f>IF(OR(LEFT(K1263,4)="LVAX",LEFT(K1263,6)="MV15AX",LEFT(K1263,4)="CTAX",LEFT(K1263,2)="W|"),2*N1263*O1263,0)</f>
        <v/>
      </c>
      <c r="Z1263" s="12" t="inlineStr"/>
      <c r="AA1263" s="12">
        <f>N1263*O1263</f>
        <v/>
      </c>
    </row>
    <row r="1264">
      <c r="A1264" s="12" t="inlineStr">
        <is>
          <t>A-I-0542</t>
        </is>
      </c>
      <c r="B1264" s="12" t="inlineStr">
        <is>
          <t>A</t>
        </is>
      </c>
      <c r="C1264" s="12" t="inlineStr">
        <is>
          <t>Power block</t>
        </is>
      </c>
      <c r="D1264" s="12" t="inlineStr">
        <is>
          <t>Discrete device to JB JB-ST aux-DI01: 20 x 1 pr (field cables)</t>
        </is>
      </c>
      <c r="E1264" s="12" t="inlineStr">
        <is>
          <t>ST aux</t>
        </is>
      </c>
      <c r="F1264" s="12" t="inlineStr">
        <is>
          <t>ST aux: lube oil, turning gear, EHC</t>
        </is>
      </c>
      <c r="G1264" s="12" t="inlineStr">
        <is>
          <t>JB-ST aux-DI01</t>
        </is>
      </c>
      <c r="H1264" s="12" t="inlineStr">
        <is>
          <t>ST aux: lube oil, turning gear, EHC</t>
        </is>
      </c>
      <c r="I1264" s="12" t="inlineStr">
        <is>
          <t>Instrumentation</t>
        </is>
      </c>
      <c r="J1264" s="12" t="inlineStr">
        <is>
          <t>Instrumentation PLTC / TC-ER 300 V, #18 twisted shielded pairs, overall shield</t>
        </is>
      </c>
      <c r="K1264" s="12" t="inlineStr">
        <is>
          <t>PLTC|1 pr|16</t>
        </is>
      </c>
      <c r="L1264" s="12" t="inlineStr">
        <is>
          <t>1 pr</t>
        </is>
      </c>
      <c r="M1264" s="12" t="inlineStr">
        <is>
          <t>16</t>
        </is>
      </c>
      <c r="N1264" s="12" t="n">
        <v>20</v>
      </c>
      <c r="O1264" s="12" t="n">
        <v>1</v>
      </c>
      <c r="P1264" s="12" t="n"/>
      <c r="Q1264" s="12" t="n"/>
      <c r="R1264" s="12" t="n"/>
      <c r="S1264" s="12" t="inlineStr">
        <is>
          <t>Tray / conduit</t>
        </is>
      </c>
      <c r="T1264" s="16" t="n">
        <v>62</v>
      </c>
      <c r="U1264" s="16" t="n">
        <v>10</v>
      </c>
      <c r="V1264" s="16">
        <f>ROUNDUP((T1264+U1264+2*'Read Me'!$B$13)*(1+'Read Me'!$B$12),-1)</f>
        <v/>
      </c>
      <c r="W1264" s="16">
        <f>V1264*N1264*O1264</f>
        <v/>
      </c>
      <c r="X1264" s="12">
        <f>IF(LEFT(I1264,2)="MV",2*N1264*IF(L1264="1/C",O1264,1),0)</f>
        <v/>
      </c>
      <c r="Y1264" s="12">
        <f>IF(OR(LEFT(K1264,4)="LVAX",LEFT(K1264,6)="MV15AX",LEFT(K1264,4)="CTAX",LEFT(K1264,2)="W|"),2*N1264*O1264,0)</f>
        <v/>
      </c>
      <c r="Z1264" s="12" t="inlineStr">
        <is>
          <t>device-to-JB field wiring, one cable per device</t>
        </is>
      </c>
      <c r="AA1264" s="12">
        <f>N1264*O1264</f>
        <v/>
      </c>
    </row>
    <row r="1265">
      <c r="A1265" s="12" t="inlineStr">
        <is>
          <t>A-I-0543</t>
        </is>
      </c>
      <c r="B1265" s="12" t="inlineStr">
        <is>
          <t>A</t>
        </is>
      </c>
      <c r="C1265" s="12" t="inlineStr">
        <is>
          <t>Power block</t>
        </is>
      </c>
      <c r="D1265" s="12" t="inlineStr">
        <is>
          <t>Home run JB-ST aux-DI01 to the control / marshalling room</t>
        </is>
      </c>
      <c r="E1265" s="12" t="inlineStr">
        <is>
          <t>R3</t>
        </is>
      </c>
      <c r="F1265" s="12" t="inlineStr">
        <is>
          <t>R3: ST auxiliary electrical e-house (40 x 65 ft)</t>
        </is>
      </c>
      <c r="G1265" s="12" t="inlineStr">
        <is>
          <t>JB-ST aux-DI01</t>
        </is>
      </c>
      <c r="H1265" s="12" t="inlineStr">
        <is>
          <t>ST aux: lube oil, turning gear, EHC</t>
        </is>
      </c>
      <c r="I1265" s="12" t="inlineStr">
        <is>
          <t>Instrumentation</t>
        </is>
      </c>
      <c r="J1265" s="12" t="inlineStr">
        <is>
          <t>Instrumentation PLTC / TC-ER 300 V, #18 twisted shielded pairs, overall shield</t>
        </is>
      </c>
      <c r="K1265" s="12" t="inlineStr">
        <is>
          <t>PLTC|24 pr|18</t>
        </is>
      </c>
      <c r="L1265" s="12" t="inlineStr">
        <is>
          <t>24 pr</t>
        </is>
      </c>
      <c r="M1265" s="12" t="inlineStr">
        <is>
          <t>18</t>
        </is>
      </c>
      <c r="N1265" s="12" t="n">
        <v>1</v>
      </c>
      <c r="O1265" s="12" t="n">
        <v>1</v>
      </c>
      <c r="P1265" s="12" t="n"/>
      <c r="Q1265" s="12" t="n"/>
      <c r="R1265" s="12" t="n"/>
      <c r="S1265" s="12" t="inlineStr">
        <is>
          <t>Tray</t>
        </is>
      </c>
      <c r="T1265" s="16" t="n">
        <v>67</v>
      </c>
      <c r="U1265" s="16" t="n">
        <v>84</v>
      </c>
      <c r="V1265" s="16">
        <f>ROUNDUP((T1265+U1265+2*'Read Me'!$B$13)*(1+'Read Me'!$B$12),-1)</f>
        <v/>
      </c>
      <c r="W1265" s="16">
        <f>V1265*N1265*O1265</f>
        <v/>
      </c>
      <c r="X1265" s="12">
        <f>IF(LEFT(I1265,2)="MV",2*N1265*IF(L1265="1/C",O1265,1),0)</f>
        <v/>
      </c>
      <c r="Y1265" s="12">
        <f>IF(OR(LEFT(K1265,4)="LVAX",LEFT(K1265,6)="MV15AX",LEFT(K1265,4)="CTAX",LEFT(K1265,2)="W|"),2*N1265*O1265,0)</f>
        <v/>
      </c>
      <c r="Z1265" s="12" t="inlineStr"/>
      <c r="AA1265" s="12">
        <f>N1265*O1265</f>
        <v/>
      </c>
    </row>
    <row r="1266">
      <c r="A1266" s="12" t="inlineStr">
        <is>
          <t>A-I-0544</t>
        </is>
      </c>
      <c r="B1266" s="12" t="inlineStr">
        <is>
          <t>A</t>
        </is>
      </c>
      <c r="C1266" s="12" t="inlineStr">
        <is>
          <t>Power block</t>
        </is>
      </c>
      <c r="D1266" s="12" t="inlineStr">
        <is>
          <t>Discrete device to JB JB-ST aux-DI02: 10 x 1 pr (field cables)</t>
        </is>
      </c>
      <c r="E1266" s="12" t="inlineStr">
        <is>
          <t>ST aux</t>
        </is>
      </c>
      <c r="F1266" s="12" t="inlineStr">
        <is>
          <t>ST aux: lube oil, turning gear, EHC</t>
        </is>
      </c>
      <c r="G1266" s="12" t="inlineStr">
        <is>
          <t>JB-ST aux-DI02</t>
        </is>
      </c>
      <c r="H1266" s="12" t="inlineStr">
        <is>
          <t>ST aux: lube oil, turning gear, EHC</t>
        </is>
      </c>
      <c r="I1266" s="12" t="inlineStr">
        <is>
          <t>Instrumentation</t>
        </is>
      </c>
      <c r="J1266" s="12" t="inlineStr">
        <is>
          <t>Instrumentation PLTC / TC-ER 300 V, #18 twisted shielded pairs, overall shield</t>
        </is>
      </c>
      <c r="K1266" s="12" t="inlineStr">
        <is>
          <t>PLTC|1 pr|16</t>
        </is>
      </c>
      <c r="L1266" s="12" t="inlineStr">
        <is>
          <t>1 pr</t>
        </is>
      </c>
      <c r="M1266" s="12" t="inlineStr">
        <is>
          <t>16</t>
        </is>
      </c>
      <c r="N1266" s="12" t="n">
        <v>10</v>
      </c>
      <c r="O1266" s="12" t="n">
        <v>1</v>
      </c>
      <c r="P1266" s="12" t="n"/>
      <c r="Q1266" s="12" t="n"/>
      <c r="R1266" s="12" t="n"/>
      <c r="S1266" s="12" t="inlineStr">
        <is>
          <t>Tray / conduit</t>
        </is>
      </c>
      <c r="T1266" s="16" t="n">
        <v>62</v>
      </c>
      <c r="U1266" s="16" t="n">
        <v>10</v>
      </c>
      <c r="V1266" s="16">
        <f>ROUNDUP((T1266+U1266+2*'Read Me'!$B$13)*(1+'Read Me'!$B$12),-1)</f>
        <v/>
      </c>
      <c r="W1266" s="16">
        <f>V1266*N1266*O1266</f>
        <v/>
      </c>
      <c r="X1266" s="12">
        <f>IF(LEFT(I1266,2)="MV",2*N1266*IF(L1266="1/C",O1266,1),0)</f>
        <v/>
      </c>
      <c r="Y1266" s="12">
        <f>IF(OR(LEFT(K1266,4)="LVAX",LEFT(K1266,6)="MV15AX",LEFT(K1266,4)="CTAX",LEFT(K1266,2)="W|"),2*N1266*O1266,0)</f>
        <v/>
      </c>
      <c r="Z1266" s="12" t="inlineStr">
        <is>
          <t>device-to-JB field wiring, one cable per device</t>
        </is>
      </c>
      <c r="AA1266" s="12">
        <f>N1266*O1266</f>
        <v/>
      </c>
    </row>
    <row r="1267">
      <c r="A1267" s="12" t="inlineStr">
        <is>
          <t>A-I-0545</t>
        </is>
      </c>
      <c r="B1267" s="12" t="inlineStr">
        <is>
          <t>A</t>
        </is>
      </c>
      <c r="C1267" s="12" t="inlineStr">
        <is>
          <t>Power block</t>
        </is>
      </c>
      <c r="D1267" s="12" t="inlineStr">
        <is>
          <t>Home run JB-ST aux-DI02 to the control / marshalling room</t>
        </is>
      </c>
      <c r="E1267" s="12" t="inlineStr">
        <is>
          <t>R3</t>
        </is>
      </c>
      <c r="F1267" s="12" t="inlineStr">
        <is>
          <t>R3: ST auxiliary electrical e-house (40 x 65 ft)</t>
        </is>
      </c>
      <c r="G1267" s="12" t="inlineStr">
        <is>
          <t>JB-ST aux-DI02</t>
        </is>
      </c>
      <c r="H1267" s="12" t="inlineStr">
        <is>
          <t>ST aux: lube oil, turning gear, EHC</t>
        </is>
      </c>
      <c r="I1267" s="12" t="inlineStr">
        <is>
          <t>Instrumentation</t>
        </is>
      </c>
      <c r="J1267" s="12" t="inlineStr">
        <is>
          <t>Instrumentation PLTC / TC-ER 300 V, #18 twisted shielded pairs, overall shield</t>
        </is>
      </c>
      <c r="K1267" s="12" t="inlineStr">
        <is>
          <t>PLTC|24 pr|18</t>
        </is>
      </c>
      <c r="L1267" s="12" t="inlineStr">
        <is>
          <t>24 pr</t>
        </is>
      </c>
      <c r="M1267" s="12" t="inlineStr">
        <is>
          <t>18</t>
        </is>
      </c>
      <c r="N1267" s="12" t="n">
        <v>1</v>
      </c>
      <c r="O1267" s="12" t="n">
        <v>1</v>
      </c>
      <c r="P1267" s="12" t="n"/>
      <c r="Q1267" s="12" t="n"/>
      <c r="R1267" s="12" t="n"/>
      <c r="S1267" s="12" t="inlineStr">
        <is>
          <t>Tray</t>
        </is>
      </c>
      <c r="T1267" s="16" t="n">
        <v>67</v>
      </c>
      <c r="U1267" s="16" t="n">
        <v>84</v>
      </c>
      <c r="V1267" s="16">
        <f>ROUNDUP((T1267+U1267+2*'Read Me'!$B$13)*(1+'Read Me'!$B$12),-1)</f>
        <v/>
      </c>
      <c r="W1267" s="16">
        <f>V1267*N1267*O1267</f>
        <v/>
      </c>
      <c r="X1267" s="12">
        <f>IF(LEFT(I1267,2)="MV",2*N1267*IF(L1267="1/C",O1267,1),0)</f>
        <v/>
      </c>
      <c r="Y1267" s="12">
        <f>IF(OR(LEFT(K1267,4)="LVAX",LEFT(K1267,6)="MV15AX",LEFT(K1267,4)="CTAX",LEFT(K1267,2)="W|"),2*N1267*O1267,0)</f>
        <v/>
      </c>
      <c r="Z1267" s="12" t="inlineStr"/>
      <c r="AA1267" s="12">
        <f>N1267*O1267</f>
        <v/>
      </c>
    </row>
    <row r="1268">
      <c r="A1268" s="12" t="inlineStr">
        <is>
          <t>A-I-0546</t>
        </is>
      </c>
      <c r="B1268" s="12" t="inlineStr">
        <is>
          <t>A</t>
        </is>
      </c>
      <c r="C1268" s="12" t="inlineStr">
        <is>
          <t>Power block</t>
        </is>
      </c>
      <c r="D1268" s="12" t="inlineStr">
        <is>
          <t>Analog instrument to JB JB-ST-AI01: 20 x 1 pr (field cables)</t>
        </is>
      </c>
      <c r="E1268" s="12" t="inlineStr">
        <is>
          <t>ST</t>
        </is>
      </c>
      <c r="F1268" s="12" t="inlineStr">
        <is>
          <t>ST: steam turbine (HP/IP + LP), ACC plant</t>
        </is>
      </c>
      <c r="G1268" s="12" t="inlineStr">
        <is>
          <t>JB-ST-AI01</t>
        </is>
      </c>
      <c r="H1268" s="12" t="inlineStr">
        <is>
          <t>ST: steam turbine (HP/IP + LP), ACC plant</t>
        </is>
      </c>
      <c r="I1268" s="12" t="inlineStr">
        <is>
          <t>Instrumentation</t>
        </is>
      </c>
      <c r="J1268" s="12" t="inlineStr">
        <is>
          <t>Instrumentation PLTC / TC-ER 300 V, #18 twisted shielded pairs, overall shield</t>
        </is>
      </c>
      <c r="K1268" s="12" t="inlineStr">
        <is>
          <t>PLTC|1 pr|16</t>
        </is>
      </c>
      <c r="L1268" s="12" t="inlineStr">
        <is>
          <t>1 pr</t>
        </is>
      </c>
      <c r="M1268" s="12" t="inlineStr">
        <is>
          <t>16</t>
        </is>
      </c>
      <c r="N1268" s="12" t="n">
        <v>20</v>
      </c>
      <c r="O1268" s="12" t="n">
        <v>1</v>
      </c>
      <c r="P1268" s="12" t="n"/>
      <c r="Q1268" s="12" t="n"/>
      <c r="R1268" s="12" t="n"/>
      <c r="S1268" s="12" t="inlineStr">
        <is>
          <t>Tray / conduit</t>
        </is>
      </c>
      <c r="T1268" s="16" t="n">
        <v>119</v>
      </c>
      <c r="U1268" s="16" t="n">
        <v>10</v>
      </c>
      <c r="V1268" s="16">
        <f>ROUNDUP((T1268+U1268+2*'Read Me'!$B$13)*(1+'Read Me'!$B$12),-1)</f>
        <v/>
      </c>
      <c r="W1268" s="16">
        <f>V1268*N1268*O1268</f>
        <v/>
      </c>
      <c r="X1268" s="12">
        <f>IF(LEFT(I1268,2)="MV",2*N1268*IF(L1268="1/C",O1268,1),0)</f>
        <v/>
      </c>
      <c r="Y1268" s="12">
        <f>IF(OR(LEFT(K1268,4)="LVAX",LEFT(K1268,6)="MV15AX",LEFT(K1268,4)="CTAX",LEFT(K1268,2)="W|"),2*N1268*O1268,0)</f>
        <v/>
      </c>
      <c r="Z1268" s="12" t="inlineStr">
        <is>
          <t>device-to-JB field wiring, one cable per device</t>
        </is>
      </c>
      <c r="AA1268" s="12">
        <f>N1268*O1268</f>
        <v/>
      </c>
    </row>
    <row r="1269">
      <c r="A1269" s="12" t="inlineStr">
        <is>
          <t>A-I-0547</t>
        </is>
      </c>
      <c r="B1269" s="12" t="inlineStr">
        <is>
          <t>A</t>
        </is>
      </c>
      <c r="C1269" s="12" t="inlineStr">
        <is>
          <t>Power block</t>
        </is>
      </c>
      <c r="D1269" s="12" t="inlineStr">
        <is>
          <t>Home run JB-ST-AI01 to the control / marshalling room</t>
        </is>
      </c>
      <c r="E1269" s="12" t="inlineStr">
        <is>
          <t>R3</t>
        </is>
      </c>
      <c r="F1269" s="12" t="inlineStr">
        <is>
          <t>R3: ST auxiliary electrical e-house (40 x 65 ft)</t>
        </is>
      </c>
      <c r="G1269" s="12" t="inlineStr">
        <is>
          <t>JB-ST-AI01</t>
        </is>
      </c>
      <c r="H1269" s="12" t="inlineStr">
        <is>
          <t>ST: steam turbine (HP/IP + LP), ACC plant</t>
        </is>
      </c>
      <c r="I1269" s="12" t="inlineStr">
        <is>
          <t>Instrumentation</t>
        </is>
      </c>
      <c r="J1269" s="12" t="inlineStr">
        <is>
          <t>Instrumentation PLTC / TC-ER 300 V, #18 twisted shielded pairs, overall shield</t>
        </is>
      </c>
      <c r="K1269" s="12" t="inlineStr">
        <is>
          <t>PLTC|24 pr|18</t>
        </is>
      </c>
      <c r="L1269" s="12" t="inlineStr">
        <is>
          <t>24 pr</t>
        </is>
      </c>
      <c r="M1269" s="12" t="inlineStr">
        <is>
          <t>18</t>
        </is>
      </c>
      <c r="N1269" s="12" t="n">
        <v>1</v>
      </c>
      <c r="O1269" s="12" t="n">
        <v>1</v>
      </c>
      <c r="P1269" s="12" t="n"/>
      <c r="Q1269" s="12" t="n"/>
      <c r="R1269" s="12" t="n"/>
      <c r="S1269" s="12" t="inlineStr">
        <is>
          <t>Duct bank</t>
        </is>
      </c>
      <c r="T1269" s="16" t="n">
        <v>12</v>
      </c>
      <c r="U1269" s="16" t="n">
        <v>50</v>
      </c>
      <c r="V1269" s="16">
        <f>ROUNDUP((T1269+U1269+2*'Read Me'!$B$13)*(1+'Read Me'!$B$12),-1)</f>
        <v/>
      </c>
      <c r="W1269" s="16">
        <f>V1269*N1269*O1269</f>
        <v/>
      </c>
      <c r="X1269" s="12">
        <f>IF(LEFT(I1269,2)="MV",2*N1269*IF(L1269="1/C",O1269,1),0)</f>
        <v/>
      </c>
      <c r="Y1269" s="12">
        <f>IF(OR(LEFT(K1269,4)="LVAX",LEFT(K1269,6)="MV15AX",LEFT(K1269,4)="CTAX",LEFT(K1269,2)="W|"),2*N1269*O1269,0)</f>
        <v/>
      </c>
      <c r="Z1269" s="12" t="inlineStr"/>
      <c r="AA1269" s="12">
        <f>N1269*O1269</f>
        <v/>
      </c>
    </row>
    <row r="1270">
      <c r="A1270" s="12" t="inlineStr">
        <is>
          <t>A-I-0548</t>
        </is>
      </c>
      <c r="B1270" s="12" t="inlineStr">
        <is>
          <t>A</t>
        </is>
      </c>
      <c r="C1270" s="12" t="inlineStr">
        <is>
          <t>Power block</t>
        </is>
      </c>
      <c r="D1270" s="12" t="inlineStr">
        <is>
          <t>Analog instrument to JB JB-ST-AI02: 20 x 1 pr (field cables)</t>
        </is>
      </c>
      <c r="E1270" s="12" t="inlineStr">
        <is>
          <t>ST</t>
        </is>
      </c>
      <c r="F1270" s="12" t="inlineStr">
        <is>
          <t>ST: steam turbine (HP/IP + LP), ACC plant</t>
        </is>
      </c>
      <c r="G1270" s="12" t="inlineStr">
        <is>
          <t>JB-ST-AI02</t>
        </is>
      </c>
      <c r="H1270" s="12" t="inlineStr">
        <is>
          <t>ST: steam turbine (HP/IP + LP), ACC plant</t>
        </is>
      </c>
      <c r="I1270" s="12" t="inlineStr">
        <is>
          <t>Instrumentation</t>
        </is>
      </c>
      <c r="J1270" s="12" t="inlineStr">
        <is>
          <t>Instrumentation PLTC / TC-ER 300 V, #18 twisted shielded pairs, overall shield</t>
        </is>
      </c>
      <c r="K1270" s="12" t="inlineStr">
        <is>
          <t>PLTC|1 pr|16</t>
        </is>
      </c>
      <c r="L1270" s="12" t="inlineStr">
        <is>
          <t>1 pr</t>
        </is>
      </c>
      <c r="M1270" s="12" t="inlineStr">
        <is>
          <t>16</t>
        </is>
      </c>
      <c r="N1270" s="12" t="n">
        <v>20</v>
      </c>
      <c r="O1270" s="12" t="n">
        <v>1</v>
      </c>
      <c r="P1270" s="12" t="n"/>
      <c r="Q1270" s="12" t="n"/>
      <c r="R1270" s="12" t="n"/>
      <c r="S1270" s="12" t="inlineStr">
        <is>
          <t>Tray / conduit</t>
        </is>
      </c>
      <c r="T1270" s="16" t="n">
        <v>119</v>
      </c>
      <c r="U1270" s="16" t="n">
        <v>10</v>
      </c>
      <c r="V1270" s="16">
        <f>ROUNDUP((T1270+U1270+2*'Read Me'!$B$13)*(1+'Read Me'!$B$12),-1)</f>
        <v/>
      </c>
      <c r="W1270" s="16">
        <f>V1270*N1270*O1270</f>
        <v/>
      </c>
      <c r="X1270" s="12">
        <f>IF(LEFT(I1270,2)="MV",2*N1270*IF(L1270="1/C",O1270,1),0)</f>
        <v/>
      </c>
      <c r="Y1270" s="12">
        <f>IF(OR(LEFT(K1270,4)="LVAX",LEFT(K1270,6)="MV15AX",LEFT(K1270,4)="CTAX",LEFT(K1270,2)="W|"),2*N1270*O1270,0)</f>
        <v/>
      </c>
      <c r="Z1270" s="12" t="inlineStr">
        <is>
          <t>device-to-JB field wiring, one cable per device</t>
        </is>
      </c>
      <c r="AA1270" s="12">
        <f>N1270*O1270</f>
        <v/>
      </c>
    </row>
    <row r="1271">
      <c r="A1271" s="12" t="inlineStr">
        <is>
          <t>A-I-0549</t>
        </is>
      </c>
      <c r="B1271" s="12" t="inlineStr">
        <is>
          <t>A</t>
        </is>
      </c>
      <c r="C1271" s="12" t="inlineStr">
        <is>
          <t>Power block</t>
        </is>
      </c>
      <c r="D1271" s="12" t="inlineStr">
        <is>
          <t>Home run JB-ST-AI02 to the control / marshalling room</t>
        </is>
      </c>
      <c r="E1271" s="12" t="inlineStr">
        <is>
          <t>R3</t>
        </is>
      </c>
      <c r="F1271" s="12" t="inlineStr">
        <is>
          <t>R3: ST auxiliary electrical e-house (40 x 65 ft)</t>
        </is>
      </c>
      <c r="G1271" s="12" t="inlineStr">
        <is>
          <t>JB-ST-AI02</t>
        </is>
      </c>
      <c r="H1271" s="12" t="inlineStr">
        <is>
          <t>ST: steam turbine (HP/IP + LP), ACC plant</t>
        </is>
      </c>
      <c r="I1271" s="12" t="inlineStr">
        <is>
          <t>Instrumentation</t>
        </is>
      </c>
      <c r="J1271" s="12" t="inlineStr">
        <is>
          <t>Instrumentation PLTC / TC-ER 300 V, #18 twisted shielded pairs, overall shield</t>
        </is>
      </c>
      <c r="K1271" s="12" t="inlineStr">
        <is>
          <t>PLTC|24 pr|18</t>
        </is>
      </c>
      <c r="L1271" s="12" t="inlineStr">
        <is>
          <t>24 pr</t>
        </is>
      </c>
      <c r="M1271" s="12" t="inlineStr">
        <is>
          <t>18</t>
        </is>
      </c>
      <c r="N1271" s="12" t="n">
        <v>1</v>
      </c>
      <c r="O1271" s="12" t="n">
        <v>1</v>
      </c>
      <c r="P1271" s="12" t="n"/>
      <c r="Q1271" s="12" t="n"/>
      <c r="R1271" s="12" t="n"/>
      <c r="S1271" s="12" t="inlineStr">
        <is>
          <t>Duct bank</t>
        </is>
      </c>
      <c r="T1271" s="16" t="n">
        <v>12</v>
      </c>
      <c r="U1271" s="16" t="n">
        <v>50</v>
      </c>
      <c r="V1271" s="16">
        <f>ROUNDUP((T1271+U1271+2*'Read Me'!$B$13)*(1+'Read Me'!$B$12),-1)</f>
        <v/>
      </c>
      <c r="W1271" s="16">
        <f>V1271*N1271*O1271</f>
        <v/>
      </c>
      <c r="X1271" s="12">
        <f>IF(LEFT(I1271,2)="MV",2*N1271*IF(L1271="1/C",O1271,1),0)</f>
        <v/>
      </c>
      <c r="Y1271" s="12">
        <f>IF(OR(LEFT(K1271,4)="LVAX",LEFT(K1271,6)="MV15AX",LEFT(K1271,4)="CTAX",LEFT(K1271,2)="W|"),2*N1271*O1271,0)</f>
        <v/>
      </c>
      <c r="Z1271" s="12" t="inlineStr"/>
      <c r="AA1271" s="12">
        <f>N1271*O1271</f>
        <v/>
      </c>
    </row>
    <row r="1272">
      <c r="A1272" s="12" t="inlineStr">
        <is>
          <t>A-I-0550</t>
        </is>
      </c>
      <c r="B1272" s="12" t="inlineStr">
        <is>
          <t>A</t>
        </is>
      </c>
      <c r="C1272" s="12" t="inlineStr">
        <is>
          <t>Power block</t>
        </is>
      </c>
      <c r="D1272" s="12" t="inlineStr">
        <is>
          <t>Analog instrument to JB JB-ST-AI03: 20 x 1 pr (field cables)</t>
        </is>
      </c>
      <c r="E1272" s="12" t="inlineStr">
        <is>
          <t>ST</t>
        </is>
      </c>
      <c r="F1272" s="12" t="inlineStr">
        <is>
          <t>ST: steam turbine (HP/IP + LP), ACC plant</t>
        </is>
      </c>
      <c r="G1272" s="12" t="inlineStr">
        <is>
          <t>JB-ST-AI03</t>
        </is>
      </c>
      <c r="H1272" s="12" t="inlineStr">
        <is>
          <t>ST: steam turbine (HP/IP + LP), ACC plant</t>
        </is>
      </c>
      <c r="I1272" s="12" t="inlineStr">
        <is>
          <t>Instrumentation</t>
        </is>
      </c>
      <c r="J1272" s="12" t="inlineStr">
        <is>
          <t>Instrumentation PLTC / TC-ER 300 V, #18 twisted shielded pairs, overall shield</t>
        </is>
      </c>
      <c r="K1272" s="12" t="inlineStr">
        <is>
          <t>PLTC|1 pr|16</t>
        </is>
      </c>
      <c r="L1272" s="12" t="inlineStr">
        <is>
          <t>1 pr</t>
        </is>
      </c>
      <c r="M1272" s="12" t="inlineStr">
        <is>
          <t>16</t>
        </is>
      </c>
      <c r="N1272" s="12" t="n">
        <v>20</v>
      </c>
      <c r="O1272" s="12" t="n">
        <v>1</v>
      </c>
      <c r="P1272" s="12" t="n"/>
      <c r="Q1272" s="12" t="n"/>
      <c r="R1272" s="12" t="n"/>
      <c r="S1272" s="12" t="inlineStr">
        <is>
          <t>Tray / conduit</t>
        </is>
      </c>
      <c r="T1272" s="16" t="n">
        <v>119</v>
      </c>
      <c r="U1272" s="16" t="n">
        <v>10</v>
      </c>
      <c r="V1272" s="16">
        <f>ROUNDUP((T1272+U1272+2*'Read Me'!$B$13)*(1+'Read Me'!$B$12),-1)</f>
        <v/>
      </c>
      <c r="W1272" s="16">
        <f>V1272*N1272*O1272</f>
        <v/>
      </c>
      <c r="X1272" s="12">
        <f>IF(LEFT(I1272,2)="MV",2*N1272*IF(L1272="1/C",O1272,1),0)</f>
        <v/>
      </c>
      <c r="Y1272" s="12">
        <f>IF(OR(LEFT(K1272,4)="LVAX",LEFT(K1272,6)="MV15AX",LEFT(K1272,4)="CTAX",LEFT(K1272,2)="W|"),2*N1272*O1272,0)</f>
        <v/>
      </c>
      <c r="Z1272" s="12" t="inlineStr">
        <is>
          <t>device-to-JB field wiring, one cable per device</t>
        </is>
      </c>
      <c r="AA1272" s="12">
        <f>N1272*O1272</f>
        <v/>
      </c>
    </row>
    <row r="1273">
      <c r="A1273" s="12" t="inlineStr">
        <is>
          <t>A-I-0551</t>
        </is>
      </c>
      <c r="B1273" s="12" t="inlineStr">
        <is>
          <t>A</t>
        </is>
      </c>
      <c r="C1273" s="12" t="inlineStr">
        <is>
          <t>Power block</t>
        </is>
      </c>
      <c r="D1273" s="12" t="inlineStr">
        <is>
          <t>Home run JB-ST-AI03 to the control / marshalling room</t>
        </is>
      </c>
      <c r="E1273" s="12" t="inlineStr">
        <is>
          <t>R3</t>
        </is>
      </c>
      <c r="F1273" s="12" t="inlineStr">
        <is>
          <t>R3: ST auxiliary electrical e-house (40 x 65 ft)</t>
        </is>
      </c>
      <c r="G1273" s="12" t="inlineStr">
        <is>
          <t>JB-ST-AI03</t>
        </is>
      </c>
      <c r="H1273" s="12" t="inlineStr">
        <is>
          <t>ST: steam turbine (HP/IP + LP), ACC plant</t>
        </is>
      </c>
      <c r="I1273" s="12" t="inlineStr">
        <is>
          <t>Instrumentation</t>
        </is>
      </c>
      <c r="J1273" s="12" t="inlineStr">
        <is>
          <t>Instrumentation PLTC / TC-ER 300 V, #18 twisted shielded pairs, overall shield</t>
        </is>
      </c>
      <c r="K1273" s="12" t="inlineStr">
        <is>
          <t>PLTC|24 pr|18</t>
        </is>
      </c>
      <c r="L1273" s="12" t="inlineStr">
        <is>
          <t>24 pr</t>
        </is>
      </c>
      <c r="M1273" s="12" t="inlineStr">
        <is>
          <t>18</t>
        </is>
      </c>
      <c r="N1273" s="12" t="n">
        <v>1</v>
      </c>
      <c r="O1273" s="12" t="n">
        <v>1</v>
      </c>
      <c r="P1273" s="12" t="n"/>
      <c r="Q1273" s="12" t="n"/>
      <c r="R1273" s="12" t="n"/>
      <c r="S1273" s="12" t="inlineStr">
        <is>
          <t>Duct bank</t>
        </is>
      </c>
      <c r="T1273" s="16" t="n">
        <v>12</v>
      </c>
      <c r="U1273" s="16" t="n">
        <v>50</v>
      </c>
      <c r="V1273" s="16">
        <f>ROUNDUP((T1273+U1273+2*'Read Me'!$B$13)*(1+'Read Me'!$B$12),-1)</f>
        <v/>
      </c>
      <c r="W1273" s="16">
        <f>V1273*N1273*O1273</f>
        <v/>
      </c>
      <c r="X1273" s="12">
        <f>IF(LEFT(I1273,2)="MV",2*N1273*IF(L1273="1/C",O1273,1),0)</f>
        <v/>
      </c>
      <c r="Y1273" s="12">
        <f>IF(OR(LEFT(K1273,4)="LVAX",LEFT(K1273,6)="MV15AX",LEFT(K1273,4)="CTAX",LEFT(K1273,2)="W|"),2*N1273*O1273,0)</f>
        <v/>
      </c>
      <c r="Z1273" s="12" t="inlineStr"/>
      <c r="AA1273" s="12">
        <f>N1273*O1273</f>
        <v/>
      </c>
    </row>
    <row r="1274">
      <c r="A1274" s="12" t="inlineStr">
        <is>
          <t>A-I-0552</t>
        </is>
      </c>
      <c r="B1274" s="12" t="inlineStr">
        <is>
          <t>A</t>
        </is>
      </c>
      <c r="C1274" s="12" t="inlineStr">
        <is>
          <t>Power block</t>
        </is>
      </c>
      <c r="D1274" s="12" t="inlineStr">
        <is>
          <t>Analog instrument to JB JB-ST-AI04: 20 x 1 pr (field cables)</t>
        </is>
      </c>
      <c r="E1274" s="12" t="inlineStr">
        <is>
          <t>ST</t>
        </is>
      </c>
      <c r="F1274" s="12" t="inlineStr">
        <is>
          <t>ST: steam turbine (HP/IP + LP), ACC plant</t>
        </is>
      </c>
      <c r="G1274" s="12" t="inlineStr">
        <is>
          <t>JB-ST-AI04</t>
        </is>
      </c>
      <c r="H1274" s="12" t="inlineStr">
        <is>
          <t>ST: steam turbine (HP/IP + LP), ACC plant</t>
        </is>
      </c>
      <c r="I1274" s="12" t="inlineStr">
        <is>
          <t>Instrumentation</t>
        </is>
      </c>
      <c r="J1274" s="12" t="inlineStr">
        <is>
          <t>Instrumentation PLTC / TC-ER 300 V, #18 twisted shielded pairs, overall shield</t>
        </is>
      </c>
      <c r="K1274" s="12" t="inlineStr">
        <is>
          <t>PLTC|1 pr|16</t>
        </is>
      </c>
      <c r="L1274" s="12" t="inlineStr">
        <is>
          <t>1 pr</t>
        </is>
      </c>
      <c r="M1274" s="12" t="inlineStr">
        <is>
          <t>16</t>
        </is>
      </c>
      <c r="N1274" s="12" t="n">
        <v>20</v>
      </c>
      <c r="O1274" s="12" t="n">
        <v>1</v>
      </c>
      <c r="P1274" s="12" t="n"/>
      <c r="Q1274" s="12" t="n"/>
      <c r="R1274" s="12" t="n"/>
      <c r="S1274" s="12" t="inlineStr">
        <is>
          <t>Tray / conduit</t>
        </is>
      </c>
      <c r="T1274" s="16" t="n">
        <v>119</v>
      </c>
      <c r="U1274" s="16" t="n">
        <v>10</v>
      </c>
      <c r="V1274" s="16">
        <f>ROUNDUP((T1274+U1274+2*'Read Me'!$B$13)*(1+'Read Me'!$B$12),-1)</f>
        <v/>
      </c>
      <c r="W1274" s="16">
        <f>V1274*N1274*O1274</f>
        <v/>
      </c>
      <c r="X1274" s="12">
        <f>IF(LEFT(I1274,2)="MV",2*N1274*IF(L1274="1/C",O1274,1),0)</f>
        <v/>
      </c>
      <c r="Y1274" s="12">
        <f>IF(OR(LEFT(K1274,4)="LVAX",LEFT(K1274,6)="MV15AX",LEFT(K1274,4)="CTAX",LEFT(K1274,2)="W|"),2*N1274*O1274,0)</f>
        <v/>
      </c>
      <c r="Z1274" s="12" t="inlineStr">
        <is>
          <t>device-to-JB field wiring, one cable per device</t>
        </is>
      </c>
      <c r="AA1274" s="12">
        <f>N1274*O1274</f>
        <v/>
      </c>
    </row>
    <row r="1275">
      <c r="A1275" s="12" t="inlineStr">
        <is>
          <t>A-I-0553</t>
        </is>
      </c>
      <c r="B1275" s="12" t="inlineStr">
        <is>
          <t>A</t>
        </is>
      </c>
      <c r="C1275" s="12" t="inlineStr">
        <is>
          <t>Power block</t>
        </is>
      </c>
      <c r="D1275" s="12" t="inlineStr">
        <is>
          <t>Home run JB-ST-AI04 to the control / marshalling room</t>
        </is>
      </c>
      <c r="E1275" s="12" t="inlineStr">
        <is>
          <t>R3</t>
        </is>
      </c>
      <c r="F1275" s="12" t="inlineStr">
        <is>
          <t>R3: ST auxiliary electrical e-house (40 x 65 ft)</t>
        </is>
      </c>
      <c r="G1275" s="12" t="inlineStr">
        <is>
          <t>JB-ST-AI04</t>
        </is>
      </c>
      <c r="H1275" s="12" t="inlineStr">
        <is>
          <t>ST: steam turbine (HP/IP + LP), ACC plant</t>
        </is>
      </c>
      <c r="I1275" s="12" t="inlineStr">
        <is>
          <t>Instrumentation</t>
        </is>
      </c>
      <c r="J1275" s="12" t="inlineStr">
        <is>
          <t>Instrumentation PLTC / TC-ER 300 V, #18 twisted shielded pairs, overall shield</t>
        </is>
      </c>
      <c r="K1275" s="12" t="inlineStr">
        <is>
          <t>PLTC|24 pr|18</t>
        </is>
      </c>
      <c r="L1275" s="12" t="inlineStr">
        <is>
          <t>24 pr</t>
        </is>
      </c>
      <c r="M1275" s="12" t="inlineStr">
        <is>
          <t>18</t>
        </is>
      </c>
      <c r="N1275" s="12" t="n">
        <v>1</v>
      </c>
      <c r="O1275" s="12" t="n">
        <v>1</v>
      </c>
      <c r="P1275" s="12" t="n"/>
      <c r="Q1275" s="12" t="n"/>
      <c r="R1275" s="12" t="n"/>
      <c r="S1275" s="12" t="inlineStr">
        <is>
          <t>Duct bank</t>
        </is>
      </c>
      <c r="T1275" s="16" t="n">
        <v>12</v>
      </c>
      <c r="U1275" s="16" t="n">
        <v>50</v>
      </c>
      <c r="V1275" s="16">
        <f>ROUNDUP((T1275+U1275+2*'Read Me'!$B$13)*(1+'Read Me'!$B$12),-1)</f>
        <v/>
      </c>
      <c r="W1275" s="16">
        <f>V1275*N1275*O1275</f>
        <v/>
      </c>
      <c r="X1275" s="12">
        <f>IF(LEFT(I1275,2)="MV",2*N1275*IF(L1275="1/C",O1275,1),0)</f>
        <v/>
      </c>
      <c r="Y1275" s="12">
        <f>IF(OR(LEFT(K1275,4)="LVAX",LEFT(K1275,6)="MV15AX",LEFT(K1275,4)="CTAX",LEFT(K1275,2)="W|"),2*N1275*O1275,0)</f>
        <v/>
      </c>
      <c r="Z1275" s="12" t="inlineStr"/>
      <c r="AA1275" s="12">
        <f>N1275*O1275</f>
        <v/>
      </c>
    </row>
    <row r="1276">
      <c r="A1276" s="12" t="inlineStr">
        <is>
          <t>A-I-0554</t>
        </is>
      </c>
      <c r="B1276" s="12" t="inlineStr">
        <is>
          <t>A</t>
        </is>
      </c>
      <c r="C1276" s="12" t="inlineStr">
        <is>
          <t>Power block</t>
        </is>
      </c>
      <c r="D1276" s="12" t="inlineStr">
        <is>
          <t>Analog instrument to JB JB-ST-AI05: 20 x 1 pr (field cables)</t>
        </is>
      </c>
      <c r="E1276" s="12" t="inlineStr">
        <is>
          <t>ST</t>
        </is>
      </c>
      <c r="F1276" s="12" t="inlineStr">
        <is>
          <t>ST: steam turbine (HP/IP + LP), ACC plant</t>
        </is>
      </c>
      <c r="G1276" s="12" t="inlineStr">
        <is>
          <t>JB-ST-AI05</t>
        </is>
      </c>
      <c r="H1276" s="12" t="inlineStr">
        <is>
          <t>ST: steam turbine (HP/IP + LP), ACC plant</t>
        </is>
      </c>
      <c r="I1276" s="12" t="inlineStr">
        <is>
          <t>Instrumentation</t>
        </is>
      </c>
      <c r="J1276" s="12" t="inlineStr">
        <is>
          <t>Instrumentation PLTC / TC-ER 300 V, #18 twisted shielded pairs, overall shield</t>
        </is>
      </c>
      <c r="K1276" s="12" t="inlineStr">
        <is>
          <t>PLTC|1 pr|16</t>
        </is>
      </c>
      <c r="L1276" s="12" t="inlineStr">
        <is>
          <t>1 pr</t>
        </is>
      </c>
      <c r="M1276" s="12" t="inlineStr">
        <is>
          <t>16</t>
        </is>
      </c>
      <c r="N1276" s="12" t="n">
        <v>20</v>
      </c>
      <c r="O1276" s="12" t="n">
        <v>1</v>
      </c>
      <c r="P1276" s="12" t="n"/>
      <c r="Q1276" s="12" t="n"/>
      <c r="R1276" s="12" t="n"/>
      <c r="S1276" s="12" t="inlineStr">
        <is>
          <t>Tray / conduit</t>
        </is>
      </c>
      <c r="T1276" s="16" t="n">
        <v>119</v>
      </c>
      <c r="U1276" s="16" t="n">
        <v>10</v>
      </c>
      <c r="V1276" s="16">
        <f>ROUNDUP((T1276+U1276+2*'Read Me'!$B$13)*(1+'Read Me'!$B$12),-1)</f>
        <v/>
      </c>
      <c r="W1276" s="16">
        <f>V1276*N1276*O1276</f>
        <v/>
      </c>
      <c r="X1276" s="12">
        <f>IF(LEFT(I1276,2)="MV",2*N1276*IF(L1276="1/C",O1276,1),0)</f>
        <v/>
      </c>
      <c r="Y1276" s="12">
        <f>IF(OR(LEFT(K1276,4)="LVAX",LEFT(K1276,6)="MV15AX",LEFT(K1276,4)="CTAX",LEFT(K1276,2)="W|"),2*N1276*O1276,0)</f>
        <v/>
      </c>
      <c r="Z1276" s="12" t="inlineStr">
        <is>
          <t>device-to-JB field wiring, one cable per device</t>
        </is>
      </c>
      <c r="AA1276" s="12">
        <f>N1276*O1276</f>
        <v/>
      </c>
    </row>
    <row r="1277">
      <c r="A1277" s="12" t="inlineStr">
        <is>
          <t>A-I-0555</t>
        </is>
      </c>
      <c r="B1277" s="12" t="inlineStr">
        <is>
          <t>A</t>
        </is>
      </c>
      <c r="C1277" s="12" t="inlineStr">
        <is>
          <t>Power block</t>
        </is>
      </c>
      <c r="D1277" s="12" t="inlineStr">
        <is>
          <t>Home run JB-ST-AI05 to the control / marshalling room</t>
        </is>
      </c>
      <c r="E1277" s="12" t="inlineStr">
        <is>
          <t>R3</t>
        </is>
      </c>
      <c r="F1277" s="12" t="inlineStr">
        <is>
          <t>R3: ST auxiliary electrical e-house (40 x 65 ft)</t>
        </is>
      </c>
      <c r="G1277" s="12" t="inlineStr">
        <is>
          <t>JB-ST-AI05</t>
        </is>
      </c>
      <c r="H1277" s="12" t="inlineStr">
        <is>
          <t>ST: steam turbine (HP/IP + LP), ACC plant</t>
        </is>
      </c>
      <c r="I1277" s="12" t="inlineStr">
        <is>
          <t>Instrumentation</t>
        </is>
      </c>
      <c r="J1277" s="12" t="inlineStr">
        <is>
          <t>Instrumentation PLTC / TC-ER 300 V, #18 twisted shielded pairs, overall shield</t>
        </is>
      </c>
      <c r="K1277" s="12" t="inlineStr">
        <is>
          <t>PLTC|24 pr|18</t>
        </is>
      </c>
      <c r="L1277" s="12" t="inlineStr">
        <is>
          <t>24 pr</t>
        </is>
      </c>
      <c r="M1277" s="12" t="inlineStr">
        <is>
          <t>18</t>
        </is>
      </c>
      <c r="N1277" s="12" t="n">
        <v>1</v>
      </c>
      <c r="O1277" s="12" t="n">
        <v>1</v>
      </c>
      <c r="P1277" s="12" t="n"/>
      <c r="Q1277" s="12" t="n"/>
      <c r="R1277" s="12" t="n"/>
      <c r="S1277" s="12" t="inlineStr">
        <is>
          <t>Duct bank</t>
        </is>
      </c>
      <c r="T1277" s="16" t="n">
        <v>12</v>
      </c>
      <c r="U1277" s="16" t="n">
        <v>50</v>
      </c>
      <c r="V1277" s="16">
        <f>ROUNDUP((T1277+U1277+2*'Read Me'!$B$13)*(1+'Read Me'!$B$12),-1)</f>
        <v/>
      </c>
      <c r="W1277" s="16">
        <f>V1277*N1277*O1277</f>
        <v/>
      </c>
      <c r="X1277" s="12">
        <f>IF(LEFT(I1277,2)="MV",2*N1277*IF(L1277="1/C",O1277,1),0)</f>
        <v/>
      </c>
      <c r="Y1277" s="12">
        <f>IF(OR(LEFT(K1277,4)="LVAX",LEFT(K1277,6)="MV15AX",LEFT(K1277,4)="CTAX",LEFT(K1277,2)="W|"),2*N1277*O1277,0)</f>
        <v/>
      </c>
      <c r="Z1277" s="12" t="inlineStr"/>
      <c r="AA1277" s="12">
        <f>N1277*O1277</f>
        <v/>
      </c>
    </row>
    <row r="1278">
      <c r="A1278" s="12" t="inlineStr">
        <is>
          <t>A-I-0556</t>
        </is>
      </c>
      <c r="B1278" s="12" t="inlineStr">
        <is>
          <t>A</t>
        </is>
      </c>
      <c r="C1278" s="12" t="inlineStr">
        <is>
          <t>Power block</t>
        </is>
      </c>
      <c r="D1278" s="12" t="inlineStr">
        <is>
          <t>Analog instrument to JB JB-ST-AI06: 20 x 1 pr (field cables)</t>
        </is>
      </c>
      <c r="E1278" s="12" t="inlineStr">
        <is>
          <t>ST</t>
        </is>
      </c>
      <c r="F1278" s="12" t="inlineStr">
        <is>
          <t>ST: steam turbine (HP/IP + LP), ACC plant</t>
        </is>
      </c>
      <c r="G1278" s="12" t="inlineStr">
        <is>
          <t>JB-ST-AI06</t>
        </is>
      </c>
      <c r="H1278" s="12" t="inlineStr">
        <is>
          <t>ST: steam turbine (HP/IP + LP), ACC plant</t>
        </is>
      </c>
      <c r="I1278" s="12" t="inlineStr">
        <is>
          <t>Instrumentation</t>
        </is>
      </c>
      <c r="J1278" s="12" t="inlineStr">
        <is>
          <t>Instrumentation PLTC / TC-ER 300 V, #18 twisted shielded pairs, overall shield</t>
        </is>
      </c>
      <c r="K1278" s="12" t="inlineStr">
        <is>
          <t>PLTC|1 pr|16</t>
        </is>
      </c>
      <c r="L1278" s="12" t="inlineStr">
        <is>
          <t>1 pr</t>
        </is>
      </c>
      <c r="M1278" s="12" t="inlineStr">
        <is>
          <t>16</t>
        </is>
      </c>
      <c r="N1278" s="12" t="n">
        <v>20</v>
      </c>
      <c r="O1278" s="12" t="n">
        <v>1</v>
      </c>
      <c r="P1278" s="12" t="n"/>
      <c r="Q1278" s="12" t="n"/>
      <c r="R1278" s="12" t="n"/>
      <c r="S1278" s="12" t="inlineStr">
        <is>
          <t>Tray / conduit</t>
        </is>
      </c>
      <c r="T1278" s="16" t="n">
        <v>119</v>
      </c>
      <c r="U1278" s="16" t="n">
        <v>10</v>
      </c>
      <c r="V1278" s="16">
        <f>ROUNDUP((T1278+U1278+2*'Read Me'!$B$13)*(1+'Read Me'!$B$12),-1)</f>
        <v/>
      </c>
      <c r="W1278" s="16">
        <f>V1278*N1278*O1278</f>
        <v/>
      </c>
      <c r="X1278" s="12">
        <f>IF(LEFT(I1278,2)="MV",2*N1278*IF(L1278="1/C",O1278,1),0)</f>
        <v/>
      </c>
      <c r="Y1278" s="12">
        <f>IF(OR(LEFT(K1278,4)="LVAX",LEFT(K1278,6)="MV15AX",LEFT(K1278,4)="CTAX",LEFT(K1278,2)="W|"),2*N1278*O1278,0)</f>
        <v/>
      </c>
      <c r="Z1278" s="12" t="inlineStr">
        <is>
          <t>device-to-JB field wiring, one cable per device</t>
        </is>
      </c>
      <c r="AA1278" s="12">
        <f>N1278*O1278</f>
        <v/>
      </c>
    </row>
    <row r="1279">
      <c r="A1279" s="12" t="inlineStr">
        <is>
          <t>A-I-0557</t>
        </is>
      </c>
      <c r="B1279" s="12" t="inlineStr">
        <is>
          <t>A</t>
        </is>
      </c>
      <c r="C1279" s="12" t="inlineStr">
        <is>
          <t>Power block</t>
        </is>
      </c>
      <c r="D1279" s="12" t="inlineStr">
        <is>
          <t>Home run JB-ST-AI06 to the control / marshalling room</t>
        </is>
      </c>
      <c r="E1279" s="12" t="inlineStr">
        <is>
          <t>R3</t>
        </is>
      </c>
      <c r="F1279" s="12" t="inlineStr">
        <is>
          <t>R3: ST auxiliary electrical e-house (40 x 65 ft)</t>
        </is>
      </c>
      <c r="G1279" s="12" t="inlineStr">
        <is>
          <t>JB-ST-AI06</t>
        </is>
      </c>
      <c r="H1279" s="12" t="inlineStr">
        <is>
          <t>ST: steam turbine (HP/IP + LP), ACC plant</t>
        </is>
      </c>
      <c r="I1279" s="12" t="inlineStr">
        <is>
          <t>Instrumentation</t>
        </is>
      </c>
      <c r="J1279" s="12" t="inlineStr">
        <is>
          <t>Instrumentation PLTC / TC-ER 300 V, #18 twisted shielded pairs, overall shield</t>
        </is>
      </c>
      <c r="K1279" s="12" t="inlineStr">
        <is>
          <t>PLTC|24 pr|18</t>
        </is>
      </c>
      <c r="L1279" s="12" t="inlineStr">
        <is>
          <t>24 pr</t>
        </is>
      </c>
      <c r="M1279" s="12" t="inlineStr">
        <is>
          <t>18</t>
        </is>
      </c>
      <c r="N1279" s="12" t="n">
        <v>1</v>
      </c>
      <c r="O1279" s="12" t="n">
        <v>1</v>
      </c>
      <c r="P1279" s="12" t="n"/>
      <c r="Q1279" s="12" t="n"/>
      <c r="R1279" s="12" t="n"/>
      <c r="S1279" s="12" t="inlineStr">
        <is>
          <t>Duct bank</t>
        </is>
      </c>
      <c r="T1279" s="16" t="n">
        <v>12</v>
      </c>
      <c r="U1279" s="16" t="n">
        <v>50</v>
      </c>
      <c r="V1279" s="16">
        <f>ROUNDUP((T1279+U1279+2*'Read Me'!$B$13)*(1+'Read Me'!$B$12),-1)</f>
        <v/>
      </c>
      <c r="W1279" s="16">
        <f>V1279*N1279*O1279</f>
        <v/>
      </c>
      <c r="X1279" s="12">
        <f>IF(LEFT(I1279,2)="MV",2*N1279*IF(L1279="1/C",O1279,1),0)</f>
        <v/>
      </c>
      <c r="Y1279" s="12">
        <f>IF(OR(LEFT(K1279,4)="LVAX",LEFT(K1279,6)="MV15AX",LEFT(K1279,4)="CTAX",LEFT(K1279,2)="W|"),2*N1279*O1279,0)</f>
        <v/>
      </c>
      <c r="Z1279" s="12" t="inlineStr"/>
      <c r="AA1279" s="12">
        <f>N1279*O1279</f>
        <v/>
      </c>
    </row>
    <row r="1280">
      <c r="A1280" s="12" t="inlineStr">
        <is>
          <t>A-I-0558</t>
        </is>
      </c>
      <c r="B1280" s="12" t="inlineStr">
        <is>
          <t>A</t>
        </is>
      </c>
      <c r="C1280" s="12" t="inlineStr">
        <is>
          <t>Power block</t>
        </is>
      </c>
      <c r="D1280" s="12" t="inlineStr">
        <is>
          <t>Analog instrument to JB JB-ST-AI07: 20 x 1 pr (field cables)</t>
        </is>
      </c>
      <c r="E1280" s="12" t="inlineStr">
        <is>
          <t>ST</t>
        </is>
      </c>
      <c r="F1280" s="12" t="inlineStr">
        <is>
          <t>ST: steam turbine (HP/IP + LP), ACC plant</t>
        </is>
      </c>
      <c r="G1280" s="12" t="inlineStr">
        <is>
          <t>JB-ST-AI07</t>
        </is>
      </c>
      <c r="H1280" s="12" t="inlineStr">
        <is>
          <t>ST: steam turbine (HP/IP + LP), ACC plant</t>
        </is>
      </c>
      <c r="I1280" s="12" t="inlineStr">
        <is>
          <t>Instrumentation</t>
        </is>
      </c>
      <c r="J1280" s="12" t="inlineStr">
        <is>
          <t>Instrumentation PLTC / TC-ER 300 V, #18 twisted shielded pairs, overall shield</t>
        </is>
      </c>
      <c r="K1280" s="12" t="inlineStr">
        <is>
          <t>PLTC|1 pr|16</t>
        </is>
      </c>
      <c r="L1280" s="12" t="inlineStr">
        <is>
          <t>1 pr</t>
        </is>
      </c>
      <c r="M1280" s="12" t="inlineStr">
        <is>
          <t>16</t>
        </is>
      </c>
      <c r="N1280" s="12" t="n">
        <v>20</v>
      </c>
      <c r="O1280" s="12" t="n">
        <v>1</v>
      </c>
      <c r="P1280" s="12" t="n"/>
      <c r="Q1280" s="12" t="n"/>
      <c r="R1280" s="12" t="n"/>
      <c r="S1280" s="12" t="inlineStr">
        <is>
          <t>Tray / conduit</t>
        </is>
      </c>
      <c r="T1280" s="16" t="n">
        <v>119</v>
      </c>
      <c r="U1280" s="16" t="n">
        <v>10</v>
      </c>
      <c r="V1280" s="16">
        <f>ROUNDUP((T1280+U1280+2*'Read Me'!$B$13)*(1+'Read Me'!$B$12),-1)</f>
        <v/>
      </c>
      <c r="W1280" s="16">
        <f>V1280*N1280*O1280</f>
        <v/>
      </c>
      <c r="X1280" s="12">
        <f>IF(LEFT(I1280,2)="MV",2*N1280*IF(L1280="1/C",O1280,1),0)</f>
        <v/>
      </c>
      <c r="Y1280" s="12">
        <f>IF(OR(LEFT(K1280,4)="LVAX",LEFT(K1280,6)="MV15AX",LEFT(K1280,4)="CTAX",LEFT(K1280,2)="W|"),2*N1280*O1280,0)</f>
        <v/>
      </c>
      <c r="Z1280" s="12" t="inlineStr">
        <is>
          <t>device-to-JB field wiring, one cable per device</t>
        </is>
      </c>
      <c r="AA1280" s="12">
        <f>N1280*O1280</f>
        <v/>
      </c>
    </row>
    <row r="1281">
      <c r="A1281" s="12" t="inlineStr">
        <is>
          <t>A-I-0559</t>
        </is>
      </c>
      <c r="B1281" s="12" t="inlineStr">
        <is>
          <t>A</t>
        </is>
      </c>
      <c r="C1281" s="12" t="inlineStr">
        <is>
          <t>Power block</t>
        </is>
      </c>
      <c r="D1281" s="12" t="inlineStr">
        <is>
          <t>Home run JB-ST-AI07 to the control / marshalling room</t>
        </is>
      </c>
      <c r="E1281" s="12" t="inlineStr">
        <is>
          <t>R3</t>
        </is>
      </c>
      <c r="F1281" s="12" t="inlineStr">
        <is>
          <t>R3: ST auxiliary electrical e-house (40 x 65 ft)</t>
        </is>
      </c>
      <c r="G1281" s="12" t="inlineStr">
        <is>
          <t>JB-ST-AI07</t>
        </is>
      </c>
      <c r="H1281" s="12" t="inlineStr">
        <is>
          <t>ST: steam turbine (HP/IP + LP), ACC plant</t>
        </is>
      </c>
      <c r="I1281" s="12" t="inlineStr">
        <is>
          <t>Instrumentation</t>
        </is>
      </c>
      <c r="J1281" s="12" t="inlineStr">
        <is>
          <t>Instrumentation PLTC / TC-ER 300 V, #18 twisted shielded pairs, overall shield</t>
        </is>
      </c>
      <c r="K1281" s="12" t="inlineStr">
        <is>
          <t>PLTC|24 pr|18</t>
        </is>
      </c>
      <c r="L1281" s="12" t="inlineStr">
        <is>
          <t>24 pr</t>
        </is>
      </c>
      <c r="M1281" s="12" t="inlineStr">
        <is>
          <t>18</t>
        </is>
      </c>
      <c r="N1281" s="12" t="n">
        <v>1</v>
      </c>
      <c r="O1281" s="12" t="n">
        <v>1</v>
      </c>
      <c r="P1281" s="12" t="n"/>
      <c r="Q1281" s="12" t="n"/>
      <c r="R1281" s="12" t="n"/>
      <c r="S1281" s="12" t="inlineStr">
        <is>
          <t>Duct bank</t>
        </is>
      </c>
      <c r="T1281" s="16" t="n">
        <v>12</v>
      </c>
      <c r="U1281" s="16" t="n">
        <v>50</v>
      </c>
      <c r="V1281" s="16">
        <f>ROUNDUP((T1281+U1281+2*'Read Me'!$B$13)*(1+'Read Me'!$B$12),-1)</f>
        <v/>
      </c>
      <c r="W1281" s="16">
        <f>V1281*N1281*O1281</f>
        <v/>
      </c>
      <c r="X1281" s="12">
        <f>IF(LEFT(I1281,2)="MV",2*N1281*IF(L1281="1/C",O1281,1),0)</f>
        <v/>
      </c>
      <c r="Y1281" s="12">
        <f>IF(OR(LEFT(K1281,4)="LVAX",LEFT(K1281,6)="MV15AX",LEFT(K1281,4)="CTAX",LEFT(K1281,2)="W|"),2*N1281*O1281,0)</f>
        <v/>
      </c>
      <c r="Z1281" s="12" t="inlineStr"/>
      <c r="AA1281" s="12">
        <f>N1281*O1281</f>
        <v/>
      </c>
    </row>
    <row r="1282">
      <c r="A1282" s="12" t="inlineStr">
        <is>
          <t>A-I-0560</t>
        </is>
      </c>
      <c r="B1282" s="12" t="inlineStr">
        <is>
          <t>A</t>
        </is>
      </c>
      <c r="C1282" s="12" t="inlineStr">
        <is>
          <t>Power block</t>
        </is>
      </c>
      <c r="D1282" s="12" t="inlineStr">
        <is>
          <t>Analog instrument to JB JB-ST-AI08: 10 x 1 pr (field cables)</t>
        </is>
      </c>
      <c r="E1282" s="12" t="inlineStr">
        <is>
          <t>ST</t>
        </is>
      </c>
      <c r="F1282" s="12" t="inlineStr">
        <is>
          <t>ST: steam turbine (HP/IP + LP), ACC plant</t>
        </is>
      </c>
      <c r="G1282" s="12" t="inlineStr">
        <is>
          <t>JB-ST-AI08</t>
        </is>
      </c>
      <c r="H1282" s="12" t="inlineStr">
        <is>
          <t>ST: steam turbine (HP/IP + LP), ACC plant</t>
        </is>
      </c>
      <c r="I1282" s="12" t="inlineStr">
        <is>
          <t>Instrumentation</t>
        </is>
      </c>
      <c r="J1282" s="12" t="inlineStr">
        <is>
          <t>Instrumentation PLTC / TC-ER 300 V, #18 twisted shielded pairs, overall shield</t>
        </is>
      </c>
      <c r="K1282" s="12" t="inlineStr">
        <is>
          <t>PLTC|1 pr|16</t>
        </is>
      </c>
      <c r="L1282" s="12" t="inlineStr">
        <is>
          <t>1 pr</t>
        </is>
      </c>
      <c r="M1282" s="12" t="inlineStr">
        <is>
          <t>16</t>
        </is>
      </c>
      <c r="N1282" s="12" t="n">
        <v>10</v>
      </c>
      <c r="O1282" s="12" t="n">
        <v>1</v>
      </c>
      <c r="P1282" s="12" t="n"/>
      <c r="Q1282" s="12" t="n"/>
      <c r="R1282" s="12" t="n"/>
      <c r="S1282" s="12" t="inlineStr">
        <is>
          <t>Tray / conduit</t>
        </is>
      </c>
      <c r="T1282" s="16" t="n">
        <v>119</v>
      </c>
      <c r="U1282" s="16" t="n">
        <v>10</v>
      </c>
      <c r="V1282" s="16">
        <f>ROUNDUP((T1282+U1282+2*'Read Me'!$B$13)*(1+'Read Me'!$B$12),-1)</f>
        <v/>
      </c>
      <c r="W1282" s="16">
        <f>V1282*N1282*O1282</f>
        <v/>
      </c>
      <c r="X1282" s="12">
        <f>IF(LEFT(I1282,2)="MV",2*N1282*IF(L1282="1/C",O1282,1),0)</f>
        <v/>
      </c>
      <c r="Y1282" s="12">
        <f>IF(OR(LEFT(K1282,4)="LVAX",LEFT(K1282,6)="MV15AX",LEFT(K1282,4)="CTAX",LEFT(K1282,2)="W|"),2*N1282*O1282,0)</f>
        <v/>
      </c>
      <c r="Z1282" s="12" t="inlineStr">
        <is>
          <t>device-to-JB field wiring, one cable per device</t>
        </is>
      </c>
      <c r="AA1282" s="12">
        <f>N1282*O1282</f>
        <v/>
      </c>
    </row>
    <row r="1283">
      <c r="A1283" s="12" t="inlineStr">
        <is>
          <t>A-I-0561</t>
        </is>
      </c>
      <c r="B1283" s="12" t="inlineStr">
        <is>
          <t>A</t>
        </is>
      </c>
      <c r="C1283" s="12" t="inlineStr">
        <is>
          <t>Power block</t>
        </is>
      </c>
      <c r="D1283" s="12" t="inlineStr">
        <is>
          <t>Home run JB-ST-AI08 to the control / marshalling room</t>
        </is>
      </c>
      <c r="E1283" s="12" t="inlineStr">
        <is>
          <t>R3</t>
        </is>
      </c>
      <c r="F1283" s="12" t="inlineStr">
        <is>
          <t>R3: ST auxiliary electrical e-house (40 x 65 ft)</t>
        </is>
      </c>
      <c r="G1283" s="12" t="inlineStr">
        <is>
          <t>JB-ST-AI08</t>
        </is>
      </c>
      <c r="H1283" s="12" t="inlineStr">
        <is>
          <t>ST: steam turbine (HP/IP + LP), ACC plant</t>
        </is>
      </c>
      <c r="I1283" s="12" t="inlineStr">
        <is>
          <t>Instrumentation</t>
        </is>
      </c>
      <c r="J1283" s="12" t="inlineStr">
        <is>
          <t>Instrumentation PLTC / TC-ER 300 V, #18 twisted shielded pairs, overall shield</t>
        </is>
      </c>
      <c r="K1283" s="12" t="inlineStr">
        <is>
          <t>PLTC|24 pr|18</t>
        </is>
      </c>
      <c r="L1283" s="12" t="inlineStr">
        <is>
          <t>24 pr</t>
        </is>
      </c>
      <c r="M1283" s="12" t="inlineStr">
        <is>
          <t>18</t>
        </is>
      </c>
      <c r="N1283" s="12" t="n">
        <v>1</v>
      </c>
      <c r="O1283" s="12" t="n">
        <v>1</v>
      </c>
      <c r="P1283" s="12" t="n"/>
      <c r="Q1283" s="12" t="n"/>
      <c r="R1283" s="12" t="n"/>
      <c r="S1283" s="12" t="inlineStr">
        <is>
          <t>Duct bank</t>
        </is>
      </c>
      <c r="T1283" s="16" t="n">
        <v>12</v>
      </c>
      <c r="U1283" s="16" t="n">
        <v>50</v>
      </c>
      <c r="V1283" s="16">
        <f>ROUNDUP((T1283+U1283+2*'Read Me'!$B$13)*(1+'Read Me'!$B$12),-1)</f>
        <v/>
      </c>
      <c r="W1283" s="16">
        <f>V1283*N1283*O1283</f>
        <v/>
      </c>
      <c r="X1283" s="12">
        <f>IF(LEFT(I1283,2)="MV",2*N1283*IF(L1283="1/C",O1283,1),0)</f>
        <v/>
      </c>
      <c r="Y1283" s="12">
        <f>IF(OR(LEFT(K1283,4)="LVAX",LEFT(K1283,6)="MV15AX",LEFT(K1283,4)="CTAX",LEFT(K1283,2)="W|"),2*N1283*O1283,0)</f>
        <v/>
      </c>
      <c r="Z1283" s="12" t="inlineStr"/>
      <c r="AA1283" s="12">
        <f>N1283*O1283</f>
        <v/>
      </c>
    </row>
    <row r="1284">
      <c r="A1284" s="12" t="inlineStr">
        <is>
          <t>A-I-0562</t>
        </is>
      </c>
      <c r="B1284" s="12" t="inlineStr">
        <is>
          <t>A</t>
        </is>
      </c>
      <c r="C1284" s="12" t="inlineStr">
        <is>
          <t>Power block</t>
        </is>
      </c>
      <c r="D1284" s="12" t="inlineStr">
        <is>
          <t>Discrete device to JB JB-ST-DI01: 20 x 1 pr (field cables)</t>
        </is>
      </c>
      <c r="E1284" s="12" t="inlineStr">
        <is>
          <t>ST</t>
        </is>
      </c>
      <c r="F1284" s="12" t="inlineStr">
        <is>
          <t>ST: steam turbine (HP/IP + LP), ACC plant</t>
        </is>
      </c>
      <c r="G1284" s="12" t="inlineStr">
        <is>
          <t>JB-ST-DI01</t>
        </is>
      </c>
      <c r="H1284" s="12" t="inlineStr">
        <is>
          <t>ST: steam turbine (HP/IP + LP), ACC plant</t>
        </is>
      </c>
      <c r="I1284" s="12" t="inlineStr">
        <is>
          <t>Instrumentation</t>
        </is>
      </c>
      <c r="J1284" s="12" t="inlineStr">
        <is>
          <t>Instrumentation PLTC / TC-ER 300 V, #18 twisted shielded pairs, overall shield</t>
        </is>
      </c>
      <c r="K1284" s="12" t="inlineStr">
        <is>
          <t>PLTC|1 pr|16</t>
        </is>
      </c>
      <c r="L1284" s="12" t="inlineStr">
        <is>
          <t>1 pr</t>
        </is>
      </c>
      <c r="M1284" s="12" t="inlineStr">
        <is>
          <t>16</t>
        </is>
      </c>
      <c r="N1284" s="12" t="n">
        <v>20</v>
      </c>
      <c r="O1284" s="12" t="n">
        <v>1</v>
      </c>
      <c r="P1284" s="12" t="n"/>
      <c r="Q1284" s="12" t="n"/>
      <c r="R1284" s="12" t="n"/>
      <c r="S1284" s="12" t="inlineStr">
        <is>
          <t>Tray / conduit</t>
        </is>
      </c>
      <c r="T1284" s="16" t="n">
        <v>119</v>
      </c>
      <c r="U1284" s="16" t="n">
        <v>10</v>
      </c>
      <c r="V1284" s="16">
        <f>ROUNDUP((T1284+U1284+2*'Read Me'!$B$13)*(1+'Read Me'!$B$12),-1)</f>
        <v/>
      </c>
      <c r="W1284" s="16">
        <f>V1284*N1284*O1284</f>
        <v/>
      </c>
      <c r="X1284" s="12">
        <f>IF(LEFT(I1284,2)="MV",2*N1284*IF(L1284="1/C",O1284,1),0)</f>
        <v/>
      </c>
      <c r="Y1284" s="12">
        <f>IF(OR(LEFT(K1284,4)="LVAX",LEFT(K1284,6)="MV15AX",LEFT(K1284,4)="CTAX",LEFT(K1284,2)="W|"),2*N1284*O1284,0)</f>
        <v/>
      </c>
      <c r="Z1284" s="12" t="inlineStr">
        <is>
          <t>device-to-JB field wiring, one cable per device</t>
        </is>
      </c>
      <c r="AA1284" s="12">
        <f>N1284*O1284</f>
        <v/>
      </c>
    </row>
    <row r="1285">
      <c r="A1285" s="12" t="inlineStr">
        <is>
          <t>A-I-0563</t>
        </is>
      </c>
      <c r="B1285" s="12" t="inlineStr">
        <is>
          <t>A</t>
        </is>
      </c>
      <c r="C1285" s="12" t="inlineStr">
        <is>
          <t>Power block</t>
        </is>
      </c>
      <c r="D1285" s="12" t="inlineStr">
        <is>
          <t>Home run JB-ST-DI01 to the control / marshalling room</t>
        </is>
      </c>
      <c r="E1285" s="12" t="inlineStr">
        <is>
          <t>R3</t>
        </is>
      </c>
      <c r="F1285" s="12" t="inlineStr">
        <is>
          <t>R3: ST auxiliary electrical e-house (40 x 65 ft)</t>
        </is>
      </c>
      <c r="G1285" s="12" t="inlineStr">
        <is>
          <t>JB-ST-DI01</t>
        </is>
      </c>
      <c r="H1285" s="12" t="inlineStr">
        <is>
          <t>ST: steam turbine (HP/IP + LP), ACC plant</t>
        </is>
      </c>
      <c r="I1285" s="12" t="inlineStr">
        <is>
          <t>Instrumentation</t>
        </is>
      </c>
      <c r="J1285" s="12" t="inlineStr">
        <is>
          <t>Instrumentation PLTC / TC-ER 300 V, #18 twisted shielded pairs, overall shield</t>
        </is>
      </c>
      <c r="K1285" s="12" t="inlineStr">
        <is>
          <t>PLTC|24 pr|18</t>
        </is>
      </c>
      <c r="L1285" s="12" t="inlineStr">
        <is>
          <t>24 pr</t>
        </is>
      </c>
      <c r="M1285" s="12" t="inlineStr">
        <is>
          <t>18</t>
        </is>
      </c>
      <c r="N1285" s="12" t="n">
        <v>1</v>
      </c>
      <c r="O1285" s="12" t="n">
        <v>1</v>
      </c>
      <c r="P1285" s="12" t="n"/>
      <c r="Q1285" s="12" t="n"/>
      <c r="R1285" s="12" t="n"/>
      <c r="S1285" s="12" t="inlineStr">
        <is>
          <t>Duct bank</t>
        </is>
      </c>
      <c r="T1285" s="16" t="n">
        <v>12</v>
      </c>
      <c r="U1285" s="16" t="n">
        <v>50</v>
      </c>
      <c r="V1285" s="16">
        <f>ROUNDUP((T1285+U1285+2*'Read Me'!$B$13)*(1+'Read Me'!$B$12),-1)</f>
        <v/>
      </c>
      <c r="W1285" s="16">
        <f>V1285*N1285*O1285</f>
        <v/>
      </c>
      <c r="X1285" s="12">
        <f>IF(LEFT(I1285,2)="MV",2*N1285*IF(L1285="1/C",O1285,1),0)</f>
        <v/>
      </c>
      <c r="Y1285" s="12">
        <f>IF(OR(LEFT(K1285,4)="LVAX",LEFT(K1285,6)="MV15AX",LEFT(K1285,4)="CTAX",LEFT(K1285,2)="W|"),2*N1285*O1285,0)</f>
        <v/>
      </c>
      <c r="Z1285" s="12" t="inlineStr"/>
      <c r="AA1285" s="12">
        <f>N1285*O1285</f>
        <v/>
      </c>
    </row>
    <row r="1286">
      <c r="A1286" s="12" t="inlineStr">
        <is>
          <t>A-I-0564</t>
        </is>
      </c>
      <c r="B1286" s="12" t="inlineStr">
        <is>
          <t>A</t>
        </is>
      </c>
      <c r="C1286" s="12" t="inlineStr">
        <is>
          <t>Power block</t>
        </is>
      </c>
      <c r="D1286" s="12" t="inlineStr">
        <is>
          <t>Discrete device to JB JB-ST-DI02: 20 x 1 pr (field cables)</t>
        </is>
      </c>
      <c r="E1286" s="12" t="inlineStr">
        <is>
          <t>ST</t>
        </is>
      </c>
      <c r="F1286" s="12" t="inlineStr">
        <is>
          <t>ST: steam turbine (HP/IP + LP), ACC plant</t>
        </is>
      </c>
      <c r="G1286" s="12" t="inlineStr">
        <is>
          <t>JB-ST-DI02</t>
        </is>
      </c>
      <c r="H1286" s="12" t="inlineStr">
        <is>
          <t>ST: steam turbine (HP/IP + LP), ACC plant</t>
        </is>
      </c>
      <c r="I1286" s="12" t="inlineStr">
        <is>
          <t>Instrumentation</t>
        </is>
      </c>
      <c r="J1286" s="12" t="inlineStr">
        <is>
          <t>Instrumentation PLTC / TC-ER 300 V, #18 twisted shielded pairs, overall shield</t>
        </is>
      </c>
      <c r="K1286" s="12" t="inlineStr">
        <is>
          <t>PLTC|1 pr|16</t>
        </is>
      </c>
      <c r="L1286" s="12" t="inlineStr">
        <is>
          <t>1 pr</t>
        </is>
      </c>
      <c r="M1286" s="12" t="inlineStr">
        <is>
          <t>16</t>
        </is>
      </c>
      <c r="N1286" s="12" t="n">
        <v>20</v>
      </c>
      <c r="O1286" s="12" t="n">
        <v>1</v>
      </c>
      <c r="P1286" s="12" t="n"/>
      <c r="Q1286" s="12" t="n"/>
      <c r="R1286" s="12" t="n"/>
      <c r="S1286" s="12" t="inlineStr">
        <is>
          <t>Tray / conduit</t>
        </is>
      </c>
      <c r="T1286" s="16" t="n">
        <v>119</v>
      </c>
      <c r="U1286" s="16" t="n">
        <v>10</v>
      </c>
      <c r="V1286" s="16">
        <f>ROUNDUP((T1286+U1286+2*'Read Me'!$B$13)*(1+'Read Me'!$B$12),-1)</f>
        <v/>
      </c>
      <c r="W1286" s="16">
        <f>V1286*N1286*O1286</f>
        <v/>
      </c>
      <c r="X1286" s="12">
        <f>IF(LEFT(I1286,2)="MV",2*N1286*IF(L1286="1/C",O1286,1),0)</f>
        <v/>
      </c>
      <c r="Y1286" s="12">
        <f>IF(OR(LEFT(K1286,4)="LVAX",LEFT(K1286,6)="MV15AX",LEFT(K1286,4)="CTAX",LEFT(K1286,2)="W|"),2*N1286*O1286,0)</f>
        <v/>
      </c>
      <c r="Z1286" s="12" t="inlineStr">
        <is>
          <t>device-to-JB field wiring, one cable per device</t>
        </is>
      </c>
      <c r="AA1286" s="12">
        <f>N1286*O1286</f>
        <v/>
      </c>
    </row>
    <row r="1287">
      <c r="A1287" s="12" t="inlineStr">
        <is>
          <t>A-I-0565</t>
        </is>
      </c>
      <c r="B1287" s="12" t="inlineStr">
        <is>
          <t>A</t>
        </is>
      </c>
      <c r="C1287" s="12" t="inlineStr">
        <is>
          <t>Power block</t>
        </is>
      </c>
      <c r="D1287" s="12" t="inlineStr">
        <is>
          <t>Home run JB-ST-DI02 to the control / marshalling room</t>
        </is>
      </c>
      <c r="E1287" s="12" t="inlineStr">
        <is>
          <t>R3</t>
        </is>
      </c>
      <c r="F1287" s="12" t="inlineStr">
        <is>
          <t>R3: ST auxiliary electrical e-house (40 x 65 ft)</t>
        </is>
      </c>
      <c r="G1287" s="12" t="inlineStr">
        <is>
          <t>JB-ST-DI02</t>
        </is>
      </c>
      <c r="H1287" s="12" t="inlineStr">
        <is>
          <t>ST: steam turbine (HP/IP + LP), ACC plant</t>
        </is>
      </c>
      <c r="I1287" s="12" t="inlineStr">
        <is>
          <t>Instrumentation</t>
        </is>
      </c>
      <c r="J1287" s="12" t="inlineStr">
        <is>
          <t>Instrumentation PLTC / TC-ER 300 V, #18 twisted shielded pairs, overall shield</t>
        </is>
      </c>
      <c r="K1287" s="12" t="inlineStr">
        <is>
          <t>PLTC|24 pr|18</t>
        </is>
      </c>
      <c r="L1287" s="12" t="inlineStr">
        <is>
          <t>24 pr</t>
        </is>
      </c>
      <c r="M1287" s="12" t="inlineStr">
        <is>
          <t>18</t>
        </is>
      </c>
      <c r="N1287" s="12" t="n">
        <v>1</v>
      </c>
      <c r="O1287" s="12" t="n">
        <v>1</v>
      </c>
      <c r="P1287" s="12" t="n"/>
      <c r="Q1287" s="12" t="n"/>
      <c r="R1287" s="12" t="n"/>
      <c r="S1287" s="12" t="inlineStr">
        <is>
          <t>Duct bank</t>
        </is>
      </c>
      <c r="T1287" s="16" t="n">
        <v>12</v>
      </c>
      <c r="U1287" s="16" t="n">
        <v>50</v>
      </c>
      <c r="V1287" s="16">
        <f>ROUNDUP((T1287+U1287+2*'Read Me'!$B$13)*(1+'Read Me'!$B$12),-1)</f>
        <v/>
      </c>
      <c r="W1287" s="16">
        <f>V1287*N1287*O1287</f>
        <v/>
      </c>
      <c r="X1287" s="12">
        <f>IF(LEFT(I1287,2)="MV",2*N1287*IF(L1287="1/C",O1287,1),0)</f>
        <v/>
      </c>
      <c r="Y1287" s="12">
        <f>IF(OR(LEFT(K1287,4)="LVAX",LEFT(K1287,6)="MV15AX",LEFT(K1287,4)="CTAX",LEFT(K1287,2)="W|"),2*N1287*O1287,0)</f>
        <v/>
      </c>
      <c r="Z1287" s="12" t="inlineStr"/>
      <c r="AA1287" s="12">
        <f>N1287*O1287</f>
        <v/>
      </c>
    </row>
    <row r="1288">
      <c r="A1288" s="12" t="inlineStr">
        <is>
          <t>A-I-0566</t>
        </is>
      </c>
      <c r="B1288" s="12" t="inlineStr">
        <is>
          <t>A</t>
        </is>
      </c>
      <c r="C1288" s="12" t="inlineStr">
        <is>
          <t>Power block</t>
        </is>
      </c>
      <c r="D1288" s="12" t="inlineStr">
        <is>
          <t>Discrete device to JB JB-ST-DI03: 20 x 1 pr (field cables)</t>
        </is>
      </c>
      <c r="E1288" s="12" t="inlineStr">
        <is>
          <t>ST</t>
        </is>
      </c>
      <c r="F1288" s="12" t="inlineStr">
        <is>
          <t>ST: steam turbine (HP/IP + LP), ACC plant</t>
        </is>
      </c>
      <c r="G1288" s="12" t="inlineStr">
        <is>
          <t>JB-ST-DI03</t>
        </is>
      </c>
      <c r="H1288" s="12" t="inlineStr">
        <is>
          <t>ST: steam turbine (HP/IP + LP), ACC plant</t>
        </is>
      </c>
      <c r="I1288" s="12" t="inlineStr">
        <is>
          <t>Instrumentation</t>
        </is>
      </c>
      <c r="J1288" s="12" t="inlineStr">
        <is>
          <t>Instrumentation PLTC / TC-ER 300 V, #18 twisted shielded pairs, overall shield</t>
        </is>
      </c>
      <c r="K1288" s="12" t="inlineStr">
        <is>
          <t>PLTC|1 pr|16</t>
        </is>
      </c>
      <c r="L1288" s="12" t="inlineStr">
        <is>
          <t>1 pr</t>
        </is>
      </c>
      <c r="M1288" s="12" t="inlineStr">
        <is>
          <t>16</t>
        </is>
      </c>
      <c r="N1288" s="12" t="n">
        <v>20</v>
      </c>
      <c r="O1288" s="12" t="n">
        <v>1</v>
      </c>
      <c r="P1288" s="12" t="n"/>
      <c r="Q1288" s="12" t="n"/>
      <c r="R1288" s="12" t="n"/>
      <c r="S1288" s="12" t="inlineStr">
        <is>
          <t>Tray / conduit</t>
        </is>
      </c>
      <c r="T1288" s="16" t="n">
        <v>119</v>
      </c>
      <c r="U1288" s="16" t="n">
        <v>10</v>
      </c>
      <c r="V1288" s="16">
        <f>ROUNDUP((T1288+U1288+2*'Read Me'!$B$13)*(1+'Read Me'!$B$12),-1)</f>
        <v/>
      </c>
      <c r="W1288" s="16">
        <f>V1288*N1288*O1288</f>
        <v/>
      </c>
      <c r="X1288" s="12">
        <f>IF(LEFT(I1288,2)="MV",2*N1288*IF(L1288="1/C",O1288,1),0)</f>
        <v/>
      </c>
      <c r="Y1288" s="12">
        <f>IF(OR(LEFT(K1288,4)="LVAX",LEFT(K1288,6)="MV15AX",LEFT(K1288,4)="CTAX",LEFT(K1288,2)="W|"),2*N1288*O1288,0)</f>
        <v/>
      </c>
      <c r="Z1288" s="12" t="inlineStr">
        <is>
          <t>device-to-JB field wiring, one cable per device</t>
        </is>
      </c>
      <c r="AA1288" s="12">
        <f>N1288*O1288</f>
        <v/>
      </c>
    </row>
    <row r="1289">
      <c r="A1289" s="12" t="inlineStr">
        <is>
          <t>A-I-0567</t>
        </is>
      </c>
      <c r="B1289" s="12" t="inlineStr">
        <is>
          <t>A</t>
        </is>
      </c>
      <c r="C1289" s="12" t="inlineStr">
        <is>
          <t>Power block</t>
        </is>
      </c>
      <c r="D1289" s="12" t="inlineStr">
        <is>
          <t>Home run JB-ST-DI03 to the control / marshalling room</t>
        </is>
      </c>
      <c r="E1289" s="12" t="inlineStr">
        <is>
          <t>R3</t>
        </is>
      </c>
      <c r="F1289" s="12" t="inlineStr">
        <is>
          <t>R3: ST auxiliary electrical e-house (40 x 65 ft)</t>
        </is>
      </c>
      <c r="G1289" s="12" t="inlineStr">
        <is>
          <t>JB-ST-DI03</t>
        </is>
      </c>
      <c r="H1289" s="12" t="inlineStr">
        <is>
          <t>ST: steam turbine (HP/IP + LP), ACC plant</t>
        </is>
      </c>
      <c r="I1289" s="12" t="inlineStr">
        <is>
          <t>Instrumentation</t>
        </is>
      </c>
      <c r="J1289" s="12" t="inlineStr">
        <is>
          <t>Instrumentation PLTC / TC-ER 300 V, #18 twisted shielded pairs, overall shield</t>
        </is>
      </c>
      <c r="K1289" s="12" t="inlineStr">
        <is>
          <t>PLTC|24 pr|18</t>
        </is>
      </c>
      <c r="L1289" s="12" t="inlineStr">
        <is>
          <t>24 pr</t>
        </is>
      </c>
      <c r="M1289" s="12" t="inlineStr">
        <is>
          <t>18</t>
        </is>
      </c>
      <c r="N1289" s="12" t="n">
        <v>1</v>
      </c>
      <c r="O1289" s="12" t="n">
        <v>1</v>
      </c>
      <c r="P1289" s="12" t="n"/>
      <c r="Q1289" s="12" t="n"/>
      <c r="R1289" s="12" t="n"/>
      <c r="S1289" s="12" t="inlineStr">
        <is>
          <t>Duct bank</t>
        </is>
      </c>
      <c r="T1289" s="16" t="n">
        <v>12</v>
      </c>
      <c r="U1289" s="16" t="n">
        <v>50</v>
      </c>
      <c r="V1289" s="16">
        <f>ROUNDUP((T1289+U1289+2*'Read Me'!$B$13)*(1+'Read Me'!$B$12),-1)</f>
        <v/>
      </c>
      <c r="W1289" s="16">
        <f>V1289*N1289*O1289</f>
        <v/>
      </c>
      <c r="X1289" s="12">
        <f>IF(LEFT(I1289,2)="MV",2*N1289*IF(L1289="1/C",O1289,1),0)</f>
        <v/>
      </c>
      <c r="Y1289" s="12">
        <f>IF(OR(LEFT(K1289,4)="LVAX",LEFT(K1289,6)="MV15AX",LEFT(K1289,4)="CTAX",LEFT(K1289,2)="W|"),2*N1289*O1289,0)</f>
        <v/>
      </c>
      <c r="Z1289" s="12" t="inlineStr"/>
      <c r="AA1289" s="12">
        <f>N1289*O1289</f>
        <v/>
      </c>
    </row>
    <row r="1290">
      <c r="A1290" s="12" t="inlineStr">
        <is>
          <t>A-I-0568</t>
        </is>
      </c>
      <c r="B1290" s="12" t="inlineStr">
        <is>
          <t>A</t>
        </is>
      </c>
      <c r="C1290" s="12" t="inlineStr">
        <is>
          <t>Power block</t>
        </is>
      </c>
      <c r="D1290" s="12" t="inlineStr">
        <is>
          <t>Discrete device to JB JB-ST-DI04: 20 x 1 pr (field cables)</t>
        </is>
      </c>
      <c r="E1290" s="12" t="inlineStr">
        <is>
          <t>ST</t>
        </is>
      </c>
      <c r="F1290" s="12" t="inlineStr">
        <is>
          <t>ST: steam turbine (HP/IP + LP), ACC plant</t>
        </is>
      </c>
      <c r="G1290" s="12" t="inlineStr">
        <is>
          <t>JB-ST-DI04</t>
        </is>
      </c>
      <c r="H1290" s="12" t="inlineStr">
        <is>
          <t>ST: steam turbine (HP/IP + LP), ACC plant</t>
        </is>
      </c>
      <c r="I1290" s="12" t="inlineStr">
        <is>
          <t>Instrumentation</t>
        </is>
      </c>
      <c r="J1290" s="12" t="inlineStr">
        <is>
          <t>Instrumentation PLTC / TC-ER 300 V, #18 twisted shielded pairs, overall shield</t>
        </is>
      </c>
      <c r="K1290" s="12" t="inlineStr">
        <is>
          <t>PLTC|1 pr|16</t>
        </is>
      </c>
      <c r="L1290" s="12" t="inlineStr">
        <is>
          <t>1 pr</t>
        </is>
      </c>
      <c r="M1290" s="12" t="inlineStr">
        <is>
          <t>16</t>
        </is>
      </c>
      <c r="N1290" s="12" t="n">
        <v>20</v>
      </c>
      <c r="O1290" s="12" t="n">
        <v>1</v>
      </c>
      <c r="P1290" s="12" t="n"/>
      <c r="Q1290" s="12" t="n"/>
      <c r="R1290" s="12" t="n"/>
      <c r="S1290" s="12" t="inlineStr">
        <is>
          <t>Tray / conduit</t>
        </is>
      </c>
      <c r="T1290" s="16" t="n">
        <v>119</v>
      </c>
      <c r="U1290" s="16" t="n">
        <v>10</v>
      </c>
      <c r="V1290" s="16">
        <f>ROUNDUP((T1290+U1290+2*'Read Me'!$B$13)*(1+'Read Me'!$B$12),-1)</f>
        <v/>
      </c>
      <c r="W1290" s="16">
        <f>V1290*N1290*O1290</f>
        <v/>
      </c>
      <c r="X1290" s="12">
        <f>IF(LEFT(I1290,2)="MV",2*N1290*IF(L1290="1/C",O1290,1),0)</f>
        <v/>
      </c>
      <c r="Y1290" s="12">
        <f>IF(OR(LEFT(K1290,4)="LVAX",LEFT(K1290,6)="MV15AX",LEFT(K1290,4)="CTAX",LEFT(K1290,2)="W|"),2*N1290*O1290,0)</f>
        <v/>
      </c>
      <c r="Z1290" s="12" t="inlineStr">
        <is>
          <t>device-to-JB field wiring, one cable per device</t>
        </is>
      </c>
      <c r="AA1290" s="12">
        <f>N1290*O1290</f>
        <v/>
      </c>
    </row>
    <row r="1291">
      <c r="A1291" s="12" t="inlineStr">
        <is>
          <t>A-I-0569</t>
        </is>
      </c>
      <c r="B1291" s="12" t="inlineStr">
        <is>
          <t>A</t>
        </is>
      </c>
      <c r="C1291" s="12" t="inlineStr">
        <is>
          <t>Power block</t>
        </is>
      </c>
      <c r="D1291" s="12" t="inlineStr">
        <is>
          <t>Home run JB-ST-DI04 to the control / marshalling room</t>
        </is>
      </c>
      <c r="E1291" s="12" t="inlineStr">
        <is>
          <t>R3</t>
        </is>
      </c>
      <c r="F1291" s="12" t="inlineStr">
        <is>
          <t>R3: ST auxiliary electrical e-house (40 x 65 ft)</t>
        </is>
      </c>
      <c r="G1291" s="12" t="inlineStr">
        <is>
          <t>JB-ST-DI04</t>
        </is>
      </c>
      <c r="H1291" s="12" t="inlineStr">
        <is>
          <t>ST: steam turbine (HP/IP + LP), ACC plant</t>
        </is>
      </c>
      <c r="I1291" s="12" t="inlineStr">
        <is>
          <t>Instrumentation</t>
        </is>
      </c>
      <c r="J1291" s="12" t="inlineStr">
        <is>
          <t>Instrumentation PLTC / TC-ER 300 V, #18 twisted shielded pairs, overall shield</t>
        </is>
      </c>
      <c r="K1291" s="12" t="inlineStr">
        <is>
          <t>PLTC|24 pr|18</t>
        </is>
      </c>
      <c r="L1291" s="12" t="inlineStr">
        <is>
          <t>24 pr</t>
        </is>
      </c>
      <c r="M1291" s="12" t="inlineStr">
        <is>
          <t>18</t>
        </is>
      </c>
      <c r="N1291" s="12" t="n">
        <v>1</v>
      </c>
      <c r="O1291" s="12" t="n">
        <v>1</v>
      </c>
      <c r="P1291" s="12" t="n"/>
      <c r="Q1291" s="12" t="n"/>
      <c r="R1291" s="12" t="n"/>
      <c r="S1291" s="12" t="inlineStr">
        <is>
          <t>Duct bank</t>
        </is>
      </c>
      <c r="T1291" s="16" t="n">
        <v>12</v>
      </c>
      <c r="U1291" s="16" t="n">
        <v>50</v>
      </c>
      <c r="V1291" s="16">
        <f>ROUNDUP((T1291+U1291+2*'Read Me'!$B$13)*(1+'Read Me'!$B$12),-1)</f>
        <v/>
      </c>
      <c r="W1291" s="16">
        <f>V1291*N1291*O1291</f>
        <v/>
      </c>
      <c r="X1291" s="12">
        <f>IF(LEFT(I1291,2)="MV",2*N1291*IF(L1291="1/C",O1291,1),0)</f>
        <v/>
      </c>
      <c r="Y1291" s="12">
        <f>IF(OR(LEFT(K1291,4)="LVAX",LEFT(K1291,6)="MV15AX",LEFT(K1291,4)="CTAX",LEFT(K1291,2)="W|"),2*N1291*O1291,0)</f>
        <v/>
      </c>
      <c r="Z1291" s="12" t="inlineStr"/>
      <c r="AA1291" s="12">
        <f>N1291*O1291</f>
        <v/>
      </c>
    </row>
    <row r="1292">
      <c r="A1292" s="12" t="inlineStr">
        <is>
          <t>A-I-0570</t>
        </is>
      </c>
      <c r="B1292" s="12" t="inlineStr">
        <is>
          <t>A</t>
        </is>
      </c>
      <c r="C1292" s="12" t="inlineStr">
        <is>
          <t>Power block</t>
        </is>
      </c>
      <c r="D1292" s="12" t="inlineStr">
        <is>
          <t>Discrete device to JB JB-ST-DI05: 20 x 1 pr (field cables)</t>
        </is>
      </c>
      <c r="E1292" s="12" t="inlineStr">
        <is>
          <t>ST</t>
        </is>
      </c>
      <c r="F1292" s="12" t="inlineStr">
        <is>
          <t>ST: steam turbine (HP/IP + LP), ACC plant</t>
        </is>
      </c>
      <c r="G1292" s="12" t="inlineStr">
        <is>
          <t>JB-ST-DI05</t>
        </is>
      </c>
      <c r="H1292" s="12" t="inlineStr">
        <is>
          <t>ST: steam turbine (HP/IP + LP), ACC plant</t>
        </is>
      </c>
      <c r="I1292" s="12" t="inlineStr">
        <is>
          <t>Instrumentation</t>
        </is>
      </c>
      <c r="J1292" s="12" t="inlineStr">
        <is>
          <t>Instrumentation PLTC / TC-ER 300 V, #18 twisted shielded pairs, overall shield</t>
        </is>
      </c>
      <c r="K1292" s="12" t="inlineStr">
        <is>
          <t>PLTC|1 pr|16</t>
        </is>
      </c>
      <c r="L1292" s="12" t="inlineStr">
        <is>
          <t>1 pr</t>
        </is>
      </c>
      <c r="M1292" s="12" t="inlineStr">
        <is>
          <t>16</t>
        </is>
      </c>
      <c r="N1292" s="12" t="n">
        <v>20</v>
      </c>
      <c r="O1292" s="12" t="n">
        <v>1</v>
      </c>
      <c r="P1292" s="12" t="n"/>
      <c r="Q1292" s="12" t="n"/>
      <c r="R1292" s="12" t="n"/>
      <c r="S1292" s="12" t="inlineStr">
        <is>
          <t>Tray / conduit</t>
        </is>
      </c>
      <c r="T1292" s="16" t="n">
        <v>119</v>
      </c>
      <c r="U1292" s="16" t="n">
        <v>10</v>
      </c>
      <c r="V1292" s="16">
        <f>ROUNDUP((T1292+U1292+2*'Read Me'!$B$13)*(1+'Read Me'!$B$12),-1)</f>
        <v/>
      </c>
      <c r="W1292" s="16">
        <f>V1292*N1292*O1292</f>
        <v/>
      </c>
      <c r="X1292" s="12">
        <f>IF(LEFT(I1292,2)="MV",2*N1292*IF(L1292="1/C",O1292,1),0)</f>
        <v/>
      </c>
      <c r="Y1292" s="12">
        <f>IF(OR(LEFT(K1292,4)="LVAX",LEFT(K1292,6)="MV15AX",LEFT(K1292,4)="CTAX",LEFT(K1292,2)="W|"),2*N1292*O1292,0)</f>
        <v/>
      </c>
      <c r="Z1292" s="12" t="inlineStr">
        <is>
          <t>device-to-JB field wiring, one cable per device</t>
        </is>
      </c>
      <c r="AA1292" s="12">
        <f>N1292*O1292</f>
        <v/>
      </c>
    </row>
    <row r="1293">
      <c r="A1293" s="12" t="inlineStr">
        <is>
          <t>A-I-0571</t>
        </is>
      </c>
      <c r="B1293" s="12" t="inlineStr">
        <is>
          <t>A</t>
        </is>
      </c>
      <c r="C1293" s="12" t="inlineStr">
        <is>
          <t>Power block</t>
        </is>
      </c>
      <c r="D1293" s="12" t="inlineStr">
        <is>
          <t>Home run JB-ST-DI05 to the control / marshalling room</t>
        </is>
      </c>
      <c r="E1293" s="12" t="inlineStr">
        <is>
          <t>R3</t>
        </is>
      </c>
      <c r="F1293" s="12" t="inlineStr">
        <is>
          <t>R3: ST auxiliary electrical e-house (40 x 65 ft)</t>
        </is>
      </c>
      <c r="G1293" s="12" t="inlineStr">
        <is>
          <t>JB-ST-DI05</t>
        </is>
      </c>
      <c r="H1293" s="12" t="inlineStr">
        <is>
          <t>ST: steam turbine (HP/IP + LP), ACC plant</t>
        </is>
      </c>
      <c r="I1293" s="12" t="inlineStr">
        <is>
          <t>Instrumentation</t>
        </is>
      </c>
      <c r="J1293" s="12" t="inlineStr">
        <is>
          <t>Instrumentation PLTC / TC-ER 300 V, #18 twisted shielded pairs, overall shield</t>
        </is>
      </c>
      <c r="K1293" s="12" t="inlineStr">
        <is>
          <t>PLTC|24 pr|18</t>
        </is>
      </c>
      <c r="L1293" s="12" t="inlineStr">
        <is>
          <t>24 pr</t>
        </is>
      </c>
      <c r="M1293" s="12" t="inlineStr">
        <is>
          <t>18</t>
        </is>
      </c>
      <c r="N1293" s="12" t="n">
        <v>1</v>
      </c>
      <c r="O1293" s="12" t="n">
        <v>1</v>
      </c>
      <c r="P1293" s="12" t="n"/>
      <c r="Q1293" s="12" t="n"/>
      <c r="R1293" s="12" t="n"/>
      <c r="S1293" s="12" t="inlineStr">
        <is>
          <t>Duct bank</t>
        </is>
      </c>
      <c r="T1293" s="16" t="n">
        <v>12</v>
      </c>
      <c r="U1293" s="16" t="n">
        <v>50</v>
      </c>
      <c r="V1293" s="16">
        <f>ROUNDUP((T1293+U1293+2*'Read Me'!$B$13)*(1+'Read Me'!$B$12),-1)</f>
        <v/>
      </c>
      <c r="W1293" s="16">
        <f>V1293*N1293*O1293</f>
        <v/>
      </c>
      <c r="X1293" s="12">
        <f>IF(LEFT(I1293,2)="MV",2*N1293*IF(L1293="1/C",O1293,1),0)</f>
        <v/>
      </c>
      <c r="Y1293" s="12">
        <f>IF(OR(LEFT(K1293,4)="LVAX",LEFT(K1293,6)="MV15AX",LEFT(K1293,4)="CTAX",LEFT(K1293,2)="W|"),2*N1293*O1293,0)</f>
        <v/>
      </c>
      <c r="Z1293" s="12" t="inlineStr"/>
      <c r="AA1293" s="12">
        <f>N1293*O1293</f>
        <v/>
      </c>
    </row>
    <row r="1294">
      <c r="A1294" s="12" t="inlineStr">
        <is>
          <t>A-I-0572</t>
        </is>
      </c>
      <c r="B1294" s="12" t="inlineStr">
        <is>
          <t>A</t>
        </is>
      </c>
      <c r="C1294" s="12" t="inlineStr">
        <is>
          <t>Power block</t>
        </is>
      </c>
      <c r="D1294" s="12" t="inlineStr">
        <is>
          <t>Thermocouple to TC JB JB-ST-TC01: 20 x 1 pr (field cables)</t>
        </is>
      </c>
      <c r="E1294" s="12" t="inlineStr">
        <is>
          <t>ST</t>
        </is>
      </c>
      <c r="F1294" s="12" t="inlineStr">
        <is>
          <t>ST: steam turbine (HP/IP + LP), ACC plant</t>
        </is>
      </c>
      <c r="G1294" s="12" t="inlineStr">
        <is>
          <t>JB-ST-TC01</t>
        </is>
      </c>
      <c r="H1294" s="12" t="inlineStr">
        <is>
          <t>ST: steam turbine (HP/IP + LP), ACC plant</t>
        </is>
      </c>
      <c r="I1294" s="12" t="inlineStr">
        <is>
          <t>Instrumentation</t>
        </is>
      </c>
      <c r="J1294" s="12" t="inlineStr">
        <is>
          <t>Thermocouple extension KX, #16 shielded pairs, PLTC</t>
        </is>
      </c>
      <c r="K1294" s="12" t="inlineStr">
        <is>
          <t>TCX|1 pr|16</t>
        </is>
      </c>
      <c r="L1294" s="12" t="inlineStr">
        <is>
          <t>1 pr</t>
        </is>
      </c>
      <c r="M1294" s="12" t="inlineStr">
        <is>
          <t>16</t>
        </is>
      </c>
      <c r="N1294" s="12" t="n">
        <v>20</v>
      </c>
      <c r="O1294" s="12" t="n">
        <v>1</v>
      </c>
      <c r="P1294" s="12" t="n"/>
      <c r="Q1294" s="12" t="n"/>
      <c r="R1294" s="12" t="n"/>
      <c r="S1294" s="12" t="inlineStr">
        <is>
          <t>Tray / conduit</t>
        </is>
      </c>
      <c r="T1294" s="16" t="n">
        <v>119</v>
      </c>
      <c r="U1294" s="16" t="n">
        <v>10</v>
      </c>
      <c r="V1294" s="16">
        <f>ROUNDUP((T1294+U1294+2*'Read Me'!$B$13)*(1+'Read Me'!$B$12),-1)</f>
        <v/>
      </c>
      <c r="W1294" s="16">
        <f>V1294*N1294*O1294</f>
        <v/>
      </c>
      <c r="X1294" s="12">
        <f>IF(LEFT(I1294,2)="MV",2*N1294*IF(L1294="1/C",O1294,1),0)</f>
        <v/>
      </c>
      <c r="Y1294" s="12">
        <f>IF(OR(LEFT(K1294,4)="LVAX",LEFT(K1294,6)="MV15AX",LEFT(K1294,4)="CTAX",LEFT(K1294,2)="W|"),2*N1294*O1294,0)</f>
        <v/>
      </c>
      <c r="Z1294" s="12" t="inlineStr">
        <is>
          <t>device-to-JB field wiring, one cable per device</t>
        </is>
      </c>
      <c r="AA1294" s="12">
        <f>N1294*O1294</f>
        <v/>
      </c>
    </row>
    <row r="1295">
      <c r="A1295" s="12" t="inlineStr">
        <is>
          <t>A-I-0573</t>
        </is>
      </c>
      <c r="B1295" s="12" t="inlineStr">
        <is>
          <t>A</t>
        </is>
      </c>
      <c r="C1295" s="12" t="inlineStr">
        <is>
          <t>Power block</t>
        </is>
      </c>
      <c r="D1295" s="12" t="inlineStr">
        <is>
          <t>Home run JB-ST-TC01 to the control / marshalling room</t>
        </is>
      </c>
      <c r="E1295" s="12" t="inlineStr">
        <is>
          <t>R3</t>
        </is>
      </c>
      <c r="F1295" s="12" t="inlineStr">
        <is>
          <t>R3: ST auxiliary electrical e-house (40 x 65 ft)</t>
        </is>
      </c>
      <c r="G1295" s="12" t="inlineStr">
        <is>
          <t>JB-ST-TC01</t>
        </is>
      </c>
      <c r="H1295" s="12" t="inlineStr">
        <is>
          <t>ST: steam turbine (HP/IP + LP), ACC plant</t>
        </is>
      </c>
      <c r="I1295" s="12" t="inlineStr">
        <is>
          <t>Instrumentation</t>
        </is>
      </c>
      <c r="J1295" s="12" t="inlineStr">
        <is>
          <t>Thermocouple extension KX, #16 shielded pairs, PLTC</t>
        </is>
      </c>
      <c r="K1295" s="12" t="inlineStr">
        <is>
          <t>TCX|24 pr|16</t>
        </is>
      </c>
      <c r="L1295" s="12" t="inlineStr">
        <is>
          <t>24 pr</t>
        </is>
      </c>
      <c r="M1295" s="12" t="inlineStr">
        <is>
          <t>16</t>
        </is>
      </c>
      <c r="N1295" s="12" t="n">
        <v>1</v>
      </c>
      <c r="O1295" s="12" t="n">
        <v>1</v>
      </c>
      <c r="P1295" s="12" t="n"/>
      <c r="Q1295" s="12" t="n"/>
      <c r="R1295" s="12" t="n"/>
      <c r="S1295" s="12" t="inlineStr">
        <is>
          <t>Duct bank</t>
        </is>
      </c>
      <c r="T1295" s="16" t="n">
        <v>12</v>
      </c>
      <c r="U1295" s="16" t="n">
        <v>50</v>
      </c>
      <c r="V1295" s="16">
        <f>ROUNDUP((T1295+U1295+2*'Read Me'!$B$13)*(1+'Read Me'!$B$12),-1)</f>
        <v/>
      </c>
      <c r="W1295" s="16">
        <f>V1295*N1295*O1295</f>
        <v/>
      </c>
      <c r="X1295" s="12">
        <f>IF(LEFT(I1295,2)="MV",2*N1295*IF(L1295="1/C",O1295,1),0)</f>
        <v/>
      </c>
      <c r="Y1295" s="12">
        <f>IF(OR(LEFT(K1295,4)="LVAX",LEFT(K1295,6)="MV15AX",LEFT(K1295,4)="CTAX",LEFT(K1295,2)="W|"),2*N1295*O1295,0)</f>
        <v/>
      </c>
      <c r="Z1295" s="12" t="inlineStr"/>
      <c r="AA1295" s="12">
        <f>N1295*O1295</f>
        <v/>
      </c>
    </row>
    <row r="1296">
      <c r="A1296" s="12" t="inlineStr">
        <is>
          <t>A-I-0574</t>
        </is>
      </c>
      <c r="B1296" s="12" t="inlineStr">
        <is>
          <t>A</t>
        </is>
      </c>
      <c r="C1296" s="12" t="inlineStr">
        <is>
          <t>Power block</t>
        </is>
      </c>
      <c r="D1296" s="12" t="inlineStr">
        <is>
          <t>Thermocouple to TC JB JB-ST-TC02: 20 x 1 pr (field cables)</t>
        </is>
      </c>
      <c r="E1296" s="12" t="inlineStr">
        <is>
          <t>ST</t>
        </is>
      </c>
      <c r="F1296" s="12" t="inlineStr">
        <is>
          <t>ST: steam turbine (HP/IP + LP), ACC plant</t>
        </is>
      </c>
      <c r="G1296" s="12" t="inlineStr">
        <is>
          <t>JB-ST-TC02</t>
        </is>
      </c>
      <c r="H1296" s="12" t="inlineStr">
        <is>
          <t>ST: steam turbine (HP/IP + LP), ACC plant</t>
        </is>
      </c>
      <c r="I1296" s="12" t="inlineStr">
        <is>
          <t>Instrumentation</t>
        </is>
      </c>
      <c r="J1296" s="12" t="inlineStr">
        <is>
          <t>Thermocouple extension KX, #16 shielded pairs, PLTC</t>
        </is>
      </c>
      <c r="K1296" s="12" t="inlineStr">
        <is>
          <t>TCX|1 pr|16</t>
        </is>
      </c>
      <c r="L1296" s="12" t="inlineStr">
        <is>
          <t>1 pr</t>
        </is>
      </c>
      <c r="M1296" s="12" t="inlineStr">
        <is>
          <t>16</t>
        </is>
      </c>
      <c r="N1296" s="12" t="n">
        <v>20</v>
      </c>
      <c r="O1296" s="12" t="n">
        <v>1</v>
      </c>
      <c r="P1296" s="12" t="n"/>
      <c r="Q1296" s="12" t="n"/>
      <c r="R1296" s="12" t="n"/>
      <c r="S1296" s="12" t="inlineStr">
        <is>
          <t>Tray / conduit</t>
        </is>
      </c>
      <c r="T1296" s="16" t="n">
        <v>119</v>
      </c>
      <c r="U1296" s="16" t="n">
        <v>10</v>
      </c>
      <c r="V1296" s="16">
        <f>ROUNDUP((T1296+U1296+2*'Read Me'!$B$13)*(1+'Read Me'!$B$12),-1)</f>
        <v/>
      </c>
      <c r="W1296" s="16">
        <f>V1296*N1296*O1296</f>
        <v/>
      </c>
      <c r="X1296" s="12">
        <f>IF(LEFT(I1296,2)="MV",2*N1296*IF(L1296="1/C",O1296,1),0)</f>
        <v/>
      </c>
      <c r="Y1296" s="12">
        <f>IF(OR(LEFT(K1296,4)="LVAX",LEFT(K1296,6)="MV15AX",LEFT(K1296,4)="CTAX",LEFT(K1296,2)="W|"),2*N1296*O1296,0)</f>
        <v/>
      </c>
      <c r="Z1296" s="12" t="inlineStr">
        <is>
          <t>device-to-JB field wiring, one cable per device</t>
        </is>
      </c>
      <c r="AA1296" s="12">
        <f>N1296*O1296</f>
        <v/>
      </c>
    </row>
    <row r="1297">
      <c r="A1297" s="12" t="inlineStr">
        <is>
          <t>A-I-0575</t>
        </is>
      </c>
      <c r="B1297" s="12" t="inlineStr">
        <is>
          <t>A</t>
        </is>
      </c>
      <c r="C1297" s="12" t="inlineStr">
        <is>
          <t>Power block</t>
        </is>
      </c>
      <c r="D1297" s="12" t="inlineStr">
        <is>
          <t>Home run JB-ST-TC02 to the control / marshalling room</t>
        </is>
      </c>
      <c r="E1297" s="12" t="inlineStr">
        <is>
          <t>R3</t>
        </is>
      </c>
      <c r="F1297" s="12" t="inlineStr">
        <is>
          <t>R3: ST auxiliary electrical e-house (40 x 65 ft)</t>
        </is>
      </c>
      <c r="G1297" s="12" t="inlineStr">
        <is>
          <t>JB-ST-TC02</t>
        </is>
      </c>
      <c r="H1297" s="12" t="inlineStr">
        <is>
          <t>ST: steam turbine (HP/IP + LP), ACC plant</t>
        </is>
      </c>
      <c r="I1297" s="12" t="inlineStr">
        <is>
          <t>Instrumentation</t>
        </is>
      </c>
      <c r="J1297" s="12" t="inlineStr">
        <is>
          <t>Thermocouple extension KX, #16 shielded pairs, PLTC</t>
        </is>
      </c>
      <c r="K1297" s="12" t="inlineStr">
        <is>
          <t>TCX|24 pr|16</t>
        </is>
      </c>
      <c r="L1297" s="12" t="inlineStr">
        <is>
          <t>24 pr</t>
        </is>
      </c>
      <c r="M1297" s="12" t="inlineStr">
        <is>
          <t>16</t>
        </is>
      </c>
      <c r="N1297" s="12" t="n">
        <v>1</v>
      </c>
      <c r="O1297" s="12" t="n">
        <v>1</v>
      </c>
      <c r="P1297" s="12" t="n"/>
      <c r="Q1297" s="12" t="n"/>
      <c r="R1297" s="12" t="n"/>
      <c r="S1297" s="12" t="inlineStr">
        <is>
          <t>Duct bank</t>
        </is>
      </c>
      <c r="T1297" s="16" t="n">
        <v>12</v>
      </c>
      <c r="U1297" s="16" t="n">
        <v>50</v>
      </c>
      <c r="V1297" s="16">
        <f>ROUNDUP((T1297+U1297+2*'Read Me'!$B$13)*(1+'Read Me'!$B$12),-1)</f>
        <v/>
      </c>
      <c r="W1297" s="16">
        <f>V1297*N1297*O1297</f>
        <v/>
      </c>
      <c r="X1297" s="12">
        <f>IF(LEFT(I1297,2)="MV",2*N1297*IF(L1297="1/C",O1297,1),0)</f>
        <v/>
      </c>
      <c r="Y1297" s="12">
        <f>IF(OR(LEFT(K1297,4)="LVAX",LEFT(K1297,6)="MV15AX",LEFT(K1297,4)="CTAX",LEFT(K1297,2)="W|"),2*N1297*O1297,0)</f>
        <v/>
      </c>
      <c r="Z1297" s="12" t="inlineStr"/>
      <c r="AA1297" s="12">
        <f>N1297*O1297</f>
        <v/>
      </c>
    </row>
    <row r="1298">
      <c r="A1298" s="12" t="inlineStr">
        <is>
          <t>A-I-0576</t>
        </is>
      </c>
      <c r="B1298" s="12" t="inlineStr">
        <is>
          <t>A</t>
        </is>
      </c>
      <c r="C1298" s="12" t="inlineStr">
        <is>
          <t>Power block</t>
        </is>
      </c>
      <c r="D1298" s="12" t="inlineStr">
        <is>
          <t>Vibration monitoring</t>
        </is>
      </c>
      <c r="E1298" s="12" t="inlineStr">
        <is>
          <t>R3</t>
        </is>
      </c>
      <c r="F1298" s="12" t="inlineStr">
        <is>
          <t>R3: ST auxiliary electrical e-house (40 x 65 ft)</t>
        </is>
      </c>
      <c r="G1298" s="12" t="inlineStr">
        <is>
          <t>ST</t>
        </is>
      </c>
      <c r="H1298" s="12" t="inlineStr">
        <is>
          <t>ST: steam turbine (HP/IP + LP), ACC plant</t>
        </is>
      </c>
      <c r="I1298" s="12" t="inlineStr">
        <is>
          <t>Instrumentation</t>
        </is>
      </c>
      <c r="J1298" s="12" t="inlineStr">
        <is>
          <t>Instrumentation PLTC / TC-ER 300 V, #18 twisted shielded pairs, overall shield</t>
        </is>
      </c>
      <c r="K1298" s="12" t="inlineStr">
        <is>
          <t>PLTC|4 pr|18</t>
        </is>
      </c>
      <c r="L1298" s="12" t="inlineStr">
        <is>
          <t>4 pr</t>
        </is>
      </c>
      <c r="M1298" s="12" t="inlineStr">
        <is>
          <t>18</t>
        </is>
      </c>
      <c r="N1298" s="12" t="n">
        <v>1</v>
      </c>
      <c r="O1298" s="12" t="n">
        <v>1</v>
      </c>
      <c r="P1298" s="12" t="n"/>
      <c r="Q1298" s="12" t="n"/>
      <c r="R1298" s="12" t="n"/>
      <c r="S1298" s="12" t="inlineStr">
        <is>
          <t>Duct bank</t>
        </is>
      </c>
      <c r="T1298" s="16" t="n">
        <v>12</v>
      </c>
      <c r="U1298" s="16" t="n">
        <v>50</v>
      </c>
      <c r="V1298" s="16">
        <f>ROUNDUP((T1298+U1298+2*'Read Me'!$B$13)*(1+'Read Me'!$B$12),-1)</f>
        <v/>
      </c>
      <c r="W1298" s="16">
        <f>V1298*N1298*O1298</f>
        <v/>
      </c>
      <c r="X1298" s="12">
        <f>IF(LEFT(I1298,2)="MV",2*N1298*IF(L1298="1/C",O1298,1),0)</f>
        <v/>
      </c>
      <c r="Y1298" s="12">
        <f>IF(OR(LEFT(K1298,4)="LVAX",LEFT(K1298,6)="MV15AX",LEFT(K1298,4)="CTAX",LEFT(K1298,2)="W|"),2*N1298*O1298,0)</f>
        <v/>
      </c>
      <c r="Z1298" s="12" t="inlineStr"/>
      <c r="AA1298" s="12">
        <f>N1298*O1298</f>
        <v/>
      </c>
    </row>
    <row r="1299">
      <c r="A1299" s="12" t="inlineStr">
        <is>
          <t>A-I-0577</t>
        </is>
      </c>
      <c r="B1299" s="12" t="inlineStr">
        <is>
          <t>A</t>
        </is>
      </c>
      <c r="C1299" s="12" t="inlineStr">
        <is>
          <t>Power block</t>
        </is>
      </c>
      <c r="D1299" s="12" t="inlineStr">
        <is>
          <t>Analog instrument to JB JB-STG-AI01: 20 x 1 pr (field cables)</t>
        </is>
      </c>
      <c r="E1299" s="12" t="inlineStr">
        <is>
          <t>STG</t>
        </is>
      </c>
      <c r="F1299" s="12" t="inlineStr">
        <is>
          <t>STG: steam-turbine generator</t>
        </is>
      </c>
      <c r="G1299" s="12" t="inlineStr">
        <is>
          <t>JB-STG-AI01</t>
        </is>
      </c>
      <c r="H1299" s="12" t="inlineStr">
        <is>
          <t>STG: steam-turbine generator</t>
        </is>
      </c>
      <c r="I1299" s="12" t="inlineStr">
        <is>
          <t>Instrumentation</t>
        </is>
      </c>
      <c r="J1299" s="12" t="inlineStr">
        <is>
          <t>Instrumentation PLTC / TC-ER 300 V, #18 twisted shielded pairs, overall shield</t>
        </is>
      </c>
      <c r="K1299" s="12" t="inlineStr">
        <is>
          <t>PLTC|1 pr|16</t>
        </is>
      </c>
      <c r="L1299" s="12" t="inlineStr">
        <is>
          <t>1 pr</t>
        </is>
      </c>
      <c r="M1299" s="12" t="inlineStr">
        <is>
          <t>16</t>
        </is>
      </c>
      <c r="N1299" s="12" t="n">
        <v>20</v>
      </c>
      <c r="O1299" s="12" t="n">
        <v>1</v>
      </c>
      <c r="P1299" s="12" t="n"/>
      <c r="Q1299" s="12" t="n"/>
      <c r="R1299" s="12" t="n"/>
      <c r="S1299" s="12" t="inlineStr">
        <is>
          <t>Tray / conduit</t>
        </is>
      </c>
      <c r="T1299" s="16" t="n">
        <v>74</v>
      </c>
      <c r="U1299" s="16" t="n">
        <v>10</v>
      </c>
      <c r="V1299" s="16">
        <f>ROUNDUP((T1299+U1299+2*'Read Me'!$B$13)*(1+'Read Me'!$B$12),-1)</f>
        <v/>
      </c>
      <c r="W1299" s="16">
        <f>V1299*N1299*O1299</f>
        <v/>
      </c>
      <c r="X1299" s="12">
        <f>IF(LEFT(I1299,2)="MV",2*N1299*IF(L1299="1/C",O1299,1),0)</f>
        <v/>
      </c>
      <c r="Y1299" s="12">
        <f>IF(OR(LEFT(K1299,4)="LVAX",LEFT(K1299,6)="MV15AX",LEFT(K1299,4)="CTAX",LEFT(K1299,2)="W|"),2*N1299*O1299,0)</f>
        <v/>
      </c>
      <c r="Z1299" s="12" t="inlineStr">
        <is>
          <t>device-to-JB field wiring, one cable per device</t>
        </is>
      </c>
      <c r="AA1299" s="12">
        <f>N1299*O1299</f>
        <v/>
      </c>
    </row>
    <row r="1300">
      <c r="A1300" s="12" t="inlineStr">
        <is>
          <t>A-I-0578</t>
        </is>
      </c>
      <c r="B1300" s="12" t="inlineStr">
        <is>
          <t>A</t>
        </is>
      </c>
      <c r="C1300" s="12" t="inlineStr">
        <is>
          <t>Power block</t>
        </is>
      </c>
      <c r="D1300" s="12" t="inlineStr">
        <is>
          <t>Home run JB-STG-AI01 to the control / marshalling room</t>
        </is>
      </c>
      <c r="E1300" s="12" t="inlineStr">
        <is>
          <t>R3</t>
        </is>
      </c>
      <c r="F1300" s="12" t="inlineStr">
        <is>
          <t>R3: ST auxiliary electrical e-house (40 x 65 ft)</t>
        </is>
      </c>
      <c r="G1300" s="12" t="inlineStr">
        <is>
          <t>JB-STG-AI01</t>
        </is>
      </c>
      <c r="H1300" s="12" t="inlineStr">
        <is>
          <t>STG: steam-turbine generator</t>
        </is>
      </c>
      <c r="I1300" s="12" t="inlineStr">
        <is>
          <t>Instrumentation</t>
        </is>
      </c>
      <c r="J1300" s="12" t="inlineStr">
        <is>
          <t>Instrumentation PLTC / TC-ER 300 V, #18 twisted shielded pairs, overall shield</t>
        </is>
      </c>
      <c r="K1300" s="12" t="inlineStr">
        <is>
          <t>PLTC|24 pr|18</t>
        </is>
      </c>
      <c r="L1300" s="12" t="inlineStr">
        <is>
          <t>24 pr</t>
        </is>
      </c>
      <c r="M1300" s="12" t="inlineStr">
        <is>
          <t>18</t>
        </is>
      </c>
      <c r="N1300" s="12" t="n">
        <v>1</v>
      </c>
      <c r="O1300" s="12" t="n">
        <v>1</v>
      </c>
      <c r="P1300" s="12" t="n"/>
      <c r="Q1300" s="12" t="n"/>
      <c r="R1300" s="12" t="n"/>
      <c r="S1300" s="12" t="inlineStr">
        <is>
          <t>Duct bank</t>
        </is>
      </c>
      <c r="T1300" s="16" t="n">
        <v>517</v>
      </c>
      <c r="U1300" s="16" t="n">
        <v>35</v>
      </c>
      <c r="V1300" s="16">
        <f>ROUNDUP((T1300+U1300+2*'Read Me'!$B$13)*(1+'Read Me'!$B$12),-1)</f>
        <v/>
      </c>
      <c r="W1300" s="16">
        <f>V1300*N1300*O1300</f>
        <v/>
      </c>
      <c r="X1300" s="12">
        <f>IF(LEFT(I1300,2)="MV",2*N1300*IF(L1300="1/C",O1300,1),0)</f>
        <v/>
      </c>
      <c r="Y1300" s="12">
        <f>IF(OR(LEFT(K1300,4)="LVAX",LEFT(K1300,6)="MV15AX",LEFT(K1300,4)="CTAX",LEFT(K1300,2)="W|"),2*N1300*O1300,0)</f>
        <v/>
      </c>
      <c r="Z1300" s="12" t="inlineStr"/>
      <c r="AA1300" s="12">
        <f>N1300*O1300</f>
        <v/>
      </c>
    </row>
    <row r="1301">
      <c r="A1301" s="12" t="inlineStr">
        <is>
          <t>A-I-0579</t>
        </is>
      </c>
      <c r="B1301" s="12" t="inlineStr">
        <is>
          <t>A</t>
        </is>
      </c>
      <c r="C1301" s="12" t="inlineStr">
        <is>
          <t>Power block</t>
        </is>
      </c>
      <c r="D1301" s="12" t="inlineStr">
        <is>
          <t>Discrete device to JB JB-STG-DI01: 20 x 1 pr (field cables)</t>
        </is>
      </c>
      <c r="E1301" s="12" t="inlineStr">
        <is>
          <t>STG</t>
        </is>
      </c>
      <c r="F1301" s="12" t="inlineStr">
        <is>
          <t>STG: steam-turbine generator</t>
        </is>
      </c>
      <c r="G1301" s="12" t="inlineStr">
        <is>
          <t>JB-STG-DI01</t>
        </is>
      </c>
      <c r="H1301" s="12" t="inlineStr">
        <is>
          <t>STG: steam-turbine generator</t>
        </is>
      </c>
      <c r="I1301" s="12" t="inlineStr">
        <is>
          <t>Instrumentation</t>
        </is>
      </c>
      <c r="J1301" s="12" t="inlineStr">
        <is>
          <t>Instrumentation PLTC / TC-ER 300 V, #18 twisted shielded pairs, overall shield</t>
        </is>
      </c>
      <c r="K1301" s="12" t="inlineStr">
        <is>
          <t>PLTC|1 pr|16</t>
        </is>
      </c>
      <c r="L1301" s="12" t="inlineStr">
        <is>
          <t>1 pr</t>
        </is>
      </c>
      <c r="M1301" s="12" t="inlineStr">
        <is>
          <t>16</t>
        </is>
      </c>
      <c r="N1301" s="12" t="n">
        <v>20</v>
      </c>
      <c r="O1301" s="12" t="n">
        <v>1</v>
      </c>
      <c r="P1301" s="12" t="n"/>
      <c r="Q1301" s="12" t="n"/>
      <c r="R1301" s="12" t="n"/>
      <c r="S1301" s="12" t="inlineStr">
        <is>
          <t>Tray / conduit</t>
        </is>
      </c>
      <c r="T1301" s="16" t="n">
        <v>74</v>
      </c>
      <c r="U1301" s="16" t="n">
        <v>10</v>
      </c>
      <c r="V1301" s="16">
        <f>ROUNDUP((T1301+U1301+2*'Read Me'!$B$13)*(1+'Read Me'!$B$12),-1)</f>
        <v/>
      </c>
      <c r="W1301" s="16">
        <f>V1301*N1301*O1301</f>
        <v/>
      </c>
      <c r="X1301" s="12">
        <f>IF(LEFT(I1301,2)="MV",2*N1301*IF(L1301="1/C",O1301,1),0)</f>
        <v/>
      </c>
      <c r="Y1301" s="12">
        <f>IF(OR(LEFT(K1301,4)="LVAX",LEFT(K1301,6)="MV15AX",LEFT(K1301,4)="CTAX",LEFT(K1301,2)="W|"),2*N1301*O1301,0)</f>
        <v/>
      </c>
      <c r="Z1301" s="12" t="inlineStr">
        <is>
          <t>device-to-JB field wiring, one cable per device</t>
        </is>
      </c>
      <c r="AA1301" s="12">
        <f>N1301*O1301</f>
        <v/>
      </c>
    </row>
    <row r="1302">
      <c r="A1302" s="12" t="inlineStr">
        <is>
          <t>A-I-0580</t>
        </is>
      </c>
      <c r="B1302" s="12" t="inlineStr">
        <is>
          <t>A</t>
        </is>
      </c>
      <c r="C1302" s="12" t="inlineStr">
        <is>
          <t>Power block</t>
        </is>
      </c>
      <c r="D1302" s="12" t="inlineStr">
        <is>
          <t>Home run JB-STG-DI01 to the control / marshalling room</t>
        </is>
      </c>
      <c r="E1302" s="12" t="inlineStr">
        <is>
          <t>R3</t>
        </is>
      </c>
      <c r="F1302" s="12" t="inlineStr">
        <is>
          <t>R3: ST auxiliary electrical e-house (40 x 65 ft)</t>
        </is>
      </c>
      <c r="G1302" s="12" t="inlineStr">
        <is>
          <t>JB-STG-DI01</t>
        </is>
      </c>
      <c r="H1302" s="12" t="inlineStr">
        <is>
          <t>STG: steam-turbine generator</t>
        </is>
      </c>
      <c r="I1302" s="12" t="inlineStr">
        <is>
          <t>Instrumentation</t>
        </is>
      </c>
      <c r="J1302" s="12" t="inlineStr">
        <is>
          <t>Instrumentation PLTC / TC-ER 300 V, #18 twisted shielded pairs, overall shield</t>
        </is>
      </c>
      <c r="K1302" s="12" t="inlineStr">
        <is>
          <t>PLTC|24 pr|18</t>
        </is>
      </c>
      <c r="L1302" s="12" t="inlineStr">
        <is>
          <t>24 pr</t>
        </is>
      </c>
      <c r="M1302" s="12" t="inlineStr">
        <is>
          <t>18</t>
        </is>
      </c>
      <c r="N1302" s="12" t="n">
        <v>1</v>
      </c>
      <c r="O1302" s="12" t="n">
        <v>1</v>
      </c>
      <c r="P1302" s="12" t="n"/>
      <c r="Q1302" s="12" t="n"/>
      <c r="R1302" s="12" t="n"/>
      <c r="S1302" s="12" t="inlineStr">
        <is>
          <t>Duct bank</t>
        </is>
      </c>
      <c r="T1302" s="16" t="n">
        <v>517</v>
      </c>
      <c r="U1302" s="16" t="n">
        <v>35</v>
      </c>
      <c r="V1302" s="16">
        <f>ROUNDUP((T1302+U1302+2*'Read Me'!$B$13)*(1+'Read Me'!$B$12),-1)</f>
        <v/>
      </c>
      <c r="W1302" s="16">
        <f>V1302*N1302*O1302</f>
        <v/>
      </c>
      <c r="X1302" s="12">
        <f>IF(LEFT(I1302,2)="MV",2*N1302*IF(L1302="1/C",O1302,1),0)</f>
        <v/>
      </c>
      <c r="Y1302" s="12">
        <f>IF(OR(LEFT(K1302,4)="LVAX",LEFT(K1302,6)="MV15AX",LEFT(K1302,4)="CTAX",LEFT(K1302,2)="W|"),2*N1302*O1302,0)</f>
        <v/>
      </c>
      <c r="Z1302" s="12" t="inlineStr"/>
      <c r="AA1302" s="12">
        <f>N1302*O1302</f>
        <v/>
      </c>
    </row>
    <row r="1303">
      <c r="A1303" s="12" t="inlineStr">
        <is>
          <t>A-I-0581</t>
        </is>
      </c>
      <c r="B1303" s="12" t="inlineStr">
        <is>
          <t>A</t>
        </is>
      </c>
      <c r="C1303" s="12" t="inlineStr">
        <is>
          <t>Power block</t>
        </is>
      </c>
      <c r="D1303" s="12" t="inlineStr">
        <is>
          <t>RTD to JB JB-STG-RTD01: 10 x 1 tri (field cables)</t>
        </is>
      </c>
      <c r="E1303" s="12" t="inlineStr">
        <is>
          <t>STG</t>
        </is>
      </c>
      <c r="F1303" s="12" t="inlineStr">
        <is>
          <t>STG: steam-turbine generator</t>
        </is>
      </c>
      <c r="G1303" s="12" t="inlineStr">
        <is>
          <t>JB-STG-RTD01</t>
        </is>
      </c>
      <c r="H1303" s="12" t="inlineStr">
        <is>
          <t>STG: steam-turbine generator</t>
        </is>
      </c>
      <c r="I1303" s="12" t="inlineStr">
        <is>
          <t>Instrumentation</t>
        </is>
      </c>
      <c r="J1303" s="12" t="inlineStr">
        <is>
          <t>RTD cable, #18 shielded triads, PLTC</t>
        </is>
      </c>
      <c r="K1303" s="12" t="inlineStr">
        <is>
          <t>RTD|1 tri|18</t>
        </is>
      </c>
      <c r="L1303" s="12" t="inlineStr">
        <is>
          <t>1 tri</t>
        </is>
      </c>
      <c r="M1303" s="12" t="inlineStr">
        <is>
          <t>18</t>
        </is>
      </c>
      <c r="N1303" s="12" t="n">
        <v>10</v>
      </c>
      <c r="O1303" s="12" t="n">
        <v>1</v>
      </c>
      <c r="P1303" s="12" t="n"/>
      <c r="Q1303" s="12" t="n"/>
      <c r="R1303" s="12" t="n"/>
      <c r="S1303" s="12" t="inlineStr">
        <is>
          <t>Tray / conduit</t>
        </is>
      </c>
      <c r="T1303" s="16" t="n">
        <v>74</v>
      </c>
      <c r="U1303" s="16" t="n">
        <v>10</v>
      </c>
      <c r="V1303" s="16">
        <f>ROUNDUP((T1303+U1303+2*'Read Me'!$B$13)*(1+'Read Me'!$B$12),-1)</f>
        <v/>
      </c>
      <c r="W1303" s="16">
        <f>V1303*N1303*O1303</f>
        <v/>
      </c>
      <c r="X1303" s="12">
        <f>IF(LEFT(I1303,2)="MV",2*N1303*IF(L1303="1/C",O1303,1),0)</f>
        <v/>
      </c>
      <c r="Y1303" s="12">
        <f>IF(OR(LEFT(K1303,4)="LVAX",LEFT(K1303,6)="MV15AX",LEFT(K1303,4)="CTAX",LEFT(K1303,2)="W|"),2*N1303*O1303,0)</f>
        <v/>
      </c>
      <c r="Z1303" s="12" t="inlineStr">
        <is>
          <t>device-to-JB field wiring, one cable per device</t>
        </is>
      </c>
      <c r="AA1303" s="12">
        <f>N1303*O1303</f>
        <v/>
      </c>
    </row>
    <row r="1304">
      <c r="A1304" s="12" t="inlineStr">
        <is>
          <t>A-I-0582</t>
        </is>
      </c>
      <c r="B1304" s="12" t="inlineStr">
        <is>
          <t>A</t>
        </is>
      </c>
      <c r="C1304" s="12" t="inlineStr">
        <is>
          <t>Power block</t>
        </is>
      </c>
      <c r="D1304" s="12" t="inlineStr">
        <is>
          <t>Home run JB-STG-RTD01 to the control / marshalling room</t>
        </is>
      </c>
      <c r="E1304" s="12" t="inlineStr">
        <is>
          <t>R3</t>
        </is>
      </c>
      <c r="F1304" s="12" t="inlineStr">
        <is>
          <t>R3: ST auxiliary electrical e-house (40 x 65 ft)</t>
        </is>
      </c>
      <c r="G1304" s="12" t="inlineStr">
        <is>
          <t>JB-STG-RTD01</t>
        </is>
      </c>
      <c r="H1304" s="12" t="inlineStr">
        <is>
          <t>STG: steam-turbine generator</t>
        </is>
      </c>
      <c r="I1304" s="12" t="inlineStr">
        <is>
          <t>Instrumentation</t>
        </is>
      </c>
      <c r="J1304" s="12" t="inlineStr">
        <is>
          <t>RTD cable, #18 shielded triads, PLTC</t>
        </is>
      </c>
      <c r="K1304" s="12" t="inlineStr">
        <is>
          <t>RTD|12 tri|18</t>
        </is>
      </c>
      <c r="L1304" s="12" t="inlineStr">
        <is>
          <t>12 tri</t>
        </is>
      </c>
      <c r="M1304" s="12" t="inlineStr">
        <is>
          <t>18</t>
        </is>
      </c>
      <c r="N1304" s="12" t="n">
        <v>1</v>
      </c>
      <c r="O1304" s="12" t="n">
        <v>1</v>
      </c>
      <c r="P1304" s="12" t="n"/>
      <c r="Q1304" s="12" t="n"/>
      <c r="R1304" s="12" t="n"/>
      <c r="S1304" s="12" t="inlineStr">
        <is>
          <t>Duct bank</t>
        </is>
      </c>
      <c r="T1304" s="16" t="n">
        <v>517</v>
      </c>
      <c r="U1304" s="16" t="n">
        <v>35</v>
      </c>
      <c r="V1304" s="16">
        <f>ROUNDUP((T1304+U1304+2*'Read Me'!$B$13)*(1+'Read Me'!$B$12),-1)</f>
        <v/>
      </c>
      <c r="W1304" s="16">
        <f>V1304*N1304*O1304</f>
        <v/>
      </c>
      <c r="X1304" s="12">
        <f>IF(LEFT(I1304,2)="MV",2*N1304*IF(L1304="1/C",O1304,1),0)</f>
        <v/>
      </c>
      <c r="Y1304" s="12">
        <f>IF(OR(LEFT(K1304,4)="LVAX",LEFT(K1304,6)="MV15AX",LEFT(K1304,4)="CTAX",LEFT(K1304,2)="W|"),2*N1304*O1304,0)</f>
        <v/>
      </c>
      <c r="Z1304" s="12" t="inlineStr"/>
      <c r="AA1304" s="12">
        <f>N1304*O1304</f>
        <v/>
      </c>
    </row>
    <row r="1305">
      <c r="A1305" s="12" t="inlineStr">
        <is>
          <t>A-I-0583</t>
        </is>
      </c>
      <c r="B1305" s="12" t="inlineStr">
        <is>
          <t>A</t>
        </is>
      </c>
      <c r="C1305" s="12" t="inlineStr">
        <is>
          <t>Power block</t>
        </is>
      </c>
      <c r="D1305" s="12" t="inlineStr">
        <is>
          <t>RTD to JB JB-STG-RTD02: 10 x 1 tri (field cables)</t>
        </is>
      </c>
      <c r="E1305" s="12" t="inlineStr">
        <is>
          <t>STG</t>
        </is>
      </c>
      <c r="F1305" s="12" t="inlineStr">
        <is>
          <t>STG: steam-turbine generator</t>
        </is>
      </c>
      <c r="G1305" s="12" t="inlineStr">
        <is>
          <t>JB-STG-RTD02</t>
        </is>
      </c>
      <c r="H1305" s="12" t="inlineStr">
        <is>
          <t>STG: steam-turbine generator</t>
        </is>
      </c>
      <c r="I1305" s="12" t="inlineStr">
        <is>
          <t>Instrumentation</t>
        </is>
      </c>
      <c r="J1305" s="12" t="inlineStr">
        <is>
          <t>RTD cable, #18 shielded triads, PLTC</t>
        </is>
      </c>
      <c r="K1305" s="12" t="inlineStr">
        <is>
          <t>RTD|1 tri|18</t>
        </is>
      </c>
      <c r="L1305" s="12" t="inlineStr">
        <is>
          <t>1 tri</t>
        </is>
      </c>
      <c r="M1305" s="12" t="inlineStr">
        <is>
          <t>18</t>
        </is>
      </c>
      <c r="N1305" s="12" t="n">
        <v>10</v>
      </c>
      <c r="O1305" s="12" t="n">
        <v>1</v>
      </c>
      <c r="P1305" s="12" t="n"/>
      <c r="Q1305" s="12" t="n"/>
      <c r="R1305" s="12" t="n"/>
      <c r="S1305" s="12" t="inlineStr">
        <is>
          <t>Tray / conduit</t>
        </is>
      </c>
      <c r="T1305" s="16" t="n">
        <v>74</v>
      </c>
      <c r="U1305" s="16" t="n">
        <v>10</v>
      </c>
      <c r="V1305" s="16">
        <f>ROUNDUP((T1305+U1305+2*'Read Me'!$B$13)*(1+'Read Me'!$B$12),-1)</f>
        <v/>
      </c>
      <c r="W1305" s="16">
        <f>V1305*N1305*O1305</f>
        <v/>
      </c>
      <c r="X1305" s="12">
        <f>IF(LEFT(I1305,2)="MV",2*N1305*IF(L1305="1/C",O1305,1),0)</f>
        <v/>
      </c>
      <c r="Y1305" s="12">
        <f>IF(OR(LEFT(K1305,4)="LVAX",LEFT(K1305,6)="MV15AX",LEFT(K1305,4)="CTAX",LEFT(K1305,2)="W|"),2*N1305*O1305,0)</f>
        <v/>
      </c>
      <c r="Z1305" s="12" t="inlineStr">
        <is>
          <t>device-to-JB field wiring, one cable per device</t>
        </is>
      </c>
      <c r="AA1305" s="12">
        <f>N1305*O1305</f>
        <v/>
      </c>
    </row>
    <row r="1306">
      <c r="A1306" s="12" t="inlineStr">
        <is>
          <t>A-I-0584</t>
        </is>
      </c>
      <c r="B1306" s="12" t="inlineStr">
        <is>
          <t>A</t>
        </is>
      </c>
      <c r="C1306" s="12" t="inlineStr">
        <is>
          <t>Power block</t>
        </is>
      </c>
      <c r="D1306" s="12" t="inlineStr">
        <is>
          <t>Home run JB-STG-RTD02 to the control / marshalling room</t>
        </is>
      </c>
      <c r="E1306" s="12" t="inlineStr">
        <is>
          <t>R3</t>
        </is>
      </c>
      <c r="F1306" s="12" t="inlineStr">
        <is>
          <t>R3: ST auxiliary electrical e-house (40 x 65 ft)</t>
        </is>
      </c>
      <c r="G1306" s="12" t="inlineStr">
        <is>
          <t>JB-STG-RTD02</t>
        </is>
      </c>
      <c r="H1306" s="12" t="inlineStr">
        <is>
          <t>STG: steam-turbine generator</t>
        </is>
      </c>
      <c r="I1306" s="12" t="inlineStr">
        <is>
          <t>Instrumentation</t>
        </is>
      </c>
      <c r="J1306" s="12" t="inlineStr">
        <is>
          <t>RTD cable, #18 shielded triads, PLTC</t>
        </is>
      </c>
      <c r="K1306" s="12" t="inlineStr">
        <is>
          <t>RTD|12 tri|18</t>
        </is>
      </c>
      <c r="L1306" s="12" t="inlineStr">
        <is>
          <t>12 tri</t>
        </is>
      </c>
      <c r="M1306" s="12" t="inlineStr">
        <is>
          <t>18</t>
        </is>
      </c>
      <c r="N1306" s="12" t="n">
        <v>1</v>
      </c>
      <c r="O1306" s="12" t="n">
        <v>1</v>
      </c>
      <c r="P1306" s="12" t="n"/>
      <c r="Q1306" s="12" t="n"/>
      <c r="R1306" s="12" t="n"/>
      <c r="S1306" s="12" t="inlineStr">
        <is>
          <t>Duct bank</t>
        </is>
      </c>
      <c r="T1306" s="16" t="n">
        <v>517</v>
      </c>
      <c r="U1306" s="16" t="n">
        <v>35</v>
      </c>
      <c r="V1306" s="16">
        <f>ROUNDUP((T1306+U1306+2*'Read Me'!$B$13)*(1+'Read Me'!$B$12),-1)</f>
        <v/>
      </c>
      <c r="W1306" s="16">
        <f>V1306*N1306*O1306</f>
        <v/>
      </c>
      <c r="X1306" s="12">
        <f>IF(LEFT(I1306,2)="MV",2*N1306*IF(L1306="1/C",O1306,1),0)</f>
        <v/>
      </c>
      <c r="Y1306" s="12">
        <f>IF(OR(LEFT(K1306,4)="LVAX",LEFT(K1306,6)="MV15AX",LEFT(K1306,4)="CTAX",LEFT(K1306,2)="W|"),2*N1306*O1306,0)</f>
        <v/>
      </c>
      <c r="Z1306" s="12" t="inlineStr"/>
      <c r="AA1306" s="12">
        <f>N1306*O1306</f>
        <v/>
      </c>
    </row>
    <row r="1307">
      <c r="A1307" s="12" t="inlineStr">
        <is>
          <t>A-I-0585</t>
        </is>
      </c>
      <c r="B1307" s="12" t="inlineStr">
        <is>
          <t>A</t>
        </is>
      </c>
      <c r="C1307" s="12" t="inlineStr">
        <is>
          <t>Power block</t>
        </is>
      </c>
      <c r="D1307" s="12" t="inlineStr">
        <is>
          <t>RTD to JB JB-STG-RTD03: 10 x 1 tri (field cables)</t>
        </is>
      </c>
      <c r="E1307" s="12" t="inlineStr">
        <is>
          <t>STG</t>
        </is>
      </c>
      <c r="F1307" s="12" t="inlineStr">
        <is>
          <t>STG: steam-turbine generator</t>
        </is>
      </c>
      <c r="G1307" s="12" t="inlineStr">
        <is>
          <t>JB-STG-RTD03</t>
        </is>
      </c>
      <c r="H1307" s="12" t="inlineStr">
        <is>
          <t>STG: steam-turbine generator</t>
        </is>
      </c>
      <c r="I1307" s="12" t="inlineStr">
        <is>
          <t>Instrumentation</t>
        </is>
      </c>
      <c r="J1307" s="12" t="inlineStr">
        <is>
          <t>RTD cable, #18 shielded triads, PLTC</t>
        </is>
      </c>
      <c r="K1307" s="12" t="inlineStr">
        <is>
          <t>RTD|1 tri|18</t>
        </is>
      </c>
      <c r="L1307" s="12" t="inlineStr">
        <is>
          <t>1 tri</t>
        </is>
      </c>
      <c r="M1307" s="12" t="inlineStr">
        <is>
          <t>18</t>
        </is>
      </c>
      <c r="N1307" s="12" t="n">
        <v>10</v>
      </c>
      <c r="O1307" s="12" t="n">
        <v>1</v>
      </c>
      <c r="P1307" s="12" t="n"/>
      <c r="Q1307" s="12" t="n"/>
      <c r="R1307" s="12" t="n"/>
      <c r="S1307" s="12" t="inlineStr">
        <is>
          <t>Tray / conduit</t>
        </is>
      </c>
      <c r="T1307" s="16" t="n">
        <v>74</v>
      </c>
      <c r="U1307" s="16" t="n">
        <v>10</v>
      </c>
      <c r="V1307" s="16">
        <f>ROUNDUP((T1307+U1307+2*'Read Me'!$B$13)*(1+'Read Me'!$B$12),-1)</f>
        <v/>
      </c>
      <c r="W1307" s="16">
        <f>V1307*N1307*O1307</f>
        <v/>
      </c>
      <c r="X1307" s="12">
        <f>IF(LEFT(I1307,2)="MV",2*N1307*IF(L1307="1/C",O1307,1),0)</f>
        <v/>
      </c>
      <c r="Y1307" s="12">
        <f>IF(OR(LEFT(K1307,4)="LVAX",LEFT(K1307,6)="MV15AX",LEFT(K1307,4)="CTAX",LEFT(K1307,2)="W|"),2*N1307*O1307,0)</f>
        <v/>
      </c>
      <c r="Z1307" s="12" t="inlineStr">
        <is>
          <t>device-to-JB field wiring, one cable per device</t>
        </is>
      </c>
      <c r="AA1307" s="12">
        <f>N1307*O1307</f>
        <v/>
      </c>
    </row>
    <row r="1308">
      <c r="A1308" s="12" t="inlineStr">
        <is>
          <t>A-I-0586</t>
        </is>
      </c>
      <c r="B1308" s="12" t="inlineStr">
        <is>
          <t>A</t>
        </is>
      </c>
      <c r="C1308" s="12" t="inlineStr">
        <is>
          <t>Power block</t>
        </is>
      </c>
      <c r="D1308" s="12" t="inlineStr">
        <is>
          <t>Home run JB-STG-RTD03 to the control / marshalling room</t>
        </is>
      </c>
      <c r="E1308" s="12" t="inlineStr">
        <is>
          <t>R3</t>
        </is>
      </c>
      <c r="F1308" s="12" t="inlineStr">
        <is>
          <t>R3: ST auxiliary electrical e-house (40 x 65 ft)</t>
        </is>
      </c>
      <c r="G1308" s="12" t="inlineStr">
        <is>
          <t>JB-STG-RTD03</t>
        </is>
      </c>
      <c r="H1308" s="12" t="inlineStr">
        <is>
          <t>STG: steam-turbine generator</t>
        </is>
      </c>
      <c r="I1308" s="12" t="inlineStr">
        <is>
          <t>Instrumentation</t>
        </is>
      </c>
      <c r="J1308" s="12" t="inlineStr">
        <is>
          <t>RTD cable, #18 shielded triads, PLTC</t>
        </is>
      </c>
      <c r="K1308" s="12" t="inlineStr">
        <is>
          <t>RTD|12 tri|18</t>
        </is>
      </c>
      <c r="L1308" s="12" t="inlineStr">
        <is>
          <t>12 tri</t>
        </is>
      </c>
      <c r="M1308" s="12" t="inlineStr">
        <is>
          <t>18</t>
        </is>
      </c>
      <c r="N1308" s="12" t="n">
        <v>1</v>
      </c>
      <c r="O1308" s="12" t="n">
        <v>1</v>
      </c>
      <c r="P1308" s="12" t="n"/>
      <c r="Q1308" s="12" t="n"/>
      <c r="R1308" s="12" t="n"/>
      <c r="S1308" s="12" t="inlineStr">
        <is>
          <t>Duct bank</t>
        </is>
      </c>
      <c r="T1308" s="16" t="n">
        <v>517</v>
      </c>
      <c r="U1308" s="16" t="n">
        <v>35</v>
      </c>
      <c r="V1308" s="16">
        <f>ROUNDUP((T1308+U1308+2*'Read Me'!$B$13)*(1+'Read Me'!$B$12),-1)</f>
        <v/>
      </c>
      <c r="W1308" s="16">
        <f>V1308*N1308*O1308</f>
        <v/>
      </c>
      <c r="X1308" s="12">
        <f>IF(LEFT(I1308,2)="MV",2*N1308*IF(L1308="1/C",O1308,1),0)</f>
        <v/>
      </c>
      <c r="Y1308" s="12">
        <f>IF(OR(LEFT(K1308,4)="LVAX",LEFT(K1308,6)="MV15AX",LEFT(K1308,4)="CTAX",LEFT(K1308,2)="W|"),2*N1308*O1308,0)</f>
        <v/>
      </c>
      <c r="Z1308" s="12" t="inlineStr"/>
      <c r="AA1308" s="12">
        <f>N1308*O1308</f>
        <v/>
      </c>
    </row>
    <row r="1309">
      <c r="A1309" s="12" t="inlineStr">
        <is>
          <t>A-I-0587</t>
        </is>
      </c>
      <c r="B1309" s="12" t="inlineStr">
        <is>
          <t>A</t>
        </is>
      </c>
      <c r="C1309" s="12" t="inlineStr">
        <is>
          <t>Power block</t>
        </is>
      </c>
      <c r="D1309" s="12" t="inlineStr">
        <is>
          <t>Vibration monitoring</t>
        </is>
      </c>
      <c r="E1309" s="12" t="inlineStr">
        <is>
          <t>R3</t>
        </is>
      </c>
      <c r="F1309" s="12" t="inlineStr">
        <is>
          <t>R3: ST auxiliary electrical e-house (40 x 65 ft)</t>
        </is>
      </c>
      <c r="G1309" s="12" t="inlineStr">
        <is>
          <t>STG</t>
        </is>
      </c>
      <c r="H1309" s="12" t="inlineStr">
        <is>
          <t>STG: steam-turbine generator</t>
        </is>
      </c>
      <c r="I1309" s="12" t="inlineStr">
        <is>
          <t>Instrumentation</t>
        </is>
      </c>
      <c r="J1309" s="12" t="inlineStr">
        <is>
          <t>Instrumentation PLTC / TC-ER 300 V, #18 twisted shielded pairs, overall shield</t>
        </is>
      </c>
      <c r="K1309" s="12" t="inlineStr">
        <is>
          <t>PLTC|4 pr|18</t>
        </is>
      </c>
      <c r="L1309" s="12" t="inlineStr">
        <is>
          <t>4 pr</t>
        </is>
      </c>
      <c r="M1309" s="12" t="inlineStr">
        <is>
          <t>18</t>
        </is>
      </c>
      <c r="N1309" s="12" t="n">
        <v>1</v>
      </c>
      <c r="O1309" s="12" t="n">
        <v>1</v>
      </c>
      <c r="P1309" s="12" t="n"/>
      <c r="Q1309" s="12" t="n"/>
      <c r="R1309" s="12" t="n"/>
      <c r="S1309" s="12" t="inlineStr">
        <is>
          <t>Duct bank</t>
        </is>
      </c>
      <c r="T1309" s="16" t="n">
        <v>517</v>
      </c>
      <c r="U1309" s="16" t="n">
        <v>35</v>
      </c>
      <c r="V1309" s="16">
        <f>ROUNDUP((T1309+U1309+2*'Read Me'!$B$13)*(1+'Read Me'!$B$12),-1)</f>
        <v/>
      </c>
      <c r="W1309" s="16">
        <f>V1309*N1309*O1309</f>
        <v/>
      </c>
      <c r="X1309" s="12">
        <f>IF(LEFT(I1309,2)="MV",2*N1309*IF(L1309="1/C",O1309,1),0)</f>
        <v/>
      </c>
      <c r="Y1309" s="12">
        <f>IF(OR(LEFT(K1309,4)="LVAX",LEFT(K1309,6)="MV15AX",LEFT(K1309,4)="CTAX",LEFT(K1309,2)="W|"),2*N1309*O1309,0)</f>
        <v/>
      </c>
      <c r="Z1309" s="12" t="inlineStr"/>
      <c r="AA1309" s="12">
        <f>N1309*O1309</f>
        <v/>
      </c>
    </row>
    <row r="1310">
      <c r="A1310" s="12" t="inlineStr">
        <is>
          <t>A-I-0588</t>
        </is>
      </c>
      <c r="B1310" s="12" t="inlineStr">
        <is>
          <t>A</t>
        </is>
      </c>
      <c r="C1310" s="12" t="inlineStr">
        <is>
          <t>Power block</t>
        </is>
      </c>
      <c r="D1310" s="12" t="inlineStr">
        <is>
          <t>Analog instrument to JB JB-SWAS-AI01: 20 x 1 pr (field cables)</t>
        </is>
      </c>
      <c r="E1310" s="12" t="inlineStr">
        <is>
          <t>SWAS</t>
        </is>
      </c>
      <c r="F1310" s="12" t="inlineStr">
        <is>
          <t>SWAS: steam and water analysis</t>
        </is>
      </c>
      <c r="G1310" s="12" t="inlineStr">
        <is>
          <t>JB-SWAS-AI01</t>
        </is>
      </c>
      <c r="H1310" s="12" t="inlineStr">
        <is>
          <t>SWAS: steam and water analysis</t>
        </is>
      </c>
      <c r="I1310" s="12" t="inlineStr">
        <is>
          <t>Instrumentation</t>
        </is>
      </c>
      <c r="J1310" s="12" t="inlineStr">
        <is>
          <t>Instrumentation PLTC / TC-ER 300 V, #18 twisted shielded pairs, overall shield</t>
        </is>
      </c>
      <c r="K1310" s="12" t="inlineStr">
        <is>
          <t>PLTC|1 pr|16</t>
        </is>
      </c>
      <c r="L1310" s="12" t="inlineStr">
        <is>
          <t>1 pr</t>
        </is>
      </c>
      <c r="M1310" s="12" t="inlineStr">
        <is>
          <t>16</t>
        </is>
      </c>
      <c r="N1310" s="12" t="n">
        <v>20</v>
      </c>
      <c r="O1310" s="12" t="n">
        <v>1</v>
      </c>
      <c r="P1310" s="12" t="n"/>
      <c r="Q1310" s="12" t="n"/>
      <c r="R1310" s="12" t="n"/>
      <c r="S1310" s="12" t="inlineStr">
        <is>
          <t>Tray / conduit</t>
        </is>
      </c>
      <c r="T1310" s="16" t="n">
        <v>75</v>
      </c>
      <c r="U1310" s="16" t="n">
        <v>10</v>
      </c>
      <c r="V1310" s="16">
        <f>ROUNDUP((T1310+U1310+2*'Read Me'!$B$13)*(1+'Read Me'!$B$12),-1)</f>
        <v/>
      </c>
      <c r="W1310" s="16">
        <f>V1310*N1310*O1310</f>
        <v/>
      </c>
      <c r="X1310" s="12">
        <f>IF(LEFT(I1310,2)="MV",2*N1310*IF(L1310="1/C",O1310,1),0)</f>
        <v/>
      </c>
      <c r="Y1310" s="12">
        <f>IF(OR(LEFT(K1310,4)="LVAX",LEFT(K1310,6)="MV15AX",LEFT(K1310,4)="CTAX",LEFT(K1310,2)="W|"),2*N1310*O1310,0)</f>
        <v/>
      </c>
      <c r="Z1310" s="12" t="inlineStr">
        <is>
          <t>device-to-JB field wiring, one cable per device</t>
        </is>
      </c>
      <c r="AA1310" s="12">
        <f>N1310*O1310</f>
        <v/>
      </c>
    </row>
    <row r="1311">
      <c r="A1311" s="12" t="inlineStr">
        <is>
          <t>A-I-0589</t>
        </is>
      </c>
      <c r="B1311" s="12" t="inlineStr">
        <is>
          <t>A</t>
        </is>
      </c>
      <c r="C1311" s="12" t="inlineStr">
        <is>
          <t>Power block</t>
        </is>
      </c>
      <c r="D1311" s="12" t="inlineStr">
        <is>
          <t>Home run JB-SWAS-AI01 to the control / marshalling room</t>
        </is>
      </c>
      <c r="E1311" s="12" t="inlineStr">
        <is>
          <t>R3</t>
        </is>
      </c>
      <c r="F1311" s="12" t="inlineStr">
        <is>
          <t>R3: ST auxiliary electrical e-house (40 x 65 ft)</t>
        </is>
      </c>
      <c r="G1311" s="12" t="inlineStr">
        <is>
          <t>JB-SWAS-AI01</t>
        </is>
      </c>
      <c r="H1311" s="12" t="inlineStr">
        <is>
          <t>SWAS: steam and water analysis</t>
        </is>
      </c>
      <c r="I1311" s="12" t="inlineStr">
        <is>
          <t>Instrumentation</t>
        </is>
      </c>
      <c r="J1311" s="12" t="inlineStr">
        <is>
          <t>Instrumentation PLTC / TC-ER 300 V, #18 twisted shielded pairs, overall shield</t>
        </is>
      </c>
      <c r="K1311" s="12" t="inlineStr">
        <is>
          <t>PLTC|24 pr|18</t>
        </is>
      </c>
      <c r="L1311" s="12" t="inlineStr">
        <is>
          <t>24 pr</t>
        </is>
      </c>
      <c r="M1311" s="12" t="inlineStr">
        <is>
          <t>18</t>
        </is>
      </c>
      <c r="N1311" s="12" t="n">
        <v>1</v>
      </c>
      <c r="O1311" s="12" t="n">
        <v>1</v>
      </c>
      <c r="P1311" s="12" t="n"/>
      <c r="Q1311" s="12" t="n"/>
      <c r="R1311" s="12" t="n"/>
      <c r="S1311" s="12" t="inlineStr">
        <is>
          <t>Duct bank</t>
        </is>
      </c>
      <c r="T1311" s="16" t="n">
        <v>258</v>
      </c>
      <c r="U1311" s="16" t="n">
        <v>32</v>
      </c>
      <c r="V1311" s="16">
        <f>ROUNDUP((T1311+U1311+2*'Read Me'!$B$13)*(1+'Read Me'!$B$12),-1)</f>
        <v/>
      </c>
      <c r="W1311" s="16">
        <f>V1311*N1311*O1311</f>
        <v/>
      </c>
      <c r="X1311" s="12">
        <f>IF(LEFT(I1311,2)="MV",2*N1311*IF(L1311="1/C",O1311,1),0)</f>
        <v/>
      </c>
      <c r="Y1311" s="12">
        <f>IF(OR(LEFT(K1311,4)="LVAX",LEFT(K1311,6)="MV15AX",LEFT(K1311,4)="CTAX",LEFT(K1311,2)="W|"),2*N1311*O1311,0)</f>
        <v/>
      </c>
      <c r="Z1311" s="12" t="inlineStr"/>
      <c r="AA1311" s="12">
        <f>N1311*O1311</f>
        <v/>
      </c>
    </row>
    <row r="1312">
      <c r="A1312" s="12" t="inlineStr">
        <is>
          <t>A-I-0590</t>
        </is>
      </c>
      <c r="B1312" s="12" t="inlineStr">
        <is>
          <t>A</t>
        </is>
      </c>
      <c r="C1312" s="12" t="inlineStr">
        <is>
          <t>Power block</t>
        </is>
      </c>
      <c r="D1312" s="12" t="inlineStr">
        <is>
          <t>Analog instrument to JB JB-SWAS-AI02: 4 x 1 pr (field cables)</t>
        </is>
      </c>
      <c r="E1312" s="12" t="inlineStr">
        <is>
          <t>SWAS</t>
        </is>
      </c>
      <c r="F1312" s="12" t="inlineStr">
        <is>
          <t>SWAS: steam and water analysis</t>
        </is>
      </c>
      <c r="G1312" s="12" t="inlineStr">
        <is>
          <t>JB-SWAS-AI02</t>
        </is>
      </c>
      <c r="H1312" s="12" t="inlineStr">
        <is>
          <t>SWAS: steam and water analysis</t>
        </is>
      </c>
      <c r="I1312" s="12" t="inlineStr">
        <is>
          <t>Instrumentation</t>
        </is>
      </c>
      <c r="J1312" s="12" t="inlineStr">
        <is>
          <t>Instrumentation PLTC / TC-ER 300 V, #18 twisted shielded pairs, overall shield</t>
        </is>
      </c>
      <c r="K1312" s="12" t="inlineStr">
        <is>
          <t>PLTC|1 pr|16</t>
        </is>
      </c>
      <c r="L1312" s="12" t="inlineStr">
        <is>
          <t>1 pr</t>
        </is>
      </c>
      <c r="M1312" s="12" t="inlineStr">
        <is>
          <t>16</t>
        </is>
      </c>
      <c r="N1312" s="12" t="n">
        <v>4</v>
      </c>
      <c r="O1312" s="12" t="n">
        <v>1</v>
      </c>
      <c r="P1312" s="12" t="n"/>
      <c r="Q1312" s="12" t="n"/>
      <c r="R1312" s="12" t="n"/>
      <c r="S1312" s="12" t="inlineStr">
        <is>
          <t>Tray / conduit</t>
        </is>
      </c>
      <c r="T1312" s="16" t="n">
        <v>75</v>
      </c>
      <c r="U1312" s="16" t="n">
        <v>10</v>
      </c>
      <c r="V1312" s="16">
        <f>ROUNDUP((T1312+U1312+2*'Read Me'!$B$13)*(1+'Read Me'!$B$12),-1)</f>
        <v/>
      </c>
      <c r="W1312" s="16">
        <f>V1312*N1312*O1312</f>
        <v/>
      </c>
      <c r="X1312" s="12">
        <f>IF(LEFT(I1312,2)="MV",2*N1312*IF(L1312="1/C",O1312,1),0)</f>
        <v/>
      </c>
      <c r="Y1312" s="12">
        <f>IF(OR(LEFT(K1312,4)="LVAX",LEFT(K1312,6)="MV15AX",LEFT(K1312,4)="CTAX",LEFT(K1312,2)="W|"),2*N1312*O1312,0)</f>
        <v/>
      </c>
      <c r="Z1312" s="12" t="inlineStr">
        <is>
          <t>device-to-JB field wiring, one cable per device</t>
        </is>
      </c>
      <c r="AA1312" s="12">
        <f>N1312*O1312</f>
        <v/>
      </c>
    </row>
    <row r="1313">
      <c r="A1313" s="12" t="inlineStr">
        <is>
          <t>A-I-0591</t>
        </is>
      </c>
      <c r="B1313" s="12" t="inlineStr">
        <is>
          <t>A</t>
        </is>
      </c>
      <c r="C1313" s="12" t="inlineStr">
        <is>
          <t>Power block</t>
        </is>
      </c>
      <c r="D1313" s="12" t="inlineStr">
        <is>
          <t>Home run JB-SWAS-AI02 to the control / marshalling room</t>
        </is>
      </c>
      <c r="E1313" s="12" t="inlineStr">
        <is>
          <t>R3</t>
        </is>
      </c>
      <c r="F1313" s="12" t="inlineStr">
        <is>
          <t>R3: ST auxiliary electrical e-house (40 x 65 ft)</t>
        </is>
      </c>
      <c r="G1313" s="12" t="inlineStr">
        <is>
          <t>JB-SWAS-AI02</t>
        </is>
      </c>
      <c r="H1313" s="12" t="inlineStr">
        <is>
          <t>SWAS: steam and water analysis</t>
        </is>
      </c>
      <c r="I1313" s="12" t="inlineStr">
        <is>
          <t>Instrumentation</t>
        </is>
      </c>
      <c r="J1313" s="12" t="inlineStr">
        <is>
          <t>Instrumentation PLTC / TC-ER 300 V, #18 twisted shielded pairs, overall shield</t>
        </is>
      </c>
      <c r="K1313" s="12" t="inlineStr">
        <is>
          <t>PLTC|24 pr|18</t>
        </is>
      </c>
      <c r="L1313" s="12" t="inlineStr">
        <is>
          <t>24 pr</t>
        </is>
      </c>
      <c r="M1313" s="12" t="inlineStr">
        <is>
          <t>18</t>
        </is>
      </c>
      <c r="N1313" s="12" t="n">
        <v>1</v>
      </c>
      <c r="O1313" s="12" t="n">
        <v>1</v>
      </c>
      <c r="P1313" s="12" t="n"/>
      <c r="Q1313" s="12" t="n"/>
      <c r="R1313" s="12" t="n"/>
      <c r="S1313" s="12" t="inlineStr">
        <is>
          <t>Duct bank</t>
        </is>
      </c>
      <c r="T1313" s="16" t="n">
        <v>258</v>
      </c>
      <c r="U1313" s="16" t="n">
        <v>32</v>
      </c>
      <c r="V1313" s="16">
        <f>ROUNDUP((T1313+U1313+2*'Read Me'!$B$13)*(1+'Read Me'!$B$12),-1)</f>
        <v/>
      </c>
      <c r="W1313" s="16">
        <f>V1313*N1313*O1313</f>
        <v/>
      </c>
      <c r="X1313" s="12">
        <f>IF(LEFT(I1313,2)="MV",2*N1313*IF(L1313="1/C",O1313,1),0)</f>
        <v/>
      </c>
      <c r="Y1313" s="12">
        <f>IF(OR(LEFT(K1313,4)="LVAX",LEFT(K1313,6)="MV15AX",LEFT(K1313,4)="CTAX",LEFT(K1313,2)="W|"),2*N1313*O1313,0)</f>
        <v/>
      </c>
      <c r="Z1313" s="12" t="inlineStr"/>
      <c r="AA1313" s="12">
        <f>N1313*O1313</f>
        <v/>
      </c>
    </row>
    <row r="1314">
      <c r="A1314" s="12" t="inlineStr">
        <is>
          <t>A-I-0592</t>
        </is>
      </c>
      <c r="B1314" s="12" t="inlineStr">
        <is>
          <t>A</t>
        </is>
      </c>
      <c r="C1314" s="12" t="inlineStr">
        <is>
          <t>Power block</t>
        </is>
      </c>
      <c r="D1314" s="12" t="inlineStr">
        <is>
          <t>Discrete device to JB JB-SWAS-DI01: 8 x 1 pr (field cables)</t>
        </is>
      </c>
      <c r="E1314" s="12" t="inlineStr">
        <is>
          <t>SWAS</t>
        </is>
      </c>
      <c r="F1314" s="12" t="inlineStr">
        <is>
          <t>SWAS: steam and water analysis</t>
        </is>
      </c>
      <c r="G1314" s="12" t="inlineStr">
        <is>
          <t>JB-SWAS-DI01</t>
        </is>
      </c>
      <c r="H1314" s="12" t="inlineStr">
        <is>
          <t>SWAS: steam and water analysis</t>
        </is>
      </c>
      <c r="I1314" s="12" t="inlineStr">
        <is>
          <t>Instrumentation</t>
        </is>
      </c>
      <c r="J1314" s="12" t="inlineStr">
        <is>
          <t>Instrumentation PLTC / TC-ER 300 V, #18 twisted shielded pairs, overall shield</t>
        </is>
      </c>
      <c r="K1314" s="12" t="inlineStr">
        <is>
          <t>PLTC|1 pr|16</t>
        </is>
      </c>
      <c r="L1314" s="12" t="inlineStr">
        <is>
          <t>1 pr</t>
        </is>
      </c>
      <c r="M1314" s="12" t="inlineStr">
        <is>
          <t>16</t>
        </is>
      </c>
      <c r="N1314" s="12" t="n">
        <v>8</v>
      </c>
      <c r="O1314" s="12" t="n">
        <v>1</v>
      </c>
      <c r="P1314" s="12" t="n"/>
      <c r="Q1314" s="12" t="n"/>
      <c r="R1314" s="12" t="n"/>
      <c r="S1314" s="12" t="inlineStr">
        <is>
          <t>Tray / conduit</t>
        </is>
      </c>
      <c r="T1314" s="16" t="n">
        <v>75</v>
      </c>
      <c r="U1314" s="16" t="n">
        <v>10</v>
      </c>
      <c r="V1314" s="16">
        <f>ROUNDUP((T1314+U1314+2*'Read Me'!$B$13)*(1+'Read Me'!$B$12),-1)</f>
        <v/>
      </c>
      <c r="W1314" s="16">
        <f>V1314*N1314*O1314</f>
        <v/>
      </c>
      <c r="X1314" s="12">
        <f>IF(LEFT(I1314,2)="MV",2*N1314*IF(L1314="1/C",O1314,1),0)</f>
        <v/>
      </c>
      <c r="Y1314" s="12">
        <f>IF(OR(LEFT(K1314,4)="LVAX",LEFT(K1314,6)="MV15AX",LEFT(K1314,4)="CTAX",LEFT(K1314,2)="W|"),2*N1314*O1314,0)</f>
        <v/>
      </c>
      <c r="Z1314" s="12" t="inlineStr">
        <is>
          <t>device-to-JB field wiring, one cable per device</t>
        </is>
      </c>
      <c r="AA1314" s="12">
        <f>N1314*O1314</f>
        <v/>
      </c>
    </row>
    <row r="1315">
      <c r="A1315" s="12" t="inlineStr">
        <is>
          <t>A-I-0593</t>
        </is>
      </c>
      <c r="B1315" s="12" t="inlineStr">
        <is>
          <t>A</t>
        </is>
      </c>
      <c r="C1315" s="12" t="inlineStr">
        <is>
          <t>Power block</t>
        </is>
      </c>
      <c r="D1315" s="12" t="inlineStr">
        <is>
          <t>Home run JB-SWAS-DI01 to the control / marshalling room</t>
        </is>
      </c>
      <c r="E1315" s="12" t="inlineStr">
        <is>
          <t>R3</t>
        </is>
      </c>
      <c r="F1315" s="12" t="inlineStr">
        <is>
          <t>R3: ST auxiliary electrical e-house (40 x 65 ft)</t>
        </is>
      </c>
      <c r="G1315" s="12" t="inlineStr">
        <is>
          <t>JB-SWAS-DI01</t>
        </is>
      </c>
      <c r="H1315" s="12" t="inlineStr">
        <is>
          <t>SWAS: steam and water analysis</t>
        </is>
      </c>
      <c r="I1315" s="12" t="inlineStr">
        <is>
          <t>Instrumentation</t>
        </is>
      </c>
      <c r="J1315" s="12" t="inlineStr">
        <is>
          <t>Instrumentation PLTC / TC-ER 300 V, #18 twisted shielded pairs, overall shield</t>
        </is>
      </c>
      <c r="K1315" s="12" t="inlineStr">
        <is>
          <t>PLTC|24 pr|18</t>
        </is>
      </c>
      <c r="L1315" s="12" t="inlineStr">
        <is>
          <t>24 pr</t>
        </is>
      </c>
      <c r="M1315" s="12" t="inlineStr">
        <is>
          <t>18</t>
        </is>
      </c>
      <c r="N1315" s="12" t="n">
        <v>1</v>
      </c>
      <c r="O1315" s="12" t="n">
        <v>1</v>
      </c>
      <c r="P1315" s="12" t="n"/>
      <c r="Q1315" s="12" t="n"/>
      <c r="R1315" s="12" t="n"/>
      <c r="S1315" s="12" t="inlineStr">
        <is>
          <t>Duct bank</t>
        </is>
      </c>
      <c r="T1315" s="16" t="n">
        <v>258</v>
      </c>
      <c r="U1315" s="16" t="n">
        <v>32</v>
      </c>
      <c r="V1315" s="16">
        <f>ROUNDUP((T1315+U1315+2*'Read Me'!$B$13)*(1+'Read Me'!$B$12),-1)</f>
        <v/>
      </c>
      <c r="W1315" s="16">
        <f>V1315*N1315*O1315</f>
        <v/>
      </c>
      <c r="X1315" s="12">
        <f>IF(LEFT(I1315,2)="MV",2*N1315*IF(L1315="1/C",O1315,1),0)</f>
        <v/>
      </c>
      <c r="Y1315" s="12">
        <f>IF(OR(LEFT(K1315,4)="LVAX",LEFT(K1315,6)="MV15AX",LEFT(K1315,4)="CTAX",LEFT(K1315,2)="W|"),2*N1315*O1315,0)</f>
        <v/>
      </c>
      <c r="Z1315" s="12" t="inlineStr"/>
      <c r="AA1315" s="12">
        <f>N1315*O1315</f>
        <v/>
      </c>
    </row>
    <row r="1316">
      <c r="A1316" s="12" t="inlineStr">
        <is>
          <t>A-I-0594</t>
        </is>
      </c>
      <c r="B1316" s="12" t="inlineStr">
        <is>
          <t>A</t>
        </is>
      </c>
      <c r="C1316" s="12" t="inlineStr">
        <is>
          <t>Power block</t>
        </is>
      </c>
      <c r="D1316" s="12" t="inlineStr">
        <is>
          <t>Analog instrument to JB JB-T-R2A: 13.8/0.48 k-AI01: 8 x 1 pr (field cables)</t>
        </is>
      </c>
      <c r="E1316" s="12" t="inlineStr"/>
      <c r="F1316" s="12" t="inlineStr">
        <is>
          <t>T-R2A: 13.8/0.48 kV</t>
        </is>
      </c>
      <c r="G1316" s="12" t="inlineStr">
        <is>
          <t>JB-T-R2A: 13.8/0.48 k-AI01</t>
        </is>
      </c>
      <c r="H1316" s="12" t="inlineStr">
        <is>
          <t>T-R2A: 13.8/0.48 kV</t>
        </is>
      </c>
      <c r="I1316" s="12" t="inlineStr">
        <is>
          <t>Instrumentation</t>
        </is>
      </c>
      <c r="J1316" s="12" t="inlineStr">
        <is>
          <t>Instrumentation PLTC / TC-ER 300 V, #18 twisted shielded pairs, overall shield</t>
        </is>
      </c>
      <c r="K1316" s="12" t="inlineStr">
        <is>
          <t>PLTC|1 pr|16</t>
        </is>
      </c>
      <c r="L1316" s="12" t="inlineStr">
        <is>
          <t>1 pr</t>
        </is>
      </c>
      <c r="M1316" s="12" t="inlineStr">
        <is>
          <t>16</t>
        </is>
      </c>
      <c r="N1316" s="12" t="n">
        <v>8</v>
      </c>
      <c r="O1316" s="12" t="n">
        <v>1</v>
      </c>
      <c r="P1316" s="12" t="n"/>
      <c r="Q1316" s="12" t="n"/>
      <c r="R1316" s="12" t="n"/>
      <c r="S1316" s="12" t="inlineStr">
        <is>
          <t>Tray / conduit</t>
        </is>
      </c>
      <c r="T1316" s="16" t="n">
        <v>41</v>
      </c>
      <c r="U1316" s="16" t="n">
        <v>10</v>
      </c>
      <c r="V1316" s="16">
        <f>ROUNDUP((T1316+U1316+2*'Read Me'!$B$13)*(1+'Read Me'!$B$12),-1)</f>
        <v/>
      </c>
      <c r="W1316" s="16">
        <f>V1316*N1316*O1316</f>
        <v/>
      </c>
      <c r="X1316" s="12">
        <f>IF(LEFT(I1316,2)="MV",2*N1316*IF(L1316="1/C",O1316,1),0)</f>
        <v/>
      </c>
      <c r="Y1316" s="12">
        <f>IF(OR(LEFT(K1316,4)="LVAX",LEFT(K1316,6)="MV15AX",LEFT(K1316,4)="CTAX",LEFT(K1316,2)="W|"),2*N1316*O1316,0)</f>
        <v/>
      </c>
      <c r="Z1316" s="12" t="inlineStr">
        <is>
          <t>device-to-JB field wiring, one cable per device</t>
        </is>
      </c>
      <c r="AA1316" s="12">
        <f>N1316*O1316</f>
        <v/>
      </c>
    </row>
    <row r="1317">
      <c r="A1317" s="12" t="inlineStr">
        <is>
          <t>A-I-0595</t>
        </is>
      </c>
      <c r="B1317" s="12" t="inlineStr">
        <is>
          <t>A</t>
        </is>
      </c>
      <c r="C1317" s="12" t="inlineStr">
        <is>
          <t>Power block</t>
        </is>
      </c>
      <c r="D1317" s="12" t="inlineStr">
        <is>
          <t>Home run JB-T-R2A: 13.8/0.48 k-AI01 to the control / marshalling room</t>
        </is>
      </c>
      <c r="E1317" s="12" t="inlineStr">
        <is>
          <t>R2A</t>
        </is>
      </c>
      <c r="F1317" s="12" t="inlineStr">
        <is>
          <t>R2A: unit / HRSG electrical e-house (32 x 40 ft)</t>
        </is>
      </c>
      <c r="G1317" s="12" t="inlineStr">
        <is>
          <t>JB-T-R2A: 13.8/0.48 k-AI01</t>
        </is>
      </c>
      <c r="H1317" s="12" t="inlineStr">
        <is>
          <t>T-R2A: 13.8/0.48 kV</t>
        </is>
      </c>
      <c r="I1317" s="12" t="inlineStr">
        <is>
          <t>Instrumentation</t>
        </is>
      </c>
      <c r="J1317" s="12" t="inlineStr">
        <is>
          <t>Instrumentation PLTC / TC-ER 300 V, #18 twisted shielded pairs, overall shield</t>
        </is>
      </c>
      <c r="K1317" s="12" t="inlineStr">
        <is>
          <t>PLTC|24 pr|18</t>
        </is>
      </c>
      <c r="L1317" s="12" t="inlineStr">
        <is>
          <t>24 pr</t>
        </is>
      </c>
      <c r="M1317" s="12" t="inlineStr">
        <is>
          <t>18</t>
        </is>
      </c>
      <c r="N1317" s="12" t="n">
        <v>1</v>
      </c>
      <c r="O1317" s="12" t="n">
        <v>1</v>
      </c>
      <c r="P1317" s="12" t="n"/>
      <c r="Q1317" s="12" t="n"/>
      <c r="R1317" s="12" t="n"/>
      <c r="S1317" s="12" t="inlineStr">
        <is>
          <t>Tray</t>
        </is>
      </c>
      <c r="T1317" s="16" t="n">
        <v>0</v>
      </c>
      <c r="U1317" s="16" t="n">
        <v>86</v>
      </c>
      <c r="V1317" s="16">
        <f>ROUNDUP((T1317+U1317+2*'Read Me'!$B$13)*(1+'Read Me'!$B$12),-1)</f>
        <v/>
      </c>
      <c r="W1317" s="16">
        <f>V1317*N1317*O1317</f>
        <v/>
      </c>
      <c r="X1317" s="12">
        <f>IF(LEFT(I1317,2)="MV",2*N1317*IF(L1317="1/C",O1317,1),0)</f>
        <v/>
      </c>
      <c r="Y1317" s="12">
        <f>IF(OR(LEFT(K1317,4)="LVAX",LEFT(K1317,6)="MV15AX",LEFT(K1317,4)="CTAX",LEFT(K1317,2)="W|"),2*N1317*O1317,0)</f>
        <v/>
      </c>
      <c r="Z1317" s="12" t="inlineStr"/>
      <c r="AA1317" s="12">
        <f>N1317*O1317</f>
        <v/>
      </c>
    </row>
    <row r="1318">
      <c r="A1318" s="12" t="inlineStr">
        <is>
          <t>A-I-0596</t>
        </is>
      </c>
      <c r="B1318" s="12" t="inlineStr">
        <is>
          <t>A</t>
        </is>
      </c>
      <c r="C1318" s="12" t="inlineStr">
        <is>
          <t>Power block</t>
        </is>
      </c>
      <c r="D1318" s="12" t="inlineStr">
        <is>
          <t>Discrete device to JB JB-T-R2A: 13.8/0.48 k-DI01: 16 x 1 pr (field cables)</t>
        </is>
      </c>
      <c r="E1318" s="12" t="inlineStr"/>
      <c r="F1318" s="12" t="inlineStr">
        <is>
          <t>T-R2A: 13.8/0.48 kV</t>
        </is>
      </c>
      <c r="G1318" s="12" t="inlineStr">
        <is>
          <t>JB-T-R2A: 13.8/0.48 k-DI01</t>
        </is>
      </c>
      <c r="H1318" s="12" t="inlineStr">
        <is>
          <t>T-R2A: 13.8/0.48 kV</t>
        </is>
      </c>
      <c r="I1318" s="12" t="inlineStr">
        <is>
          <t>Instrumentation</t>
        </is>
      </c>
      <c r="J1318" s="12" t="inlineStr">
        <is>
          <t>Instrumentation PLTC / TC-ER 300 V, #18 twisted shielded pairs, overall shield</t>
        </is>
      </c>
      <c r="K1318" s="12" t="inlineStr">
        <is>
          <t>PLTC|1 pr|16</t>
        </is>
      </c>
      <c r="L1318" s="12" t="inlineStr">
        <is>
          <t>1 pr</t>
        </is>
      </c>
      <c r="M1318" s="12" t="inlineStr">
        <is>
          <t>16</t>
        </is>
      </c>
      <c r="N1318" s="12" t="n">
        <v>16</v>
      </c>
      <c r="O1318" s="12" t="n">
        <v>1</v>
      </c>
      <c r="P1318" s="12" t="n"/>
      <c r="Q1318" s="12" t="n"/>
      <c r="R1318" s="12" t="n"/>
      <c r="S1318" s="12" t="inlineStr">
        <is>
          <t>Tray / conduit</t>
        </is>
      </c>
      <c r="T1318" s="16" t="n">
        <v>41</v>
      </c>
      <c r="U1318" s="16" t="n">
        <v>10</v>
      </c>
      <c r="V1318" s="16">
        <f>ROUNDUP((T1318+U1318+2*'Read Me'!$B$13)*(1+'Read Me'!$B$12),-1)</f>
        <v/>
      </c>
      <c r="W1318" s="16">
        <f>V1318*N1318*O1318</f>
        <v/>
      </c>
      <c r="X1318" s="12">
        <f>IF(LEFT(I1318,2)="MV",2*N1318*IF(L1318="1/C",O1318,1),0)</f>
        <v/>
      </c>
      <c r="Y1318" s="12">
        <f>IF(OR(LEFT(K1318,4)="LVAX",LEFT(K1318,6)="MV15AX",LEFT(K1318,4)="CTAX",LEFT(K1318,2)="W|"),2*N1318*O1318,0)</f>
        <v/>
      </c>
      <c r="Z1318" s="12" t="inlineStr">
        <is>
          <t>device-to-JB field wiring, one cable per device</t>
        </is>
      </c>
      <c r="AA1318" s="12">
        <f>N1318*O1318</f>
        <v/>
      </c>
    </row>
    <row r="1319">
      <c r="A1319" s="12" t="inlineStr">
        <is>
          <t>A-I-0597</t>
        </is>
      </c>
      <c r="B1319" s="12" t="inlineStr">
        <is>
          <t>A</t>
        </is>
      </c>
      <c r="C1319" s="12" t="inlineStr">
        <is>
          <t>Power block</t>
        </is>
      </c>
      <c r="D1319" s="12" t="inlineStr">
        <is>
          <t>Home run JB-T-R2A: 13.8/0.48 k-DI01 to the control / marshalling room</t>
        </is>
      </c>
      <c r="E1319" s="12" t="inlineStr">
        <is>
          <t>R2A</t>
        </is>
      </c>
      <c r="F1319" s="12" t="inlineStr">
        <is>
          <t>R2A: unit / HRSG electrical e-house (32 x 40 ft)</t>
        </is>
      </c>
      <c r="G1319" s="12" t="inlineStr">
        <is>
          <t>JB-T-R2A: 13.8/0.48 k-DI01</t>
        </is>
      </c>
      <c r="H1319" s="12" t="inlineStr">
        <is>
          <t>T-R2A: 13.8/0.48 kV</t>
        </is>
      </c>
      <c r="I1319" s="12" t="inlineStr">
        <is>
          <t>Instrumentation</t>
        </is>
      </c>
      <c r="J1319" s="12" t="inlineStr">
        <is>
          <t>Instrumentation PLTC / TC-ER 300 V, #18 twisted shielded pairs, overall shield</t>
        </is>
      </c>
      <c r="K1319" s="12" t="inlineStr">
        <is>
          <t>PLTC|24 pr|18</t>
        </is>
      </c>
      <c r="L1319" s="12" t="inlineStr">
        <is>
          <t>24 pr</t>
        </is>
      </c>
      <c r="M1319" s="12" t="inlineStr">
        <is>
          <t>18</t>
        </is>
      </c>
      <c r="N1319" s="12" t="n">
        <v>1</v>
      </c>
      <c r="O1319" s="12" t="n">
        <v>1</v>
      </c>
      <c r="P1319" s="12" t="n"/>
      <c r="Q1319" s="12" t="n"/>
      <c r="R1319" s="12" t="n"/>
      <c r="S1319" s="12" t="inlineStr">
        <is>
          <t>Tray</t>
        </is>
      </c>
      <c r="T1319" s="16" t="n">
        <v>0</v>
      </c>
      <c r="U1319" s="16" t="n">
        <v>86</v>
      </c>
      <c r="V1319" s="16">
        <f>ROUNDUP((T1319+U1319+2*'Read Me'!$B$13)*(1+'Read Me'!$B$12),-1)</f>
        <v/>
      </c>
      <c r="W1319" s="16">
        <f>V1319*N1319*O1319</f>
        <v/>
      </c>
      <c r="X1319" s="12">
        <f>IF(LEFT(I1319,2)="MV",2*N1319*IF(L1319="1/C",O1319,1),0)</f>
        <v/>
      </c>
      <c r="Y1319" s="12">
        <f>IF(OR(LEFT(K1319,4)="LVAX",LEFT(K1319,6)="MV15AX",LEFT(K1319,4)="CTAX",LEFT(K1319,2)="W|"),2*N1319*O1319,0)</f>
        <v/>
      </c>
      <c r="Z1319" s="12" t="inlineStr"/>
      <c r="AA1319" s="12">
        <f>N1319*O1319</f>
        <v/>
      </c>
    </row>
    <row r="1320">
      <c r="A1320" s="12" t="inlineStr">
        <is>
          <t>A-I-0598</t>
        </is>
      </c>
      <c r="B1320" s="12" t="inlineStr">
        <is>
          <t>A</t>
        </is>
      </c>
      <c r="C1320" s="12" t="inlineStr">
        <is>
          <t>Power block</t>
        </is>
      </c>
      <c r="D1320" s="12" t="inlineStr">
        <is>
          <t>Analog instrument to JB JB-T-R2B: 13.8/0.48 k-AI01: 8 x 1 pr (field cables)</t>
        </is>
      </c>
      <c r="E1320" s="12" t="inlineStr"/>
      <c r="F1320" s="12" t="inlineStr">
        <is>
          <t>T-R2B: 13.8/0.48 kV</t>
        </is>
      </c>
      <c r="G1320" s="12" t="inlineStr">
        <is>
          <t>JB-T-R2B: 13.8/0.48 k-AI01</t>
        </is>
      </c>
      <c r="H1320" s="12" t="inlineStr">
        <is>
          <t>T-R2B: 13.8/0.48 kV</t>
        </is>
      </c>
      <c r="I1320" s="12" t="inlineStr">
        <is>
          <t>Instrumentation</t>
        </is>
      </c>
      <c r="J1320" s="12" t="inlineStr">
        <is>
          <t>Instrumentation PLTC / TC-ER 300 V, #18 twisted shielded pairs, overall shield</t>
        </is>
      </c>
      <c r="K1320" s="12" t="inlineStr">
        <is>
          <t>PLTC|1 pr|16</t>
        </is>
      </c>
      <c r="L1320" s="12" t="inlineStr">
        <is>
          <t>1 pr</t>
        </is>
      </c>
      <c r="M1320" s="12" t="inlineStr">
        <is>
          <t>16</t>
        </is>
      </c>
      <c r="N1320" s="12" t="n">
        <v>8</v>
      </c>
      <c r="O1320" s="12" t="n">
        <v>1</v>
      </c>
      <c r="P1320" s="12" t="n"/>
      <c r="Q1320" s="12" t="n"/>
      <c r="R1320" s="12" t="n"/>
      <c r="S1320" s="12" t="inlineStr">
        <is>
          <t>Tray / conduit</t>
        </is>
      </c>
      <c r="T1320" s="16" t="n">
        <v>41</v>
      </c>
      <c r="U1320" s="16" t="n">
        <v>10</v>
      </c>
      <c r="V1320" s="16">
        <f>ROUNDUP((T1320+U1320+2*'Read Me'!$B$13)*(1+'Read Me'!$B$12),-1)</f>
        <v/>
      </c>
      <c r="W1320" s="16">
        <f>V1320*N1320*O1320</f>
        <v/>
      </c>
      <c r="X1320" s="12">
        <f>IF(LEFT(I1320,2)="MV",2*N1320*IF(L1320="1/C",O1320,1),0)</f>
        <v/>
      </c>
      <c r="Y1320" s="12">
        <f>IF(OR(LEFT(K1320,4)="LVAX",LEFT(K1320,6)="MV15AX",LEFT(K1320,4)="CTAX",LEFT(K1320,2)="W|"),2*N1320*O1320,0)</f>
        <v/>
      </c>
      <c r="Z1320" s="12" t="inlineStr">
        <is>
          <t>device-to-JB field wiring, one cable per device</t>
        </is>
      </c>
      <c r="AA1320" s="12">
        <f>N1320*O1320</f>
        <v/>
      </c>
    </row>
    <row r="1321">
      <c r="A1321" s="12" t="inlineStr">
        <is>
          <t>A-I-0599</t>
        </is>
      </c>
      <c r="B1321" s="12" t="inlineStr">
        <is>
          <t>A</t>
        </is>
      </c>
      <c r="C1321" s="12" t="inlineStr">
        <is>
          <t>Power block</t>
        </is>
      </c>
      <c r="D1321" s="12" t="inlineStr">
        <is>
          <t>Home run JB-T-R2B: 13.8/0.48 k-AI01 to the control / marshalling room</t>
        </is>
      </c>
      <c r="E1321" s="12" t="inlineStr">
        <is>
          <t>R2B</t>
        </is>
      </c>
      <c r="F1321" s="12" t="inlineStr">
        <is>
          <t>R2B: unit / HRSG electrical e-house (32 x 40 ft)</t>
        </is>
      </c>
      <c r="G1321" s="12" t="inlineStr">
        <is>
          <t>JB-T-R2B: 13.8/0.48 k-AI01</t>
        </is>
      </c>
      <c r="H1321" s="12" t="inlineStr">
        <is>
          <t>T-R2B: 13.8/0.48 kV</t>
        </is>
      </c>
      <c r="I1321" s="12" t="inlineStr">
        <is>
          <t>Instrumentation</t>
        </is>
      </c>
      <c r="J1321" s="12" t="inlineStr">
        <is>
          <t>Instrumentation PLTC / TC-ER 300 V, #18 twisted shielded pairs, overall shield</t>
        </is>
      </c>
      <c r="K1321" s="12" t="inlineStr">
        <is>
          <t>PLTC|24 pr|18</t>
        </is>
      </c>
      <c r="L1321" s="12" t="inlineStr">
        <is>
          <t>24 pr</t>
        </is>
      </c>
      <c r="M1321" s="12" t="inlineStr">
        <is>
          <t>18</t>
        </is>
      </c>
      <c r="N1321" s="12" t="n">
        <v>1</v>
      </c>
      <c r="O1321" s="12" t="n">
        <v>1</v>
      </c>
      <c r="P1321" s="12" t="n"/>
      <c r="Q1321" s="12" t="n"/>
      <c r="R1321" s="12" t="n"/>
      <c r="S1321" s="12" t="inlineStr">
        <is>
          <t>Tray</t>
        </is>
      </c>
      <c r="T1321" s="16" t="n">
        <v>0</v>
      </c>
      <c r="U1321" s="16" t="n">
        <v>97</v>
      </c>
      <c r="V1321" s="16">
        <f>ROUNDUP((T1321+U1321+2*'Read Me'!$B$13)*(1+'Read Me'!$B$12),-1)</f>
        <v/>
      </c>
      <c r="W1321" s="16">
        <f>V1321*N1321*O1321</f>
        <v/>
      </c>
      <c r="X1321" s="12">
        <f>IF(LEFT(I1321,2)="MV",2*N1321*IF(L1321="1/C",O1321,1),0)</f>
        <v/>
      </c>
      <c r="Y1321" s="12">
        <f>IF(OR(LEFT(K1321,4)="LVAX",LEFT(K1321,6)="MV15AX",LEFT(K1321,4)="CTAX",LEFT(K1321,2)="W|"),2*N1321*O1321,0)</f>
        <v/>
      </c>
      <c r="Z1321" s="12" t="inlineStr"/>
      <c r="AA1321" s="12">
        <f>N1321*O1321</f>
        <v/>
      </c>
    </row>
    <row r="1322">
      <c r="A1322" s="12" t="inlineStr">
        <is>
          <t>A-I-0600</t>
        </is>
      </c>
      <c r="B1322" s="12" t="inlineStr">
        <is>
          <t>A</t>
        </is>
      </c>
      <c r="C1322" s="12" t="inlineStr">
        <is>
          <t>Power block</t>
        </is>
      </c>
      <c r="D1322" s="12" t="inlineStr">
        <is>
          <t>Discrete device to JB JB-T-R2B: 13.8/0.48 k-DI01: 16 x 1 pr (field cables)</t>
        </is>
      </c>
      <c r="E1322" s="12" t="inlineStr"/>
      <c r="F1322" s="12" t="inlineStr">
        <is>
          <t>T-R2B: 13.8/0.48 kV</t>
        </is>
      </c>
      <c r="G1322" s="12" t="inlineStr">
        <is>
          <t>JB-T-R2B: 13.8/0.48 k-DI01</t>
        </is>
      </c>
      <c r="H1322" s="12" t="inlineStr">
        <is>
          <t>T-R2B: 13.8/0.48 kV</t>
        </is>
      </c>
      <c r="I1322" s="12" t="inlineStr">
        <is>
          <t>Instrumentation</t>
        </is>
      </c>
      <c r="J1322" s="12" t="inlineStr">
        <is>
          <t>Instrumentation PLTC / TC-ER 300 V, #18 twisted shielded pairs, overall shield</t>
        </is>
      </c>
      <c r="K1322" s="12" t="inlineStr">
        <is>
          <t>PLTC|1 pr|16</t>
        </is>
      </c>
      <c r="L1322" s="12" t="inlineStr">
        <is>
          <t>1 pr</t>
        </is>
      </c>
      <c r="M1322" s="12" t="inlineStr">
        <is>
          <t>16</t>
        </is>
      </c>
      <c r="N1322" s="12" t="n">
        <v>16</v>
      </c>
      <c r="O1322" s="12" t="n">
        <v>1</v>
      </c>
      <c r="P1322" s="12" t="n"/>
      <c r="Q1322" s="12" t="n"/>
      <c r="R1322" s="12" t="n"/>
      <c r="S1322" s="12" t="inlineStr">
        <is>
          <t>Tray / conduit</t>
        </is>
      </c>
      <c r="T1322" s="16" t="n">
        <v>41</v>
      </c>
      <c r="U1322" s="16" t="n">
        <v>10</v>
      </c>
      <c r="V1322" s="16">
        <f>ROUNDUP((T1322+U1322+2*'Read Me'!$B$13)*(1+'Read Me'!$B$12),-1)</f>
        <v/>
      </c>
      <c r="W1322" s="16">
        <f>V1322*N1322*O1322</f>
        <v/>
      </c>
      <c r="X1322" s="12">
        <f>IF(LEFT(I1322,2)="MV",2*N1322*IF(L1322="1/C",O1322,1),0)</f>
        <v/>
      </c>
      <c r="Y1322" s="12">
        <f>IF(OR(LEFT(K1322,4)="LVAX",LEFT(K1322,6)="MV15AX",LEFT(K1322,4)="CTAX",LEFT(K1322,2)="W|"),2*N1322*O1322,0)</f>
        <v/>
      </c>
      <c r="Z1322" s="12" t="inlineStr">
        <is>
          <t>device-to-JB field wiring, one cable per device</t>
        </is>
      </c>
      <c r="AA1322" s="12">
        <f>N1322*O1322</f>
        <v/>
      </c>
    </row>
    <row r="1323">
      <c r="A1323" s="12" t="inlineStr">
        <is>
          <t>A-I-0601</t>
        </is>
      </c>
      <c r="B1323" s="12" t="inlineStr">
        <is>
          <t>A</t>
        </is>
      </c>
      <c r="C1323" s="12" t="inlineStr">
        <is>
          <t>Power block</t>
        </is>
      </c>
      <c r="D1323" s="12" t="inlineStr">
        <is>
          <t>Home run JB-T-R2B: 13.8/0.48 k-DI01 to the control / marshalling room</t>
        </is>
      </c>
      <c r="E1323" s="12" t="inlineStr">
        <is>
          <t>R2B</t>
        </is>
      </c>
      <c r="F1323" s="12" t="inlineStr">
        <is>
          <t>R2B: unit / HRSG electrical e-house (32 x 40 ft)</t>
        </is>
      </c>
      <c r="G1323" s="12" t="inlineStr">
        <is>
          <t>JB-T-R2B: 13.8/0.48 k-DI01</t>
        </is>
      </c>
      <c r="H1323" s="12" t="inlineStr">
        <is>
          <t>T-R2B: 13.8/0.48 kV</t>
        </is>
      </c>
      <c r="I1323" s="12" t="inlineStr">
        <is>
          <t>Instrumentation</t>
        </is>
      </c>
      <c r="J1323" s="12" t="inlineStr">
        <is>
          <t>Instrumentation PLTC / TC-ER 300 V, #18 twisted shielded pairs, overall shield</t>
        </is>
      </c>
      <c r="K1323" s="12" t="inlineStr">
        <is>
          <t>PLTC|24 pr|18</t>
        </is>
      </c>
      <c r="L1323" s="12" t="inlineStr">
        <is>
          <t>24 pr</t>
        </is>
      </c>
      <c r="M1323" s="12" t="inlineStr">
        <is>
          <t>18</t>
        </is>
      </c>
      <c r="N1323" s="12" t="n">
        <v>1</v>
      </c>
      <c r="O1323" s="12" t="n">
        <v>1</v>
      </c>
      <c r="P1323" s="12" t="n"/>
      <c r="Q1323" s="12" t="n"/>
      <c r="R1323" s="12" t="n"/>
      <c r="S1323" s="12" t="inlineStr">
        <is>
          <t>Tray</t>
        </is>
      </c>
      <c r="T1323" s="16" t="n">
        <v>0</v>
      </c>
      <c r="U1323" s="16" t="n">
        <v>97</v>
      </c>
      <c r="V1323" s="16">
        <f>ROUNDUP((T1323+U1323+2*'Read Me'!$B$13)*(1+'Read Me'!$B$12),-1)</f>
        <v/>
      </c>
      <c r="W1323" s="16">
        <f>V1323*N1323*O1323</f>
        <v/>
      </c>
      <c r="X1323" s="12">
        <f>IF(LEFT(I1323,2)="MV",2*N1323*IF(L1323="1/C",O1323,1),0)</f>
        <v/>
      </c>
      <c r="Y1323" s="12">
        <f>IF(OR(LEFT(K1323,4)="LVAX",LEFT(K1323,6)="MV15AX",LEFT(K1323,4)="CTAX",LEFT(K1323,2)="W|"),2*N1323*O1323,0)</f>
        <v/>
      </c>
      <c r="Z1323" s="12" t="inlineStr"/>
      <c r="AA1323" s="12">
        <f>N1323*O1323</f>
        <v/>
      </c>
    </row>
    <row r="1324">
      <c r="A1324" s="12" t="inlineStr">
        <is>
          <t>A-I-0602</t>
        </is>
      </c>
      <c r="B1324" s="12" t="inlineStr">
        <is>
          <t>A</t>
        </is>
      </c>
      <c r="C1324" s="12" t="inlineStr">
        <is>
          <t>Power block</t>
        </is>
      </c>
      <c r="D1324" s="12" t="inlineStr">
        <is>
          <t>Analog instrument to JB JB-T-R2C: 13.8/0.48 k-AI01: 8 x 1 pr (field cables)</t>
        </is>
      </c>
      <c r="E1324" s="12" t="inlineStr"/>
      <c r="F1324" s="12" t="inlineStr">
        <is>
          <t>T-R2C: 13.8/0.48 kV</t>
        </is>
      </c>
      <c r="G1324" s="12" t="inlineStr">
        <is>
          <t>JB-T-R2C: 13.8/0.48 k-AI01</t>
        </is>
      </c>
      <c r="H1324" s="12" t="inlineStr">
        <is>
          <t>T-R2C: 13.8/0.48 kV</t>
        </is>
      </c>
      <c r="I1324" s="12" t="inlineStr">
        <is>
          <t>Instrumentation</t>
        </is>
      </c>
      <c r="J1324" s="12" t="inlineStr">
        <is>
          <t>Instrumentation PLTC / TC-ER 300 V, #18 twisted shielded pairs, overall shield</t>
        </is>
      </c>
      <c r="K1324" s="12" t="inlineStr">
        <is>
          <t>PLTC|1 pr|16</t>
        </is>
      </c>
      <c r="L1324" s="12" t="inlineStr">
        <is>
          <t>1 pr</t>
        </is>
      </c>
      <c r="M1324" s="12" t="inlineStr">
        <is>
          <t>16</t>
        </is>
      </c>
      <c r="N1324" s="12" t="n">
        <v>8</v>
      </c>
      <c r="O1324" s="12" t="n">
        <v>1</v>
      </c>
      <c r="P1324" s="12" t="n"/>
      <c r="Q1324" s="12" t="n"/>
      <c r="R1324" s="12" t="n"/>
      <c r="S1324" s="12" t="inlineStr">
        <is>
          <t>Tray / conduit</t>
        </is>
      </c>
      <c r="T1324" s="16" t="n">
        <v>41</v>
      </c>
      <c r="U1324" s="16" t="n">
        <v>10</v>
      </c>
      <c r="V1324" s="16">
        <f>ROUNDUP((T1324+U1324+2*'Read Me'!$B$13)*(1+'Read Me'!$B$12),-1)</f>
        <v/>
      </c>
      <c r="W1324" s="16">
        <f>V1324*N1324*O1324</f>
        <v/>
      </c>
      <c r="X1324" s="12">
        <f>IF(LEFT(I1324,2)="MV",2*N1324*IF(L1324="1/C",O1324,1),0)</f>
        <v/>
      </c>
      <c r="Y1324" s="12">
        <f>IF(OR(LEFT(K1324,4)="LVAX",LEFT(K1324,6)="MV15AX",LEFT(K1324,4)="CTAX",LEFT(K1324,2)="W|"),2*N1324*O1324,0)</f>
        <v/>
      </c>
      <c r="Z1324" s="12" t="inlineStr">
        <is>
          <t>device-to-JB field wiring, one cable per device</t>
        </is>
      </c>
      <c r="AA1324" s="12">
        <f>N1324*O1324</f>
        <v/>
      </c>
    </row>
    <row r="1325">
      <c r="A1325" s="12" t="inlineStr">
        <is>
          <t>A-I-0603</t>
        </is>
      </c>
      <c r="B1325" s="12" t="inlineStr">
        <is>
          <t>A</t>
        </is>
      </c>
      <c r="C1325" s="12" t="inlineStr">
        <is>
          <t>Power block</t>
        </is>
      </c>
      <c r="D1325" s="12" t="inlineStr">
        <is>
          <t>Home run JB-T-R2C: 13.8/0.48 k-AI01 to the control / marshalling room</t>
        </is>
      </c>
      <c r="E1325" s="12" t="inlineStr">
        <is>
          <t>R2C</t>
        </is>
      </c>
      <c r="F1325" s="12" t="inlineStr">
        <is>
          <t>R2C: unit / HRSG electrical e-house (32 x 40 ft)</t>
        </is>
      </c>
      <c r="G1325" s="12" t="inlineStr">
        <is>
          <t>JB-T-R2C: 13.8/0.48 k-AI01</t>
        </is>
      </c>
      <c r="H1325" s="12" t="inlineStr">
        <is>
          <t>T-R2C: 13.8/0.48 kV</t>
        </is>
      </c>
      <c r="I1325" s="12" t="inlineStr">
        <is>
          <t>Instrumentation</t>
        </is>
      </c>
      <c r="J1325" s="12" t="inlineStr">
        <is>
          <t>Instrumentation PLTC / TC-ER 300 V, #18 twisted shielded pairs, overall shield</t>
        </is>
      </c>
      <c r="K1325" s="12" t="inlineStr">
        <is>
          <t>PLTC|24 pr|18</t>
        </is>
      </c>
      <c r="L1325" s="12" t="inlineStr">
        <is>
          <t>24 pr</t>
        </is>
      </c>
      <c r="M1325" s="12" t="inlineStr">
        <is>
          <t>18</t>
        </is>
      </c>
      <c r="N1325" s="12" t="n">
        <v>1</v>
      </c>
      <c r="O1325" s="12" t="n">
        <v>1</v>
      </c>
      <c r="P1325" s="12" t="n"/>
      <c r="Q1325" s="12" t="n"/>
      <c r="R1325" s="12" t="n"/>
      <c r="S1325" s="12" t="inlineStr">
        <is>
          <t>Tray</t>
        </is>
      </c>
      <c r="T1325" s="16" t="n">
        <v>0</v>
      </c>
      <c r="U1325" s="16" t="n">
        <v>97</v>
      </c>
      <c r="V1325" s="16">
        <f>ROUNDUP((T1325+U1325+2*'Read Me'!$B$13)*(1+'Read Me'!$B$12),-1)</f>
        <v/>
      </c>
      <c r="W1325" s="16">
        <f>V1325*N1325*O1325</f>
        <v/>
      </c>
      <c r="X1325" s="12">
        <f>IF(LEFT(I1325,2)="MV",2*N1325*IF(L1325="1/C",O1325,1),0)</f>
        <v/>
      </c>
      <c r="Y1325" s="12">
        <f>IF(OR(LEFT(K1325,4)="LVAX",LEFT(K1325,6)="MV15AX",LEFT(K1325,4)="CTAX",LEFT(K1325,2)="W|"),2*N1325*O1325,0)</f>
        <v/>
      </c>
      <c r="Z1325" s="12" t="inlineStr"/>
      <c r="AA1325" s="12">
        <f>N1325*O1325</f>
        <v/>
      </c>
    </row>
    <row r="1326">
      <c r="A1326" s="12" t="inlineStr">
        <is>
          <t>A-I-0604</t>
        </is>
      </c>
      <c r="B1326" s="12" t="inlineStr">
        <is>
          <t>A</t>
        </is>
      </c>
      <c r="C1326" s="12" t="inlineStr">
        <is>
          <t>Power block</t>
        </is>
      </c>
      <c r="D1326" s="12" t="inlineStr">
        <is>
          <t>Discrete device to JB JB-T-R2C: 13.8/0.48 k-DI01: 16 x 1 pr (field cables)</t>
        </is>
      </c>
      <c r="E1326" s="12" t="inlineStr"/>
      <c r="F1326" s="12" t="inlineStr">
        <is>
          <t>T-R2C: 13.8/0.48 kV</t>
        </is>
      </c>
      <c r="G1326" s="12" t="inlineStr">
        <is>
          <t>JB-T-R2C: 13.8/0.48 k-DI01</t>
        </is>
      </c>
      <c r="H1326" s="12" t="inlineStr">
        <is>
          <t>T-R2C: 13.8/0.48 kV</t>
        </is>
      </c>
      <c r="I1326" s="12" t="inlineStr">
        <is>
          <t>Instrumentation</t>
        </is>
      </c>
      <c r="J1326" s="12" t="inlineStr">
        <is>
          <t>Instrumentation PLTC / TC-ER 300 V, #18 twisted shielded pairs, overall shield</t>
        </is>
      </c>
      <c r="K1326" s="12" t="inlineStr">
        <is>
          <t>PLTC|1 pr|16</t>
        </is>
      </c>
      <c r="L1326" s="12" t="inlineStr">
        <is>
          <t>1 pr</t>
        </is>
      </c>
      <c r="M1326" s="12" t="inlineStr">
        <is>
          <t>16</t>
        </is>
      </c>
      <c r="N1326" s="12" t="n">
        <v>16</v>
      </c>
      <c r="O1326" s="12" t="n">
        <v>1</v>
      </c>
      <c r="P1326" s="12" t="n"/>
      <c r="Q1326" s="12" t="n"/>
      <c r="R1326" s="12" t="n"/>
      <c r="S1326" s="12" t="inlineStr">
        <is>
          <t>Tray / conduit</t>
        </is>
      </c>
      <c r="T1326" s="16" t="n">
        <v>41</v>
      </c>
      <c r="U1326" s="16" t="n">
        <v>10</v>
      </c>
      <c r="V1326" s="16">
        <f>ROUNDUP((T1326+U1326+2*'Read Me'!$B$13)*(1+'Read Me'!$B$12),-1)</f>
        <v/>
      </c>
      <c r="W1326" s="16">
        <f>V1326*N1326*O1326</f>
        <v/>
      </c>
      <c r="X1326" s="12">
        <f>IF(LEFT(I1326,2)="MV",2*N1326*IF(L1326="1/C",O1326,1),0)</f>
        <v/>
      </c>
      <c r="Y1326" s="12">
        <f>IF(OR(LEFT(K1326,4)="LVAX",LEFT(K1326,6)="MV15AX",LEFT(K1326,4)="CTAX",LEFT(K1326,2)="W|"),2*N1326*O1326,0)</f>
        <v/>
      </c>
      <c r="Z1326" s="12" t="inlineStr">
        <is>
          <t>device-to-JB field wiring, one cable per device</t>
        </is>
      </c>
      <c r="AA1326" s="12">
        <f>N1326*O1326</f>
        <v/>
      </c>
    </row>
    <row r="1327">
      <c r="A1327" s="12" t="inlineStr">
        <is>
          <t>A-I-0605</t>
        </is>
      </c>
      <c r="B1327" s="12" t="inlineStr">
        <is>
          <t>A</t>
        </is>
      </c>
      <c r="C1327" s="12" t="inlineStr">
        <is>
          <t>Power block</t>
        </is>
      </c>
      <c r="D1327" s="12" t="inlineStr">
        <is>
          <t>Home run JB-T-R2C: 13.8/0.48 k-DI01 to the control / marshalling room</t>
        </is>
      </c>
      <c r="E1327" s="12" t="inlineStr">
        <is>
          <t>R2C</t>
        </is>
      </c>
      <c r="F1327" s="12" t="inlineStr">
        <is>
          <t>R2C: unit / HRSG electrical e-house (32 x 40 ft)</t>
        </is>
      </c>
      <c r="G1327" s="12" t="inlineStr">
        <is>
          <t>JB-T-R2C: 13.8/0.48 k-DI01</t>
        </is>
      </c>
      <c r="H1327" s="12" t="inlineStr">
        <is>
          <t>T-R2C: 13.8/0.48 kV</t>
        </is>
      </c>
      <c r="I1327" s="12" t="inlineStr">
        <is>
          <t>Instrumentation</t>
        </is>
      </c>
      <c r="J1327" s="12" t="inlineStr">
        <is>
          <t>Instrumentation PLTC / TC-ER 300 V, #18 twisted shielded pairs, overall shield</t>
        </is>
      </c>
      <c r="K1327" s="12" t="inlineStr">
        <is>
          <t>PLTC|24 pr|18</t>
        </is>
      </c>
      <c r="L1327" s="12" t="inlineStr">
        <is>
          <t>24 pr</t>
        </is>
      </c>
      <c r="M1327" s="12" t="inlineStr">
        <is>
          <t>18</t>
        </is>
      </c>
      <c r="N1327" s="12" t="n">
        <v>1</v>
      </c>
      <c r="O1327" s="12" t="n">
        <v>1</v>
      </c>
      <c r="P1327" s="12" t="n"/>
      <c r="Q1327" s="12" t="n"/>
      <c r="R1327" s="12" t="n"/>
      <c r="S1327" s="12" t="inlineStr">
        <is>
          <t>Tray</t>
        </is>
      </c>
      <c r="T1327" s="16" t="n">
        <v>0</v>
      </c>
      <c r="U1327" s="16" t="n">
        <v>97</v>
      </c>
      <c r="V1327" s="16">
        <f>ROUNDUP((T1327+U1327+2*'Read Me'!$B$13)*(1+'Read Me'!$B$12),-1)</f>
        <v/>
      </c>
      <c r="W1327" s="16">
        <f>V1327*N1327*O1327</f>
        <v/>
      </c>
      <c r="X1327" s="12">
        <f>IF(LEFT(I1327,2)="MV",2*N1327*IF(L1327="1/C",O1327,1),0)</f>
        <v/>
      </c>
      <c r="Y1327" s="12">
        <f>IF(OR(LEFT(K1327,4)="LVAX",LEFT(K1327,6)="MV15AX",LEFT(K1327,4)="CTAX",LEFT(K1327,2)="W|"),2*N1327*O1327,0)</f>
        <v/>
      </c>
      <c r="Z1327" s="12" t="inlineStr"/>
      <c r="AA1327" s="12">
        <f>N1327*O1327</f>
        <v/>
      </c>
    </row>
    <row r="1328">
      <c r="A1328" s="12" t="inlineStr">
        <is>
          <t>A-I-0606</t>
        </is>
      </c>
      <c r="B1328" s="12" t="inlineStr">
        <is>
          <t>A</t>
        </is>
      </c>
      <c r="C1328" s="12" t="inlineStr">
        <is>
          <t>Power block</t>
        </is>
      </c>
      <c r="D1328" s="12" t="inlineStr">
        <is>
          <t>Analog instrument to JB JB-T-R3: 13.8/0.48 kV-AI01: 8 x 1 pr (field cables)</t>
        </is>
      </c>
      <c r="E1328" s="12" t="inlineStr"/>
      <c r="F1328" s="12" t="inlineStr">
        <is>
          <t>T-R3: 13.8/0.48 kV</t>
        </is>
      </c>
      <c r="G1328" s="12" t="inlineStr">
        <is>
          <t>JB-T-R3: 13.8/0.48 kV-AI01</t>
        </is>
      </c>
      <c r="H1328" s="12" t="inlineStr">
        <is>
          <t>T-R3: 13.8/0.48 kV</t>
        </is>
      </c>
      <c r="I1328" s="12" t="inlineStr">
        <is>
          <t>Instrumentation</t>
        </is>
      </c>
      <c r="J1328" s="12" t="inlineStr">
        <is>
          <t>Instrumentation PLTC / TC-ER 300 V, #18 twisted shielded pairs, overall shield</t>
        </is>
      </c>
      <c r="K1328" s="12" t="inlineStr">
        <is>
          <t>PLTC|1 pr|16</t>
        </is>
      </c>
      <c r="L1328" s="12" t="inlineStr">
        <is>
          <t>1 pr</t>
        </is>
      </c>
      <c r="M1328" s="12" t="inlineStr">
        <is>
          <t>16</t>
        </is>
      </c>
      <c r="N1328" s="12" t="n">
        <v>8</v>
      </c>
      <c r="O1328" s="12" t="n">
        <v>1</v>
      </c>
      <c r="P1328" s="12" t="n"/>
      <c r="Q1328" s="12" t="n"/>
      <c r="R1328" s="12" t="n"/>
      <c r="S1328" s="12" t="inlineStr">
        <is>
          <t>Tray / conduit</t>
        </is>
      </c>
      <c r="T1328" s="16" t="n">
        <v>41</v>
      </c>
      <c r="U1328" s="16" t="n">
        <v>10</v>
      </c>
      <c r="V1328" s="16">
        <f>ROUNDUP((T1328+U1328+2*'Read Me'!$B$13)*(1+'Read Me'!$B$12),-1)</f>
        <v/>
      </c>
      <c r="W1328" s="16">
        <f>V1328*N1328*O1328</f>
        <v/>
      </c>
      <c r="X1328" s="12">
        <f>IF(LEFT(I1328,2)="MV",2*N1328*IF(L1328="1/C",O1328,1),0)</f>
        <v/>
      </c>
      <c r="Y1328" s="12">
        <f>IF(OR(LEFT(K1328,4)="LVAX",LEFT(K1328,6)="MV15AX",LEFT(K1328,4)="CTAX",LEFT(K1328,2)="W|"),2*N1328*O1328,0)</f>
        <v/>
      </c>
      <c r="Z1328" s="12" t="inlineStr">
        <is>
          <t>device-to-JB field wiring, one cable per device</t>
        </is>
      </c>
      <c r="AA1328" s="12">
        <f>N1328*O1328</f>
        <v/>
      </c>
    </row>
    <row r="1329">
      <c r="A1329" s="12" t="inlineStr">
        <is>
          <t>A-I-0607</t>
        </is>
      </c>
      <c r="B1329" s="12" t="inlineStr">
        <is>
          <t>A</t>
        </is>
      </c>
      <c r="C1329" s="12" t="inlineStr">
        <is>
          <t>Power block</t>
        </is>
      </c>
      <c r="D1329" s="12" t="inlineStr">
        <is>
          <t>Home run JB-T-R3: 13.8/0.48 kV-AI01 to the control / marshalling room</t>
        </is>
      </c>
      <c r="E1329" s="12" t="inlineStr">
        <is>
          <t>R3</t>
        </is>
      </c>
      <c r="F1329" s="12" t="inlineStr">
        <is>
          <t>R3: ST auxiliary electrical e-house (40 x 65 ft)</t>
        </is>
      </c>
      <c r="G1329" s="12" t="inlineStr">
        <is>
          <t>JB-T-R3: 13.8/0.48 kV-AI01</t>
        </is>
      </c>
      <c r="H1329" s="12" t="inlineStr">
        <is>
          <t>T-R3: 13.8/0.48 kV</t>
        </is>
      </c>
      <c r="I1329" s="12" t="inlineStr">
        <is>
          <t>Instrumentation</t>
        </is>
      </c>
      <c r="J1329" s="12" t="inlineStr">
        <is>
          <t>Instrumentation PLTC / TC-ER 300 V, #18 twisted shielded pairs, overall shield</t>
        </is>
      </c>
      <c r="K1329" s="12" t="inlineStr">
        <is>
          <t>PLTC|24 pr|18</t>
        </is>
      </c>
      <c r="L1329" s="12" t="inlineStr">
        <is>
          <t>24 pr</t>
        </is>
      </c>
      <c r="M1329" s="12" t="inlineStr">
        <is>
          <t>18</t>
        </is>
      </c>
      <c r="N1329" s="12" t="n">
        <v>1</v>
      </c>
      <c r="O1329" s="12" t="n">
        <v>1</v>
      </c>
      <c r="P1329" s="12" t="n"/>
      <c r="Q1329" s="12" t="n"/>
      <c r="R1329" s="12" t="n"/>
      <c r="S1329" s="12" t="inlineStr">
        <is>
          <t>Duct bank</t>
        </is>
      </c>
      <c r="T1329" s="16" t="n">
        <v>0</v>
      </c>
      <c r="U1329" s="16" t="n">
        <v>71</v>
      </c>
      <c r="V1329" s="16">
        <f>ROUNDUP((T1329+U1329+2*'Read Me'!$B$13)*(1+'Read Me'!$B$12),-1)</f>
        <v/>
      </c>
      <c r="W1329" s="16">
        <f>V1329*N1329*O1329</f>
        <v/>
      </c>
      <c r="X1329" s="12">
        <f>IF(LEFT(I1329,2)="MV",2*N1329*IF(L1329="1/C",O1329,1),0)</f>
        <v/>
      </c>
      <c r="Y1329" s="12">
        <f>IF(OR(LEFT(K1329,4)="LVAX",LEFT(K1329,6)="MV15AX",LEFT(K1329,4)="CTAX",LEFT(K1329,2)="W|"),2*N1329*O1329,0)</f>
        <v/>
      </c>
      <c r="Z1329" s="12" t="inlineStr"/>
      <c r="AA1329" s="12">
        <f>N1329*O1329</f>
        <v/>
      </c>
    </row>
    <row r="1330">
      <c r="A1330" s="12" t="inlineStr">
        <is>
          <t>A-I-0608</t>
        </is>
      </c>
      <c r="B1330" s="12" t="inlineStr">
        <is>
          <t>A</t>
        </is>
      </c>
      <c r="C1330" s="12" t="inlineStr">
        <is>
          <t>Power block</t>
        </is>
      </c>
      <c r="D1330" s="12" t="inlineStr">
        <is>
          <t>Discrete device to JB JB-T-R3: 13.8/0.48 kV-DI01: 16 x 1 pr (field cables)</t>
        </is>
      </c>
      <c r="E1330" s="12" t="inlineStr"/>
      <c r="F1330" s="12" t="inlineStr">
        <is>
          <t>T-R3: 13.8/0.48 kV</t>
        </is>
      </c>
      <c r="G1330" s="12" t="inlineStr">
        <is>
          <t>JB-T-R3: 13.8/0.48 kV-DI01</t>
        </is>
      </c>
      <c r="H1330" s="12" t="inlineStr">
        <is>
          <t>T-R3: 13.8/0.48 kV</t>
        </is>
      </c>
      <c r="I1330" s="12" t="inlineStr">
        <is>
          <t>Instrumentation</t>
        </is>
      </c>
      <c r="J1330" s="12" t="inlineStr">
        <is>
          <t>Instrumentation PLTC / TC-ER 300 V, #18 twisted shielded pairs, overall shield</t>
        </is>
      </c>
      <c r="K1330" s="12" t="inlineStr">
        <is>
          <t>PLTC|1 pr|16</t>
        </is>
      </c>
      <c r="L1330" s="12" t="inlineStr">
        <is>
          <t>1 pr</t>
        </is>
      </c>
      <c r="M1330" s="12" t="inlineStr">
        <is>
          <t>16</t>
        </is>
      </c>
      <c r="N1330" s="12" t="n">
        <v>16</v>
      </c>
      <c r="O1330" s="12" t="n">
        <v>1</v>
      </c>
      <c r="P1330" s="12" t="n"/>
      <c r="Q1330" s="12" t="n"/>
      <c r="R1330" s="12" t="n"/>
      <c r="S1330" s="12" t="inlineStr">
        <is>
          <t>Tray / conduit</t>
        </is>
      </c>
      <c r="T1330" s="16" t="n">
        <v>41</v>
      </c>
      <c r="U1330" s="16" t="n">
        <v>10</v>
      </c>
      <c r="V1330" s="16">
        <f>ROUNDUP((T1330+U1330+2*'Read Me'!$B$13)*(1+'Read Me'!$B$12),-1)</f>
        <v/>
      </c>
      <c r="W1330" s="16">
        <f>V1330*N1330*O1330</f>
        <v/>
      </c>
      <c r="X1330" s="12">
        <f>IF(LEFT(I1330,2)="MV",2*N1330*IF(L1330="1/C",O1330,1),0)</f>
        <v/>
      </c>
      <c r="Y1330" s="12">
        <f>IF(OR(LEFT(K1330,4)="LVAX",LEFT(K1330,6)="MV15AX",LEFT(K1330,4)="CTAX",LEFT(K1330,2)="W|"),2*N1330*O1330,0)</f>
        <v/>
      </c>
      <c r="Z1330" s="12" t="inlineStr">
        <is>
          <t>device-to-JB field wiring, one cable per device</t>
        </is>
      </c>
      <c r="AA1330" s="12">
        <f>N1330*O1330</f>
        <v/>
      </c>
    </row>
    <row r="1331">
      <c r="A1331" s="12" t="inlineStr">
        <is>
          <t>A-I-0609</t>
        </is>
      </c>
      <c r="B1331" s="12" t="inlineStr">
        <is>
          <t>A</t>
        </is>
      </c>
      <c r="C1331" s="12" t="inlineStr">
        <is>
          <t>Power block</t>
        </is>
      </c>
      <c r="D1331" s="12" t="inlineStr">
        <is>
          <t>Home run JB-T-R3: 13.8/0.48 kV-DI01 to the control / marshalling room</t>
        </is>
      </c>
      <c r="E1331" s="12" t="inlineStr">
        <is>
          <t>R3</t>
        </is>
      </c>
      <c r="F1331" s="12" t="inlineStr">
        <is>
          <t>R3: ST auxiliary electrical e-house (40 x 65 ft)</t>
        </is>
      </c>
      <c r="G1331" s="12" t="inlineStr">
        <is>
          <t>JB-T-R3: 13.8/0.48 kV-DI01</t>
        </is>
      </c>
      <c r="H1331" s="12" t="inlineStr">
        <is>
          <t>T-R3: 13.8/0.48 kV</t>
        </is>
      </c>
      <c r="I1331" s="12" t="inlineStr">
        <is>
          <t>Instrumentation</t>
        </is>
      </c>
      <c r="J1331" s="12" t="inlineStr">
        <is>
          <t>Instrumentation PLTC / TC-ER 300 V, #18 twisted shielded pairs, overall shield</t>
        </is>
      </c>
      <c r="K1331" s="12" t="inlineStr">
        <is>
          <t>PLTC|24 pr|18</t>
        </is>
      </c>
      <c r="L1331" s="12" t="inlineStr">
        <is>
          <t>24 pr</t>
        </is>
      </c>
      <c r="M1331" s="12" t="inlineStr">
        <is>
          <t>18</t>
        </is>
      </c>
      <c r="N1331" s="12" t="n">
        <v>1</v>
      </c>
      <c r="O1331" s="12" t="n">
        <v>1</v>
      </c>
      <c r="P1331" s="12" t="n"/>
      <c r="Q1331" s="12" t="n"/>
      <c r="R1331" s="12" t="n"/>
      <c r="S1331" s="12" t="inlineStr">
        <is>
          <t>Duct bank</t>
        </is>
      </c>
      <c r="T1331" s="16" t="n">
        <v>0</v>
      </c>
      <c r="U1331" s="16" t="n">
        <v>71</v>
      </c>
      <c r="V1331" s="16">
        <f>ROUNDUP((T1331+U1331+2*'Read Me'!$B$13)*(1+'Read Me'!$B$12),-1)</f>
        <v/>
      </c>
      <c r="W1331" s="16">
        <f>V1331*N1331*O1331</f>
        <v/>
      </c>
      <c r="X1331" s="12">
        <f>IF(LEFT(I1331,2)="MV",2*N1331*IF(L1331="1/C",O1331,1),0)</f>
        <v/>
      </c>
      <c r="Y1331" s="12">
        <f>IF(OR(LEFT(K1331,4)="LVAX",LEFT(K1331,6)="MV15AX",LEFT(K1331,4)="CTAX",LEFT(K1331,2)="W|"),2*N1331*O1331,0)</f>
        <v/>
      </c>
      <c r="Z1331" s="12" t="inlineStr"/>
      <c r="AA1331" s="12">
        <f>N1331*O1331</f>
        <v/>
      </c>
    </row>
    <row r="1332">
      <c r="A1332" s="12" t="inlineStr">
        <is>
          <t>A-I-0610</t>
        </is>
      </c>
      <c r="B1332" s="12" t="inlineStr">
        <is>
          <t>A</t>
        </is>
      </c>
      <c r="C1332" s="12" t="inlineStr">
        <is>
          <t>Power block</t>
        </is>
      </c>
      <c r="D1332" s="12" t="inlineStr">
        <is>
          <t>Analog instrument to JB JB-T4-A-AI01: 8 x 1 pr (field cables)</t>
        </is>
      </c>
      <c r="E1332" s="12" t="inlineStr">
        <is>
          <t>T4-A</t>
        </is>
      </c>
      <c r="F1332" s="12" t="inlineStr">
        <is>
          <t>T4-A: 13.8/4.16 kV station transformer</t>
        </is>
      </c>
      <c r="G1332" s="12" t="inlineStr">
        <is>
          <t>JB-T4-A-AI01</t>
        </is>
      </c>
      <c r="H1332" s="12" t="inlineStr">
        <is>
          <t>T4-A: 13.8/4.16 kV station transformer</t>
        </is>
      </c>
      <c r="I1332" s="12" t="inlineStr">
        <is>
          <t>Instrumentation</t>
        </is>
      </c>
      <c r="J1332" s="12" t="inlineStr">
        <is>
          <t>Instrumentation PLTC / TC-ER 300 V, #18 twisted shielded pairs, overall shield</t>
        </is>
      </c>
      <c r="K1332" s="12" t="inlineStr">
        <is>
          <t>PLTC|1 pr|16</t>
        </is>
      </c>
      <c r="L1332" s="12" t="inlineStr">
        <is>
          <t>1 pr</t>
        </is>
      </c>
      <c r="M1332" s="12" t="inlineStr">
        <is>
          <t>16</t>
        </is>
      </c>
      <c r="N1332" s="12" t="n">
        <v>8</v>
      </c>
      <c r="O1332" s="12" t="n">
        <v>1</v>
      </c>
      <c r="P1332" s="12" t="n"/>
      <c r="Q1332" s="12" t="n"/>
      <c r="R1332" s="12" t="n"/>
      <c r="S1332" s="12" t="inlineStr">
        <is>
          <t>Tray / conduit</t>
        </is>
      </c>
      <c r="T1332" s="16" t="n">
        <v>49</v>
      </c>
      <c r="U1332" s="16" t="n">
        <v>10</v>
      </c>
      <c r="V1332" s="16">
        <f>ROUNDUP((T1332+U1332+2*'Read Me'!$B$13)*(1+'Read Me'!$B$12),-1)</f>
        <v/>
      </c>
      <c r="W1332" s="16">
        <f>V1332*N1332*O1332</f>
        <v/>
      </c>
      <c r="X1332" s="12">
        <f>IF(LEFT(I1332,2)="MV",2*N1332*IF(L1332="1/C",O1332,1),0)</f>
        <v/>
      </c>
      <c r="Y1332" s="12">
        <f>IF(OR(LEFT(K1332,4)="LVAX",LEFT(K1332,6)="MV15AX",LEFT(K1332,4)="CTAX",LEFT(K1332,2)="W|"),2*N1332*O1332,0)</f>
        <v/>
      </c>
      <c r="Z1332" s="12" t="inlineStr">
        <is>
          <t>device-to-JB field wiring, one cable per device</t>
        </is>
      </c>
      <c r="AA1332" s="12">
        <f>N1332*O1332</f>
        <v/>
      </c>
    </row>
    <row r="1333">
      <c r="A1333" s="12" t="inlineStr">
        <is>
          <t>A-I-0611</t>
        </is>
      </c>
      <c r="B1333" s="12" t="inlineStr">
        <is>
          <t>A</t>
        </is>
      </c>
      <c r="C1333" s="12" t="inlineStr">
        <is>
          <t>Power block</t>
        </is>
      </c>
      <c r="D1333" s="12" t="inlineStr">
        <is>
          <t>Home run JB-T4-A-AI01 to the control / marshalling room</t>
        </is>
      </c>
      <c r="E1333" s="12" t="inlineStr">
        <is>
          <t>R1</t>
        </is>
      </c>
      <c r="F1333" s="12" t="inlineStr">
        <is>
          <t>R1: main electrical building (64 x 180 ft)</t>
        </is>
      </c>
      <c r="G1333" s="12" t="inlineStr">
        <is>
          <t>JB-T4-A-AI01</t>
        </is>
      </c>
      <c r="H1333" s="12" t="inlineStr">
        <is>
          <t>T4-A: 13.8/4.16 kV station transformer</t>
        </is>
      </c>
      <c r="I1333" s="12" t="inlineStr">
        <is>
          <t>Instrumentation</t>
        </is>
      </c>
      <c r="J1333" s="12" t="inlineStr">
        <is>
          <t>Instrumentation PLTC / TC-ER 300 V, #18 twisted shielded pairs, overall shield</t>
        </is>
      </c>
      <c r="K1333" s="12" t="inlineStr">
        <is>
          <t>PLTC|24 pr|18</t>
        </is>
      </c>
      <c r="L1333" s="12" t="inlineStr">
        <is>
          <t>24 pr</t>
        </is>
      </c>
      <c r="M1333" s="12" t="inlineStr">
        <is>
          <t>18</t>
        </is>
      </c>
      <c r="N1333" s="12" t="n">
        <v>1</v>
      </c>
      <c r="O1333" s="12" t="n">
        <v>1</v>
      </c>
      <c r="P1333" s="12" t="n"/>
      <c r="Q1333" s="12" t="n"/>
      <c r="R1333" s="12" t="n"/>
      <c r="S1333" s="12" t="inlineStr">
        <is>
          <t>Tray</t>
        </is>
      </c>
      <c r="T1333" s="16" t="n">
        <v>730</v>
      </c>
      <c r="U1333" s="16" t="n">
        <v>124</v>
      </c>
      <c r="V1333" s="16">
        <f>ROUNDUP((T1333+U1333+2*'Read Me'!$B$13)*(1+'Read Me'!$B$12),-1)</f>
        <v/>
      </c>
      <c r="W1333" s="16">
        <f>V1333*N1333*O1333</f>
        <v/>
      </c>
      <c r="X1333" s="12">
        <f>IF(LEFT(I1333,2)="MV",2*N1333*IF(L1333="1/C",O1333,1),0)</f>
        <v/>
      </c>
      <c r="Y1333" s="12">
        <f>IF(OR(LEFT(K1333,4)="LVAX",LEFT(K1333,6)="MV15AX",LEFT(K1333,4)="CTAX",LEFT(K1333,2)="W|"),2*N1333*O1333,0)</f>
        <v/>
      </c>
      <c r="Z1333" s="12" t="inlineStr"/>
      <c r="AA1333" s="12">
        <f>N1333*O1333</f>
        <v/>
      </c>
    </row>
    <row r="1334">
      <c r="A1334" s="12" t="inlineStr">
        <is>
          <t>A-I-0612</t>
        </is>
      </c>
      <c r="B1334" s="12" t="inlineStr">
        <is>
          <t>A</t>
        </is>
      </c>
      <c r="C1334" s="12" t="inlineStr">
        <is>
          <t>Power block</t>
        </is>
      </c>
      <c r="D1334" s="12" t="inlineStr">
        <is>
          <t>Discrete device to JB JB-T4-A-DI01: 16 x 1 pr (field cables)</t>
        </is>
      </c>
      <c r="E1334" s="12" t="inlineStr">
        <is>
          <t>T4-A</t>
        </is>
      </c>
      <c r="F1334" s="12" t="inlineStr">
        <is>
          <t>T4-A: 13.8/4.16 kV station transformer</t>
        </is>
      </c>
      <c r="G1334" s="12" t="inlineStr">
        <is>
          <t>JB-T4-A-DI01</t>
        </is>
      </c>
      <c r="H1334" s="12" t="inlineStr">
        <is>
          <t>T4-A: 13.8/4.16 kV station transformer</t>
        </is>
      </c>
      <c r="I1334" s="12" t="inlineStr">
        <is>
          <t>Instrumentation</t>
        </is>
      </c>
      <c r="J1334" s="12" t="inlineStr">
        <is>
          <t>Instrumentation PLTC / TC-ER 300 V, #18 twisted shielded pairs, overall shield</t>
        </is>
      </c>
      <c r="K1334" s="12" t="inlineStr">
        <is>
          <t>PLTC|1 pr|16</t>
        </is>
      </c>
      <c r="L1334" s="12" t="inlineStr">
        <is>
          <t>1 pr</t>
        </is>
      </c>
      <c r="M1334" s="12" t="inlineStr">
        <is>
          <t>16</t>
        </is>
      </c>
      <c r="N1334" s="12" t="n">
        <v>16</v>
      </c>
      <c r="O1334" s="12" t="n">
        <v>1</v>
      </c>
      <c r="P1334" s="12" t="n"/>
      <c r="Q1334" s="12" t="n"/>
      <c r="R1334" s="12" t="n"/>
      <c r="S1334" s="12" t="inlineStr">
        <is>
          <t>Tray / conduit</t>
        </is>
      </c>
      <c r="T1334" s="16" t="n">
        <v>49</v>
      </c>
      <c r="U1334" s="16" t="n">
        <v>10</v>
      </c>
      <c r="V1334" s="16">
        <f>ROUNDUP((T1334+U1334+2*'Read Me'!$B$13)*(1+'Read Me'!$B$12),-1)</f>
        <v/>
      </c>
      <c r="W1334" s="16">
        <f>V1334*N1334*O1334</f>
        <v/>
      </c>
      <c r="X1334" s="12">
        <f>IF(LEFT(I1334,2)="MV",2*N1334*IF(L1334="1/C",O1334,1),0)</f>
        <v/>
      </c>
      <c r="Y1334" s="12">
        <f>IF(OR(LEFT(K1334,4)="LVAX",LEFT(K1334,6)="MV15AX",LEFT(K1334,4)="CTAX",LEFT(K1334,2)="W|"),2*N1334*O1334,0)</f>
        <v/>
      </c>
      <c r="Z1334" s="12" t="inlineStr">
        <is>
          <t>device-to-JB field wiring, one cable per device</t>
        </is>
      </c>
      <c r="AA1334" s="12">
        <f>N1334*O1334</f>
        <v/>
      </c>
    </row>
    <row r="1335">
      <c r="A1335" s="12" t="inlineStr">
        <is>
          <t>A-I-0613</t>
        </is>
      </c>
      <c r="B1335" s="12" t="inlineStr">
        <is>
          <t>A</t>
        </is>
      </c>
      <c r="C1335" s="12" t="inlineStr">
        <is>
          <t>Power block</t>
        </is>
      </c>
      <c r="D1335" s="12" t="inlineStr">
        <is>
          <t>Home run JB-T4-A-DI01 to the control / marshalling room</t>
        </is>
      </c>
      <c r="E1335" s="12" t="inlineStr">
        <is>
          <t>R1</t>
        </is>
      </c>
      <c r="F1335" s="12" t="inlineStr">
        <is>
          <t>R1: main electrical building (64 x 180 ft)</t>
        </is>
      </c>
      <c r="G1335" s="12" t="inlineStr">
        <is>
          <t>JB-T4-A-DI01</t>
        </is>
      </c>
      <c r="H1335" s="12" t="inlineStr">
        <is>
          <t>T4-A: 13.8/4.16 kV station transformer</t>
        </is>
      </c>
      <c r="I1335" s="12" t="inlineStr">
        <is>
          <t>Instrumentation</t>
        </is>
      </c>
      <c r="J1335" s="12" t="inlineStr">
        <is>
          <t>Instrumentation PLTC / TC-ER 300 V, #18 twisted shielded pairs, overall shield</t>
        </is>
      </c>
      <c r="K1335" s="12" t="inlineStr">
        <is>
          <t>PLTC|24 pr|18</t>
        </is>
      </c>
      <c r="L1335" s="12" t="inlineStr">
        <is>
          <t>24 pr</t>
        </is>
      </c>
      <c r="M1335" s="12" t="inlineStr">
        <is>
          <t>18</t>
        </is>
      </c>
      <c r="N1335" s="12" t="n">
        <v>1</v>
      </c>
      <c r="O1335" s="12" t="n">
        <v>1</v>
      </c>
      <c r="P1335" s="12" t="n"/>
      <c r="Q1335" s="12" t="n"/>
      <c r="R1335" s="12" t="n"/>
      <c r="S1335" s="12" t="inlineStr">
        <is>
          <t>Tray</t>
        </is>
      </c>
      <c r="T1335" s="16" t="n">
        <v>730</v>
      </c>
      <c r="U1335" s="16" t="n">
        <v>124</v>
      </c>
      <c r="V1335" s="16">
        <f>ROUNDUP((T1335+U1335+2*'Read Me'!$B$13)*(1+'Read Me'!$B$12),-1)</f>
        <v/>
      </c>
      <c r="W1335" s="16">
        <f>V1335*N1335*O1335</f>
        <v/>
      </c>
      <c r="X1335" s="12">
        <f>IF(LEFT(I1335,2)="MV",2*N1335*IF(L1335="1/C",O1335,1),0)</f>
        <v/>
      </c>
      <c r="Y1335" s="12">
        <f>IF(OR(LEFT(K1335,4)="LVAX",LEFT(K1335,6)="MV15AX",LEFT(K1335,4)="CTAX",LEFT(K1335,2)="W|"),2*N1335*O1335,0)</f>
        <v/>
      </c>
      <c r="Z1335" s="12" t="inlineStr"/>
      <c r="AA1335" s="12">
        <f>N1335*O1335</f>
        <v/>
      </c>
    </row>
    <row r="1336">
      <c r="A1336" s="12" t="inlineStr">
        <is>
          <t>A-I-0614</t>
        </is>
      </c>
      <c r="B1336" s="12" t="inlineStr">
        <is>
          <t>A</t>
        </is>
      </c>
      <c r="C1336" s="12" t="inlineStr">
        <is>
          <t>Power block</t>
        </is>
      </c>
      <c r="D1336" s="12" t="inlineStr">
        <is>
          <t>Analog instrument to JB JB-T4-B-AI01: 8 x 1 pr (field cables)</t>
        </is>
      </c>
      <c r="E1336" s="12" t="inlineStr">
        <is>
          <t>T4-B</t>
        </is>
      </c>
      <c r="F1336" s="12" t="inlineStr">
        <is>
          <t>T4-B: 13.8/4.16 kV station transformer</t>
        </is>
      </c>
      <c r="G1336" s="12" t="inlineStr">
        <is>
          <t>JB-T4-B-AI01</t>
        </is>
      </c>
      <c r="H1336" s="12" t="inlineStr">
        <is>
          <t>T4-B: 13.8/4.16 kV station transformer</t>
        </is>
      </c>
      <c r="I1336" s="12" t="inlineStr">
        <is>
          <t>Instrumentation</t>
        </is>
      </c>
      <c r="J1336" s="12" t="inlineStr">
        <is>
          <t>Instrumentation PLTC / TC-ER 300 V, #18 twisted shielded pairs, overall shield</t>
        </is>
      </c>
      <c r="K1336" s="12" t="inlineStr">
        <is>
          <t>PLTC|1 pr|16</t>
        </is>
      </c>
      <c r="L1336" s="12" t="inlineStr">
        <is>
          <t>1 pr</t>
        </is>
      </c>
      <c r="M1336" s="12" t="inlineStr">
        <is>
          <t>16</t>
        </is>
      </c>
      <c r="N1336" s="12" t="n">
        <v>8</v>
      </c>
      <c r="O1336" s="12" t="n">
        <v>1</v>
      </c>
      <c r="P1336" s="12" t="n"/>
      <c r="Q1336" s="12" t="n"/>
      <c r="R1336" s="12" t="n"/>
      <c r="S1336" s="12" t="inlineStr">
        <is>
          <t>Tray / conduit</t>
        </is>
      </c>
      <c r="T1336" s="16" t="n">
        <v>49</v>
      </c>
      <c r="U1336" s="16" t="n">
        <v>10</v>
      </c>
      <c r="V1336" s="16">
        <f>ROUNDUP((T1336+U1336+2*'Read Me'!$B$13)*(1+'Read Me'!$B$12),-1)</f>
        <v/>
      </c>
      <c r="W1336" s="16">
        <f>V1336*N1336*O1336</f>
        <v/>
      </c>
      <c r="X1336" s="12">
        <f>IF(LEFT(I1336,2)="MV",2*N1336*IF(L1336="1/C",O1336,1),0)</f>
        <v/>
      </c>
      <c r="Y1336" s="12">
        <f>IF(OR(LEFT(K1336,4)="LVAX",LEFT(K1336,6)="MV15AX",LEFT(K1336,4)="CTAX",LEFT(K1336,2)="W|"),2*N1336*O1336,0)</f>
        <v/>
      </c>
      <c r="Z1336" s="12" t="inlineStr">
        <is>
          <t>device-to-JB field wiring, one cable per device</t>
        </is>
      </c>
      <c r="AA1336" s="12">
        <f>N1336*O1336</f>
        <v/>
      </c>
    </row>
    <row r="1337">
      <c r="A1337" s="12" t="inlineStr">
        <is>
          <t>A-I-0615</t>
        </is>
      </c>
      <c r="B1337" s="12" t="inlineStr">
        <is>
          <t>A</t>
        </is>
      </c>
      <c r="C1337" s="12" t="inlineStr">
        <is>
          <t>Power block</t>
        </is>
      </c>
      <c r="D1337" s="12" t="inlineStr">
        <is>
          <t>Home run JB-T4-B-AI01 to the control / marshalling room</t>
        </is>
      </c>
      <c r="E1337" s="12" t="inlineStr">
        <is>
          <t>R1</t>
        </is>
      </c>
      <c r="F1337" s="12" t="inlineStr">
        <is>
          <t>R1: main electrical building (64 x 180 ft)</t>
        </is>
      </c>
      <c r="G1337" s="12" t="inlineStr">
        <is>
          <t>JB-T4-B-AI01</t>
        </is>
      </c>
      <c r="H1337" s="12" t="inlineStr">
        <is>
          <t>T4-B: 13.8/4.16 kV station transformer</t>
        </is>
      </c>
      <c r="I1337" s="12" t="inlineStr">
        <is>
          <t>Instrumentation</t>
        </is>
      </c>
      <c r="J1337" s="12" t="inlineStr">
        <is>
          <t>Instrumentation PLTC / TC-ER 300 V, #18 twisted shielded pairs, overall shield</t>
        </is>
      </c>
      <c r="K1337" s="12" t="inlineStr">
        <is>
          <t>PLTC|24 pr|18</t>
        </is>
      </c>
      <c r="L1337" s="12" t="inlineStr">
        <is>
          <t>24 pr</t>
        </is>
      </c>
      <c r="M1337" s="12" t="inlineStr">
        <is>
          <t>18</t>
        </is>
      </c>
      <c r="N1337" s="12" t="n">
        <v>1</v>
      </c>
      <c r="O1337" s="12" t="n">
        <v>1</v>
      </c>
      <c r="P1337" s="12" t="n"/>
      <c r="Q1337" s="12" t="n"/>
      <c r="R1337" s="12" t="n"/>
      <c r="S1337" s="12" t="inlineStr">
        <is>
          <t>Tray</t>
        </is>
      </c>
      <c r="T1337" s="16" t="n">
        <v>752</v>
      </c>
      <c r="U1337" s="16" t="n">
        <v>124</v>
      </c>
      <c r="V1337" s="16">
        <f>ROUNDUP((T1337+U1337+2*'Read Me'!$B$13)*(1+'Read Me'!$B$12),-1)</f>
        <v/>
      </c>
      <c r="W1337" s="16">
        <f>V1337*N1337*O1337</f>
        <v/>
      </c>
      <c r="X1337" s="12">
        <f>IF(LEFT(I1337,2)="MV",2*N1337*IF(L1337="1/C",O1337,1),0)</f>
        <v/>
      </c>
      <c r="Y1337" s="12">
        <f>IF(OR(LEFT(K1337,4)="LVAX",LEFT(K1337,6)="MV15AX",LEFT(K1337,4)="CTAX",LEFT(K1337,2)="W|"),2*N1337*O1337,0)</f>
        <v/>
      </c>
      <c r="Z1337" s="12" t="inlineStr"/>
      <c r="AA1337" s="12">
        <f>N1337*O1337</f>
        <v/>
      </c>
    </row>
    <row r="1338">
      <c r="A1338" s="12" t="inlineStr">
        <is>
          <t>A-I-0616</t>
        </is>
      </c>
      <c r="B1338" s="12" t="inlineStr">
        <is>
          <t>A</t>
        </is>
      </c>
      <c r="C1338" s="12" t="inlineStr">
        <is>
          <t>Power block</t>
        </is>
      </c>
      <c r="D1338" s="12" t="inlineStr">
        <is>
          <t>Discrete device to JB JB-T4-B-DI01: 16 x 1 pr (field cables)</t>
        </is>
      </c>
      <c r="E1338" s="12" t="inlineStr">
        <is>
          <t>T4-B</t>
        </is>
      </c>
      <c r="F1338" s="12" t="inlineStr">
        <is>
          <t>T4-B: 13.8/4.16 kV station transformer</t>
        </is>
      </c>
      <c r="G1338" s="12" t="inlineStr">
        <is>
          <t>JB-T4-B-DI01</t>
        </is>
      </c>
      <c r="H1338" s="12" t="inlineStr">
        <is>
          <t>T4-B: 13.8/4.16 kV station transformer</t>
        </is>
      </c>
      <c r="I1338" s="12" t="inlineStr">
        <is>
          <t>Instrumentation</t>
        </is>
      </c>
      <c r="J1338" s="12" t="inlineStr">
        <is>
          <t>Instrumentation PLTC / TC-ER 300 V, #18 twisted shielded pairs, overall shield</t>
        </is>
      </c>
      <c r="K1338" s="12" t="inlineStr">
        <is>
          <t>PLTC|1 pr|16</t>
        </is>
      </c>
      <c r="L1338" s="12" t="inlineStr">
        <is>
          <t>1 pr</t>
        </is>
      </c>
      <c r="M1338" s="12" t="inlineStr">
        <is>
          <t>16</t>
        </is>
      </c>
      <c r="N1338" s="12" t="n">
        <v>16</v>
      </c>
      <c r="O1338" s="12" t="n">
        <v>1</v>
      </c>
      <c r="P1338" s="12" t="n"/>
      <c r="Q1338" s="12" t="n"/>
      <c r="R1338" s="12" t="n"/>
      <c r="S1338" s="12" t="inlineStr">
        <is>
          <t>Tray / conduit</t>
        </is>
      </c>
      <c r="T1338" s="16" t="n">
        <v>49</v>
      </c>
      <c r="U1338" s="16" t="n">
        <v>10</v>
      </c>
      <c r="V1338" s="16">
        <f>ROUNDUP((T1338+U1338+2*'Read Me'!$B$13)*(1+'Read Me'!$B$12),-1)</f>
        <v/>
      </c>
      <c r="W1338" s="16">
        <f>V1338*N1338*O1338</f>
        <v/>
      </c>
      <c r="X1338" s="12">
        <f>IF(LEFT(I1338,2)="MV",2*N1338*IF(L1338="1/C",O1338,1),0)</f>
        <v/>
      </c>
      <c r="Y1338" s="12">
        <f>IF(OR(LEFT(K1338,4)="LVAX",LEFT(K1338,6)="MV15AX",LEFT(K1338,4)="CTAX",LEFT(K1338,2)="W|"),2*N1338*O1338,0)</f>
        <v/>
      </c>
      <c r="Z1338" s="12" t="inlineStr">
        <is>
          <t>device-to-JB field wiring, one cable per device</t>
        </is>
      </c>
      <c r="AA1338" s="12">
        <f>N1338*O1338</f>
        <v/>
      </c>
    </row>
    <row r="1339">
      <c r="A1339" s="12" t="inlineStr">
        <is>
          <t>A-I-0617</t>
        </is>
      </c>
      <c r="B1339" s="12" t="inlineStr">
        <is>
          <t>A</t>
        </is>
      </c>
      <c r="C1339" s="12" t="inlineStr">
        <is>
          <t>Power block</t>
        </is>
      </c>
      <c r="D1339" s="12" t="inlineStr">
        <is>
          <t>Home run JB-T4-B-DI01 to the control / marshalling room</t>
        </is>
      </c>
      <c r="E1339" s="12" t="inlineStr">
        <is>
          <t>R1</t>
        </is>
      </c>
      <c r="F1339" s="12" t="inlineStr">
        <is>
          <t>R1: main electrical building (64 x 180 ft)</t>
        </is>
      </c>
      <c r="G1339" s="12" t="inlineStr">
        <is>
          <t>JB-T4-B-DI01</t>
        </is>
      </c>
      <c r="H1339" s="12" t="inlineStr">
        <is>
          <t>T4-B: 13.8/4.16 kV station transformer</t>
        </is>
      </c>
      <c r="I1339" s="12" t="inlineStr">
        <is>
          <t>Instrumentation</t>
        </is>
      </c>
      <c r="J1339" s="12" t="inlineStr">
        <is>
          <t>Instrumentation PLTC / TC-ER 300 V, #18 twisted shielded pairs, overall shield</t>
        </is>
      </c>
      <c r="K1339" s="12" t="inlineStr">
        <is>
          <t>PLTC|24 pr|18</t>
        </is>
      </c>
      <c r="L1339" s="12" t="inlineStr">
        <is>
          <t>24 pr</t>
        </is>
      </c>
      <c r="M1339" s="12" t="inlineStr">
        <is>
          <t>18</t>
        </is>
      </c>
      <c r="N1339" s="12" t="n">
        <v>1</v>
      </c>
      <c r="O1339" s="12" t="n">
        <v>1</v>
      </c>
      <c r="P1339" s="12" t="n"/>
      <c r="Q1339" s="12" t="n"/>
      <c r="R1339" s="12" t="n"/>
      <c r="S1339" s="12" t="inlineStr">
        <is>
          <t>Tray</t>
        </is>
      </c>
      <c r="T1339" s="16" t="n">
        <v>752</v>
      </c>
      <c r="U1339" s="16" t="n">
        <v>124</v>
      </c>
      <c r="V1339" s="16">
        <f>ROUNDUP((T1339+U1339+2*'Read Me'!$B$13)*(1+'Read Me'!$B$12),-1)</f>
        <v/>
      </c>
      <c r="W1339" s="16">
        <f>V1339*N1339*O1339</f>
        <v/>
      </c>
      <c r="X1339" s="12">
        <f>IF(LEFT(I1339,2)="MV",2*N1339*IF(L1339="1/C",O1339,1),0)</f>
        <v/>
      </c>
      <c r="Y1339" s="12">
        <f>IF(OR(LEFT(K1339,4)="LVAX",LEFT(K1339,6)="MV15AX",LEFT(K1339,4)="CTAX",LEFT(K1339,2)="W|"),2*N1339*O1339,0)</f>
        <v/>
      </c>
      <c r="Z1339" s="12" t="inlineStr"/>
      <c r="AA1339" s="12">
        <f>N1339*O1339</f>
        <v/>
      </c>
    </row>
    <row r="1340">
      <c r="A1340" s="12" t="inlineStr">
        <is>
          <t>A-I-0618</t>
        </is>
      </c>
      <c r="B1340" s="12" t="inlineStr">
        <is>
          <t>A</t>
        </is>
      </c>
      <c r="C1340" s="12" t="inlineStr">
        <is>
          <t>Power block</t>
        </is>
      </c>
      <c r="D1340" s="12" t="inlineStr">
        <is>
          <t>Instrumentation</t>
        </is>
      </c>
      <c r="E1340" s="12" t="inlineStr">
        <is>
          <t>R2A</t>
        </is>
      </c>
      <c r="F1340" s="12" t="inlineStr">
        <is>
          <t>R2A: unit / HRSG electrical e-house (32 x 40 ft)</t>
        </is>
      </c>
      <c r="G1340" s="12" t="inlineStr">
        <is>
          <t>TCP-1</t>
        </is>
      </c>
      <c r="H1340" s="12" t="inlineStr">
        <is>
          <t>TCP-1: GT1 turbine control and protection cabinets</t>
        </is>
      </c>
      <c r="I1340" s="12" t="inlineStr">
        <is>
          <t>Instrumentation</t>
        </is>
      </c>
      <c r="J1340" s="12" t="inlineStr">
        <is>
          <t>Instrumentation PLTC / TC-ER 300 V, #18 twisted shielded pairs, overall shield</t>
        </is>
      </c>
      <c r="K1340" s="12" t="inlineStr">
        <is>
          <t>PLTC|4 pr|18</t>
        </is>
      </c>
      <c r="L1340" s="12" t="inlineStr">
        <is>
          <t>4 pr</t>
        </is>
      </c>
      <c r="M1340" s="12" t="inlineStr">
        <is>
          <t>18</t>
        </is>
      </c>
      <c r="N1340" s="12" t="n">
        <v>1</v>
      </c>
      <c r="O1340" s="12" t="n">
        <v>1</v>
      </c>
      <c r="P1340" s="12" t="n"/>
      <c r="Q1340" s="12" t="n"/>
      <c r="R1340" s="12" t="n"/>
      <c r="S1340" s="12" t="inlineStr">
        <is>
          <t>Tray</t>
        </is>
      </c>
      <c r="T1340" s="16" t="n">
        <v>178</v>
      </c>
      <c r="U1340" s="16" t="n">
        <v>94</v>
      </c>
      <c r="V1340" s="16">
        <f>ROUNDUP((T1340+U1340+2*'Read Me'!$B$13)*(1+'Read Me'!$B$12),-1)</f>
        <v/>
      </c>
      <c r="W1340" s="16">
        <f>V1340*N1340*O1340</f>
        <v/>
      </c>
      <c r="X1340" s="12">
        <f>IF(LEFT(I1340,2)="MV",2*N1340*IF(L1340="1/C",O1340,1),0)</f>
        <v/>
      </c>
      <c r="Y1340" s="12">
        <f>IF(OR(LEFT(K1340,4)="LVAX",LEFT(K1340,6)="MV15AX",LEFT(K1340,4)="CTAX",LEFT(K1340,2)="W|"),2*N1340*O1340,0)</f>
        <v/>
      </c>
      <c r="Z1340" s="12" t="inlineStr"/>
      <c r="AA1340" s="12">
        <f>N1340*O1340</f>
        <v/>
      </c>
    </row>
    <row r="1341">
      <c r="A1341" s="12" t="inlineStr">
        <is>
          <t>A-I-0619</t>
        </is>
      </c>
      <c r="B1341" s="12" t="inlineStr">
        <is>
          <t>A</t>
        </is>
      </c>
      <c r="C1341" s="12" t="inlineStr">
        <is>
          <t>Power block</t>
        </is>
      </c>
      <c r="D1341" s="12" t="inlineStr">
        <is>
          <t>Instrumentation</t>
        </is>
      </c>
      <c r="E1341" s="12" t="inlineStr">
        <is>
          <t>R2B</t>
        </is>
      </c>
      <c r="F1341" s="12" t="inlineStr">
        <is>
          <t>R2B: unit / HRSG electrical e-house (32 x 40 ft)</t>
        </is>
      </c>
      <c r="G1341" s="12" t="inlineStr">
        <is>
          <t>TCP-2</t>
        </is>
      </c>
      <c r="H1341" s="12" t="inlineStr">
        <is>
          <t>TCP-2: GT2 turbine control and protection cabinets</t>
        </is>
      </c>
      <c r="I1341" s="12" t="inlineStr">
        <is>
          <t>Instrumentation</t>
        </is>
      </c>
      <c r="J1341" s="12" t="inlineStr">
        <is>
          <t>Instrumentation PLTC / TC-ER 300 V, #18 twisted shielded pairs, overall shield</t>
        </is>
      </c>
      <c r="K1341" s="12" t="inlineStr">
        <is>
          <t>PLTC|4 pr|18</t>
        </is>
      </c>
      <c r="L1341" s="12" t="inlineStr">
        <is>
          <t>4 pr</t>
        </is>
      </c>
      <c r="M1341" s="12" t="inlineStr">
        <is>
          <t>18</t>
        </is>
      </c>
      <c r="N1341" s="12" t="n">
        <v>1</v>
      </c>
      <c r="O1341" s="12" t="n">
        <v>1</v>
      </c>
      <c r="P1341" s="12" t="n"/>
      <c r="Q1341" s="12" t="n"/>
      <c r="R1341" s="12" t="n"/>
      <c r="S1341" s="12" t="inlineStr">
        <is>
          <t>Tray</t>
        </is>
      </c>
      <c r="T1341" s="16" t="n">
        <v>1069</v>
      </c>
      <c r="U1341" s="16" t="n">
        <v>184</v>
      </c>
      <c r="V1341" s="16">
        <f>ROUNDUP((T1341+U1341+2*'Read Me'!$B$13)*(1+'Read Me'!$B$12),-1)</f>
        <v/>
      </c>
      <c r="W1341" s="16">
        <f>V1341*N1341*O1341</f>
        <v/>
      </c>
      <c r="X1341" s="12">
        <f>IF(LEFT(I1341,2)="MV",2*N1341*IF(L1341="1/C",O1341,1),0)</f>
        <v/>
      </c>
      <c r="Y1341" s="12">
        <f>IF(OR(LEFT(K1341,4)="LVAX",LEFT(K1341,6)="MV15AX",LEFT(K1341,4)="CTAX",LEFT(K1341,2)="W|"),2*N1341*O1341,0)</f>
        <v/>
      </c>
      <c r="Z1341" s="12" t="inlineStr"/>
      <c r="AA1341" s="12">
        <f>N1341*O1341</f>
        <v/>
      </c>
    </row>
    <row r="1342">
      <c r="A1342" s="12" t="inlineStr">
        <is>
          <t>A-I-0620</t>
        </is>
      </c>
      <c r="B1342" s="12" t="inlineStr">
        <is>
          <t>A</t>
        </is>
      </c>
      <c r="C1342" s="12" t="inlineStr">
        <is>
          <t>Power block</t>
        </is>
      </c>
      <c r="D1342" s="12" t="inlineStr">
        <is>
          <t>Instrumentation</t>
        </is>
      </c>
      <c r="E1342" s="12" t="inlineStr">
        <is>
          <t>R2C</t>
        </is>
      </c>
      <c r="F1342" s="12" t="inlineStr">
        <is>
          <t>R2C: unit / HRSG electrical e-house (32 x 40 ft)</t>
        </is>
      </c>
      <c r="G1342" s="12" t="inlineStr">
        <is>
          <t>TCP-3</t>
        </is>
      </c>
      <c r="H1342" s="12" t="inlineStr">
        <is>
          <t>TCP-3: GT3 turbine control and protection cabinets</t>
        </is>
      </c>
      <c r="I1342" s="12" t="inlineStr">
        <is>
          <t>Instrumentation</t>
        </is>
      </c>
      <c r="J1342" s="12" t="inlineStr">
        <is>
          <t>Instrumentation PLTC / TC-ER 300 V, #18 twisted shielded pairs, overall shield</t>
        </is>
      </c>
      <c r="K1342" s="12" t="inlineStr">
        <is>
          <t>PLTC|4 pr|18</t>
        </is>
      </c>
      <c r="L1342" s="12" t="inlineStr">
        <is>
          <t>4 pr</t>
        </is>
      </c>
      <c r="M1342" s="12" t="inlineStr">
        <is>
          <t>18</t>
        </is>
      </c>
      <c r="N1342" s="12" t="n">
        <v>1</v>
      </c>
      <c r="O1342" s="12" t="n">
        <v>1</v>
      </c>
      <c r="P1342" s="12" t="n"/>
      <c r="Q1342" s="12" t="n"/>
      <c r="R1342" s="12" t="n"/>
      <c r="S1342" s="12" t="inlineStr">
        <is>
          <t>Tray</t>
        </is>
      </c>
      <c r="T1342" s="16" t="n">
        <v>1024</v>
      </c>
      <c r="U1342" s="16" t="n">
        <v>240</v>
      </c>
      <c r="V1342" s="16">
        <f>ROUNDUP((T1342+U1342+2*'Read Me'!$B$13)*(1+'Read Me'!$B$12),-1)</f>
        <v/>
      </c>
      <c r="W1342" s="16">
        <f>V1342*N1342*O1342</f>
        <v/>
      </c>
      <c r="X1342" s="12">
        <f>IF(LEFT(I1342,2)="MV",2*N1342*IF(L1342="1/C",O1342,1),0)</f>
        <v/>
      </c>
      <c r="Y1342" s="12">
        <f>IF(OR(LEFT(K1342,4)="LVAX",LEFT(K1342,6)="MV15AX",LEFT(K1342,4)="CTAX",LEFT(K1342,2)="W|"),2*N1342*O1342,0)</f>
        <v/>
      </c>
      <c r="Z1342" s="12" t="inlineStr"/>
      <c r="AA1342" s="12">
        <f>N1342*O1342</f>
        <v/>
      </c>
    </row>
    <row r="1343">
      <c r="A1343" s="12" t="inlineStr">
        <is>
          <t>A-I-0621</t>
        </is>
      </c>
      <c r="B1343" s="12" t="inlineStr">
        <is>
          <t>A</t>
        </is>
      </c>
      <c r="C1343" s="12" t="inlineStr">
        <is>
          <t>Power block</t>
        </is>
      </c>
      <c r="D1343" s="12" t="inlineStr">
        <is>
          <t>Instrumentation</t>
        </is>
      </c>
      <c r="E1343" s="12" t="inlineStr">
        <is>
          <t>R3</t>
        </is>
      </c>
      <c r="F1343" s="12" t="inlineStr">
        <is>
          <t>R3: ST auxiliary electrical e-house (40 x 65 ft)</t>
        </is>
      </c>
      <c r="G1343" s="12" t="inlineStr">
        <is>
          <t>TCP-ST</t>
        </is>
      </c>
      <c r="H1343" s="12" t="inlineStr">
        <is>
          <t>TCP-ST: ST turbine control and protection cabinets</t>
        </is>
      </c>
      <c r="I1343" s="12" t="inlineStr">
        <is>
          <t>Instrumentation</t>
        </is>
      </c>
      <c r="J1343" s="12" t="inlineStr">
        <is>
          <t>Instrumentation PLTC / TC-ER 300 V, #18 twisted shielded pairs, overall shield</t>
        </is>
      </c>
      <c r="K1343" s="12" t="inlineStr">
        <is>
          <t>PLTC|4 pr|18</t>
        </is>
      </c>
      <c r="L1343" s="12" t="inlineStr">
        <is>
          <t>4 pr</t>
        </is>
      </c>
      <c r="M1343" s="12" t="inlineStr">
        <is>
          <t>18</t>
        </is>
      </c>
      <c r="N1343" s="12" t="n">
        <v>1</v>
      </c>
      <c r="O1343" s="12" t="n">
        <v>1</v>
      </c>
      <c r="P1343" s="12" t="n"/>
      <c r="Q1343" s="12" t="n"/>
      <c r="R1343" s="12" t="n"/>
      <c r="S1343" s="12" t="inlineStr">
        <is>
          <t>Tray</t>
        </is>
      </c>
      <c r="T1343" s="16" t="n">
        <v>408</v>
      </c>
      <c r="U1343" s="16" t="n">
        <v>183</v>
      </c>
      <c r="V1343" s="16">
        <f>ROUNDUP((T1343+U1343+2*'Read Me'!$B$13)*(1+'Read Me'!$B$12),-1)</f>
        <v/>
      </c>
      <c r="W1343" s="16">
        <f>V1343*N1343*O1343</f>
        <v/>
      </c>
      <c r="X1343" s="12">
        <f>IF(LEFT(I1343,2)="MV",2*N1343*IF(L1343="1/C",O1343,1),0)</f>
        <v/>
      </c>
      <c r="Y1343" s="12">
        <f>IF(OR(LEFT(K1343,4)="LVAX",LEFT(K1343,6)="MV15AX",LEFT(K1343,4)="CTAX",LEFT(K1343,2)="W|"),2*N1343*O1343,0)</f>
        <v/>
      </c>
      <c r="Z1343" s="12" t="inlineStr"/>
      <c r="AA1343" s="12">
        <f>N1343*O1343</f>
        <v/>
      </c>
    </row>
    <row r="1344">
      <c r="A1344" s="12" t="inlineStr">
        <is>
          <t>A-I-0622</t>
        </is>
      </c>
      <c r="B1344" s="12" t="inlineStr">
        <is>
          <t>A</t>
        </is>
      </c>
      <c r="C1344" s="12" t="inlineStr">
        <is>
          <t>Power block</t>
        </is>
      </c>
      <c r="D1344" s="12" t="inlineStr">
        <is>
          <t>Analog instrument to JB JB-UAT-1-AI01: 8 x 1 pr (field cables)</t>
        </is>
      </c>
      <c r="E1344" s="12" t="inlineStr">
        <is>
          <t>UAT-1</t>
        </is>
      </c>
      <c r="F1344" s="12" t="inlineStr">
        <is>
          <t>UAT-1: 21/13.8 kV unit auxiliary transformer</t>
        </is>
      </c>
      <c r="G1344" s="12" t="inlineStr">
        <is>
          <t>JB-UAT-1-AI01</t>
        </is>
      </c>
      <c r="H1344" s="12" t="inlineStr">
        <is>
          <t>UAT-1: 21/13.8 kV unit auxiliary transformer</t>
        </is>
      </c>
      <c r="I1344" s="12" t="inlineStr">
        <is>
          <t>Instrumentation</t>
        </is>
      </c>
      <c r="J1344" s="12" t="inlineStr">
        <is>
          <t>Instrumentation PLTC / TC-ER 300 V, #18 twisted shielded pairs, overall shield</t>
        </is>
      </c>
      <c r="K1344" s="12" t="inlineStr">
        <is>
          <t>PLTC|1 pr|16</t>
        </is>
      </c>
      <c r="L1344" s="12" t="inlineStr">
        <is>
          <t>1 pr</t>
        </is>
      </c>
      <c r="M1344" s="12" t="inlineStr">
        <is>
          <t>16</t>
        </is>
      </c>
      <c r="N1344" s="12" t="n">
        <v>8</v>
      </c>
      <c r="O1344" s="12" t="n">
        <v>1</v>
      </c>
      <c r="P1344" s="12" t="n"/>
      <c r="Q1344" s="12" t="n"/>
      <c r="R1344" s="12" t="n"/>
      <c r="S1344" s="12" t="inlineStr">
        <is>
          <t>Tray / conduit</t>
        </is>
      </c>
      <c r="T1344" s="16" t="n">
        <v>51</v>
      </c>
      <c r="U1344" s="16" t="n">
        <v>10</v>
      </c>
      <c r="V1344" s="16">
        <f>ROUNDUP((T1344+U1344+2*'Read Me'!$B$13)*(1+'Read Me'!$B$12),-1)</f>
        <v/>
      </c>
      <c r="W1344" s="16">
        <f>V1344*N1344*O1344</f>
        <v/>
      </c>
      <c r="X1344" s="12">
        <f>IF(LEFT(I1344,2)="MV",2*N1344*IF(L1344="1/C",O1344,1),0)</f>
        <v/>
      </c>
      <c r="Y1344" s="12">
        <f>IF(OR(LEFT(K1344,4)="LVAX",LEFT(K1344,6)="MV15AX",LEFT(K1344,4)="CTAX",LEFT(K1344,2)="W|"),2*N1344*O1344,0)</f>
        <v/>
      </c>
      <c r="Z1344" s="12" t="inlineStr">
        <is>
          <t>device-to-JB field wiring, one cable per device</t>
        </is>
      </c>
      <c r="AA1344" s="12">
        <f>N1344*O1344</f>
        <v/>
      </c>
    </row>
    <row r="1345">
      <c r="A1345" s="12" t="inlineStr">
        <is>
          <t>A-I-0623</t>
        </is>
      </c>
      <c r="B1345" s="12" t="inlineStr">
        <is>
          <t>A</t>
        </is>
      </c>
      <c r="C1345" s="12" t="inlineStr">
        <is>
          <t>Power block</t>
        </is>
      </c>
      <c r="D1345" s="12" t="inlineStr">
        <is>
          <t>Home run JB-UAT-1-AI01 to the control / marshalling room</t>
        </is>
      </c>
      <c r="E1345" s="12" t="inlineStr">
        <is>
          <t>R2A</t>
        </is>
      </c>
      <c r="F1345" s="12" t="inlineStr">
        <is>
          <t>R2A: unit / HRSG electrical e-house (32 x 40 ft)</t>
        </is>
      </c>
      <c r="G1345" s="12" t="inlineStr">
        <is>
          <t>JB-UAT-1-AI01</t>
        </is>
      </c>
      <c r="H1345" s="12" t="inlineStr">
        <is>
          <t>UAT-1: 21/13.8 kV unit auxiliary transformer</t>
        </is>
      </c>
      <c r="I1345" s="12" t="inlineStr">
        <is>
          <t>Instrumentation</t>
        </is>
      </c>
      <c r="J1345" s="12" t="inlineStr">
        <is>
          <t>Instrumentation PLTC / TC-ER 300 V, #18 twisted shielded pairs, overall shield</t>
        </is>
      </c>
      <c r="K1345" s="12" t="inlineStr">
        <is>
          <t>PLTC|24 pr|18</t>
        </is>
      </c>
      <c r="L1345" s="12" t="inlineStr">
        <is>
          <t>24 pr</t>
        </is>
      </c>
      <c r="M1345" s="12" t="inlineStr">
        <is>
          <t>18</t>
        </is>
      </c>
      <c r="N1345" s="12" t="n">
        <v>1</v>
      </c>
      <c r="O1345" s="12" t="n">
        <v>1</v>
      </c>
      <c r="P1345" s="12" t="n"/>
      <c r="Q1345" s="12" t="n"/>
      <c r="R1345" s="12" t="n"/>
      <c r="S1345" s="12" t="inlineStr">
        <is>
          <t>Tray</t>
        </is>
      </c>
      <c r="T1345" s="16" t="n">
        <v>566</v>
      </c>
      <c r="U1345" s="16" t="n">
        <v>158</v>
      </c>
      <c r="V1345" s="16">
        <f>ROUNDUP((T1345+U1345+2*'Read Me'!$B$13)*(1+'Read Me'!$B$12),-1)</f>
        <v/>
      </c>
      <c r="W1345" s="16">
        <f>V1345*N1345*O1345</f>
        <v/>
      </c>
      <c r="X1345" s="12">
        <f>IF(LEFT(I1345,2)="MV",2*N1345*IF(L1345="1/C",O1345,1),0)</f>
        <v/>
      </c>
      <c r="Y1345" s="12">
        <f>IF(OR(LEFT(K1345,4)="LVAX",LEFT(K1345,6)="MV15AX",LEFT(K1345,4)="CTAX",LEFT(K1345,2)="W|"),2*N1345*O1345,0)</f>
        <v/>
      </c>
      <c r="Z1345" s="12" t="inlineStr"/>
      <c r="AA1345" s="12">
        <f>N1345*O1345</f>
        <v/>
      </c>
    </row>
    <row r="1346">
      <c r="A1346" s="12" t="inlineStr">
        <is>
          <t>A-I-0624</t>
        </is>
      </c>
      <c r="B1346" s="12" t="inlineStr">
        <is>
          <t>A</t>
        </is>
      </c>
      <c r="C1346" s="12" t="inlineStr">
        <is>
          <t>Power block</t>
        </is>
      </c>
      <c r="D1346" s="12" t="inlineStr">
        <is>
          <t>Discrete device to JB JB-UAT-1-DI01: 16 x 1 pr (field cables)</t>
        </is>
      </c>
      <c r="E1346" s="12" t="inlineStr">
        <is>
          <t>UAT-1</t>
        </is>
      </c>
      <c r="F1346" s="12" t="inlineStr">
        <is>
          <t>UAT-1: 21/13.8 kV unit auxiliary transformer</t>
        </is>
      </c>
      <c r="G1346" s="12" t="inlineStr">
        <is>
          <t>JB-UAT-1-DI01</t>
        </is>
      </c>
      <c r="H1346" s="12" t="inlineStr">
        <is>
          <t>UAT-1: 21/13.8 kV unit auxiliary transformer</t>
        </is>
      </c>
      <c r="I1346" s="12" t="inlineStr">
        <is>
          <t>Instrumentation</t>
        </is>
      </c>
      <c r="J1346" s="12" t="inlineStr">
        <is>
          <t>Instrumentation PLTC / TC-ER 300 V, #18 twisted shielded pairs, overall shield</t>
        </is>
      </c>
      <c r="K1346" s="12" t="inlineStr">
        <is>
          <t>PLTC|1 pr|16</t>
        </is>
      </c>
      <c r="L1346" s="12" t="inlineStr">
        <is>
          <t>1 pr</t>
        </is>
      </c>
      <c r="M1346" s="12" t="inlineStr">
        <is>
          <t>16</t>
        </is>
      </c>
      <c r="N1346" s="12" t="n">
        <v>16</v>
      </c>
      <c r="O1346" s="12" t="n">
        <v>1</v>
      </c>
      <c r="P1346" s="12" t="n"/>
      <c r="Q1346" s="12" t="n"/>
      <c r="R1346" s="12" t="n"/>
      <c r="S1346" s="12" t="inlineStr">
        <is>
          <t>Tray / conduit</t>
        </is>
      </c>
      <c r="T1346" s="16" t="n">
        <v>51</v>
      </c>
      <c r="U1346" s="16" t="n">
        <v>10</v>
      </c>
      <c r="V1346" s="16">
        <f>ROUNDUP((T1346+U1346+2*'Read Me'!$B$13)*(1+'Read Me'!$B$12),-1)</f>
        <v/>
      </c>
      <c r="W1346" s="16">
        <f>V1346*N1346*O1346</f>
        <v/>
      </c>
      <c r="X1346" s="12">
        <f>IF(LEFT(I1346,2)="MV",2*N1346*IF(L1346="1/C",O1346,1),0)</f>
        <v/>
      </c>
      <c r="Y1346" s="12">
        <f>IF(OR(LEFT(K1346,4)="LVAX",LEFT(K1346,6)="MV15AX",LEFT(K1346,4)="CTAX",LEFT(K1346,2)="W|"),2*N1346*O1346,0)</f>
        <v/>
      </c>
      <c r="Z1346" s="12" t="inlineStr">
        <is>
          <t>device-to-JB field wiring, one cable per device</t>
        </is>
      </c>
      <c r="AA1346" s="12">
        <f>N1346*O1346</f>
        <v/>
      </c>
    </row>
    <row r="1347">
      <c r="A1347" s="12" t="inlineStr">
        <is>
          <t>A-I-0625</t>
        </is>
      </c>
      <c r="B1347" s="12" t="inlineStr">
        <is>
          <t>A</t>
        </is>
      </c>
      <c r="C1347" s="12" t="inlineStr">
        <is>
          <t>Power block</t>
        </is>
      </c>
      <c r="D1347" s="12" t="inlineStr">
        <is>
          <t>Home run JB-UAT-1-DI01 to the control / marshalling room</t>
        </is>
      </c>
      <c r="E1347" s="12" t="inlineStr">
        <is>
          <t>R2A</t>
        </is>
      </c>
      <c r="F1347" s="12" t="inlineStr">
        <is>
          <t>R2A: unit / HRSG electrical e-house (32 x 40 ft)</t>
        </is>
      </c>
      <c r="G1347" s="12" t="inlineStr">
        <is>
          <t>JB-UAT-1-DI01</t>
        </is>
      </c>
      <c r="H1347" s="12" t="inlineStr">
        <is>
          <t>UAT-1: 21/13.8 kV unit auxiliary transformer</t>
        </is>
      </c>
      <c r="I1347" s="12" t="inlineStr">
        <is>
          <t>Instrumentation</t>
        </is>
      </c>
      <c r="J1347" s="12" t="inlineStr">
        <is>
          <t>Instrumentation PLTC / TC-ER 300 V, #18 twisted shielded pairs, overall shield</t>
        </is>
      </c>
      <c r="K1347" s="12" t="inlineStr">
        <is>
          <t>PLTC|24 pr|18</t>
        </is>
      </c>
      <c r="L1347" s="12" t="inlineStr">
        <is>
          <t>24 pr</t>
        </is>
      </c>
      <c r="M1347" s="12" t="inlineStr">
        <is>
          <t>18</t>
        </is>
      </c>
      <c r="N1347" s="12" t="n">
        <v>1</v>
      </c>
      <c r="O1347" s="12" t="n">
        <v>1</v>
      </c>
      <c r="P1347" s="12" t="n"/>
      <c r="Q1347" s="12" t="n"/>
      <c r="R1347" s="12" t="n"/>
      <c r="S1347" s="12" t="inlineStr">
        <is>
          <t>Tray</t>
        </is>
      </c>
      <c r="T1347" s="16" t="n">
        <v>566</v>
      </c>
      <c r="U1347" s="16" t="n">
        <v>158</v>
      </c>
      <c r="V1347" s="16">
        <f>ROUNDUP((T1347+U1347+2*'Read Me'!$B$13)*(1+'Read Me'!$B$12),-1)</f>
        <v/>
      </c>
      <c r="W1347" s="16">
        <f>V1347*N1347*O1347</f>
        <v/>
      </c>
      <c r="X1347" s="12">
        <f>IF(LEFT(I1347,2)="MV",2*N1347*IF(L1347="1/C",O1347,1),0)</f>
        <v/>
      </c>
      <c r="Y1347" s="12">
        <f>IF(OR(LEFT(K1347,4)="LVAX",LEFT(K1347,6)="MV15AX",LEFT(K1347,4)="CTAX",LEFT(K1347,2)="W|"),2*N1347*O1347,0)</f>
        <v/>
      </c>
      <c r="Z1347" s="12" t="inlineStr"/>
      <c r="AA1347" s="12">
        <f>N1347*O1347</f>
        <v/>
      </c>
    </row>
    <row r="1348">
      <c r="A1348" s="12" t="inlineStr">
        <is>
          <t>A-I-0626</t>
        </is>
      </c>
      <c r="B1348" s="12" t="inlineStr">
        <is>
          <t>A</t>
        </is>
      </c>
      <c r="C1348" s="12" t="inlineStr">
        <is>
          <t>Power block</t>
        </is>
      </c>
      <c r="D1348" s="12" t="inlineStr">
        <is>
          <t>Analog instrument to JB JB-UAT-2-AI01: 8 x 1 pr (field cables)</t>
        </is>
      </c>
      <c r="E1348" s="12" t="inlineStr">
        <is>
          <t>UAT-2</t>
        </is>
      </c>
      <c r="F1348" s="12" t="inlineStr">
        <is>
          <t>UAT-2: 21/13.8 kV unit auxiliary transformer</t>
        </is>
      </c>
      <c r="G1348" s="12" t="inlineStr">
        <is>
          <t>JB-UAT-2-AI01</t>
        </is>
      </c>
      <c r="H1348" s="12" t="inlineStr">
        <is>
          <t>UAT-2: 21/13.8 kV unit auxiliary transformer</t>
        </is>
      </c>
      <c r="I1348" s="12" t="inlineStr">
        <is>
          <t>Instrumentation</t>
        </is>
      </c>
      <c r="J1348" s="12" t="inlineStr">
        <is>
          <t>Instrumentation PLTC / TC-ER 300 V, #18 twisted shielded pairs, overall shield</t>
        </is>
      </c>
      <c r="K1348" s="12" t="inlineStr">
        <is>
          <t>PLTC|1 pr|16</t>
        </is>
      </c>
      <c r="L1348" s="12" t="inlineStr">
        <is>
          <t>1 pr</t>
        </is>
      </c>
      <c r="M1348" s="12" t="inlineStr">
        <is>
          <t>16</t>
        </is>
      </c>
      <c r="N1348" s="12" t="n">
        <v>8</v>
      </c>
      <c r="O1348" s="12" t="n">
        <v>1</v>
      </c>
      <c r="P1348" s="12" t="n"/>
      <c r="Q1348" s="12" t="n"/>
      <c r="R1348" s="12" t="n"/>
      <c r="S1348" s="12" t="inlineStr">
        <is>
          <t>Tray / conduit</t>
        </is>
      </c>
      <c r="T1348" s="16" t="n">
        <v>51</v>
      </c>
      <c r="U1348" s="16" t="n">
        <v>10</v>
      </c>
      <c r="V1348" s="16">
        <f>ROUNDUP((T1348+U1348+2*'Read Me'!$B$13)*(1+'Read Me'!$B$12),-1)</f>
        <v/>
      </c>
      <c r="W1348" s="16">
        <f>V1348*N1348*O1348</f>
        <v/>
      </c>
      <c r="X1348" s="12">
        <f>IF(LEFT(I1348,2)="MV",2*N1348*IF(L1348="1/C",O1348,1),0)</f>
        <v/>
      </c>
      <c r="Y1348" s="12">
        <f>IF(OR(LEFT(K1348,4)="LVAX",LEFT(K1348,6)="MV15AX",LEFT(K1348,4)="CTAX",LEFT(K1348,2)="W|"),2*N1348*O1348,0)</f>
        <v/>
      </c>
      <c r="Z1348" s="12" t="inlineStr">
        <is>
          <t>device-to-JB field wiring, one cable per device</t>
        </is>
      </c>
      <c r="AA1348" s="12">
        <f>N1348*O1348</f>
        <v/>
      </c>
    </row>
    <row r="1349">
      <c r="A1349" s="12" t="inlineStr">
        <is>
          <t>A-I-0627</t>
        </is>
      </c>
      <c r="B1349" s="12" t="inlineStr">
        <is>
          <t>A</t>
        </is>
      </c>
      <c r="C1349" s="12" t="inlineStr">
        <is>
          <t>Power block</t>
        </is>
      </c>
      <c r="D1349" s="12" t="inlineStr">
        <is>
          <t>Home run JB-UAT-2-AI01 to the control / marshalling room</t>
        </is>
      </c>
      <c r="E1349" s="12" t="inlineStr">
        <is>
          <t>R2B</t>
        </is>
      </c>
      <c r="F1349" s="12" t="inlineStr">
        <is>
          <t>R2B: unit / HRSG electrical e-house (32 x 40 ft)</t>
        </is>
      </c>
      <c r="G1349" s="12" t="inlineStr">
        <is>
          <t>JB-UAT-2-AI01</t>
        </is>
      </c>
      <c r="H1349" s="12" t="inlineStr">
        <is>
          <t>UAT-2: 21/13.8 kV unit auxiliary transformer</t>
        </is>
      </c>
      <c r="I1349" s="12" t="inlineStr">
        <is>
          <t>Instrumentation</t>
        </is>
      </c>
      <c r="J1349" s="12" t="inlineStr">
        <is>
          <t>Instrumentation PLTC / TC-ER 300 V, #18 twisted shielded pairs, overall shield</t>
        </is>
      </c>
      <c r="K1349" s="12" t="inlineStr">
        <is>
          <t>PLTC|24 pr|18</t>
        </is>
      </c>
      <c r="L1349" s="12" t="inlineStr">
        <is>
          <t>24 pr</t>
        </is>
      </c>
      <c r="M1349" s="12" t="inlineStr">
        <is>
          <t>18</t>
        </is>
      </c>
      <c r="N1349" s="12" t="n">
        <v>1</v>
      </c>
      <c r="O1349" s="12" t="n">
        <v>1</v>
      </c>
      <c r="P1349" s="12" t="n"/>
      <c r="Q1349" s="12" t="n"/>
      <c r="R1349" s="12" t="n"/>
      <c r="S1349" s="12" t="inlineStr">
        <is>
          <t>Duct bank</t>
        </is>
      </c>
      <c r="T1349" s="16" t="n">
        <v>1423</v>
      </c>
      <c r="U1349" s="16" t="n">
        <v>96</v>
      </c>
      <c r="V1349" s="16">
        <f>ROUNDUP((T1349+U1349+2*'Read Me'!$B$13)*(1+'Read Me'!$B$12),-1)</f>
        <v/>
      </c>
      <c r="W1349" s="16">
        <f>V1349*N1349*O1349</f>
        <v/>
      </c>
      <c r="X1349" s="12">
        <f>IF(LEFT(I1349,2)="MV",2*N1349*IF(L1349="1/C",O1349,1),0)</f>
        <v/>
      </c>
      <c r="Y1349" s="12">
        <f>IF(OR(LEFT(K1349,4)="LVAX",LEFT(K1349,6)="MV15AX",LEFT(K1349,4)="CTAX",LEFT(K1349,2)="W|"),2*N1349*O1349,0)</f>
        <v/>
      </c>
      <c r="Z1349" s="12" t="inlineStr"/>
      <c r="AA1349" s="12">
        <f>N1349*O1349</f>
        <v/>
      </c>
    </row>
    <row r="1350">
      <c r="A1350" s="12" t="inlineStr">
        <is>
          <t>A-I-0628</t>
        </is>
      </c>
      <c r="B1350" s="12" t="inlineStr">
        <is>
          <t>A</t>
        </is>
      </c>
      <c r="C1350" s="12" t="inlineStr">
        <is>
          <t>Power block</t>
        </is>
      </c>
      <c r="D1350" s="12" t="inlineStr">
        <is>
          <t>Discrete device to JB JB-UAT-2-DI01: 16 x 1 pr (field cables)</t>
        </is>
      </c>
      <c r="E1350" s="12" t="inlineStr">
        <is>
          <t>UAT-2</t>
        </is>
      </c>
      <c r="F1350" s="12" t="inlineStr">
        <is>
          <t>UAT-2: 21/13.8 kV unit auxiliary transformer</t>
        </is>
      </c>
      <c r="G1350" s="12" t="inlineStr">
        <is>
          <t>JB-UAT-2-DI01</t>
        </is>
      </c>
      <c r="H1350" s="12" t="inlineStr">
        <is>
          <t>UAT-2: 21/13.8 kV unit auxiliary transformer</t>
        </is>
      </c>
      <c r="I1350" s="12" t="inlineStr">
        <is>
          <t>Instrumentation</t>
        </is>
      </c>
      <c r="J1350" s="12" t="inlineStr">
        <is>
          <t>Instrumentation PLTC / TC-ER 300 V, #18 twisted shielded pairs, overall shield</t>
        </is>
      </c>
      <c r="K1350" s="12" t="inlineStr">
        <is>
          <t>PLTC|1 pr|16</t>
        </is>
      </c>
      <c r="L1350" s="12" t="inlineStr">
        <is>
          <t>1 pr</t>
        </is>
      </c>
      <c r="M1350" s="12" t="inlineStr">
        <is>
          <t>16</t>
        </is>
      </c>
      <c r="N1350" s="12" t="n">
        <v>16</v>
      </c>
      <c r="O1350" s="12" t="n">
        <v>1</v>
      </c>
      <c r="P1350" s="12" t="n"/>
      <c r="Q1350" s="12" t="n"/>
      <c r="R1350" s="12" t="n"/>
      <c r="S1350" s="12" t="inlineStr">
        <is>
          <t>Tray / conduit</t>
        </is>
      </c>
      <c r="T1350" s="16" t="n">
        <v>51</v>
      </c>
      <c r="U1350" s="16" t="n">
        <v>10</v>
      </c>
      <c r="V1350" s="16">
        <f>ROUNDUP((T1350+U1350+2*'Read Me'!$B$13)*(1+'Read Me'!$B$12),-1)</f>
        <v/>
      </c>
      <c r="W1350" s="16">
        <f>V1350*N1350*O1350</f>
        <v/>
      </c>
      <c r="X1350" s="12">
        <f>IF(LEFT(I1350,2)="MV",2*N1350*IF(L1350="1/C",O1350,1),0)</f>
        <v/>
      </c>
      <c r="Y1350" s="12">
        <f>IF(OR(LEFT(K1350,4)="LVAX",LEFT(K1350,6)="MV15AX",LEFT(K1350,4)="CTAX",LEFT(K1350,2)="W|"),2*N1350*O1350,0)</f>
        <v/>
      </c>
      <c r="Z1350" s="12" t="inlineStr">
        <is>
          <t>device-to-JB field wiring, one cable per device</t>
        </is>
      </c>
      <c r="AA1350" s="12">
        <f>N1350*O1350</f>
        <v/>
      </c>
    </row>
    <row r="1351">
      <c r="A1351" s="12" t="inlineStr">
        <is>
          <t>A-I-0629</t>
        </is>
      </c>
      <c r="B1351" s="12" t="inlineStr">
        <is>
          <t>A</t>
        </is>
      </c>
      <c r="C1351" s="12" t="inlineStr">
        <is>
          <t>Power block</t>
        </is>
      </c>
      <c r="D1351" s="12" t="inlineStr">
        <is>
          <t>Home run JB-UAT-2-DI01 to the control / marshalling room</t>
        </is>
      </c>
      <c r="E1351" s="12" t="inlineStr">
        <is>
          <t>R2B</t>
        </is>
      </c>
      <c r="F1351" s="12" t="inlineStr">
        <is>
          <t>R2B: unit / HRSG electrical e-house (32 x 40 ft)</t>
        </is>
      </c>
      <c r="G1351" s="12" t="inlineStr">
        <is>
          <t>JB-UAT-2-DI01</t>
        </is>
      </c>
      <c r="H1351" s="12" t="inlineStr">
        <is>
          <t>UAT-2: 21/13.8 kV unit auxiliary transformer</t>
        </is>
      </c>
      <c r="I1351" s="12" t="inlineStr">
        <is>
          <t>Instrumentation</t>
        </is>
      </c>
      <c r="J1351" s="12" t="inlineStr">
        <is>
          <t>Instrumentation PLTC / TC-ER 300 V, #18 twisted shielded pairs, overall shield</t>
        </is>
      </c>
      <c r="K1351" s="12" t="inlineStr">
        <is>
          <t>PLTC|24 pr|18</t>
        </is>
      </c>
      <c r="L1351" s="12" t="inlineStr">
        <is>
          <t>24 pr</t>
        </is>
      </c>
      <c r="M1351" s="12" t="inlineStr">
        <is>
          <t>18</t>
        </is>
      </c>
      <c r="N1351" s="12" t="n">
        <v>1</v>
      </c>
      <c r="O1351" s="12" t="n">
        <v>1</v>
      </c>
      <c r="P1351" s="12" t="n"/>
      <c r="Q1351" s="12" t="n"/>
      <c r="R1351" s="12" t="n"/>
      <c r="S1351" s="12" t="inlineStr">
        <is>
          <t>Duct bank</t>
        </is>
      </c>
      <c r="T1351" s="16" t="n">
        <v>1423</v>
      </c>
      <c r="U1351" s="16" t="n">
        <v>96</v>
      </c>
      <c r="V1351" s="16">
        <f>ROUNDUP((T1351+U1351+2*'Read Me'!$B$13)*(1+'Read Me'!$B$12),-1)</f>
        <v/>
      </c>
      <c r="W1351" s="16">
        <f>V1351*N1351*O1351</f>
        <v/>
      </c>
      <c r="X1351" s="12">
        <f>IF(LEFT(I1351,2)="MV",2*N1351*IF(L1351="1/C",O1351,1),0)</f>
        <v/>
      </c>
      <c r="Y1351" s="12">
        <f>IF(OR(LEFT(K1351,4)="LVAX",LEFT(K1351,6)="MV15AX",LEFT(K1351,4)="CTAX",LEFT(K1351,2)="W|"),2*N1351*O1351,0)</f>
        <v/>
      </c>
      <c r="Z1351" s="12" t="inlineStr"/>
      <c r="AA1351" s="12">
        <f>N1351*O1351</f>
        <v/>
      </c>
    </row>
    <row r="1352">
      <c r="A1352" s="12" t="inlineStr">
        <is>
          <t>A-I-0630</t>
        </is>
      </c>
      <c r="B1352" s="12" t="inlineStr">
        <is>
          <t>A</t>
        </is>
      </c>
      <c r="C1352" s="12" t="inlineStr">
        <is>
          <t>Power block</t>
        </is>
      </c>
      <c r="D1352" s="12" t="inlineStr">
        <is>
          <t>Analog instrument to JB JB-UAT-3-AI01: 8 x 1 pr (field cables)</t>
        </is>
      </c>
      <c r="E1352" s="12" t="inlineStr">
        <is>
          <t>UAT-3</t>
        </is>
      </c>
      <c r="F1352" s="12" t="inlineStr">
        <is>
          <t>UAT-3: 21/13.8 kV unit auxiliary transformer</t>
        </is>
      </c>
      <c r="G1352" s="12" t="inlineStr">
        <is>
          <t>JB-UAT-3-AI01</t>
        </is>
      </c>
      <c r="H1352" s="12" t="inlineStr">
        <is>
          <t>UAT-3: 21/13.8 kV unit auxiliary transformer</t>
        </is>
      </c>
      <c r="I1352" s="12" t="inlineStr">
        <is>
          <t>Instrumentation</t>
        </is>
      </c>
      <c r="J1352" s="12" t="inlineStr">
        <is>
          <t>Instrumentation PLTC / TC-ER 300 V, #18 twisted shielded pairs, overall shield</t>
        </is>
      </c>
      <c r="K1352" s="12" t="inlineStr">
        <is>
          <t>PLTC|1 pr|16</t>
        </is>
      </c>
      <c r="L1352" s="12" t="inlineStr">
        <is>
          <t>1 pr</t>
        </is>
      </c>
      <c r="M1352" s="12" t="inlineStr">
        <is>
          <t>16</t>
        </is>
      </c>
      <c r="N1352" s="12" t="n">
        <v>8</v>
      </c>
      <c r="O1352" s="12" t="n">
        <v>1</v>
      </c>
      <c r="P1352" s="12" t="n"/>
      <c r="Q1352" s="12" t="n"/>
      <c r="R1352" s="12" t="n"/>
      <c r="S1352" s="12" t="inlineStr">
        <is>
          <t>Tray / conduit</t>
        </is>
      </c>
      <c r="T1352" s="16" t="n">
        <v>51</v>
      </c>
      <c r="U1352" s="16" t="n">
        <v>10</v>
      </c>
      <c r="V1352" s="16">
        <f>ROUNDUP((T1352+U1352+2*'Read Me'!$B$13)*(1+'Read Me'!$B$12),-1)</f>
        <v/>
      </c>
      <c r="W1352" s="16">
        <f>V1352*N1352*O1352</f>
        <v/>
      </c>
      <c r="X1352" s="12">
        <f>IF(LEFT(I1352,2)="MV",2*N1352*IF(L1352="1/C",O1352,1),0)</f>
        <v/>
      </c>
      <c r="Y1352" s="12">
        <f>IF(OR(LEFT(K1352,4)="LVAX",LEFT(K1352,6)="MV15AX",LEFT(K1352,4)="CTAX",LEFT(K1352,2)="W|"),2*N1352*O1352,0)</f>
        <v/>
      </c>
      <c r="Z1352" s="12" t="inlineStr">
        <is>
          <t>device-to-JB field wiring, one cable per device</t>
        </is>
      </c>
      <c r="AA1352" s="12">
        <f>N1352*O1352</f>
        <v/>
      </c>
    </row>
    <row r="1353">
      <c r="A1353" s="12" t="inlineStr">
        <is>
          <t>A-I-0631</t>
        </is>
      </c>
      <c r="B1353" s="12" t="inlineStr">
        <is>
          <t>A</t>
        </is>
      </c>
      <c r="C1353" s="12" t="inlineStr">
        <is>
          <t>Power block</t>
        </is>
      </c>
      <c r="D1353" s="12" t="inlineStr">
        <is>
          <t>Home run JB-UAT-3-AI01 to the control / marshalling room</t>
        </is>
      </c>
      <c r="E1353" s="12" t="inlineStr">
        <is>
          <t>R2C</t>
        </is>
      </c>
      <c r="F1353" s="12" t="inlineStr">
        <is>
          <t>R2C: unit / HRSG electrical e-house (32 x 40 ft)</t>
        </is>
      </c>
      <c r="G1353" s="12" t="inlineStr">
        <is>
          <t>JB-UAT-3-AI01</t>
        </is>
      </c>
      <c r="H1353" s="12" t="inlineStr">
        <is>
          <t>UAT-3: 21/13.8 kV unit auxiliary transformer</t>
        </is>
      </c>
      <c r="I1353" s="12" t="inlineStr">
        <is>
          <t>Instrumentation</t>
        </is>
      </c>
      <c r="J1353" s="12" t="inlineStr">
        <is>
          <t>Instrumentation PLTC / TC-ER 300 V, #18 twisted shielded pairs, overall shield</t>
        </is>
      </c>
      <c r="K1353" s="12" t="inlineStr">
        <is>
          <t>PLTC|24 pr|18</t>
        </is>
      </c>
      <c r="L1353" s="12" t="inlineStr">
        <is>
          <t>24 pr</t>
        </is>
      </c>
      <c r="M1353" s="12" t="inlineStr">
        <is>
          <t>18</t>
        </is>
      </c>
      <c r="N1353" s="12" t="n">
        <v>1</v>
      </c>
      <c r="O1353" s="12" t="n">
        <v>1</v>
      </c>
      <c r="P1353" s="12" t="n"/>
      <c r="Q1353" s="12" t="n"/>
      <c r="R1353" s="12" t="n"/>
      <c r="S1353" s="12" t="inlineStr">
        <is>
          <t>Duct bank</t>
        </is>
      </c>
      <c r="T1353" s="16" t="n">
        <v>1103</v>
      </c>
      <c r="U1353" s="16" t="n">
        <v>96</v>
      </c>
      <c r="V1353" s="16">
        <f>ROUNDUP((T1353+U1353+2*'Read Me'!$B$13)*(1+'Read Me'!$B$12),-1)</f>
        <v/>
      </c>
      <c r="W1353" s="16">
        <f>V1353*N1353*O1353</f>
        <v/>
      </c>
      <c r="X1353" s="12">
        <f>IF(LEFT(I1353,2)="MV",2*N1353*IF(L1353="1/C",O1353,1),0)</f>
        <v/>
      </c>
      <c r="Y1353" s="12">
        <f>IF(OR(LEFT(K1353,4)="LVAX",LEFT(K1353,6)="MV15AX",LEFT(K1353,4)="CTAX",LEFT(K1353,2)="W|"),2*N1353*O1353,0)</f>
        <v/>
      </c>
      <c r="Z1353" s="12" t="inlineStr"/>
      <c r="AA1353" s="12">
        <f>N1353*O1353</f>
        <v/>
      </c>
    </row>
    <row r="1354">
      <c r="A1354" s="12" t="inlineStr">
        <is>
          <t>A-I-0632</t>
        </is>
      </c>
      <c r="B1354" s="12" t="inlineStr">
        <is>
          <t>A</t>
        </is>
      </c>
      <c r="C1354" s="12" t="inlineStr">
        <is>
          <t>Power block</t>
        </is>
      </c>
      <c r="D1354" s="12" t="inlineStr">
        <is>
          <t>Discrete device to JB JB-UAT-3-DI01: 16 x 1 pr (field cables)</t>
        </is>
      </c>
      <c r="E1354" s="12" t="inlineStr">
        <is>
          <t>UAT-3</t>
        </is>
      </c>
      <c r="F1354" s="12" t="inlineStr">
        <is>
          <t>UAT-3: 21/13.8 kV unit auxiliary transformer</t>
        </is>
      </c>
      <c r="G1354" s="12" t="inlineStr">
        <is>
          <t>JB-UAT-3-DI01</t>
        </is>
      </c>
      <c r="H1354" s="12" t="inlineStr">
        <is>
          <t>UAT-3: 21/13.8 kV unit auxiliary transformer</t>
        </is>
      </c>
      <c r="I1354" s="12" t="inlineStr">
        <is>
          <t>Instrumentation</t>
        </is>
      </c>
      <c r="J1354" s="12" t="inlineStr">
        <is>
          <t>Instrumentation PLTC / TC-ER 300 V, #18 twisted shielded pairs, overall shield</t>
        </is>
      </c>
      <c r="K1354" s="12" t="inlineStr">
        <is>
          <t>PLTC|1 pr|16</t>
        </is>
      </c>
      <c r="L1354" s="12" t="inlineStr">
        <is>
          <t>1 pr</t>
        </is>
      </c>
      <c r="M1354" s="12" t="inlineStr">
        <is>
          <t>16</t>
        </is>
      </c>
      <c r="N1354" s="12" t="n">
        <v>16</v>
      </c>
      <c r="O1354" s="12" t="n">
        <v>1</v>
      </c>
      <c r="P1354" s="12" t="n"/>
      <c r="Q1354" s="12" t="n"/>
      <c r="R1354" s="12" t="n"/>
      <c r="S1354" s="12" t="inlineStr">
        <is>
          <t>Tray / conduit</t>
        </is>
      </c>
      <c r="T1354" s="16" t="n">
        <v>51</v>
      </c>
      <c r="U1354" s="16" t="n">
        <v>10</v>
      </c>
      <c r="V1354" s="16">
        <f>ROUNDUP((T1354+U1354+2*'Read Me'!$B$13)*(1+'Read Me'!$B$12),-1)</f>
        <v/>
      </c>
      <c r="W1354" s="16">
        <f>V1354*N1354*O1354</f>
        <v/>
      </c>
      <c r="X1354" s="12">
        <f>IF(LEFT(I1354,2)="MV",2*N1354*IF(L1354="1/C",O1354,1),0)</f>
        <v/>
      </c>
      <c r="Y1354" s="12">
        <f>IF(OR(LEFT(K1354,4)="LVAX",LEFT(K1354,6)="MV15AX",LEFT(K1354,4)="CTAX",LEFT(K1354,2)="W|"),2*N1354*O1354,0)</f>
        <v/>
      </c>
      <c r="Z1354" s="12" t="inlineStr">
        <is>
          <t>device-to-JB field wiring, one cable per device</t>
        </is>
      </c>
      <c r="AA1354" s="12">
        <f>N1354*O1354</f>
        <v/>
      </c>
    </row>
    <row r="1355">
      <c r="A1355" s="12" t="inlineStr">
        <is>
          <t>A-I-0633</t>
        </is>
      </c>
      <c r="B1355" s="12" t="inlineStr">
        <is>
          <t>A</t>
        </is>
      </c>
      <c r="C1355" s="12" t="inlineStr">
        <is>
          <t>Power block</t>
        </is>
      </c>
      <c r="D1355" s="12" t="inlineStr">
        <is>
          <t>Home run JB-UAT-3-DI01 to the control / marshalling room</t>
        </is>
      </c>
      <c r="E1355" s="12" t="inlineStr">
        <is>
          <t>R2C</t>
        </is>
      </c>
      <c r="F1355" s="12" t="inlineStr">
        <is>
          <t>R2C: unit / HRSG electrical e-house (32 x 40 ft)</t>
        </is>
      </c>
      <c r="G1355" s="12" t="inlineStr">
        <is>
          <t>JB-UAT-3-DI01</t>
        </is>
      </c>
      <c r="H1355" s="12" t="inlineStr">
        <is>
          <t>UAT-3: 21/13.8 kV unit auxiliary transformer</t>
        </is>
      </c>
      <c r="I1355" s="12" t="inlineStr">
        <is>
          <t>Instrumentation</t>
        </is>
      </c>
      <c r="J1355" s="12" t="inlineStr">
        <is>
          <t>Instrumentation PLTC / TC-ER 300 V, #18 twisted shielded pairs, overall shield</t>
        </is>
      </c>
      <c r="K1355" s="12" t="inlineStr">
        <is>
          <t>PLTC|24 pr|18</t>
        </is>
      </c>
      <c r="L1355" s="12" t="inlineStr">
        <is>
          <t>24 pr</t>
        </is>
      </c>
      <c r="M1355" s="12" t="inlineStr">
        <is>
          <t>18</t>
        </is>
      </c>
      <c r="N1355" s="12" t="n">
        <v>1</v>
      </c>
      <c r="O1355" s="12" t="n">
        <v>1</v>
      </c>
      <c r="P1355" s="12" t="n"/>
      <c r="Q1355" s="12" t="n"/>
      <c r="R1355" s="12" t="n"/>
      <c r="S1355" s="12" t="inlineStr">
        <is>
          <t>Duct bank</t>
        </is>
      </c>
      <c r="T1355" s="16" t="n">
        <v>1103</v>
      </c>
      <c r="U1355" s="16" t="n">
        <v>96</v>
      </c>
      <c r="V1355" s="16">
        <f>ROUNDUP((T1355+U1355+2*'Read Me'!$B$13)*(1+'Read Me'!$B$12),-1)</f>
        <v/>
      </c>
      <c r="W1355" s="16">
        <f>V1355*N1355*O1355</f>
        <v/>
      </c>
      <c r="X1355" s="12">
        <f>IF(LEFT(I1355,2)="MV",2*N1355*IF(L1355="1/C",O1355,1),0)</f>
        <v/>
      </c>
      <c r="Y1355" s="12">
        <f>IF(OR(LEFT(K1355,4)="LVAX",LEFT(K1355,6)="MV15AX",LEFT(K1355,4)="CTAX",LEFT(K1355,2)="W|"),2*N1355*O1355,0)</f>
        <v/>
      </c>
      <c r="Z1355" s="12" t="inlineStr"/>
      <c r="AA1355" s="12">
        <f>N1355*O1355</f>
        <v/>
      </c>
    </row>
    <row r="1356">
      <c r="A1356" s="12" t="inlineStr">
        <is>
          <t>A-I-0634</t>
        </is>
      </c>
      <c r="B1356" s="12" t="inlineStr">
        <is>
          <t>A</t>
        </is>
      </c>
      <c r="C1356" s="12" t="inlineStr">
        <is>
          <t>Power block</t>
        </is>
      </c>
      <c r="D1356" s="12" t="inlineStr">
        <is>
          <t>Analog instrument to JB JB-WASH-GT1-AI01: 4 x 1 pr (field cables)</t>
        </is>
      </c>
      <c r="E1356" s="12" t="inlineStr">
        <is>
          <t>WASH-GT1</t>
        </is>
      </c>
      <c r="F1356" s="12" t="inlineStr">
        <is>
          <t>WASH-GT1: compressor water-wash skid</t>
        </is>
      </c>
      <c r="G1356" s="12" t="inlineStr">
        <is>
          <t>JB-WASH-GT1-AI01</t>
        </is>
      </c>
      <c r="H1356" s="12" t="inlineStr">
        <is>
          <t>WASH-GT1: compressor water-wash skid</t>
        </is>
      </c>
      <c r="I1356" s="12" t="inlineStr">
        <is>
          <t>Instrumentation</t>
        </is>
      </c>
      <c r="J1356" s="12" t="inlineStr">
        <is>
          <t>Instrumentation ITC / PLTC, IS, #18 shielded pairs, blue jacket</t>
        </is>
      </c>
      <c r="K1356" s="12" t="inlineStr">
        <is>
          <t>ITC|1 pr|16</t>
        </is>
      </c>
      <c r="L1356" s="12" t="inlineStr">
        <is>
          <t>1 pr</t>
        </is>
      </c>
      <c r="M1356" s="12" t="inlineStr">
        <is>
          <t>16</t>
        </is>
      </c>
      <c r="N1356" s="12" t="n">
        <v>4</v>
      </c>
      <c r="O1356" s="12" t="n">
        <v>1</v>
      </c>
      <c r="P1356" s="12" t="n"/>
      <c r="Q1356" s="12" t="n"/>
      <c r="R1356" s="12" t="n"/>
      <c r="S1356" s="12" t="inlineStr">
        <is>
          <t>Tray / conduit</t>
        </is>
      </c>
      <c r="T1356" s="16" t="n">
        <v>52</v>
      </c>
      <c r="U1356" s="16" t="n">
        <v>10</v>
      </c>
      <c r="V1356" s="16">
        <f>ROUNDUP((T1356+U1356+2*'Read Me'!$B$13)*(1+'Read Me'!$B$12),-1)</f>
        <v/>
      </c>
      <c r="W1356" s="16">
        <f>V1356*N1356*O1356</f>
        <v/>
      </c>
      <c r="X1356" s="12">
        <f>IF(LEFT(I1356,2)="MV",2*N1356*IF(L1356="1/C",O1356,1),0)</f>
        <v/>
      </c>
      <c r="Y1356" s="12">
        <f>IF(OR(LEFT(K1356,4)="LVAX",LEFT(K1356,6)="MV15AX",LEFT(K1356,4)="CTAX",LEFT(K1356,2)="W|"),2*N1356*O1356,0)</f>
        <v/>
      </c>
      <c r="Z1356" s="12" t="inlineStr">
        <is>
          <t>device-to-JB field wiring, one cable per device</t>
        </is>
      </c>
      <c r="AA1356" s="12">
        <f>N1356*O1356</f>
        <v/>
      </c>
    </row>
    <row r="1357">
      <c r="A1357" s="12" t="inlineStr">
        <is>
          <t>A-I-0635</t>
        </is>
      </c>
      <c r="B1357" s="12" t="inlineStr">
        <is>
          <t>A</t>
        </is>
      </c>
      <c r="C1357" s="12" t="inlineStr">
        <is>
          <t>Power block</t>
        </is>
      </c>
      <c r="D1357" s="12" t="inlineStr">
        <is>
          <t>Home run JB-WASH-GT1-AI01 to the control / marshalling room</t>
        </is>
      </c>
      <c r="E1357" s="12" t="inlineStr">
        <is>
          <t>R2A</t>
        </is>
      </c>
      <c r="F1357" s="12" t="inlineStr">
        <is>
          <t>R2A: unit / HRSG electrical e-house (32 x 40 ft)</t>
        </is>
      </c>
      <c r="G1357" s="12" t="inlineStr">
        <is>
          <t>JB-WASH-GT1-AI01</t>
        </is>
      </c>
      <c r="H1357" s="12" t="inlineStr">
        <is>
          <t>WASH-GT1: compressor water-wash skid</t>
        </is>
      </c>
      <c r="I1357" s="12" t="inlineStr">
        <is>
          <t>Instrumentation</t>
        </is>
      </c>
      <c r="J1357" s="12" t="inlineStr">
        <is>
          <t>Instrumentation ITC / PLTC, IS, #18 shielded pairs, blue jacket</t>
        </is>
      </c>
      <c r="K1357" s="12" t="inlineStr">
        <is>
          <t>ITC|24 pr|18</t>
        </is>
      </c>
      <c r="L1357" s="12" t="inlineStr">
        <is>
          <t>24 pr</t>
        </is>
      </c>
      <c r="M1357" s="12" t="inlineStr">
        <is>
          <t>18</t>
        </is>
      </c>
      <c r="N1357" s="12" t="n">
        <v>1</v>
      </c>
      <c r="O1357" s="12" t="n">
        <v>1</v>
      </c>
      <c r="P1357" s="12" t="n"/>
      <c r="Q1357" s="12" t="n"/>
      <c r="R1357" s="12" t="n"/>
      <c r="S1357" s="12" t="inlineStr">
        <is>
          <t>Tray</t>
        </is>
      </c>
      <c r="T1357" s="16" t="n">
        <v>183</v>
      </c>
      <c r="U1357" s="16" t="n">
        <v>94</v>
      </c>
      <c r="V1357" s="16">
        <f>ROUNDUP((T1357+U1357+2*'Read Me'!$B$13)*(1+'Read Me'!$B$12),-1)</f>
        <v/>
      </c>
      <c r="W1357" s="16">
        <f>V1357*N1357*O1357</f>
        <v/>
      </c>
      <c r="X1357" s="12">
        <f>IF(LEFT(I1357,2)="MV",2*N1357*IF(L1357="1/C",O1357,1),0)</f>
        <v/>
      </c>
      <c r="Y1357" s="12">
        <f>IF(OR(LEFT(K1357,4)="LVAX",LEFT(K1357,6)="MV15AX",LEFT(K1357,4)="CTAX",LEFT(K1357,2)="W|"),2*N1357*O1357,0)</f>
        <v/>
      </c>
      <c r="Z1357" s="12" t="inlineStr"/>
      <c r="AA1357" s="12">
        <f>N1357*O1357</f>
        <v/>
      </c>
    </row>
    <row r="1358">
      <c r="A1358" s="12" t="inlineStr">
        <is>
          <t>A-I-0636</t>
        </is>
      </c>
      <c r="B1358" s="12" t="inlineStr">
        <is>
          <t>A</t>
        </is>
      </c>
      <c r="C1358" s="12" t="inlineStr">
        <is>
          <t>Power block</t>
        </is>
      </c>
      <c r="D1358" s="12" t="inlineStr">
        <is>
          <t>Discrete device to JB JB-WASH-GT1-DI01: 6 x 1 pr (field cables)</t>
        </is>
      </c>
      <c r="E1358" s="12" t="inlineStr">
        <is>
          <t>WASH-GT1</t>
        </is>
      </c>
      <c r="F1358" s="12" t="inlineStr">
        <is>
          <t>WASH-GT1: compressor water-wash skid</t>
        </is>
      </c>
      <c r="G1358" s="12" t="inlineStr">
        <is>
          <t>JB-WASH-GT1-DI01</t>
        </is>
      </c>
      <c r="H1358" s="12" t="inlineStr">
        <is>
          <t>WASH-GT1: compressor water-wash skid</t>
        </is>
      </c>
      <c r="I1358" s="12" t="inlineStr">
        <is>
          <t>Instrumentation</t>
        </is>
      </c>
      <c r="J1358" s="12" t="inlineStr">
        <is>
          <t>Instrumentation ITC / PLTC, IS, #18 shielded pairs, blue jacket</t>
        </is>
      </c>
      <c r="K1358" s="12" t="inlineStr">
        <is>
          <t>ITC|1 pr|16</t>
        </is>
      </c>
      <c r="L1358" s="12" t="inlineStr">
        <is>
          <t>1 pr</t>
        </is>
      </c>
      <c r="M1358" s="12" t="inlineStr">
        <is>
          <t>16</t>
        </is>
      </c>
      <c r="N1358" s="12" t="n">
        <v>6</v>
      </c>
      <c r="O1358" s="12" t="n">
        <v>1</v>
      </c>
      <c r="P1358" s="12" t="n"/>
      <c r="Q1358" s="12" t="n"/>
      <c r="R1358" s="12" t="n"/>
      <c r="S1358" s="12" t="inlineStr">
        <is>
          <t>Tray / conduit</t>
        </is>
      </c>
      <c r="T1358" s="16" t="n">
        <v>52</v>
      </c>
      <c r="U1358" s="16" t="n">
        <v>10</v>
      </c>
      <c r="V1358" s="16">
        <f>ROUNDUP((T1358+U1358+2*'Read Me'!$B$13)*(1+'Read Me'!$B$12),-1)</f>
        <v/>
      </c>
      <c r="W1358" s="16">
        <f>V1358*N1358*O1358</f>
        <v/>
      </c>
      <c r="X1358" s="12">
        <f>IF(LEFT(I1358,2)="MV",2*N1358*IF(L1358="1/C",O1358,1),0)</f>
        <v/>
      </c>
      <c r="Y1358" s="12">
        <f>IF(OR(LEFT(K1358,4)="LVAX",LEFT(K1358,6)="MV15AX",LEFT(K1358,4)="CTAX",LEFT(K1358,2)="W|"),2*N1358*O1358,0)</f>
        <v/>
      </c>
      <c r="Z1358" s="12" t="inlineStr">
        <is>
          <t>device-to-JB field wiring, one cable per device</t>
        </is>
      </c>
      <c r="AA1358" s="12">
        <f>N1358*O1358</f>
        <v/>
      </c>
    </row>
    <row r="1359">
      <c r="A1359" s="12" t="inlineStr">
        <is>
          <t>A-I-0637</t>
        </is>
      </c>
      <c r="B1359" s="12" t="inlineStr">
        <is>
          <t>A</t>
        </is>
      </c>
      <c r="C1359" s="12" t="inlineStr">
        <is>
          <t>Power block</t>
        </is>
      </c>
      <c r="D1359" s="12" t="inlineStr">
        <is>
          <t>Home run JB-WASH-GT1-DI01 to the control / marshalling room</t>
        </is>
      </c>
      <c r="E1359" s="12" t="inlineStr">
        <is>
          <t>R2A</t>
        </is>
      </c>
      <c r="F1359" s="12" t="inlineStr">
        <is>
          <t>R2A: unit / HRSG electrical e-house (32 x 40 ft)</t>
        </is>
      </c>
      <c r="G1359" s="12" t="inlineStr">
        <is>
          <t>JB-WASH-GT1-DI01</t>
        </is>
      </c>
      <c r="H1359" s="12" t="inlineStr">
        <is>
          <t>WASH-GT1: compressor water-wash skid</t>
        </is>
      </c>
      <c r="I1359" s="12" t="inlineStr">
        <is>
          <t>Instrumentation</t>
        </is>
      </c>
      <c r="J1359" s="12" t="inlineStr">
        <is>
          <t>Instrumentation ITC / PLTC, IS, #18 shielded pairs, blue jacket</t>
        </is>
      </c>
      <c r="K1359" s="12" t="inlineStr">
        <is>
          <t>ITC|24 pr|18</t>
        </is>
      </c>
      <c r="L1359" s="12" t="inlineStr">
        <is>
          <t>24 pr</t>
        </is>
      </c>
      <c r="M1359" s="12" t="inlineStr">
        <is>
          <t>18</t>
        </is>
      </c>
      <c r="N1359" s="12" t="n">
        <v>1</v>
      </c>
      <c r="O1359" s="12" t="n">
        <v>1</v>
      </c>
      <c r="P1359" s="12" t="n"/>
      <c r="Q1359" s="12" t="n"/>
      <c r="R1359" s="12" t="n"/>
      <c r="S1359" s="12" t="inlineStr">
        <is>
          <t>Tray</t>
        </is>
      </c>
      <c r="T1359" s="16" t="n">
        <v>183</v>
      </c>
      <c r="U1359" s="16" t="n">
        <v>94</v>
      </c>
      <c r="V1359" s="16">
        <f>ROUNDUP((T1359+U1359+2*'Read Me'!$B$13)*(1+'Read Me'!$B$12),-1)</f>
        <v/>
      </c>
      <c r="W1359" s="16">
        <f>V1359*N1359*O1359</f>
        <v/>
      </c>
      <c r="X1359" s="12">
        <f>IF(LEFT(I1359,2)="MV",2*N1359*IF(L1359="1/C",O1359,1),0)</f>
        <v/>
      </c>
      <c r="Y1359" s="12">
        <f>IF(OR(LEFT(K1359,4)="LVAX",LEFT(K1359,6)="MV15AX",LEFT(K1359,4)="CTAX",LEFT(K1359,2)="W|"),2*N1359*O1359,0)</f>
        <v/>
      </c>
      <c r="Z1359" s="12" t="inlineStr"/>
      <c r="AA1359" s="12">
        <f>N1359*O1359</f>
        <v/>
      </c>
    </row>
    <row r="1360">
      <c r="A1360" s="12" t="inlineStr">
        <is>
          <t>A-I-0638</t>
        </is>
      </c>
      <c r="B1360" s="12" t="inlineStr">
        <is>
          <t>A</t>
        </is>
      </c>
      <c r="C1360" s="12" t="inlineStr">
        <is>
          <t>Power block</t>
        </is>
      </c>
      <c r="D1360" s="12" t="inlineStr">
        <is>
          <t>Analog instrument to JB JB-WASH-GT2-AI01: 4 x 1 pr (field cables)</t>
        </is>
      </c>
      <c r="E1360" s="12" t="inlineStr">
        <is>
          <t>WASH-GT2</t>
        </is>
      </c>
      <c r="F1360" s="12" t="inlineStr">
        <is>
          <t>WASH-GT2: compressor water-wash skid</t>
        </is>
      </c>
      <c r="G1360" s="12" t="inlineStr">
        <is>
          <t>JB-WASH-GT2-AI01</t>
        </is>
      </c>
      <c r="H1360" s="12" t="inlineStr">
        <is>
          <t>WASH-GT2: compressor water-wash skid</t>
        </is>
      </c>
      <c r="I1360" s="12" t="inlineStr">
        <is>
          <t>Instrumentation</t>
        </is>
      </c>
      <c r="J1360" s="12" t="inlineStr">
        <is>
          <t>Instrumentation ITC / PLTC, IS, #18 shielded pairs, blue jacket</t>
        </is>
      </c>
      <c r="K1360" s="12" t="inlineStr">
        <is>
          <t>ITC|1 pr|16</t>
        </is>
      </c>
      <c r="L1360" s="12" t="inlineStr">
        <is>
          <t>1 pr</t>
        </is>
      </c>
      <c r="M1360" s="12" t="inlineStr">
        <is>
          <t>16</t>
        </is>
      </c>
      <c r="N1360" s="12" t="n">
        <v>4</v>
      </c>
      <c r="O1360" s="12" t="n">
        <v>1</v>
      </c>
      <c r="P1360" s="12" t="n"/>
      <c r="Q1360" s="12" t="n"/>
      <c r="R1360" s="12" t="n"/>
      <c r="S1360" s="12" t="inlineStr">
        <is>
          <t>Tray / conduit</t>
        </is>
      </c>
      <c r="T1360" s="16" t="n">
        <v>52</v>
      </c>
      <c r="U1360" s="16" t="n">
        <v>10</v>
      </c>
      <c r="V1360" s="16">
        <f>ROUNDUP((T1360+U1360+2*'Read Me'!$B$13)*(1+'Read Me'!$B$12),-1)</f>
        <v/>
      </c>
      <c r="W1360" s="16">
        <f>V1360*N1360*O1360</f>
        <v/>
      </c>
      <c r="X1360" s="12">
        <f>IF(LEFT(I1360,2)="MV",2*N1360*IF(L1360="1/C",O1360,1),0)</f>
        <v/>
      </c>
      <c r="Y1360" s="12">
        <f>IF(OR(LEFT(K1360,4)="LVAX",LEFT(K1360,6)="MV15AX",LEFT(K1360,4)="CTAX",LEFT(K1360,2)="W|"),2*N1360*O1360,0)</f>
        <v/>
      </c>
      <c r="Z1360" s="12" t="inlineStr">
        <is>
          <t>device-to-JB field wiring, one cable per device</t>
        </is>
      </c>
      <c r="AA1360" s="12">
        <f>N1360*O1360</f>
        <v/>
      </c>
    </row>
    <row r="1361">
      <c r="A1361" s="12" t="inlineStr">
        <is>
          <t>A-I-0639</t>
        </is>
      </c>
      <c r="B1361" s="12" t="inlineStr">
        <is>
          <t>A</t>
        </is>
      </c>
      <c r="C1361" s="12" t="inlineStr">
        <is>
          <t>Power block</t>
        </is>
      </c>
      <c r="D1361" s="12" t="inlineStr">
        <is>
          <t>Home run JB-WASH-GT2-AI01 to the control / marshalling room</t>
        </is>
      </c>
      <c r="E1361" s="12" t="inlineStr">
        <is>
          <t>R2B</t>
        </is>
      </c>
      <c r="F1361" s="12" t="inlineStr">
        <is>
          <t>R2B: unit / HRSG electrical e-house (32 x 40 ft)</t>
        </is>
      </c>
      <c r="G1361" s="12" t="inlineStr">
        <is>
          <t>JB-WASH-GT2-AI01</t>
        </is>
      </c>
      <c r="H1361" s="12" t="inlineStr">
        <is>
          <t>WASH-GT2: compressor water-wash skid</t>
        </is>
      </c>
      <c r="I1361" s="12" t="inlineStr">
        <is>
          <t>Instrumentation</t>
        </is>
      </c>
      <c r="J1361" s="12" t="inlineStr">
        <is>
          <t>Instrumentation ITC / PLTC, IS, #18 shielded pairs, blue jacket</t>
        </is>
      </c>
      <c r="K1361" s="12" t="inlineStr">
        <is>
          <t>ITC|24 pr|18</t>
        </is>
      </c>
      <c r="L1361" s="12" t="inlineStr">
        <is>
          <t>24 pr</t>
        </is>
      </c>
      <c r="M1361" s="12" t="inlineStr">
        <is>
          <t>18</t>
        </is>
      </c>
      <c r="N1361" s="12" t="n">
        <v>1</v>
      </c>
      <c r="O1361" s="12" t="n">
        <v>1</v>
      </c>
      <c r="P1361" s="12" t="n"/>
      <c r="Q1361" s="12" t="n"/>
      <c r="R1361" s="12" t="n"/>
      <c r="S1361" s="12" t="inlineStr">
        <is>
          <t>Tray</t>
        </is>
      </c>
      <c r="T1361" s="16" t="n">
        <v>1075</v>
      </c>
      <c r="U1361" s="16" t="n">
        <v>188</v>
      </c>
      <c r="V1361" s="16">
        <f>ROUNDUP((T1361+U1361+2*'Read Me'!$B$13)*(1+'Read Me'!$B$12),-1)</f>
        <v/>
      </c>
      <c r="W1361" s="16">
        <f>V1361*N1361*O1361</f>
        <v/>
      </c>
      <c r="X1361" s="12">
        <f>IF(LEFT(I1361,2)="MV",2*N1361*IF(L1361="1/C",O1361,1),0)</f>
        <v/>
      </c>
      <c r="Y1361" s="12">
        <f>IF(OR(LEFT(K1361,4)="LVAX",LEFT(K1361,6)="MV15AX",LEFT(K1361,4)="CTAX",LEFT(K1361,2)="W|"),2*N1361*O1361,0)</f>
        <v/>
      </c>
      <c r="Z1361" s="12" t="inlineStr"/>
      <c r="AA1361" s="12">
        <f>N1361*O1361</f>
        <v/>
      </c>
    </row>
    <row r="1362">
      <c r="A1362" s="12" t="inlineStr">
        <is>
          <t>A-I-0640</t>
        </is>
      </c>
      <c r="B1362" s="12" t="inlineStr">
        <is>
          <t>A</t>
        </is>
      </c>
      <c r="C1362" s="12" t="inlineStr">
        <is>
          <t>Power block</t>
        </is>
      </c>
      <c r="D1362" s="12" t="inlineStr">
        <is>
          <t>Discrete device to JB JB-WASH-GT2-DI01: 6 x 1 pr (field cables)</t>
        </is>
      </c>
      <c r="E1362" s="12" t="inlineStr">
        <is>
          <t>WASH-GT2</t>
        </is>
      </c>
      <c r="F1362" s="12" t="inlineStr">
        <is>
          <t>WASH-GT2: compressor water-wash skid</t>
        </is>
      </c>
      <c r="G1362" s="12" t="inlineStr">
        <is>
          <t>JB-WASH-GT2-DI01</t>
        </is>
      </c>
      <c r="H1362" s="12" t="inlineStr">
        <is>
          <t>WASH-GT2: compressor water-wash skid</t>
        </is>
      </c>
      <c r="I1362" s="12" t="inlineStr">
        <is>
          <t>Instrumentation</t>
        </is>
      </c>
      <c r="J1362" s="12" t="inlineStr">
        <is>
          <t>Instrumentation ITC / PLTC, IS, #18 shielded pairs, blue jacket</t>
        </is>
      </c>
      <c r="K1362" s="12" t="inlineStr">
        <is>
          <t>ITC|1 pr|16</t>
        </is>
      </c>
      <c r="L1362" s="12" t="inlineStr">
        <is>
          <t>1 pr</t>
        </is>
      </c>
      <c r="M1362" s="12" t="inlineStr">
        <is>
          <t>16</t>
        </is>
      </c>
      <c r="N1362" s="12" t="n">
        <v>6</v>
      </c>
      <c r="O1362" s="12" t="n">
        <v>1</v>
      </c>
      <c r="P1362" s="12" t="n"/>
      <c r="Q1362" s="12" t="n"/>
      <c r="R1362" s="12" t="n"/>
      <c r="S1362" s="12" t="inlineStr">
        <is>
          <t>Tray / conduit</t>
        </is>
      </c>
      <c r="T1362" s="16" t="n">
        <v>52</v>
      </c>
      <c r="U1362" s="16" t="n">
        <v>10</v>
      </c>
      <c r="V1362" s="16">
        <f>ROUNDUP((T1362+U1362+2*'Read Me'!$B$13)*(1+'Read Me'!$B$12),-1)</f>
        <v/>
      </c>
      <c r="W1362" s="16">
        <f>V1362*N1362*O1362</f>
        <v/>
      </c>
      <c r="X1362" s="12">
        <f>IF(LEFT(I1362,2)="MV",2*N1362*IF(L1362="1/C",O1362,1),0)</f>
        <v/>
      </c>
      <c r="Y1362" s="12">
        <f>IF(OR(LEFT(K1362,4)="LVAX",LEFT(K1362,6)="MV15AX",LEFT(K1362,4)="CTAX",LEFT(K1362,2)="W|"),2*N1362*O1362,0)</f>
        <v/>
      </c>
      <c r="Z1362" s="12" t="inlineStr">
        <is>
          <t>device-to-JB field wiring, one cable per device</t>
        </is>
      </c>
      <c r="AA1362" s="12">
        <f>N1362*O1362</f>
        <v/>
      </c>
    </row>
    <row r="1363">
      <c r="A1363" s="12" t="inlineStr">
        <is>
          <t>A-I-0641</t>
        </is>
      </c>
      <c r="B1363" s="12" t="inlineStr">
        <is>
          <t>A</t>
        </is>
      </c>
      <c r="C1363" s="12" t="inlineStr">
        <is>
          <t>Power block</t>
        </is>
      </c>
      <c r="D1363" s="12" t="inlineStr">
        <is>
          <t>Home run JB-WASH-GT2-DI01 to the control / marshalling room</t>
        </is>
      </c>
      <c r="E1363" s="12" t="inlineStr">
        <is>
          <t>R2B</t>
        </is>
      </c>
      <c r="F1363" s="12" t="inlineStr">
        <is>
          <t>R2B: unit / HRSG electrical e-house (32 x 40 ft)</t>
        </is>
      </c>
      <c r="G1363" s="12" t="inlineStr">
        <is>
          <t>JB-WASH-GT2-DI01</t>
        </is>
      </c>
      <c r="H1363" s="12" t="inlineStr">
        <is>
          <t>WASH-GT2: compressor water-wash skid</t>
        </is>
      </c>
      <c r="I1363" s="12" t="inlineStr">
        <is>
          <t>Instrumentation</t>
        </is>
      </c>
      <c r="J1363" s="12" t="inlineStr">
        <is>
          <t>Instrumentation ITC / PLTC, IS, #18 shielded pairs, blue jacket</t>
        </is>
      </c>
      <c r="K1363" s="12" t="inlineStr">
        <is>
          <t>ITC|24 pr|18</t>
        </is>
      </c>
      <c r="L1363" s="12" t="inlineStr">
        <is>
          <t>24 pr</t>
        </is>
      </c>
      <c r="M1363" s="12" t="inlineStr">
        <is>
          <t>18</t>
        </is>
      </c>
      <c r="N1363" s="12" t="n">
        <v>1</v>
      </c>
      <c r="O1363" s="12" t="n">
        <v>1</v>
      </c>
      <c r="P1363" s="12" t="n"/>
      <c r="Q1363" s="12" t="n"/>
      <c r="R1363" s="12" t="n"/>
      <c r="S1363" s="12" t="inlineStr">
        <is>
          <t>Tray</t>
        </is>
      </c>
      <c r="T1363" s="16" t="n">
        <v>1075</v>
      </c>
      <c r="U1363" s="16" t="n">
        <v>188</v>
      </c>
      <c r="V1363" s="16">
        <f>ROUNDUP((T1363+U1363+2*'Read Me'!$B$13)*(1+'Read Me'!$B$12),-1)</f>
        <v/>
      </c>
      <c r="W1363" s="16">
        <f>V1363*N1363*O1363</f>
        <v/>
      </c>
      <c r="X1363" s="12">
        <f>IF(LEFT(I1363,2)="MV",2*N1363*IF(L1363="1/C",O1363,1),0)</f>
        <v/>
      </c>
      <c r="Y1363" s="12">
        <f>IF(OR(LEFT(K1363,4)="LVAX",LEFT(K1363,6)="MV15AX",LEFT(K1363,4)="CTAX",LEFT(K1363,2)="W|"),2*N1363*O1363,0)</f>
        <v/>
      </c>
      <c r="Z1363" s="12" t="inlineStr"/>
      <c r="AA1363" s="12">
        <f>N1363*O1363</f>
        <v/>
      </c>
    </row>
    <row r="1364">
      <c r="A1364" s="12" t="inlineStr">
        <is>
          <t>A-I-0642</t>
        </is>
      </c>
      <c r="B1364" s="12" t="inlineStr">
        <is>
          <t>A</t>
        </is>
      </c>
      <c r="C1364" s="12" t="inlineStr">
        <is>
          <t>Power block</t>
        </is>
      </c>
      <c r="D1364" s="12" t="inlineStr">
        <is>
          <t>Analog instrument to JB JB-WASH-GT3-AI01: 4 x 1 pr (field cables)</t>
        </is>
      </c>
      <c r="E1364" s="12" t="inlineStr">
        <is>
          <t>WASH-GT3</t>
        </is>
      </c>
      <c r="F1364" s="12" t="inlineStr">
        <is>
          <t>WASH-GT3: compressor water-wash skid</t>
        </is>
      </c>
      <c r="G1364" s="12" t="inlineStr">
        <is>
          <t>JB-WASH-GT3-AI01</t>
        </is>
      </c>
      <c r="H1364" s="12" t="inlineStr">
        <is>
          <t>WASH-GT3: compressor water-wash skid</t>
        </is>
      </c>
      <c r="I1364" s="12" t="inlineStr">
        <is>
          <t>Instrumentation</t>
        </is>
      </c>
      <c r="J1364" s="12" t="inlineStr">
        <is>
          <t>Instrumentation ITC / PLTC, IS, #18 shielded pairs, blue jacket</t>
        </is>
      </c>
      <c r="K1364" s="12" t="inlineStr">
        <is>
          <t>ITC|1 pr|16</t>
        </is>
      </c>
      <c r="L1364" s="12" t="inlineStr">
        <is>
          <t>1 pr</t>
        </is>
      </c>
      <c r="M1364" s="12" t="inlineStr">
        <is>
          <t>16</t>
        </is>
      </c>
      <c r="N1364" s="12" t="n">
        <v>4</v>
      </c>
      <c r="O1364" s="12" t="n">
        <v>1</v>
      </c>
      <c r="P1364" s="12" t="n"/>
      <c r="Q1364" s="12" t="n"/>
      <c r="R1364" s="12" t="n"/>
      <c r="S1364" s="12" t="inlineStr">
        <is>
          <t>Tray / conduit</t>
        </is>
      </c>
      <c r="T1364" s="16" t="n">
        <v>52</v>
      </c>
      <c r="U1364" s="16" t="n">
        <v>10</v>
      </c>
      <c r="V1364" s="16">
        <f>ROUNDUP((T1364+U1364+2*'Read Me'!$B$13)*(1+'Read Me'!$B$12),-1)</f>
        <v/>
      </c>
      <c r="W1364" s="16">
        <f>V1364*N1364*O1364</f>
        <v/>
      </c>
      <c r="X1364" s="12">
        <f>IF(LEFT(I1364,2)="MV",2*N1364*IF(L1364="1/C",O1364,1),0)</f>
        <v/>
      </c>
      <c r="Y1364" s="12">
        <f>IF(OR(LEFT(K1364,4)="LVAX",LEFT(K1364,6)="MV15AX",LEFT(K1364,4)="CTAX",LEFT(K1364,2)="W|"),2*N1364*O1364,0)</f>
        <v/>
      </c>
      <c r="Z1364" s="12" t="inlineStr">
        <is>
          <t>device-to-JB field wiring, one cable per device</t>
        </is>
      </c>
      <c r="AA1364" s="12">
        <f>N1364*O1364</f>
        <v/>
      </c>
    </row>
    <row r="1365">
      <c r="A1365" s="12" t="inlineStr">
        <is>
          <t>A-I-0643</t>
        </is>
      </c>
      <c r="B1365" s="12" t="inlineStr">
        <is>
          <t>A</t>
        </is>
      </c>
      <c r="C1365" s="12" t="inlineStr">
        <is>
          <t>Power block</t>
        </is>
      </c>
      <c r="D1365" s="12" t="inlineStr">
        <is>
          <t>Home run JB-WASH-GT3-AI01 to the control / marshalling room</t>
        </is>
      </c>
      <c r="E1365" s="12" t="inlineStr">
        <is>
          <t>R2C</t>
        </is>
      </c>
      <c r="F1365" s="12" t="inlineStr">
        <is>
          <t>R2C: unit / HRSG electrical e-house (32 x 40 ft)</t>
        </is>
      </c>
      <c r="G1365" s="12" t="inlineStr">
        <is>
          <t>JB-WASH-GT3-AI01</t>
        </is>
      </c>
      <c r="H1365" s="12" t="inlineStr">
        <is>
          <t>WASH-GT3: compressor water-wash skid</t>
        </is>
      </c>
      <c r="I1365" s="12" t="inlineStr">
        <is>
          <t>Instrumentation</t>
        </is>
      </c>
      <c r="J1365" s="12" t="inlineStr">
        <is>
          <t>Instrumentation ITC / PLTC, IS, #18 shielded pairs, blue jacket</t>
        </is>
      </c>
      <c r="K1365" s="12" t="inlineStr">
        <is>
          <t>ITC|24 pr|18</t>
        </is>
      </c>
      <c r="L1365" s="12" t="inlineStr">
        <is>
          <t>24 pr</t>
        </is>
      </c>
      <c r="M1365" s="12" t="inlineStr">
        <is>
          <t>18</t>
        </is>
      </c>
      <c r="N1365" s="12" t="n">
        <v>1</v>
      </c>
      <c r="O1365" s="12" t="n">
        <v>1</v>
      </c>
      <c r="P1365" s="12" t="n"/>
      <c r="Q1365" s="12" t="n"/>
      <c r="R1365" s="12" t="n"/>
      <c r="S1365" s="12" t="inlineStr">
        <is>
          <t>Tray</t>
        </is>
      </c>
      <c r="T1365" s="16" t="n">
        <v>1024</v>
      </c>
      <c r="U1365" s="16" t="n">
        <v>267</v>
      </c>
      <c r="V1365" s="16">
        <f>ROUNDUP((T1365+U1365+2*'Read Me'!$B$13)*(1+'Read Me'!$B$12),-1)</f>
        <v/>
      </c>
      <c r="W1365" s="16">
        <f>V1365*N1365*O1365</f>
        <v/>
      </c>
      <c r="X1365" s="12">
        <f>IF(LEFT(I1365,2)="MV",2*N1365*IF(L1365="1/C",O1365,1),0)</f>
        <v/>
      </c>
      <c r="Y1365" s="12">
        <f>IF(OR(LEFT(K1365,4)="LVAX",LEFT(K1365,6)="MV15AX",LEFT(K1365,4)="CTAX",LEFT(K1365,2)="W|"),2*N1365*O1365,0)</f>
        <v/>
      </c>
      <c r="Z1365" s="12" t="inlineStr"/>
      <c r="AA1365" s="12">
        <f>N1365*O1365</f>
        <v/>
      </c>
    </row>
    <row r="1366">
      <c r="A1366" s="12" t="inlineStr">
        <is>
          <t>A-I-0644</t>
        </is>
      </c>
      <c r="B1366" s="12" t="inlineStr">
        <is>
          <t>A</t>
        </is>
      </c>
      <c r="C1366" s="12" t="inlineStr">
        <is>
          <t>Power block</t>
        </is>
      </c>
      <c r="D1366" s="12" t="inlineStr">
        <is>
          <t>Discrete device to JB JB-WASH-GT3-DI01: 6 x 1 pr (field cables)</t>
        </is>
      </c>
      <c r="E1366" s="12" t="inlineStr">
        <is>
          <t>WASH-GT3</t>
        </is>
      </c>
      <c r="F1366" s="12" t="inlineStr">
        <is>
          <t>WASH-GT3: compressor water-wash skid</t>
        </is>
      </c>
      <c r="G1366" s="12" t="inlineStr">
        <is>
          <t>JB-WASH-GT3-DI01</t>
        </is>
      </c>
      <c r="H1366" s="12" t="inlineStr">
        <is>
          <t>WASH-GT3: compressor water-wash skid</t>
        </is>
      </c>
      <c r="I1366" s="12" t="inlineStr">
        <is>
          <t>Instrumentation</t>
        </is>
      </c>
      <c r="J1366" s="12" t="inlineStr">
        <is>
          <t>Instrumentation ITC / PLTC, IS, #18 shielded pairs, blue jacket</t>
        </is>
      </c>
      <c r="K1366" s="12" t="inlineStr">
        <is>
          <t>ITC|1 pr|16</t>
        </is>
      </c>
      <c r="L1366" s="12" t="inlineStr">
        <is>
          <t>1 pr</t>
        </is>
      </c>
      <c r="M1366" s="12" t="inlineStr">
        <is>
          <t>16</t>
        </is>
      </c>
      <c r="N1366" s="12" t="n">
        <v>6</v>
      </c>
      <c r="O1366" s="12" t="n">
        <v>1</v>
      </c>
      <c r="P1366" s="12" t="n"/>
      <c r="Q1366" s="12" t="n"/>
      <c r="R1366" s="12" t="n"/>
      <c r="S1366" s="12" t="inlineStr">
        <is>
          <t>Tray / conduit</t>
        </is>
      </c>
      <c r="T1366" s="16" t="n">
        <v>52</v>
      </c>
      <c r="U1366" s="16" t="n">
        <v>10</v>
      </c>
      <c r="V1366" s="16">
        <f>ROUNDUP((T1366+U1366+2*'Read Me'!$B$13)*(1+'Read Me'!$B$12),-1)</f>
        <v/>
      </c>
      <c r="W1366" s="16">
        <f>V1366*N1366*O1366</f>
        <v/>
      </c>
      <c r="X1366" s="12">
        <f>IF(LEFT(I1366,2)="MV",2*N1366*IF(L1366="1/C",O1366,1),0)</f>
        <v/>
      </c>
      <c r="Y1366" s="12">
        <f>IF(OR(LEFT(K1366,4)="LVAX",LEFT(K1366,6)="MV15AX",LEFT(K1366,4)="CTAX",LEFT(K1366,2)="W|"),2*N1366*O1366,0)</f>
        <v/>
      </c>
      <c r="Z1366" s="12" t="inlineStr">
        <is>
          <t>device-to-JB field wiring, one cable per device</t>
        </is>
      </c>
      <c r="AA1366" s="12">
        <f>N1366*O1366</f>
        <v/>
      </c>
    </row>
    <row r="1367">
      <c r="A1367" s="12" t="inlineStr">
        <is>
          <t>A-I-0645</t>
        </is>
      </c>
      <c r="B1367" s="12" t="inlineStr">
        <is>
          <t>A</t>
        </is>
      </c>
      <c r="C1367" s="12" t="inlineStr">
        <is>
          <t>Power block</t>
        </is>
      </c>
      <c r="D1367" s="12" t="inlineStr">
        <is>
          <t>Home run JB-WASH-GT3-DI01 to the control / marshalling room</t>
        </is>
      </c>
      <c r="E1367" s="12" t="inlineStr">
        <is>
          <t>R2C</t>
        </is>
      </c>
      <c r="F1367" s="12" t="inlineStr">
        <is>
          <t>R2C: unit / HRSG electrical e-house (32 x 40 ft)</t>
        </is>
      </c>
      <c r="G1367" s="12" t="inlineStr">
        <is>
          <t>JB-WASH-GT3-DI01</t>
        </is>
      </c>
      <c r="H1367" s="12" t="inlineStr">
        <is>
          <t>WASH-GT3: compressor water-wash skid</t>
        </is>
      </c>
      <c r="I1367" s="12" t="inlineStr">
        <is>
          <t>Instrumentation</t>
        </is>
      </c>
      <c r="J1367" s="12" t="inlineStr">
        <is>
          <t>Instrumentation ITC / PLTC, IS, #18 shielded pairs, blue jacket</t>
        </is>
      </c>
      <c r="K1367" s="12" t="inlineStr">
        <is>
          <t>ITC|24 pr|18</t>
        </is>
      </c>
      <c r="L1367" s="12" t="inlineStr">
        <is>
          <t>24 pr</t>
        </is>
      </c>
      <c r="M1367" s="12" t="inlineStr">
        <is>
          <t>18</t>
        </is>
      </c>
      <c r="N1367" s="12" t="n">
        <v>1</v>
      </c>
      <c r="O1367" s="12" t="n">
        <v>1</v>
      </c>
      <c r="P1367" s="12" t="n"/>
      <c r="Q1367" s="12" t="n"/>
      <c r="R1367" s="12" t="n"/>
      <c r="S1367" s="12" t="inlineStr">
        <is>
          <t>Tray</t>
        </is>
      </c>
      <c r="T1367" s="16" t="n">
        <v>1024</v>
      </c>
      <c r="U1367" s="16" t="n">
        <v>267</v>
      </c>
      <c r="V1367" s="16">
        <f>ROUNDUP((T1367+U1367+2*'Read Me'!$B$13)*(1+'Read Me'!$B$12),-1)</f>
        <v/>
      </c>
      <c r="W1367" s="16">
        <f>V1367*N1367*O1367</f>
        <v/>
      </c>
      <c r="X1367" s="12">
        <f>IF(LEFT(I1367,2)="MV",2*N1367*IF(L1367="1/C",O1367,1),0)</f>
        <v/>
      </c>
      <c r="Y1367" s="12">
        <f>IF(OR(LEFT(K1367,4)="LVAX",LEFT(K1367,6)="MV15AX",LEFT(K1367,4)="CTAX",LEFT(K1367,2)="W|"),2*N1367*O1367,0)</f>
        <v/>
      </c>
      <c r="Z1367" s="12" t="inlineStr"/>
      <c r="AA1367" s="12">
        <f>N1367*O1367</f>
        <v/>
      </c>
    </row>
    <row r="1368">
      <c r="A1368" s="12" t="inlineStr">
        <is>
          <t>A-P-0001</t>
        </is>
      </c>
      <c r="B1368" s="12" t="inlineStr">
        <is>
          <t>A</t>
        </is>
      </c>
      <c r="C1368" s="12" t="inlineStr">
        <is>
          <t>Power block</t>
        </is>
      </c>
      <c r="D1368" s="12" t="inlineStr">
        <is>
          <t>Motor 1 of 3, 250 kW</t>
        </is>
      </c>
      <c r="E1368" s="12" t="inlineStr">
        <is>
          <t>R3</t>
        </is>
      </c>
      <c r="F1368" s="12" t="inlineStr">
        <is>
          <t>R3: ST auxiliary electrical e-house (40 x 65 ft)</t>
        </is>
      </c>
      <c r="G1368" s="12" t="inlineStr">
        <is>
          <t>AC-A/B/C</t>
        </is>
      </c>
      <c r="H1368" s="12" t="inlineStr">
        <is>
          <t>Air compressors AC-A/B/C</t>
        </is>
      </c>
      <c r="I1368" s="12" t="inlineStr">
        <is>
          <t>LV 600 V</t>
        </is>
      </c>
      <c r="J1368" s="12" t="inlineStr">
        <is>
          <t>ARMOR-X MC-HL 600 V 3/C Cu XHHW-2 + ground, CWA, black PVC (Class I Div 2)</t>
        </is>
      </c>
      <c r="K1368" s="12" t="inlineStr">
        <is>
          <t>LVAX|3/C+G|4/0</t>
        </is>
      </c>
      <c r="L1368" s="12" t="inlineStr">
        <is>
          <t>3/C+G</t>
        </is>
      </c>
      <c r="M1368" s="12" t="inlineStr">
        <is>
          <t>4/0</t>
        </is>
      </c>
      <c r="N1368" s="12" t="n">
        <v>2</v>
      </c>
      <c r="O1368" s="12" t="n">
        <v>1</v>
      </c>
      <c r="P1368" s="12" t="n">
        <v>480</v>
      </c>
      <c r="Q1368" s="12" t="n">
        <v>250</v>
      </c>
      <c r="R1368" s="12" t="n">
        <v>353.8</v>
      </c>
      <c r="S1368" s="12" t="inlineStr">
        <is>
          <t>Tray</t>
        </is>
      </c>
      <c r="T1368" s="16" t="n">
        <v>88</v>
      </c>
      <c r="U1368" s="16" t="n">
        <v>84</v>
      </c>
      <c r="V1368" s="16">
        <f>ROUNDUP((T1368+U1368+2*'Read Me'!$B$13)*(1+'Read Me'!$B$12),-1)</f>
        <v/>
      </c>
      <c r="W1368" s="16">
        <f>V1368*N1368*O1368</f>
        <v/>
      </c>
      <c r="X1368" s="12">
        <f>IF(LEFT(I1368,2)="MV",2*N1368*IF(L1368="1/C",O1368,1),0)</f>
        <v/>
      </c>
      <c r="Y1368" s="12">
        <f>IF(OR(LEFT(K1368,4)="LVAX",LEFT(K1368,6)="MV15AX",LEFT(K1368,4)="CTAX",LEFT(K1368,2)="W|"),2*N1368*O1368,0)</f>
        <v/>
      </c>
      <c r="Z1368" s="12" t="inlineStr">
        <is>
          <t>VD 0.7 %</t>
        </is>
      </c>
      <c r="AA1368" s="12">
        <f>N1368*O1368</f>
        <v/>
      </c>
    </row>
    <row r="1369">
      <c r="A1369" s="12" t="inlineStr">
        <is>
          <t>A-P-0002</t>
        </is>
      </c>
      <c r="B1369" s="12" t="inlineStr">
        <is>
          <t>A</t>
        </is>
      </c>
      <c r="C1369" s="12" t="inlineStr">
        <is>
          <t>Power block</t>
        </is>
      </c>
      <c r="D1369" s="12" t="inlineStr">
        <is>
          <t>Motor 2 of 3, 250 kW</t>
        </is>
      </c>
      <c r="E1369" s="12" t="inlineStr">
        <is>
          <t>R3</t>
        </is>
      </c>
      <c r="F1369" s="12" t="inlineStr">
        <is>
          <t>R3: ST auxiliary electrical e-house (40 x 65 ft)</t>
        </is>
      </c>
      <c r="G1369" s="12" t="inlineStr">
        <is>
          <t>AC-A/B/C</t>
        </is>
      </c>
      <c r="H1369" s="12" t="inlineStr">
        <is>
          <t>Air compressors AC-A/B/C</t>
        </is>
      </c>
      <c r="I1369" s="12" t="inlineStr">
        <is>
          <t>LV 600 V</t>
        </is>
      </c>
      <c r="J1369" s="12" t="inlineStr">
        <is>
          <t>ARMOR-X MC-HL 600 V 3/C Cu XHHW-2 + ground, CWA, black PVC (Class I Div 2)</t>
        </is>
      </c>
      <c r="K1369" s="12" t="inlineStr">
        <is>
          <t>LVAX|3/C+G|4/0</t>
        </is>
      </c>
      <c r="L1369" s="12" t="inlineStr">
        <is>
          <t>3/C+G</t>
        </is>
      </c>
      <c r="M1369" s="12" t="inlineStr">
        <is>
          <t>4/0</t>
        </is>
      </c>
      <c r="N1369" s="12" t="n">
        <v>2</v>
      </c>
      <c r="O1369" s="12" t="n">
        <v>1</v>
      </c>
      <c r="P1369" s="12" t="n">
        <v>480</v>
      </c>
      <c r="Q1369" s="12" t="n">
        <v>250</v>
      </c>
      <c r="R1369" s="12" t="n">
        <v>353.8</v>
      </c>
      <c r="S1369" s="12" t="inlineStr">
        <is>
          <t>Tray</t>
        </is>
      </c>
      <c r="T1369" s="16" t="n">
        <v>88</v>
      </c>
      <c r="U1369" s="16" t="n">
        <v>84</v>
      </c>
      <c r="V1369" s="16">
        <f>ROUNDUP((T1369+U1369+2*'Read Me'!$B$13)*(1+'Read Me'!$B$12),-1)</f>
        <v/>
      </c>
      <c r="W1369" s="16">
        <f>V1369*N1369*O1369</f>
        <v/>
      </c>
      <c r="X1369" s="12">
        <f>IF(LEFT(I1369,2)="MV",2*N1369*IF(L1369="1/C",O1369,1),0)</f>
        <v/>
      </c>
      <c r="Y1369" s="12">
        <f>IF(OR(LEFT(K1369,4)="LVAX",LEFT(K1369,6)="MV15AX",LEFT(K1369,4)="CTAX",LEFT(K1369,2)="W|"),2*N1369*O1369,0)</f>
        <v/>
      </c>
      <c r="Z1369" s="12" t="inlineStr">
        <is>
          <t>VD 0.7 %</t>
        </is>
      </c>
      <c r="AA1369" s="12">
        <f>N1369*O1369</f>
        <v/>
      </c>
    </row>
    <row r="1370">
      <c r="A1370" s="12" t="inlineStr">
        <is>
          <t>A-P-0003</t>
        </is>
      </c>
      <c r="B1370" s="12" t="inlineStr">
        <is>
          <t>A</t>
        </is>
      </c>
      <c r="C1370" s="12" t="inlineStr">
        <is>
          <t>Power block</t>
        </is>
      </c>
      <c r="D1370" s="12" t="inlineStr">
        <is>
          <t>Motor 3 of 3, 250 kW</t>
        </is>
      </c>
      <c r="E1370" s="12" t="inlineStr">
        <is>
          <t>R3</t>
        </is>
      </c>
      <c r="F1370" s="12" t="inlineStr">
        <is>
          <t>R3: ST auxiliary electrical e-house (40 x 65 ft)</t>
        </is>
      </c>
      <c r="G1370" s="12" t="inlineStr">
        <is>
          <t>AC-A/B/C</t>
        </is>
      </c>
      <c r="H1370" s="12" t="inlineStr">
        <is>
          <t>Air compressors AC-A/B/C</t>
        </is>
      </c>
      <c r="I1370" s="12" t="inlineStr">
        <is>
          <t>LV 600 V</t>
        </is>
      </c>
      <c r="J1370" s="12" t="inlineStr">
        <is>
          <t>ARMOR-X MC-HL 600 V 3/C Cu XHHW-2 + ground, CWA, black PVC (Class I Div 2)</t>
        </is>
      </c>
      <c r="K1370" s="12" t="inlineStr">
        <is>
          <t>LVAX|3/C+G|4/0</t>
        </is>
      </c>
      <c r="L1370" s="12" t="inlineStr">
        <is>
          <t>3/C+G</t>
        </is>
      </c>
      <c r="M1370" s="12" t="inlineStr">
        <is>
          <t>4/0</t>
        </is>
      </c>
      <c r="N1370" s="12" t="n">
        <v>2</v>
      </c>
      <c r="O1370" s="12" t="n">
        <v>1</v>
      </c>
      <c r="P1370" s="12" t="n">
        <v>480</v>
      </c>
      <c r="Q1370" s="12" t="n">
        <v>250</v>
      </c>
      <c r="R1370" s="12" t="n">
        <v>353.8</v>
      </c>
      <c r="S1370" s="12" t="inlineStr">
        <is>
          <t>Tray</t>
        </is>
      </c>
      <c r="T1370" s="16" t="n">
        <v>88</v>
      </c>
      <c r="U1370" s="16" t="n">
        <v>84</v>
      </c>
      <c r="V1370" s="16">
        <f>ROUNDUP((T1370+U1370+2*'Read Me'!$B$13)*(1+'Read Me'!$B$12),-1)</f>
        <v/>
      </c>
      <c r="W1370" s="16">
        <f>V1370*N1370*O1370</f>
        <v/>
      </c>
      <c r="X1370" s="12">
        <f>IF(LEFT(I1370,2)="MV",2*N1370*IF(L1370="1/C",O1370,1),0)</f>
        <v/>
      </c>
      <c r="Y1370" s="12">
        <f>IF(OR(LEFT(K1370,4)="LVAX",LEFT(K1370,6)="MV15AX",LEFT(K1370,4)="CTAX",LEFT(K1370,2)="W|"),2*N1370*O1370,0)</f>
        <v/>
      </c>
      <c r="Z1370" s="12" t="inlineStr">
        <is>
          <t>VD 0.7 %</t>
        </is>
      </c>
      <c r="AA1370" s="12">
        <f>N1370*O1370</f>
        <v/>
      </c>
    </row>
    <row r="1371">
      <c r="A1371" s="12" t="inlineStr">
        <is>
          <t>A-P-0004</t>
        </is>
      </c>
      <c r="B1371" s="12" t="inlineStr">
        <is>
          <t>A</t>
        </is>
      </c>
      <c r="C1371" s="12" t="inlineStr">
        <is>
          <t>Power block</t>
        </is>
      </c>
      <c r="D1371" s="12" t="inlineStr">
        <is>
          <t>Motor 1 of 4, 15 kW</t>
        </is>
      </c>
      <c r="E1371" s="12" t="inlineStr">
        <is>
          <t>R2A</t>
        </is>
      </c>
      <c r="F1371" s="12" t="inlineStr">
        <is>
          <t>R2A: unit / HRSG electrical e-house (32 x 40 ft)</t>
        </is>
      </c>
      <c r="G1371" s="12" t="inlineStr">
        <is>
          <t>BFP-1</t>
        </is>
      </c>
      <c r="H1371" s="12" t="inlineStr">
        <is>
          <t>BFP-1A/B: boiler feed pumps (13.8 kV DOL)</t>
        </is>
      </c>
      <c r="I1371" s="12" t="inlineStr">
        <is>
          <t>LV 600 V</t>
        </is>
      </c>
      <c r="J1371" s="12" t="inlineStr">
        <is>
          <t>Type TC-ER 600 V 3/C Cu XHHW-2 + ground, PVC jacket</t>
        </is>
      </c>
      <c r="K1371" s="12" t="inlineStr">
        <is>
          <t>LV|3/C+G|6</t>
        </is>
      </c>
      <c r="L1371" s="12" t="inlineStr">
        <is>
          <t>3/C+G</t>
        </is>
      </c>
      <c r="M1371" s="12" t="inlineStr">
        <is>
          <t>6</t>
        </is>
      </c>
      <c r="N1371" s="12" t="n">
        <v>1</v>
      </c>
      <c r="O1371" s="12" t="n">
        <v>1</v>
      </c>
      <c r="P1371" s="12" t="n">
        <v>480</v>
      </c>
      <c r="Q1371" s="12" t="n">
        <v>15</v>
      </c>
      <c r="R1371" s="12" t="n">
        <v>21.2</v>
      </c>
      <c r="S1371" s="12" t="inlineStr">
        <is>
          <t>Tray</t>
        </is>
      </c>
      <c r="T1371" s="16" t="n">
        <v>481</v>
      </c>
      <c r="U1371" s="16" t="n">
        <v>84</v>
      </c>
      <c r="V1371" s="16">
        <f>ROUNDUP((T1371+U1371+2*'Read Me'!$B$13)*(1+'Read Me'!$B$12),-1)</f>
        <v/>
      </c>
      <c r="W1371" s="16">
        <f>V1371*N1371*O1371</f>
        <v/>
      </c>
      <c r="X1371" s="12">
        <f>IF(LEFT(I1371,2)="MV",2*N1371*IF(L1371="1/C",O1371,1),0)</f>
        <v/>
      </c>
      <c r="Y1371" s="12">
        <f>IF(OR(LEFT(K1371,4)="LVAX",LEFT(K1371,6)="MV15AX",LEFT(K1371,4)="CTAX",LEFT(K1371,2)="W|"),2*N1371*O1371,0)</f>
        <v/>
      </c>
      <c r="Z1371" s="12" t="inlineStr">
        <is>
          <t>VD 2.3 %</t>
        </is>
      </c>
      <c r="AA1371" s="12">
        <f>N1371*O1371</f>
        <v/>
      </c>
    </row>
    <row r="1372">
      <c r="A1372" s="12" t="inlineStr">
        <is>
          <t>A-P-0005</t>
        </is>
      </c>
      <c r="B1372" s="12" t="inlineStr">
        <is>
          <t>A</t>
        </is>
      </c>
      <c r="C1372" s="12" t="inlineStr">
        <is>
          <t>Power block</t>
        </is>
      </c>
      <c r="D1372" s="12" t="inlineStr">
        <is>
          <t>Motor 2 of 4, 15 kW</t>
        </is>
      </c>
      <c r="E1372" s="12" t="inlineStr">
        <is>
          <t>R2A</t>
        </is>
      </c>
      <c r="F1372" s="12" t="inlineStr">
        <is>
          <t>R2A: unit / HRSG electrical e-house (32 x 40 ft)</t>
        </is>
      </c>
      <c r="G1372" s="12" t="inlineStr">
        <is>
          <t>BFP-1</t>
        </is>
      </c>
      <c r="H1372" s="12" t="inlineStr">
        <is>
          <t>BFP-1A/B: boiler feed pumps (13.8 kV DOL)</t>
        </is>
      </c>
      <c r="I1372" s="12" t="inlineStr">
        <is>
          <t>LV 600 V</t>
        </is>
      </c>
      <c r="J1372" s="12" t="inlineStr">
        <is>
          <t>Type TC-ER 600 V 3/C Cu XHHW-2 + ground, PVC jacket</t>
        </is>
      </c>
      <c r="K1372" s="12" t="inlineStr">
        <is>
          <t>LV|3/C+G|6</t>
        </is>
      </c>
      <c r="L1372" s="12" t="inlineStr">
        <is>
          <t>3/C+G</t>
        </is>
      </c>
      <c r="M1372" s="12" t="inlineStr">
        <is>
          <t>6</t>
        </is>
      </c>
      <c r="N1372" s="12" t="n">
        <v>1</v>
      </c>
      <c r="O1372" s="12" t="n">
        <v>1</v>
      </c>
      <c r="P1372" s="12" t="n">
        <v>480</v>
      </c>
      <c r="Q1372" s="12" t="n">
        <v>15</v>
      </c>
      <c r="R1372" s="12" t="n">
        <v>21.2</v>
      </c>
      <c r="S1372" s="12" t="inlineStr">
        <is>
          <t>Tray</t>
        </is>
      </c>
      <c r="T1372" s="16" t="n">
        <v>481</v>
      </c>
      <c r="U1372" s="16" t="n">
        <v>84</v>
      </c>
      <c r="V1372" s="16">
        <f>ROUNDUP((T1372+U1372+2*'Read Me'!$B$13)*(1+'Read Me'!$B$12),-1)</f>
        <v/>
      </c>
      <c r="W1372" s="16">
        <f>V1372*N1372*O1372</f>
        <v/>
      </c>
      <c r="X1372" s="12">
        <f>IF(LEFT(I1372,2)="MV",2*N1372*IF(L1372="1/C",O1372,1),0)</f>
        <v/>
      </c>
      <c r="Y1372" s="12">
        <f>IF(OR(LEFT(K1372,4)="LVAX",LEFT(K1372,6)="MV15AX",LEFT(K1372,4)="CTAX",LEFT(K1372,2)="W|"),2*N1372*O1372,0)</f>
        <v/>
      </c>
      <c r="Z1372" s="12" t="inlineStr">
        <is>
          <t>VD 2.3 %</t>
        </is>
      </c>
      <c r="AA1372" s="12">
        <f>N1372*O1372</f>
        <v/>
      </c>
    </row>
    <row r="1373">
      <c r="A1373" s="12" t="inlineStr">
        <is>
          <t>A-P-0006</t>
        </is>
      </c>
      <c r="B1373" s="12" t="inlineStr">
        <is>
          <t>A</t>
        </is>
      </c>
      <c r="C1373" s="12" t="inlineStr">
        <is>
          <t>Power block</t>
        </is>
      </c>
      <c r="D1373" s="12" t="inlineStr">
        <is>
          <t>Motor 3 of 4, 15 kW</t>
        </is>
      </c>
      <c r="E1373" s="12" t="inlineStr">
        <is>
          <t>R2A</t>
        </is>
      </c>
      <c r="F1373" s="12" t="inlineStr">
        <is>
          <t>R2A: unit / HRSG electrical e-house (32 x 40 ft)</t>
        </is>
      </c>
      <c r="G1373" s="12" t="inlineStr">
        <is>
          <t>BFP-1</t>
        </is>
      </c>
      <c r="H1373" s="12" t="inlineStr">
        <is>
          <t>BFP-1A/B: boiler feed pumps (13.8 kV DOL)</t>
        </is>
      </c>
      <c r="I1373" s="12" t="inlineStr">
        <is>
          <t>LV 600 V</t>
        </is>
      </c>
      <c r="J1373" s="12" t="inlineStr">
        <is>
          <t>Type TC-ER 600 V 3/C Cu XHHW-2 + ground, PVC jacket</t>
        </is>
      </c>
      <c r="K1373" s="12" t="inlineStr">
        <is>
          <t>LV|3/C+G|6</t>
        </is>
      </c>
      <c r="L1373" s="12" t="inlineStr">
        <is>
          <t>3/C+G</t>
        </is>
      </c>
      <c r="M1373" s="12" t="inlineStr">
        <is>
          <t>6</t>
        </is>
      </c>
      <c r="N1373" s="12" t="n">
        <v>1</v>
      </c>
      <c r="O1373" s="12" t="n">
        <v>1</v>
      </c>
      <c r="P1373" s="12" t="n">
        <v>480</v>
      </c>
      <c r="Q1373" s="12" t="n">
        <v>15</v>
      </c>
      <c r="R1373" s="12" t="n">
        <v>21.2</v>
      </c>
      <c r="S1373" s="12" t="inlineStr">
        <is>
          <t>Tray</t>
        </is>
      </c>
      <c r="T1373" s="16" t="n">
        <v>481</v>
      </c>
      <c r="U1373" s="16" t="n">
        <v>84</v>
      </c>
      <c r="V1373" s="16">
        <f>ROUNDUP((T1373+U1373+2*'Read Me'!$B$13)*(1+'Read Me'!$B$12),-1)</f>
        <v/>
      </c>
      <c r="W1373" s="16">
        <f>V1373*N1373*O1373</f>
        <v/>
      </c>
      <c r="X1373" s="12">
        <f>IF(LEFT(I1373,2)="MV",2*N1373*IF(L1373="1/C",O1373,1),0)</f>
        <v/>
      </c>
      <c r="Y1373" s="12">
        <f>IF(OR(LEFT(K1373,4)="LVAX",LEFT(K1373,6)="MV15AX",LEFT(K1373,4)="CTAX",LEFT(K1373,2)="W|"),2*N1373*O1373,0)</f>
        <v/>
      </c>
      <c r="Z1373" s="12" t="inlineStr">
        <is>
          <t>VD 2.3 %</t>
        </is>
      </c>
      <c r="AA1373" s="12">
        <f>N1373*O1373</f>
        <v/>
      </c>
    </row>
    <row r="1374">
      <c r="A1374" s="12" t="inlineStr">
        <is>
          <t>A-P-0007</t>
        </is>
      </c>
      <c r="B1374" s="12" t="inlineStr">
        <is>
          <t>A</t>
        </is>
      </c>
      <c r="C1374" s="12" t="inlineStr">
        <is>
          <t>Power block</t>
        </is>
      </c>
      <c r="D1374" s="12" t="inlineStr">
        <is>
          <t>Motor 4 of 4, 15 kW</t>
        </is>
      </c>
      <c r="E1374" s="12" t="inlineStr">
        <is>
          <t>R2A</t>
        </is>
      </c>
      <c r="F1374" s="12" t="inlineStr">
        <is>
          <t>R2A: unit / HRSG electrical e-house (32 x 40 ft)</t>
        </is>
      </c>
      <c r="G1374" s="12" t="inlineStr">
        <is>
          <t>BFP-1</t>
        </is>
      </c>
      <c r="H1374" s="12" t="inlineStr">
        <is>
          <t>BFP-1A/B: boiler feed pumps (13.8 kV DOL)</t>
        </is>
      </c>
      <c r="I1374" s="12" t="inlineStr">
        <is>
          <t>LV 600 V</t>
        </is>
      </c>
      <c r="J1374" s="12" t="inlineStr">
        <is>
          <t>Type TC-ER 600 V 3/C Cu XHHW-2 + ground, PVC jacket</t>
        </is>
      </c>
      <c r="K1374" s="12" t="inlineStr">
        <is>
          <t>LV|3/C+G|6</t>
        </is>
      </c>
      <c r="L1374" s="12" t="inlineStr">
        <is>
          <t>3/C+G</t>
        </is>
      </c>
      <c r="M1374" s="12" t="inlineStr">
        <is>
          <t>6</t>
        </is>
      </c>
      <c r="N1374" s="12" t="n">
        <v>1</v>
      </c>
      <c r="O1374" s="12" t="n">
        <v>1</v>
      </c>
      <c r="P1374" s="12" t="n">
        <v>480</v>
      </c>
      <c r="Q1374" s="12" t="n">
        <v>15</v>
      </c>
      <c r="R1374" s="12" t="n">
        <v>21.2</v>
      </c>
      <c r="S1374" s="12" t="inlineStr">
        <is>
          <t>Tray</t>
        </is>
      </c>
      <c r="T1374" s="16" t="n">
        <v>481</v>
      </c>
      <c r="U1374" s="16" t="n">
        <v>84</v>
      </c>
      <c r="V1374" s="16">
        <f>ROUNDUP((T1374+U1374+2*'Read Me'!$B$13)*(1+'Read Me'!$B$12),-1)</f>
        <v/>
      </c>
      <c r="W1374" s="16">
        <f>V1374*N1374*O1374</f>
        <v/>
      </c>
      <c r="X1374" s="12">
        <f>IF(LEFT(I1374,2)="MV",2*N1374*IF(L1374="1/C",O1374,1),0)</f>
        <v/>
      </c>
      <c r="Y1374" s="12">
        <f>IF(OR(LEFT(K1374,4)="LVAX",LEFT(K1374,6)="MV15AX",LEFT(K1374,4)="CTAX",LEFT(K1374,2)="W|"),2*N1374*O1374,0)</f>
        <v/>
      </c>
      <c r="Z1374" s="12" t="inlineStr">
        <is>
          <t>VD 2.3 %</t>
        </is>
      </c>
      <c r="AA1374" s="12">
        <f>N1374*O1374</f>
        <v/>
      </c>
    </row>
    <row r="1375">
      <c r="A1375" s="12" t="inlineStr">
        <is>
          <t>A-P-0008</t>
        </is>
      </c>
      <c r="B1375" s="12" t="inlineStr">
        <is>
          <t>A</t>
        </is>
      </c>
      <c r="C1375" s="12" t="inlineStr">
        <is>
          <t>Power block</t>
        </is>
      </c>
      <c r="D1375" s="12" t="inlineStr">
        <is>
          <t>Motor 1 of 4, 15 kW</t>
        </is>
      </c>
      <c r="E1375" s="12" t="inlineStr">
        <is>
          <t>R2B</t>
        </is>
      </c>
      <c r="F1375" s="12" t="inlineStr">
        <is>
          <t>R2B: unit / HRSG electrical e-house (32 x 40 ft)</t>
        </is>
      </c>
      <c r="G1375" s="12" t="inlineStr">
        <is>
          <t>BFP-2</t>
        </is>
      </c>
      <c r="H1375" s="12" t="inlineStr">
        <is>
          <t>BFP-2A/B: boiler feed pumps (13.8 kV DOL)</t>
        </is>
      </c>
      <c r="I1375" s="12" t="inlineStr">
        <is>
          <t>LV 600 V</t>
        </is>
      </c>
      <c r="J1375" s="12" t="inlineStr">
        <is>
          <t>Type TC-ER 600 V 3/C Cu XHHW-2 + ground, PVC jacket</t>
        </is>
      </c>
      <c r="K1375" s="12" t="inlineStr">
        <is>
          <t>LV|3/C+G|6</t>
        </is>
      </c>
      <c r="L1375" s="12" t="inlineStr">
        <is>
          <t>3/C+G</t>
        </is>
      </c>
      <c r="M1375" s="12" t="inlineStr">
        <is>
          <t>6</t>
        </is>
      </c>
      <c r="N1375" s="12" t="n">
        <v>1</v>
      </c>
      <c r="O1375" s="12" t="n">
        <v>1</v>
      </c>
      <c r="P1375" s="12" t="n">
        <v>480</v>
      </c>
      <c r="Q1375" s="12" t="n">
        <v>15</v>
      </c>
      <c r="R1375" s="12" t="n">
        <v>21.2</v>
      </c>
      <c r="S1375" s="12" t="inlineStr">
        <is>
          <t>Tray</t>
        </is>
      </c>
      <c r="T1375" s="16" t="n">
        <v>479</v>
      </c>
      <c r="U1375" s="16" t="n">
        <v>84</v>
      </c>
      <c r="V1375" s="16">
        <f>ROUNDUP((T1375+U1375+2*'Read Me'!$B$13)*(1+'Read Me'!$B$12),-1)</f>
        <v/>
      </c>
      <c r="W1375" s="16">
        <f>V1375*N1375*O1375</f>
        <v/>
      </c>
      <c r="X1375" s="12">
        <f>IF(LEFT(I1375,2)="MV",2*N1375*IF(L1375="1/C",O1375,1),0)</f>
        <v/>
      </c>
      <c r="Y1375" s="12">
        <f>IF(OR(LEFT(K1375,4)="LVAX",LEFT(K1375,6)="MV15AX",LEFT(K1375,4)="CTAX",LEFT(K1375,2)="W|"),2*N1375*O1375,0)</f>
        <v/>
      </c>
      <c r="Z1375" s="12" t="inlineStr">
        <is>
          <t>VD 2.3 %</t>
        </is>
      </c>
      <c r="AA1375" s="12">
        <f>N1375*O1375</f>
        <v/>
      </c>
    </row>
    <row r="1376">
      <c r="A1376" s="12" t="inlineStr">
        <is>
          <t>A-P-0009</t>
        </is>
      </c>
      <c r="B1376" s="12" t="inlineStr">
        <is>
          <t>A</t>
        </is>
      </c>
      <c r="C1376" s="12" t="inlineStr">
        <is>
          <t>Power block</t>
        </is>
      </c>
      <c r="D1376" s="12" t="inlineStr">
        <is>
          <t>Motor 2 of 4, 15 kW</t>
        </is>
      </c>
      <c r="E1376" s="12" t="inlineStr">
        <is>
          <t>R2B</t>
        </is>
      </c>
      <c r="F1376" s="12" t="inlineStr">
        <is>
          <t>R2B: unit / HRSG electrical e-house (32 x 40 ft)</t>
        </is>
      </c>
      <c r="G1376" s="12" t="inlineStr">
        <is>
          <t>BFP-2</t>
        </is>
      </c>
      <c r="H1376" s="12" t="inlineStr">
        <is>
          <t>BFP-2A/B: boiler feed pumps (13.8 kV DOL)</t>
        </is>
      </c>
      <c r="I1376" s="12" t="inlineStr">
        <is>
          <t>LV 600 V</t>
        </is>
      </c>
      <c r="J1376" s="12" t="inlineStr">
        <is>
          <t>Type TC-ER 600 V 3/C Cu XHHW-2 + ground, PVC jacket</t>
        </is>
      </c>
      <c r="K1376" s="12" t="inlineStr">
        <is>
          <t>LV|3/C+G|6</t>
        </is>
      </c>
      <c r="L1376" s="12" t="inlineStr">
        <is>
          <t>3/C+G</t>
        </is>
      </c>
      <c r="M1376" s="12" t="inlineStr">
        <is>
          <t>6</t>
        </is>
      </c>
      <c r="N1376" s="12" t="n">
        <v>1</v>
      </c>
      <c r="O1376" s="12" t="n">
        <v>1</v>
      </c>
      <c r="P1376" s="12" t="n">
        <v>480</v>
      </c>
      <c r="Q1376" s="12" t="n">
        <v>15</v>
      </c>
      <c r="R1376" s="12" t="n">
        <v>21.2</v>
      </c>
      <c r="S1376" s="12" t="inlineStr">
        <is>
          <t>Tray</t>
        </is>
      </c>
      <c r="T1376" s="16" t="n">
        <v>479</v>
      </c>
      <c r="U1376" s="16" t="n">
        <v>84</v>
      </c>
      <c r="V1376" s="16">
        <f>ROUNDUP((T1376+U1376+2*'Read Me'!$B$13)*(1+'Read Me'!$B$12),-1)</f>
        <v/>
      </c>
      <c r="W1376" s="16">
        <f>V1376*N1376*O1376</f>
        <v/>
      </c>
      <c r="X1376" s="12">
        <f>IF(LEFT(I1376,2)="MV",2*N1376*IF(L1376="1/C",O1376,1),0)</f>
        <v/>
      </c>
      <c r="Y1376" s="12">
        <f>IF(OR(LEFT(K1376,4)="LVAX",LEFT(K1376,6)="MV15AX",LEFT(K1376,4)="CTAX",LEFT(K1376,2)="W|"),2*N1376*O1376,0)</f>
        <v/>
      </c>
      <c r="Z1376" s="12" t="inlineStr">
        <is>
          <t>VD 2.3 %</t>
        </is>
      </c>
      <c r="AA1376" s="12">
        <f>N1376*O1376</f>
        <v/>
      </c>
    </row>
    <row r="1377">
      <c r="A1377" s="12" t="inlineStr">
        <is>
          <t>A-P-0010</t>
        </is>
      </c>
      <c r="B1377" s="12" t="inlineStr">
        <is>
          <t>A</t>
        </is>
      </c>
      <c r="C1377" s="12" t="inlineStr">
        <is>
          <t>Power block</t>
        </is>
      </c>
      <c r="D1377" s="12" t="inlineStr">
        <is>
          <t>Motor 3 of 4, 15 kW</t>
        </is>
      </c>
      <c r="E1377" s="12" t="inlineStr">
        <is>
          <t>R2B</t>
        </is>
      </c>
      <c r="F1377" s="12" t="inlineStr">
        <is>
          <t>R2B: unit / HRSG electrical e-house (32 x 40 ft)</t>
        </is>
      </c>
      <c r="G1377" s="12" t="inlineStr">
        <is>
          <t>BFP-2</t>
        </is>
      </c>
      <c r="H1377" s="12" t="inlineStr">
        <is>
          <t>BFP-2A/B: boiler feed pumps (13.8 kV DOL)</t>
        </is>
      </c>
      <c r="I1377" s="12" t="inlineStr">
        <is>
          <t>LV 600 V</t>
        </is>
      </c>
      <c r="J1377" s="12" t="inlineStr">
        <is>
          <t>Type TC-ER 600 V 3/C Cu XHHW-2 + ground, PVC jacket</t>
        </is>
      </c>
      <c r="K1377" s="12" t="inlineStr">
        <is>
          <t>LV|3/C+G|6</t>
        </is>
      </c>
      <c r="L1377" s="12" t="inlineStr">
        <is>
          <t>3/C+G</t>
        </is>
      </c>
      <c r="M1377" s="12" t="inlineStr">
        <is>
          <t>6</t>
        </is>
      </c>
      <c r="N1377" s="12" t="n">
        <v>1</v>
      </c>
      <c r="O1377" s="12" t="n">
        <v>1</v>
      </c>
      <c r="P1377" s="12" t="n">
        <v>480</v>
      </c>
      <c r="Q1377" s="12" t="n">
        <v>15</v>
      </c>
      <c r="R1377" s="12" t="n">
        <v>21.2</v>
      </c>
      <c r="S1377" s="12" t="inlineStr">
        <is>
          <t>Tray</t>
        </is>
      </c>
      <c r="T1377" s="16" t="n">
        <v>479</v>
      </c>
      <c r="U1377" s="16" t="n">
        <v>84</v>
      </c>
      <c r="V1377" s="16">
        <f>ROUNDUP((T1377+U1377+2*'Read Me'!$B$13)*(1+'Read Me'!$B$12),-1)</f>
        <v/>
      </c>
      <c r="W1377" s="16">
        <f>V1377*N1377*O1377</f>
        <v/>
      </c>
      <c r="X1377" s="12">
        <f>IF(LEFT(I1377,2)="MV",2*N1377*IF(L1377="1/C",O1377,1),0)</f>
        <v/>
      </c>
      <c r="Y1377" s="12">
        <f>IF(OR(LEFT(K1377,4)="LVAX",LEFT(K1377,6)="MV15AX",LEFT(K1377,4)="CTAX",LEFT(K1377,2)="W|"),2*N1377*O1377,0)</f>
        <v/>
      </c>
      <c r="Z1377" s="12" t="inlineStr">
        <is>
          <t>VD 2.3 %</t>
        </is>
      </c>
      <c r="AA1377" s="12">
        <f>N1377*O1377</f>
        <v/>
      </c>
    </row>
    <row r="1378">
      <c r="A1378" s="12" t="inlineStr">
        <is>
          <t>A-P-0011</t>
        </is>
      </c>
      <c r="B1378" s="12" t="inlineStr">
        <is>
          <t>A</t>
        </is>
      </c>
      <c r="C1378" s="12" t="inlineStr">
        <is>
          <t>Power block</t>
        </is>
      </c>
      <c r="D1378" s="12" t="inlineStr">
        <is>
          <t>Motor 4 of 4, 15 kW</t>
        </is>
      </c>
      <c r="E1378" s="12" t="inlineStr">
        <is>
          <t>R2B</t>
        </is>
      </c>
      <c r="F1378" s="12" t="inlineStr">
        <is>
          <t>R2B: unit / HRSG electrical e-house (32 x 40 ft)</t>
        </is>
      </c>
      <c r="G1378" s="12" t="inlineStr">
        <is>
          <t>BFP-2</t>
        </is>
      </c>
      <c r="H1378" s="12" t="inlineStr">
        <is>
          <t>BFP-2A/B: boiler feed pumps (13.8 kV DOL)</t>
        </is>
      </c>
      <c r="I1378" s="12" t="inlineStr">
        <is>
          <t>LV 600 V</t>
        </is>
      </c>
      <c r="J1378" s="12" t="inlineStr">
        <is>
          <t>Type TC-ER 600 V 3/C Cu XHHW-2 + ground, PVC jacket</t>
        </is>
      </c>
      <c r="K1378" s="12" t="inlineStr">
        <is>
          <t>LV|3/C+G|6</t>
        </is>
      </c>
      <c r="L1378" s="12" t="inlineStr">
        <is>
          <t>3/C+G</t>
        </is>
      </c>
      <c r="M1378" s="12" t="inlineStr">
        <is>
          <t>6</t>
        </is>
      </c>
      <c r="N1378" s="12" t="n">
        <v>1</v>
      </c>
      <c r="O1378" s="12" t="n">
        <v>1</v>
      </c>
      <c r="P1378" s="12" t="n">
        <v>480</v>
      </c>
      <c r="Q1378" s="12" t="n">
        <v>15</v>
      </c>
      <c r="R1378" s="12" t="n">
        <v>21.2</v>
      </c>
      <c r="S1378" s="12" t="inlineStr">
        <is>
          <t>Tray</t>
        </is>
      </c>
      <c r="T1378" s="16" t="n">
        <v>479</v>
      </c>
      <c r="U1378" s="16" t="n">
        <v>84</v>
      </c>
      <c r="V1378" s="16">
        <f>ROUNDUP((T1378+U1378+2*'Read Me'!$B$13)*(1+'Read Me'!$B$12),-1)</f>
        <v/>
      </c>
      <c r="W1378" s="16">
        <f>V1378*N1378*O1378</f>
        <v/>
      </c>
      <c r="X1378" s="12">
        <f>IF(LEFT(I1378,2)="MV",2*N1378*IF(L1378="1/C",O1378,1),0)</f>
        <v/>
      </c>
      <c r="Y1378" s="12">
        <f>IF(OR(LEFT(K1378,4)="LVAX",LEFT(K1378,6)="MV15AX",LEFT(K1378,4)="CTAX",LEFT(K1378,2)="W|"),2*N1378*O1378,0)</f>
        <v/>
      </c>
      <c r="Z1378" s="12" t="inlineStr">
        <is>
          <t>VD 2.3 %</t>
        </is>
      </c>
      <c r="AA1378" s="12">
        <f>N1378*O1378</f>
        <v/>
      </c>
    </row>
    <row r="1379">
      <c r="A1379" s="12" t="inlineStr">
        <is>
          <t>A-P-0012</t>
        </is>
      </c>
      <c r="B1379" s="12" t="inlineStr">
        <is>
          <t>A</t>
        </is>
      </c>
      <c r="C1379" s="12" t="inlineStr">
        <is>
          <t>Power block</t>
        </is>
      </c>
      <c r="D1379" s="12" t="inlineStr">
        <is>
          <t>Motor 1 of 4, 15 kW</t>
        </is>
      </c>
      <c r="E1379" s="12" t="inlineStr">
        <is>
          <t>R2C</t>
        </is>
      </c>
      <c r="F1379" s="12" t="inlineStr">
        <is>
          <t>R2C: unit / HRSG electrical e-house (32 x 40 ft)</t>
        </is>
      </c>
      <c r="G1379" s="12" t="inlineStr">
        <is>
          <t>BFP-3</t>
        </is>
      </c>
      <c r="H1379" s="12" t="inlineStr">
        <is>
          <t>BFP-3A/B: boiler feed pumps (13.8 kV DOL)</t>
        </is>
      </c>
      <c r="I1379" s="12" t="inlineStr">
        <is>
          <t>LV 600 V</t>
        </is>
      </c>
      <c r="J1379" s="12" t="inlineStr">
        <is>
          <t>Type TC-ER 600 V 3/C Cu XHHW-2 + ground, PVC jacket</t>
        </is>
      </c>
      <c r="K1379" s="12" t="inlineStr">
        <is>
          <t>LV|3/C+G|6</t>
        </is>
      </c>
      <c r="L1379" s="12" t="inlineStr">
        <is>
          <t>3/C+G</t>
        </is>
      </c>
      <c r="M1379" s="12" t="inlineStr">
        <is>
          <t>6</t>
        </is>
      </c>
      <c r="N1379" s="12" t="n">
        <v>1</v>
      </c>
      <c r="O1379" s="12" t="n">
        <v>1</v>
      </c>
      <c r="P1379" s="12" t="n">
        <v>480</v>
      </c>
      <c r="Q1379" s="12" t="n">
        <v>15</v>
      </c>
      <c r="R1379" s="12" t="n">
        <v>21.2</v>
      </c>
      <c r="S1379" s="12" t="inlineStr">
        <is>
          <t>Tray</t>
        </is>
      </c>
      <c r="T1379" s="16" t="n">
        <v>481</v>
      </c>
      <c r="U1379" s="16" t="n">
        <v>84</v>
      </c>
      <c r="V1379" s="16">
        <f>ROUNDUP((T1379+U1379+2*'Read Me'!$B$13)*(1+'Read Me'!$B$12),-1)</f>
        <v/>
      </c>
      <c r="W1379" s="16">
        <f>V1379*N1379*O1379</f>
        <v/>
      </c>
      <c r="X1379" s="12">
        <f>IF(LEFT(I1379,2)="MV",2*N1379*IF(L1379="1/C",O1379,1),0)</f>
        <v/>
      </c>
      <c r="Y1379" s="12">
        <f>IF(OR(LEFT(K1379,4)="LVAX",LEFT(K1379,6)="MV15AX",LEFT(K1379,4)="CTAX",LEFT(K1379,2)="W|"),2*N1379*O1379,0)</f>
        <v/>
      </c>
      <c r="Z1379" s="12" t="inlineStr">
        <is>
          <t>VD 2.3 %</t>
        </is>
      </c>
      <c r="AA1379" s="12">
        <f>N1379*O1379</f>
        <v/>
      </c>
    </row>
    <row r="1380">
      <c r="A1380" s="12" t="inlineStr">
        <is>
          <t>A-P-0013</t>
        </is>
      </c>
      <c r="B1380" s="12" t="inlineStr">
        <is>
          <t>A</t>
        </is>
      </c>
      <c r="C1380" s="12" t="inlineStr">
        <is>
          <t>Power block</t>
        </is>
      </c>
      <c r="D1380" s="12" t="inlineStr">
        <is>
          <t>Motor 2 of 4, 15 kW</t>
        </is>
      </c>
      <c r="E1380" s="12" t="inlineStr">
        <is>
          <t>R2C</t>
        </is>
      </c>
      <c r="F1380" s="12" t="inlineStr">
        <is>
          <t>R2C: unit / HRSG electrical e-house (32 x 40 ft)</t>
        </is>
      </c>
      <c r="G1380" s="12" t="inlineStr">
        <is>
          <t>BFP-3</t>
        </is>
      </c>
      <c r="H1380" s="12" t="inlineStr">
        <is>
          <t>BFP-3A/B: boiler feed pumps (13.8 kV DOL)</t>
        </is>
      </c>
      <c r="I1380" s="12" t="inlineStr">
        <is>
          <t>LV 600 V</t>
        </is>
      </c>
      <c r="J1380" s="12" t="inlineStr">
        <is>
          <t>Type TC-ER 600 V 3/C Cu XHHW-2 + ground, PVC jacket</t>
        </is>
      </c>
      <c r="K1380" s="12" t="inlineStr">
        <is>
          <t>LV|3/C+G|6</t>
        </is>
      </c>
      <c r="L1380" s="12" t="inlineStr">
        <is>
          <t>3/C+G</t>
        </is>
      </c>
      <c r="M1380" s="12" t="inlineStr">
        <is>
          <t>6</t>
        </is>
      </c>
      <c r="N1380" s="12" t="n">
        <v>1</v>
      </c>
      <c r="O1380" s="12" t="n">
        <v>1</v>
      </c>
      <c r="P1380" s="12" t="n">
        <v>480</v>
      </c>
      <c r="Q1380" s="12" t="n">
        <v>15</v>
      </c>
      <c r="R1380" s="12" t="n">
        <v>21.2</v>
      </c>
      <c r="S1380" s="12" t="inlineStr">
        <is>
          <t>Tray</t>
        </is>
      </c>
      <c r="T1380" s="16" t="n">
        <v>481</v>
      </c>
      <c r="U1380" s="16" t="n">
        <v>84</v>
      </c>
      <c r="V1380" s="16">
        <f>ROUNDUP((T1380+U1380+2*'Read Me'!$B$13)*(1+'Read Me'!$B$12),-1)</f>
        <v/>
      </c>
      <c r="W1380" s="16">
        <f>V1380*N1380*O1380</f>
        <v/>
      </c>
      <c r="X1380" s="12">
        <f>IF(LEFT(I1380,2)="MV",2*N1380*IF(L1380="1/C",O1380,1),0)</f>
        <v/>
      </c>
      <c r="Y1380" s="12">
        <f>IF(OR(LEFT(K1380,4)="LVAX",LEFT(K1380,6)="MV15AX",LEFT(K1380,4)="CTAX",LEFT(K1380,2)="W|"),2*N1380*O1380,0)</f>
        <v/>
      </c>
      <c r="Z1380" s="12" t="inlineStr">
        <is>
          <t>VD 2.3 %</t>
        </is>
      </c>
      <c r="AA1380" s="12">
        <f>N1380*O1380</f>
        <v/>
      </c>
    </row>
    <row r="1381">
      <c r="A1381" s="12" t="inlineStr">
        <is>
          <t>A-P-0014</t>
        </is>
      </c>
      <c r="B1381" s="12" t="inlineStr">
        <is>
          <t>A</t>
        </is>
      </c>
      <c r="C1381" s="12" t="inlineStr">
        <is>
          <t>Power block</t>
        </is>
      </c>
      <c r="D1381" s="12" t="inlineStr">
        <is>
          <t>Motor 3 of 4, 15 kW</t>
        </is>
      </c>
      <c r="E1381" s="12" t="inlineStr">
        <is>
          <t>R2C</t>
        </is>
      </c>
      <c r="F1381" s="12" t="inlineStr">
        <is>
          <t>R2C: unit / HRSG electrical e-house (32 x 40 ft)</t>
        </is>
      </c>
      <c r="G1381" s="12" t="inlineStr">
        <is>
          <t>BFP-3</t>
        </is>
      </c>
      <c r="H1381" s="12" t="inlineStr">
        <is>
          <t>BFP-3A/B: boiler feed pumps (13.8 kV DOL)</t>
        </is>
      </c>
      <c r="I1381" s="12" t="inlineStr">
        <is>
          <t>LV 600 V</t>
        </is>
      </c>
      <c r="J1381" s="12" t="inlineStr">
        <is>
          <t>Type TC-ER 600 V 3/C Cu XHHW-2 + ground, PVC jacket</t>
        </is>
      </c>
      <c r="K1381" s="12" t="inlineStr">
        <is>
          <t>LV|3/C+G|6</t>
        </is>
      </c>
      <c r="L1381" s="12" t="inlineStr">
        <is>
          <t>3/C+G</t>
        </is>
      </c>
      <c r="M1381" s="12" t="inlineStr">
        <is>
          <t>6</t>
        </is>
      </c>
      <c r="N1381" s="12" t="n">
        <v>1</v>
      </c>
      <c r="O1381" s="12" t="n">
        <v>1</v>
      </c>
      <c r="P1381" s="12" t="n">
        <v>480</v>
      </c>
      <c r="Q1381" s="12" t="n">
        <v>15</v>
      </c>
      <c r="R1381" s="12" t="n">
        <v>21.2</v>
      </c>
      <c r="S1381" s="12" t="inlineStr">
        <is>
          <t>Tray</t>
        </is>
      </c>
      <c r="T1381" s="16" t="n">
        <v>481</v>
      </c>
      <c r="U1381" s="16" t="n">
        <v>84</v>
      </c>
      <c r="V1381" s="16">
        <f>ROUNDUP((T1381+U1381+2*'Read Me'!$B$13)*(1+'Read Me'!$B$12),-1)</f>
        <v/>
      </c>
      <c r="W1381" s="16">
        <f>V1381*N1381*O1381</f>
        <v/>
      </c>
      <c r="X1381" s="12">
        <f>IF(LEFT(I1381,2)="MV",2*N1381*IF(L1381="1/C",O1381,1),0)</f>
        <v/>
      </c>
      <c r="Y1381" s="12">
        <f>IF(OR(LEFT(K1381,4)="LVAX",LEFT(K1381,6)="MV15AX",LEFT(K1381,4)="CTAX",LEFT(K1381,2)="W|"),2*N1381*O1381,0)</f>
        <v/>
      </c>
      <c r="Z1381" s="12" t="inlineStr">
        <is>
          <t>VD 2.3 %</t>
        </is>
      </c>
      <c r="AA1381" s="12">
        <f>N1381*O1381</f>
        <v/>
      </c>
    </row>
    <row r="1382">
      <c r="A1382" s="12" t="inlineStr">
        <is>
          <t>A-P-0015</t>
        </is>
      </c>
      <c r="B1382" s="12" t="inlineStr">
        <is>
          <t>A</t>
        </is>
      </c>
      <c r="C1382" s="12" t="inlineStr">
        <is>
          <t>Power block</t>
        </is>
      </c>
      <c r="D1382" s="12" t="inlineStr">
        <is>
          <t>Motor 4 of 4, 15 kW</t>
        </is>
      </c>
      <c r="E1382" s="12" t="inlineStr">
        <is>
          <t>R2C</t>
        </is>
      </c>
      <c r="F1382" s="12" t="inlineStr">
        <is>
          <t>R2C: unit / HRSG electrical e-house (32 x 40 ft)</t>
        </is>
      </c>
      <c r="G1382" s="12" t="inlineStr">
        <is>
          <t>BFP-3</t>
        </is>
      </c>
      <c r="H1382" s="12" t="inlineStr">
        <is>
          <t>BFP-3A/B: boiler feed pumps (13.8 kV DOL)</t>
        </is>
      </c>
      <c r="I1382" s="12" t="inlineStr">
        <is>
          <t>LV 600 V</t>
        </is>
      </c>
      <c r="J1382" s="12" t="inlineStr">
        <is>
          <t>Type TC-ER 600 V 3/C Cu XHHW-2 + ground, PVC jacket</t>
        </is>
      </c>
      <c r="K1382" s="12" t="inlineStr">
        <is>
          <t>LV|3/C+G|6</t>
        </is>
      </c>
      <c r="L1382" s="12" t="inlineStr">
        <is>
          <t>3/C+G</t>
        </is>
      </c>
      <c r="M1382" s="12" t="inlineStr">
        <is>
          <t>6</t>
        </is>
      </c>
      <c r="N1382" s="12" t="n">
        <v>1</v>
      </c>
      <c r="O1382" s="12" t="n">
        <v>1</v>
      </c>
      <c r="P1382" s="12" t="n">
        <v>480</v>
      </c>
      <c r="Q1382" s="12" t="n">
        <v>15</v>
      </c>
      <c r="R1382" s="12" t="n">
        <v>21.2</v>
      </c>
      <c r="S1382" s="12" t="inlineStr">
        <is>
          <t>Tray</t>
        </is>
      </c>
      <c r="T1382" s="16" t="n">
        <v>481</v>
      </c>
      <c r="U1382" s="16" t="n">
        <v>84</v>
      </c>
      <c r="V1382" s="16">
        <f>ROUNDUP((T1382+U1382+2*'Read Me'!$B$13)*(1+'Read Me'!$B$12),-1)</f>
        <v/>
      </c>
      <c r="W1382" s="16">
        <f>V1382*N1382*O1382</f>
        <v/>
      </c>
      <c r="X1382" s="12">
        <f>IF(LEFT(I1382,2)="MV",2*N1382*IF(L1382="1/C",O1382,1),0)</f>
        <v/>
      </c>
      <c r="Y1382" s="12">
        <f>IF(OR(LEFT(K1382,4)="LVAX",LEFT(K1382,6)="MV15AX",LEFT(K1382,4)="CTAX",LEFT(K1382,2)="W|"),2*N1382*O1382,0)</f>
        <v/>
      </c>
      <c r="Z1382" s="12" t="inlineStr">
        <is>
          <t>VD 2.3 %</t>
        </is>
      </c>
      <c r="AA1382" s="12">
        <f>N1382*O1382</f>
        <v/>
      </c>
    </row>
    <row r="1383">
      <c r="A1383" s="12" t="inlineStr">
        <is>
          <t>A-P-0016</t>
        </is>
      </c>
      <c r="B1383" s="12" t="inlineStr">
        <is>
          <t>A</t>
        </is>
      </c>
      <c r="C1383" s="12" t="inlineStr">
        <is>
          <t>Power block</t>
        </is>
      </c>
      <c r="D1383" s="12" t="inlineStr">
        <is>
          <t>Bridge crane conductor-bar feeder (fused disconnect, north wall)</t>
        </is>
      </c>
      <c r="E1383" s="12" t="inlineStr">
        <is>
          <t>LC-480-A</t>
        </is>
      </c>
      <c r="F1383" s="12" t="inlineStr">
        <is>
          <t>R1 LC-480-A (480 V switchgear)</t>
        </is>
      </c>
      <c r="G1383" s="12" t="inlineStr">
        <is>
          <t>CRANE</t>
        </is>
      </c>
      <c r="H1383" s="12" t="inlineStr">
        <is>
          <t>Bridge crane (parked over laydown bay)</t>
        </is>
      </c>
      <c r="I1383" s="12" t="inlineStr">
        <is>
          <t>LV 600 V</t>
        </is>
      </c>
      <c r="J1383" s="12" t="inlineStr">
        <is>
          <t>Type TC-ER 600 V 3/C Cu XHHW-2 + ground, PVC jacket</t>
        </is>
      </c>
      <c r="K1383" s="12" t="inlineStr">
        <is>
          <t>LV|3/C+G|350</t>
        </is>
      </c>
      <c r="L1383" s="12" t="inlineStr">
        <is>
          <t>3/C+G</t>
        </is>
      </c>
      <c r="M1383" s="12" t="inlineStr">
        <is>
          <t>350 kcmil</t>
        </is>
      </c>
      <c r="N1383" s="12" t="n">
        <v>1</v>
      </c>
      <c r="O1383" s="12" t="n">
        <v>1</v>
      </c>
      <c r="P1383" s="12" t="n">
        <v>480</v>
      </c>
      <c r="Q1383" s="12" t="n">
        <v>150</v>
      </c>
      <c r="R1383" s="12" t="n">
        <v>212.3</v>
      </c>
      <c r="S1383" s="12" t="inlineStr">
        <is>
          <t>Tray</t>
        </is>
      </c>
      <c r="T1383" s="16" t="n">
        <v>361</v>
      </c>
      <c r="U1383" s="16" t="n">
        <v>160</v>
      </c>
      <c r="V1383" s="16">
        <f>ROUNDUP((T1383+U1383+2*'Read Me'!$B$13)*(1+'Read Me'!$B$12),-1)</f>
        <v/>
      </c>
      <c r="W1383" s="16">
        <f>V1383*N1383*O1383</f>
        <v/>
      </c>
      <c r="X1383" s="12">
        <f>IF(LEFT(I1383,2)="MV",2*N1383*IF(L1383="1/C",O1383,1),0)</f>
        <v/>
      </c>
      <c r="Y1383" s="12">
        <f>IF(OR(LEFT(K1383,4)="LVAX",LEFT(K1383,6)="MV15AX",LEFT(K1383,4)="CTAX",LEFT(K1383,2)="W|"),2*N1383*O1383,0)</f>
        <v/>
      </c>
      <c r="Z1383" s="12" t="inlineStr">
        <is>
          <t>VD 1.6 %</t>
        </is>
      </c>
      <c r="AA1383" s="12">
        <f>N1383*O1383</f>
        <v/>
      </c>
    </row>
    <row r="1384">
      <c r="A1384" s="12" t="inlineStr">
        <is>
          <t>A-P-0017</t>
        </is>
      </c>
      <c r="B1384" s="12" t="inlineStr">
        <is>
          <t>A</t>
        </is>
      </c>
      <c r="C1384" s="12" t="inlineStr">
        <is>
          <t>Power block</t>
        </is>
      </c>
      <c r="D1384" s="12" t="inlineStr">
        <is>
          <t>Motor 1 of 2, 5 kW</t>
        </is>
      </c>
      <c r="E1384" s="12" t="inlineStr">
        <is>
          <t>R2A</t>
        </is>
      </c>
      <c r="F1384" s="12" t="inlineStr">
        <is>
          <t>R2A: unit / HRSG electrical e-house (32 x 40 ft)</t>
        </is>
      </c>
      <c r="G1384" s="12" t="inlineStr">
        <is>
          <t>CEMS-1</t>
        </is>
      </c>
      <c r="H1384" s="12" t="inlineStr">
        <is>
          <t>CEMS shelter, HRSG 1</t>
        </is>
      </c>
      <c r="I1384" s="12" t="inlineStr">
        <is>
          <t>LV 600 V</t>
        </is>
      </c>
      <c r="J1384" s="12" t="inlineStr">
        <is>
          <t>Type TC-ER 600 V 3/C Cu XHHW-2 + ground, PVC jacket</t>
        </is>
      </c>
      <c r="K1384" s="12" t="inlineStr">
        <is>
          <t>LV|3/C+G|10</t>
        </is>
      </c>
      <c r="L1384" s="12" t="inlineStr">
        <is>
          <t>3/C+G</t>
        </is>
      </c>
      <c r="M1384" s="12" t="inlineStr">
        <is>
          <t>10</t>
        </is>
      </c>
      <c r="N1384" s="12" t="n">
        <v>1</v>
      </c>
      <c r="O1384" s="12" t="n">
        <v>1</v>
      </c>
      <c r="P1384" s="12" t="n">
        <v>480</v>
      </c>
      <c r="Q1384" s="12" t="n">
        <v>5</v>
      </c>
      <c r="R1384" s="12" t="n">
        <v>7.1</v>
      </c>
      <c r="S1384" s="12" t="inlineStr">
        <is>
          <t>Tray</t>
        </is>
      </c>
      <c r="T1384" s="16" t="n">
        <v>277</v>
      </c>
      <c r="U1384" s="16" t="n">
        <v>97</v>
      </c>
      <c r="V1384" s="16">
        <f>ROUNDUP((T1384+U1384+2*'Read Me'!$B$13)*(1+'Read Me'!$B$12),-1)</f>
        <v/>
      </c>
      <c r="W1384" s="16">
        <f>V1384*N1384*O1384</f>
        <v/>
      </c>
      <c r="X1384" s="12">
        <f>IF(LEFT(I1384,2)="MV",2*N1384*IF(L1384="1/C",O1384,1),0)</f>
        <v/>
      </c>
      <c r="Y1384" s="12">
        <f>IF(OR(LEFT(K1384,4)="LVAX",LEFT(K1384,6)="MV15AX",LEFT(K1384,4)="CTAX",LEFT(K1384,2)="W|"),2*N1384*O1384,0)</f>
        <v/>
      </c>
      <c r="Z1384" s="12" t="inlineStr">
        <is>
          <t>VD 1.3 %</t>
        </is>
      </c>
      <c r="AA1384" s="12">
        <f>N1384*O1384</f>
        <v/>
      </c>
    </row>
    <row r="1385">
      <c r="A1385" s="12" t="inlineStr">
        <is>
          <t>A-P-0018</t>
        </is>
      </c>
      <c r="B1385" s="12" t="inlineStr">
        <is>
          <t>A</t>
        </is>
      </c>
      <c r="C1385" s="12" t="inlineStr">
        <is>
          <t>Power block</t>
        </is>
      </c>
      <c r="D1385" s="12" t="inlineStr">
        <is>
          <t>Motor 2 of 2, 5 kW</t>
        </is>
      </c>
      <c r="E1385" s="12" t="inlineStr">
        <is>
          <t>R2A</t>
        </is>
      </c>
      <c r="F1385" s="12" t="inlineStr">
        <is>
          <t>R2A: unit / HRSG electrical e-house (32 x 40 ft)</t>
        </is>
      </c>
      <c r="G1385" s="12" t="inlineStr">
        <is>
          <t>CEMS-1</t>
        </is>
      </c>
      <c r="H1385" s="12" t="inlineStr">
        <is>
          <t>CEMS shelter, HRSG 1</t>
        </is>
      </c>
      <c r="I1385" s="12" t="inlineStr">
        <is>
          <t>LV 600 V</t>
        </is>
      </c>
      <c r="J1385" s="12" t="inlineStr">
        <is>
          <t>Type TC-ER 600 V 3/C Cu XHHW-2 + ground, PVC jacket</t>
        </is>
      </c>
      <c r="K1385" s="12" t="inlineStr">
        <is>
          <t>LV|3/C+G|10</t>
        </is>
      </c>
      <c r="L1385" s="12" t="inlineStr">
        <is>
          <t>3/C+G</t>
        </is>
      </c>
      <c r="M1385" s="12" t="inlineStr">
        <is>
          <t>10</t>
        </is>
      </c>
      <c r="N1385" s="12" t="n">
        <v>1</v>
      </c>
      <c r="O1385" s="12" t="n">
        <v>1</v>
      </c>
      <c r="P1385" s="12" t="n">
        <v>480</v>
      </c>
      <c r="Q1385" s="12" t="n">
        <v>5</v>
      </c>
      <c r="R1385" s="12" t="n">
        <v>7.1</v>
      </c>
      <c r="S1385" s="12" t="inlineStr">
        <is>
          <t>Tray</t>
        </is>
      </c>
      <c r="T1385" s="16" t="n">
        <v>277</v>
      </c>
      <c r="U1385" s="16" t="n">
        <v>97</v>
      </c>
      <c r="V1385" s="16">
        <f>ROUNDUP((T1385+U1385+2*'Read Me'!$B$13)*(1+'Read Me'!$B$12),-1)</f>
        <v/>
      </c>
      <c r="W1385" s="16">
        <f>V1385*N1385*O1385</f>
        <v/>
      </c>
      <c r="X1385" s="12">
        <f>IF(LEFT(I1385,2)="MV",2*N1385*IF(L1385="1/C",O1385,1),0)</f>
        <v/>
      </c>
      <c r="Y1385" s="12">
        <f>IF(OR(LEFT(K1385,4)="LVAX",LEFT(K1385,6)="MV15AX",LEFT(K1385,4)="CTAX",LEFT(K1385,2)="W|"),2*N1385*O1385,0)</f>
        <v/>
      </c>
      <c r="Z1385" s="12" t="inlineStr">
        <is>
          <t>VD 1.3 %</t>
        </is>
      </c>
      <c r="AA1385" s="12">
        <f>N1385*O1385</f>
        <v/>
      </c>
    </row>
    <row r="1386">
      <c r="A1386" s="12" t="inlineStr">
        <is>
          <t>A-P-0019</t>
        </is>
      </c>
      <c r="B1386" s="12" t="inlineStr">
        <is>
          <t>A</t>
        </is>
      </c>
      <c r="C1386" s="12" t="inlineStr">
        <is>
          <t>Power block</t>
        </is>
      </c>
      <c r="D1386" s="12" t="inlineStr">
        <is>
          <t>Motor 1 of 2, 5 kW</t>
        </is>
      </c>
      <c r="E1386" s="12" t="inlineStr">
        <is>
          <t>R2B</t>
        </is>
      </c>
      <c r="F1386" s="12" t="inlineStr">
        <is>
          <t>R2B: unit / HRSG electrical e-house (32 x 40 ft)</t>
        </is>
      </c>
      <c r="G1386" s="12" t="inlineStr">
        <is>
          <t>CEMS-2</t>
        </is>
      </c>
      <c r="H1386" s="12" t="inlineStr">
        <is>
          <t>CEMS shelter, HRSG 2</t>
        </is>
      </c>
      <c r="I1386" s="12" t="inlineStr">
        <is>
          <t>LV 600 V</t>
        </is>
      </c>
      <c r="J1386" s="12" t="inlineStr">
        <is>
          <t>Type TC-ER 600 V 3/C Cu XHHW-2 + ground, PVC jacket</t>
        </is>
      </c>
      <c r="K1386" s="12" t="inlineStr">
        <is>
          <t>LV|3/C+G|10</t>
        </is>
      </c>
      <c r="L1386" s="12" t="inlineStr">
        <is>
          <t>3/C+G</t>
        </is>
      </c>
      <c r="M1386" s="12" t="inlineStr">
        <is>
          <t>10</t>
        </is>
      </c>
      <c r="N1386" s="12" t="n">
        <v>1</v>
      </c>
      <c r="O1386" s="12" t="n">
        <v>1</v>
      </c>
      <c r="P1386" s="12" t="n">
        <v>480</v>
      </c>
      <c r="Q1386" s="12" t="n">
        <v>5</v>
      </c>
      <c r="R1386" s="12" t="n">
        <v>7.1</v>
      </c>
      <c r="S1386" s="12" t="inlineStr">
        <is>
          <t>Tray</t>
        </is>
      </c>
      <c r="T1386" s="16" t="n">
        <v>273</v>
      </c>
      <c r="U1386" s="16" t="n">
        <v>93</v>
      </c>
      <c r="V1386" s="16">
        <f>ROUNDUP((T1386+U1386+2*'Read Me'!$B$13)*(1+'Read Me'!$B$12),-1)</f>
        <v/>
      </c>
      <c r="W1386" s="16">
        <f>V1386*N1386*O1386</f>
        <v/>
      </c>
      <c r="X1386" s="12">
        <f>IF(LEFT(I1386,2)="MV",2*N1386*IF(L1386="1/C",O1386,1),0)</f>
        <v/>
      </c>
      <c r="Y1386" s="12">
        <f>IF(OR(LEFT(K1386,4)="LVAX",LEFT(K1386,6)="MV15AX",LEFT(K1386,4)="CTAX",LEFT(K1386,2)="W|"),2*N1386*O1386,0)</f>
        <v/>
      </c>
      <c r="Z1386" s="12" t="inlineStr">
        <is>
          <t>VD 1.2 %</t>
        </is>
      </c>
      <c r="AA1386" s="12">
        <f>N1386*O1386</f>
        <v/>
      </c>
    </row>
    <row r="1387">
      <c r="A1387" s="12" t="inlineStr">
        <is>
          <t>A-P-0020</t>
        </is>
      </c>
      <c r="B1387" s="12" t="inlineStr">
        <is>
          <t>A</t>
        </is>
      </c>
      <c r="C1387" s="12" t="inlineStr">
        <is>
          <t>Power block</t>
        </is>
      </c>
      <c r="D1387" s="12" t="inlineStr">
        <is>
          <t>Motor 2 of 2, 5 kW</t>
        </is>
      </c>
      <c r="E1387" s="12" t="inlineStr">
        <is>
          <t>R2B</t>
        </is>
      </c>
      <c r="F1387" s="12" t="inlineStr">
        <is>
          <t>R2B: unit / HRSG electrical e-house (32 x 40 ft)</t>
        </is>
      </c>
      <c r="G1387" s="12" t="inlineStr">
        <is>
          <t>CEMS-2</t>
        </is>
      </c>
      <c r="H1387" s="12" t="inlineStr">
        <is>
          <t>CEMS shelter, HRSG 2</t>
        </is>
      </c>
      <c r="I1387" s="12" t="inlineStr">
        <is>
          <t>LV 600 V</t>
        </is>
      </c>
      <c r="J1387" s="12" t="inlineStr">
        <is>
          <t>Type TC-ER 600 V 3/C Cu XHHW-2 + ground, PVC jacket</t>
        </is>
      </c>
      <c r="K1387" s="12" t="inlineStr">
        <is>
          <t>LV|3/C+G|10</t>
        </is>
      </c>
      <c r="L1387" s="12" t="inlineStr">
        <is>
          <t>3/C+G</t>
        </is>
      </c>
      <c r="M1387" s="12" t="inlineStr">
        <is>
          <t>10</t>
        </is>
      </c>
      <c r="N1387" s="12" t="n">
        <v>1</v>
      </c>
      <c r="O1387" s="12" t="n">
        <v>1</v>
      </c>
      <c r="P1387" s="12" t="n">
        <v>480</v>
      </c>
      <c r="Q1387" s="12" t="n">
        <v>5</v>
      </c>
      <c r="R1387" s="12" t="n">
        <v>7.1</v>
      </c>
      <c r="S1387" s="12" t="inlineStr">
        <is>
          <t>Tray</t>
        </is>
      </c>
      <c r="T1387" s="16" t="n">
        <v>273</v>
      </c>
      <c r="U1387" s="16" t="n">
        <v>93</v>
      </c>
      <c r="V1387" s="16">
        <f>ROUNDUP((T1387+U1387+2*'Read Me'!$B$13)*(1+'Read Me'!$B$12),-1)</f>
        <v/>
      </c>
      <c r="W1387" s="16">
        <f>V1387*N1387*O1387</f>
        <v/>
      </c>
      <c r="X1387" s="12">
        <f>IF(LEFT(I1387,2)="MV",2*N1387*IF(L1387="1/C",O1387,1),0)</f>
        <v/>
      </c>
      <c r="Y1387" s="12">
        <f>IF(OR(LEFT(K1387,4)="LVAX",LEFT(K1387,6)="MV15AX",LEFT(K1387,4)="CTAX",LEFT(K1387,2)="W|"),2*N1387*O1387,0)</f>
        <v/>
      </c>
      <c r="Z1387" s="12" t="inlineStr">
        <is>
          <t>VD 1.2 %</t>
        </is>
      </c>
      <c r="AA1387" s="12">
        <f>N1387*O1387</f>
        <v/>
      </c>
    </row>
    <row r="1388">
      <c r="A1388" s="12" t="inlineStr">
        <is>
          <t>A-P-0021</t>
        </is>
      </c>
      <c r="B1388" s="12" t="inlineStr">
        <is>
          <t>A</t>
        </is>
      </c>
      <c r="C1388" s="12" t="inlineStr">
        <is>
          <t>Power block</t>
        </is>
      </c>
      <c r="D1388" s="12" t="inlineStr">
        <is>
          <t>Motor 1 of 2, 5 kW</t>
        </is>
      </c>
      <c r="E1388" s="12" t="inlineStr">
        <is>
          <t>R2C</t>
        </is>
      </c>
      <c r="F1388" s="12" t="inlineStr">
        <is>
          <t>R2C: unit / HRSG electrical e-house (32 x 40 ft)</t>
        </is>
      </c>
      <c r="G1388" s="12" t="inlineStr">
        <is>
          <t>CEMS-3</t>
        </is>
      </c>
      <c r="H1388" s="12" t="inlineStr">
        <is>
          <t>CEMS shelter, HRSG 3</t>
        </is>
      </c>
      <c r="I1388" s="12" t="inlineStr">
        <is>
          <t>LV 600 V</t>
        </is>
      </c>
      <c r="J1388" s="12" t="inlineStr">
        <is>
          <t>Type TC-ER 600 V 3/C Cu XHHW-2 + ground, PVC jacket</t>
        </is>
      </c>
      <c r="K1388" s="12" t="inlineStr">
        <is>
          <t>LV|3/C+G|10</t>
        </is>
      </c>
      <c r="L1388" s="12" t="inlineStr">
        <is>
          <t>3/C+G</t>
        </is>
      </c>
      <c r="M1388" s="12" t="inlineStr">
        <is>
          <t>10</t>
        </is>
      </c>
      <c r="N1388" s="12" t="n">
        <v>1</v>
      </c>
      <c r="O1388" s="12" t="n">
        <v>1</v>
      </c>
      <c r="P1388" s="12" t="n">
        <v>480</v>
      </c>
      <c r="Q1388" s="12" t="n">
        <v>5</v>
      </c>
      <c r="R1388" s="12" t="n">
        <v>7.1</v>
      </c>
      <c r="S1388" s="12" t="inlineStr">
        <is>
          <t>Tray</t>
        </is>
      </c>
      <c r="T1388" s="16" t="n">
        <v>277</v>
      </c>
      <c r="U1388" s="16" t="n">
        <v>97</v>
      </c>
      <c r="V1388" s="16">
        <f>ROUNDUP((T1388+U1388+2*'Read Me'!$B$13)*(1+'Read Me'!$B$12),-1)</f>
        <v/>
      </c>
      <c r="W1388" s="16">
        <f>V1388*N1388*O1388</f>
        <v/>
      </c>
      <c r="X1388" s="12">
        <f>IF(LEFT(I1388,2)="MV",2*N1388*IF(L1388="1/C",O1388,1),0)</f>
        <v/>
      </c>
      <c r="Y1388" s="12">
        <f>IF(OR(LEFT(K1388,4)="LVAX",LEFT(K1388,6)="MV15AX",LEFT(K1388,4)="CTAX",LEFT(K1388,2)="W|"),2*N1388*O1388,0)</f>
        <v/>
      </c>
      <c r="Z1388" s="12" t="inlineStr">
        <is>
          <t>VD 1.3 %</t>
        </is>
      </c>
      <c r="AA1388" s="12">
        <f>N1388*O1388</f>
        <v/>
      </c>
    </row>
    <row r="1389">
      <c r="A1389" s="12" t="inlineStr">
        <is>
          <t>A-P-0022</t>
        </is>
      </c>
      <c r="B1389" s="12" t="inlineStr">
        <is>
          <t>A</t>
        </is>
      </c>
      <c r="C1389" s="12" t="inlineStr">
        <is>
          <t>Power block</t>
        </is>
      </c>
      <c r="D1389" s="12" t="inlineStr">
        <is>
          <t>Motor 2 of 2, 5 kW</t>
        </is>
      </c>
      <c r="E1389" s="12" t="inlineStr">
        <is>
          <t>R2C</t>
        </is>
      </c>
      <c r="F1389" s="12" t="inlineStr">
        <is>
          <t>R2C: unit / HRSG electrical e-house (32 x 40 ft)</t>
        </is>
      </c>
      <c r="G1389" s="12" t="inlineStr">
        <is>
          <t>CEMS-3</t>
        </is>
      </c>
      <c r="H1389" s="12" t="inlineStr">
        <is>
          <t>CEMS shelter, HRSG 3</t>
        </is>
      </c>
      <c r="I1389" s="12" t="inlineStr">
        <is>
          <t>LV 600 V</t>
        </is>
      </c>
      <c r="J1389" s="12" t="inlineStr">
        <is>
          <t>Type TC-ER 600 V 3/C Cu XHHW-2 + ground, PVC jacket</t>
        </is>
      </c>
      <c r="K1389" s="12" t="inlineStr">
        <is>
          <t>LV|3/C+G|10</t>
        </is>
      </c>
      <c r="L1389" s="12" t="inlineStr">
        <is>
          <t>3/C+G</t>
        </is>
      </c>
      <c r="M1389" s="12" t="inlineStr">
        <is>
          <t>10</t>
        </is>
      </c>
      <c r="N1389" s="12" t="n">
        <v>1</v>
      </c>
      <c r="O1389" s="12" t="n">
        <v>1</v>
      </c>
      <c r="P1389" s="12" t="n">
        <v>480</v>
      </c>
      <c r="Q1389" s="12" t="n">
        <v>5</v>
      </c>
      <c r="R1389" s="12" t="n">
        <v>7.1</v>
      </c>
      <c r="S1389" s="12" t="inlineStr">
        <is>
          <t>Tray</t>
        </is>
      </c>
      <c r="T1389" s="16" t="n">
        <v>277</v>
      </c>
      <c r="U1389" s="16" t="n">
        <v>97</v>
      </c>
      <c r="V1389" s="16">
        <f>ROUNDUP((T1389+U1389+2*'Read Me'!$B$13)*(1+'Read Me'!$B$12),-1)</f>
        <v/>
      </c>
      <c r="W1389" s="16">
        <f>V1389*N1389*O1389</f>
        <v/>
      </c>
      <c r="X1389" s="12">
        <f>IF(LEFT(I1389,2)="MV",2*N1389*IF(L1389="1/C",O1389,1),0)</f>
        <v/>
      </c>
      <c r="Y1389" s="12">
        <f>IF(OR(LEFT(K1389,4)="LVAX",LEFT(K1389,6)="MV15AX",LEFT(K1389,4)="CTAX",LEFT(K1389,2)="W|"),2*N1389*O1389,0)</f>
        <v/>
      </c>
      <c r="Z1389" s="12" t="inlineStr">
        <is>
          <t>VD 1.3 %</t>
        </is>
      </c>
      <c r="AA1389" s="12">
        <f>N1389*O1389</f>
        <v/>
      </c>
    </row>
    <row r="1390">
      <c r="A1390" s="12" t="inlineStr">
        <is>
          <t>A-P-0023</t>
        </is>
      </c>
      <c r="B1390" s="12" t="inlineStr">
        <is>
          <t>A</t>
        </is>
      </c>
      <c r="C1390" s="12" t="inlineStr">
        <is>
          <t>Power block</t>
        </is>
      </c>
      <c r="D1390" s="12" t="inlineStr">
        <is>
          <t>Motor 1 of 6, 2 kW</t>
        </is>
      </c>
      <c r="E1390" s="12" t="inlineStr">
        <is>
          <t>R3</t>
        </is>
      </c>
      <c r="F1390" s="12" t="inlineStr">
        <is>
          <t>R3: ST auxiliary electrical e-house (40 x 65 ft)</t>
        </is>
      </c>
      <c r="G1390" s="12" t="inlineStr">
        <is>
          <t>Chem feed</t>
        </is>
      </c>
      <c r="H1390" s="12" t="inlineStr">
        <is>
          <t>Chemical feed</t>
        </is>
      </c>
      <c r="I1390" s="12" t="inlineStr">
        <is>
          <t>LV 600 V</t>
        </is>
      </c>
      <c r="J1390" s="12" t="inlineStr">
        <is>
          <t>Type TC-ER 600 V 3/C Cu XHHW-2 + ground, PVC jacket</t>
        </is>
      </c>
      <c r="K1390" s="12" t="inlineStr">
        <is>
          <t>LV|3/C+G|10</t>
        </is>
      </c>
      <c r="L1390" s="12" t="inlineStr">
        <is>
          <t>3/C+G</t>
        </is>
      </c>
      <c r="M1390" s="12" t="inlineStr">
        <is>
          <t>10</t>
        </is>
      </c>
      <c r="N1390" s="12" t="n">
        <v>1</v>
      </c>
      <c r="O1390" s="12" t="n">
        <v>1</v>
      </c>
      <c r="P1390" s="12" t="n">
        <v>480</v>
      </c>
      <c r="Q1390" s="12" t="n">
        <v>2</v>
      </c>
      <c r="R1390" s="12" t="n">
        <v>2.8</v>
      </c>
      <c r="S1390" s="12" t="inlineStr">
        <is>
          <t>Duct bank</t>
        </is>
      </c>
      <c r="T1390" s="16" t="n">
        <v>258</v>
      </c>
      <c r="U1390" s="16" t="n">
        <v>35</v>
      </c>
      <c r="V1390" s="16">
        <f>ROUNDUP((T1390+U1390+2*'Read Me'!$B$13)*(1+'Read Me'!$B$12),-1)</f>
        <v/>
      </c>
      <c r="W1390" s="16">
        <f>V1390*N1390*O1390</f>
        <v/>
      </c>
      <c r="X1390" s="12">
        <f>IF(LEFT(I1390,2)="MV",2*N1390*IF(L1390="1/C",O1390,1),0)</f>
        <v/>
      </c>
      <c r="Y1390" s="12">
        <f>IF(OR(LEFT(K1390,4)="LVAX",LEFT(K1390,6)="MV15AX",LEFT(K1390,4)="CTAX",LEFT(K1390,2)="W|"),2*N1390*O1390,0)</f>
        <v/>
      </c>
      <c r="Z1390" s="12" t="inlineStr">
        <is>
          <t>VD 0.4 %</t>
        </is>
      </c>
      <c r="AA1390" s="12">
        <f>N1390*O1390</f>
        <v/>
      </c>
    </row>
    <row r="1391">
      <c r="A1391" s="12" t="inlineStr">
        <is>
          <t>A-P-0024</t>
        </is>
      </c>
      <c r="B1391" s="12" t="inlineStr">
        <is>
          <t>A</t>
        </is>
      </c>
      <c r="C1391" s="12" t="inlineStr">
        <is>
          <t>Power block</t>
        </is>
      </c>
      <c r="D1391" s="12" t="inlineStr">
        <is>
          <t>Motor 2 of 6, 2 kW</t>
        </is>
      </c>
      <c r="E1391" s="12" t="inlineStr">
        <is>
          <t>R3</t>
        </is>
      </c>
      <c r="F1391" s="12" t="inlineStr">
        <is>
          <t>R3: ST auxiliary electrical e-house (40 x 65 ft)</t>
        </is>
      </c>
      <c r="G1391" s="12" t="inlineStr">
        <is>
          <t>Chem feed</t>
        </is>
      </c>
      <c r="H1391" s="12" t="inlineStr">
        <is>
          <t>Chemical feed</t>
        </is>
      </c>
      <c r="I1391" s="12" t="inlineStr">
        <is>
          <t>LV 600 V</t>
        </is>
      </c>
      <c r="J1391" s="12" t="inlineStr">
        <is>
          <t>Type TC-ER 600 V 3/C Cu XHHW-2 + ground, PVC jacket</t>
        </is>
      </c>
      <c r="K1391" s="12" t="inlineStr">
        <is>
          <t>LV|3/C+G|10</t>
        </is>
      </c>
      <c r="L1391" s="12" t="inlineStr">
        <is>
          <t>3/C+G</t>
        </is>
      </c>
      <c r="M1391" s="12" t="inlineStr">
        <is>
          <t>10</t>
        </is>
      </c>
      <c r="N1391" s="12" t="n">
        <v>1</v>
      </c>
      <c r="O1391" s="12" t="n">
        <v>1</v>
      </c>
      <c r="P1391" s="12" t="n">
        <v>480</v>
      </c>
      <c r="Q1391" s="12" t="n">
        <v>2</v>
      </c>
      <c r="R1391" s="12" t="n">
        <v>2.8</v>
      </c>
      <c r="S1391" s="12" t="inlineStr">
        <is>
          <t>Duct bank</t>
        </is>
      </c>
      <c r="T1391" s="16" t="n">
        <v>258</v>
      </c>
      <c r="U1391" s="16" t="n">
        <v>35</v>
      </c>
      <c r="V1391" s="16">
        <f>ROUNDUP((T1391+U1391+2*'Read Me'!$B$13)*(1+'Read Me'!$B$12),-1)</f>
        <v/>
      </c>
      <c r="W1391" s="16">
        <f>V1391*N1391*O1391</f>
        <v/>
      </c>
      <c r="X1391" s="12">
        <f>IF(LEFT(I1391,2)="MV",2*N1391*IF(L1391="1/C",O1391,1),0)</f>
        <v/>
      </c>
      <c r="Y1391" s="12">
        <f>IF(OR(LEFT(K1391,4)="LVAX",LEFT(K1391,6)="MV15AX",LEFT(K1391,4)="CTAX",LEFT(K1391,2)="W|"),2*N1391*O1391,0)</f>
        <v/>
      </c>
      <c r="Z1391" s="12" t="inlineStr">
        <is>
          <t>VD 0.4 %</t>
        </is>
      </c>
      <c r="AA1391" s="12">
        <f>N1391*O1391</f>
        <v/>
      </c>
    </row>
    <row r="1392">
      <c r="A1392" s="12" t="inlineStr">
        <is>
          <t>A-P-0025</t>
        </is>
      </c>
      <c r="B1392" s="12" t="inlineStr">
        <is>
          <t>A</t>
        </is>
      </c>
      <c r="C1392" s="12" t="inlineStr">
        <is>
          <t>Power block</t>
        </is>
      </c>
      <c r="D1392" s="12" t="inlineStr">
        <is>
          <t>Motor 3 of 6, 2 kW</t>
        </is>
      </c>
      <c r="E1392" s="12" t="inlineStr">
        <is>
          <t>R3</t>
        </is>
      </c>
      <c r="F1392" s="12" t="inlineStr">
        <is>
          <t>R3: ST auxiliary electrical e-house (40 x 65 ft)</t>
        </is>
      </c>
      <c r="G1392" s="12" t="inlineStr">
        <is>
          <t>Chem feed</t>
        </is>
      </c>
      <c r="H1392" s="12" t="inlineStr">
        <is>
          <t>Chemical feed</t>
        </is>
      </c>
      <c r="I1392" s="12" t="inlineStr">
        <is>
          <t>LV 600 V</t>
        </is>
      </c>
      <c r="J1392" s="12" t="inlineStr">
        <is>
          <t>Type TC-ER 600 V 3/C Cu XHHW-2 + ground, PVC jacket</t>
        </is>
      </c>
      <c r="K1392" s="12" t="inlineStr">
        <is>
          <t>LV|3/C+G|10</t>
        </is>
      </c>
      <c r="L1392" s="12" t="inlineStr">
        <is>
          <t>3/C+G</t>
        </is>
      </c>
      <c r="M1392" s="12" t="inlineStr">
        <is>
          <t>10</t>
        </is>
      </c>
      <c r="N1392" s="12" t="n">
        <v>1</v>
      </c>
      <c r="O1392" s="12" t="n">
        <v>1</v>
      </c>
      <c r="P1392" s="12" t="n">
        <v>480</v>
      </c>
      <c r="Q1392" s="12" t="n">
        <v>2</v>
      </c>
      <c r="R1392" s="12" t="n">
        <v>2.8</v>
      </c>
      <c r="S1392" s="12" t="inlineStr">
        <is>
          <t>Duct bank</t>
        </is>
      </c>
      <c r="T1392" s="16" t="n">
        <v>258</v>
      </c>
      <c r="U1392" s="16" t="n">
        <v>35</v>
      </c>
      <c r="V1392" s="16">
        <f>ROUNDUP((T1392+U1392+2*'Read Me'!$B$13)*(1+'Read Me'!$B$12),-1)</f>
        <v/>
      </c>
      <c r="W1392" s="16">
        <f>V1392*N1392*O1392</f>
        <v/>
      </c>
      <c r="X1392" s="12">
        <f>IF(LEFT(I1392,2)="MV",2*N1392*IF(L1392="1/C",O1392,1),0)</f>
        <v/>
      </c>
      <c r="Y1392" s="12">
        <f>IF(OR(LEFT(K1392,4)="LVAX",LEFT(K1392,6)="MV15AX",LEFT(K1392,4)="CTAX",LEFT(K1392,2)="W|"),2*N1392*O1392,0)</f>
        <v/>
      </c>
      <c r="Z1392" s="12" t="inlineStr">
        <is>
          <t>VD 0.4 %</t>
        </is>
      </c>
      <c r="AA1392" s="12">
        <f>N1392*O1392</f>
        <v/>
      </c>
    </row>
    <row r="1393">
      <c r="A1393" s="12" t="inlineStr">
        <is>
          <t>A-P-0026</t>
        </is>
      </c>
      <c r="B1393" s="12" t="inlineStr">
        <is>
          <t>A</t>
        </is>
      </c>
      <c r="C1393" s="12" t="inlineStr">
        <is>
          <t>Power block</t>
        </is>
      </c>
      <c r="D1393" s="12" t="inlineStr">
        <is>
          <t>Motor 4 of 6, 2 kW</t>
        </is>
      </c>
      <c r="E1393" s="12" t="inlineStr">
        <is>
          <t>R3</t>
        </is>
      </c>
      <c r="F1393" s="12" t="inlineStr">
        <is>
          <t>R3: ST auxiliary electrical e-house (40 x 65 ft)</t>
        </is>
      </c>
      <c r="G1393" s="12" t="inlineStr">
        <is>
          <t>Chem feed</t>
        </is>
      </c>
      <c r="H1393" s="12" t="inlineStr">
        <is>
          <t>Chemical feed</t>
        </is>
      </c>
      <c r="I1393" s="12" t="inlineStr">
        <is>
          <t>LV 600 V</t>
        </is>
      </c>
      <c r="J1393" s="12" t="inlineStr">
        <is>
          <t>Type TC-ER 600 V 3/C Cu XHHW-2 + ground, PVC jacket</t>
        </is>
      </c>
      <c r="K1393" s="12" t="inlineStr">
        <is>
          <t>LV|3/C+G|10</t>
        </is>
      </c>
      <c r="L1393" s="12" t="inlineStr">
        <is>
          <t>3/C+G</t>
        </is>
      </c>
      <c r="M1393" s="12" t="inlineStr">
        <is>
          <t>10</t>
        </is>
      </c>
      <c r="N1393" s="12" t="n">
        <v>1</v>
      </c>
      <c r="O1393" s="12" t="n">
        <v>1</v>
      </c>
      <c r="P1393" s="12" t="n">
        <v>480</v>
      </c>
      <c r="Q1393" s="12" t="n">
        <v>2</v>
      </c>
      <c r="R1393" s="12" t="n">
        <v>2.8</v>
      </c>
      <c r="S1393" s="12" t="inlineStr">
        <is>
          <t>Duct bank</t>
        </is>
      </c>
      <c r="T1393" s="16" t="n">
        <v>258</v>
      </c>
      <c r="U1393" s="16" t="n">
        <v>35</v>
      </c>
      <c r="V1393" s="16">
        <f>ROUNDUP((T1393+U1393+2*'Read Me'!$B$13)*(1+'Read Me'!$B$12),-1)</f>
        <v/>
      </c>
      <c r="W1393" s="16">
        <f>V1393*N1393*O1393</f>
        <v/>
      </c>
      <c r="X1393" s="12">
        <f>IF(LEFT(I1393,2)="MV",2*N1393*IF(L1393="1/C",O1393,1),0)</f>
        <v/>
      </c>
      <c r="Y1393" s="12">
        <f>IF(OR(LEFT(K1393,4)="LVAX",LEFT(K1393,6)="MV15AX",LEFT(K1393,4)="CTAX",LEFT(K1393,2)="W|"),2*N1393*O1393,0)</f>
        <v/>
      </c>
      <c r="Z1393" s="12" t="inlineStr">
        <is>
          <t>VD 0.4 %</t>
        </is>
      </c>
      <c r="AA1393" s="12">
        <f>N1393*O1393</f>
        <v/>
      </c>
    </row>
    <row r="1394">
      <c r="A1394" s="12" t="inlineStr">
        <is>
          <t>A-P-0027</t>
        </is>
      </c>
      <c r="B1394" s="12" t="inlineStr">
        <is>
          <t>A</t>
        </is>
      </c>
      <c r="C1394" s="12" t="inlineStr">
        <is>
          <t>Power block</t>
        </is>
      </c>
      <c r="D1394" s="12" t="inlineStr">
        <is>
          <t>Motor 5 of 6, 2 kW</t>
        </is>
      </c>
      <c r="E1394" s="12" t="inlineStr">
        <is>
          <t>R3</t>
        </is>
      </c>
      <c r="F1394" s="12" t="inlineStr">
        <is>
          <t>R3: ST auxiliary electrical e-house (40 x 65 ft)</t>
        </is>
      </c>
      <c r="G1394" s="12" t="inlineStr">
        <is>
          <t>Chem feed</t>
        </is>
      </c>
      <c r="H1394" s="12" t="inlineStr">
        <is>
          <t>Chemical feed</t>
        </is>
      </c>
      <c r="I1394" s="12" t="inlineStr">
        <is>
          <t>LV 600 V</t>
        </is>
      </c>
      <c r="J1394" s="12" t="inlineStr">
        <is>
          <t>Type TC-ER 600 V 3/C Cu XHHW-2 + ground, PVC jacket</t>
        </is>
      </c>
      <c r="K1394" s="12" t="inlineStr">
        <is>
          <t>LV|3/C+G|10</t>
        </is>
      </c>
      <c r="L1394" s="12" t="inlineStr">
        <is>
          <t>3/C+G</t>
        </is>
      </c>
      <c r="M1394" s="12" t="inlineStr">
        <is>
          <t>10</t>
        </is>
      </c>
      <c r="N1394" s="12" t="n">
        <v>1</v>
      </c>
      <c r="O1394" s="12" t="n">
        <v>1</v>
      </c>
      <c r="P1394" s="12" t="n">
        <v>480</v>
      </c>
      <c r="Q1394" s="12" t="n">
        <v>2</v>
      </c>
      <c r="R1394" s="12" t="n">
        <v>2.8</v>
      </c>
      <c r="S1394" s="12" t="inlineStr">
        <is>
          <t>Duct bank</t>
        </is>
      </c>
      <c r="T1394" s="16" t="n">
        <v>258</v>
      </c>
      <c r="U1394" s="16" t="n">
        <v>35</v>
      </c>
      <c r="V1394" s="16">
        <f>ROUNDUP((T1394+U1394+2*'Read Me'!$B$13)*(1+'Read Me'!$B$12),-1)</f>
        <v/>
      </c>
      <c r="W1394" s="16">
        <f>V1394*N1394*O1394</f>
        <v/>
      </c>
      <c r="X1394" s="12">
        <f>IF(LEFT(I1394,2)="MV",2*N1394*IF(L1394="1/C",O1394,1),0)</f>
        <v/>
      </c>
      <c r="Y1394" s="12">
        <f>IF(OR(LEFT(K1394,4)="LVAX",LEFT(K1394,6)="MV15AX",LEFT(K1394,4)="CTAX",LEFT(K1394,2)="W|"),2*N1394*O1394,0)</f>
        <v/>
      </c>
      <c r="Z1394" s="12" t="inlineStr">
        <is>
          <t>VD 0.4 %</t>
        </is>
      </c>
      <c r="AA1394" s="12">
        <f>N1394*O1394</f>
        <v/>
      </c>
    </row>
    <row r="1395">
      <c r="A1395" s="12" t="inlineStr">
        <is>
          <t>A-P-0028</t>
        </is>
      </c>
      <c r="B1395" s="12" t="inlineStr">
        <is>
          <t>A</t>
        </is>
      </c>
      <c r="C1395" s="12" t="inlineStr">
        <is>
          <t>Power block</t>
        </is>
      </c>
      <c r="D1395" s="12" t="inlineStr">
        <is>
          <t>Motor 6 of 6, 2 kW</t>
        </is>
      </c>
      <c r="E1395" s="12" t="inlineStr">
        <is>
          <t>R3</t>
        </is>
      </c>
      <c r="F1395" s="12" t="inlineStr">
        <is>
          <t>R3: ST auxiliary electrical e-house (40 x 65 ft)</t>
        </is>
      </c>
      <c r="G1395" s="12" t="inlineStr">
        <is>
          <t>Chem feed</t>
        </is>
      </c>
      <c r="H1395" s="12" t="inlineStr">
        <is>
          <t>Chemical feed</t>
        </is>
      </c>
      <c r="I1395" s="12" t="inlineStr">
        <is>
          <t>LV 600 V</t>
        </is>
      </c>
      <c r="J1395" s="12" t="inlineStr">
        <is>
          <t>Type TC-ER 600 V 3/C Cu XHHW-2 + ground, PVC jacket</t>
        </is>
      </c>
      <c r="K1395" s="12" t="inlineStr">
        <is>
          <t>LV|3/C+G|10</t>
        </is>
      </c>
      <c r="L1395" s="12" t="inlineStr">
        <is>
          <t>3/C+G</t>
        </is>
      </c>
      <c r="M1395" s="12" t="inlineStr">
        <is>
          <t>10</t>
        </is>
      </c>
      <c r="N1395" s="12" t="n">
        <v>1</v>
      </c>
      <c r="O1395" s="12" t="n">
        <v>1</v>
      </c>
      <c r="P1395" s="12" t="n">
        <v>480</v>
      </c>
      <c r="Q1395" s="12" t="n">
        <v>2</v>
      </c>
      <c r="R1395" s="12" t="n">
        <v>2.8</v>
      </c>
      <c r="S1395" s="12" t="inlineStr">
        <is>
          <t>Duct bank</t>
        </is>
      </c>
      <c r="T1395" s="16" t="n">
        <v>258</v>
      </c>
      <c r="U1395" s="16" t="n">
        <v>35</v>
      </c>
      <c r="V1395" s="16">
        <f>ROUNDUP((T1395+U1395+2*'Read Me'!$B$13)*(1+'Read Me'!$B$12),-1)</f>
        <v/>
      </c>
      <c r="W1395" s="16">
        <f>V1395*N1395*O1395</f>
        <v/>
      </c>
      <c r="X1395" s="12">
        <f>IF(LEFT(I1395,2)="MV",2*N1395*IF(L1395="1/C",O1395,1),0)</f>
        <v/>
      </c>
      <c r="Y1395" s="12">
        <f>IF(OR(LEFT(K1395,4)="LVAX",LEFT(K1395,6)="MV15AX",LEFT(K1395,4)="CTAX",LEFT(K1395,2)="W|"),2*N1395*O1395,0)</f>
        <v/>
      </c>
      <c r="Z1395" s="12" t="inlineStr">
        <is>
          <t>VD 0.4 %</t>
        </is>
      </c>
      <c r="AA1395" s="12">
        <f>N1395*O1395</f>
        <v/>
      </c>
    </row>
    <row r="1396">
      <c r="A1396" s="12" t="inlineStr">
        <is>
          <t>A-P-0029</t>
        </is>
      </c>
      <c r="B1396" s="12" t="inlineStr">
        <is>
          <t>A</t>
        </is>
      </c>
      <c r="C1396" s="12" t="inlineStr">
        <is>
          <t>Power block</t>
        </is>
      </c>
      <c r="D1396" s="12" t="inlineStr">
        <is>
          <t>LV power feeder</t>
        </is>
      </c>
      <c r="E1396" s="12" t="inlineStr">
        <is>
          <t>R2B</t>
        </is>
      </c>
      <c r="F1396" s="12" t="inlineStr">
        <is>
          <t>R2B: unit / HRSG electrical e-house (32 x 40 ft)</t>
        </is>
      </c>
      <c r="G1396" s="12" t="inlineStr">
        <is>
          <t>HALL</t>
        </is>
      </c>
      <c r="H1396" s="12" t="inlineStr">
        <is>
          <t>Common turbine hall</t>
        </is>
      </c>
      <c r="I1396" s="12" t="inlineStr">
        <is>
          <t>LV 600 V</t>
        </is>
      </c>
      <c r="J1396" s="12" t="inlineStr">
        <is>
          <t>Type TC-ER 600 V 3/C Cu XHHW-2 + ground, PVC jacket</t>
        </is>
      </c>
      <c r="K1396" s="12" t="inlineStr">
        <is>
          <t>LV|3/C+G|2</t>
        </is>
      </c>
      <c r="L1396" s="12" t="inlineStr">
        <is>
          <t>3/C+G</t>
        </is>
      </c>
      <c r="M1396" s="12" t="inlineStr">
        <is>
          <t>2</t>
        </is>
      </c>
      <c r="N1396" s="12" t="n">
        <v>1</v>
      </c>
      <c r="O1396" s="12" t="n">
        <v>1</v>
      </c>
      <c r="P1396" s="12" t="n">
        <v>480</v>
      </c>
      <c r="Q1396" s="12" t="n">
        <v>15</v>
      </c>
      <c r="R1396" s="12" t="n">
        <v>21.2</v>
      </c>
      <c r="S1396" s="12" t="inlineStr">
        <is>
          <t>Tray</t>
        </is>
      </c>
      <c r="T1396" s="16" t="n">
        <v>1069</v>
      </c>
      <c r="U1396" s="16" t="n">
        <v>184</v>
      </c>
      <c r="V1396" s="16">
        <f>ROUNDUP((T1396+U1396+2*'Read Me'!$B$13)*(1+'Read Me'!$B$12),-1)</f>
        <v/>
      </c>
      <c r="W1396" s="16">
        <f>V1396*N1396*O1396</f>
        <v/>
      </c>
      <c r="X1396" s="12">
        <f>IF(LEFT(I1396,2)="MV",2*N1396*IF(L1396="1/C",O1396,1),0)</f>
        <v/>
      </c>
      <c r="Y1396" s="12">
        <f>IF(OR(LEFT(K1396,4)="LVAX",LEFT(K1396,6)="MV15AX",LEFT(K1396,4)="CTAX",LEFT(K1396,2)="W|"),2*N1396*O1396,0)</f>
        <v/>
      </c>
      <c r="Z1396" s="12" t="inlineStr">
        <is>
          <t>VD 2.0 %</t>
        </is>
      </c>
      <c r="AA1396" s="12">
        <f>N1396*O1396</f>
        <v/>
      </c>
    </row>
    <row r="1397">
      <c r="A1397" s="12" t="inlineStr">
        <is>
          <t>A-P-0030</t>
        </is>
      </c>
      <c r="B1397" s="12" t="inlineStr">
        <is>
          <t>A</t>
        </is>
      </c>
      <c r="C1397" s="12" t="inlineStr">
        <is>
          <t>Power block</t>
        </is>
      </c>
      <c r="D1397" s="12" t="inlineStr">
        <is>
          <t>Motor 1 of 2, 37 kW</t>
        </is>
      </c>
      <c r="E1397" s="12" t="inlineStr">
        <is>
          <t>R3</t>
        </is>
      </c>
      <c r="F1397" s="12" t="inlineStr">
        <is>
          <t>R3: ST auxiliary electrical e-house (40 x 65 ft)</t>
        </is>
      </c>
      <c r="G1397" s="12" t="inlineStr">
        <is>
          <t>EHC-ST</t>
        </is>
      </c>
      <c r="H1397" s="12" t="inlineStr">
        <is>
          <t>EHC-ST: ST electro-hydraulic control power unit</t>
        </is>
      </c>
      <c r="I1397" s="12" t="inlineStr">
        <is>
          <t>LV 600 V</t>
        </is>
      </c>
      <c r="J1397" s="12" t="inlineStr">
        <is>
          <t>Type TC-ER 600 V 3/C Cu XHHW-2 + ground, PVC jacket</t>
        </is>
      </c>
      <c r="K1397" s="12" t="inlineStr">
        <is>
          <t>LV|3/C+G|4</t>
        </is>
      </c>
      <c r="L1397" s="12" t="inlineStr">
        <is>
          <t>3/C+G</t>
        </is>
      </c>
      <c r="M1397" s="12" t="inlineStr">
        <is>
          <t>4</t>
        </is>
      </c>
      <c r="N1397" s="12" t="n">
        <v>1</v>
      </c>
      <c r="O1397" s="12" t="n">
        <v>1</v>
      </c>
      <c r="P1397" s="12" t="n">
        <v>480</v>
      </c>
      <c r="Q1397" s="12" t="n">
        <v>37</v>
      </c>
      <c r="R1397" s="12" t="n">
        <v>52.4</v>
      </c>
      <c r="S1397" s="12" t="inlineStr">
        <is>
          <t>Tray</t>
        </is>
      </c>
      <c r="T1397" s="16" t="n">
        <v>67</v>
      </c>
      <c r="U1397" s="16" t="n">
        <v>89</v>
      </c>
      <c r="V1397" s="16">
        <f>ROUNDUP((T1397+U1397+2*'Read Me'!$B$13)*(1+'Read Me'!$B$12),-1)</f>
        <v/>
      </c>
      <c r="W1397" s="16">
        <f>V1397*N1397*O1397</f>
        <v/>
      </c>
      <c r="X1397" s="12">
        <f>IF(LEFT(I1397,2)="MV",2*N1397*IF(L1397="1/C",O1397,1),0)</f>
        <v/>
      </c>
      <c r="Y1397" s="12">
        <f>IF(OR(LEFT(K1397,4)="LVAX",LEFT(K1397,6)="MV15AX",LEFT(K1397,4)="CTAX",LEFT(K1397,2)="W|"),2*N1397*O1397,0)</f>
        <v/>
      </c>
      <c r="Z1397" s="12" t="inlineStr">
        <is>
          <t>VD 1.0 %</t>
        </is>
      </c>
      <c r="AA1397" s="12">
        <f>N1397*O1397</f>
        <v/>
      </c>
    </row>
    <row r="1398">
      <c r="A1398" s="12" t="inlineStr">
        <is>
          <t>A-P-0031</t>
        </is>
      </c>
      <c r="B1398" s="12" t="inlineStr">
        <is>
          <t>A</t>
        </is>
      </c>
      <c r="C1398" s="12" t="inlineStr">
        <is>
          <t>Power block</t>
        </is>
      </c>
      <c r="D1398" s="12" t="inlineStr">
        <is>
          <t>Motor 2 of 2, 37 kW</t>
        </is>
      </c>
      <c r="E1398" s="12" t="inlineStr">
        <is>
          <t>R3</t>
        </is>
      </c>
      <c r="F1398" s="12" t="inlineStr">
        <is>
          <t>R3: ST auxiliary electrical e-house (40 x 65 ft)</t>
        </is>
      </c>
      <c r="G1398" s="12" t="inlineStr">
        <is>
          <t>EHC-ST</t>
        </is>
      </c>
      <c r="H1398" s="12" t="inlineStr">
        <is>
          <t>EHC-ST: ST electro-hydraulic control power unit</t>
        </is>
      </c>
      <c r="I1398" s="12" t="inlineStr">
        <is>
          <t>LV 600 V</t>
        </is>
      </c>
      <c r="J1398" s="12" t="inlineStr">
        <is>
          <t>Type TC-ER 600 V 3/C Cu XHHW-2 + ground, PVC jacket</t>
        </is>
      </c>
      <c r="K1398" s="12" t="inlineStr">
        <is>
          <t>LV|3/C+G|4</t>
        </is>
      </c>
      <c r="L1398" s="12" t="inlineStr">
        <is>
          <t>3/C+G</t>
        </is>
      </c>
      <c r="M1398" s="12" t="inlineStr">
        <is>
          <t>4</t>
        </is>
      </c>
      <c r="N1398" s="12" t="n">
        <v>1</v>
      </c>
      <c r="O1398" s="12" t="n">
        <v>1</v>
      </c>
      <c r="P1398" s="12" t="n">
        <v>480</v>
      </c>
      <c r="Q1398" s="12" t="n">
        <v>37</v>
      </c>
      <c r="R1398" s="12" t="n">
        <v>52.4</v>
      </c>
      <c r="S1398" s="12" t="inlineStr">
        <is>
          <t>Tray</t>
        </is>
      </c>
      <c r="T1398" s="16" t="n">
        <v>67</v>
      </c>
      <c r="U1398" s="16" t="n">
        <v>89</v>
      </c>
      <c r="V1398" s="16">
        <f>ROUNDUP((T1398+U1398+2*'Read Me'!$B$13)*(1+'Read Me'!$B$12),-1)</f>
        <v/>
      </c>
      <c r="W1398" s="16">
        <f>V1398*N1398*O1398</f>
        <v/>
      </c>
      <c r="X1398" s="12">
        <f>IF(LEFT(I1398,2)="MV",2*N1398*IF(L1398="1/C",O1398,1),0)</f>
        <v/>
      </c>
      <c r="Y1398" s="12">
        <f>IF(OR(LEFT(K1398,4)="LVAX",LEFT(K1398,6)="MV15AX",LEFT(K1398,4)="CTAX",LEFT(K1398,2)="W|"),2*N1398*O1398,0)</f>
        <v/>
      </c>
      <c r="Z1398" s="12" t="inlineStr">
        <is>
          <t>VD 1.0 %</t>
        </is>
      </c>
      <c r="AA1398" s="12">
        <f>N1398*O1398</f>
        <v/>
      </c>
    </row>
    <row r="1399">
      <c r="A1399" s="12" t="inlineStr">
        <is>
          <t>A-P-0032</t>
        </is>
      </c>
      <c r="B1399" s="12" t="inlineStr">
        <is>
          <t>A</t>
        </is>
      </c>
      <c r="C1399" s="12" t="inlineStr">
        <is>
          <t>Power block</t>
        </is>
      </c>
      <c r="D1399" s="12" t="inlineStr">
        <is>
          <t>Area / platform lighting circuit 1 (8 fixtures)</t>
        </is>
      </c>
      <c r="E1399" s="12" t="inlineStr">
        <is>
          <t>MCC-GT1</t>
        </is>
      </c>
      <c r="F1399" s="12" t="inlineStr">
        <is>
          <t>R1 MCC-GT1</t>
        </is>
      </c>
      <c r="G1399" s="12" t="inlineStr"/>
      <c r="H1399" s="12" t="inlineStr">
        <is>
          <t>FH-1 stair tower</t>
        </is>
      </c>
      <c r="I1399" s="12" t="inlineStr">
        <is>
          <t>LV 600 V</t>
        </is>
      </c>
      <c r="J1399" s="12" t="inlineStr">
        <is>
          <t>Type TC-ER 600 V 3/C Cu XHHW-2 + ground, PVC jacket</t>
        </is>
      </c>
      <c r="K1399" s="12" t="inlineStr">
        <is>
          <t>LV|3/C+G|10</t>
        </is>
      </c>
      <c r="L1399" s="12" t="inlineStr">
        <is>
          <t>3/C+G</t>
        </is>
      </c>
      <c r="M1399" s="12" t="inlineStr">
        <is>
          <t>10</t>
        </is>
      </c>
      <c r="N1399" s="12" t="n">
        <v>1</v>
      </c>
      <c r="O1399" s="12" t="n">
        <v>1</v>
      </c>
      <c r="P1399" s="12" t="n">
        <v>480</v>
      </c>
      <c r="Q1399" s="12" t="n">
        <v>3</v>
      </c>
      <c r="R1399" s="12" t="n">
        <v>5</v>
      </c>
      <c r="S1399" s="12" t="inlineStr">
        <is>
          <t>Duct bank</t>
        </is>
      </c>
      <c r="T1399" s="16" t="n">
        <v>907</v>
      </c>
      <c r="U1399" s="16" t="n">
        <v>98</v>
      </c>
      <c r="V1399" s="16">
        <f>ROUNDUP((T1399+U1399+2*'Read Me'!$B$13)*(1+'Read Me'!$B$12),-1)</f>
        <v/>
      </c>
      <c r="W1399" s="16">
        <f>V1399*N1399*O1399</f>
        <v/>
      </c>
      <c r="X1399" s="12">
        <f>IF(LEFT(I1399,2)="MV",2*N1399*IF(L1399="1/C",O1399,1),0)</f>
        <v/>
      </c>
      <c r="Y1399" s="12">
        <f>IF(OR(LEFT(K1399,4)="LVAX",LEFT(K1399,6)="MV15AX",LEFT(K1399,4)="CTAX",LEFT(K1399,2)="W|"),2*N1399*O1399,0)</f>
        <v/>
      </c>
      <c r="Z1399" s="12" t="inlineStr">
        <is>
          <t>fixture-to-fixture run included</t>
        </is>
      </c>
      <c r="AA1399" s="12">
        <f>N1399*O1399</f>
        <v/>
      </c>
    </row>
    <row r="1400">
      <c r="A1400" s="12" t="inlineStr">
        <is>
          <t>A-P-0033</t>
        </is>
      </c>
      <c r="B1400" s="12" t="inlineStr">
        <is>
          <t>A</t>
        </is>
      </c>
      <c r="C1400" s="12" t="inlineStr">
        <is>
          <t>Power block</t>
        </is>
      </c>
      <c r="D1400" s="12" t="inlineStr">
        <is>
          <t>Motor 1 of 2, 15 kW</t>
        </is>
      </c>
      <c r="E1400" s="12" t="inlineStr">
        <is>
          <t>MCC-GT1</t>
        </is>
      </c>
      <c r="F1400" s="12" t="inlineStr">
        <is>
          <t>R1 MCC-GT1</t>
        </is>
      </c>
      <c r="G1400" s="12" t="inlineStr">
        <is>
          <t>FH-1</t>
        </is>
      </c>
      <c r="H1400" s="12" t="inlineStr">
        <is>
          <t>FH-1: GT inlet filter house on its own frame</t>
        </is>
      </c>
      <c r="I1400" s="12" t="inlineStr">
        <is>
          <t>LV 600 V</t>
        </is>
      </c>
      <c r="J1400" s="12" t="inlineStr">
        <is>
          <t>Type TC-ER 600 V 3/C Cu XHHW-2 + ground, PVC jacket</t>
        </is>
      </c>
      <c r="K1400" s="12" t="inlineStr">
        <is>
          <t>LV|3/C+G|6</t>
        </is>
      </c>
      <c r="L1400" s="12" t="inlineStr">
        <is>
          <t>3/C+G</t>
        </is>
      </c>
      <c r="M1400" s="12" t="inlineStr">
        <is>
          <t>6</t>
        </is>
      </c>
      <c r="N1400" s="12" t="n">
        <v>1</v>
      </c>
      <c r="O1400" s="12" t="n">
        <v>1</v>
      </c>
      <c r="P1400" s="12" t="n">
        <v>480</v>
      </c>
      <c r="Q1400" s="12" t="n">
        <v>15</v>
      </c>
      <c r="R1400" s="12" t="n">
        <v>21.2</v>
      </c>
      <c r="S1400" s="12" t="inlineStr">
        <is>
          <t>Tray</t>
        </is>
      </c>
      <c r="T1400" s="16" t="n">
        <v>451</v>
      </c>
      <c r="U1400" s="16" t="n">
        <v>157</v>
      </c>
      <c r="V1400" s="16">
        <f>ROUNDUP((T1400+U1400+2*'Read Me'!$B$13)*(1+'Read Me'!$B$12),-1)</f>
        <v/>
      </c>
      <c r="W1400" s="16">
        <f>V1400*N1400*O1400</f>
        <v/>
      </c>
      <c r="X1400" s="12">
        <f>IF(LEFT(I1400,2)="MV",2*N1400*IF(L1400="1/C",O1400,1),0)</f>
        <v/>
      </c>
      <c r="Y1400" s="12">
        <f>IF(OR(LEFT(K1400,4)="LVAX",LEFT(K1400,6)="MV15AX",LEFT(K1400,4)="CTAX",LEFT(K1400,2)="W|"),2*N1400*O1400,0)</f>
        <v/>
      </c>
      <c r="Z1400" s="12" t="inlineStr">
        <is>
          <t>VD 2.5 %</t>
        </is>
      </c>
      <c r="AA1400" s="12">
        <f>N1400*O1400</f>
        <v/>
      </c>
    </row>
    <row r="1401">
      <c r="A1401" s="12" t="inlineStr">
        <is>
          <t>A-P-0034</t>
        </is>
      </c>
      <c r="B1401" s="12" t="inlineStr">
        <is>
          <t>A</t>
        </is>
      </c>
      <c r="C1401" s="12" t="inlineStr">
        <is>
          <t>Power block</t>
        </is>
      </c>
      <c r="D1401" s="12" t="inlineStr">
        <is>
          <t>Motor 2 of 2, 15 kW</t>
        </is>
      </c>
      <c r="E1401" s="12" t="inlineStr">
        <is>
          <t>MCC-GT1</t>
        </is>
      </c>
      <c r="F1401" s="12" t="inlineStr">
        <is>
          <t>R1 MCC-GT1</t>
        </is>
      </c>
      <c r="G1401" s="12" t="inlineStr">
        <is>
          <t>FH-1</t>
        </is>
      </c>
      <c r="H1401" s="12" t="inlineStr">
        <is>
          <t>FH-1: GT inlet filter house on its own frame</t>
        </is>
      </c>
      <c r="I1401" s="12" t="inlineStr">
        <is>
          <t>LV 600 V</t>
        </is>
      </c>
      <c r="J1401" s="12" t="inlineStr">
        <is>
          <t>Type TC-ER 600 V 3/C Cu XHHW-2 + ground, PVC jacket</t>
        </is>
      </c>
      <c r="K1401" s="12" t="inlineStr">
        <is>
          <t>LV|3/C+G|6</t>
        </is>
      </c>
      <c r="L1401" s="12" t="inlineStr">
        <is>
          <t>3/C+G</t>
        </is>
      </c>
      <c r="M1401" s="12" t="inlineStr">
        <is>
          <t>6</t>
        </is>
      </c>
      <c r="N1401" s="12" t="n">
        <v>1</v>
      </c>
      <c r="O1401" s="12" t="n">
        <v>1</v>
      </c>
      <c r="P1401" s="12" t="n">
        <v>480</v>
      </c>
      <c r="Q1401" s="12" t="n">
        <v>15</v>
      </c>
      <c r="R1401" s="12" t="n">
        <v>21.2</v>
      </c>
      <c r="S1401" s="12" t="inlineStr">
        <is>
          <t>Tray</t>
        </is>
      </c>
      <c r="T1401" s="16" t="n">
        <v>451</v>
      </c>
      <c r="U1401" s="16" t="n">
        <v>157</v>
      </c>
      <c r="V1401" s="16">
        <f>ROUNDUP((T1401+U1401+2*'Read Me'!$B$13)*(1+'Read Me'!$B$12),-1)</f>
        <v/>
      </c>
      <c r="W1401" s="16">
        <f>V1401*N1401*O1401</f>
        <v/>
      </c>
      <c r="X1401" s="12">
        <f>IF(LEFT(I1401,2)="MV",2*N1401*IF(L1401="1/C",O1401,1),0)</f>
        <v/>
      </c>
      <c r="Y1401" s="12">
        <f>IF(OR(LEFT(K1401,4)="LVAX",LEFT(K1401,6)="MV15AX",LEFT(K1401,4)="CTAX",LEFT(K1401,2)="W|"),2*N1401*O1401,0)</f>
        <v/>
      </c>
      <c r="Z1401" s="12" t="inlineStr">
        <is>
          <t>VD 2.5 %</t>
        </is>
      </c>
      <c r="AA1401" s="12">
        <f>N1401*O1401</f>
        <v/>
      </c>
    </row>
    <row r="1402">
      <c r="A1402" s="12" t="inlineStr">
        <is>
          <t>A-P-0035</t>
        </is>
      </c>
      <c r="B1402" s="12" t="inlineStr">
        <is>
          <t>A</t>
        </is>
      </c>
      <c r="C1402" s="12" t="inlineStr">
        <is>
          <t>Power block</t>
        </is>
      </c>
      <c r="D1402" s="12" t="inlineStr">
        <is>
          <t>Area / platform lighting circuit 1 (12 fixtures)</t>
        </is>
      </c>
      <c r="E1402" s="12" t="inlineStr">
        <is>
          <t>MCC-GT1</t>
        </is>
      </c>
      <c r="F1402" s="12" t="inlineStr">
        <is>
          <t>R1 MCC-GT1</t>
        </is>
      </c>
      <c r="G1402" s="12" t="inlineStr">
        <is>
          <t>FH-1</t>
        </is>
      </c>
      <c r="H1402" s="12" t="inlineStr">
        <is>
          <t>FH-1: GT inlet filter house on its own frame</t>
        </is>
      </c>
      <c r="I1402" s="12" t="inlineStr">
        <is>
          <t>LV 600 V</t>
        </is>
      </c>
      <c r="J1402" s="12" t="inlineStr">
        <is>
          <t>Type TC-ER 600 V 3/C Cu XHHW-2 + ground, PVC jacket</t>
        </is>
      </c>
      <c r="K1402" s="12" t="inlineStr">
        <is>
          <t>LV|3/C+G|10</t>
        </is>
      </c>
      <c r="L1402" s="12" t="inlineStr">
        <is>
          <t>3/C+G</t>
        </is>
      </c>
      <c r="M1402" s="12" t="inlineStr">
        <is>
          <t>10</t>
        </is>
      </c>
      <c r="N1402" s="12" t="n">
        <v>1</v>
      </c>
      <c r="O1402" s="12" t="n">
        <v>1</v>
      </c>
      <c r="P1402" s="12" t="n">
        <v>480</v>
      </c>
      <c r="Q1402" s="12" t="n">
        <v>3</v>
      </c>
      <c r="R1402" s="12" t="n">
        <v>5</v>
      </c>
      <c r="S1402" s="12" t="inlineStr">
        <is>
          <t>Tray</t>
        </is>
      </c>
      <c r="T1402" s="16" t="n">
        <v>751</v>
      </c>
      <c r="U1402" s="16" t="n">
        <v>157</v>
      </c>
      <c r="V1402" s="16">
        <f>ROUNDUP((T1402+U1402+2*'Read Me'!$B$13)*(1+'Read Me'!$B$12),-1)</f>
        <v/>
      </c>
      <c r="W1402" s="16">
        <f>V1402*N1402*O1402</f>
        <v/>
      </c>
      <c r="X1402" s="12">
        <f>IF(LEFT(I1402,2)="MV",2*N1402*IF(L1402="1/C",O1402,1),0)</f>
        <v/>
      </c>
      <c r="Y1402" s="12">
        <f>IF(OR(LEFT(K1402,4)="LVAX",LEFT(K1402,6)="MV15AX",LEFT(K1402,4)="CTAX",LEFT(K1402,2)="W|"),2*N1402*O1402,0)</f>
        <v/>
      </c>
      <c r="Z1402" s="12" t="inlineStr">
        <is>
          <t>fixture-to-fixture run included</t>
        </is>
      </c>
      <c r="AA1402" s="12">
        <f>N1402*O1402</f>
        <v/>
      </c>
    </row>
    <row r="1403">
      <c r="A1403" s="12" t="inlineStr">
        <is>
          <t>A-P-0036</t>
        </is>
      </c>
      <c r="B1403" s="12" t="inlineStr">
        <is>
          <t>A</t>
        </is>
      </c>
      <c r="C1403" s="12" t="inlineStr">
        <is>
          <t>Power block</t>
        </is>
      </c>
      <c r="D1403" s="12" t="inlineStr">
        <is>
          <t>Area / platform lighting circuit 1 (8 fixtures)</t>
        </is>
      </c>
      <c r="E1403" s="12" t="inlineStr">
        <is>
          <t>MCC-GT2</t>
        </is>
      </c>
      <c r="F1403" s="12" t="inlineStr">
        <is>
          <t>R1 MCC-GT2</t>
        </is>
      </c>
      <c r="G1403" s="12" t="inlineStr"/>
      <c r="H1403" s="12" t="inlineStr">
        <is>
          <t>FH-2 stair tower</t>
        </is>
      </c>
      <c r="I1403" s="12" t="inlineStr">
        <is>
          <t>LV 600 V</t>
        </is>
      </c>
      <c r="J1403" s="12" t="inlineStr">
        <is>
          <t>Type TC-ER 600 V 3/C Cu XHHW-2 + ground, PVC jacket</t>
        </is>
      </c>
      <c r="K1403" s="12" t="inlineStr">
        <is>
          <t>LV|3/C+G|10</t>
        </is>
      </c>
      <c r="L1403" s="12" t="inlineStr">
        <is>
          <t>3/C+G</t>
        </is>
      </c>
      <c r="M1403" s="12" t="inlineStr">
        <is>
          <t>10</t>
        </is>
      </c>
      <c r="N1403" s="12" t="n">
        <v>1</v>
      </c>
      <c r="O1403" s="12" t="n">
        <v>1</v>
      </c>
      <c r="P1403" s="12" t="n">
        <v>480</v>
      </c>
      <c r="Q1403" s="12" t="n">
        <v>3</v>
      </c>
      <c r="R1403" s="12" t="n">
        <v>5</v>
      </c>
      <c r="S1403" s="12" t="inlineStr">
        <is>
          <t>Duct bank</t>
        </is>
      </c>
      <c r="T1403" s="16" t="n">
        <v>1071</v>
      </c>
      <c r="U1403" s="16" t="n">
        <v>110</v>
      </c>
      <c r="V1403" s="16">
        <f>ROUNDUP((T1403+U1403+2*'Read Me'!$B$13)*(1+'Read Me'!$B$12),-1)</f>
        <v/>
      </c>
      <c r="W1403" s="16">
        <f>V1403*N1403*O1403</f>
        <v/>
      </c>
      <c r="X1403" s="12">
        <f>IF(LEFT(I1403,2)="MV",2*N1403*IF(L1403="1/C",O1403,1),0)</f>
        <v/>
      </c>
      <c r="Y1403" s="12">
        <f>IF(OR(LEFT(K1403,4)="LVAX",LEFT(K1403,6)="MV15AX",LEFT(K1403,4)="CTAX",LEFT(K1403,2)="W|"),2*N1403*O1403,0)</f>
        <v/>
      </c>
      <c r="Z1403" s="12" t="inlineStr">
        <is>
          <t>fixture-to-fixture run included</t>
        </is>
      </c>
      <c r="AA1403" s="12">
        <f>N1403*O1403</f>
        <v/>
      </c>
    </row>
    <row r="1404">
      <c r="A1404" s="12" t="inlineStr">
        <is>
          <t>A-P-0037</t>
        </is>
      </c>
      <c r="B1404" s="12" t="inlineStr">
        <is>
          <t>A</t>
        </is>
      </c>
      <c r="C1404" s="12" t="inlineStr">
        <is>
          <t>Power block</t>
        </is>
      </c>
      <c r="D1404" s="12" t="inlineStr">
        <is>
          <t>Motor 1 of 2, 15 kW</t>
        </is>
      </c>
      <c r="E1404" s="12" t="inlineStr">
        <is>
          <t>MCC-GT2</t>
        </is>
      </c>
      <c r="F1404" s="12" t="inlineStr">
        <is>
          <t>R1 MCC-GT2</t>
        </is>
      </c>
      <c r="G1404" s="12" t="inlineStr">
        <is>
          <t>FH-2</t>
        </is>
      </c>
      <c r="H1404" s="12" t="inlineStr">
        <is>
          <t>FH-2: GT inlet filter house on its own frame</t>
        </is>
      </c>
      <c r="I1404" s="12" t="inlineStr">
        <is>
          <t>LV 600 V</t>
        </is>
      </c>
      <c r="J1404" s="12" t="inlineStr">
        <is>
          <t>Type TC-ER 600 V 3/C Cu XHHW-2 + ground, PVC jacket</t>
        </is>
      </c>
      <c r="K1404" s="12" t="inlineStr">
        <is>
          <t>LV|3/C+G|4</t>
        </is>
      </c>
      <c r="L1404" s="12" t="inlineStr">
        <is>
          <t>3/C+G</t>
        </is>
      </c>
      <c r="M1404" s="12" t="inlineStr">
        <is>
          <t>4</t>
        </is>
      </c>
      <c r="N1404" s="12" t="n">
        <v>1</v>
      </c>
      <c r="O1404" s="12" t="n">
        <v>1</v>
      </c>
      <c r="P1404" s="12" t="n">
        <v>480</v>
      </c>
      <c r="Q1404" s="12" t="n">
        <v>15</v>
      </c>
      <c r="R1404" s="12" t="n">
        <v>21.2</v>
      </c>
      <c r="S1404" s="12" t="inlineStr">
        <is>
          <t>Tray</t>
        </is>
      </c>
      <c r="T1404" s="16" t="n">
        <v>631</v>
      </c>
      <c r="U1404" s="16" t="n">
        <v>137</v>
      </c>
      <c r="V1404" s="16">
        <f>ROUNDUP((T1404+U1404+2*'Read Me'!$B$13)*(1+'Read Me'!$B$12),-1)</f>
        <v/>
      </c>
      <c r="W1404" s="16">
        <f>V1404*N1404*O1404</f>
        <v/>
      </c>
      <c r="X1404" s="12">
        <f>IF(LEFT(I1404,2)="MV",2*N1404*IF(L1404="1/C",O1404,1),0)</f>
        <v/>
      </c>
      <c r="Y1404" s="12">
        <f>IF(OR(LEFT(K1404,4)="LVAX",LEFT(K1404,6)="MV15AX",LEFT(K1404,4)="CTAX",LEFT(K1404,2)="W|"),2*N1404*O1404,0)</f>
        <v/>
      </c>
      <c r="Z1404" s="12" t="inlineStr">
        <is>
          <t>VD 2.0 %</t>
        </is>
      </c>
      <c r="AA1404" s="12">
        <f>N1404*O1404</f>
        <v/>
      </c>
    </row>
    <row r="1405">
      <c r="A1405" s="12" t="inlineStr">
        <is>
          <t>A-P-0038</t>
        </is>
      </c>
      <c r="B1405" s="12" t="inlineStr">
        <is>
          <t>A</t>
        </is>
      </c>
      <c r="C1405" s="12" t="inlineStr">
        <is>
          <t>Power block</t>
        </is>
      </c>
      <c r="D1405" s="12" t="inlineStr">
        <is>
          <t>Motor 2 of 2, 15 kW</t>
        </is>
      </c>
      <c r="E1405" s="12" t="inlineStr">
        <is>
          <t>MCC-GT2</t>
        </is>
      </c>
      <c r="F1405" s="12" t="inlineStr">
        <is>
          <t>R1 MCC-GT2</t>
        </is>
      </c>
      <c r="G1405" s="12" t="inlineStr">
        <is>
          <t>FH-2</t>
        </is>
      </c>
      <c r="H1405" s="12" t="inlineStr">
        <is>
          <t>FH-2: GT inlet filter house on its own frame</t>
        </is>
      </c>
      <c r="I1405" s="12" t="inlineStr">
        <is>
          <t>LV 600 V</t>
        </is>
      </c>
      <c r="J1405" s="12" t="inlineStr">
        <is>
          <t>Type TC-ER 600 V 3/C Cu XHHW-2 + ground, PVC jacket</t>
        </is>
      </c>
      <c r="K1405" s="12" t="inlineStr">
        <is>
          <t>LV|3/C+G|4</t>
        </is>
      </c>
      <c r="L1405" s="12" t="inlineStr">
        <is>
          <t>3/C+G</t>
        </is>
      </c>
      <c r="M1405" s="12" t="inlineStr">
        <is>
          <t>4</t>
        </is>
      </c>
      <c r="N1405" s="12" t="n">
        <v>1</v>
      </c>
      <c r="O1405" s="12" t="n">
        <v>1</v>
      </c>
      <c r="P1405" s="12" t="n">
        <v>480</v>
      </c>
      <c r="Q1405" s="12" t="n">
        <v>15</v>
      </c>
      <c r="R1405" s="12" t="n">
        <v>21.2</v>
      </c>
      <c r="S1405" s="12" t="inlineStr">
        <is>
          <t>Tray</t>
        </is>
      </c>
      <c r="T1405" s="16" t="n">
        <v>631</v>
      </c>
      <c r="U1405" s="16" t="n">
        <v>137</v>
      </c>
      <c r="V1405" s="16">
        <f>ROUNDUP((T1405+U1405+2*'Read Me'!$B$13)*(1+'Read Me'!$B$12),-1)</f>
        <v/>
      </c>
      <c r="W1405" s="16">
        <f>V1405*N1405*O1405</f>
        <v/>
      </c>
      <c r="X1405" s="12">
        <f>IF(LEFT(I1405,2)="MV",2*N1405*IF(L1405="1/C",O1405,1),0)</f>
        <v/>
      </c>
      <c r="Y1405" s="12">
        <f>IF(OR(LEFT(K1405,4)="LVAX",LEFT(K1405,6)="MV15AX",LEFT(K1405,4)="CTAX",LEFT(K1405,2)="W|"),2*N1405*O1405,0)</f>
        <v/>
      </c>
      <c r="Z1405" s="12" t="inlineStr">
        <is>
          <t>VD 2.0 %</t>
        </is>
      </c>
      <c r="AA1405" s="12">
        <f>N1405*O1405</f>
        <v/>
      </c>
    </row>
    <row r="1406">
      <c r="A1406" s="12" t="inlineStr">
        <is>
          <t>A-P-0039</t>
        </is>
      </c>
      <c r="B1406" s="12" t="inlineStr">
        <is>
          <t>A</t>
        </is>
      </c>
      <c r="C1406" s="12" t="inlineStr">
        <is>
          <t>Power block</t>
        </is>
      </c>
      <c r="D1406" s="12" t="inlineStr">
        <is>
          <t>Area / platform lighting circuit 1 (12 fixtures)</t>
        </is>
      </c>
      <c r="E1406" s="12" t="inlineStr">
        <is>
          <t>MCC-GT2</t>
        </is>
      </c>
      <c r="F1406" s="12" t="inlineStr">
        <is>
          <t>R1 MCC-GT2</t>
        </is>
      </c>
      <c r="G1406" s="12" t="inlineStr">
        <is>
          <t>FH-2</t>
        </is>
      </c>
      <c r="H1406" s="12" t="inlineStr">
        <is>
          <t>FH-2: GT inlet filter house on its own frame</t>
        </is>
      </c>
      <c r="I1406" s="12" t="inlineStr">
        <is>
          <t>LV 600 V</t>
        </is>
      </c>
      <c r="J1406" s="12" t="inlineStr">
        <is>
          <t>Type TC-ER 600 V 3/C Cu XHHW-2 + ground, PVC jacket</t>
        </is>
      </c>
      <c r="K1406" s="12" t="inlineStr">
        <is>
          <t>LV|3/C+G|10</t>
        </is>
      </c>
      <c r="L1406" s="12" t="inlineStr">
        <is>
          <t>3/C+G</t>
        </is>
      </c>
      <c r="M1406" s="12" t="inlineStr">
        <is>
          <t>10</t>
        </is>
      </c>
      <c r="N1406" s="12" t="n">
        <v>1</v>
      </c>
      <c r="O1406" s="12" t="n">
        <v>1</v>
      </c>
      <c r="P1406" s="12" t="n">
        <v>480</v>
      </c>
      <c r="Q1406" s="12" t="n">
        <v>3</v>
      </c>
      <c r="R1406" s="12" t="n">
        <v>5</v>
      </c>
      <c r="S1406" s="12" t="inlineStr">
        <is>
          <t>Tray</t>
        </is>
      </c>
      <c r="T1406" s="16" t="n">
        <v>931</v>
      </c>
      <c r="U1406" s="16" t="n">
        <v>137</v>
      </c>
      <c r="V1406" s="16">
        <f>ROUNDUP((T1406+U1406+2*'Read Me'!$B$13)*(1+'Read Me'!$B$12),-1)</f>
        <v/>
      </c>
      <c r="W1406" s="16">
        <f>V1406*N1406*O1406</f>
        <v/>
      </c>
      <c r="X1406" s="12">
        <f>IF(LEFT(I1406,2)="MV",2*N1406*IF(L1406="1/C",O1406,1),0)</f>
        <v/>
      </c>
      <c r="Y1406" s="12">
        <f>IF(OR(LEFT(K1406,4)="LVAX",LEFT(K1406,6)="MV15AX",LEFT(K1406,4)="CTAX",LEFT(K1406,2)="W|"),2*N1406*O1406,0)</f>
        <v/>
      </c>
      <c r="Z1406" s="12" t="inlineStr">
        <is>
          <t>fixture-to-fixture run included</t>
        </is>
      </c>
      <c r="AA1406" s="12">
        <f>N1406*O1406</f>
        <v/>
      </c>
    </row>
    <row r="1407">
      <c r="A1407" s="12" t="inlineStr">
        <is>
          <t>A-P-0040</t>
        </is>
      </c>
      <c r="B1407" s="12" t="inlineStr">
        <is>
          <t>A</t>
        </is>
      </c>
      <c r="C1407" s="12" t="inlineStr">
        <is>
          <t>Power block</t>
        </is>
      </c>
      <c r="D1407" s="12" t="inlineStr">
        <is>
          <t>Area / platform lighting circuit 1 (8 fixtures)</t>
        </is>
      </c>
      <c r="E1407" s="12" t="inlineStr">
        <is>
          <t>MCC-GT3</t>
        </is>
      </c>
      <c r="F1407" s="12" t="inlineStr">
        <is>
          <t>R1 MCC-GT3</t>
        </is>
      </c>
      <c r="G1407" s="12" t="inlineStr"/>
      <c r="H1407" s="12" t="inlineStr">
        <is>
          <t>FH-3 stair tower</t>
        </is>
      </c>
      <c r="I1407" s="12" t="inlineStr">
        <is>
          <t>LV 600 V</t>
        </is>
      </c>
      <c r="J1407" s="12" t="inlineStr">
        <is>
          <t>Type TC-ER 600 V 3/C Cu XHHW-2 + ground, PVC jacket</t>
        </is>
      </c>
      <c r="K1407" s="12" t="inlineStr">
        <is>
          <t>LV|3/C+G|8</t>
        </is>
      </c>
      <c r="L1407" s="12" t="inlineStr">
        <is>
          <t>3/C+G</t>
        </is>
      </c>
      <c r="M1407" s="12" t="inlineStr">
        <is>
          <t>8</t>
        </is>
      </c>
      <c r="N1407" s="12" t="n">
        <v>1</v>
      </c>
      <c r="O1407" s="12" t="n">
        <v>1</v>
      </c>
      <c r="P1407" s="12" t="n">
        <v>480</v>
      </c>
      <c r="Q1407" s="12" t="n">
        <v>3</v>
      </c>
      <c r="R1407" s="12" t="n">
        <v>5</v>
      </c>
      <c r="S1407" s="12" t="inlineStr">
        <is>
          <t>Tray</t>
        </is>
      </c>
      <c r="T1407" s="16" t="n">
        <v>1179</v>
      </c>
      <c r="U1407" s="16" t="n">
        <v>172</v>
      </c>
      <c r="V1407" s="16">
        <f>ROUNDUP((T1407+U1407+2*'Read Me'!$B$13)*(1+'Read Me'!$B$12),-1)</f>
        <v/>
      </c>
      <c r="W1407" s="16">
        <f>V1407*N1407*O1407</f>
        <v/>
      </c>
      <c r="X1407" s="12">
        <f>IF(LEFT(I1407,2)="MV",2*N1407*IF(L1407="1/C",O1407,1),0)</f>
        <v/>
      </c>
      <c r="Y1407" s="12">
        <f>IF(OR(LEFT(K1407,4)="LVAX",LEFT(K1407,6)="MV15AX",LEFT(K1407,4)="CTAX",LEFT(K1407,2)="W|"),2*N1407*O1407,0)</f>
        <v/>
      </c>
      <c r="Z1407" s="12" t="inlineStr">
        <is>
          <t>fixture-to-fixture run included</t>
        </is>
      </c>
      <c r="AA1407" s="12">
        <f>N1407*O1407</f>
        <v/>
      </c>
    </row>
    <row r="1408">
      <c r="A1408" s="12" t="inlineStr">
        <is>
          <t>A-P-0041</t>
        </is>
      </c>
      <c r="B1408" s="12" t="inlineStr">
        <is>
          <t>A</t>
        </is>
      </c>
      <c r="C1408" s="12" t="inlineStr">
        <is>
          <t>Power block</t>
        </is>
      </c>
      <c r="D1408" s="12" t="inlineStr">
        <is>
          <t>Motor 1 of 2, 15 kW</t>
        </is>
      </c>
      <c r="E1408" s="12" t="inlineStr">
        <is>
          <t>MCC-GT3</t>
        </is>
      </c>
      <c r="F1408" s="12" t="inlineStr">
        <is>
          <t>R1 MCC-GT3</t>
        </is>
      </c>
      <c r="G1408" s="12" t="inlineStr">
        <is>
          <t>FH-3</t>
        </is>
      </c>
      <c r="H1408" s="12" t="inlineStr">
        <is>
          <t>FH-3: GT inlet filter house on its own frame</t>
        </is>
      </c>
      <c r="I1408" s="12" t="inlineStr">
        <is>
          <t>LV 600 V</t>
        </is>
      </c>
      <c r="J1408" s="12" t="inlineStr">
        <is>
          <t>Type TC-ER 600 V 3/C Cu XHHW-2 + ground, PVC jacket</t>
        </is>
      </c>
      <c r="K1408" s="12" t="inlineStr">
        <is>
          <t>LV|3/C+G|4</t>
        </is>
      </c>
      <c r="L1408" s="12" t="inlineStr">
        <is>
          <t>3/C+G</t>
        </is>
      </c>
      <c r="M1408" s="12" t="inlineStr">
        <is>
          <t>4</t>
        </is>
      </c>
      <c r="N1408" s="12" t="n">
        <v>1</v>
      </c>
      <c r="O1408" s="12" t="n">
        <v>1</v>
      </c>
      <c r="P1408" s="12" t="n">
        <v>480</v>
      </c>
      <c r="Q1408" s="12" t="n">
        <v>15</v>
      </c>
      <c r="R1408" s="12" t="n">
        <v>21.2</v>
      </c>
      <c r="S1408" s="12" t="inlineStr">
        <is>
          <t>Tray</t>
        </is>
      </c>
      <c r="T1408" s="16" t="n">
        <v>799</v>
      </c>
      <c r="U1408" s="16" t="n">
        <v>145</v>
      </c>
      <c r="V1408" s="16">
        <f>ROUNDUP((T1408+U1408+2*'Read Me'!$B$13)*(1+'Read Me'!$B$12),-1)</f>
        <v/>
      </c>
      <c r="W1408" s="16">
        <f>V1408*N1408*O1408</f>
        <v/>
      </c>
      <c r="X1408" s="12">
        <f>IF(LEFT(I1408,2)="MV",2*N1408*IF(L1408="1/C",O1408,1),0)</f>
        <v/>
      </c>
      <c r="Y1408" s="12">
        <f>IF(OR(LEFT(K1408,4)="LVAX",LEFT(K1408,6)="MV15AX",LEFT(K1408,4)="CTAX",LEFT(K1408,2)="W|"),2*N1408*O1408,0)</f>
        <v/>
      </c>
      <c r="Z1408" s="12" t="inlineStr">
        <is>
          <t>VD 2.4 %</t>
        </is>
      </c>
      <c r="AA1408" s="12">
        <f>N1408*O1408</f>
        <v/>
      </c>
    </row>
    <row r="1409">
      <c r="A1409" s="12" t="inlineStr">
        <is>
          <t>A-P-0042</t>
        </is>
      </c>
      <c r="B1409" s="12" t="inlineStr">
        <is>
          <t>A</t>
        </is>
      </c>
      <c r="C1409" s="12" t="inlineStr">
        <is>
          <t>Power block</t>
        </is>
      </c>
      <c r="D1409" s="12" t="inlineStr">
        <is>
          <t>Motor 2 of 2, 15 kW</t>
        </is>
      </c>
      <c r="E1409" s="12" t="inlineStr">
        <is>
          <t>MCC-GT3</t>
        </is>
      </c>
      <c r="F1409" s="12" t="inlineStr">
        <is>
          <t>R1 MCC-GT3</t>
        </is>
      </c>
      <c r="G1409" s="12" t="inlineStr">
        <is>
          <t>FH-3</t>
        </is>
      </c>
      <c r="H1409" s="12" t="inlineStr">
        <is>
          <t>FH-3: GT inlet filter house on its own frame</t>
        </is>
      </c>
      <c r="I1409" s="12" t="inlineStr">
        <is>
          <t>LV 600 V</t>
        </is>
      </c>
      <c r="J1409" s="12" t="inlineStr">
        <is>
          <t>Type TC-ER 600 V 3/C Cu XHHW-2 + ground, PVC jacket</t>
        </is>
      </c>
      <c r="K1409" s="12" t="inlineStr">
        <is>
          <t>LV|3/C+G|4</t>
        </is>
      </c>
      <c r="L1409" s="12" t="inlineStr">
        <is>
          <t>3/C+G</t>
        </is>
      </c>
      <c r="M1409" s="12" t="inlineStr">
        <is>
          <t>4</t>
        </is>
      </c>
      <c r="N1409" s="12" t="n">
        <v>1</v>
      </c>
      <c r="O1409" s="12" t="n">
        <v>1</v>
      </c>
      <c r="P1409" s="12" t="n">
        <v>480</v>
      </c>
      <c r="Q1409" s="12" t="n">
        <v>15</v>
      </c>
      <c r="R1409" s="12" t="n">
        <v>21.2</v>
      </c>
      <c r="S1409" s="12" t="inlineStr">
        <is>
          <t>Tray</t>
        </is>
      </c>
      <c r="T1409" s="16" t="n">
        <v>799</v>
      </c>
      <c r="U1409" s="16" t="n">
        <v>145</v>
      </c>
      <c r="V1409" s="16">
        <f>ROUNDUP((T1409+U1409+2*'Read Me'!$B$13)*(1+'Read Me'!$B$12),-1)</f>
        <v/>
      </c>
      <c r="W1409" s="16">
        <f>V1409*N1409*O1409</f>
        <v/>
      </c>
      <c r="X1409" s="12">
        <f>IF(LEFT(I1409,2)="MV",2*N1409*IF(L1409="1/C",O1409,1),0)</f>
        <v/>
      </c>
      <c r="Y1409" s="12">
        <f>IF(OR(LEFT(K1409,4)="LVAX",LEFT(K1409,6)="MV15AX",LEFT(K1409,4)="CTAX",LEFT(K1409,2)="W|"),2*N1409*O1409,0)</f>
        <v/>
      </c>
      <c r="Z1409" s="12" t="inlineStr">
        <is>
          <t>VD 2.4 %</t>
        </is>
      </c>
      <c r="AA1409" s="12">
        <f>N1409*O1409</f>
        <v/>
      </c>
    </row>
    <row r="1410">
      <c r="A1410" s="12" t="inlineStr">
        <is>
          <t>A-P-0043</t>
        </is>
      </c>
      <c r="B1410" s="12" t="inlineStr">
        <is>
          <t>A</t>
        </is>
      </c>
      <c r="C1410" s="12" t="inlineStr">
        <is>
          <t>Power block</t>
        </is>
      </c>
      <c r="D1410" s="12" t="inlineStr">
        <is>
          <t>Area / platform lighting circuit 1 (12 fixtures)</t>
        </is>
      </c>
      <c r="E1410" s="12" t="inlineStr">
        <is>
          <t>MCC-GT3</t>
        </is>
      </c>
      <c r="F1410" s="12" t="inlineStr">
        <is>
          <t>R1 MCC-GT3</t>
        </is>
      </c>
      <c r="G1410" s="12" t="inlineStr">
        <is>
          <t>FH-3</t>
        </is>
      </c>
      <c r="H1410" s="12" t="inlineStr">
        <is>
          <t>FH-3: GT inlet filter house on its own frame</t>
        </is>
      </c>
      <c r="I1410" s="12" t="inlineStr">
        <is>
          <t>LV 600 V</t>
        </is>
      </c>
      <c r="J1410" s="12" t="inlineStr">
        <is>
          <t>Type TC-ER 600 V 3/C Cu XHHW-2 + ground, PVC jacket</t>
        </is>
      </c>
      <c r="K1410" s="12" t="inlineStr">
        <is>
          <t>LV|3/C+G|10</t>
        </is>
      </c>
      <c r="L1410" s="12" t="inlineStr">
        <is>
          <t>3/C+G</t>
        </is>
      </c>
      <c r="M1410" s="12" t="inlineStr">
        <is>
          <t>10</t>
        </is>
      </c>
      <c r="N1410" s="12" t="n">
        <v>1</v>
      </c>
      <c r="O1410" s="12" t="n">
        <v>1</v>
      </c>
      <c r="P1410" s="12" t="n">
        <v>480</v>
      </c>
      <c r="Q1410" s="12" t="n">
        <v>3</v>
      </c>
      <c r="R1410" s="12" t="n">
        <v>5</v>
      </c>
      <c r="S1410" s="12" t="inlineStr">
        <is>
          <t>Tray</t>
        </is>
      </c>
      <c r="T1410" s="16" t="n">
        <v>1099</v>
      </c>
      <c r="U1410" s="16" t="n">
        <v>145</v>
      </c>
      <c r="V1410" s="16">
        <f>ROUNDUP((T1410+U1410+2*'Read Me'!$B$13)*(1+'Read Me'!$B$12),-1)</f>
        <v/>
      </c>
      <c r="W1410" s="16">
        <f>V1410*N1410*O1410</f>
        <v/>
      </c>
      <c r="X1410" s="12">
        <f>IF(LEFT(I1410,2)="MV",2*N1410*IF(L1410="1/C",O1410,1),0)</f>
        <v/>
      </c>
      <c r="Y1410" s="12">
        <f>IF(OR(LEFT(K1410,4)="LVAX",LEFT(K1410,6)="MV15AX",LEFT(K1410,4)="CTAX",LEFT(K1410,2)="W|"),2*N1410*O1410,0)</f>
        <v/>
      </c>
      <c r="Z1410" s="12" t="inlineStr">
        <is>
          <t>fixture-to-fixture run included</t>
        </is>
      </c>
      <c r="AA1410" s="12">
        <f>N1410*O1410</f>
        <v/>
      </c>
    </row>
    <row r="1411">
      <c r="A1411" s="12" t="inlineStr">
        <is>
          <t>A-P-0044</t>
        </is>
      </c>
      <c r="B1411" s="12" t="inlineStr">
        <is>
          <t>A</t>
        </is>
      </c>
      <c r="C1411" s="12" t="inlineStr">
        <is>
          <t>Power block</t>
        </is>
      </c>
      <c r="D1411" s="12" t="inlineStr">
        <is>
          <t>LV power feeder</t>
        </is>
      </c>
      <c r="E1411" s="12" t="inlineStr">
        <is>
          <t>MCC-GT1</t>
        </is>
      </c>
      <c r="F1411" s="12" t="inlineStr">
        <is>
          <t>R1 MCC-GT1</t>
        </is>
      </c>
      <c r="G1411" s="12" t="inlineStr">
        <is>
          <t>FS-GT1</t>
        </is>
      </c>
      <c r="H1411" s="12" t="inlineStr">
        <is>
          <t>FS-GT1: CO2 fire-suppression skid</t>
        </is>
      </c>
      <c r="I1411" s="12" t="inlineStr">
        <is>
          <t>LV 600 V</t>
        </is>
      </c>
      <c r="J1411" s="12" t="inlineStr">
        <is>
          <t>Type TC-ER 600 V 3/C Cu XHHW-2 + ground, PVC jacket</t>
        </is>
      </c>
      <c r="K1411" s="12" t="inlineStr">
        <is>
          <t>LV|3/C+G|350</t>
        </is>
      </c>
      <c r="L1411" s="12" t="inlineStr">
        <is>
          <t>3/C+G</t>
        </is>
      </c>
      <c r="M1411" s="12" t="inlineStr">
        <is>
          <t>350 kcmil</t>
        </is>
      </c>
      <c r="N1411" s="12" t="n">
        <v>1</v>
      </c>
      <c r="O1411" s="12" t="n">
        <v>1</v>
      </c>
      <c r="P1411" s="12" t="n">
        <v>480</v>
      </c>
      <c r="Q1411" s="12" t="n">
        <v>150</v>
      </c>
      <c r="R1411" s="12" t="n">
        <v>212.3</v>
      </c>
      <c r="S1411" s="12" t="inlineStr">
        <is>
          <t>Tray</t>
        </is>
      </c>
      <c r="T1411" s="16" t="n">
        <v>288</v>
      </c>
      <c r="U1411" s="16" t="n">
        <v>155</v>
      </c>
      <c r="V1411" s="16">
        <f>ROUNDUP((T1411+U1411+2*'Read Me'!$B$13)*(1+'Read Me'!$B$12),-1)</f>
        <v/>
      </c>
      <c r="W1411" s="16">
        <f>V1411*N1411*O1411</f>
        <v/>
      </c>
      <c r="X1411" s="12">
        <f>IF(LEFT(I1411,2)="MV",2*N1411*IF(L1411="1/C",O1411,1),0)</f>
        <v/>
      </c>
      <c r="Y1411" s="12">
        <f>IF(OR(LEFT(K1411,4)="LVAX",LEFT(K1411,6)="MV15AX",LEFT(K1411,4)="CTAX",LEFT(K1411,2)="W|"),2*N1411*O1411,0)</f>
        <v/>
      </c>
      <c r="Z1411" s="12" t="inlineStr">
        <is>
          <t>VD 1.4 %</t>
        </is>
      </c>
      <c r="AA1411" s="12">
        <f>N1411*O1411</f>
        <v/>
      </c>
    </row>
    <row r="1412">
      <c r="A1412" s="12" t="inlineStr">
        <is>
          <t>A-P-0045</t>
        </is>
      </c>
      <c r="B1412" s="12" t="inlineStr">
        <is>
          <t>A</t>
        </is>
      </c>
      <c r="C1412" s="12" t="inlineStr">
        <is>
          <t>Power block</t>
        </is>
      </c>
      <c r="D1412" s="12" t="inlineStr">
        <is>
          <t>LV power feeder</t>
        </is>
      </c>
      <c r="E1412" s="12" t="inlineStr">
        <is>
          <t>MCC-GT2</t>
        </is>
      </c>
      <c r="F1412" s="12" t="inlineStr">
        <is>
          <t>R1 MCC-GT2</t>
        </is>
      </c>
      <c r="G1412" s="12" t="inlineStr">
        <is>
          <t>FS-GT2</t>
        </is>
      </c>
      <c r="H1412" s="12" t="inlineStr">
        <is>
          <t>FS-GT2: CO2 fire-suppression skid</t>
        </is>
      </c>
      <c r="I1412" s="12" t="inlineStr">
        <is>
          <t>LV 600 V</t>
        </is>
      </c>
      <c r="J1412" s="12" t="inlineStr">
        <is>
          <t>Type TC-ER 600 V 3/C Cu XHHW-2 + ground, PVC jacket</t>
        </is>
      </c>
      <c r="K1412" s="12" t="inlineStr">
        <is>
          <t>LV|3/C+G|350</t>
        </is>
      </c>
      <c r="L1412" s="12" t="inlineStr">
        <is>
          <t>3/C+G</t>
        </is>
      </c>
      <c r="M1412" s="12" t="inlineStr">
        <is>
          <t>350 kcmil</t>
        </is>
      </c>
      <c r="N1412" s="12" t="n">
        <v>1</v>
      </c>
      <c r="O1412" s="12" t="n">
        <v>1</v>
      </c>
      <c r="P1412" s="12" t="n">
        <v>480</v>
      </c>
      <c r="Q1412" s="12" t="n">
        <v>150</v>
      </c>
      <c r="R1412" s="12" t="n">
        <v>212.3</v>
      </c>
      <c r="S1412" s="12" t="inlineStr">
        <is>
          <t>Tray</t>
        </is>
      </c>
      <c r="T1412" s="16" t="n">
        <v>468</v>
      </c>
      <c r="U1412" s="16" t="n">
        <v>135</v>
      </c>
      <c r="V1412" s="16">
        <f>ROUNDUP((T1412+U1412+2*'Read Me'!$B$13)*(1+'Read Me'!$B$12),-1)</f>
        <v/>
      </c>
      <c r="W1412" s="16">
        <f>V1412*N1412*O1412</f>
        <v/>
      </c>
      <c r="X1412" s="12">
        <f>IF(LEFT(I1412,2)="MV",2*N1412*IF(L1412="1/C",O1412,1),0)</f>
        <v/>
      </c>
      <c r="Y1412" s="12">
        <f>IF(OR(LEFT(K1412,4)="LVAX",LEFT(K1412,6)="MV15AX",LEFT(K1412,4)="CTAX",LEFT(K1412,2)="W|"),2*N1412*O1412,0)</f>
        <v/>
      </c>
      <c r="Z1412" s="12" t="inlineStr">
        <is>
          <t>VD 1.9 %</t>
        </is>
      </c>
      <c r="AA1412" s="12">
        <f>N1412*O1412</f>
        <v/>
      </c>
    </row>
    <row r="1413">
      <c r="A1413" s="12" t="inlineStr">
        <is>
          <t>A-P-0046</t>
        </is>
      </c>
      <c r="B1413" s="12" t="inlineStr">
        <is>
          <t>A</t>
        </is>
      </c>
      <c r="C1413" s="12" t="inlineStr">
        <is>
          <t>Power block</t>
        </is>
      </c>
      <c r="D1413" s="12" t="inlineStr">
        <is>
          <t>LV power feeder</t>
        </is>
      </c>
      <c r="E1413" s="12" t="inlineStr">
        <is>
          <t>MCC-GT3</t>
        </is>
      </c>
      <c r="F1413" s="12" t="inlineStr">
        <is>
          <t>R1 MCC-GT3</t>
        </is>
      </c>
      <c r="G1413" s="12" t="inlineStr">
        <is>
          <t>FS-GT3</t>
        </is>
      </c>
      <c r="H1413" s="12" t="inlineStr">
        <is>
          <t>FS-GT3: CO2 fire-suppression skid</t>
        </is>
      </c>
      <c r="I1413" s="12" t="inlineStr">
        <is>
          <t>LV 600 V</t>
        </is>
      </c>
      <c r="J1413" s="12" t="inlineStr">
        <is>
          <t>Type TC-ER 600 V 3/C Cu XHHW-2 + ground, PVC jacket</t>
        </is>
      </c>
      <c r="K1413" s="12" t="inlineStr">
        <is>
          <t>LV|3/C+G|350</t>
        </is>
      </c>
      <c r="L1413" s="12" t="inlineStr">
        <is>
          <t>3/C+G</t>
        </is>
      </c>
      <c r="M1413" s="12" t="inlineStr">
        <is>
          <t>350 kcmil</t>
        </is>
      </c>
      <c r="N1413" s="12" t="n">
        <v>1</v>
      </c>
      <c r="O1413" s="12" t="n">
        <v>1</v>
      </c>
      <c r="P1413" s="12" t="n">
        <v>480</v>
      </c>
      <c r="Q1413" s="12" t="n">
        <v>150</v>
      </c>
      <c r="R1413" s="12" t="n">
        <v>212.3</v>
      </c>
      <c r="S1413" s="12" t="inlineStr">
        <is>
          <t>Tray</t>
        </is>
      </c>
      <c r="T1413" s="16" t="n">
        <v>636</v>
      </c>
      <c r="U1413" s="16" t="n">
        <v>143</v>
      </c>
      <c r="V1413" s="16">
        <f>ROUNDUP((T1413+U1413+2*'Read Me'!$B$13)*(1+'Read Me'!$B$12),-1)</f>
        <v/>
      </c>
      <c r="W1413" s="16">
        <f>V1413*N1413*O1413</f>
        <v/>
      </c>
      <c r="X1413" s="12">
        <f>IF(LEFT(I1413,2)="MV",2*N1413*IF(L1413="1/C",O1413,1),0)</f>
        <v/>
      </c>
      <c r="Y1413" s="12">
        <f>IF(OR(LEFT(K1413,4)="LVAX",LEFT(K1413,6)="MV15AX",LEFT(K1413,4)="CTAX",LEFT(K1413,2)="W|"),2*N1413*O1413,0)</f>
        <v/>
      </c>
      <c r="Z1413" s="12" t="inlineStr">
        <is>
          <t>VD 2.4 %</t>
        </is>
      </c>
      <c r="AA1413" s="12">
        <f>N1413*O1413</f>
        <v/>
      </c>
    </row>
    <row r="1414">
      <c r="A1414" s="12" t="inlineStr">
        <is>
          <t>A-P-0047</t>
        </is>
      </c>
      <c r="B1414" s="12" t="inlineStr">
        <is>
          <t>A</t>
        </is>
      </c>
      <c r="C1414" s="12" t="inlineStr">
        <is>
          <t>Power block</t>
        </is>
      </c>
      <c r="D1414" s="12" t="inlineStr">
        <is>
          <t>LV power feeder</t>
        </is>
      </c>
      <c r="E1414" s="12" t="inlineStr">
        <is>
          <t>MCC-GT1</t>
        </is>
      </c>
      <c r="F1414" s="12" t="inlineStr">
        <is>
          <t>R1 MCC-GT1</t>
        </is>
      </c>
      <c r="G1414" s="12" t="inlineStr">
        <is>
          <t>GFM-1</t>
        </is>
      </c>
      <c r="H1414" s="12" t="inlineStr">
        <is>
          <t>GFM-1: GT1 gas fuel module (stop / control valves, final strainer)</t>
        </is>
      </c>
      <c r="I1414" s="12" t="inlineStr">
        <is>
          <t>LV 600 V</t>
        </is>
      </c>
      <c r="J1414" s="12" t="inlineStr">
        <is>
          <t>ARMOR-X MC-HL 600 V 3/C Cu XHHW-2 + ground, CWA, black PVC (Class I Div 2)</t>
        </is>
      </c>
      <c r="K1414" s="12" t="inlineStr">
        <is>
          <t>LVAX|3/C+G|8</t>
        </is>
      </c>
      <c r="L1414" s="12" t="inlineStr">
        <is>
          <t>3/C+G</t>
        </is>
      </c>
      <c r="M1414" s="12" t="inlineStr">
        <is>
          <t>8</t>
        </is>
      </c>
      <c r="N1414" s="12" t="n">
        <v>1</v>
      </c>
      <c r="O1414" s="12" t="n">
        <v>1</v>
      </c>
      <c r="P1414" s="12" t="n">
        <v>480</v>
      </c>
      <c r="Q1414" s="12" t="n">
        <v>15</v>
      </c>
      <c r="R1414" s="12" t="n">
        <v>21.2</v>
      </c>
      <c r="S1414" s="12" t="inlineStr">
        <is>
          <t>Tray</t>
        </is>
      </c>
      <c r="T1414" s="16" t="n">
        <v>298</v>
      </c>
      <c r="U1414" s="16" t="n">
        <v>145</v>
      </c>
      <c r="V1414" s="16">
        <f>ROUNDUP((T1414+U1414+2*'Read Me'!$B$13)*(1+'Read Me'!$B$12),-1)</f>
        <v/>
      </c>
      <c r="W1414" s="16">
        <f>V1414*N1414*O1414</f>
        <v/>
      </c>
      <c r="X1414" s="12">
        <f>IF(LEFT(I1414,2)="MV",2*N1414*IF(L1414="1/C",O1414,1),0)</f>
        <v/>
      </c>
      <c r="Y1414" s="12">
        <f>IF(OR(LEFT(K1414,4)="LVAX",LEFT(K1414,6)="MV15AX",LEFT(K1414,4)="CTAX",LEFT(K1414,2)="W|"),2*N1414*O1414,0)</f>
        <v/>
      </c>
      <c r="Z1414" s="12" t="inlineStr">
        <is>
          <t>VD 2.9 %</t>
        </is>
      </c>
      <c r="AA1414" s="12">
        <f>N1414*O1414</f>
        <v/>
      </c>
    </row>
    <row r="1415">
      <c r="A1415" s="12" t="inlineStr">
        <is>
          <t>A-P-0048</t>
        </is>
      </c>
      <c r="B1415" s="12" t="inlineStr">
        <is>
          <t>A</t>
        </is>
      </c>
      <c r="C1415" s="12" t="inlineStr">
        <is>
          <t>Power block</t>
        </is>
      </c>
      <c r="D1415" s="12" t="inlineStr">
        <is>
          <t>LV power feeder</t>
        </is>
      </c>
      <c r="E1415" s="12" t="inlineStr">
        <is>
          <t>MCC-GT2</t>
        </is>
      </c>
      <c r="F1415" s="12" t="inlineStr">
        <is>
          <t>R1 MCC-GT2</t>
        </is>
      </c>
      <c r="G1415" s="12" t="inlineStr">
        <is>
          <t>GFM-2</t>
        </is>
      </c>
      <c r="H1415" s="12" t="inlineStr">
        <is>
          <t>GFM-2: GT2 gas fuel module (stop / control valves, final strainer)</t>
        </is>
      </c>
      <c r="I1415" s="12" t="inlineStr">
        <is>
          <t>LV 600 V</t>
        </is>
      </c>
      <c r="J1415" s="12" t="inlineStr">
        <is>
          <t>ARMOR-X MC-HL 600 V 3/C Cu XHHW-2 + ground, CWA, black PVC (Class I Div 2)</t>
        </is>
      </c>
      <c r="K1415" s="12" t="inlineStr">
        <is>
          <t>LVAX|3/C+G|6</t>
        </is>
      </c>
      <c r="L1415" s="12" t="inlineStr">
        <is>
          <t>3/C+G</t>
        </is>
      </c>
      <c r="M1415" s="12" t="inlineStr">
        <is>
          <t>6</t>
        </is>
      </c>
      <c r="N1415" s="12" t="n">
        <v>1</v>
      </c>
      <c r="O1415" s="12" t="n">
        <v>1</v>
      </c>
      <c r="P1415" s="12" t="n">
        <v>480</v>
      </c>
      <c r="Q1415" s="12" t="n">
        <v>15</v>
      </c>
      <c r="R1415" s="12" t="n">
        <v>21.2</v>
      </c>
      <c r="S1415" s="12" t="inlineStr">
        <is>
          <t>Tray</t>
        </is>
      </c>
      <c r="T1415" s="16" t="n">
        <v>478</v>
      </c>
      <c r="U1415" s="16" t="n">
        <v>125</v>
      </c>
      <c r="V1415" s="16">
        <f>ROUNDUP((T1415+U1415+2*'Read Me'!$B$13)*(1+'Read Me'!$B$12),-1)</f>
        <v/>
      </c>
      <c r="W1415" s="16">
        <f>V1415*N1415*O1415</f>
        <v/>
      </c>
      <c r="X1415" s="12">
        <f>IF(LEFT(I1415,2)="MV",2*N1415*IF(L1415="1/C",O1415,1),0)</f>
        <v/>
      </c>
      <c r="Y1415" s="12">
        <f>IF(OR(LEFT(K1415,4)="LVAX",LEFT(K1415,6)="MV15AX",LEFT(K1415,4)="CTAX",LEFT(K1415,2)="W|"),2*N1415*O1415,0)</f>
        <v/>
      </c>
      <c r="Z1415" s="12" t="inlineStr">
        <is>
          <t>VD 2.5 %</t>
        </is>
      </c>
      <c r="AA1415" s="12">
        <f>N1415*O1415</f>
        <v/>
      </c>
    </row>
    <row r="1416">
      <c r="A1416" s="12" t="inlineStr">
        <is>
          <t>A-P-0049</t>
        </is>
      </c>
      <c r="B1416" s="12" t="inlineStr">
        <is>
          <t>A</t>
        </is>
      </c>
      <c r="C1416" s="12" t="inlineStr">
        <is>
          <t>Power block</t>
        </is>
      </c>
      <c r="D1416" s="12" t="inlineStr">
        <is>
          <t>LV power feeder</t>
        </is>
      </c>
      <c r="E1416" s="12" t="inlineStr">
        <is>
          <t>MCC-GT3</t>
        </is>
      </c>
      <c r="F1416" s="12" t="inlineStr">
        <is>
          <t>R1 MCC-GT3</t>
        </is>
      </c>
      <c r="G1416" s="12" t="inlineStr">
        <is>
          <t>GFM-3</t>
        </is>
      </c>
      <c r="H1416" s="12" t="inlineStr">
        <is>
          <t>GFM-3: GT3 gas fuel module (stop / control valves, final strainer)</t>
        </is>
      </c>
      <c r="I1416" s="12" t="inlineStr">
        <is>
          <t>LV 600 V</t>
        </is>
      </c>
      <c r="J1416" s="12" t="inlineStr">
        <is>
          <t>ARMOR-X MC-HL 600 V 3/C Cu XHHW-2 + ground, CWA, black PVC (Class I Div 2)</t>
        </is>
      </c>
      <c r="K1416" s="12" t="inlineStr">
        <is>
          <t>LVAX|3/C+G|4</t>
        </is>
      </c>
      <c r="L1416" s="12" t="inlineStr">
        <is>
          <t>3/C+G</t>
        </is>
      </c>
      <c r="M1416" s="12" t="inlineStr">
        <is>
          <t>4</t>
        </is>
      </c>
      <c r="N1416" s="12" t="n">
        <v>1</v>
      </c>
      <c r="O1416" s="12" t="n">
        <v>1</v>
      </c>
      <c r="P1416" s="12" t="n">
        <v>480</v>
      </c>
      <c r="Q1416" s="12" t="n">
        <v>15</v>
      </c>
      <c r="R1416" s="12" t="n">
        <v>21.2</v>
      </c>
      <c r="S1416" s="12" t="inlineStr">
        <is>
          <t>Tray</t>
        </is>
      </c>
      <c r="T1416" s="16" t="n">
        <v>646</v>
      </c>
      <c r="U1416" s="16" t="n">
        <v>133</v>
      </c>
      <c r="V1416" s="16">
        <f>ROUNDUP((T1416+U1416+2*'Read Me'!$B$13)*(1+'Read Me'!$B$12),-1)</f>
        <v/>
      </c>
      <c r="W1416" s="16">
        <f>V1416*N1416*O1416</f>
        <v/>
      </c>
      <c r="X1416" s="12">
        <f>IF(LEFT(I1416,2)="MV",2*N1416*IF(L1416="1/C",O1416,1),0)</f>
        <v/>
      </c>
      <c r="Y1416" s="12">
        <f>IF(OR(LEFT(K1416,4)="LVAX",LEFT(K1416,6)="MV15AX",LEFT(K1416,4)="CTAX",LEFT(K1416,2)="W|"),2*N1416*O1416,0)</f>
        <v/>
      </c>
      <c r="Z1416" s="12" t="inlineStr">
        <is>
          <t>VD 2.0 %</t>
        </is>
      </c>
      <c r="AA1416" s="12">
        <f>N1416*O1416</f>
        <v/>
      </c>
    </row>
    <row r="1417">
      <c r="A1417" s="12" t="inlineStr">
        <is>
          <t>A-P-0050</t>
        </is>
      </c>
      <c r="B1417" s="12" t="inlineStr">
        <is>
          <t>A</t>
        </is>
      </c>
      <c r="C1417" s="12" t="inlineStr">
        <is>
          <t>Power block</t>
        </is>
      </c>
      <c r="D1417" s="12" t="inlineStr">
        <is>
          <t>Motor 1 of 2, 30 kW</t>
        </is>
      </c>
      <c r="E1417" s="12" t="inlineStr">
        <is>
          <t>R3</t>
        </is>
      </c>
      <c r="F1417" s="12" t="inlineStr">
        <is>
          <t>R3: ST auxiliary electrical e-house (40 x 65 ft)</t>
        </is>
      </c>
      <c r="G1417" s="12" t="inlineStr">
        <is>
          <t>GSC-ST</t>
        </is>
      </c>
      <c r="H1417" s="12" t="inlineStr">
        <is>
          <t>GSC-ST: gland-steam condenser and exhausters</t>
        </is>
      </c>
      <c r="I1417" s="12" t="inlineStr">
        <is>
          <t>LV 600 V</t>
        </is>
      </c>
      <c r="J1417" s="12" t="inlineStr">
        <is>
          <t>Type TC-ER 600 V 3/C Cu XHHW-2 + ground, PVC jacket</t>
        </is>
      </c>
      <c r="K1417" s="12" t="inlineStr">
        <is>
          <t>LV|3/C+G|6</t>
        </is>
      </c>
      <c r="L1417" s="12" t="inlineStr">
        <is>
          <t>3/C+G</t>
        </is>
      </c>
      <c r="M1417" s="12" t="inlineStr">
        <is>
          <t>6</t>
        </is>
      </c>
      <c r="N1417" s="12" t="n">
        <v>1</v>
      </c>
      <c r="O1417" s="12" t="n">
        <v>1</v>
      </c>
      <c r="P1417" s="12" t="n">
        <v>480</v>
      </c>
      <c r="Q1417" s="12" t="n">
        <v>30</v>
      </c>
      <c r="R1417" s="12" t="n">
        <v>42.5</v>
      </c>
      <c r="S1417" s="12" t="inlineStr">
        <is>
          <t>Tray</t>
        </is>
      </c>
      <c r="T1417" s="16" t="n">
        <v>72</v>
      </c>
      <c r="U1417" s="16" t="n">
        <v>139</v>
      </c>
      <c r="V1417" s="16">
        <f>ROUNDUP((T1417+U1417+2*'Read Me'!$B$13)*(1+'Read Me'!$B$12),-1)</f>
        <v/>
      </c>
      <c r="W1417" s="16">
        <f>V1417*N1417*O1417</f>
        <v/>
      </c>
      <c r="X1417" s="12">
        <f>IF(LEFT(I1417,2)="MV",2*N1417*IF(L1417="1/C",O1417,1),0)</f>
        <v/>
      </c>
      <c r="Y1417" s="12">
        <f>IF(OR(LEFT(K1417,4)="LVAX",LEFT(K1417,6)="MV15AX",LEFT(K1417,4)="CTAX",LEFT(K1417,2)="W|"),2*N1417*O1417,0)</f>
        <v/>
      </c>
      <c r="Z1417" s="12" t="inlineStr">
        <is>
          <t>VD 1.7 %</t>
        </is>
      </c>
      <c r="AA1417" s="12">
        <f>N1417*O1417</f>
        <v/>
      </c>
    </row>
    <row r="1418">
      <c r="A1418" s="12" t="inlineStr">
        <is>
          <t>A-P-0051</t>
        </is>
      </c>
      <c r="B1418" s="12" t="inlineStr">
        <is>
          <t>A</t>
        </is>
      </c>
      <c r="C1418" s="12" t="inlineStr">
        <is>
          <t>Power block</t>
        </is>
      </c>
      <c r="D1418" s="12" t="inlineStr">
        <is>
          <t>Motor 2 of 2, 30 kW</t>
        </is>
      </c>
      <c r="E1418" s="12" t="inlineStr">
        <is>
          <t>R3</t>
        </is>
      </c>
      <c r="F1418" s="12" t="inlineStr">
        <is>
          <t>R3: ST auxiliary electrical e-house (40 x 65 ft)</t>
        </is>
      </c>
      <c r="G1418" s="12" t="inlineStr">
        <is>
          <t>GSC-ST</t>
        </is>
      </c>
      <c r="H1418" s="12" t="inlineStr">
        <is>
          <t>GSC-ST: gland-steam condenser and exhausters</t>
        </is>
      </c>
      <c r="I1418" s="12" t="inlineStr">
        <is>
          <t>LV 600 V</t>
        </is>
      </c>
      <c r="J1418" s="12" t="inlineStr">
        <is>
          <t>Type TC-ER 600 V 3/C Cu XHHW-2 + ground, PVC jacket</t>
        </is>
      </c>
      <c r="K1418" s="12" t="inlineStr">
        <is>
          <t>LV|3/C+G|6</t>
        </is>
      </c>
      <c r="L1418" s="12" t="inlineStr">
        <is>
          <t>3/C+G</t>
        </is>
      </c>
      <c r="M1418" s="12" t="inlineStr">
        <is>
          <t>6</t>
        </is>
      </c>
      <c r="N1418" s="12" t="n">
        <v>1</v>
      </c>
      <c r="O1418" s="12" t="n">
        <v>1</v>
      </c>
      <c r="P1418" s="12" t="n">
        <v>480</v>
      </c>
      <c r="Q1418" s="12" t="n">
        <v>30</v>
      </c>
      <c r="R1418" s="12" t="n">
        <v>42.5</v>
      </c>
      <c r="S1418" s="12" t="inlineStr">
        <is>
          <t>Tray</t>
        </is>
      </c>
      <c r="T1418" s="16" t="n">
        <v>72</v>
      </c>
      <c r="U1418" s="16" t="n">
        <v>139</v>
      </c>
      <c r="V1418" s="16">
        <f>ROUNDUP((T1418+U1418+2*'Read Me'!$B$13)*(1+'Read Me'!$B$12),-1)</f>
        <v/>
      </c>
      <c r="W1418" s="16">
        <f>V1418*N1418*O1418</f>
        <v/>
      </c>
      <c r="X1418" s="12">
        <f>IF(LEFT(I1418,2)="MV",2*N1418*IF(L1418="1/C",O1418,1),0)</f>
        <v/>
      </c>
      <c r="Y1418" s="12">
        <f>IF(OR(LEFT(K1418,4)="LVAX",LEFT(K1418,6)="MV15AX",LEFT(K1418,4)="CTAX",LEFT(K1418,2)="W|"),2*N1418*O1418,0)</f>
        <v/>
      </c>
      <c r="Z1418" s="12" t="inlineStr">
        <is>
          <t>VD 1.7 %</t>
        </is>
      </c>
      <c r="AA1418" s="12">
        <f>N1418*O1418</f>
        <v/>
      </c>
    </row>
    <row r="1419">
      <c r="A1419" s="12" t="inlineStr">
        <is>
          <t>A-P-0052</t>
        </is>
      </c>
      <c r="B1419" s="12" t="inlineStr">
        <is>
          <t>A</t>
        </is>
      </c>
      <c r="C1419" s="12" t="inlineStr">
        <is>
          <t>Power block</t>
        </is>
      </c>
      <c r="D1419" s="12" t="inlineStr">
        <is>
          <t>Motor 1 of 6, 2 kW</t>
        </is>
      </c>
      <c r="E1419" s="12" t="inlineStr">
        <is>
          <t>R2A</t>
        </is>
      </c>
      <c r="F1419" s="12" t="inlineStr">
        <is>
          <t>R2A: unit / HRSG electrical e-house (32 x 40 ft)</t>
        </is>
      </c>
      <c r="G1419" s="12" t="inlineStr"/>
      <c r="H1419" s="12" t="inlineStr">
        <is>
          <t>GSU-1 firewall</t>
        </is>
      </c>
      <c r="I1419" s="12" t="inlineStr">
        <is>
          <t>LV 600 V</t>
        </is>
      </c>
      <c r="J1419" s="12" t="inlineStr">
        <is>
          <t>Type TC-ER 600 V 3/C Cu XHHW-2 + ground, PVC jacket</t>
        </is>
      </c>
      <c r="K1419" s="12" t="inlineStr">
        <is>
          <t>LV|3/C+G|10</t>
        </is>
      </c>
      <c r="L1419" s="12" t="inlineStr">
        <is>
          <t>3/C+G</t>
        </is>
      </c>
      <c r="M1419" s="12" t="inlineStr">
        <is>
          <t>10</t>
        </is>
      </c>
      <c r="N1419" s="12" t="n">
        <v>1</v>
      </c>
      <c r="O1419" s="12" t="n">
        <v>1</v>
      </c>
      <c r="P1419" s="12" t="n">
        <v>480</v>
      </c>
      <c r="Q1419" s="12" t="n">
        <v>2</v>
      </c>
      <c r="R1419" s="12" t="n">
        <v>2.8</v>
      </c>
      <c r="S1419" s="12" t="inlineStr">
        <is>
          <t>Tray</t>
        </is>
      </c>
      <c r="T1419" s="16" t="n">
        <v>416</v>
      </c>
      <c r="U1419" s="16" t="n">
        <v>181</v>
      </c>
      <c r="V1419" s="16">
        <f>ROUNDUP((T1419+U1419+2*'Read Me'!$B$13)*(1+'Read Me'!$B$12),-1)</f>
        <v/>
      </c>
      <c r="W1419" s="16">
        <f>V1419*N1419*O1419</f>
        <v/>
      </c>
      <c r="X1419" s="12">
        <f>IF(LEFT(I1419,2)="MV",2*N1419*IF(L1419="1/C",O1419,1),0)</f>
        <v/>
      </c>
      <c r="Y1419" s="12">
        <f>IF(OR(LEFT(K1419,4)="LVAX",LEFT(K1419,6)="MV15AX",LEFT(K1419,4)="CTAX",LEFT(K1419,2)="W|"),2*N1419*O1419,0)</f>
        <v/>
      </c>
      <c r="Z1419" s="12" t="inlineStr">
        <is>
          <t>VD 0.8 %</t>
        </is>
      </c>
      <c r="AA1419" s="12">
        <f>N1419*O1419</f>
        <v/>
      </c>
    </row>
    <row r="1420">
      <c r="A1420" s="12" t="inlineStr">
        <is>
          <t>A-P-0053</t>
        </is>
      </c>
      <c r="B1420" s="12" t="inlineStr">
        <is>
          <t>A</t>
        </is>
      </c>
      <c r="C1420" s="12" t="inlineStr">
        <is>
          <t>Power block</t>
        </is>
      </c>
      <c r="D1420" s="12" t="inlineStr">
        <is>
          <t>Motor 2 of 6, 2 kW</t>
        </is>
      </c>
      <c r="E1420" s="12" t="inlineStr">
        <is>
          <t>R2A</t>
        </is>
      </c>
      <c r="F1420" s="12" t="inlineStr">
        <is>
          <t>R2A: unit / HRSG electrical e-house (32 x 40 ft)</t>
        </is>
      </c>
      <c r="G1420" s="12" t="inlineStr"/>
      <c r="H1420" s="12" t="inlineStr">
        <is>
          <t>GSU-1 firewall</t>
        </is>
      </c>
      <c r="I1420" s="12" t="inlineStr">
        <is>
          <t>LV 600 V</t>
        </is>
      </c>
      <c r="J1420" s="12" t="inlineStr">
        <is>
          <t>Type TC-ER 600 V 3/C Cu XHHW-2 + ground, PVC jacket</t>
        </is>
      </c>
      <c r="K1420" s="12" t="inlineStr">
        <is>
          <t>LV|3/C+G|10</t>
        </is>
      </c>
      <c r="L1420" s="12" t="inlineStr">
        <is>
          <t>3/C+G</t>
        </is>
      </c>
      <c r="M1420" s="12" t="inlineStr">
        <is>
          <t>10</t>
        </is>
      </c>
      <c r="N1420" s="12" t="n">
        <v>1</v>
      </c>
      <c r="O1420" s="12" t="n">
        <v>1</v>
      </c>
      <c r="P1420" s="12" t="n">
        <v>480</v>
      </c>
      <c r="Q1420" s="12" t="n">
        <v>2</v>
      </c>
      <c r="R1420" s="12" t="n">
        <v>2.8</v>
      </c>
      <c r="S1420" s="12" t="inlineStr">
        <is>
          <t>Tray</t>
        </is>
      </c>
      <c r="T1420" s="16" t="n">
        <v>416</v>
      </c>
      <c r="U1420" s="16" t="n">
        <v>181</v>
      </c>
      <c r="V1420" s="16">
        <f>ROUNDUP((T1420+U1420+2*'Read Me'!$B$13)*(1+'Read Me'!$B$12),-1)</f>
        <v/>
      </c>
      <c r="W1420" s="16">
        <f>V1420*N1420*O1420</f>
        <v/>
      </c>
      <c r="X1420" s="12">
        <f>IF(LEFT(I1420,2)="MV",2*N1420*IF(L1420="1/C",O1420,1),0)</f>
        <v/>
      </c>
      <c r="Y1420" s="12">
        <f>IF(OR(LEFT(K1420,4)="LVAX",LEFT(K1420,6)="MV15AX",LEFT(K1420,4)="CTAX",LEFT(K1420,2)="W|"),2*N1420*O1420,0)</f>
        <v/>
      </c>
      <c r="Z1420" s="12" t="inlineStr">
        <is>
          <t>VD 0.8 %</t>
        </is>
      </c>
      <c r="AA1420" s="12">
        <f>N1420*O1420</f>
        <v/>
      </c>
    </row>
    <row r="1421">
      <c r="A1421" s="12" t="inlineStr">
        <is>
          <t>A-P-0054</t>
        </is>
      </c>
      <c r="B1421" s="12" t="inlineStr">
        <is>
          <t>A</t>
        </is>
      </c>
      <c r="C1421" s="12" t="inlineStr">
        <is>
          <t>Power block</t>
        </is>
      </c>
      <c r="D1421" s="12" t="inlineStr">
        <is>
          <t>Motor 3 of 6, 2 kW</t>
        </is>
      </c>
      <c r="E1421" s="12" t="inlineStr">
        <is>
          <t>R2A</t>
        </is>
      </c>
      <c r="F1421" s="12" t="inlineStr">
        <is>
          <t>R2A: unit / HRSG electrical e-house (32 x 40 ft)</t>
        </is>
      </c>
      <c r="G1421" s="12" t="inlineStr"/>
      <c r="H1421" s="12" t="inlineStr">
        <is>
          <t>GSU-1 firewall</t>
        </is>
      </c>
      <c r="I1421" s="12" t="inlineStr">
        <is>
          <t>LV 600 V</t>
        </is>
      </c>
      <c r="J1421" s="12" t="inlineStr">
        <is>
          <t>Type TC-ER 600 V 3/C Cu XHHW-2 + ground, PVC jacket</t>
        </is>
      </c>
      <c r="K1421" s="12" t="inlineStr">
        <is>
          <t>LV|3/C+G|10</t>
        </is>
      </c>
      <c r="L1421" s="12" t="inlineStr">
        <is>
          <t>3/C+G</t>
        </is>
      </c>
      <c r="M1421" s="12" t="inlineStr">
        <is>
          <t>10</t>
        </is>
      </c>
      <c r="N1421" s="12" t="n">
        <v>1</v>
      </c>
      <c r="O1421" s="12" t="n">
        <v>1</v>
      </c>
      <c r="P1421" s="12" t="n">
        <v>480</v>
      </c>
      <c r="Q1421" s="12" t="n">
        <v>2</v>
      </c>
      <c r="R1421" s="12" t="n">
        <v>2.8</v>
      </c>
      <c r="S1421" s="12" t="inlineStr">
        <is>
          <t>Tray</t>
        </is>
      </c>
      <c r="T1421" s="16" t="n">
        <v>416</v>
      </c>
      <c r="U1421" s="16" t="n">
        <v>181</v>
      </c>
      <c r="V1421" s="16">
        <f>ROUNDUP((T1421+U1421+2*'Read Me'!$B$13)*(1+'Read Me'!$B$12),-1)</f>
        <v/>
      </c>
      <c r="W1421" s="16">
        <f>V1421*N1421*O1421</f>
        <v/>
      </c>
      <c r="X1421" s="12">
        <f>IF(LEFT(I1421,2)="MV",2*N1421*IF(L1421="1/C",O1421,1),0)</f>
        <v/>
      </c>
      <c r="Y1421" s="12">
        <f>IF(OR(LEFT(K1421,4)="LVAX",LEFT(K1421,6)="MV15AX",LEFT(K1421,4)="CTAX",LEFT(K1421,2)="W|"),2*N1421*O1421,0)</f>
        <v/>
      </c>
      <c r="Z1421" s="12" t="inlineStr">
        <is>
          <t>VD 0.8 %</t>
        </is>
      </c>
      <c r="AA1421" s="12">
        <f>N1421*O1421</f>
        <v/>
      </c>
    </row>
    <row r="1422">
      <c r="A1422" s="12" t="inlineStr">
        <is>
          <t>A-P-0055</t>
        </is>
      </c>
      <c r="B1422" s="12" t="inlineStr">
        <is>
          <t>A</t>
        </is>
      </c>
      <c r="C1422" s="12" t="inlineStr">
        <is>
          <t>Power block</t>
        </is>
      </c>
      <c r="D1422" s="12" t="inlineStr">
        <is>
          <t>Motor 4 of 6, 2 kW</t>
        </is>
      </c>
      <c r="E1422" s="12" t="inlineStr">
        <is>
          <t>R2A</t>
        </is>
      </c>
      <c r="F1422" s="12" t="inlineStr">
        <is>
          <t>R2A: unit / HRSG electrical e-house (32 x 40 ft)</t>
        </is>
      </c>
      <c r="G1422" s="12" t="inlineStr"/>
      <c r="H1422" s="12" t="inlineStr">
        <is>
          <t>GSU-1 firewall</t>
        </is>
      </c>
      <c r="I1422" s="12" t="inlineStr">
        <is>
          <t>LV 600 V</t>
        </is>
      </c>
      <c r="J1422" s="12" t="inlineStr">
        <is>
          <t>Type TC-ER 600 V 3/C Cu XHHW-2 + ground, PVC jacket</t>
        </is>
      </c>
      <c r="K1422" s="12" t="inlineStr">
        <is>
          <t>LV|3/C+G|10</t>
        </is>
      </c>
      <c r="L1422" s="12" t="inlineStr">
        <is>
          <t>3/C+G</t>
        </is>
      </c>
      <c r="M1422" s="12" t="inlineStr">
        <is>
          <t>10</t>
        </is>
      </c>
      <c r="N1422" s="12" t="n">
        <v>1</v>
      </c>
      <c r="O1422" s="12" t="n">
        <v>1</v>
      </c>
      <c r="P1422" s="12" t="n">
        <v>480</v>
      </c>
      <c r="Q1422" s="12" t="n">
        <v>2</v>
      </c>
      <c r="R1422" s="12" t="n">
        <v>2.8</v>
      </c>
      <c r="S1422" s="12" t="inlineStr">
        <is>
          <t>Tray</t>
        </is>
      </c>
      <c r="T1422" s="16" t="n">
        <v>416</v>
      </c>
      <c r="U1422" s="16" t="n">
        <v>181</v>
      </c>
      <c r="V1422" s="16">
        <f>ROUNDUP((T1422+U1422+2*'Read Me'!$B$13)*(1+'Read Me'!$B$12),-1)</f>
        <v/>
      </c>
      <c r="W1422" s="16">
        <f>V1422*N1422*O1422</f>
        <v/>
      </c>
      <c r="X1422" s="12">
        <f>IF(LEFT(I1422,2)="MV",2*N1422*IF(L1422="1/C",O1422,1),0)</f>
        <v/>
      </c>
      <c r="Y1422" s="12">
        <f>IF(OR(LEFT(K1422,4)="LVAX",LEFT(K1422,6)="MV15AX",LEFT(K1422,4)="CTAX",LEFT(K1422,2)="W|"),2*N1422*O1422,0)</f>
        <v/>
      </c>
      <c r="Z1422" s="12" t="inlineStr">
        <is>
          <t>VD 0.8 %</t>
        </is>
      </c>
      <c r="AA1422" s="12">
        <f>N1422*O1422</f>
        <v/>
      </c>
    </row>
    <row r="1423">
      <c r="A1423" s="12" t="inlineStr">
        <is>
          <t>A-P-0056</t>
        </is>
      </c>
      <c r="B1423" s="12" t="inlineStr">
        <is>
          <t>A</t>
        </is>
      </c>
      <c r="C1423" s="12" t="inlineStr">
        <is>
          <t>Power block</t>
        </is>
      </c>
      <c r="D1423" s="12" t="inlineStr">
        <is>
          <t>Motor 5 of 6, 2 kW</t>
        </is>
      </c>
      <c r="E1423" s="12" t="inlineStr">
        <is>
          <t>R2A</t>
        </is>
      </c>
      <c r="F1423" s="12" t="inlineStr">
        <is>
          <t>R2A: unit / HRSG electrical e-house (32 x 40 ft)</t>
        </is>
      </c>
      <c r="G1423" s="12" t="inlineStr"/>
      <c r="H1423" s="12" t="inlineStr">
        <is>
          <t>GSU-1 firewall</t>
        </is>
      </c>
      <c r="I1423" s="12" t="inlineStr">
        <is>
          <t>LV 600 V</t>
        </is>
      </c>
      <c r="J1423" s="12" t="inlineStr">
        <is>
          <t>Type TC-ER 600 V 3/C Cu XHHW-2 + ground, PVC jacket</t>
        </is>
      </c>
      <c r="K1423" s="12" t="inlineStr">
        <is>
          <t>LV|3/C+G|10</t>
        </is>
      </c>
      <c r="L1423" s="12" t="inlineStr">
        <is>
          <t>3/C+G</t>
        </is>
      </c>
      <c r="M1423" s="12" t="inlineStr">
        <is>
          <t>10</t>
        </is>
      </c>
      <c r="N1423" s="12" t="n">
        <v>1</v>
      </c>
      <c r="O1423" s="12" t="n">
        <v>1</v>
      </c>
      <c r="P1423" s="12" t="n">
        <v>480</v>
      </c>
      <c r="Q1423" s="12" t="n">
        <v>2</v>
      </c>
      <c r="R1423" s="12" t="n">
        <v>2.8</v>
      </c>
      <c r="S1423" s="12" t="inlineStr">
        <is>
          <t>Tray</t>
        </is>
      </c>
      <c r="T1423" s="16" t="n">
        <v>416</v>
      </c>
      <c r="U1423" s="16" t="n">
        <v>181</v>
      </c>
      <c r="V1423" s="16">
        <f>ROUNDUP((T1423+U1423+2*'Read Me'!$B$13)*(1+'Read Me'!$B$12),-1)</f>
        <v/>
      </c>
      <c r="W1423" s="16">
        <f>V1423*N1423*O1423</f>
        <v/>
      </c>
      <c r="X1423" s="12">
        <f>IF(LEFT(I1423,2)="MV",2*N1423*IF(L1423="1/C",O1423,1),0)</f>
        <v/>
      </c>
      <c r="Y1423" s="12">
        <f>IF(OR(LEFT(K1423,4)="LVAX",LEFT(K1423,6)="MV15AX",LEFT(K1423,4)="CTAX",LEFT(K1423,2)="W|"),2*N1423*O1423,0)</f>
        <v/>
      </c>
      <c r="Z1423" s="12" t="inlineStr">
        <is>
          <t>VD 0.8 %</t>
        </is>
      </c>
      <c r="AA1423" s="12">
        <f>N1423*O1423</f>
        <v/>
      </c>
    </row>
    <row r="1424">
      <c r="A1424" s="12" t="inlineStr">
        <is>
          <t>A-P-0057</t>
        </is>
      </c>
      <c r="B1424" s="12" t="inlineStr">
        <is>
          <t>A</t>
        </is>
      </c>
      <c r="C1424" s="12" t="inlineStr">
        <is>
          <t>Power block</t>
        </is>
      </c>
      <c r="D1424" s="12" t="inlineStr">
        <is>
          <t>Motor 6 of 6, 2 kW</t>
        </is>
      </c>
      <c r="E1424" s="12" t="inlineStr">
        <is>
          <t>R2A</t>
        </is>
      </c>
      <c r="F1424" s="12" t="inlineStr">
        <is>
          <t>R2A: unit / HRSG electrical e-house (32 x 40 ft)</t>
        </is>
      </c>
      <c r="G1424" s="12" t="inlineStr"/>
      <c r="H1424" s="12" t="inlineStr">
        <is>
          <t>GSU-1 firewall</t>
        </is>
      </c>
      <c r="I1424" s="12" t="inlineStr">
        <is>
          <t>LV 600 V</t>
        </is>
      </c>
      <c r="J1424" s="12" t="inlineStr">
        <is>
          <t>Type TC-ER 600 V 3/C Cu XHHW-2 + ground, PVC jacket</t>
        </is>
      </c>
      <c r="K1424" s="12" t="inlineStr">
        <is>
          <t>LV|3/C+G|10</t>
        </is>
      </c>
      <c r="L1424" s="12" t="inlineStr">
        <is>
          <t>3/C+G</t>
        </is>
      </c>
      <c r="M1424" s="12" t="inlineStr">
        <is>
          <t>10</t>
        </is>
      </c>
      <c r="N1424" s="12" t="n">
        <v>1</v>
      </c>
      <c r="O1424" s="12" t="n">
        <v>1</v>
      </c>
      <c r="P1424" s="12" t="n">
        <v>480</v>
      </c>
      <c r="Q1424" s="12" t="n">
        <v>2</v>
      </c>
      <c r="R1424" s="12" t="n">
        <v>2.8</v>
      </c>
      <c r="S1424" s="12" t="inlineStr">
        <is>
          <t>Tray</t>
        </is>
      </c>
      <c r="T1424" s="16" t="n">
        <v>416</v>
      </c>
      <c r="U1424" s="16" t="n">
        <v>181</v>
      </c>
      <c r="V1424" s="16">
        <f>ROUNDUP((T1424+U1424+2*'Read Me'!$B$13)*(1+'Read Me'!$B$12),-1)</f>
        <v/>
      </c>
      <c r="W1424" s="16">
        <f>V1424*N1424*O1424</f>
        <v/>
      </c>
      <c r="X1424" s="12">
        <f>IF(LEFT(I1424,2)="MV",2*N1424*IF(L1424="1/C",O1424,1),0)</f>
        <v/>
      </c>
      <c r="Y1424" s="12">
        <f>IF(OR(LEFT(K1424,4)="LVAX",LEFT(K1424,6)="MV15AX",LEFT(K1424,4)="CTAX",LEFT(K1424,2)="W|"),2*N1424*O1424,0)</f>
        <v/>
      </c>
      <c r="Z1424" s="12" t="inlineStr">
        <is>
          <t>VD 0.8 %</t>
        </is>
      </c>
      <c r="AA1424" s="12">
        <f>N1424*O1424</f>
        <v/>
      </c>
    </row>
    <row r="1425">
      <c r="A1425" s="12" t="inlineStr">
        <is>
          <t>A-P-0058</t>
        </is>
      </c>
      <c r="B1425" s="12" t="inlineStr">
        <is>
          <t>A</t>
        </is>
      </c>
      <c r="C1425" s="12" t="inlineStr">
        <is>
          <t>Power block</t>
        </is>
      </c>
      <c r="D1425" s="12" t="inlineStr">
        <is>
          <t>Motor 1 of 6, 2 kW</t>
        </is>
      </c>
      <c r="E1425" s="12" t="inlineStr">
        <is>
          <t>R2A</t>
        </is>
      </c>
      <c r="F1425" s="12" t="inlineStr">
        <is>
          <t>R2A: unit / HRSG electrical e-house (32 x 40 ft)</t>
        </is>
      </c>
      <c r="G1425" s="12" t="inlineStr">
        <is>
          <t>GSU-1</t>
        </is>
      </c>
      <c r="H1425" s="12" t="inlineStr">
        <is>
          <t>GSU-1: 21/230 kV generator step-up transformer</t>
        </is>
      </c>
      <c r="I1425" s="12" t="inlineStr">
        <is>
          <t>LV 600 V</t>
        </is>
      </c>
      <c r="J1425" s="12" t="inlineStr">
        <is>
          <t>Type TC-ER 600 V 3/C Cu XHHW-2 + ground, PVC jacket</t>
        </is>
      </c>
      <c r="K1425" s="12" t="inlineStr">
        <is>
          <t>LV|3/C+G|10</t>
        </is>
      </c>
      <c r="L1425" s="12" t="inlineStr">
        <is>
          <t>3/C+G</t>
        </is>
      </c>
      <c r="M1425" s="12" t="inlineStr">
        <is>
          <t>10</t>
        </is>
      </c>
      <c r="N1425" s="12" t="n">
        <v>1</v>
      </c>
      <c r="O1425" s="12" t="n">
        <v>1</v>
      </c>
      <c r="P1425" s="12" t="n">
        <v>480</v>
      </c>
      <c r="Q1425" s="12" t="n">
        <v>2</v>
      </c>
      <c r="R1425" s="12" t="n">
        <v>2.8</v>
      </c>
      <c r="S1425" s="12" t="inlineStr">
        <is>
          <t>Tray</t>
        </is>
      </c>
      <c r="T1425" s="16" t="n">
        <v>419</v>
      </c>
      <c r="U1425" s="16" t="n">
        <v>179</v>
      </c>
      <c r="V1425" s="16">
        <f>ROUNDUP((T1425+U1425+2*'Read Me'!$B$13)*(1+'Read Me'!$B$12),-1)</f>
        <v/>
      </c>
      <c r="W1425" s="16">
        <f>V1425*N1425*O1425</f>
        <v/>
      </c>
      <c r="X1425" s="12">
        <f>IF(LEFT(I1425,2)="MV",2*N1425*IF(L1425="1/C",O1425,1),0)</f>
        <v/>
      </c>
      <c r="Y1425" s="12">
        <f>IF(OR(LEFT(K1425,4)="LVAX",LEFT(K1425,6)="MV15AX",LEFT(K1425,4)="CTAX",LEFT(K1425,2)="W|"),2*N1425*O1425,0)</f>
        <v/>
      </c>
      <c r="Z1425" s="12" t="inlineStr">
        <is>
          <t>VD 0.8 %</t>
        </is>
      </c>
      <c r="AA1425" s="12">
        <f>N1425*O1425</f>
        <v/>
      </c>
    </row>
    <row r="1426">
      <c r="A1426" s="12" t="inlineStr">
        <is>
          <t>A-P-0059</t>
        </is>
      </c>
      <c r="B1426" s="12" t="inlineStr">
        <is>
          <t>A</t>
        </is>
      </c>
      <c r="C1426" s="12" t="inlineStr">
        <is>
          <t>Power block</t>
        </is>
      </c>
      <c r="D1426" s="12" t="inlineStr">
        <is>
          <t>Motor 2 of 6, 2 kW</t>
        </is>
      </c>
      <c r="E1426" s="12" t="inlineStr">
        <is>
          <t>R2A</t>
        </is>
      </c>
      <c r="F1426" s="12" t="inlineStr">
        <is>
          <t>R2A: unit / HRSG electrical e-house (32 x 40 ft)</t>
        </is>
      </c>
      <c r="G1426" s="12" t="inlineStr">
        <is>
          <t>GSU-1</t>
        </is>
      </c>
      <c r="H1426" s="12" t="inlineStr">
        <is>
          <t>GSU-1: 21/230 kV generator step-up transformer</t>
        </is>
      </c>
      <c r="I1426" s="12" t="inlineStr">
        <is>
          <t>LV 600 V</t>
        </is>
      </c>
      <c r="J1426" s="12" t="inlineStr">
        <is>
          <t>Type TC-ER 600 V 3/C Cu XHHW-2 + ground, PVC jacket</t>
        </is>
      </c>
      <c r="K1426" s="12" t="inlineStr">
        <is>
          <t>LV|3/C+G|10</t>
        </is>
      </c>
      <c r="L1426" s="12" t="inlineStr">
        <is>
          <t>3/C+G</t>
        </is>
      </c>
      <c r="M1426" s="12" t="inlineStr">
        <is>
          <t>10</t>
        </is>
      </c>
      <c r="N1426" s="12" t="n">
        <v>1</v>
      </c>
      <c r="O1426" s="12" t="n">
        <v>1</v>
      </c>
      <c r="P1426" s="12" t="n">
        <v>480</v>
      </c>
      <c r="Q1426" s="12" t="n">
        <v>2</v>
      </c>
      <c r="R1426" s="12" t="n">
        <v>2.8</v>
      </c>
      <c r="S1426" s="12" t="inlineStr">
        <is>
          <t>Tray</t>
        </is>
      </c>
      <c r="T1426" s="16" t="n">
        <v>419</v>
      </c>
      <c r="U1426" s="16" t="n">
        <v>179</v>
      </c>
      <c r="V1426" s="16">
        <f>ROUNDUP((T1426+U1426+2*'Read Me'!$B$13)*(1+'Read Me'!$B$12),-1)</f>
        <v/>
      </c>
      <c r="W1426" s="16">
        <f>V1426*N1426*O1426</f>
        <v/>
      </c>
      <c r="X1426" s="12">
        <f>IF(LEFT(I1426,2)="MV",2*N1426*IF(L1426="1/C",O1426,1),0)</f>
        <v/>
      </c>
      <c r="Y1426" s="12">
        <f>IF(OR(LEFT(K1426,4)="LVAX",LEFT(K1426,6)="MV15AX",LEFT(K1426,4)="CTAX",LEFT(K1426,2)="W|"),2*N1426*O1426,0)</f>
        <v/>
      </c>
      <c r="Z1426" s="12" t="inlineStr">
        <is>
          <t>VD 0.8 %</t>
        </is>
      </c>
      <c r="AA1426" s="12">
        <f>N1426*O1426</f>
        <v/>
      </c>
    </row>
    <row r="1427">
      <c r="A1427" s="12" t="inlineStr">
        <is>
          <t>A-P-0060</t>
        </is>
      </c>
      <c r="B1427" s="12" t="inlineStr">
        <is>
          <t>A</t>
        </is>
      </c>
      <c r="C1427" s="12" t="inlineStr">
        <is>
          <t>Power block</t>
        </is>
      </c>
      <c r="D1427" s="12" t="inlineStr">
        <is>
          <t>Motor 3 of 6, 2 kW</t>
        </is>
      </c>
      <c r="E1427" s="12" t="inlineStr">
        <is>
          <t>R2A</t>
        </is>
      </c>
      <c r="F1427" s="12" t="inlineStr">
        <is>
          <t>R2A: unit / HRSG electrical e-house (32 x 40 ft)</t>
        </is>
      </c>
      <c r="G1427" s="12" t="inlineStr">
        <is>
          <t>GSU-1</t>
        </is>
      </c>
      <c r="H1427" s="12" t="inlineStr">
        <is>
          <t>GSU-1: 21/230 kV generator step-up transformer</t>
        </is>
      </c>
      <c r="I1427" s="12" t="inlineStr">
        <is>
          <t>LV 600 V</t>
        </is>
      </c>
      <c r="J1427" s="12" t="inlineStr">
        <is>
          <t>Type TC-ER 600 V 3/C Cu XHHW-2 + ground, PVC jacket</t>
        </is>
      </c>
      <c r="K1427" s="12" t="inlineStr">
        <is>
          <t>LV|3/C+G|10</t>
        </is>
      </c>
      <c r="L1427" s="12" t="inlineStr">
        <is>
          <t>3/C+G</t>
        </is>
      </c>
      <c r="M1427" s="12" t="inlineStr">
        <is>
          <t>10</t>
        </is>
      </c>
      <c r="N1427" s="12" t="n">
        <v>1</v>
      </c>
      <c r="O1427" s="12" t="n">
        <v>1</v>
      </c>
      <c r="P1427" s="12" t="n">
        <v>480</v>
      </c>
      <c r="Q1427" s="12" t="n">
        <v>2</v>
      </c>
      <c r="R1427" s="12" t="n">
        <v>2.8</v>
      </c>
      <c r="S1427" s="12" t="inlineStr">
        <is>
          <t>Tray</t>
        </is>
      </c>
      <c r="T1427" s="16" t="n">
        <v>419</v>
      </c>
      <c r="U1427" s="16" t="n">
        <v>179</v>
      </c>
      <c r="V1427" s="16">
        <f>ROUNDUP((T1427+U1427+2*'Read Me'!$B$13)*(1+'Read Me'!$B$12),-1)</f>
        <v/>
      </c>
      <c r="W1427" s="16">
        <f>V1427*N1427*O1427</f>
        <v/>
      </c>
      <c r="X1427" s="12">
        <f>IF(LEFT(I1427,2)="MV",2*N1427*IF(L1427="1/C",O1427,1),0)</f>
        <v/>
      </c>
      <c r="Y1427" s="12">
        <f>IF(OR(LEFT(K1427,4)="LVAX",LEFT(K1427,6)="MV15AX",LEFT(K1427,4)="CTAX",LEFT(K1427,2)="W|"),2*N1427*O1427,0)</f>
        <v/>
      </c>
      <c r="Z1427" s="12" t="inlineStr">
        <is>
          <t>VD 0.8 %</t>
        </is>
      </c>
      <c r="AA1427" s="12">
        <f>N1427*O1427</f>
        <v/>
      </c>
    </row>
    <row r="1428">
      <c r="A1428" s="12" t="inlineStr">
        <is>
          <t>A-P-0061</t>
        </is>
      </c>
      <c r="B1428" s="12" t="inlineStr">
        <is>
          <t>A</t>
        </is>
      </c>
      <c r="C1428" s="12" t="inlineStr">
        <is>
          <t>Power block</t>
        </is>
      </c>
      <c r="D1428" s="12" t="inlineStr">
        <is>
          <t>Motor 4 of 6, 2 kW</t>
        </is>
      </c>
      <c r="E1428" s="12" t="inlineStr">
        <is>
          <t>R2A</t>
        </is>
      </c>
      <c r="F1428" s="12" t="inlineStr">
        <is>
          <t>R2A: unit / HRSG electrical e-house (32 x 40 ft)</t>
        </is>
      </c>
      <c r="G1428" s="12" t="inlineStr">
        <is>
          <t>GSU-1</t>
        </is>
      </c>
      <c r="H1428" s="12" t="inlineStr">
        <is>
          <t>GSU-1: 21/230 kV generator step-up transformer</t>
        </is>
      </c>
      <c r="I1428" s="12" t="inlineStr">
        <is>
          <t>LV 600 V</t>
        </is>
      </c>
      <c r="J1428" s="12" t="inlineStr">
        <is>
          <t>Type TC-ER 600 V 3/C Cu XHHW-2 + ground, PVC jacket</t>
        </is>
      </c>
      <c r="K1428" s="12" t="inlineStr">
        <is>
          <t>LV|3/C+G|10</t>
        </is>
      </c>
      <c r="L1428" s="12" t="inlineStr">
        <is>
          <t>3/C+G</t>
        </is>
      </c>
      <c r="M1428" s="12" t="inlineStr">
        <is>
          <t>10</t>
        </is>
      </c>
      <c r="N1428" s="12" t="n">
        <v>1</v>
      </c>
      <c r="O1428" s="12" t="n">
        <v>1</v>
      </c>
      <c r="P1428" s="12" t="n">
        <v>480</v>
      </c>
      <c r="Q1428" s="12" t="n">
        <v>2</v>
      </c>
      <c r="R1428" s="12" t="n">
        <v>2.8</v>
      </c>
      <c r="S1428" s="12" t="inlineStr">
        <is>
          <t>Tray</t>
        </is>
      </c>
      <c r="T1428" s="16" t="n">
        <v>419</v>
      </c>
      <c r="U1428" s="16" t="n">
        <v>179</v>
      </c>
      <c r="V1428" s="16">
        <f>ROUNDUP((T1428+U1428+2*'Read Me'!$B$13)*(1+'Read Me'!$B$12),-1)</f>
        <v/>
      </c>
      <c r="W1428" s="16">
        <f>V1428*N1428*O1428</f>
        <v/>
      </c>
      <c r="X1428" s="12">
        <f>IF(LEFT(I1428,2)="MV",2*N1428*IF(L1428="1/C",O1428,1),0)</f>
        <v/>
      </c>
      <c r="Y1428" s="12">
        <f>IF(OR(LEFT(K1428,4)="LVAX",LEFT(K1428,6)="MV15AX",LEFT(K1428,4)="CTAX",LEFT(K1428,2)="W|"),2*N1428*O1428,0)</f>
        <v/>
      </c>
      <c r="Z1428" s="12" t="inlineStr">
        <is>
          <t>VD 0.8 %</t>
        </is>
      </c>
      <c r="AA1428" s="12">
        <f>N1428*O1428</f>
        <v/>
      </c>
    </row>
    <row r="1429">
      <c r="A1429" s="12" t="inlineStr">
        <is>
          <t>A-P-0062</t>
        </is>
      </c>
      <c r="B1429" s="12" t="inlineStr">
        <is>
          <t>A</t>
        </is>
      </c>
      <c r="C1429" s="12" t="inlineStr">
        <is>
          <t>Power block</t>
        </is>
      </c>
      <c r="D1429" s="12" t="inlineStr">
        <is>
          <t>Motor 5 of 6, 2 kW</t>
        </is>
      </c>
      <c r="E1429" s="12" t="inlineStr">
        <is>
          <t>R2A</t>
        </is>
      </c>
      <c r="F1429" s="12" t="inlineStr">
        <is>
          <t>R2A: unit / HRSG electrical e-house (32 x 40 ft)</t>
        </is>
      </c>
      <c r="G1429" s="12" t="inlineStr">
        <is>
          <t>GSU-1</t>
        </is>
      </c>
      <c r="H1429" s="12" t="inlineStr">
        <is>
          <t>GSU-1: 21/230 kV generator step-up transformer</t>
        </is>
      </c>
      <c r="I1429" s="12" t="inlineStr">
        <is>
          <t>LV 600 V</t>
        </is>
      </c>
      <c r="J1429" s="12" t="inlineStr">
        <is>
          <t>Type TC-ER 600 V 3/C Cu XHHW-2 + ground, PVC jacket</t>
        </is>
      </c>
      <c r="K1429" s="12" t="inlineStr">
        <is>
          <t>LV|3/C+G|10</t>
        </is>
      </c>
      <c r="L1429" s="12" t="inlineStr">
        <is>
          <t>3/C+G</t>
        </is>
      </c>
      <c r="M1429" s="12" t="inlineStr">
        <is>
          <t>10</t>
        </is>
      </c>
      <c r="N1429" s="12" t="n">
        <v>1</v>
      </c>
      <c r="O1429" s="12" t="n">
        <v>1</v>
      </c>
      <c r="P1429" s="12" t="n">
        <v>480</v>
      </c>
      <c r="Q1429" s="12" t="n">
        <v>2</v>
      </c>
      <c r="R1429" s="12" t="n">
        <v>2.8</v>
      </c>
      <c r="S1429" s="12" t="inlineStr">
        <is>
          <t>Tray</t>
        </is>
      </c>
      <c r="T1429" s="16" t="n">
        <v>419</v>
      </c>
      <c r="U1429" s="16" t="n">
        <v>179</v>
      </c>
      <c r="V1429" s="16">
        <f>ROUNDUP((T1429+U1429+2*'Read Me'!$B$13)*(1+'Read Me'!$B$12),-1)</f>
        <v/>
      </c>
      <c r="W1429" s="16">
        <f>V1429*N1429*O1429</f>
        <v/>
      </c>
      <c r="X1429" s="12">
        <f>IF(LEFT(I1429,2)="MV",2*N1429*IF(L1429="1/C",O1429,1),0)</f>
        <v/>
      </c>
      <c r="Y1429" s="12">
        <f>IF(OR(LEFT(K1429,4)="LVAX",LEFT(K1429,6)="MV15AX",LEFT(K1429,4)="CTAX",LEFT(K1429,2)="W|"),2*N1429*O1429,0)</f>
        <v/>
      </c>
      <c r="Z1429" s="12" t="inlineStr">
        <is>
          <t>VD 0.8 %</t>
        </is>
      </c>
      <c r="AA1429" s="12">
        <f>N1429*O1429</f>
        <v/>
      </c>
    </row>
    <row r="1430">
      <c r="A1430" s="12" t="inlineStr">
        <is>
          <t>A-P-0063</t>
        </is>
      </c>
      <c r="B1430" s="12" t="inlineStr">
        <is>
          <t>A</t>
        </is>
      </c>
      <c r="C1430" s="12" t="inlineStr">
        <is>
          <t>Power block</t>
        </is>
      </c>
      <c r="D1430" s="12" t="inlineStr">
        <is>
          <t>Motor 6 of 6, 2 kW</t>
        </is>
      </c>
      <c r="E1430" s="12" t="inlineStr">
        <is>
          <t>R2A</t>
        </is>
      </c>
      <c r="F1430" s="12" t="inlineStr">
        <is>
          <t>R2A: unit / HRSG electrical e-house (32 x 40 ft)</t>
        </is>
      </c>
      <c r="G1430" s="12" t="inlineStr">
        <is>
          <t>GSU-1</t>
        </is>
      </c>
      <c r="H1430" s="12" t="inlineStr">
        <is>
          <t>GSU-1: 21/230 kV generator step-up transformer</t>
        </is>
      </c>
      <c r="I1430" s="12" t="inlineStr">
        <is>
          <t>LV 600 V</t>
        </is>
      </c>
      <c r="J1430" s="12" t="inlineStr">
        <is>
          <t>Type TC-ER 600 V 3/C Cu XHHW-2 + ground, PVC jacket</t>
        </is>
      </c>
      <c r="K1430" s="12" t="inlineStr">
        <is>
          <t>LV|3/C+G|10</t>
        </is>
      </c>
      <c r="L1430" s="12" t="inlineStr">
        <is>
          <t>3/C+G</t>
        </is>
      </c>
      <c r="M1430" s="12" t="inlineStr">
        <is>
          <t>10</t>
        </is>
      </c>
      <c r="N1430" s="12" t="n">
        <v>1</v>
      </c>
      <c r="O1430" s="12" t="n">
        <v>1</v>
      </c>
      <c r="P1430" s="12" t="n">
        <v>480</v>
      </c>
      <c r="Q1430" s="12" t="n">
        <v>2</v>
      </c>
      <c r="R1430" s="12" t="n">
        <v>2.8</v>
      </c>
      <c r="S1430" s="12" t="inlineStr">
        <is>
          <t>Tray</t>
        </is>
      </c>
      <c r="T1430" s="16" t="n">
        <v>419</v>
      </c>
      <c r="U1430" s="16" t="n">
        <v>179</v>
      </c>
      <c r="V1430" s="16">
        <f>ROUNDUP((T1430+U1430+2*'Read Me'!$B$13)*(1+'Read Me'!$B$12),-1)</f>
        <v/>
      </c>
      <c r="W1430" s="16">
        <f>V1430*N1430*O1430</f>
        <v/>
      </c>
      <c r="X1430" s="12">
        <f>IF(LEFT(I1430,2)="MV",2*N1430*IF(L1430="1/C",O1430,1),0)</f>
        <v/>
      </c>
      <c r="Y1430" s="12">
        <f>IF(OR(LEFT(K1430,4)="LVAX",LEFT(K1430,6)="MV15AX",LEFT(K1430,4)="CTAX",LEFT(K1430,2)="W|"),2*N1430*O1430,0)</f>
        <v/>
      </c>
      <c r="Z1430" s="12" t="inlineStr">
        <is>
          <t>VD 0.8 %</t>
        </is>
      </c>
      <c r="AA1430" s="12">
        <f>N1430*O1430</f>
        <v/>
      </c>
    </row>
    <row r="1431">
      <c r="A1431" s="12" t="inlineStr">
        <is>
          <t>A-P-0064</t>
        </is>
      </c>
      <c r="B1431" s="12" t="inlineStr">
        <is>
          <t>A</t>
        </is>
      </c>
      <c r="C1431" s="12" t="inlineStr">
        <is>
          <t>Power block</t>
        </is>
      </c>
      <c r="D1431" s="12" t="inlineStr">
        <is>
          <t>Motor 1 of 6, 2 kW</t>
        </is>
      </c>
      <c r="E1431" s="12" t="inlineStr">
        <is>
          <t>R2B</t>
        </is>
      </c>
      <c r="F1431" s="12" t="inlineStr">
        <is>
          <t>R2B: unit / HRSG electrical e-house (32 x 40 ft)</t>
        </is>
      </c>
      <c r="G1431" s="12" t="inlineStr"/>
      <c r="H1431" s="12" t="inlineStr">
        <is>
          <t>GSU-2 firewall</t>
        </is>
      </c>
      <c r="I1431" s="12" t="inlineStr">
        <is>
          <t>LV 600 V</t>
        </is>
      </c>
      <c r="J1431" s="12" t="inlineStr">
        <is>
          <t>Type TC-ER 600 V 3/C Cu XHHW-2 + ground, PVC jacket</t>
        </is>
      </c>
      <c r="K1431" s="12" t="inlineStr">
        <is>
          <t>LV|3/C+G|10</t>
        </is>
      </c>
      <c r="L1431" s="12" t="inlineStr">
        <is>
          <t>3/C+G</t>
        </is>
      </c>
      <c r="M1431" s="12" t="inlineStr">
        <is>
          <t>10</t>
        </is>
      </c>
      <c r="N1431" s="12" t="n">
        <v>1</v>
      </c>
      <c r="O1431" s="12" t="n">
        <v>1</v>
      </c>
      <c r="P1431" s="12" t="n">
        <v>480</v>
      </c>
      <c r="Q1431" s="12" t="n">
        <v>2</v>
      </c>
      <c r="R1431" s="12" t="n">
        <v>2.8</v>
      </c>
      <c r="S1431" s="12" t="inlineStr">
        <is>
          <t>Tray</t>
        </is>
      </c>
      <c r="T1431" s="16" t="n">
        <v>1290</v>
      </c>
      <c r="U1431" s="16" t="n">
        <v>271</v>
      </c>
      <c r="V1431" s="16">
        <f>ROUNDUP((T1431+U1431+2*'Read Me'!$B$13)*(1+'Read Me'!$B$12),-1)</f>
        <v/>
      </c>
      <c r="W1431" s="16">
        <f>V1431*N1431*O1431</f>
        <v/>
      </c>
      <c r="X1431" s="12">
        <f>IF(LEFT(I1431,2)="MV",2*N1431*IF(L1431="1/C",O1431,1),0)</f>
        <v/>
      </c>
      <c r="Y1431" s="12">
        <f>IF(OR(LEFT(K1431,4)="LVAX",LEFT(K1431,6)="MV15AX",LEFT(K1431,4)="CTAX",LEFT(K1431,2)="W|"),2*N1431*O1431,0)</f>
        <v/>
      </c>
      <c r="Z1431" s="12" t="inlineStr">
        <is>
          <t>VD 2.1 %</t>
        </is>
      </c>
      <c r="AA1431" s="12">
        <f>N1431*O1431</f>
        <v/>
      </c>
    </row>
    <row r="1432">
      <c r="A1432" s="12" t="inlineStr">
        <is>
          <t>A-P-0065</t>
        </is>
      </c>
      <c r="B1432" s="12" t="inlineStr">
        <is>
          <t>A</t>
        </is>
      </c>
      <c r="C1432" s="12" t="inlineStr">
        <is>
          <t>Power block</t>
        </is>
      </c>
      <c r="D1432" s="12" t="inlineStr">
        <is>
          <t>Motor 2 of 6, 2 kW</t>
        </is>
      </c>
      <c r="E1432" s="12" t="inlineStr">
        <is>
          <t>R2B</t>
        </is>
      </c>
      <c r="F1432" s="12" t="inlineStr">
        <is>
          <t>R2B: unit / HRSG electrical e-house (32 x 40 ft)</t>
        </is>
      </c>
      <c r="G1432" s="12" t="inlineStr"/>
      <c r="H1432" s="12" t="inlineStr">
        <is>
          <t>GSU-2 firewall</t>
        </is>
      </c>
      <c r="I1432" s="12" t="inlineStr">
        <is>
          <t>LV 600 V</t>
        </is>
      </c>
      <c r="J1432" s="12" t="inlineStr">
        <is>
          <t>Type TC-ER 600 V 3/C Cu XHHW-2 + ground, PVC jacket</t>
        </is>
      </c>
      <c r="K1432" s="12" t="inlineStr">
        <is>
          <t>LV|3/C+G|10</t>
        </is>
      </c>
      <c r="L1432" s="12" t="inlineStr">
        <is>
          <t>3/C+G</t>
        </is>
      </c>
      <c r="M1432" s="12" t="inlineStr">
        <is>
          <t>10</t>
        </is>
      </c>
      <c r="N1432" s="12" t="n">
        <v>1</v>
      </c>
      <c r="O1432" s="12" t="n">
        <v>1</v>
      </c>
      <c r="P1432" s="12" t="n">
        <v>480</v>
      </c>
      <c r="Q1432" s="12" t="n">
        <v>2</v>
      </c>
      <c r="R1432" s="12" t="n">
        <v>2.8</v>
      </c>
      <c r="S1432" s="12" t="inlineStr">
        <is>
          <t>Tray</t>
        </is>
      </c>
      <c r="T1432" s="16" t="n">
        <v>1290</v>
      </c>
      <c r="U1432" s="16" t="n">
        <v>271</v>
      </c>
      <c r="V1432" s="16">
        <f>ROUNDUP((T1432+U1432+2*'Read Me'!$B$13)*(1+'Read Me'!$B$12),-1)</f>
        <v/>
      </c>
      <c r="W1432" s="16">
        <f>V1432*N1432*O1432</f>
        <v/>
      </c>
      <c r="X1432" s="12">
        <f>IF(LEFT(I1432,2)="MV",2*N1432*IF(L1432="1/C",O1432,1),0)</f>
        <v/>
      </c>
      <c r="Y1432" s="12">
        <f>IF(OR(LEFT(K1432,4)="LVAX",LEFT(K1432,6)="MV15AX",LEFT(K1432,4)="CTAX",LEFT(K1432,2)="W|"),2*N1432*O1432,0)</f>
        <v/>
      </c>
      <c r="Z1432" s="12" t="inlineStr">
        <is>
          <t>VD 2.1 %</t>
        </is>
      </c>
      <c r="AA1432" s="12">
        <f>N1432*O1432</f>
        <v/>
      </c>
    </row>
    <row r="1433">
      <c r="A1433" s="12" t="inlineStr">
        <is>
          <t>A-P-0066</t>
        </is>
      </c>
      <c r="B1433" s="12" t="inlineStr">
        <is>
          <t>A</t>
        </is>
      </c>
      <c r="C1433" s="12" t="inlineStr">
        <is>
          <t>Power block</t>
        </is>
      </c>
      <c r="D1433" s="12" t="inlineStr">
        <is>
          <t>Motor 3 of 6, 2 kW</t>
        </is>
      </c>
      <c r="E1433" s="12" t="inlineStr">
        <is>
          <t>R2B</t>
        </is>
      </c>
      <c r="F1433" s="12" t="inlineStr">
        <is>
          <t>R2B: unit / HRSG electrical e-house (32 x 40 ft)</t>
        </is>
      </c>
      <c r="G1433" s="12" t="inlineStr"/>
      <c r="H1433" s="12" t="inlineStr">
        <is>
          <t>GSU-2 firewall</t>
        </is>
      </c>
      <c r="I1433" s="12" t="inlineStr">
        <is>
          <t>LV 600 V</t>
        </is>
      </c>
      <c r="J1433" s="12" t="inlineStr">
        <is>
          <t>Type TC-ER 600 V 3/C Cu XHHW-2 + ground, PVC jacket</t>
        </is>
      </c>
      <c r="K1433" s="12" t="inlineStr">
        <is>
          <t>LV|3/C+G|10</t>
        </is>
      </c>
      <c r="L1433" s="12" t="inlineStr">
        <is>
          <t>3/C+G</t>
        </is>
      </c>
      <c r="M1433" s="12" t="inlineStr">
        <is>
          <t>10</t>
        </is>
      </c>
      <c r="N1433" s="12" t="n">
        <v>1</v>
      </c>
      <c r="O1433" s="12" t="n">
        <v>1</v>
      </c>
      <c r="P1433" s="12" t="n">
        <v>480</v>
      </c>
      <c r="Q1433" s="12" t="n">
        <v>2</v>
      </c>
      <c r="R1433" s="12" t="n">
        <v>2.8</v>
      </c>
      <c r="S1433" s="12" t="inlineStr">
        <is>
          <t>Tray</t>
        </is>
      </c>
      <c r="T1433" s="16" t="n">
        <v>1290</v>
      </c>
      <c r="U1433" s="16" t="n">
        <v>271</v>
      </c>
      <c r="V1433" s="16">
        <f>ROUNDUP((T1433+U1433+2*'Read Me'!$B$13)*(1+'Read Me'!$B$12),-1)</f>
        <v/>
      </c>
      <c r="W1433" s="16">
        <f>V1433*N1433*O1433</f>
        <v/>
      </c>
      <c r="X1433" s="12">
        <f>IF(LEFT(I1433,2)="MV",2*N1433*IF(L1433="1/C",O1433,1),0)</f>
        <v/>
      </c>
      <c r="Y1433" s="12">
        <f>IF(OR(LEFT(K1433,4)="LVAX",LEFT(K1433,6)="MV15AX",LEFT(K1433,4)="CTAX",LEFT(K1433,2)="W|"),2*N1433*O1433,0)</f>
        <v/>
      </c>
      <c r="Z1433" s="12" t="inlineStr">
        <is>
          <t>VD 2.1 %</t>
        </is>
      </c>
      <c r="AA1433" s="12">
        <f>N1433*O1433</f>
        <v/>
      </c>
    </row>
    <row r="1434">
      <c r="A1434" s="12" t="inlineStr">
        <is>
          <t>A-P-0067</t>
        </is>
      </c>
      <c r="B1434" s="12" t="inlineStr">
        <is>
          <t>A</t>
        </is>
      </c>
      <c r="C1434" s="12" t="inlineStr">
        <is>
          <t>Power block</t>
        </is>
      </c>
      <c r="D1434" s="12" t="inlineStr">
        <is>
          <t>Motor 4 of 6, 2 kW</t>
        </is>
      </c>
      <c r="E1434" s="12" t="inlineStr">
        <is>
          <t>R2B</t>
        </is>
      </c>
      <c r="F1434" s="12" t="inlineStr">
        <is>
          <t>R2B: unit / HRSG electrical e-house (32 x 40 ft)</t>
        </is>
      </c>
      <c r="G1434" s="12" t="inlineStr"/>
      <c r="H1434" s="12" t="inlineStr">
        <is>
          <t>GSU-2 firewall</t>
        </is>
      </c>
      <c r="I1434" s="12" t="inlineStr">
        <is>
          <t>LV 600 V</t>
        </is>
      </c>
      <c r="J1434" s="12" t="inlineStr">
        <is>
          <t>Type TC-ER 600 V 3/C Cu XHHW-2 + ground, PVC jacket</t>
        </is>
      </c>
      <c r="K1434" s="12" t="inlineStr">
        <is>
          <t>LV|3/C+G|10</t>
        </is>
      </c>
      <c r="L1434" s="12" t="inlineStr">
        <is>
          <t>3/C+G</t>
        </is>
      </c>
      <c r="M1434" s="12" t="inlineStr">
        <is>
          <t>10</t>
        </is>
      </c>
      <c r="N1434" s="12" t="n">
        <v>1</v>
      </c>
      <c r="O1434" s="12" t="n">
        <v>1</v>
      </c>
      <c r="P1434" s="12" t="n">
        <v>480</v>
      </c>
      <c r="Q1434" s="12" t="n">
        <v>2</v>
      </c>
      <c r="R1434" s="12" t="n">
        <v>2.8</v>
      </c>
      <c r="S1434" s="12" t="inlineStr">
        <is>
          <t>Tray</t>
        </is>
      </c>
      <c r="T1434" s="16" t="n">
        <v>1290</v>
      </c>
      <c r="U1434" s="16" t="n">
        <v>271</v>
      </c>
      <c r="V1434" s="16">
        <f>ROUNDUP((T1434+U1434+2*'Read Me'!$B$13)*(1+'Read Me'!$B$12),-1)</f>
        <v/>
      </c>
      <c r="W1434" s="16">
        <f>V1434*N1434*O1434</f>
        <v/>
      </c>
      <c r="X1434" s="12">
        <f>IF(LEFT(I1434,2)="MV",2*N1434*IF(L1434="1/C",O1434,1),0)</f>
        <v/>
      </c>
      <c r="Y1434" s="12">
        <f>IF(OR(LEFT(K1434,4)="LVAX",LEFT(K1434,6)="MV15AX",LEFT(K1434,4)="CTAX",LEFT(K1434,2)="W|"),2*N1434*O1434,0)</f>
        <v/>
      </c>
      <c r="Z1434" s="12" t="inlineStr">
        <is>
          <t>VD 2.1 %</t>
        </is>
      </c>
      <c r="AA1434" s="12">
        <f>N1434*O1434</f>
        <v/>
      </c>
    </row>
    <row r="1435">
      <c r="A1435" s="12" t="inlineStr">
        <is>
          <t>A-P-0068</t>
        </is>
      </c>
      <c r="B1435" s="12" t="inlineStr">
        <is>
          <t>A</t>
        </is>
      </c>
      <c r="C1435" s="12" t="inlineStr">
        <is>
          <t>Power block</t>
        </is>
      </c>
      <c r="D1435" s="12" t="inlineStr">
        <is>
          <t>Motor 5 of 6, 2 kW</t>
        </is>
      </c>
      <c r="E1435" s="12" t="inlineStr">
        <is>
          <t>R2B</t>
        </is>
      </c>
      <c r="F1435" s="12" t="inlineStr">
        <is>
          <t>R2B: unit / HRSG electrical e-house (32 x 40 ft)</t>
        </is>
      </c>
      <c r="G1435" s="12" t="inlineStr"/>
      <c r="H1435" s="12" t="inlineStr">
        <is>
          <t>GSU-2 firewall</t>
        </is>
      </c>
      <c r="I1435" s="12" t="inlineStr">
        <is>
          <t>LV 600 V</t>
        </is>
      </c>
      <c r="J1435" s="12" t="inlineStr">
        <is>
          <t>Type TC-ER 600 V 3/C Cu XHHW-2 + ground, PVC jacket</t>
        </is>
      </c>
      <c r="K1435" s="12" t="inlineStr">
        <is>
          <t>LV|3/C+G|10</t>
        </is>
      </c>
      <c r="L1435" s="12" t="inlineStr">
        <is>
          <t>3/C+G</t>
        </is>
      </c>
      <c r="M1435" s="12" t="inlineStr">
        <is>
          <t>10</t>
        </is>
      </c>
      <c r="N1435" s="12" t="n">
        <v>1</v>
      </c>
      <c r="O1435" s="12" t="n">
        <v>1</v>
      </c>
      <c r="P1435" s="12" t="n">
        <v>480</v>
      </c>
      <c r="Q1435" s="12" t="n">
        <v>2</v>
      </c>
      <c r="R1435" s="12" t="n">
        <v>2.8</v>
      </c>
      <c r="S1435" s="12" t="inlineStr">
        <is>
          <t>Tray</t>
        </is>
      </c>
      <c r="T1435" s="16" t="n">
        <v>1290</v>
      </c>
      <c r="U1435" s="16" t="n">
        <v>271</v>
      </c>
      <c r="V1435" s="16">
        <f>ROUNDUP((T1435+U1435+2*'Read Me'!$B$13)*(1+'Read Me'!$B$12),-1)</f>
        <v/>
      </c>
      <c r="W1435" s="16">
        <f>V1435*N1435*O1435</f>
        <v/>
      </c>
      <c r="X1435" s="12">
        <f>IF(LEFT(I1435,2)="MV",2*N1435*IF(L1435="1/C",O1435,1),0)</f>
        <v/>
      </c>
      <c r="Y1435" s="12">
        <f>IF(OR(LEFT(K1435,4)="LVAX",LEFT(K1435,6)="MV15AX",LEFT(K1435,4)="CTAX",LEFT(K1435,2)="W|"),2*N1435*O1435,0)</f>
        <v/>
      </c>
      <c r="Z1435" s="12" t="inlineStr">
        <is>
          <t>VD 2.1 %</t>
        </is>
      </c>
      <c r="AA1435" s="12">
        <f>N1435*O1435</f>
        <v/>
      </c>
    </row>
    <row r="1436">
      <c r="A1436" s="12" t="inlineStr">
        <is>
          <t>A-P-0069</t>
        </is>
      </c>
      <c r="B1436" s="12" t="inlineStr">
        <is>
          <t>A</t>
        </is>
      </c>
      <c r="C1436" s="12" t="inlineStr">
        <is>
          <t>Power block</t>
        </is>
      </c>
      <c r="D1436" s="12" t="inlineStr">
        <is>
          <t>Motor 6 of 6, 2 kW</t>
        </is>
      </c>
      <c r="E1436" s="12" t="inlineStr">
        <is>
          <t>R2B</t>
        </is>
      </c>
      <c r="F1436" s="12" t="inlineStr">
        <is>
          <t>R2B: unit / HRSG electrical e-house (32 x 40 ft)</t>
        </is>
      </c>
      <c r="G1436" s="12" t="inlineStr"/>
      <c r="H1436" s="12" t="inlineStr">
        <is>
          <t>GSU-2 firewall</t>
        </is>
      </c>
      <c r="I1436" s="12" t="inlineStr">
        <is>
          <t>LV 600 V</t>
        </is>
      </c>
      <c r="J1436" s="12" t="inlineStr">
        <is>
          <t>Type TC-ER 600 V 3/C Cu XHHW-2 + ground, PVC jacket</t>
        </is>
      </c>
      <c r="K1436" s="12" t="inlineStr">
        <is>
          <t>LV|3/C+G|10</t>
        </is>
      </c>
      <c r="L1436" s="12" t="inlineStr">
        <is>
          <t>3/C+G</t>
        </is>
      </c>
      <c r="M1436" s="12" t="inlineStr">
        <is>
          <t>10</t>
        </is>
      </c>
      <c r="N1436" s="12" t="n">
        <v>1</v>
      </c>
      <c r="O1436" s="12" t="n">
        <v>1</v>
      </c>
      <c r="P1436" s="12" t="n">
        <v>480</v>
      </c>
      <c r="Q1436" s="12" t="n">
        <v>2</v>
      </c>
      <c r="R1436" s="12" t="n">
        <v>2.8</v>
      </c>
      <c r="S1436" s="12" t="inlineStr">
        <is>
          <t>Tray</t>
        </is>
      </c>
      <c r="T1436" s="16" t="n">
        <v>1290</v>
      </c>
      <c r="U1436" s="16" t="n">
        <v>271</v>
      </c>
      <c r="V1436" s="16">
        <f>ROUNDUP((T1436+U1436+2*'Read Me'!$B$13)*(1+'Read Me'!$B$12),-1)</f>
        <v/>
      </c>
      <c r="W1436" s="16">
        <f>V1436*N1436*O1436</f>
        <v/>
      </c>
      <c r="X1436" s="12">
        <f>IF(LEFT(I1436,2)="MV",2*N1436*IF(L1436="1/C",O1436,1),0)</f>
        <v/>
      </c>
      <c r="Y1436" s="12">
        <f>IF(OR(LEFT(K1436,4)="LVAX",LEFT(K1436,6)="MV15AX",LEFT(K1436,4)="CTAX",LEFT(K1436,2)="W|"),2*N1436*O1436,0)</f>
        <v/>
      </c>
      <c r="Z1436" s="12" t="inlineStr">
        <is>
          <t>VD 2.1 %</t>
        </is>
      </c>
      <c r="AA1436" s="12">
        <f>N1436*O1436</f>
        <v/>
      </c>
    </row>
    <row r="1437">
      <c r="A1437" s="12" t="inlineStr">
        <is>
          <t>A-P-0070</t>
        </is>
      </c>
      <c r="B1437" s="12" t="inlineStr">
        <is>
          <t>A</t>
        </is>
      </c>
      <c r="C1437" s="12" t="inlineStr">
        <is>
          <t>Power block</t>
        </is>
      </c>
      <c r="D1437" s="12" t="inlineStr">
        <is>
          <t>Motor 1 of 6, 2 kW</t>
        </is>
      </c>
      <c r="E1437" s="12" t="inlineStr">
        <is>
          <t>R2B</t>
        </is>
      </c>
      <c r="F1437" s="12" t="inlineStr">
        <is>
          <t>R2B: unit / HRSG electrical e-house (32 x 40 ft)</t>
        </is>
      </c>
      <c r="G1437" s="12" t="inlineStr">
        <is>
          <t>GSU-2</t>
        </is>
      </c>
      <c r="H1437" s="12" t="inlineStr">
        <is>
          <t>GSU-2: 21/230 kV generator step-up transformer</t>
        </is>
      </c>
      <c r="I1437" s="12" t="inlineStr">
        <is>
          <t>LV 600 V</t>
        </is>
      </c>
      <c r="J1437" s="12" t="inlineStr">
        <is>
          <t>Type TC-ER 600 V 3/C Cu XHHW-2 + ground, PVC jacket</t>
        </is>
      </c>
      <c r="K1437" s="12" t="inlineStr">
        <is>
          <t>LV|3/C+G|10</t>
        </is>
      </c>
      <c r="L1437" s="12" t="inlineStr">
        <is>
          <t>3/C+G</t>
        </is>
      </c>
      <c r="M1437" s="12" t="inlineStr">
        <is>
          <t>10</t>
        </is>
      </c>
      <c r="N1437" s="12" t="n">
        <v>1</v>
      </c>
      <c r="O1437" s="12" t="n">
        <v>1</v>
      </c>
      <c r="P1437" s="12" t="n">
        <v>480</v>
      </c>
      <c r="Q1437" s="12" t="n">
        <v>2</v>
      </c>
      <c r="R1437" s="12" t="n">
        <v>2.8</v>
      </c>
      <c r="S1437" s="12" t="inlineStr">
        <is>
          <t>Duct bank</t>
        </is>
      </c>
      <c r="T1437" s="16" t="n">
        <v>1423</v>
      </c>
      <c r="U1437" s="16" t="n">
        <v>113</v>
      </c>
      <c r="V1437" s="16">
        <f>ROUNDUP((T1437+U1437+2*'Read Me'!$B$13)*(1+'Read Me'!$B$12),-1)</f>
        <v/>
      </c>
      <c r="W1437" s="16">
        <f>V1437*N1437*O1437</f>
        <v/>
      </c>
      <c r="X1437" s="12">
        <f>IF(LEFT(I1437,2)="MV",2*N1437*IF(L1437="1/C",O1437,1),0)</f>
        <v/>
      </c>
      <c r="Y1437" s="12">
        <f>IF(OR(LEFT(K1437,4)="LVAX",LEFT(K1437,6)="MV15AX",LEFT(K1437,4)="CTAX",LEFT(K1437,2)="W|"),2*N1437*O1437,0)</f>
        <v/>
      </c>
      <c r="Z1437" s="12" t="inlineStr">
        <is>
          <t>VD 2.1 %</t>
        </is>
      </c>
      <c r="AA1437" s="12">
        <f>N1437*O1437</f>
        <v/>
      </c>
    </row>
    <row r="1438">
      <c r="A1438" s="12" t="inlineStr">
        <is>
          <t>A-P-0071</t>
        </is>
      </c>
      <c r="B1438" s="12" t="inlineStr">
        <is>
          <t>A</t>
        </is>
      </c>
      <c r="C1438" s="12" t="inlineStr">
        <is>
          <t>Power block</t>
        </is>
      </c>
      <c r="D1438" s="12" t="inlineStr">
        <is>
          <t>Motor 2 of 6, 2 kW</t>
        </is>
      </c>
      <c r="E1438" s="12" t="inlineStr">
        <is>
          <t>R2B</t>
        </is>
      </c>
      <c r="F1438" s="12" t="inlineStr">
        <is>
          <t>R2B: unit / HRSG electrical e-house (32 x 40 ft)</t>
        </is>
      </c>
      <c r="G1438" s="12" t="inlineStr">
        <is>
          <t>GSU-2</t>
        </is>
      </c>
      <c r="H1438" s="12" t="inlineStr">
        <is>
          <t>GSU-2: 21/230 kV generator step-up transformer</t>
        </is>
      </c>
      <c r="I1438" s="12" t="inlineStr">
        <is>
          <t>LV 600 V</t>
        </is>
      </c>
      <c r="J1438" s="12" t="inlineStr">
        <is>
          <t>Type TC-ER 600 V 3/C Cu XHHW-2 + ground, PVC jacket</t>
        </is>
      </c>
      <c r="K1438" s="12" t="inlineStr">
        <is>
          <t>LV|3/C+G|10</t>
        </is>
      </c>
      <c r="L1438" s="12" t="inlineStr">
        <is>
          <t>3/C+G</t>
        </is>
      </c>
      <c r="M1438" s="12" t="inlineStr">
        <is>
          <t>10</t>
        </is>
      </c>
      <c r="N1438" s="12" t="n">
        <v>1</v>
      </c>
      <c r="O1438" s="12" t="n">
        <v>1</v>
      </c>
      <c r="P1438" s="12" t="n">
        <v>480</v>
      </c>
      <c r="Q1438" s="12" t="n">
        <v>2</v>
      </c>
      <c r="R1438" s="12" t="n">
        <v>2.8</v>
      </c>
      <c r="S1438" s="12" t="inlineStr">
        <is>
          <t>Duct bank</t>
        </is>
      </c>
      <c r="T1438" s="16" t="n">
        <v>1423</v>
      </c>
      <c r="U1438" s="16" t="n">
        <v>113</v>
      </c>
      <c r="V1438" s="16">
        <f>ROUNDUP((T1438+U1438+2*'Read Me'!$B$13)*(1+'Read Me'!$B$12),-1)</f>
        <v/>
      </c>
      <c r="W1438" s="16">
        <f>V1438*N1438*O1438</f>
        <v/>
      </c>
      <c r="X1438" s="12">
        <f>IF(LEFT(I1438,2)="MV",2*N1438*IF(L1438="1/C",O1438,1),0)</f>
        <v/>
      </c>
      <c r="Y1438" s="12">
        <f>IF(OR(LEFT(K1438,4)="LVAX",LEFT(K1438,6)="MV15AX",LEFT(K1438,4)="CTAX",LEFT(K1438,2)="W|"),2*N1438*O1438,0)</f>
        <v/>
      </c>
      <c r="Z1438" s="12" t="inlineStr">
        <is>
          <t>VD 2.1 %</t>
        </is>
      </c>
      <c r="AA1438" s="12">
        <f>N1438*O1438</f>
        <v/>
      </c>
    </row>
    <row r="1439">
      <c r="A1439" s="12" t="inlineStr">
        <is>
          <t>A-P-0072</t>
        </is>
      </c>
      <c r="B1439" s="12" t="inlineStr">
        <is>
          <t>A</t>
        </is>
      </c>
      <c r="C1439" s="12" t="inlineStr">
        <is>
          <t>Power block</t>
        </is>
      </c>
      <c r="D1439" s="12" t="inlineStr">
        <is>
          <t>Motor 3 of 6, 2 kW</t>
        </is>
      </c>
      <c r="E1439" s="12" t="inlineStr">
        <is>
          <t>R2B</t>
        </is>
      </c>
      <c r="F1439" s="12" t="inlineStr">
        <is>
          <t>R2B: unit / HRSG electrical e-house (32 x 40 ft)</t>
        </is>
      </c>
      <c r="G1439" s="12" t="inlineStr">
        <is>
          <t>GSU-2</t>
        </is>
      </c>
      <c r="H1439" s="12" t="inlineStr">
        <is>
          <t>GSU-2: 21/230 kV generator step-up transformer</t>
        </is>
      </c>
      <c r="I1439" s="12" t="inlineStr">
        <is>
          <t>LV 600 V</t>
        </is>
      </c>
      <c r="J1439" s="12" t="inlineStr">
        <is>
          <t>Type TC-ER 600 V 3/C Cu XHHW-2 + ground, PVC jacket</t>
        </is>
      </c>
      <c r="K1439" s="12" t="inlineStr">
        <is>
          <t>LV|3/C+G|10</t>
        </is>
      </c>
      <c r="L1439" s="12" t="inlineStr">
        <is>
          <t>3/C+G</t>
        </is>
      </c>
      <c r="M1439" s="12" t="inlineStr">
        <is>
          <t>10</t>
        </is>
      </c>
      <c r="N1439" s="12" t="n">
        <v>1</v>
      </c>
      <c r="O1439" s="12" t="n">
        <v>1</v>
      </c>
      <c r="P1439" s="12" t="n">
        <v>480</v>
      </c>
      <c r="Q1439" s="12" t="n">
        <v>2</v>
      </c>
      <c r="R1439" s="12" t="n">
        <v>2.8</v>
      </c>
      <c r="S1439" s="12" t="inlineStr">
        <is>
          <t>Duct bank</t>
        </is>
      </c>
      <c r="T1439" s="16" t="n">
        <v>1423</v>
      </c>
      <c r="U1439" s="16" t="n">
        <v>113</v>
      </c>
      <c r="V1439" s="16">
        <f>ROUNDUP((T1439+U1439+2*'Read Me'!$B$13)*(1+'Read Me'!$B$12),-1)</f>
        <v/>
      </c>
      <c r="W1439" s="16">
        <f>V1439*N1439*O1439</f>
        <v/>
      </c>
      <c r="X1439" s="12">
        <f>IF(LEFT(I1439,2)="MV",2*N1439*IF(L1439="1/C",O1439,1),0)</f>
        <v/>
      </c>
      <c r="Y1439" s="12">
        <f>IF(OR(LEFT(K1439,4)="LVAX",LEFT(K1439,6)="MV15AX",LEFT(K1439,4)="CTAX",LEFT(K1439,2)="W|"),2*N1439*O1439,0)</f>
        <v/>
      </c>
      <c r="Z1439" s="12" t="inlineStr">
        <is>
          <t>VD 2.1 %</t>
        </is>
      </c>
      <c r="AA1439" s="12">
        <f>N1439*O1439</f>
        <v/>
      </c>
    </row>
    <row r="1440">
      <c r="A1440" s="12" t="inlineStr">
        <is>
          <t>A-P-0073</t>
        </is>
      </c>
      <c r="B1440" s="12" t="inlineStr">
        <is>
          <t>A</t>
        </is>
      </c>
      <c r="C1440" s="12" t="inlineStr">
        <is>
          <t>Power block</t>
        </is>
      </c>
      <c r="D1440" s="12" t="inlineStr">
        <is>
          <t>Motor 4 of 6, 2 kW</t>
        </is>
      </c>
      <c r="E1440" s="12" t="inlineStr">
        <is>
          <t>R2B</t>
        </is>
      </c>
      <c r="F1440" s="12" t="inlineStr">
        <is>
          <t>R2B: unit / HRSG electrical e-house (32 x 40 ft)</t>
        </is>
      </c>
      <c r="G1440" s="12" t="inlineStr">
        <is>
          <t>GSU-2</t>
        </is>
      </c>
      <c r="H1440" s="12" t="inlineStr">
        <is>
          <t>GSU-2: 21/230 kV generator step-up transformer</t>
        </is>
      </c>
      <c r="I1440" s="12" t="inlineStr">
        <is>
          <t>LV 600 V</t>
        </is>
      </c>
      <c r="J1440" s="12" t="inlineStr">
        <is>
          <t>Type TC-ER 600 V 3/C Cu XHHW-2 + ground, PVC jacket</t>
        </is>
      </c>
      <c r="K1440" s="12" t="inlineStr">
        <is>
          <t>LV|3/C+G|10</t>
        </is>
      </c>
      <c r="L1440" s="12" t="inlineStr">
        <is>
          <t>3/C+G</t>
        </is>
      </c>
      <c r="M1440" s="12" t="inlineStr">
        <is>
          <t>10</t>
        </is>
      </c>
      <c r="N1440" s="12" t="n">
        <v>1</v>
      </c>
      <c r="O1440" s="12" t="n">
        <v>1</v>
      </c>
      <c r="P1440" s="12" t="n">
        <v>480</v>
      </c>
      <c r="Q1440" s="12" t="n">
        <v>2</v>
      </c>
      <c r="R1440" s="12" t="n">
        <v>2.8</v>
      </c>
      <c r="S1440" s="12" t="inlineStr">
        <is>
          <t>Duct bank</t>
        </is>
      </c>
      <c r="T1440" s="16" t="n">
        <v>1423</v>
      </c>
      <c r="U1440" s="16" t="n">
        <v>113</v>
      </c>
      <c r="V1440" s="16">
        <f>ROUNDUP((T1440+U1440+2*'Read Me'!$B$13)*(1+'Read Me'!$B$12),-1)</f>
        <v/>
      </c>
      <c r="W1440" s="16">
        <f>V1440*N1440*O1440</f>
        <v/>
      </c>
      <c r="X1440" s="12">
        <f>IF(LEFT(I1440,2)="MV",2*N1440*IF(L1440="1/C",O1440,1),0)</f>
        <v/>
      </c>
      <c r="Y1440" s="12">
        <f>IF(OR(LEFT(K1440,4)="LVAX",LEFT(K1440,6)="MV15AX",LEFT(K1440,4)="CTAX",LEFT(K1440,2)="W|"),2*N1440*O1440,0)</f>
        <v/>
      </c>
      <c r="Z1440" s="12" t="inlineStr">
        <is>
          <t>VD 2.1 %</t>
        </is>
      </c>
      <c r="AA1440" s="12">
        <f>N1440*O1440</f>
        <v/>
      </c>
    </row>
    <row r="1441">
      <c r="A1441" s="12" t="inlineStr">
        <is>
          <t>A-P-0074</t>
        </is>
      </c>
      <c r="B1441" s="12" t="inlineStr">
        <is>
          <t>A</t>
        </is>
      </c>
      <c r="C1441" s="12" t="inlineStr">
        <is>
          <t>Power block</t>
        </is>
      </c>
      <c r="D1441" s="12" t="inlineStr">
        <is>
          <t>Motor 5 of 6, 2 kW</t>
        </is>
      </c>
      <c r="E1441" s="12" t="inlineStr">
        <is>
          <t>R2B</t>
        </is>
      </c>
      <c r="F1441" s="12" t="inlineStr">
        <is>
          <t>R2B: unit / HRSG electrical e-house (32 x 40 ft)</t>
        </is>
      </c>
      <c r="G1441" s="12" t="inlineStr">
        <is>
          <t>GSU-2</t>
        </is>
      </c>
      <c r="H1441" s="12" t="inlineStr">
        <is>
          <t>GSU-2: 21/230 kV generator step-up transformer</t>
        </is>
      </c>
      <c r="I1441" s="12" t="inlineStr">
        <is>
          <t>LV 600 V</t>
        </is>
      </c>
      <c r="J1441" s="12" t="inlineStr">
        <is>
          <t>Type TC-ER 600 V 3/C Cu XHHW-2 + ground, PVC jacket</t>
        </is>
      </c>
      <c r="K1441" s="12" t="inlineStr">
        <is>
          <t>LV|3/C+G|10</t>
        </is>
      </c>
      <c r="L1441" s="12" t="inlineStr">
        <is>
          <t>3/C+G</t>
        </is>
      </c>
      <c r="M1441" s="12" t="inlineStr">
        <is>
          <t>10</t>
        </is>
      </c>
      <c r="N1441" s="12" t="n">
        <v>1</v>
      </c>
      <c r="O1441" s="12" t="n">
        <v>1</v>
      </c>
      <c r="P1441" s="12" t="n">
        <v>480</v>
      </c>
      <c r="Q1441" s="12" t="n">
        <v>2</v>
      </c>
      <c r="R1441" s="12" t="n">
        <v>2.8</v>
      </c>
      <c r="S1441" s="12" t="inlineStr">
        <is>
          <t>Duct bank</t>
        </is>
      </c>
      <c r="T1441" s="16" t="n">
        <v>1423</v>
      </c>
      <c r="U1441" s="16" t="n">
        <v>113</v>
      </c>
      <c r="V1441" s="16">
        <f>ROUNDUP((T1441+U1441+2*'Read Me'!$B$13)*(1+'Read Me'!$B$12),-1)</f>
        <v/>
      </c>
      <c r="W1441" s="16">
        <f>V1441*N1441*O1441</f>
        <v/>
      </c>
      <c r="X1441" s="12">
        <f>IF(LEFT(I1441,2)="MV",2*N1441*IF(L1441="1/C",O1441,1),0)</f>
        <v/>
      </c>
      <c r="Y1441" s="12">
        <f>IF(OR(LEFT(K1441,4)="LVAX",LEFT(K1441,6)="MV15AX",LEFT(K1441,4)="CTAX",LEFT(K1441,2)="W|"),2*N1441*O1441,0)</f>
        <v/>
      </c>
      <c r="Z1441" s="12" t="inlineStr">
        <is>
          <t>VD 2.1 %</t>
        </is>
      </c>
      <c r="AA1441" s="12">
        <f>N1441*O1441</f>
        <v/>
      </c>
    </row>
    <row r="1442">
      <c r="A1442" s="12" t="inlineStr">
        <is>
          <t>A-P-0075</t>
        </is>
      </c>
      <c r="B1442" s="12" t="inlineStr">
        <is>
          <t>A</t>
        </is>
      </c>
      <c r="C1442" s="12" t="inlineStr">
        <is>
          <t>Power block</t>
        </is>
      </c>
      <c r="D1442" s="12" t="inlineStr">
        <is>
          <t>Motor 6 of 6, 2 kW</t>
        </is>
      </c>
      <c r="E1442" s="12" t="inlineStr">
        <is>
          <t>R2B</t>
        </is>
      </c>
      <c r="F1442" s="12" t="inlineStr">
        <is>
          <t>R2B: unit / HRSG electrical e-house (32 x 40 ft)</t>
        </is>
      </c>
      <c r="G1442" s="12" t="inlineStr">
        <is>
          <t>GSU-2</t>
        </is>
      </c>
      <c r="H1442" s="12" t="inlineStr">
        <is>
          <t>GSU-2: 21/230 kV generator step-up transformer</t>
        </is>
      </c>
      <c r="I1442" s="12" t="inlineStr">
        <is>
          <t>LV 600 V</t>
        </is>
      </c>
      <c r="J1442" s="12" t="inlineStr">
        <is>
          <t>Type TC-ER 600 V 3/C Cu XHHW-2 + ground, PVC jacket</t>
        </is>
      </c>
      <c r="K1442" s="12" t="inlineStr">
        <is>
          <t>LV|3/C+G|10</t>
        </is>
      </c>
      <c r="L1442" s="12" t="inlineStr">
        <is>
          <t>3/C+G</t>
        </is>
      </c>
      <c r="M1442" s="12" t="inlineStr">
        <is>
          <t>10</t>
        </is>
      </c>
      <c r="N1442" s="12" t="n">
        <v>1</v>
      </c>
      <c r="O1442" s="12" t="n">
        <v>1</v>
      </c>
      <c r="P1442" s="12" t="n">
        <v>480</v>
      </c>
      <c r="Q1442" s="12" t="n">
        <v>2</v>
      </c>
      <c r="R1442" s="12" t="n">
        <v>2.8</v>
      </c>
      <c r="S1442" s="12" t="inlineStr">
        <is>
          <t>Duct bank</t>
        </is>
      </c>
      <c r="T1442" s="16" t="n">
        <v>1423</v>
      </c>
      <c r="U1442" s="16" t="n">
        <v>113</v>
      </c>
      <c r="V1442" s="16">
        <f>ROUNDUP((T1442+U1442+2*'Read Me'!$B$13)*(1+'Read Me'!$B$12),-1)</f>
        <v/>
      </c>
      <c r="W1442" s="16">
        <f>V1442*N1442*O1442</f>
        <v/>
      </c>
      <c r="X1442" s="12">
        <f>IF(LEFT(I1442,2)="MV",2*N1442*IF(L1442="1/C",O1442,1),0)</f>
        <v/>
      </c>
      <c r="Y1442" s="12">
        <f>IF(OR(LEFT(K1442,4)="LVAX",LEFT(K1442,6)="MV15AX",LEFT(K1442,4)="CTAX",LEFT(K1442,2)="W|"),2*N1442*O1442,0)</f>
        <v/>
      </c>
      <c r="Z1442" s="12" t="inlineStr">
        <is>
          <t>VD 2.1 %</t>
        </is>
      </c>
      <c r="AA1442" s="12">
        <f>N1442*O1442</f>
        <v/>
      </c>
    </row>
    <row r="1443">
      <c r="A1443" s="12" t="inlineStr">
        <is>
          <t>A-P-0076</t>
        </is>
      </c>
      <c r="B1443" s="12" t="inlineStr">
        <is>
          <t>A</t>
        </is>
      </c>
      <c r="C1443" s="12" t="inlineStr">
        <is>
          <t>Power block</t>
        </is>
      </c>
      <c r="D1443" s="12" t="inlineStr">
        <is>
          <t>Motor 1 of 6, 2 kW</t>
        </is>
      </c>
      <c r="E1443" s="12" t="inlineStr">
        <is>
          <t>R2C</t>
        </is>
      </c>
      <c r="F1443" s="12" t="inlineStr">
        <is>
          <t>R2C: unit / HRSG electrical e-house (32 x 40 ft)</t>
        </is>
      </c>
      <c r="G1443" s="12" t="inlineStr"/>
      <c r="H1443" s="12" t="inlineStr">
        <is>
          <t>GSU-3 firewall</t>
        </is>
      </c>
      <c r="I1443" s="12" t="inlineStr">
        <is>
          <t>LV 600 V</t>
        </is>
      </c>
      <c r="J1443" s="12" t="inlineStr">
        <is>
          <t>Type TC-ER 600 V 3/C Cu XHHW-2 + ground, PVC jacket</t>
        </is>
      </c>
      <c r="K1443" s="12" t="inlineStr">
        <is>
          <t>LV|3/C+G|10</t>
        </is>
      </c>
      <c r="L1443" s="12" t="inlineStr">
        <is>
          <t>3/C+G</t>
        </is>
      </c>
      <c r="M1443" s="12" t="inlineStr">
        <is>
          <t>10</t>
        </is>
      </c>
      <c r="N1443" s="12" t="n">
        <v>1</v>
      </c>
      <c r="O1443" s="12" t="n">
        <v>1</v>
      </c>
      <c r="P1443" s="12" t="n">
        <v>480</v>
      </c>
      <c r="Q1443" s="12" t="n">
        <v>2</v>
      </c>
      <c r="R1443" s="12" t="n">
        <v>2.8</v>
      </c>
      <c r="S1443" s="12" t="inlineStr">
        <is>
          <t>Duct bank</t>
        </is>
      </c>
      <c r="T1443" s="16" t="n">
        <v>1140</v>
      </c>
      <c r="U1443" s="16" t="n">
        <v>110</v>
      </c>
      <c r="V1443" s="16">
        <f>ROUNDUP((T1443+U1443+2*'Read Me'!$B$13)*(1+'Read Me'!$B$12),-1)</f>
        <v/>
      </c>
      <c r="W1443" s="16">
        <f>V1443*N1443*O1443</f>
        <v/>
      </c>
      <c r="X1443" s="12">
        <f>IF(LEFT(I1443,2)="MV",2*N1443*IF(L1443="1/C",O1443,1),0)</f>
        <v/>
      </c>
      <c r="Y1443" s="12">
        <f>IF(OR(LEFT(K1443,4)="LVAX",LEFT(K1443,6)="MV15AX",LEFT(K1443,4)="CTAX",LEFT(K1443,2)="W|"),2*N1443*O1443,0)</f>
        <v/>
      </c>
      <c r="Z1443" s="12" t="inlineStr">
        <is>
          <t>VD 1.7 %</t>
        </is>
      </c>
      <c r="AA1443" s="12">
        <f>N1443*O1443</f>
        <v/>
      </c>
    </row>
    <row r="1444">
      <c r="A1444" s="12" t="inlineStr">
        <is>
          <t>A-P-0077</t>
        </is>
      </c>
      <c r="B1444" s="12" t="inlineStr">
        <is>
          <t>A</t>
        </is>
      </c>
      <c r="C1444" s="12" t="inlineStr">
        <is>
          <t>Power block</t>
        </is>
      </c>
      <c r="D1444" s="12" t="inlineStr">
        <is>
          <t>Motor 2 of 6, 2 kW</t>
        </is>
      </c>
      <c r="E1444" s="12" t="inlineStr">
        <is>
          <t>R2C</t>
        </is>
      </c>
      <c r="F1444" s="12" t="inlineStr">
        <is>
          <t>R2C: unit / HRSG electrical e-house (32 x 40 ft)</t>
        </is>
      </c>
      <c r="G1444" s="12" t="inlineStr"/>
      <c r="H1444" s="12" t="inlineStr">
        <is>
          <t>GSU-3 firewall</t>
        </is>
      </c>
      <c r="I1444" s="12" t="inlineStr">
        <is>
          <t>LV 600 V</t>
        </is>
      </c>
      <c r="J1444" s="12" t="inlineStr">
        <is>
          <t>Type TC-ER 600 V 3/C Cu XHHW-2 + ground, PVC jacket</t>
        </is>
      </c>
      <c r="K1444" s="12" t="inlineStr">
        <is>
          <t>LV|3/C+G|10</t>
        </is>
      </c>
      <c r="L1444" s="12" t="inlineStr">
        <is>
          <t>3/C+G</t>
        </is>
      </c>
      <c r="M1444" s="12" t="inlineStr">
        <is>
          <t>10</t>
        </is>
      </c>
      <c r="N1444" s="12" t="n">
        <v>1</v>
      </c>
      <c r="O1444" s="12" t="n">
        <v>1</v>
      </c>
      <c r="P1444" s="12" t="n">
        <v>480</v>
      </c>
      <c r="Q1444" s="12" t="n">
        <v>2</v>
      </c>
      <c r="R1444" s="12" t="n">
        <v>2.8</v>
      </c>
      <c r="S1444" s="12" t="inlineStr">
        <is>
          <t>Duct bank</t>
        </is>
      </c>
      <c r="T1444" s="16" t="n">
        <v>1140</v>
      </c>
      <c r="U1444" s="16" t="n">
        <v>110</v>
      </c>
      <c r="V1444" s="16">
        <f>ROUNDUP((T1444+U1444+2*'Read Me'!$B$13)*(1+'Read Me'!$B$12),-1)</f>
        <v/>
      </c>
      <c r="W1444" s="16">
        <f>V1444*N1444*O1444</f>
        <v/>
      </c>
      <c r="X1444" s="12">
        <f>IF(LEFT(I1444,2)="MV",2*N1444*IF(L1444="1/C",O1444,1),0)</f>
        <v/>
      </c>
      <c r="Y1444" s="12">
        <f>IF(OR(LEFT(K1444,4)="LVAX",LEFT(K1444,6)="MV15AX",LEFT(K1444,4)="CTAX",LEFT(K1444,2)="W|"),2*N1444*O1444,0)</f>
        <v/>
      </c>
      <c r="Z1444" s="12" t="inlineStr">
        <is>
          <t>VD 1.7 %</t>
        </is>
      </c>
      <c r="AA1444" s="12">
        <f>N1444*O1444</f>
        <v/>
      </c>
    </row>
    <row r="1445">
      <c r="A1445" s="12" t="inlineStr">
        <is>
          <t>A-P-0078</t>
        </is>
      </c>
      <c r="B1445" s="12" t="inlineStr">
        <is>
          <t>A</t>
        </is>
      </c>
      <c r="C1445" s="12" t="inlineStr">
        <is>
          <t>Power block</t>
        </is>
      </c>
      <c r="D1445" s="12" t="inlineStr">
        <is>
          <t>Motor 3 of 6, 2 kW</t>
        </is>
      </c>
      <c r="E1445" s="12" t="inlineStr">
        <is>
          <t>R2C</t>
        </is>
      </c>
      <c r="F1445" s="12" t="inlineStr">
        <is>
          <t>R2C: unit / HRSG electrical e-house (32 x 40 ft)</t>
        </is>
      </c>
      <c r="G1445" s="12" t="inlineStr"/>
      <c r="H1445" s="12" t="inlineStr">
        <is>
          <t>GSU-3 firewall</t>
        </is>
      </c>
      <c r="I1445" s="12" t="inlineStr">
        <is>
          <t>LV 600 V</t>
        </is>
      </c>
      <c r="J1445" s="12" t="inlineStr">
        <is>
          <t>Type TC-ER 600 V 3/C Cu XHHW-2 + ground, PVC jacket</t>
        </is>
      </c>
      <c r="K1445" s="12" t="inlineStr">
        <is>
          <t>LV|3/C+G|10</t>
        </is>
      </c>
      <c r="L1445" s="12" t="inlineStr">
        <is>
          <t>3/C+G</t>
        </is>
      </c>
      <c r="M1445" s="12" t="inlineStr">
        <is>
          <t>10</t>
        </is>
      </c>
      <c r="N1445" s="12" t="n">
        <v>1</v>
      </c>
      <c r="O1445" s="12" t="n">
        <v>1</v>
      </c>
      <c r="P1445" s="12" t="n">
        <v>480</v>
      </c>
      <c r="Q1445" s="12" t="n">
        <v>2</v>
      </c>
      <c r="R1445" s="12" t="n">
        <v>2.8</v>
      </c>
      <c r="S1445" s="12" t="inlineStr">
        <is>
          <t>Duct bank</t>
        </is>
      </c>
      <c r="T1445" s="16" t="n">
        <v>1140</v>
      </c>
      <c r="U1445" s="16" t="n">
        <v>110</v>
      </c>
      <c r="V1445" s="16">
        <f>ROUNDUP((T1445+U1445+2*'Read Me'!$B$13)*(1+'Read Me'!$B$12),-1)</f>
        <v/>
      </c>
      <c r="W1445" s="16">
        <f>V1445*N1445*O1445</f>
        <v/>
      </c>
      <c r="X1445" s="12">
        <f>IF(LEFT(I1445,2)="MV",2*N1445*IF(L1445="1/C",O1445,1),0)</f>
        <v/>
      </c>
      <c r="Y1445" s="12">
        <f>IF(OR(LEFT(K1445,4)="LVAX",LEFT(K1445,6)="MV15AX",LEFT(K1445,4)="CTAX",LEFT(K1445,2)="W|"),2*N1445*O1445,0)</f>
        <v/>
      </c>
      <c r="Z1445" s="12" t="inlineStr">
        <is>
          <t>VD 1.7 %</t>
        </is>
      </c>
      <c r="AA1445" s="12">
        <f>N1445*O1445</f>
        <v/>
      </c>
    </row>
    <row r="1446">
      <c r="A1446" s="12" t="inlineStr">
        <is>
          <t>A-P-0079</t>
        </is>
      </c>
      <c r="B1446" s="12" t="inlineStr">
        <is>
          <t>A</t>
        </is>
      </c>
      <c r="C1446" s="12" t="inlineStr">
        <is>
          <t>Power block</t>
        </is>
      </c>
      <c r="D1446" s="12" t="inlineStr">
        <is>
          <t>Motor 4 of 6, 2 kW</t>
        </is>
      </c>
      <c r="E1446" s="12" t="inlineStr">
        <is>
          <t>R2C</t>
        </is>
      </c>
      <c r="F1446" s="12" t="inlineStr">
        <is>
          <t>R2C: unit / HRSG electrical e-house (32 x 40 ft)</t>
        </is>
      </c>
      <c r="G1446" s="12" t="inlineStr"/>
      <c r="H1446" s="12" t="inlineStr">
        <is>
          <t>GSU-3 firewall</t>
        </is>
      </c>
      <c r="I1446" s="12" t="inlineStr">
        <is>
          <t>LV 600 V</t>
        </is>
      </c>
      <c r="J1446" s="12" t="inlineStr">
        <is>
          <t>Type TC-ER 600 V 3/C Cu XHHW-2 + ground, PVC jacket</t>
        </is>
      </c>
      <c r="K1446" s="12" t="inlineStr">
        <is>
          <t>LV|3/C+G|10</t>
        </is>
      </c>
      <c r="L1446" s="12" t="inlineStr">
        <is>
          <t>3/C+G</t>
        </is>
      </c>
      <c r="M1446" s="12" t="inlineStr">
        <is>
          <t>10</t>
        </is>
      </c>
      <c r="N1446" s="12" t="n">
        <v>1</v>
      </c>
      <c r="O1446" s="12" t="n">
        <v>1</v>
      </c>
      <c r="P1446" s="12" t="n">
        <v>480</v>
      </c>
      <c r="Q1446" s="12" t="n">
        <v>2</v>
      </c>
      <c r="R1446" s="12" t="n">
        <v>2.8</v>
      </c>
      <c r="S1446" s="12" t="inlineStr">
        <is>
          <t>Duct bank</t>
        </is>
      </c>
      <c r="T1446" s="16" t="n">
        <v>1140</v>
      </c>
      <c r="U1446" s="16" t="n">
        <v>110</v>
      </c>
      <c r="V1446" s="16">
        <f>ROUNDUP((T1446+U1446+2*'Read Me'!$B$13)*(1+'Read Me'!$B$12),-1)</f>
        <v/>
      </c>
      <c r="W1446" s="16">
        <f>V1446*N1446*O1446</f>
        <v/>
      </c>
      <c r="X1446" s="12">
        <f>IF(LEFT(I1446,2)="MV",2*N1446*IF(L1446="1/C",O1446,1),0)</f>
        <v/>
      </c>
      <c r="Y1446" s="12">
        <f>IF(OR(LEFT(K1446,4)="LVAX",LEFT(K1446,6)="MV15AX",LEFT(K1446,4)="CTAX",LEFT(K1446,2)="W|"),2*N1446*O1446,0)</f>
        <v/>
      </c>
      <c r="Z1446" s="12" t="inlineStr">
        <is>
          <t>VD 1.7 %</t>
        </is>
      </c>
      <c r="AA1446" s="12">
        <f>N1446*O1446</f>
        <v/>
      </c>
    </row>
    <row r="1447">
      <c r="A1447" s="12" t="inlineStr">
        <is>
          <t>A-P-0080</t>
        </is>
      </c>
      <c r="B1447" s="12" t="inlineStr">
        <is>
          <t>A</t>
        </is>
      </c>
      <c r="C1447" s="12" t="inlineStr">
        <is>
          <t>Power block</t>
        </is>
      </c>
      <c r="D1447" s="12" t="inlineStr">
        <is>
          <t>Motor 5 of 6, 2 kW</t>
        </is>
      </c>
      <c r="E1447" s="12" t="inlineStr">
        <is>
          <t>R2C</t>
        </is>
      </c>
      <c r="F1447" s="12" t="inlineStr">
        <is>
          <t>R2C: unit / HRSG electrical e-house (32 x 40 ft)</t>
        </is>
      </c>
      <c r="G1447" s="12" t="inlineStr"/>
      <c r="H1447" s="12" t="inlineStr">
        <is>
          <t>GSU-3 firewall</t>
        </is>
      </c>
      <c r="I1447" s="12" t="inlineStr">
        <is>
          <t>LV 600 V</t>
        </is>
      </c>
      <c r="J1447" s="12" t="inlineStr">
        <is>
          <t>Type TC-ER 600 V 3/C Cu XHHW-2 + ground, PVC jacket</t>
        </is>
      </c>
      <c r="K1447" s="12" t="inlineStr">
        <is>
          <t>LV|3/C+G|10</t>
        </is>
      </c>
      <c r="L1447" s="12" t="inlineStr">
        <is>
          <t>3/C+G</t>
        </is>
      </c>
      <c r="M1447" s="12" t="inlineStr">
        <is>
          <t>10</t>
        </is>
      </c>
      <c r="N1447" s="12" t="n">
        <v>1</v>
      </c>
      <c r="O1447" s="12" t="n">
        <v>1</v>
      </c>
      <c r="P1447" s="12" t="n">
        <v>480</v>
      </c>
      <c r="Q1447" s="12" t="n">
        <v>2</v>
      </c>
      <c r="R1447" s="12" t="n">
        <v>2.8</v>
      </c>
      <c r="S1447" s="12" t="inlineStr">
        <is>
          <t>Duct bank</t>
        </is>
      </c>
      <c r="T1447" s="16" t="n">
        <v>1140</v>
      </c>
      <c r="U1447" s="16" t="n">
        <v>110</v>
      </c>
      <c r="V1447" s="16">
        <f>ROUNDUP((T1447+U1447+2*'Read Me'!$B$13)*(1+'Read Me'!$B$12),-1)</f>
        <v/>
      </c>
      <c r="W1447" s="16">
        <f>V1447*N1447*O1447</f>
        <v/>
      </c>
      <c r="X1447" s="12">
        <f>IF(LEFT(I1447,2)="MV",2*N1447*IF(L1447="1/C",O1447,1),0)</f>
        <v/>
      </c>
      <c r="Y1447" s="12">
        <f>IF(OR(LEFT(K1447,4)="LVAX",LEFT(K1447,6)="MV15AX",LEFT(K1447,4)="CTAX",LEFT(K1447,2)="W|"),2*N1447*O1447,0)</f>
        <v/>
      </c>
      <c r="Z1447" s="12" t="inlineStr">
        <is>
          <t>VD 1.7 %</t>
        </is>
      </c>
      <c r="AA1447" s="12">
        <f>N1447*O1447</f>
        <v/>
      </c>
    </row>
    <row r="1448">
      <c r="A1448" s="12" t="inlineStr">
        <is>
          <t>A-P-0081</t>
        </is>
      </c>
      <c r="B1448" s="12" t="inlineStr">
        <is>
          <t>A</t>
        </is>
      </c>
      <c r="C1448" s="12" t="inlineStr">
        <is>
          <t>Power block</t>
        </is>
      </c>
      <c r="D1448" s="12" t="inlineStr">
        <is>
          <t>Motor 6 of 6, 2 kW</t>
        </is>
      </c>
      <c r="E1448" s="12" t="inlineStr">
        <is>
          <t>R2C</t>
        </is>
      </c>
      <c r="F1448" s="12" t="inlineStr">
        <is>
          <t>R2C: unit / HRSG electrical e-house (32 x 40 ft)</t>
        </is>
      </c>
      <c r="G1448" s="12" t="inlineStr"/>
      <c r="H1448" s="12" t="inlineStr">
        <is>
          <t>GSU-3 firewall</t>
        </is>
      </c>
      <c r="I1448" s="12" t="inlineStr">
        <is>
          <t>LV 600 V</t>
        </is>
      </c>
      <c r="J1448" s="12" t="inlineStr">
        <is>
          <t>Type TC-ER 600 V 3/C Cu XHHW-2 + ground, PVC jacket</t>
        </is>
      </c>
      <c r="K1448" s="12" t="inlineStr">
        <is>
          <t>LV|3/C+G|10</t>
        </is>
      </c>
      <c r="L1448" s="12" t="inlineStr">
        <is>
          <t>3/C+G</t>
        </is>
      </c>
      <c r="M1448" s="12" t="inlineStr">
        <is>
          <t>10</t>
        </is>
      </c>
      <c r="N1448" s="12" t="n">
        <v>1</v>
      </c>
      <c r="O1448" s="12" t="n">
        <v>1</v>
      </c>
      <c r="P1448" s="12" t="n">
        <v>480</v>
      </c>
      <c r="Q1448" s="12" t="n">
        <v>2</v>
      </c>
      <c r="R1448" s="12" t="n">
        <v>2.8</v>
      </c>
      <c r="S1448" s="12" t="inlineStr">
        <is>
          <t>Duct bank</t>
        </is>
      </c>
      <c r="T1448" s="16" t="n">
        <v>1140</v>
      </c>
      <c r="U1448" s="16" t="n">
        <v>110</v>
      </c>
      <c r="V1448" s="16">
        <f>ROUNDUP((T1448+U1448+2*'Read Me'!$B$13)*(1+'Read Me'!$B$12),-1)</f>
        <v/>
      </c>
      <c r="W1448" s="16">
        <f>V1448*N1448*O1448</f>
        <v/>
      </c>
      <c r="X1448" s="12">
        <f>IF(LEFT(I1448,2)="MV",2*N1448*IF(L1448="1/C",O1448,1),0)</f>
        <v/>
      </c>
      <c r="Y1448" s="12">
        <f>IF(OR(LEFT(K1448,4)="LVAX",LEFT(K1448,6)="MV15AX",LEFT(K1448,4)="CTAX",LEFT(K1448,2)="W|"),2*N1448*O1448,0)</f>
        <v/>
      </c>
      <c r="Z1448" s="12" t="inlineStr">
        <is>
          <t>VD 1.7 %</t>
        </is>
      </c>
      <c r="AA1448" s="12">
        <f>N1448*O1448</f>
        <v/>
      </c>
    </row>
    <row r="1449">
      <c r="A1449" s="12" t="inlineStr">
        <is>
          <t>A-P-0082</t>
        </is>
      </c>
      <c r="B1449" s="12" t="inlineStr">
        <is>
          <t>A</t>
        </is>
      </c>
      <c r="C1449" s="12" t="inlineStr">
        <is>
          <t>Power block</t>
        </is>
      </c>
      <c r="D1449" s="12" t="inlineStr">
        <is>
          <t>Motor 1 of 6, 2 kW</t>
        </is>
      </c>
      <c r="E1449" s="12" t="inlineStr">
        <is>
          <t>R2C</t>
        </is>
      </c>
      <c r="F1449" s="12" t="inlineStr">
        <is>
          <t>R2C: unit / HRSG electrical e-house (32 x 40 ft)</t>
        </is>
      </c>
      <c r="G1449" s="12" t="inlineStr">
        <is>
          <t>GSU-3</t>
        </is>
      </c>
      <c r="H1449" s="12" t="inlineStr">
        <is>
          <t>GSU-3: 21/230 kV generator step-up transformer</t>
        </is>
      </c>
      <c r="I1449" s="12" t="inlineStr">
        <is>
          <t>LV 600 V</t>
        </is>
      </c>
      <c r="J1449" s="12" t="inlineStr">
        <is>
          <t>Type TC-ER 600 V 3/C Cu XHHW-2 + ground, PVC jacket</t>
        </is>
      </c>
      <c r="K1449" s="12" t="inlineStr">
        <is>
          <t>LV|3/C+G|10</t>
        </is>
      </c>
      <c r="L1449" s="12" t="inlineStr">
        <is>
          <t>3/C+G</t>
        </is>
      </c>
      <c r="M1449" s="12" t="inlineStr">
        <is>
          <t>10</t>
        </is>
      </c>
      <c r="N1449" s="12" t="n">
        <v>1</v>
      </c>
      <c r="O1449" s="12" t="n">
        <v>1</v>
      </c>
      <c r="P1449" s="12" t="n">
        <v>480</v>
      </c>
      <c r="Q1449" s="12" t="n">
        <v>2</v>
      </c>
      <c r="R1449" s="12" t="n">
        <v>2.8</v>
      </c>
      <c r="S1449" s="12" t="inlineStr">
        <is>
          <t>Duct bank</t>
        </is>
      </c>
      <c r="T1449" s="16" t="n">
        <v>1103</v>
      </c>
      <c r="U1449" s="16" t="n">
        <v>113</v>
      </c>
      <c r="V1449" s="16">
        <f>ROUNDUP((T1449+U1449+2*'Read Me'!$B$13)*(1+'Read Me'!$B$12),-1)</f>
        <v/>
      </c>
      <c r="W1449" s="16">
        <f>V1449*N1449*O1449</f>
        <v/>
      </c>
      <c r="X1449" s="12">
        <f>IF(LEFT(I1449,2)="MV",2*N1449*IF(L1449="1/C",O1449,1),0)</f>
        <v/>
      </c>
      <c r="Y1449" s="12">
        <f>IF(OR(LEFT(K1449,4)="LVAX",LEFT(K1449,6)="MV15AX",LEFT(K1449,4)="CTAX",LEFT(K1449,2)="W|"),2*N1449*O1449,0)</f>
        <v/>
      </c>
      <c r="Z1449" s="12" t="inlineStr">
        <is>
          <t>VD 1.7 %</t>
        </is>
      </c>
      <c r="AA1449" s="12">
        <f>N1449*O1449</f>
        <v/>
      </c>
    </row>
    <row r="1450">
      <c r="A1450" s="12" t="inlineStr">
        <is>
          <t>A-P-0083</t>
        </is>
      </c>
      <c r="B1450" s="12" t="inlineStr">
        <is>
          <t>A</t>
        </is>
      </c>
      <c r="C1450" s="12" t="inlineStr">
        <is>
          <t>Power block</t>
        </is>
      </c>
      <c r="D1450" s="12" t="inlineStr">
        <is>
          <t>Motor 2 of 6, 2 kW</t>
        </is>
      </c>
      <c r="E1450" s="12" t="inlineStr">
        <is>
          <t>R2C</t>
        </is>
      </c>
      <c r="F1450" s="12" t="inlineStr">
        <is>
          <t>R2C: unit / HRSG electrical e-house (32 x 40 ft)</t>
        </is>
      </c>
      <c r="G1450" s="12" t="inlineStr">
        <is>
          <t>GSU-3</t>
        </is>
      </c>
      <c r="H1450" s="12" t="inlineStr">
        <is>
          <t>GSU-3: 21/230 kV generator step-up transformer</t>
        </is>
      </c>
      <c r="I1450" s="12" t="inlineStr">
        <is>
          <t>LV 600 V</t>
        </is>
      </c>
      <c r="J1450" s="12" t="inlineStr">
        <is>
          <t>Type TC-ER 600 V 3/C Cu XHHW-2 + ground, PVC jacket</t>
        </is>
      </c>
      <c r="K1450" s="12" t="inlineStr">
        <is>
          <t>LV|3/C+G|10</t>
        </is>
      </c>
      <c r="L1450" s="12" t="inlineStr">
        <is>
          <t>3/C+G</t>
        </is>
      </c>
      <c r="M1450" s="12" t="inlineStr">
        <is>
          <t>10</t>
        </is>
      </c>
      <c r="N1450" s="12" t="n">
        <v>1</v>
      </c>
      <c r="O1450" s="12" t="n">
        <v>1</v>
      </c>
      <c r="P1450" s="12" t="n">
        <v>480</v>
      </c>
      <c r="Q1450" s="12" t="n">
        <v>2</v>
      </c>
      <c r="R1450" s="12" t="n">
        <v>2.8</v>
      </c>
      <c r="S1450" s="12" t="inlineStr">
        <is>
          <t>Duct bank</t>
        </is>
      </c>
      <c r="T1450" s="16" t="n">
        <v>1103</v>
      </c>
      <c r="U1450" s="16" t="n">
        <v>113</v>
      </c>
      <c r="V1450" s="16">
        <f>ROUNDUP((T1450+U1450+2*'Read Me'!$B$13)*(1+'Read Me'!$B$12),-1)</f>
        <v/>
      </c>
      <c r="W1450" s="16">
        <f>V1450*N1450*O1450</f>
        <v/>
      </c>
      <c r="X1450" s="12">
        <f>IF(LEFT(I1450,2)="MV",2*N1450*IF(L1450="1/C",O1450,1),0)</f>
        <v/>
      </c>
      <c r="Y1450" s="12">
        <f>IF(OR(LEFT(K1450,4)="LVAX",LEFT(K1450,6)="MV15AX",LEFT(K1450,4)="CTAX",LEFT(K1450,2)="W|"),2*N1450*O1450,0)</f>
        <v/>
      </c>
      <c r="Z1450" s="12" t="inlineStr">
        <is>
          <t>VD 1.7 %</t>
        </is>
      </c>
      <c r="AA1450" s="12">
        <f>N1450*O1450</f>
        <v/>
      </c>
    </row>
    <row r="1451">
      <c r="A1451" s="12" t="inlineStr">
        <is>
          <t>A-P-0084</t>
        </is>
      </c>
      <c r="B1451" s="12" t="inlineStr">
        <is>
          <t>A</t>
        </is>
      </c>
      <c r="C1451" s="12" t="inlineStr">
        <is>
          <t>Power block</t>
        </is>
      </c>
      <c r="D1451" s="12" t="inlineStr">
        <is>
          <t>Motor 3 of 6, 2 kW</t>
        </is>
      </c>
      <c r="E1451" s="12" t="inlineStr">
        <is>
          <t>R2C</t>
        </is>
      </c>
      <c r="F1451" s="12" t="inlineStr">
        <is>
          <t>R2C: unit / HRSG electrical e-house (32 x 40 ft)</t>
        </is>
      </c>
      <c r="G1451" s="12" t="inlineStr">
        <is>
          <t>GSU-3</t>
        </is>
      </c>
      <c r="H1451" s="12" t="inlineStr">
        <is>
          <t>GSU-3: 21/230 kV generator step-up transformer</t>
        </is>
      </c>
      <c r="I1451" s="12" t="inlineStr">
        <is>
          <t>LV 600 V</t>
        </is>
      </c>
      <c r="J1451" s="12" t="inlineStr">
        <is>
          <t>Type TC-ER 600 V 3/C Cu XHHW-2 + ground, PVC jacket</t>
        </is>
      </c>
      <c r="K1451" s="12" t="inlineStr">
        <is>
          <t>LV|3/C+G|10</t>
        </is>
      </c>
      <c r="L1451" s="12" t="inlineStr">
        <is>
          <t>3/C+G</t>
        </is>
      </c>
      <c r="M1451" s="12" t="inlineStr">
        <is>
          <t>10</t>
        </is>
      </c>
      <c r="N1451" s="12" t="n">
        <v>1</v>
      </c>
      <c r="O1451" s="12" t="n">
        <v>1</v>
      </c>
      <c r="P1451" s="12" t="n">
        <v>480</v>
      </c>
      <c r="Q1451" s="12" t="n">
        <v>2</v>
      </c>
      <c r="R1451" s="12" t="n">
        <v>2.8</v>
      </c>
      <c r="S1451" s="12" t="inlineStr">
        <is>
          <t>Duct bank</t>
        </is>
      </c>
      <c r="T1451" s="16" t="n">
        <v>1103</v>
      </c>
      <c r="U1451" s="16" t="n">
        <v>113</v>
      </c>
      <c r="V1451" s="16">
        <f>ROUNDUP((T1451+U1451+2*'Read Me'!$B$13)*(1+'Read Me'!$B$12),-1)</f>
        <v/>
      </c>
      <c r="W1451" s="16">
        <f>V1451*N1451*O1451</f>
        <v/>
      </c>
      <c r="X1451" s="12">
        <f>IF(LEFT(I1451,2)="MV",2*N1451*IF(L1451="1/C",O1451,1),0)</f>
        <v/>
      </c>
      <c r="Y1451" s="12">
        <f>IF(OR(LEFT(K1451,4)="LVAX",LEFT(K1451,6)="MV15AX",LEFT(K1451,4)="CTAX",LEFT(K1451,2)="W|"),2*N1451*O1451,0)</f>
        <v/>
      </c>
      <c r="Z1451" s="12" t="inlineStr">
        <is>
          <t>VD 1.7 %</t>
        </is>
      </c>
      <c r="AA1451" s="12">
        <f>N1451*O1451</f>
        <v/>
      </c>
    </row>
    <row r="1452">
      <c r="A1452" s="12" t="inlineStr">
        <is>
          <t>A-P-0085</t>
        </is>
      </c>
      <c r="B1452" s="12" t="inlineStr">
        <is>
          <t>A</t>
        </is>
      </c>
      <c r="C1452" s="12" t="inlineStr">
        <is>
          <t>Power block</t>
        </is>
      </c>
      <c r="D1452" s="12" t="inlineStr">
        <is>
          <t>Motor 4 of 6, 2 kW</t>
        </is>
      </c>
      <c r="E1452" s="12" t="inlineStr">
        <is>
          <t>R2C</t>
        </is>
      </c>
      <c r="F1452" s="12" t="inlineStr">
        <is>
          <t>R2C: unit / HRSG electrical e-house (32 x 40 ft)</t>
        </is>
      </c>
      <c r="G1452" s="12" t="inlineStr">
        <is>
          <t>GSU-3</t>
        </is>
      </c>
      <c r="H1452" s="12" t="inlineStr">
        <is>
          <t>GSU-3: 21/230 kV generator step-up transformer</t>
        </is>
      </c>
      <c r="I1452" s="12" t="inlineStr">
        <is>
          <t>LV 600 V</t>
        </is>
      </c>
      <c r="J1452" s="12" t="inlineStr">
        <is>
          <t>Type TC-ER 600 V 3/C Cu XHHW-2 + ground, PVC jacket</t>
        </is>
      </c>
      <c r="K1452" s="12" t="inlineStr">
        <is>
          <t>LV|3/C+G|10</t>
        </is>
      </c>
      <c r="L1452" s="12" t="inlineStr">
        <is>
          <t>3/C+G</t>
        </is>
      </c>
      <c r="M1452" s="12" t="inlineStr">
        <is>
          <t>10</t>
        </is>
      </c>
      <c r="N1452" s="12" t="n">
        <v>1</v>
      </c>
      <c r="O1452" s="12" t="n">
        <v>1</v>
      </c>
      <c r="P1452" s="12" t="n">
        <v>480</v>
      </c>
      <c r="Q1452" s="12" t="n">
        <v>2</v>
      </c>
      <c r="R1452" s="12" t="n">
        <v>2.8</v>
      </c>
      <c r="S1452" s="12" t="inlineStr">
        <is>
          <t>Duct bank</t>
        </is>
      </c>
      <c r="T1452" s="16" t="n">
        <v>1103</v>
      </c>
      <c r="U1452" s="16" t="n">
        <v>113</v>
      </c>
      <c r="V1452" s="16">
        <f>ROUNDUP((T1452+U1452+2*'Read Me'!$B$13)*(1+'Read Me'!$B$12),-1)</f>
        <v/>
      </c>
      <c r="W1452" s="16">
        <f>V1452*N1452*O1452</f>
        <v/>
      </c>
      <c r="X1452" s="12">
        <f>IF(LEFT(I1452,2)="MV",2*N1452*IF(L1452="1/C",O1452,1),0)</f>
        <v/>
      </c>
      <c r="Y1452" s="12">
        <f>IF(OR(LEFT(K1452,4)="LVAX",LEFT(K1452,6)="MV15AX",LEFT(K1452,4)="CTAX",LEFT(K1452,2)="W|"),2*N1452*O1452,0)</f>
        <v/>
      </c>
      <c r="Z1452" s="12" t="inlineStr">
        <is>
          <t>VD 1.7 %</t>
        </is>
      </c>
      <c r="AA1452" s="12">
        <f>N1452*O1452</f>
        <v/>
      </c>
    </row>
    <row r="1453">
      <c r="A1453" s="12" t="inlineStr">
        <is>
          <t>A-P-0086</t>
        </is>
      </c>
      <c r="B1453" s="12" t="inlineStr">
        <is>
          <t>A</t>
        </is>
      </c>
      <c r="C1453" s="12" t="inlineStr">
        <is>
          <t>Power block</t>
        </is>
      </c>
      <c r="D1453" s="12" t="inlineStr">
        <is>
          <t>Motor 5 of 6, 2 kW</t>
        </is>
      </c>
      <c r="E1453" s="12" t="inlineStr">
        <is>
          <t>R2C</t>
        </is>
      </c>
      <c r="F1453" s="12" t="inlineStr">
        <is>
          <t>R2C: unit / HRSG electrical e-house (32 x 40 ft)</t>
        </is>
      </c>
      <c r="G1453" s="12" t="inlineStr">
        <is>
          <t>GSU-3</t>
        </is>
      </c>
      <c r="H1453" s="12" t="inlineStr">
        <is>
          <t>GSU-3: 21/230 kV generator step-up transformer</t>
        </is>
      </c>
      <c r="I1453" s="12" t="inlineStr">
        <is>
          <t>LV 600 V</t>
        </is>
      </c>
      <c r="J1453" s="12" t="inlineStr">
        <is>
          <t>Type TC-ER 600 V 3/C Cu XHHW-2 + ground, PVC jacket</t>
        </is>
      </c>
      <c r="K1453" s="12" t="inlineStr">
        <is>
          <t>LV|3/C+G|10</t>
        </is>
      </c>
      <c r="L1453" s="12" t="inlineStr">
        <is>
          <t>3/C+G</t>
        </is>
      </c>
      <c r="M1453" s="12" t="inlineStr">
        <is>
          <t>10</t>
        </is>
      </c>
      <c r="N1453" s="12" t="n">
        <v>1</v>
      </c>
      <c r="O1453" s="12" t="n">
        <v>1</v>
      </c>
      <c r="P1453" s="12" t="n">
        <v>480</v>
      </c>
      <c r="Q1453" s="12" t="n">
        <v>2</v>
      </c>
      <c r="R1453" s="12" t="n">
        <v>2.8</v>
      </c>
      <c r="S1453" s="12" t="inlineStr">
        <is>
          <t>Duct bank</t>
        </is>
      </c>
      <c r="T1453" s="16" t="n">
        <v>1103</v>
      </c>
      <c r="U1453" s="16" t="n">
        <v>113</v>
      </c>
      <c r="V1453" s="16">
        <f>ROUNDUP((T1453+U1453+2*'Read Me'!$B$13)*(1+'Read Me'!$B$12),-1)</f>
        <v/>
      </c>
      <c r="W1453" s="16">
        <f>V1453*N1453*O1453</f>
        <v/>
      </c>
      <c r="X1453" s="12">
        <f>IF(LEFT(I1453,2)="MV",2*N1453*IF(L1453="1/C",O1453,1),0)</f>
        <v/>
      </c>
      <c r="Y1453" s="12">
        <f>IF(OR(LEFT(K1453,4)="LVAX",LEFT(K1453,6)="MV15AX",LEFT(K1453,4)="CTAX",LEFT(K1453,2)="W|"),2*N1453*O1453,0)</f>
        <v/>
      </c>
      <c r="Z1453" s="12" t="inlineStr">
        <is>
          <t>VD 1.7 %</t>
        </is>
      </c>
      <c r="AA1453" s="12">
        <f>N1453*O1453</f>
        <v/>
      </c>
    </row>
    <row r="1454">
      <c r="A1454" s="12" t="inlineStr">
        <is>
          <t>A-P-0087</t>
        </is>
      </c>
      <c r="B1454" s="12" t="inlineStr">
        <is>
          <t>A</t>
        </is>
      </c>
      <c r="C1454" s="12" t="inlineStr">
        <is>
          <t>Power block</t>
        </is>
      </c>
      <c r="D1454" s="12" t="inlineStr">
        <is>
          <t>Motor 6 of 6, 2 kW</t>
        </is>
      </c>
      <c r="E1454" s="12" t="inlineStr">
        <is>
          <t>R2C</t>
        </is>
      </c>
      <c r="F1454" s="12" t="inlineStr">
        <is>
          <t>R2C: unit / HRSG electrical e-house (32 x 40 ft)</t>
        </is>
      </c>
      <c r="G1454" s="12" t="inlineStr">
        <is>
          <t>GSU-3</t>
        </is>
      </c>
      <c r="H1454" s="12" t="inlineStr">
        <is>
          <t>GSU-3: 21/230 kV generator step-up transformer</t>
        </is>
      </c>
      <c r="I1454" s="12" t="inlineStr">
        <is>
          <t>LV 600 V</t>
        </is>
      </c>
      <c r="J1454" s="12" t="inlineStr">
        <is>
          <t>Type TC-ER 600 V 3/C Cu XHHW-2 + ground, PVC jacket</t>
        </is>
      </c>
      <c r="K1454" s="12" t="inlineStr">
        <is>
          <t>LV|3/C+G|10</t>
        </is>
      </c>
      <c r="L1454" s="12" t="inlineStr">
        <is>
          <t>3/C+G</t>
        </is>
      </c>
      <c r="M1454" s="12" t="inlineStr">
        <is>
          <t>10</t>
        </is>
      </c>
      <c r="N1454" s="12" t="n">
        <v>1</v>
      </c>
      <c r="O1454" s="12" t="n">
        <v>1</v>
      </c>
      <c r="P1454" s="12" t="n">
        <v>480</v>
      </c>
      <c r="Q1454" s="12" t="n">
        <v>2</v>
      </c>
      <c r="R1454" s="12" t="n">
        <v>2.8</v>
      </c>
      <c r="S1454" s="12" t="inlineStr">
        <is>
          <t>Duct bank</t>
        </is>
      </c>
      <c r="T1454" s="16" t="n">
        <v>1103</v>
      </c>
      <c r="U1454" s="16" t="n">
        <v>113</v>
      </c>
      <c r="V1454" s="16">
        <f>ROUNDUP((T1454+U1454+2*'Read Me'!$B$13)*(1+'Read Me'!$B$12),-1)</f>
        <v/>
      </c>
      <c r="W1454" s="16">
        <f>V1454*N1454*O1454</f>
        <v/>
      </c>
      <c r="X1454" s="12">
        <f>IF(LEFT(I1454,2)="MV",2*N1454*IF(L1454="1/C",O1454,1),0)</f>
        <v/>
      </c>
      <c r="Y1454" s="12">
        <f>IF(OR(LEFT(K1454,4)="LVAX",LEFT(K1454,6)="MV15AX",LEFT(K1454,4)="CTAX",LEFT(K1454,2)="W|"),2*N1454*O1454,0)</f>
        <v/>
      </c>
      <c r="Z1454" s="12" t="inlineStr">
        <is>
          <t>VD 1.7 %</t>
        </is>
      </c>
      <c r="AA1454" s="12">
        <f>N1454*O1454</f>
        <v/>
      </c>
    </row>
    <row r="1455">
      <c r="A1455" s="12" t="inlineStr">
        <is>
          <t>A-P-0088</t>
        </is>
      </c>
      <c r="B1455" s="12" t="inlineStr">
        <is>
          <t>A</t>
        </is>
      </c>
      <c r="C1455" s="12" t="inlineStr">
        <is>
          <t>Power block</t>
        </is>
      </c>
      <c r="D1455" s="12" t="inlineStr">
        <is>
          <t>Motor 1 of 6, 2 kW</t>
        </is>
      </c>
      <c r="E1455" s="12" t="inlineStr">
        <is>
          <t>R3</t>
        </is>
      </c>
      <c r="F1455" s="12" t="inlineStr">
        <is>
          <t>R3: ST auxiliary electrical e-house (40 x 65 ft)</t>
        </is>
      </c>
      <c r="G1455" s="12" t="inlineStr"/>
      <c r="H1455" s="12" t="inlineStr">
        <is>
          <t>GSU-ST firewall</t>
        </is>
      </c>
      <c r="I1455" s="12" t="inlineStr">
        <is>
          <t>LV 600 V</t>
        </is>
      </c>
      <c r="J1455" s="12" t="inlineStr">
        <is>
          <t>Type TC-ER 600 V 3/C Cu XHHW-2 + ground, PVC jacket</t>
        </is>
      </c>
      <c r="K1455" s="12" t="inlineStr">
        <is>
          <t>LV|3/C+G|10</t>
        </is>
      </c>
      <c r="L1455" s="12" t="inlineStr">
        <is>
          <t>3/C+G</t>
        </is>
      </c>
      <c r="M1455" s="12" t="inlineStr">
        <is>
          <t>10</t>
        </is>
      </c>
      <c r="N1455" s="12" t="n">
        <v>1</v>
      </c>
      <c r="O1455" s="12" t="n">
        <v>1</v>
      </c>
      <c r="P1455" s="12" t="n">
        <v>480</v>
      </c>
      <c r="Q1455" s="12" t="n">
        <v>2</v>
      </c>
      <c r="R1455" s="12" t="n">
        <v>2.8</v>
      </c>
      <c r="S1455" s="12" t="inlineStr">
        <is>
          <t>Duct bank</t>
        </is>
      </c>
      <c r="T1455" s="16" t="n">
        <v>463</v>
      </c>
      <c r="U1455" s="16" t="n">
        <v>35</v>
      </c>
      <c r="V1455" s="16">
        <f>ROUNDUP((T1455+U1455+2*'Read Me'!$B$13)*(1+'Read Me'!$B$12),-1)</f>
        <v/>
      </c>
      <c r="W1455" s="16">
        <f>V1455*N1455*O1455</f>
        <v/>
      </c>
      <c r="X1455" s="12">
        <f>IF(LEFT(I1455,2)="MV",2*N1455*IF(L1455="1/C",O1455,1),0)</f>
        <v/>
      </c>
      <c r="Y1455" s="12">
        <f>IF(OR(LEFT(K1455,4)="LVAX",LEFT(K1455,6)="MV15AX",LEFT(K1455,4)="CTAX",LEFT(K1455,2)="W|"),2*N1455*O1455,0)</f>
        <v/>
      </c>
      <c r="Z1455" s="12" t="inlineStr">
        <is>
          <t>VD 0.7 %</t>
        </is>
      </c>
      <c r="AA1455" s="12">
        <f>N1455*O1455</f>
        <v/>
      </c>
    </row>
    <row r="1456">
      <c r="A1456" s="12" t="inlineStr">
        <is>
          <t>A-P-0089</t>
        </is>
      </c>
      <c r="B1456" s="12" t="inlineStr">
        <is>
          <t>A</t>
        </is>
      </c>
      <c r="C1456" s="12" t="inlineStr">
        <is>
          <t>Power block</t>
        </is>
      </c>
      <c r="D1456" s="12" t="inlineStr">
        <is>
          <t>Motor 2 of 6, 2 kW</t>
        </is>
      </c>
      <c r="E1456" s="12" t="inlineStr">
        <is>
          <t>R3</t>
        </is>
      </c>
      <c r="F1456" s="12" t="inlineStr">
        <is>
          <t>R3: ST auxiliary electrical e-house (40 x 65 ft)</t>
        </is>
      </c>
      <c r="G1456" s="12" t="inlineStr"/>
      <c r="H1456" s="12" t="inlineStr">
        <is>
          <t>GSU-ST firewall</t>
        </is>
      </c>
      <c r="I1456" s="12" t="inlineStr">
        <is>
          <t>LV 600 V</t>
        </is>
      </c>
      <c r="J1456" s="12" t="inlineStr">
        <is>
          <t>Type TC-ER 600 V 3/C Cu XHHW-2 + ground, PVC jacket</t>
        </is>
      </c>
      <c r="K1456" s="12" t="inlineStr">
        <is>
          <t>LV|3/C+G|10</t>
        </is>
      </c>
      <c r="L1456" s="12" t="inlineStr">
        <is>
          <t>3/C+G</t>
        </is>
      </c>
      <c r="M1456" s="12" t="inlineStr">
        <is>
          <t>10</t>
        </is>
      </c>
      <c r="N1456" s="12" t="n">
        <v>1</v>
      </c>
      <c r="O1456" s="12" t="n">
        <v>1</v>
      </c>
      <c r="P1456" s="12" t="n">
        <v>480</v>
      </c>
      <c r="Q1456" s="12" t="n">
        <v>2</v>
      </c>
      <c r="R1456" s="12" t="n">
        <v>2.8</v>
      </c>
      <c r="S1456" s="12" t="inlineStr">
        <is>
          <t>Duct bank</t>
        </is>
      </c>
      <c r="T1456" s="16" t="n">
        <v>463</v>
      </c>
      <c r="U1456" s="16" t="n">
        <v>35</v>
      </c>
      <c r="V1456" s="16">
        <f>ROUNDUP((T1456+U1456+2*'Read Me'!$B$13)*(1+'Read Me'!$B$12),-1)</f>
        <v/>
      </c>
      <c r="W1456" s="16">
        <f>V1456*N1456*O1456</f>
        <v/>
      </c>
      <c r="X1456" s="12">
        <f>IF(LEFT(I1456,2)="MV",2*N1456*IF(L1456="1/C",O1456,1),0)</f>
        <v/>
      </c>
      <c r="Y1456" s="12">
        <f>IF(OR(LEFT(K1456,4)="LVAX",LEFT(K1456,6)="MV15AX",LEFT(K1456,4)="CTAX",LEFT(K1456,2)="W|"),2*N1456*O1456,0)</f>
        <v/>
      </c>
      <c r="Z1456" s="12" t="inlineStr">
        <is>
          <t>VD 0.7 %</t>
        </is>
      </c>
      <c r="AA1456" s="12">
        <f>N1456*O1456</f>
        <v/>
      </c>
    </row>
    <row r="1457">
      <c r="A1457" s="12" t="inlineStr">
        <is>
          <t>A-P-0090</t>
        </is>
      </c>
      <c r="B1457" s="12" t="inlineStr">
        <is>
          <t>A</t>
        </is>
      </c>
      <c r="C1457" s="12" t="inlineStr">
        <is>
          <t>Power block</t>
        </is>
      </c>
      <c r="D1457" s="12" t="inlineStr">
        <is>
          <t>Motor 3 of 6, 2 kW</t>
        </is>
      </c>
      <c r="E1457" s="12" t="inlineStr">
        <is>
          <t>R3</t>
        </is>
      </c>
      <c r="F1457" s="12" t="inlineStr">
        <is>
          <t>R3: ST auxiliary electrical e-house (40 x 65 ft)</t>
        </is>
      </c>
      <c r="G1457" s="12" t="inlineStr"/>
      <c r="H1457" s="12" t="inlineStr">
        <is>
          <t>GSU-ST firewall</t>
        </is>
      </c>
      <c r="I1457" s="12" t="inlineStr">
        <is>
          <t>LV 600 V</t>
        </is>
      </c>
      <c r="J1457" s="12" t="inlineStr">
        <is>
          <t>Type TC-ER 600 V 3/C Cu XHHW-2 + ground, PVC jacket</t>
        </is>
      </c>
      <c r="K1457" s="12" t="inlineStr">
        <is>
          <t>LV|3/C+G|10</t>
        </is>
      </c>
      <c r="L1457" s="12" t="inlineStr">
        <is>
          <t>3/C+G</t>
        </is>
      </c>
      <c r="M1457" s="12" t="inlineStr">
        <is>
          <t>10</t>
        </is>
      </c>
      <c r="N1457" s="12" t="n">
        <v>1</v>
      </c>
      <c r="O1457" s="12" t="n">
        <v>1</v>
      </c>
      <c r="P1457" s="12" t="n">
        <v>480</v>
      </c>
      <c r="Q1457" s="12" t="n">
        <v>2</v>
      </c>
      <c r="R1457" s="12" t="n">
        <v>2.8</v>
      </c>
      <c r="S1457" s="12" t="inlineStr">
        <is>
          <t>Duct bank</t>
        </is>
      </c>
      <c r="T1457" s="16" t="n">
        <v>463</v>
      </c>
      <c r="U1457" s="16" t="n">
        <v>35</v>
      </c>
      <c r="V1457" s="16">
        <f>ROUNDUP((T1457+U1457+2*'Read Me'!$B$13)*(1+'Read Me'!$B$12),-1)</f>
        <v/>
      </c>
      <c r="W1457" s="16">
        <f>V1457*N1457*O1457</f>
        <v/>
      </c>
      <c r="X1457" s="12">
        <f>IF(LEFT(I1457,2)="MV",2*N1457*IF(L1457="1/C",O1457,1),0)</f>
        <v/>
      </c>
      <c r="Y1457" s="12">
        <f>IF(OR(LEFT(K1457,4)="LVAX",LEFT(K1457,6)="MV15AX",LEFT(K1457,4)="CTAX",LEFT(K1457,2)="W|"),2*N1457*O1457,0)</f>
        <v/>
      </c>
      <c r="Z1457" s="12" t="inlineStr">
        <is>
          <t>VD 0.7 %</t>
        </is>
      </c>
      <c r="AA1457" s="12">
        <f>N1457*O1457</f>
        <v/>
      </c>
    </row>
    <row r="1458">
      <c r="A1458" s="12" t="inlineStr">
        <is>
          <t>A-P-0091</t>
        </is>
      </c>
      <c r="B1458" s="12" t="inlineStr">
        <is>
          <t>A</t>
        </is>
      </c>
      <c r="C1458" s="12" t="inlineStr">
        <is>
          <t>Power block</t>
        </is>
      </c>
      <c r="D1458" s="12" t="inlineStr">
        <is>
          <t>Motor 4 of 6, 2 kW</t>
        </is>
      </c>
      <c r="E1458" s="12" t="inlineStr">
        <is>
          <t>R3</t>
        </is>
      </c>
      <c r="F1458" s="12" t="inlineStr">
        <is>
          <t>R3: ST auxiliary electrical e-house (40 x 65 ft)</t>
        </is>
      </c>
      <c r="G1458" s="12" t="inlineStr"/>
      <c r="H1458" s="12" t="inlineStr">
        <is>
          <t>GSU-ST firewall</t>
        </is>
      </c>
      <c r="I1458" s="12" t="inlineStr">
        <is>
          <t>LV 600 V</t>
        </is>
      </c>
      <c r="J1458" s="12" t="inlineStr">
        <is>
          <t>Type TC-ER 600 V 3/C Cu XHHW-2 + ground, PVC jacket</t>
        </is>
      </c>
      <c r="K1458" s="12" t="inlineStr">
        <is>
          <t>LV|3/C+G|10</t>
        </is>
      </c>
      <c r="L1458" s="12" t="inlineStr">
        <is>
          <t>3/C+G</t>
        </is>
      </c>
      <c r="M1458" s="12" t="inlineStr">
        <is>
          <t>10</t>
        </is>
      </c>
      <c r="N1458" s="12" t="n">
        <v>1</v>
      </c>
      <c r="O1458" s="12" t="n">
        <v>1</v>
      </c>
      <c r="P1458" s="12" t="n">
        <v>480</v>
      </c>
      <c r="Q1458" s="12" t="n">
        <v>2</v>
      </c>
      <c r="R1458" s="12" t="n">
        <v>2.8</v>
      </c>
      <c r="S1458" s="12" t="inlineStr">
        <is>
          <t>Duct bank</t>
        </is>
      </c>
      <c r="T1458" s="16" t="n">
        <v>463</v>
      </c>
      <c r="U1458" s="16" t="n">
        <v>35</v>
      </c>
      <c r="V1458" s="16">
        <f>ROUNDUP((T1458+U1458+2*'Read Me'!$B$13)*(1+'Read Me'!$B$12),-1)</f>
        <v/>
      </c>
      <c r="W1458" s="16">
        <f>V1458*N1458*O1458</f>
        <v/>
      </c>
      <c r="X1458" s="12">
        <f>IF(LEFT(I1458,2)="MV",2*N1458*IF(L1458="1/C",O1458,1),0)</f>
        <v/>
      </c>
      <c r="Y1458" s="12">
        <f>IF(OR(LEFT(K1458,4)="LVAX",LEFT(K1458,6)="MV15AX",LEFT(K1458,4)="CTAX",LEFT(K1458,2)="W|"),2*N1458*O1458,0)</f>
        <v/>
      </c>
      <c r="Z1458" s="12" t="inlineStr">
        <is>
          <t>VD 0.7 %</t>
        </is>
      </c>
      <c r="AA1458" s="12">
        <f>N1458*O1458</f>
        <v/>
      </c>
    </row>
    <row r="1459">
      <c r="A1459" s="12" t="inlineStr">
        <is>
          <t>A-P-0092</t>
        </is>
      </c>
      <c r="B1459" s="12" t="inlineStr">
        <is>
          <t>A</t>
        </is>
      </c>
      <c r="C1459" s="12" t="inlineStr">
        <is>
          <t>Power block</t>
        </is>
      </c>
      <c r="D1459" s="12" t="inlineStr">
        <is>
          <t>Motor 5 of 6, 2 kW</t>
        </is>
      </c>
      <c r="E1459" s="12" t="inlineStr">
        <is>
          <t>R3</t>
        </is>
      </c>
      <c r="F1459" s="12" t="inlineStr">
        <is>
          <t>R3: ST auxiliary electrical e-house (40 x 65 ft)</t>
        </is>
      </c>
      <c r="G1459" s="12" t="inlineStr"/>
      <c r="H1459" s="12" t="inlineStr">
        <is>
          <t>GSU-ST firewall</t>
        </is>
      </c>
      <c r="I1459" s="12" t="inlineStr">
        <is>
          <t>LV 600 V</t>
        </is>
      </c>
      <c r="J1459" s="12" t="inlineStr">
        <is>
          <t>Type TC-ER 600 V 3/C Cu XHHW-2 + ground, PVC jacket</t>
        </is>
      </c>
      <c r="K1459" s="12" t="inlineStr">
        <is>
          <t>LV|3/C+G|10</t>
        </is>
      </c>
      <c r="L1459" s="12" t="inlineStr">
        <is>
          <t>3/C+G</t>
        </is>
      </c>
      <c r="M1459" s="12" t="inlineStr">
        <is>
          <t>10</t>
        </is>
      </c>
      <c r="N1459" s="12" t="n">
        <v>1</v>
      </c>
      <c r="O1459" s="12" t="n">
        <v>1</v>
      </c>
      <c r="P1459" s="12" t="n">
        <v>480</v>
      </c>
      <c r="Q1459" s="12" t="n">
        <v>2</v>
      </c>
      <c r="R1459" s="12" t="n">
        <v>2.8</v>
      </c>
      <c r="S1459" s="12" t="inlineStr">
        <is>
          <t>Duct bank</t>
        </is>
      </c>
      <c r="T1459" s="16" t="n">
        <v>463</v>
      </c>
      <c r="U1459" s="16" t="n">
        <v>35</v>
      </c>
      <c r="V1459" s="16">
        <f>ROUNDUP((T1459+U1459+2*'Read Me'!$B$13)*(1+'Read Me'!$B$12),-1)</f>
        <v/>
      </c>
      <c r="W1459" s="16">
        <f>V1459*N1459*O1459</f>
        <v/>
      </c>
      <c r="X1459" s="12">
        <f>IF(LEFT(I1459,2)="MV",2*N1459*IF(L1459="1/C",O1459,1),0)</f>
        <v/>
      </c>
      <c r="Y1459" s="12">
        <f>IF(OR(LEFT(K1459,4)="LVAX",LEFT(K1459,6)="MV15AX",LEFT(K1459,4)="CTAX",LEFT(K1459,2)="W|"),2*N1459*O1459,0)</f>
        <v/>
      </c>
      <c r="Z1459" s="12" t="inlineStr">
        <is>
          <t>VD 0.7 %</t>
        </is>
      </c>
      <c r="AA1459" s="12">
        <f>N1459*O1459</f>
        <v/>
      </c>
    </row>
    <row r="1460">
      <c r="A1460" s="12" t="inlineStr">
        <is>
          <t>A-P-0093</t>
        </is>
      </c>
      <c r="B1460" s="12" t="inlineStr">
        <is>
          <t>A</t>
        </is>
      </c>
      <c r="C1460" s="12" t="inlineStr">
        <is>
          <t>Power block</t>
        </is>
      </c>
      <c r="D1460" s="12" t="inlineStr">
        <is>
          <t>Motor 6 of 6, 2 kW</t>
        </is>
      </c>
      <c r="E1460" s="12" t="inlineStr">
        <is>
          <t>R3</t>
        </is>
      </c>
      <c r="F1460" s="12" t="inlineStr">
        <is>
          <t>R3: ST auxiliary electrical e-house (40 x 65 ft)</t>
        </is>
      </c>
      <c r="G1460" s="12" t="inlineStr"/>
      <c r="H1460" s="12" t="inlineStr">
        <is>
          <t>GSU-ST firewall</t>
        </is>
      </c>
      <c r="I1460" s="12" t="inlineStr">
        <is>
          <t>LV 600 V</t>
        </is>
      </c>
      <c r="J1460" s="12" t="inlineStr">
        <is>
          <t>Type TC-ER 600 V 3/C Cu XHHW-2 + ground, PVC jacket</t>
        </is>
      </c>
      <c r="K1460" s="12" t="inlineStr">
        <is>
          <t>LV|3/C+G|10</t>
        </is>
      </c>
      <c r="L1460" s="12" t="inlineStr">
        <is>
          <t>3/C+G</t>
        </is>
      </c>
      <c r="M1460" s="12" t="inlineStr">
        <is>
          <t>10</t>
        </is>
      </c>
      <c r="N1460" s="12" t="n">
        <v>1</v>
      </c>
      <c r="O1460" s="12" t="n">
        <v>1</v>
      </c>
      <c r="P1460" s="12" t="n">
        <v>480</v>
      </c>
      <c r="Q1460" s="12" t="n">
        <v>2</v>
      </c>
      <c r="R1460" s="12" t="n">
        <v>2.8</v>
      </c>
      <c r="S1460" s="12" t="inlineStr">
        <is>
          <t>Duct bank</t>
        </is>
      </c>
      <c r="T1460" s="16" t="n">
        <v>463</v>
      </c>
      <c r="U1460" s="16" t="n">
        <v>35</v>
      </c>
      <c r="V1460" s="16">
        <f>ROUNDUP((T1460+U1460+2*'Read Me'!$B$13)*(1+'Read Me'!$B$12),-1)</f>
        <v/>
      </c>
      <c r="W1460" s="16">
        <f>V1460*N1460*O1460</f>
        <v/>
      </c>
      <c r="X1460" s="12">
        <f>IF(LEFT(I1460,2)="MV",2*N1460*IF(L1460="1/C",O1460,1),0)</f>
        <v/>
      </c>
      <c r="Y1460" s="12">
        <f>IF(OR(LEFT(K1460,4)="LVAX",LEFT(K1460,6)="MV15AX",LEFT(K1460,4)="CTAX",LEFT(K1460,2)="W|"),2*N1460*O1460,0)</f>
        <v/>
      </c>
      <c r="Z1460" s="12" t="inlineStr">
        <is>
          <t>VD 0.7 %</t>
        </is>
      </c>
      <c r="AA1460" s="12">
        <f>N1460*O1460</f>
        <v/>
      </c>
    </row>
    <row r="1461">
      <c r="A1461" s="12" t="inlineStr">
        <is>
          <t>A-P-0094</t>
        </is>
      </c>
      <c r="B1461" s="12" t="inlineStr">
        <is>
          <t>A</t>
        </is>
      </c>
      <c r="C1461" s="12" t="inlineStr">
        <is>
          <t>Power block</t>
        </is>
      </c>
      <c r="D1461" s="12" t="inlineStr">
        <is>
          <t>Motor 1 of 6, 2 kW</t>
        </is>
      </c>
      <c r="E1461" s="12" t="inlineStr">
        <is>
          <t>R3</t>
        </is>
      </c>
      <c r="F1461" s="12" t="inlineStr">
        <is>
          <t>R3: ST auxiliary electrical e-house (40 x 65 ft)</t>
        </is>
      </c>
      <c r="G1461" s="12" t="inlineStr">
        <is>
          <t>GSU-ST</t>
        </is>
      </c>
      <c r="H1461" s="12" t="inlineStr">
        <is>
          <t>GSU-ST: 21/230 kV (one ST GSU, baseline)</t>
        </is>
      </c>
      <c r="I1461" s="12" t="inlineStr">
        <is>
          <t>LV 600 V</t>
        </is>
      </c>
      <c r="J1461" s="12" t="inlineStr">
        <is>
          <t>Type TC-ER 600 V 3/C Cu XHHW-2 + ground, PVC jacket</t>
        </is>
      </c>
      <c r="K1461" s="12" t="inlineStr">
        <is>
          <t>LV|3/C+G|10</t>
        </is>
      </c>
      <c r="L1461" s="12" t="inlineStr">
        <is>
          <t>3/C+G</t>
        </is>
      </c>
      <c r="M1461" s="12" t="inlineStr">
        <is>
          <t>10</t>
        </is>
      </c>
      <c r="N1461" s="12" t="n">
        <v>1</v>
      </c>
      <c r="O1461" s="12" t="n">
        <v>1</v>
      </c>
      <c r="P1461" s="12" t="n">
        <v>480</v>
      </c>
      <c r="Q1461" s="12" t="n">
        <v>2</v>
      </c>
      <c r="R1461" s="12" t="n">
        <v>2.8</v>
      </c>
      <c r="S1461" s="12" t="inlineStr">
        <is>
          <t>Duct bank</t>
        </is>
      </c>
      <c r="T1461" s="16" t="n">
        <v>408</v>
      </c>
      <c r="U1461" s="16" t="n">
        <v>32</v>
      </c>
      <c r="V1461" s="16">
        <f>ROUNDUP((T1461+U1461+2*'Read Me'!$B$13)*(1+'Read Me'!$B$12),-1)</f>
        <v/>
      </c>
      <c r="W1461" s="16">
        <f>V1461*N1461*O1461</f>
        <v/>
      </c>
      <c r="X1461" s="12">
        <f>IF(LEFT(I1461,2)="MV",2*N1461*IF(L1461="1/C",O1461,1),0)</f>
        <v/>
      </c>
      <c r="Y1461" s="12">
        <f>IF(OR(LEFT(K1461,4)="LVAX",LEFT(K1461,6)="MV15AX",LEFT(K1461,4)="CTAX",LEFT(K1461,2)="W|"),2*N1461*O1461,0)</f>
        <v/>
      </c>
      <c r="Z1461" s="12" t="inlineStr">
        <is>
          <t>VD 0.6 %</t>
        </is>
      </c>
      <c r="AA1461" s="12">
        <f>N1461*O1461</f>
        <v/>
      </c>
    </row>
    <row r="1462">
      <c r="A1462" s="12" t="inlineStr">
        <is>
          <t>A-P-0095</t>
        </is>
      </c>
      <c r="B1462" s="12" t="inlineStr">
        <is>
          <t>A</t>
        </is>
      </c>
      <c r="C1462" s="12" t="inlineStr">
        <is>
          <t>Power block</t>
        </is>
      </c>
      <c r="D1462" s="12" t="inlineStr">
        <is>
          <t>Motor 2 of 6, 2 kW</t>
        </is>
      </c>
      <c r="E1462" s="12" t="inlineStr">
        <is>
          <t>R3</t>
        </is>
      </c>
      <c r="F1462" s="12" t="inlineStr">
        <is>
          <t>R3: ST auxiliary electrical e-house (40 x 65 ft)</t>
        </is>
      </c>
      <c r="G1462" s="12" t="inlineStr">
        <is>
          <t>GSU-ST</t>
        </is>
      </c>
      <c r="H1462" s="12" t="inlineStr">
        <is>
          <t>GSU-ST: 21/230 kV (one ST GSU, baseline)</t>
        </is>
      </c>
      <c r="I1462" s="12" t="inlineStr">
        <is>
          <t>LV 600 V</t>
        </is>
      </c>
      <c r="J1462" s="12" t="inlineStr">
        <is>
          <t>Type TC-ER 600 V 3/C Cu XHHW-2 + ground, PVC jacket</t>
        </is>
      </c>
      <c r="K1462" s="12" t="inlineStr">
        <is>
          <t>LV|3/C+G|10</t>
        </is>
      </c>
      <c r="L1462" s="12" t="inlineStr">
        <is>
          <t>3/C+G</t>
        </is>
      </c>
      <c r="M1462" s="12" t="inlineStr">
        <is>
          <t>10</t>
        </is>
      </c>
      <c r="N1462" s="12" t="n">
        <v>1</v>
      </c>
      <c r="O1462" s="12" t="n">
        <v>1</v>
      </c>
      <c r="P1462" s="12" t="n">
        <v>480</v>
      </c>
      <c r="Q1462" s="12" t="n">
        <v>2</v>
      </c>
      <c r="R1462" s="12" t="n">
        <v>2.8</v>
      </c>
      <c r="S1462" s="12" t="inlineStr">
        <is>
          <t>Duct bank</t>
        </is>
      </c>
      <c r="T1462" s="16" t="n">
        <v>408</v>
      </c>
      <c r="U1462" s="16" t="n">
        <v>32</v>
      </c>
      <c r="V1462" s="16">
        <f>ROUNDUP((T1462+U1462+2*'Read Me'!$B$13)*(1+'Read Me'!$B$12),-1)</f>
        <v/>
      </c>
      <c r="W1462" s="16">
        <f>V1462*N1462*O1462</f>
        <v/>
      </c>
      <c r="X1462" s="12">
        <f>IF(LEFT(I1462,2)="MV",2*N1462*IF(L1462="1/C",O1462,1),0)</f>
        <v/>
      </c>
      <c r="Y1462" s="12">
        <f>IF(OR(LEFT(K1462,4)="LVAX",LEFT(K1462,6)="MV15AX",LEFT(K1462,4)="CTAX",LEFT(K1462,2)="W|"),2*N1462*O1462,0)</f>
        <v/>
      </c>
      <c r="Z1462" s="12" t="inlineStr">
        <is>
          <t>VD 0.6 %</t>
        </is>
      </c>
      <c r="AA1462" s="12">
        <f>N1462*O1462</f>
        <v/>
      </c>
    </row>
    <row r="1463">
      <c r="A1463" s="12" t="inlineStr">
        <is>
          <t>A-P-0096</t>
        </is>
      </c>
      <c r="B1463" s="12" t="inlineStr">
        <is>
          <t>A</t>
        </is>
      </c>
      <c r="C1463" s="12" t="inlineStr">
        <is>
          <t>Power block</t>
        </is>
      </c>
      <c r="D1463" s="12" t="inlineStr">
        <is>
          <t>Motor 3 of 6, 2 kW</t>
        </is>
      </c>
      <c r="E1463" s="12" t="inlineStr">
        <is>
          <t>R3</t>
        </is>
      </c>
      <c r="F1463" s="12" t="inlineStr">
        <is>
          <t>R3: ST auxiliary electrical e-house (40 x 65 ft)</t>
        </is>
      </c>
      <c r="G1463" s="12" t="inlineStr">
        <is>
          <t>GSU-ST</t>
        </is>
      </c>
      <c r="H1463" s="12" t="inlineStr">
        <is>
          <t>GSU-ST: 21/230 kV (one ST GSU, baseline)</t>
        </is>
      </c>
      <c r="I1463" s="12" t="inlineStr">
        <is>
          <t>LV 600 V</t>
        </is>
      </c>
      <c r="J1463" s="12" t="inlineStr">
        <is>
          <t>Type TC-ER 600 V 3/C Cu XHHW-2 + ground, PVC jacket</t>
        </is>
      </c>
      <c r="K1463" s="12" t="inlineStr">
        <is>
          <t>LV|3/C+G|10</t>
        </is>
      </c>
      <c r="L1463" s="12" t="inlineStr">
        <is>
          <t>3/C+G</t>
        </is>
      </c>
      <c r="M1463" s="12" t="inlineStr">
        <is>
          <t>10</t>
        </is>
      </c>
      <c r="N1463" s="12" t="n">
        <v>1</v>
      </c>
      <c r="O1463" s="12" t="n">
        <v>1</v>
      </c>
      <c r="P1463" s="12" t="n">
        <v>480</v>
      </c>
      <c r="Q1463" s="12" t="n">
        <v>2</v>
      </c>
      <c r="R1463" s="12" t="n">
        <v>2.8</v>
      </c>
      <c r="S1463" s="12" t="inlineStr">
        <is>
          <t>Duct bank</t>
        </is>
      </c>
      <c r="T1463" s="16" t="n">
        <v>408</v>
      </c>
      <c r="U1463" s="16" t="n">
        <v>32</v>
      </c>
      <c r="V1463" s="16">
        <f>ROUNDUP((T1463+U1463+2*'Read Me'!$B$13)*(1+'Read Me'!$B$12),-1)</f>
        <v/>
      </c>
      <c r="W1463" s="16">
        <f>V1463*N1463*O1463</f>
        <v/>
      </c>
      <c r="X1463" s="12">
        <f>IF(LEFT(I1463,2)="MV",2*N1463*IF(L1463="1/C",O1463,1),0)</f>
        <v/>
      </c>
      <c r="Y1463" s="12">
        <f>IF(OR(LEFT(K1463,4)="LVAX",LEFT(K1463,6)="MV15AX",LEFT(K1463,4)="CTAX",LEFT(K1463,2)="W|"),2*N1463*O1463,0)</f>
        <v/>
      </c>
      <c r="Z1463" s="12" t="inlineStr">
        <is>
          <t>VD 0.6 %</t>
        </is>
      </c>
      <c r="AA1463" s="12">
        <f>N1463*O1463</f>
        <v/>
      </c>
    </row>
    <row r="1464">
      <c r="A1464" s="12" t="inlineStr">
        <is>
          <t>A-P-0097</t>
        </is>
      </c>
      <c r="B1464" s="12" t="inlineStr">
        <is>
          <t>A</t>
        </is>
      </c>
      <c r="C1464" s="12" t="inlineStr">
        <is>
          <t>Power block</t>
        </is>
      </c>
      <c r="D1464" s="12" t="inlineStr">
        <is>
          <t>Motor 4 of 6, 2 kW</t>
        </is>
      </c>
      <c r="E1464" s="12" t="inlineStr">
        <is>
          <t>R3</t>
        </is>
      </c>
      <c r="F1464" s="12" t="inlineStr">
        <is>
          <t>R3: ST auxiliary electrical e-house (40 x 65 ft)</t>
        </is>
      </c>
      <c r="G1464" s="12" t="inlineStr">
        <is>
          <t>GSU-ST</t>
        </is>
      </c>
      <c r="H1464" s="12" t="inlineStr">
        <is>
          <t>GSU-ST: 21/230 kV (one ST GSU, baseline)</t>
        </is>
      </c>
      <c r="I1464" s="12" t="inlineStr">
        <is>
          <t>LV 600 V</t>
        </is>
      </c>
      <c r="J1464" s="12" t="inlineStr">
        <is>
          <t>Type TC-ER 600 V 3/C Cu XHHW-2 + ground, PVC jacket</t>
        </is>
      </c>
      <c r="K1464" s="12" t="inlineStr">
        <is>
          <t>LV|3/C+G|10</t>
        </is>
      </c>
      <c r="L1464" s="12" t="inlineStr">
        <is>
          <t>3/C+G</t>
        </is>
      </c>
      <c r="M1464" s="12" t="inlineStr">
        <is>
          <t>10</t>
        </is>
      </c>
      <c r="N1464" s="12" t="n">
        <v>1</v>
      </c>
      <c r="O1464" s="12" t="n">
        <v>1</v>
      </c>
      <c r="P1464" s="12" t="n">
        <v>480</v>
      </c>
      <c r="Q1464" s="12" t="n">
        <v>2</v>
      </c>
      <c r="R1464" s="12" t="n">
        <v>2.8</v>
      </c>
      <c r="S1464" s="12" t="inlineStr">
        <is>
          <t>Duct bank</t>
        </is>
      </c>
      <c r="T1464" s="16" t="n">
        <v>408</v>
      </c>
      <c r="U1464" s="16" t="n">
        <v>32</v>
      </c>
      <c r="V1464" s="16">
        <f>ROUNDUP((T1464+U1464+2*'Read Me'!$B$13)*(1+'Read Me'!$B$12),-1)</f>
        <v/>
      </c>
      <c r="W1464" s="16">
        <f>V1464*N1464*O1464</f>
        <v/>
      </c>
      <c r="X1464" s="12">
        <f>IF(LEFT(I1464,2)="MV",2*N1464*IF(L1464="1/C",O1464,1),0)</f>
        <v/>
      </c>
      <c r="Y1464" s="12">
        <f>IF(OR(LEFT(K1464,4)="LVAX",LEFT(K1464,6)="MV15AX",LEFT(K1464,4)="CTAX",LEFT(K1464,2)="W|"),2*N1464*O1464,0)</f>
        <v/>
      </c>
      <c r="Z1464" s="12" t="inlineStr">
        <is>
          <t>VD 0.6 %</t>
        </is>
      </c>
      <c r="AA1464" s="12">
        <f>N1464*O1464</f>
        <v/>
      </c>
    </row>
    <row r="1465">
      <c r="A1465" s="12" t="inlineStr">
        <is>
          <t>A-P-0098</t>
        </is>
      </c>
      <c r="B1465" s="12" t="inlineStr">
        <is>
          <t>A</t>
        </is>
      </c>
      <c r="C1465" s="12" t="inlineStr">
        <is>
          <t>Power block</t>
        </is>
      </c>
      <c r="D1465" s="12" t="inlineStr">
        <is>
          <t>Motor 5 of 6, 2 kW</t>
        </is>
      </c>
      <c r="E1465" s="12" t="inlineStr">
        <is>
          <t>R3</t>
        </is>
      </c>
      <c r="F1465" s="12" t="inlineStr">
        <is>
          <t>R3: ST auxiliary electrical e-house (40 x 65 ft)</t>
        </is>
      </c>
      <c r="G1465" s="12" t="inlineStr">
        <is>
          <t>GSU-ST</t>
        </is>
      </c>
      <c r="H1465" s="12" t="inlineStr">
        <is>
          <t>GSU-ST: 21/230 kV (one ST GSU, baseline)</t>
        </is>
      </c>
      <c r="I1465" s="12" t="inlineStr">
        <is>
          <t>LV 600 V</t>
        </is>
      </c>
      <c r="J1465" s="12" t="inlineStr">
        <is>
          <t>Type TC-ER 600 V 3/C Cu XHHW-2 + ground, PVC jacket</t>
        </is>
      </c>
      <c r="K1465" s="12" t="inlineStr">
        <is>
          <t>LV|3/C+G|10</t>
        </is>
      </c>
      <c r="L1465" s="12" t="inlineStr">
        <is>
          <t>3/C+G</t>
        </is>
      </c>
      <c r="M1465" s="12" t="inlineStr">
        <is>
          <t>10</t>
        </is>
      </c>
      <c r="N1465" s="12" t="n">
        <v>1</v>
      </c>
      <c r="O1465" s="12" t="n">
        <v>1</v>
      </c>
      <c r="P1465" s="12" t="n">
        <v>480</v>
      </c>
      <c r="Q1465" s="12" t="n">
        <v>2</v>
      </c>
      <c r="R1465" s="12" t="n">
        <v>2.8</v>
      </c>
      <c r="S1465" s="12" t="inlineStr">
        <is>
          <t>Duct bank</t>
        </is>
      </c>
      <c r="T1465" s="16" t="n">
        <v>408</v>
      </c>
      <c r="U1465" s="16" t="n">
        <v>32</v>
      </c>
      <c r="V1465" s="16">
        <f>ROUNDUP((T1465+U1465+2*'Read Me'!$B$13)*(1+'Read Me'!$B$12),-1)</f>
        <v/>
      </c>
      <c r="W1465" s="16">
        <f>V1465*N1465*O1465</f>
        <v/>
      </c>
      <c r="X1465" s="12">
        <f>IF(LEFT(I1465,2)="MV",2*N1465*IF(L1465="1/C",O1465,1),0)</f>
        <v/>
      </c>
      <c r="Y1465" s="12">
        <f>IF(OR(LEFT(K1465,4)="LVAX",LEFT(K1465,6)="MV15AX",LEFT(K1465,4)="CTAX",LEFT(K1465,2)="W|"),2*N1465*O1465,0)</f>
        <v/>
      </c>
      <c r="Z1465" s="12" t="inlineStr">
        <is>
          <t>VD 0.6 %</t>
        </is>
      </c>
      <c r="AA1465" s="12">
        <f>N1465*O1465</f>
        <v/>
      </c>
    </row>
    <row r="1466">
      <c r="A1466" s="12" t="inlineStr">
        <is>
          <t>A-P-0099</t>
        </is>
      </c>
      <c r="B1466" s="12" t="inlineStr">
        <is>
          <t>A</t>
        </is>
      </c>
      <c r="C1466" s="12" t="inlineStr">
        <is>
          <t>Power block</t>
        </is>
      </c>
      <c r="D1466" s="12" t="inlineStr">
        <is>
          <t>Motor 6 of 6, 2 kW</t>
        </is>
      </c>
      <c r="E1466" s="12" t="inlineStr">
        <is>
          <t>R3</t>
        </is>
      </c>
      <c r="F1466" s="12" t="inlineStr">
        <is>
          <t>R3: ST auxiliary electrical e-house (40 x 65 ft)</t>
        </is>
      </c>
      <c r="G1466" s="12" t="inlineStr">
        <is>
          <t>GSU-ST</t>
        </is>
      </c>
      <c r="H1466" s="12" t="inlineStr">
        <is>
          <t>GSU-ST: 21/230 kV (one ST GSU, baseline)</t>
        </is>
      </c>
      <c r="I1466" s="12" t="inlineStr">
        <is>
          <t>LV 600 V</t>
        </is>
      </c>
      <c r="J1466" s="12" t="inlineStr">
        <is>
          <t>Type TC-ER 600 V 3/C Cu XHHW-2 + ground, PVC jacket</t>
        </is>
      </c>
      <c r="K1466" s="12" t="inlineStr">
        <is>
          <t>LV|3/C+G|10</t>
        </is>
      </c>
      <c r="L1466" s="12" t="inlineStr">
        <is>
          <t>3/C+G</t>
        </is>
      </c>
      <c r="M1466" s="12" t="inlineStr">
        <is>
          <t>10</t>
        </is>
      </c>
      <c r="N1466" s="12" t="n">
        <v>1</v>
      </c>
      <c r="O1466" s="12" t="n">
        <v>1</v>
      </c>
      <c r="P1466" s="12" t="n">
        <v>480</v>
      </c>
      <c r="Q1466" s="12" t="n">
        <v>2</v>
      </c>
      <c r="R1466" s="12" t="n">
        <v>2.8</v>
      </c>
      <c r="S1466" s="12" t="inlineStr">
        <is>
          <t>Duct bank</t>
        </is>
      </c>
      <c r="T1466" s="16" t="n">
        <v>408</v>
      </c>
      <c r="U1466" s="16" t="n">
        <v>32</v>
      </c>
      <c r="V1466" s="16">
        <f>ROUNDUP((T1466+U1466+2*'Read Me'!$B$13)*(1+'Read Me'!$B$12),-1)</f>
        <v/>
      </c>
      <c r="W1466" s="16">
        <f>V1466*N1466*O1466</f>
        <v/>
      </c>
      <c r="X1466" s="12">
        <f>IF(LEFT(I1466,2)="MV",2*N1466*IF(L1466="1/C",O1466,1),0)</f>
        <v/>
      </c>
      <c r="Y1466" s="12">
        <f>IF(OR(LEFT(K1466,4)="LVAX",LEFT(K1466,6)="MV15AX",LEFT(K1466,4)="CTAX",LEFT(K1466,2)="W|"),2*N1466*O1466,0)</f>
        <v/>
      </c>
      <c r="Z1466" s="12" t="inlineStr">
        <is>
          <t>VD 0.6 %</t>
        </is>
      </c>
      <c r="AA1466" s="12">
        <f>N1466*O1466</f>
        <v/>
      </c>
    </row>
    <row r="1467">
      <c r="A1467" s="12" t="inlineStr">
        <is>
          <t>A-P-0100</t>
        </is>
      </c>
      <c r="B1467" s="12" t="inlineStr">
        <is>
          <t>A</t>
        </is>
      </c>
      <c r="C1467" s="12" t="inlineStr">
        <is>
          <t>Power block</t>
        </is>
      </c>
      <c r="D1467" s="12" t="inlineStr">
        <is>
          <t>Motor 1 of 12, 45 kW</t>
        </is>
      </c>
      <c r="E1467" s="12" t="inlineStr">
        <is>
          <t>MCC-GT1</t>
        </is>
      </c>
      <c r="F1467" s="12" t="inlineStr">
        <is>
          <t>R1 MCC-GT1</t>
        </is>
      </c>
      <c r="G1467" s="12" t="inlineStr">
        <is>
          <t>GT1 aux</t>
        </is>
      </c>
      <c r="H1467" s="12" t="inlineStr">
        <is>
          <t>GT1 aux: lube oil, hydraulics, enclosure fans</t>
        </is>
      </c>
      <c r="I1467" s="12" t="inlineStr">
        <is>
          <t>LV 600 V</t>
        </is>
      </c>
      <c r="J1467" s="12" t="inlineStr">
        <is>
          <t>ARMOR-X MC-HL 600 V 3/C Cu XHHW-2 + ground, CWA, black PVC (Class I Div 2)</t>
        </is>
      </c>
      <c r="K1467" s="12" t="inlineStr">
        <is>
          <t>LVAX|3/C+G|2</t>
        </is>
      </c>
      <c r="L1467" s="12" t="inlineStr">
        <is>
          <t>3/C+G</t>
        </is>
      </c>
      <c r="M1467" s="12" t="inlineStr">
        <is>
          <t>2</t>
        </is>
      </c>
      <c r="N1467" s="12" t="n">
        <v>1</v>
      </c>
      <c r="O1467" s="12" t="n">
        <v>1</v>
      </c>
      <c r="P1467" s="12" t="n">
        <v>480</v>
      </c>
      <c r="Q1467" s="12" t="n">
        <v>45</v>
      </c>
      <c r="R1467" s="12" t="n">
        <v>63.7</v>
      </c>
      <c r="S1467" s="12" t="inlineStr">
        <is>
          <t>Tray</t>
        </is>
      </c>
      <c r="T1467" s="16" t="n">
        <v>302</v>
      </c>
      <c r="U1467" s="16" t="n">
        <v>170</v>
      </c>
      <c r="V1467" s="16">
        <f>ROUNDUP((T1467+U1467+2*'Read Me'!$B$13)*(1+'Read Me'!$B$12),-1)</f>
        <v/>
      </c>
      <c r="W1467" s="16">
        <f>V1467*N1467*O1467</f>
        <v/>
      </c>
      <c r="X1467" s="12">
        <f>IF(LEFT(I1467,2)="MV",2*N1467*IF(L1467="1/C",O1467,1),0)</f>
        <v/>
      </c>
      <c r="Y1467" s="12">
        <f>IF(OR(LEFT(K1467,4)="LVAX",LEFT(K1467,6)="MV15AX",LEFT(K1467,4)="CTAX",LEFT(K1467,2)="W|"),2*N1467*O1467,0)</f>
        <v/>
      </c>
      <c r="Z1467" s="12" t="inlineStr">
        <is>
          <t>VD 2.3 %</t>
        </is>
      </c>
      <c r="AA1467" s="12">
        <f>N1467*O1467</f>
        <v/>
      </c>
    </row>
    <row r="1468">
      <c r="A1468" s="12" t="inlineStr">
        <is>
          <t>A-P-0101</t>
        </is>
      </c>
      <c r="B1468" s="12" t="inlineStr">
        <is>
          <t>A</t>
        </is>
      </c>
      <c r="C1468" s="12" t="inlineStr">
        <is>
          <t>Power block</t>
        </is>
      </c>
      <c r="D1468" s="12" t="inlineStr">
        <is>
          <t>Motor 2 of 12, 45 kW</t>
        </is>
      </c>
      <c r="E1468" s="12" t="inlineStr">
        <is>
          <t>MCC-GT1</t>
        </is>
      </c>
      <c r="F1468" s="12" t="inlineStr">
        <is>
          <t>R1 MCC-GT1</t>
        </is>
      </c>
      <c r="G1468" s="12" t="inlineStr">
        <is>
          <t>GT1 aux</t>
        </is>
      </c>
      <c r="H1468" s="12" t="inlineStr">
        <is>
          <t>GT1 aux: lube oil, hydraulics, enclosure fans</t>
        </is>
      </c>
      <c r="I1468" s="12" t="inlineStr">
        <is>
          <t>LV 600 V</t>
        </is>
      </c>
      <c r="J1468" s="12" t="inlineStr">
        <is>
          <t>ARMOR-X MC-HL 600 V 3/C Cu XHHW-2 + ground, CWA, black PVC (Class I Div 2)</t>
        </is>
      </c>
      <c r="K1468" s="12" t="inlineStr">
        <is>
          <t>LVAX|3/C+G|2</t>
        </is>
      </c>
      <c r="L1468" s="12" t="inlineStr">
        <is>
          <t>3/C+G</t>
        </is>
      </c>
      <c r="M1468" s="12" t="inlineStr">
        <is>
          <t>2</t>
        </is>
      </c>
      <c r="N1468" s="12" t="n">
        <v>1</v>
      </c>
      <c r="O1468" s="12" t="n">
        <v>1</v>
      </c>
      <c r="P1468" s="12" t="n">
        <v>480</v>
      </c>
      <c r="Q1468" s="12" t="n">
        <v>45</v>
      </c>
      <c r="R1468" s="12" t="n">
        <v>63.7</v>
      </c>
      <c r="S1468" s="12" t="inlineStr">
        <is>
          <t>Tray</t>
        </is>
      </c>
      <c r="T1468" s="16" t="n">
        <v>302</v>
      </c>
      <c r="U1468" s="16" t="n">
        <v>170</v>
      </c>
      <c r="V1468" s="16">
        <f>ROUNDUP((T1468+U1468+2*'Read Me'!$B$13)*(1+'Read Me'!$B$12),-1)</f>
        <v/>
      </c>
      <c r="W1468" s="16">
        <f>V1468*N1468*O1468</f>
        <v/>
      </c>
      <c r="X1468" s="12">
        <f>IF(LEFT(I1468,2)="MV",2*N1468*IF(L1468="1/C",O1468,1),0)</f>
        <v/>
      </c>
      <c r="Y1468" s="12">
        <f>IF(OR(LEFT(K1468,4)="LVAX",LEFT(K1468,6)="MV15AX",LEFT(K1468,4)="CTAX",LEFT(K1468,2)="W|"),2*N1468*O1468,0)</f>
        <v/>
      </c>
      <c r="Z1468" s="12" t="inlineStr">
        <is>
          <t>VD 2.3 %</t>
        </is>
      </c>
      <c r="AA1468" s="12">
        <f>N1468*O1468</f>
        <v/>
      </c>
    </row>
    <row r="1469">
      <c r="A1469" s="12" t="inlineStr">
        <is>
          <t>A-P-0102</t>
        </is>
      </c>
      <c r="B1469" s="12" t="inlineStr">
        <is>
          <t>A</t>
        </is>
      </c>
      <c r="C1469" s="12" t="inlineStr">
        <is>
          <t>Power block</t>
        </is>
      </c>
      <c r="D1469" s="12" t="inlineStr">
        <is>
          <t>Motor 3 of 12, 45 kW</t>
        </is>
      </c>
      <c r="E1469" s="12" t="inlineStr">
        <is>
          <t>MCC-GT1</t>
        </is>
      </c>
      <c r="F1469" s="12" t="inlineStr">
        <is>
          <t>R1 MCC-GT1</t>
        </is>
      </c>
      <c r="G1469" s="12" t="inlineStr">
        <is>
          <t>GT1 aux</t>
        </is>
      </c>
      <c r="H1469" s="12" t="inlineStr">
        <is>
          <t>GT1 aux: lube oil, hydraulics, enclosure fans</t>
        </is>
      </c>
      <c r="I1469" s="12" t="inlineStr">
        <is>
          <t>LV 600 V</t>
        </is>
      </c>
      <c r="J1469" s="12" t="inlineStr">
        <is>
          <t>ARMOR-X MC-HL 600 V 3/C Cu XHHW-2 + ground, CWA, black PVC (Class I Div 2)</t>
        </is>
      </c>
      <c r="K1469" s="12" t="inlineStr">
        <is>
          <t>LVAX|3/C+G|2</t>
        </is>
      </c>
      <c r="L1469" s="12" t="inlineStr">
        <is>
          <t>3/C+G</t>
        </is>
      </c>
      <c r="M1469" s="12" t="inlineStr">
        <is>
          <t>2</t>
        </is>
      </c>
      <c r="N1469" s="12" t="n">
        <v>1</v>
      </c>
      <c r="O1469" s="12" t="n">
        <v>1</v>
      </c>
      <c r="P1469" s="12" t="n">
        <v>480</v>
      </c>
      <c r="Q1469" s="12" t="n">
        <v>45</v>
      </c>
      <c r="R1469" s="12" t="n">
        <v>63.7</v>
      </c>
      <c r="S1469" s="12" t="inlineStr">
        <is>
          <t>Tray</t>
        </is>
      </c>
      <c r="T1469" s="16" t="n">
        <v>302</v>
      </c>
      <c r="U1469" s="16" t="n">
        <v>170</v>
      </c>
      <c r="V1469" s="16">
        <f>ROUNDUP((T1469+U1469+2*'Read Me'!$B$13)*(1+'Read Me'!$B$12),-1)</f>
        <v/>
      </c>
      <c r="W1469" s="16">
        <f>V1469*N1469*O1469</f>
        <v/>
      </c>
      <c r="X1469" s="12">
        <f>IF(LEFT(I1469,2)="MV",2*N1469*IF(L1469="1/C",O1469,1),0)</f>
        <v/>
      </c>
      <c r="Y1469" s="12">
        <f>IF(OR(LEFT(K1469,4)="LVAX",LEFT(K1469,6)="MV15AX",LEFT(K1469,4)="CTAX",LEFT(K1469,2)="W|"),2*N1469*O1469,0)</f>
        <v/>
      </c>
      <c r="Z1469" s="12" t="inlineStr">
        <is>
          <t>VD 2.3 %</t>
        </is>
      </c>
      <c r="AA1469" s="12">
        <f>N1469*O1469</f>
        <v/>
      </c>
    </row>
    <row r="1470">
      <c r="A1470" s="12" t="inlineStr">
        <is>
          <t>A-P-0103</t>
        </is>
      </c>
      <c r="B1470" s="12" t="inlineStr">
        <is>
          <t>A</t>
        </is>
      </c>
      <c r="C1470" s="12" t="inlineStr">
        <is>
          <t>Power block</t>
        </is>
      </c>
      <c r="D1470" s="12" t="inlineStr">
        <is>
          <t>Motor 4 of 12, 45 kW</t>
        </is>
      </c>
      <c r="E1470" s="12" t="inlineStr">
        <is>
          <t>MCC-GT1</t>
        </is>
      </c>
      <c r="F1470" s="12" t="inlineStr">
        <is>
          <t>R1 MCC-GT1</t>
        </is>
      </c>
      <c r="G1470" s="12" t="inlineStr">
        <is>
          <t>GT1 aux</t>
        </is>
      </c>
      <c r="H1470" s="12" t="inlineStr">
        <is>
          <t>GT1 aux: lube oil, hydraulics, enclosure fans</t>
        </is>
      </c>
      <c r="I1470" s="12" t="inlineStr">
        <is>
          <t>LV 600 V</t>
        </is>
      </c>
      <c r="J1470" s="12" t="inlineStr">
        <is>
          <t>ARMOR-X MC-HL 600 V 3/C Cu XHHW-2 + ground, CWA, black PVC (Class I Div 2)</t>
        </is>
      </c>
      <c r="K1470" s="12" t="inlineStr">
        <is>
          <t>LVAX|3/C+G|2</t>
        </is>
      </c>
      <c r="L1470" s="12" t="inlineStr">
        <is>
          <t>3/C+G</t>
        </is>
      </c>
      <c r="M1470" s="12" t="inlineStr">
        <is>
          <t>2</t>
        </is>
      </c>
      <c r="N1470" s="12" t="n">
        <v>1</v>
      </c>
      <c r="O1470" s="12" t="n">
        <v>1</v>
      </c>
      <c r="P1470" s="12" t="n">
        <v>480</v>
      </c>
      <c r="Q1470" s="12" t="n">
        <v>45</v>
      </c>
      <c r="R1470" s="12" t="n">
        <v>63.7</v>
      </c>
      <c r="S1470" s="12" t="inlineStr">
        <is>
          <t>Tray</t>
        </is>
      </c>
      <c r="T1470" s="16" t="n">
        <v>302</v>
      </c>
      <c r="U1470" s="16" t="n">
        <v>170</v>
      </c>
      <c r="V1470" s="16">
        <f>ROUNDUP((T1470+U1470+2*'Read Me'!$B$13)*(1+'Read Me'!$B$12),-1)</f>
        <v/>
      </c>
      <c r="W1470" s="16">
        <f>V1470*N1470*O1470</f>
        <v/>
      </c>
      <c r="X1470" s="12">
        <f>IF(LEFT(I1470,2)="MV",2*N1470*IF(L1470="1/C",O1470,1),0)</f>
        <v/>
      </c>
      <c r="Y1470" s="12">
        <f>IF(OR(LEFT(K1470,4)="LVAX",LEFT(K1470,6)="MV15AX",LEFT(K1470,4)="CTAX",LEFT(K1470,2)="W|"),2*N1470*O1470,0)</f>
        <v/>
      </c>
      <c r="Z1470" s="12" t="inlineStr">
        <is>
          <t>VD 2.3 %</t>
        </is>
      </c>
      <c r="AA1470" s="12">
        <f>N1470*O1470</f>
        <v/>
      </c>
    </row>
    <row r="1471">
      <c r="A1471" s="12" t="inlineStr">
        <is>
          <t>A-P-0104</t>
        </is>
      </c>
      <c r="B1471" s="12" t="inlineStr">
        <is>
          <t>A</t>
        </is>
      </c>
      <c r="C1471" s="12" t="inlineStr">
        <is>
          <t>Power block</t>
        </is>
      </c>
      <c r="D1471" s="12" t="inlineStr">
        <is>
          <t>Motor 5 of 12, 45 kW</t>
        </is>
      </c>
      <c r="E1471" s="12" t="inlineStr">
        <is>
          <t>MCC-GT1</t>
        </is>
      </c>
      <c r="F1471" s="12" t="inlineStr">
        <is>
          <t>R1 MCC-GT1</t>
        </is>
      </c>
      <c r="G1471" s="12" t="inlineStr">
        <is>
          <t>GT1 aux</t>
        </is>
      </c>
      <c r="H1471" s="12" t="inlineStr">
        <is>
          <t>GT1 aux: lube oil, hydraulics, enclosure fans</t>
        </is>
      </c>
      <c r="I1471" s="12" t="inlineStr">
        <is>
          <t>LV 600 V</t>
        </is>
      </c>
      <c r="J1471" s="12" t="inlineStr">
        <is>
          <t>ARMOR-X MC-HL 600 V 3/C Cu XHHW-2 + ground, CWA, black PVC (Class I Div 2)</t>
        </is>
      </c>
      <c r="K1471" s="12" t="inlineStr">
        <is>
          <t>LVAX|3/C+G|2</t>
        </is>
      </c>
      <c r="L1471" s="12" t="inlineStr">
        <is>
          <t>3/C+G</t>
        </is>
      </c>
      <c r="M1471" s="12" t="inlineStr">
        <is>
          <t>2</t>
        </is>
      </c>
      <c r="N1471" s="12" t="n">
        <v>1</v>
      </c>
      <c r="O1471" s="12" t="n">
        <v>1</v>
      </c>
      <c r="P1471" s="12" t="n">
        <v>480</v>
      </c>
      <c r="Q1471" s="12" t="n">
        <v>45</v>
      </c>
      <c r="R1471" s="12" t="n">
        <v>63.7</v>
      </c>
      <c r="S1471" s="12" t="inlineStr">
        <is>
          <t>Tray</t>
        </is>
      </c>
      <c r="T1471" s="16" t="n">
        <v>302</v>
      </c>
      <c r="U1471" s="16" t="n">
        <v>170</v>
      </c>
      <c r="V1471" s="16">
        <f>ROUNDUP((T1471+U1471+2*'Read Me'!$B$13)*(1+'Read Me'!$B$12),-1)</f>
        <v/>
      </c>
      <c r="W1471" s="16">
        <f>V1471*N1471*O1471</f>
        <v/>
      </c>
      <c r="X1471" s="12">
        <f>IF(LEFT(I1471,2)="MV",2*N1471*IF(L1471="1/C",O1471,1),0)</f>
        <v/>
      </c>
      <c r="Y1471" s="12">
        <f>IF(OR(LEFT(K1471,4)="LVAX",LEFT(K1471,6)="MV15AX",LEFT(K1471,4)="CTAX",LEFT(K1471,2)="W|"),2*N1471*O1471,0)</f>
        <v/>
      </c>
      <c r="Z1471" s="12" t="inlineStr">
        <is>
          <t>VD 2.3 %</t>
        </is>
      </c>
      <c r="AA1471" s="12">
        <f>N1471*O1471</f>
        <v/>
      </c>
    </row>
    <row r="1472">
      <c r="A1472" s="12" t="inlineStr">
        <is>
          <t>A-P-0105</t>
        </is>
      </c>
      <c r="B1472" s="12" t="inlineStr">
        <is>
          <t>A</t>
        </is>
      </c>
      <c r="C1472" s="12" t="inlineStr">
        <is>
          <t>Power block</t>
        </is>
      </c>
      <c r="D1472" s="12" t="inlineStr">
        <is>
          <t>Motor 6 of 12, 45 kW</t>
        </is>
      </c>
      <c r="E1472" s="12" t="inlineStr">
        <is>
          <t>MCC-GT1</t>
        </is>
      </c>
      <c r="F1472" s="12" t="inlineStr">
        <is>
          <t>R1 MCC-GT1</t>
        </is>
      </c>
      <c r="G1472" s="12" t="inlineStr">
        <is>
          <t>GT1 aux</t>
        </is>
      </c>
      <c r="H1472" s="12" t="inlineStr">
        <is>
          <t>GT1 aux: lube oil, hydraulics, enclosure fans</t>
        </is>
      </c>
      <c r="I1472" s="12" t="inlineStr">
        <is>
          <t>LV 600 V</t>
        </is>
      </c>
      <c r="J1472" s="12" t="inlineStr">
        <is>
          <t>ARMOR-X MC-HL 600 V 3/C Cu XHHW-2 + ground, CWA, black PVC (Class I Div 2)</t>
        </is>
      </c>
      <c r="K1472" s="12" t="inlineStr">
        <is>
          <t>LVAX|3/C+G|2</t>
        </is>
      </c>
      <c r="L1472" s="12" t="inlineStr">
        <is>
          <t>3/C+G</t>
        </is>
      </c>
      <c r="M1472" s="12" t="inlineStr">
        <is>
          <t>2</t>
        </is>
      </c>
      <c r="N1472" s="12" t="n">
        <v>1</v>
      </c>
      <c r="O1472" s="12" t="n">
        <v>1</v>
      </c>
      <c r="P1472" s="12" t="n">
        <v>480</v>
      </c>
      <c r="Q1472" s="12" t="n">
        <v>45</v>
      </c>
      <c r="R1472" s="12" t="n">
        <v>63.7</v>
      </c>
      <c r="S1472" s="12" t="inlineStr">
        <is>
          <t>Tray</t>
        </is>
      </c>
      <c r="T1472" s="16" t="n">
        <v>302</v>
      </c>
      <c r="U1472" s="16" t="n">
        <v>170</v>
      </c>
      <c r="V1472" s="16">
        <f>ROUNDUP((T1472+U1472+2*'Read Me'!$B$13)*(1+'Read Me'!$B$12),-1)</f>
        <v/>
      </c>
      <c r="W1472" s="16">
        <f>V1472*N1472*O1472</f>
        <v/>
      </c>
      <c r="X1472" s="12">
        <f>IF(LEFT(I1472,2)="MV",2*N1472*IF(L1472="1/C",O1472,1),0)</f>
        <v/>
      </c>
      <c r="Y1472" s="12">
        <f>IF(OR(LEFT(K1472,4)="LVAX",LEFT(K1472,6)="MV15AX",LEFT(K1472,4)="CTAX",LEFT(K1472,2)="W|"),2*N1472*O1472,0)</f>
        <v/>
      </c>
      <c r="Z1472" s="12" t="inlineStr">
        <is>
          <t>VD 2.3 %</t>
        </is>
      </c>
      <c r="AA1472" s="12">
        <f>N1472*O1472</f>
        <v/>
      </c>
    </row>
    <row r="1473">
      <c r="A1473" s="12" t="inlineStr">
        <is>
          <t>A-P-0106</t>
        </is>
      </c>
      <c r="B1473" s="12" t="inlineStr">
        <is>
          <t>A</t>
        </is>
      </c>
      <c r="C1473" s="12" t="inlineStr">
        <is>
          <t>Power block</t>
        </is>
      </c>
      <c r="D1473" s="12" t="inlineStr">
        <is>
          <t>Motor 7 of 12, 45 kW</t>
        </is>
      </c>
      <c r="E1473" s="12" t="inlineStr">
        <is>
          <t>MCC-GT1</t>
        </is>
      </c>
      <c r="F1473" s="12" t="inlineStr">
        <is>
          <t>R1 MCC-GT1</t>
        </is>
      </c>
      <c r="G1473" s="12" t="inlineStr">
        <is>
          <t>GT1 aux</t>
        </is>
      </c>
      <c r="H1473" s="12" t="inlineStr">
        <is>
          <t>GT1 aux: lube oil, hydraulics, enclosure fans</t>
        </is>
      </c>
      <c r="I1473" s="12" t="inlineStr">
        <is>
          <t>LV 600 V</t>
        </is>
      </c>
      <c r="J1473" s="12" t="inlineStr">
        <is>
          <t>ARMOR-X MC-HL 600 V 3/C Cu XHHW-2 + ground, CWA, black PVC (Class I Div 2)</t>
        </is>
      </c>
      <c r="K1473" s="12" t="inlineStr">
        <is>
          <t>LVAX|3/C+G|2</t>
        </is>
      </c>
      <c r="L1473" s="12" t="inlineStr">
        <is>
          <t>3/C+G</t>
        </is>
      </c>
      <c r="M1473" s="12" t="inlineStr">
        <is>
          <t>2</t>
        </is>
      </c>
      <c r="N1473" s="12" t="n">
        <v>1</v>
      </c>
      <c r="O1473" s="12" t="n">
        <v>1</v>
      </c>
      <c r="P1473" s="12" t="n">
        <v>480</v>
      </c>
      <c r="Q1473" s="12" t="n">
        <v>45</v>
      </c>
      <c r="R1473" s="12" t="n">
        <v>63.7</v>
      </c>
      <c r="S1473" s="12" t="inlineStr">
        <is>
          <t>Tray</t>
        </is>
      </c>
      <c r="T1473" s="16" t="n">
        <v>302</v>
      </c>
      <c r="U1473" s="16" t="n">
        <v>170</v>
      </c>
      <c r="V1473" s="16">
        <f>ROUNDUP((T1473+U1473+2*'Read Me'!$B$13)*(1+'Read Me'!$B$12),-1)</f>
        <v/>
      </c>
      <c r="W1473" s="16">
        <f>V1473*N1473*O1473</f>
        <v/>
      </c>
      <c r="X1473" s="12">
        <f>IF(LEFT(I1473,2)="MV",2*N1473*IF(L1473="1/C",O1473,1),0)</f>
        <v/>
      </c>
      <c r="Y1473" s="12">
        <f>IF(OR(LEFT(K1473,4)="LVAX",LEFT(K1473,6)="MV15AX",LEFT(K1473,4)="CTAX",LEFT(K1473,2)="W|"),2*N1473*O1473,0)</f>
        <v/>
      </c>
      <c r="Z1473" s="12" t="inlineStr">
        <is>
          <t>VD 2.3 %</t>
        </is>
      </c>
      <c r="AA1473" s="12">
        <f>N1473*O1473</f>
        <v/>
      </c>
    </row>
    <row r="1474">
      <c r="A1474" s="12" t="inlineStr">
        <is>
          <t>A-P-0107</t>
        </is>
      </c>
      <c r="B1474" s="12" t="inlineStr">
        <is>
          <t>A</t>
        </is>
      </c>
      <c r="C1474" s="12" t="inlineStr">
        <is>
          <t>Power block</t>
        </is>
      </c>
      <c r="D1474" s="12" t="inlineStr">
        <is>
          <t>Motor 8 of 12, 45 kW</t>
        </is>
      </c>
      <c r="E1474" s="12" t="inlineStr">
        <is>
          <t>MCC-GT1</t>
        </is>
      </c>
      <c r="F1474" s="12" t="inlineStr">
        <is>
          <t>R1 MCC-GT1</t>
        </is>
      </c>
      <c r="G1474" s="12" t="inlineStr">
        <is>
          <t>GT1 aux</t>
        </is>
      </c>
      <c r="H1474" s="12" t="inlineStr">
        <is>
          <t>GT1 aux: lube oil, hydraulics, enclosure fans</t>
        </is>
      </c>
      <c r="I1474" s="12" t="inlineStr">
        <is>
          <t>LV 600 V</t>
        </is>
      </c>
      <c r="J1474" s="12" t="inlineStr">
        <is>
          <t>ARMOR-X MC-HL 600 V 3/C Cu XHHW-2 + ground, CWA, black PVC (Class I Div 2)</t>
        </is>
      </c>
      <c r="K1474" s="12" t="inlineStr">
        <is>
          <t>LVAX|3/C+G|2</t>
        </is>
      </c>
      <c r="L1474" s="12" t="inlineStr">
        <is>
          <t>3/C+G</t>
        </is>
      </c>
      <c r="M1474" s="12" t="inlineStr">
        <is>
          <t>2</t>
        </is>
      </c>
      <c r="N1474" s="12" t="n">
        <v>1</v>
      </c>
      <c r="O1474" s="12" t="n">
        <v>1</v>
      </c>
      <c r="P1474" s="12" t="n">
        <v>480</v>
      </c>
      <c r="Q1474" s="12" t="n">
        <v>45</v>
      </c>
      <c r="R1474" s="12" t="n">
        <v>63.7</v>
      </c>
      <c r="S1474" s="12" t="inlineStr">
        <is>
          <t>Tray</t>
        </is>
      </c>
      <c r="T1474" s="16" t="n">
        <v>302</v>
      </c>
      <c r="U1474" s="16" t="n">
        <v>170</v>
      </c>
      <c r="V1474" s="16">
        <f>ROUNDUP((T1474+U1474+2*'Read Me'!$B$13)*(1+'Read Me'!$B$12),-1)</f>
        <v/>
      </c>
      <c r="W1474" s="16">
        <f>V1474*N1474*O1474</f>
        <v/>
      </c>
      <c r="X1474" s="12">
        <f>IF(LEFT(I1474,2)="MV",2*N1474*IF(L1474="1/C",O1474,1),0)</f>
        <v/>
      </c>
      <c r="Y1474" s="12">
        <f>IF(OR(LEFT(K1474,4)="LVAX",LEFT(K1474,6)="MV15AX",LEFT(K1474,4)="CTAX",LEFT(K1474,2)="W|"),2*N1474*O1474,0)</f>
        <v/>
      </c>
      <c r="Z1474" s="12" t="inlineStr">
        <is>
          <t>VD 2.3 %</t>
        </is>
      </c>
      <c r="AA1474" s="12">
        <f>N1474*O1474</f>
        <v/>
      </c>
    </row>
    <row r="1475">
      <c r="A1475" s="12" t="inlineStr">
        <is>
          <t>A-P-0108</t>
        </is>
      </c>
      <c r="B1475" s="12" t="inlineStr">
        <is>
          <t>A</t>
        </is>
      </c>
      <c r="C1475" s="12" t="inlineStr">
        <is>
          <t>Power block</t>
        </is>
      </c>
      <c r="D1475" s="12" t="inlineStr">
        <is>
          <t>Motor 9 of 12, 45 kW</t>
        </is>
      </c>
      <c r="E1475" s="12" t="inlineStr">
        <is>
          <t>MCC-GT1</t>
        </is>
      </c>
      <c r="F1475" s="12" t="inlineStr">
        <is>
          <t>R1 MCC-GT1</t>
        </is>
      </c>
      <c r="G1475" s="12" t="inlineStr">
        <is>
          <t>GT1 aux</t>
        </is>
      </c>
      <c r="H1475" s="12" t="inlineStr">
        <is>
          <t>GT1 aux: lube oil, hydraulics, enclosure fans</t>
        </is>
      </c>
      <c r="I1475" s="12" t="inlineStr">
        <is>
          <t>LV 600 V</t>
        </is>
      </c>
      <c r="J1475" s="12" t="inlineStr">
        <is>
          <t>ARMOR-X MC-HL 600 V 3/C Cu XHHW-2 + ground, CWA, black PVC (Class I Div 2)</t>
        </is>
      </c>
      <c r="K1475" s="12" t="inlineStr">
        <is>
          <t>LVAX|3/C+G|2</t>
        </is>
      </c>
      <c r="L1475" s="12" t="inlineStr">
        <is>
          <t>3/C+G</t>
        </is>
      </c>
      <c r="M1475" s="12" t="inlineStr">
        <is>
          <t>2</t>
        </is>
      </c>
      <c r="N1475" s="12" t="n">
        <v>1</v>
      </c>
      <c r="O1475" s="12" t="n">
        <v>1</v>
      </c>
      <c r="P1475" s="12" t="n">
        <v>480</v>
      </c>
      <c r="Q1475" s="12" t="n">
        <v>45</v>
      </c>
      <c r="R1475" s="12" t="n">
        <v>63.7</v>
      </c>
      <c r="S1475" s="12" t="inlineStr">
        <is>
          <t>Tray</t>
        </is>
      </c>
      <c r="T1475" s="16" t="n">
        <v>302</v>
      </c>
      <c r="U1475" s="16" t="n">
        <v>170</v>
      </c>
      <c r="V1475" s="16">
        <f>ROUNDUP((T1475+U1475+2*'Read Me'!$B$13)*(1+'Read Me'!$B$12),-1)</f>
        <v/>
      </c>
      <c r="W1475" s="16">
        <f>V1475*N1475*O1475</f>
        <v/>
      </c>
      <c r="X1475" s="12">
        <f>IF(LEFT(I1475,2)="MV",2*N1475*IF(L1475="1/C",O1475,1),0)</f>
        <v/>
      </c>
      <c r="Y1475" s="12">
        <f>IF(OR(LEFT(K1475,4)="LVAX",LEFT(K1475,6)="MV15AX",LEFT(K1475,4)="CTAX",LEFT(K1475,2)="W|"),2*N1475*O1475,0)</f>
        <v/>
      </c>
      <c r="Z1475" s="12" t="inlineStr">
        <is>
          <t>VD 2.3 %</t>
        </is>
      </c>
      <c r="AA1475" s="12">
        <f>N1475*O1475</f>
        <v/>
      </c>
    </row>
    <row r="1476">
      <c r="A1476" s="12" t="inlineStr">
        <is>
          <t>A-P-0109</t>
        </is>
      </c>
      <c r="B1476" s="12" t="inlineStr">
        <is>
          <t>A</t>
        </is>
      </c>
      <c r="C1476" s="12" t="inlineStr">
        <is>
          <t>Power block</t>
        </is>
      </c>
      <c r="D1476" s="12" t="inlineStr">
        <is>
          <t>Motor 10 of 12, 45 kW</t>
        </is>
      </c>
      <c r="E1476" s="12" t="inlineStr">
        <is>
          <t>MCC-GT1</t>
        </is>
      </c>
      <c r="F1476" s="12" t="inlineStr">
        <is>
          <t>R1 MCC-GT1</t>
        </is>
      </c>
      <c r="G1476" s="12" t="inlineStr">
        <is>
          <t>GT1 aux</t>
        </is>
      </c>
      <c r="H1476" s="12" t="inlineStr">
        <is>
          <t>GT1 aux: lube oil, hydraulics, enclosure fans</t>
        </is>
      </c>
      <c r="I1476" s="12" t="inlineStr">
        <is>
          <t>LV 600 V</t>
        </is>
      </c>
      <c r="J1476" s="12" t="inlineStr">
        <is>
          <t>ARMOR-X MC-HL 600 V 3/C Cu XHHW-2 + ground, CWA, black PVC (Class I Div 2)</t>
        </is>
      </c>
      <c r="K1476" s="12" t="inlineStr">
        <is>
          <t>LVAX|3/C+G|2</t>
        </is>
      </c>
      <c r="L1476" s="12" t="inlineStr">
        <is>
          <t>3/C+G</t>
        </is>
      </c>
      <c r="M1476" s="12" t="inlineStr">
        <is>
          <t>2</t>
        </is>
      </c>
      <c r="N1476" s="12" t="n">
        <v>1</v>
      </c>
      <c r="O1476" s="12" t="n">
        <v>1</v>
      </c>
      <c r="P1476" s="12" t="n">
        <v>480</v>
      </c>
      <c r="Q1476" s="12" t="n">
        <v>45</v>
      </c>
      <c r="R1476" s="12" t="n">
        <v>63.7</v>
      </c>
      <c r="S1476" s="12" t="inlineStr">
        <is>
          <t>Tray</t>
        </is>
      </c>
      <c r="T1476" s="16" t="n">
        <v>302</v>
      </c>
      <c r="U1476" s="16" t="n">
        <v>170</v>
      </c>
      <c r="V1476" s="16">
        <f>ROUNDUP((T1476+U1476+2*'Read Me'!$B$13)*(1+'Read Me'!$B$12),-1)</f>
        <v/>
      </c>
      <c r="W1476" s="16">
        <f>V1476*N1476*O1476</f>
        <v/>
      </c>
      <c r="X1476" s="12">
        <f>IF(LEFT(I1476,2)="MV",2*N1476*IF(L1476="1/C",O1476,1),0)</f>
        <v/>
      </c>
      <c r="Y1476" s="12">
        <f>IF(OR(LEFT(K1476,4)="LVAX",LEFT(K1476,6)="MV15AX",LEFT(K1476,4)="CTAX",LEFT(K1476,2)="W|"),2*N1476*O1476,0)</f>
        <v/>
      </c>
      <c r="Z1476" s="12" t="inlineStr">
        <is>
          <t>VD 2.3 %</t>
        </is>
      </c>
      <c r="AA1476" s="12">
        <f>N1476*O1476</f>
        <v/>
      </c>
    </row>
    <row r="1477">
      <c r="A1477" s="12" t="inlineStr">
        <is>
          <t>A-P-0110</t>
        </is>
      </c>
      <c r="B1477" s="12" t="inlineStr">
        <is>
          <t>A</t>
        </is>
      </c>
      <c r="C1477" s="12" t="inlineStr">
        <is>
          <t>Power block</t>
        </is>
      </c>
      <c r="D1477" s="12" t="inlineStr">
        <is>
          <t>Motor 11 of 12, 45 kW</t>
        </is>
      </c>
      <c r="E1477" s="12" t="inlineStr">
        <is>
          <t>MCC-GT1</t>
        </is>
      </c>
      <c r="F1477" s="12" t="inlineStr">
        <is>
          <t>R1 MCC-GT1</t>
        </is>
      </c>
      <c r="G1477" s="12" t="inlineStr">
        <is>
          <t>GT1 aux</t>
        </is>
      </c>
      <c r="H1477" s="12" t="inlineStr">
        <is>
          <t>GT1 aux: lube oil, hydraulics, enclosure fans</t>
        </is>
      </c>
      <c r="I1477" s="12" t="inlineStr">
        <is>
          <t>LV 600 V</t>
        </is>
      </c>
      <c r="J1477" s="12" t="inlineStr">
        <is>
          <t>ARMOR-X MC-HL 600 V 3/C Cu XHHW-2 + ground, CWA, black PVC (Class I Div 2)</t>
        </is>
      </c>
      <c r="K1477" s="12" t="inlineStr">
        <is>
          <t>LVAX|3/C+G|2</t>
        </is>
      </c>
      <c r="L1477" s="12" t="inlineStr">
        <is>
          <t>3/C+G</t>
        </is>
      </c>
      <c r="M1477" s="12" t="inlineStr">
        <is>
          <t>2</t>
        </is>
      </c>
      <c r="N1477" s="12" t="n">
        <v>1</v>
      </c>
      <c r="O1477" s="12" t="n">
        <v>1</v>
      </c>
      <c r="P1477" s="12" t="n">
        <v>480</v>
      </c>
      <c r="Q1477" s="12" t="n">
        <v>45</v>
      </c>
      <c r="R1477" s="12" t="n">
        <v>63.7</v>
      </c>
      <c r="S1477" s="12" t="inlineStr">
        <is>
          <t>Tray</t>
        </is>
      </c>
      <c r="T1477" s="16" t="n">
        <v>302</v>
      </c>
      <c r="U1477" s="16" t="n">
        <v>170</v>
      </c>
      <c r="V1477" s="16">
        <f>ROUNDUP((T1477+U1477+2*'Read Me'!$B$13)*(1+'Read Me'!$B$12),-1)</f>
        <v/>
      </c>
      <c r="W1477" s="16">
        <f>V1477*N1477*O1477</f>
        <v/>
      </c>
      <c r="X1477" s="12">
        <f>IF(LEFT(I1477,2)="MV",2*N1477*IF(L1477="1/C",O1477,1),0)</f>
        <v/>
      </c>
      <c r="Y1477" s="12">
        <f>IF(OR(LEFT(K1477,4)="LVAX",LEFT(K1477,6)="MV15AX",LEFT(K1477,4)="CTAX",LEFT(K1477,2)="W|"),2*N1477*O1477,0)</f>
        <v/>
      </c>
      <c r="Z1477" s="12" t="inlineStr">
        <is>
          <t>VD 2.3 %</t>
        </is>
      </c>
      <c r="AA1477" s="12">
        <f>N1477*O1477</f>
        <v/>
      </c>
    </row>
    <row r="1478">
      <c r="A1478" s="12" t="inlineStr">
        <is>
          <t>A-P-0111</t>
        </is>
      </c>
      <c r="B1478" s="12" t="inlineStr">
        <is>
          <t>A</t>
        </is>
      </c>
      <c r="C1478" s="12" t="inlineStr">
        <is>
          <t>Power block</t>
        </is>
      </c>
      <c r="D1478" s="12" t="inlineStr">
        <is>
          <t>Motor 12 of 12, 45 kW</t>
        </is>
      </c>
      <c r="E1478" s="12" t="inlineStr">
        <is>
          <t>MCC-GT1</t>
        </is>
      </c>
      <c r="F1478" s="12" t="inlineStr">
        <is>
          <t>R1 MCC-GT1</t>
        </is>
      </c>
      <c r="G1478" s="12" t="inlineStr">
        <is>
          <t>GT1 aux</t>
        </is>
      </c>
      <c r="H1478" s="12" t="inlineStr">
        <is>
          <t>GT1 aux: lube oil, hydraulics, enclosure fans</t>
        </is>
      </c>
      <c r="I1478" s="12" t="inlineStr">
        <is>
          <t>LV 600 V</t>
        </is>
      </c>
      <c r="J1478" s="12" t="inlineStr">
        <is>
          <t>ARMOR-X MC-HL 600 V 3/C Cu XHHW-2 + ground, CWA, black PVC (Class I Div 2)</t>
        </is>
      </c>
      <c r="K1478" s="12" t="inlineStr">
        <is>
          <t>LVAX|3/C+G|2</t>
        </is>
      </c>
      <c r="L1478" s="12" t="inlineStr">
        <is>
          <t>3/C+G</t>
        </is>
      </c>
      <c r="M1478" s="12" t="inlineStr">
        <is>
          <t>2</t>
        </is>
      </c>
      <c r="N1478" s="12" t="n">
        <v>1</v>
      </c>
      <c r="O1478" s="12" t="n">
        <v>1</v>
      </c>
      <c r="P1478" s="12" t="n">
        <v>480</v>
      </c>
      <c r="Q1478" s="12" t="n">
        <v>45</v>
      </c>
      <c r="R1478" s="12" t="n">
        <v>63.7</v>
      </c>
      <c r="S1478" s="12" t="inlineStr">
        <is>
          <t>Tray</t>
        </is>
      </c>
      <c r="T1478" s="16" t="n">
        <v>302</v>
      </c>
      <c r="U1478" s="16" t="n">
        <v>170</v>
      </c>
      <c r="V1478" s="16">
        <f>ROUNDUP((T1478+U1478+2*'Read Me'!$B$13)*(1+'Read Me'!$B$12),-1)</f>
        <v/>
      </c>
      <c r="W1478" s="16">
        <f>V1478*N1478*O1478</f>
        <v/>
      </c>
      <c r="X1478" s="12">
        <f>IF(LEFT(I1478,2)="MV",2*N1478*IF(L1478="1/C",O1478,1),0)</f>
        <v/>
      </c>
      <c r="Y1478" s="12">
        <f>IF(OR(LEFT(K1478,4)="LVAX",LEFT(K1478,6)="MV15AX",LEFT(K1478,4)="CTAX",LEFT(K1478,2)="W|"),2*N1478*O1478,0)</f>
        <v/>
      </c>
      <c r="Z1478" s="12" t="inlineStr">
        <is>
          <t>VD 2.3 %</t>
        </is>
      </c>
      <c r="AA1478" s="12">
        <f>N1478*O1478</f>
        <v/>
      </c>
    </row>
    <row r="1479">
      <c r="A1479" s="12" t="inlineStr">
        <is>
          <t>A-P-0112</t>
        </is>
      </c>
      <c r="B1479" s="12" t="inlineStr">
        <is>
          <t>A</t>
        </is>
      </c>
      <c r="C1479" s="12" t="inlineStr">
        <is>
          <t>Power block</t>
        </is>
      </c>
      <c r="D1479" s="12" t="inlineStr">
        <is>
          <t>LV power feeder</t>
        </is>
      </c>
      <c r="E1479" s="12" t="inlineStr">
        <is>
          <t>MCC-GT1</t>
        </is>
      </c>
      <c r="F1479" s="12" t="inlineStr">
        <is>
          <t>R1 MCC-GT1</t>
        </is>
      </c>
      <c r="G1479" s="12" t="inlineStr">
        <is>
          <t>GT1</t>
        </is>
      </c>
      <c r="H1479" s="12" t="inlineStr">
        <is>
          <t>GT1: H-class gas turbine (60 Hz)</t>
        </is>
      </c>
      <c r="I1479" s="12" t="inlineStr">
        <is>
          <t>LV 600 V</t>
        </is>
      </c>
      <c r="J1479" s="12" t="inlineStr">
        <is>
          <t>ARMOR-X MC-HL 600 V 3/C Cu XHHW-2 + ground, CWA, black PVC (Class I Div 2)</t>
        </is>
      </c>
      <c r="K1479" s="12" t="inlineStr">
        <is>
          <t>LVAX|3/C+G|350</t>
        </is>
      </c>
      <c r="L1479" s="12" t="inlineStr">
        <is>
          <t>3/C+G</t>
        </is>
      </c>
      <c r="M1479" s="12" t="inlineStr">
        <is>
          <t>350 kcmil</t>
        </is>
      </c>
      <c r="N1479" s="12" t="n">
        <v>1</v>
      </c>
      <c r="O1479" s="12" t="n">
        <v>1</v>
      </c>
      <c r="P1479" s="12" t="n">
        <v>480</v>
      </c>
      <c r="Q1479" s="12" t="n">
        <v>150</v>
      </c>
      <c r="R1479" s="12" t="n">
        <v>212.3</v>
      </c>
      <c r="S1479" s="12" t="inlineStr">
        <is>
          <t>Tray</t>
        </is>
      </c>
      <c r="T1479" s="16" t="n">
        <v>232</v>
      </c>
      <c r="U1479" s="16" t="n">
        <v>154</v>
      </c>
      <c r="V1479" s="16">
        <f>ROUNDUP((T1479+U1479+2*'Read Me'!$B$13)*(1+'Read Me'!$B$12),-1)</f>
        <v/>
      </c>
      <c r="W1479" s="16">
        <f>V1479*N1479*O1479</f>
        <v/>
      </c>
      <c r="X1479" s="12">
        <f>IF(LEFT(I1479,2)="MV",2*N1479*IF(L1479="1/C",O1479,1),0)</f>
        <v/>
      </c>
      <c r="Y1479" s="12">
        <f>IF(OR(LEFT(K1479,4)="LVAX",LEFT(K1479,6)="MV15AX",LEFT(K1479,4)="CTAX",LEFT(K1479,2)="W|"),2*N1479*O1479,0)</f>
        <v/>
      </c>
      <c r="Z1479" s="12" t="inlineStr">
        <is>
          <t>VD 1.2 %</t>
        </is>
      </c>
      <c r="AA1479" s="12">
        <f>N1479*O1479</f>
        <v/>
      </c>
    </row>
    <row r="1480">
      <c r="A1480" s="12" t="inlineStr">
        <is>
          <t>A-P-0113</t>
        </is>
      </c>
      <c r="B1480" s="12" t="inlineStr">
        <is>
          <t>A</t>
        </is>
      </c>
      <c r="C1480" s="12" t="inlineStr">
        <is>
          <t>Power block</t>
        </is>
      </c>
      <c r="D1480" s="12" t="inlineStr">
        <is>
          <t>480 V welding receptacle 1</t>
        </is>
      </c>
      <c r="E1480" s="12" t="inlineStr">
        <is>
          <t>MCC-GT1</t>
        </is>
      </c>
      <c r="F1480" s="12" t="inlineStr">
        <is>
          <t>R1 MCC-GT1</t>
        </is>
      </c>
      <c r="G1480" s="12" t="inlineStr">
        <is>
          <t>GT1</t>
        </is>
      </c>
      <c r="H1480" s="12" t="inlineStr">
        <is>
          <t>GT1: H-class gas turbine (60 Hz)</t>
        </is>
      </c>
      <c r="I1480" s="12" t="inlineStr">
        <is>
          <t>LV 600 V</t>
        </is>
      </c>
      <c r="J1480" s="12" t="inlineStr">
        <is>
          <t>ARMOR-X MC-HL 600 V 3/C Cu XHHW-2 + ground, CWA, black PVC (Class I Div 2)</t>
        </is>
      </c>
      <c r="K1480" s="12" t="inlineStr">
        <is>
          <t>LVAX|3/C+G|2</t>
        </is>
      </c>
      <c r="L1480" s="12" t="inlineStr">
        <is>
          <t>3/C+G</t>
        </is>
      </c>
      <c r="M1480" s="12" t="inlineStr">
        <is>
          <t>2</t>
        </is>
      </c>
      <c r="N1480" s="12" t="n">
        <v>1</v>
      </c>
      <c r="O1480" s="12" t="n">
        <v>1</v>
      </c>
      <c r="P1480" s="12" t="n">
        <v>480</v>
      </c>
      <c r="Q1480" s="12" t="n">
        <v>60</v>
      </c>
      <c r="R1480" s="12" t="n">
        <v>76</v>
      </c>
      <c r="S1480" s="12" t="inlineStr">
        <is>
          <t>Tray</t>
        </is>
      </c>
      <c r="T1480" s="16" t="n">
        <v>232</v>
      </c>
      <c r="U1480" s="16" t="n">
        <v>154</v>
      </c>
      <c r="V1480" s="16">
        <f>ROUNDUP((T1480+U1480+2*'Read Me'!$B$13)*(1+'Read Me'!$B$12),-1)</f>
        <v/>
      </c>
      <c r="W1480" s="16">
        <f>V1480*N1480*O1480</f>
        <v/>
      </c>
      <c r="X1480" s="12">
        <f>IF(LEFT(I1480,2)="MV",2*N1480*IF(L1480="1/C",O1480,1),0)</f>
        <v/>
      </c>
      <c r="Y1480" s="12">
        <f>IF(OR(LEFT(K1480,4)="LVAX",LEFT(K1480,6)="MV15AX",LEFT(K1480,4)="CTAX",LEFT(K1480,2)="W|"),2*N1480*O1480,0)</f>
        <v/>
      </c>
      <c r="Z1480" s="12" t="inlineStr">
        <is>
          <t>VD 2.3 %</t>
        </is>
      </c>
      <c r="AA1480" s="12">
        <f>N1480*O1480</f>
        <v/>
      </c>
    </row>
    <row r="1481">
      <c r="A1481" s="12" t="inlineStr">
        <is>
          <t>A-P-0114</t>
        </is>
      </c>
      <c r="B1481" s="12" t="inlineStr">
        <is>
          <t>A</t>
        </is>
      </c>
      <c r="C1481" s="12" t="inlineStr">
        <is>
          <t>Power block</t>
        </is>
      </c>
      <c r="D1481" s="12" t="inlineStr">
        <is>
          <t>480 V welding receptacle 2</t>
        </is>
      </c>
      <c r="E1481" s="12" t="inlineStr">
        <is>
          <t>MCC-GT1</t>
        </is>
      </c>
      <c r="F1481" s="12" t="inlineStr">
        <is>
          <t>R1 MCC-GT1</t>
        </is>
      </c>
      <c r="G1481" s="12" t="inlineStr">
        <is>
          <t>GT1</t>
        </is>
      </c>
      <c r="H1481" s="12" t="inlineStr">
        <is>
          <t>GT1: H-class gas turbine (60 Hz)</t>
        </is>
      </c>
      <c r="I1481" s="12" t="inlineStr">
        <is>
          <t>LV 600 V</t>
        </is>
      </c>
      <c r="J1481" s="12" t="inlineStr">
        <is>
          <t>ARMOR-X MC-HL 600 V 3/C Cu XHHW-2 + ground, CWA, black PVC (Class I Div 2)</t>
        </is>
      </c>
      <c r="K1481" s="12" t="inlineStr">
        <is>
          <t>LVAX|3/C+G|2</t>
        </is>
      </c>
      <c r="L1481" s="12" t="inlineStr">
        <is>
          <t>3/C+G</t>
        </is>
      </c>
      <c r="M1481" s="12" t="inlineStr">
        <is>
          <t>2</t>
        </is>
      </c>
      <c r="N1481" s="12" t="n">
        <v>1</v>
      </c>
      <c r="O1481" s="12" t="n">
        <v>1</v>
      </c>
      <c r="P1481" s="12" t="n">
        <v>480</v>
      </c>
      <c r="Q1481" s="12" t="n">
        <v>60</v>
      </c>
      <c r="R1481" s="12" t="n">
        <v>76</v>
      </c>
      <c r="S1481" s="12" t="inlineStr">
        <is>
          <t>Tray</t>
        </is>
      </c>
      <c r="T1481" s="16" t="n">
        <v>232</v>
      </c>
      <c r="U1481" s="16" t="n">
        <v>154</v>
      </c>
      <c r="V1481" s="16">
        <f>ROUNDUP((T1481+U1481+2*'Read Me'!$B$13)*(1+'Read Me'!$B$12),-1)</f>
        <v/>
      </c>
      <c r="W1481" s="16">
        <f>V1481*N1481*O1481</f>
        <v/>
      </c>
      <c r="X1481" s="12">
        <f>IF(LEFT(I1481,2)="MV",2*N1481*IF(L1481="1/C",O1481,1),0)</f>
        <v/>
      </c>
      <c r="Y1481" s="12">
        <f>IF(OR(LEFT(K1481,4)="LVAX",LEFT(K1481,6)="MV15AX",LEFT(K1481,4)="CTAX",LEFT(K1481,2)="W|"),2*N1481*O1481,0)</f>
        <v/>
      </c>
      <c r="Z1481" s="12" t="inlineStr">
        <is>
          <t>VD 2.3 %</t>
        </is>
      </c>
      <c r="AA1481" s="12">
        <f>N1481*O1481</f>
        <v/>
      </c>
    </row>
    <row r="1482">
      <c r="A1482" s="12" t="inlineStr">
        <is>
          <t>A-P-0115</t>
        </is>
      </c>
      <c r="B1482" s="12" t="inlineStr">
        <is>
          <t>A</t>
        </is>
      </c>
      <c r="C1482" s="12" t="inlineStr">
        <is>
          <t>Power block</t>
        </is>
      </c>
      <c r="D1482" s="12" t="inlineStr">
        <is>
          <t>480 V welding receptacle 3</t>
        </is>
      </c>
      <c r="E1482" s="12" t="inlineStr">
        <is>
          <t>MCC-GT1</t>
        </is>
      </c>
      <c r="F1482" s="12" t="inlineStr">
        <is>
          <t>R1 MCC-GT1</t>
        </is>
      </c>
      <c r="G1482" s="12" t="inlineStr">
        <is>
          <t>GT1</t>
        </is>
      </c>
      <c r="H1482" s="12" t="inlineStr">
        <is>
          <t>GT1: H-class gas turbine (60 Hz)</t>
        </is>
      </c>
      <c r="I1482" s="12" t="inlineStr">
        <is>
          <t>LV 600 V</t>
        </is>
      </c>
      <c r="J1482" s="12" t="inlineStr">
        <is>
          <t>ARMOR-X MC-HL 600 V 3/C Cu XHHW-2 + ground, CWA, black PVC (Class I Div 2)</t>
        </is>
      </c>
      <c r="K1482" s="12" t="inlineStr">
        <is>
          <t>LVAX|3/C+G|2</t>
        </is>
      </c>
      <c r="L1482" s="12" t="inlineStr">
        <is>
          <t>3/C+G</t>
        </is>
      </c>
      <c r="M1482" s="12" t="inlineStr">
        <is>
          <t>2</t>
        </is>
      </c>
      <c r="N1482" s="12" t="n">
        <v>1</v>
      </c>
      <c r="O1482" s="12" t="n">
        <v>1</v>
      </c>
      <c r="P1482" s="12" t="n">
        <v>480</v>
      </c>
      <c r="Q1482" s="12" t="n">
        <v>60</v>
      </c>
      <c r="R1482" s="12" t="n">
        <v>76</v>
      </c>
      <c r="S1482" s="12" t="inlineStr">
        <is>
          <t>Tray</t>
        </is>
      </c>
      <c r="T1482" s="16" t="n">
        <v>232</v>
      </c>
      <c r="U1482" s="16" t="n">
        <v>154</v>
      </c>
      <c r="V1482" s="16">
        <f>ROUNDUP((T1482+U1482+2*'Read Me'!$B$13)*(1+'Read Me'!$B$12),-1)</f>
        <v/>
      </c>
      <c r="W1482" s="16">
        <f>V1482*N1482*O1482</f>
        <v/>
      </c>
      <c r="X1482" s="12">
        <f>IF(LEFT(I1482,2)="MV",2*N1482*IF(L1482="1/C",O1482,1),0)</f>
        <v/>
      </c>
      <c r="Y1482" s="12">
        <f>IF(OR(LEFT(K1482,4)="LVAX",LEFT(K1482,6)="MV15AX",LEFT(K1482,4)="CTAX",LEFT(K1482,2)="W|"),2*N1482*O1482,0)</f>
        <v/>
      </c>
      <c r="Z1482" s="12" t="inlineStr">
        <is>
          <t>VD 2.3 %</t>
        </is>
      </c>
      <c r="AA1482" s="12">
        <f>N1482*O1482</f>
        <v/>
      </c>
    </row>
    <row r="1483">
      <c r="A1483" s="12" t="inlineStr">
        <is>
          <t>A-P-0116</t>
        </is>
      </c>
      <c r="B1483" s="12" t="inlineStr">
        <is>
          <t>A</t>
        </is>
      </c>
      <c r="C1483" s="12" t="inlineStr">
        <is>
          <t>Power block</t>
        </is>
      </c>
      <c r="D1483" s="12" t="inlineStr">
        <is>
          <t>480 V welding receptacle 4</t>
        </is>
      </c>
      <c r="E1483" s="12" t="inlineStr">
        <is>
          <t>MCC-GT1</t>
        </is>
      </c>
      <c r="F1483" s="12" t="inlineStr">
        <is>
          <t>R1 MCC-GT1</t>
        </is>
      </c>
      <c r="G1483" s="12" t="inlineStr">
        <is>
          <t>GT1</t>
        </is>
      </c>
      <c r="H1483" s="12" t="inlineStr">
        <is>
          <t>GT1: H-class gas turbine (60 Hz)</t>
        </is>
      </c>
      <c r="I1483" s="12" t="inlineStr">
        <is>
          <t>LV 600 V</t>
        </is>
      </c>
      <c r="J1483" s="12" t="inlineStr">
        <is>
          <t>ARMOR-X MC-HL 600 V 3/C Cu XHHW-2 + ground, CWA, black PVC (Class I Div 2)</t>
        </is>
      </c>
      <c r="K1483" s="12" t="inlineStr">
        <is>
          <t>LVAX|3/C+G|2</t>
        </is>
      </c>
      <c r="L1483" s="12" t="inlineStr">
        <is>
          <t>3/C+G</t>
        </is>
      </c>
      <c r="M1483" s="12" t="inlineStr">
        <is>
          <t>2</t>
        </is>
      </c>
      <c r="N1483" s="12" t="n">
        <v>1</v>
      </c>
      <c r="O1483" s="12" t="n">
        <v>1</v>
      </c>
      <c r="P1483" s="12" t="n">
        <v>480</v>
      </c>
      <c r="Q1483" s="12" t="n">
        <v>60</v>
      </c>
      <c r="R1483" s="12" t="n">
        <v>76</v>
      </c>
      <c r="S1483" s="12" t="inlineStr">
        <is>
          <t>Tray</t>
        </is>
      </c>
      <c r="T1483" s="16" t="n">
        <v>232</v>
      </c>
      <c r="U1483" s="16" t="n">
        <v>154</v>
      </c>
      <c r="V1483" s="16">
        <f>ROUNDUP((T1483+U1483+2*'Read Me'!$B$13)*(1+'Read Me'!$B$12),-1)</f>
        <v/>
      </c>
      <c r="W1483" s="16">
        <f>V1483*N1483*O1483</f>
        <v/>
      </c>
      <c r="X1483" s="12">
        <f>IF(LEFT(I1483,2)="MV",2*N1483*IF(L1483="1/C",O1483,1),0)</f>
        <v/>
      </c>
      <c r="Y1483" s="12">
        <f>IF(OR(LEFT(K1483,4)="LVAX",LEFT(K1483,6)="MV15AX",LEFT(K1483,4)="CTAX",LEFT(K1483,2)="W|"),2*N1483*O1483,0)</f>
        <v/>
      </c>
      <c r="Z1483" s="12" t="inlineStr">
        <is>
          <t>VD 2.3 %</t>
        </is>
      </c>
      <c r="AA1483" s="12">
        <f>N1483*O1483</f>
        <v/>
      </c>
    </row>
    <row r="1484">
      <c r="A1484" s="12" t="inlineStr">
        <is>
          <t>A-P-0117</t>
        </is>
      </c>
      <c r="B1484" s="12" t="inlineStr">
        <is>
          <t>A</t>
        </is>
      </c>
      <c r="C1484" s="12" t="inlineStr">
        <is>
          <t>Power block</t>
        </is>
      </c>
      <c r="D1484" s="12" t="inlineStr">
        <is>
          <t>Motor 1 of 12, 45 kW</t>
        </is>
      </c>
      <c r="E1484" s="12" t="inlineStr">
        <is>
          <t>MCC-GT2</t>
        </is>
      </c>
      <c r="F1484" s="12" t="inlineStr">
        <is>
          <t>R1 MCC-GT2</t>
        </is>
      </c>
      <c r="G1484" s="12" t="inlineStr">
        <is>
          <t>GT2 aux</t>
        </is>
      </c>
      <c r="H1484" s="12" t="inlineStr">
        <is>
          <t>GT2 aux: lube oil, hydraulics, enclosure fans</t>
        </is>
      </c>
      <c r="I1484" s="12" t="inlineStr">
        <is>
          <t>LV 600 V</t>
        </is>
      </c>
      <c r="J1484" s="12" t="inlineStr">
        <is>
          <t>ARMOR-X MC-HL 600 V 3/C Cu XHHW-2 + ground, CWA, black PVC (Class I Div 2)</t>
        </is>
      </c>
      <c r="K1484" s="12" t="inlineStr">
        <is>
          <t>LVAX|3/C+G|1</t>
        </is>
      </c>
      <c r="L1484" s="12" t="inlineStr">
        <is>
          <t>3/C+G</t>
        </is>
      </c>
      <c r="M1484" s="12" t="inlineStr">
        <is>
          <t>1</t>
        </is>
      </c>
      <c r="N1484" s="12" t="n">
        <v>1</v>
      </c>
      <c r="O1484" s="12" t="n">
        <v>1</v>
      </c>
      <c r="P1484" s="12" t="n">
        <v>480</v>
      </c>
      <c r="Q1484" s="12" t="n">
        <v>45</v>
      </c>
      <c r="R1484" s="12" t="n">
        <v>63.7</v>
      </c>
      <c r="S1484" s="12" t="inlineStr">
        <is>
          <t>Tray</t>
        </is>
      </c>
      <c r="T1484" s="16" t="n">
        <v>482</v>
      </c>
      <c r="U1484" s="16" t="n">
        <v>150</v>
      </c>
      <c r="V1484" s="16">
        <f>ROUNDUP((T1484+U1484+2*'Read Me'!$B$13)*(1+'Read Me'!$B$12),-1)</f>
        <v/>
      </c>
      <c r="W1484" s="16">
        <f>V1484*N1484*O1484</f>
        <v/>
      </c>
      <c r="X1484" s="12">
        <f>IF(LEFT(I1484,2)="MV",2*N1484*IF(L1484="1/C",O1484,1),0)</f>
        <v/>
      </c>
      <c r="Y1484" s="12">
        <f>IF(OR(LEFT(K1484,4)="LVAX",LEFT(K1484,6)="MV15AX",LEFT(K1484,4)="CTAX",LEFT(K1484,2)="W|"),2*N1484*O1484,0)</f>
        <v/>
      </c>
      <c r="Z1484" s="12" t="inlineStr">
        <is>
          <t>VD 2.5 %</t>
        </is>
      </c>
      <c r="AA1484" s="12">
        <f>N1484*O1484</f>
        <v/>
      </c>
    </row>
    <row r="1485">
      <c r="A1485" s="12" t="inlineStr">
        <is>
          <t>A-P-0118</t>
        </is>
      </c>
      <c r="B1485" s="12" t="inlineStr">
        <is>
          <t>A</t>
        </is>
      </c>
      <c r="C1485" s="12" t="inlineStr">
        <is>
          <t>Power block</t>
        </is>
      </c>
      <c r="D1485" s="12" t="inlineStr">
        <is>
          <t>Motor 2 of 12, 45 kW</t>
        </is>
      </c>
      <c r="E1485" s="12" t="inlineStr">
        <is>
          <t>MCC-GT2</t>
        </is>
      </c>
      <c r="F1485" s="12" t="inlineStr">
        <is>
          <t>R1 MCC-GT2</t>
        </is>
      </c>
      <c r="G1485" s="12" t="inlineStr">
        <is>
          <t>GT2 aux</t>
        </is>
      </c>
      <c r="H1485" s="12" t="inlineStr">
        <is>
          <t>GT2 aux: lube oil, hydraulics, enclosure fans</t>
        </is>
      </c>
      <c r="I1485" s="12" t="inlineStr">
        <is>
          <t>LV 600 V</t>
        </is>
      </c>
      <c r="J1485" s="12" t="inlineStr">
        <is>
          <t>ARMOR-X MC-HL 600 V 3/C Cu XHHW-2 + ground, CWA, black PVC (Class I Div 2)</t>
        </is>
      </c>
      <c r="K1485" s="12" t="inlineStr">
        <is>
          <t>LVAX|3/C+G|1</t>
        </is>
      </c>
      <c r="L1485" s="12" t="inlineStr">
        <is>
          <t>3/C+G</t>
        </is>
      </c>
      <c r="M1485" s="12" t="inlineStr">
        <is>
          <t>1</t>
        </is>
      </c>
      <c r="N1485" s="12" t="n">
        <v>1</v>
      </c>
      <c r="O1485" s="12" t="n">
        <v>1</v>
      </c>
      <c r="P1485" s="12" t="n">
        <v>480</v>
      </c>
      <c r="Q1485" s="12" t="n">
        <v>45</v>
      </c>
      <c r="R1485" s="12" t="n">
        <v>63.7</v>
      </c>
      <c r="S1485" s="12" t="inlineStr">
        <is>
          <t>Tray</t>
        </is>
      </c>
      <c r="T1485" s="16" t="n">
        <v>482</v>
      </c>
      <c r="U1485" s="16" t="n">
        <v>150</v>
      </c>
      <c r="V1485" s="16">
        <f>ROUNDUP((T1485+U1485+2*'Read Me'!$B$13)*(1+'Read Me'!$B$12),-1)</f>
        <v/>
      </c>
      <c r="W1485" s="16">
        <f>V1485*N1485*O1485</f>
        <v/>
      </c>
      <c r="X1485" s="12">
        <f>IF(LEFT(I1485,2)="MV",2*N1485*IF(L1485="1/C",O1485,1),0)</f>
        <v/>
      </c>
      <c r="Y1485" s="12">
        <f>IF(OR(LEFT(K1485,4)="LVAX",LEFT(K1485,6)="MV15AX",LEFT(K1485,4)="CTAX",LEFT(K1485,2)="W|"),2*N1485*O1485,0)</f>
        <v/>
      </c>
      <c r="Z1485" s="12" t="inlineStr">
        <is>
          <t>VD 2.5 %</t>
        </is>
      </c>
      <c r="AA1485" s="12">
        <f>N1485*O1485</f>
        <v/>
      </c>
    </row>
    <row r="1486">
      <c r="A1486" s="12" t="inlineStr">
        <is>
          <t>A-P-0119</t>
        </is>
      </c>
      <c r="B1486" s="12" t="inlineStr">
        <is>
          <t>A</t>
        </is>
      </c>
      <c r="C1486" s="12" t="inlineStr">
        <is>
          <t>Power block</t>
        </is>
      </c>
      <c r="D1486" s="12" t="inlineStr">
        <is>
          <t>Motor 3 of 12, 45 kW</t>
        </is>
      </c>
      <c r="E1486" s="12" t="inlineStr">
        <is>
          <t>MCC-GT2</t>
        </is>
      </c>
      <c r="F1486" s="12" t="inlineStr">
        <is>
          <t>R1 MCC-GT2</t>
        </is>
      </c>
      <c r="G1486" s="12" t="inlineStr">
        <is>
          <t>GT2 aux</t>
        </is>
      </c>
      <c r="H1486" s="12" t="inlineStr">
        <is>
          <t>GT2 aux: lube oil, hydraulics, enclosure fans</t>
        </is>
      </c>
      <c r="I1486" s="12" t="inlineStr">
        <is>
          <t>LV 600 V</t>
        </is>
      </c>
      <c r="J1486" s="12" t="inlineStr">
        <is>
          <t>ARMOR-X MC-HL 600 V 3/C Cu XHHW-2 + ground, CWA, black PVC (Class I Div 2)</t>
        </is>
      </c>
      <c r="K1486" s="12" t="inlineStr">
        <is>
          <t>LVAX|3/C+G|1</t>
        </is>
      </c>
      <c r="L1486" s="12" t="inlineStr">
        <is>
          <t>3/C+G</t>
        </is>
      </c>
      <c r="M1486" s="12" t="inlineStr">
        <is>
          <t>1</t>
        </is>
      </c>
      <c r="N1486" s="12" t="n">
        <v>1</v>
      </c>
      <c r="O1486" s="12" t="n">
        <v>1</v>
      </c>
      <c r="P1486" s="12" t="n">
        <v>480</v>
      </c>
      <c r="Q1486" s="12" t="n">
        <v>45</v>
      </c>
      <c r="R1486" s="12" t="n">
        <v>63.7</v>
      </c>
      <c r="S1486" s="12" t="inlineStr">
        <is>
          <t>Tray</t>
        </is>
      </c>
      <c r="T1486" s="16" t="n">
        <v>482</v>
      </c>
      <c r="U1486" s="16" t="n">
        <v>150</v>
      </c>
      <c r="V1486" s="16">
        <f>ROUNDUP((T1486+U1486+2*'Read Me'!$B$13)*(1+'Read Me'!$B$12),-1)</f>
        <v/>
      </c>
      <c r="W1486" s="16">
        <f>V1486*N1486*O1486</f>
        <v/>
      </c>
      <c r="X1486" s="12">
        <f>IF(LEFT(I1486,2)="MV",2*N1486*IF(L1486="1/C",O1486,1),0)</f>
        <v/>
      </c>
      <c r="Y1486" s="12">
        <f>IF(OR(LEFT(K1486,4)="LVAX",LEFT(K1486,6)="MV15AX",LEFT(K1486,4)="CTAX",LEFT(K1486,2)="W|"),2*N1486*O1486,0)</f>
        <v/>
      </c>
      <c r="Z1486" s="12" t="inlineStr">
        <is>
          <t>VD 2.5 %</t>
        </is>
      </c>
      <c r="AA1486" s="12">
        <f>N1486*O1486</f>
        <v/>
      </c>
    </row>
    <row r="1487">
      <c r="A1487" s="12" t="inlineStr">
        <is>
          <t>A-P-0120</t>
        </is>
      </c>
      <c r="B1487" s="12" t="inlineStr">
        <is>
          <t>A</t>
        </is>
      </c>
      <c r="C1487" s="12" t="inlineStr">
        <is>
          <t>Power block</t>
        </is>
      </c>
      <c r="D1487" s="12" t="inlineStr">
        <is>
          <t>Motor 4 of 12, 45 kW</t>
        </is>
      </c>
      <c r="E1487" s="12" t="inlineStr">
        <is>
          <t>MCC-GT2</t>
        </is>
      </c>
      <c r="F1487" s="12" t="inlineStr">
        <is>
          <t>R1 MCC-GT2</t>
        </is>
      </c>
      <c r="G1487" s="12" t="inlineStr">
        <is>
          <t>GT2 aux</t>
        </is>
      </c>
      <c r="H1487" s="12" t="inlineStr">
        <is>
          <t>GT2 aux: lube oil, hydraulics, enclosure fans</t>
        </is>
      </c>
      <c r="I1487" s="12" t="inlineStr">
        <is>
          <t>LV 600 V</t>
        </is>
      </c>
      <c r="J1487" s="12" t="inlineStr">
        <is>
          <t>ARMOR-X MC-HL 600 V 3/C Cu XHHW-2 + ground, CWA, black PVC (Class I Div 2)</t>
        </is>
      </c>
      <c r="K1487" s="12" t="inlineStr">
        <is>
          <t>LVAX|3/C+G|1</t>
        </is>
      </c>
      <c r="L1487" s="12" t="inlineStr">
        <is>
          <t>3/C+G</t>
        </is>
      </c>
      <c r="M1487" s="12" t="inlineStr">
        <is>
          <t>1</t>
        </is>
      </c>
      <c r="N1487" s="12" t="n">
        <v>1</v>
      </c>
      <c r="O1487" s="12" t="n">
        <v>1</v>
      </c>
      <c r="P1487" s="12" t="n">
        <v>480</v>
      </c>
      <c r="Q1487" s="12" t="n">
        <v>45</v>
      </c>
      <c r="R1487" s="12" t="n">
        <v>63.7</v>
      </c>
      <c r="S1487" s="12" t="inlineStr">
        <is>
          <t>Tray</t>
        </is>
      </c>
      <c r="T1487" s="16" t="n">
        <v>482</v>
      </c>
      <c r="U1487" s="16" t="n">
        <v>150</v>
      </c>
      <c r="V1487" s="16">
        <f>ROUNDUP((T1487+U1487+2*'Read Me'!$B$13)*(1+'Read Me'!$B$12),-1)</f>
        <v/>
      </c>
      <c r="W1487" s="16">
        <f>V1487*N1487*O1487</f>
        <v/>
      </c>
      <c r="X1487" s="12">
        <f>IF(LEFT(I1487,2)="MV",2*N1487*IF(L1487="1/C",O1487,1),0)</f>
        <v/>
      </c>
      <c r="Y1487" s="12">
        <f>IF(OR(LEFT(K1487,4)="LVAX",LEFT(K1487,6)="MV15AX",LEFT(K1487,4)="CTAX",LEFT(K1487,2)="W|"),2*N1487*O1487,0)</f>
        <v/>
      </c>
      <c r="Z1487" s="12" t="inlineStr">
        <is>
          <t>VD 2.5 %</t>
        </is>
      </c>
      <c r="AA1487" s="12">
        <f>N1487*O1487</f>
        <v/>
      </c>
    </row>
    <row r="1488">
      <c r="A1488" s="12" t="inlineStr">
        <is>
          <t>A-P-0121</t>
        </is>
      </c>
      <c r="B1488" s="12" t="inlineStr">
        <is>
          <t>A</t>
        </is>
      </c>
      <c r="C1488" s="12" t="inlineStr">
        <is>
          <t>Power block</t>
        </is>
      </c>
      <c r="D1488" s="12" t="inlineStr">
        <is>
          <t>Motor 5 of 12, 45 kW</t>
        </is>
      </c>
      <c r="E1488" s="12" t="inlineStr">
        <is>
          <t>MCC-GT2</t>
        </is>
      </c>
      <c r="F1488" s="12" t="inlineStr">
        <is>
          <t>R1 MCC-GT2</t>
        </is>
      </c>
      <c r="G1488" s="12" t="inlineStr">
        <is>
          <t>GT2 aux</t>
        </is>
      </c>
      <c r="H1488" s="12" t="inlineStr">
        <is>
          <t>GT2 aux: lube oil, hydraulics, enclosure fans</t>
        </is>
      </c>
      <c r="I1488" s="12" t="inlineStr">
        <is>
          <t>LV 600 V</t>
        </is>
      </c>
      <c r="J1488" s="12" t="inlineStr">
        <is>
          <t>ARMOR-X MC-HL 600 V 3/C Cu XHHW-2 + ground, CWA, black PVC (Class I Div 2)</t>
        </is>
      </c>
      <c r="K1488" s="12" t="inlineStr">
        <is>
          <t>LVAX|3/C+G|1</t>
        </is>
      </c>
      <c r="L1488" s="12" t="inlineStr">
        <is>
          <t>3/C+G</t>
        </is>
      </c>
      <c r="M1488" s="12" t="inlineStr">
        <is>
          <t>1</t>
        </is>
      </c>
      <c r="N1488" s="12" t="n">
        <v>1</v>
      </c>
      <c r="O1488" s="12" t="n">
        <v>1</v>
      </c>
      <c r="P1488" s="12" t="n">
        <v>480</v>
      </c>
      <c r="Q1488" s="12" t="n">
        <v>45</v>
      </c>
      <c r="R1488" s="12" t="n">
        <v>63.7</v>
      </c>
      <c r="S1488" s="12" t="inlineStr">
        <is>
          <t>Tray</t>
        </is>
      </c>
      <c r="T1488" s="16" t="n">
        <v>482</v>
      </c>
      <c r="U1488" s="16" t="n">
        <v>150</v>
      </c>
      <c r="V1488" s="16">
        <f>ROUNDUP((T1488+U1488+2*'Read Me'!$B$13)*(1+'Read Me'!$B$12),-1)</f>
        <v/>
      </c>
      <c r="W1488" s="16">
        <f>V1488*N1488*O1488</f>
        <v/>
      </c>
      <c r="X1488" s="12">
        <f>IF(LEFT(I1488,2)="MV",2*N1488*IF(L1488="1/C",O1488,1),0)</f>
        <v/>
      </c>
      <c r="Y1488" s="12">
        <f>IF(OR(LEFT(K1488,4)="LVAX",LEFT(K1488,6)="MV15AX",LEFT(K1488,4)="CTAX",LEFT(K1488,2)="W|"),2*N1488*O1488,0)</f>
        <v/>
      </c>
      <c r="Z1488" s="12" t="inlineStr">
        <is>
          <t>VD 2.5 %</t>
        </is>
      </c>
      <c r="AA1488" s="12">
        <f>N1488*O1488</f>
        <v/>
      </c>
    </row>
    <row r="1489">
      <c r="A1489" s="12" t="inlineStr">
        <is>
          <t>A-P-0122</t>
        </is>
      </c>
      <c r="B1489" s="12" t="inlineStr">
        <is>
          <t>A</t>
        </is>
      </c>
      <c r="C1489" s="12" t="inlineStr">
        <is>
          <t>Power block</t>
        </is>
      </c>
      <c r="D1489" s="12" t="inlineStr">
        <is>
          <t>Motor 6 of 12, 45 kW</t>
        </is>
      </c>
      <c r="E1489" s="12" t="inlineStr">
        <is>
          <t>MCC-GT2</t>
        </is>
      </c>
      <c r="F1489" s="12" t="inlineStr">
        <is>
          <t>R1 MCC-GT2</t>
        </is>
      </c>
      <c r="G1489" s="12" t="inlineStr">
        <is>
          <t>GT2 aux</t>
        </is>
      </c>
      <c r="H1489" s="12" t="inlineStr">
        <is>
          <t>GT2 aux: lube oil, hydraulics, enclosure fans</t>
        </is>
      </c>
      <c r="I1489" s="12" t="inlineStr">
        <is>
          <t>LV 600 V</t>
        </is>
      </c>
      <c r="J1489" s="12" t="inlineStr">
        <is>
          <t>ARMOR-X MC-HL 600 V 3/C Cu XHHW-2 + ground, CWA, black PVC (Class I Div 2)</t>
        </is>
      </c>
      <c r="K1489" s="12" t="inlineStr">
        <is>
          <t>LVAX|3/C+G|1</t>
        </is>
      </c>
      <c r="L1489" s="12" t="inlineStr">
        <is>
          <t>3/C+G</t>
        </is>
      </c>
      <c r="M1489" s="12" t="inlineStr">
        <is>
          <t>1</t>
        </is>
      </c>
      <c r="N1489" s="12" t="n">
        <v>1</v>
      </c>
      <c r="O1489" s="12" t="n">
        <v>1</v>
      </c>
      <c r="P1489" s="12" t="n">
        <v>480</v>
      </c>
      <c r="Q1489" s="12" t="n">
        <v>45</v>
      </c>
      <c r="R1489" s="12" t="n">
        <v>63.7</v>
      </c>
      <c r="S1489" s="12" t="inlineStr">
        <is>
          <t>Tray</t>
        </is>
      </c>
      <c r="T1489" s="16" t="n">
        <v>482</v>
      </c>
      <c r="U1489" s="16" t="n">
        <v>150</v>
      </c>
      <c r="V1489" s="16">
        <f>ROUNDUP((T1489+U1489+2*'Read Me'!$B$13)*(1+'Read Me'!$B$12),-1)</f>
        <v/>
      </c>
      <c r="W1489" s="16">
        <f>V1489*N1489*O1489</f>
        <v/>
      </c>
      <c r="X1489" s="12">
        <f>IF(LEFT(I1489,2)="MV",2*N1489*IF(L1489="1/C",O1489,1),0)</f>
        <v/>
      </c>
      <c r="Y1489" s="12">
        <f>IF(OR(LEFT(K1489,4)="LVAX",LEFT(K1489,6)="MV15AX",LEFT(K1489,4)="CTAX",LEFT(K1489,2)="W|"),2*N1489*O1489,0)</f>
        <v/>
      </c>
      <c r="Z1489" s="12" t="inlineStr">
        <is>
          <t>VD 2.5 %</t>
        </is>
      </c>
      <c r="AA1489" s="12">
        <f>N1489*O1489</f>
        <v/>
      </c>
    </row>
    <row r="1490">
      <c r="A1490" s="12" t="inlineStr">
        <is>
          <t>A-P-0123</t>
        </is>
      </c>
      <c r="B1490" s="12" t="inlineStr">
        <is>
          <t>A</t>
        </is>
      </c>
      <c r="C1490" s="12" t="inlineStr">
        <is>
          <t>Power block</t>
        </is>
      </c>
      <c r="D1490" s="12" t="inlineStr">
        <is>
          <t>Motor 7 of 12, 45 kW</t>
        </is>
      </c>
      <c r="E1490" s="12" t="inlineStr">
        <is>
          <t>MCC-GT2</t>
        </is>
      </c>
      <c r="F1490" s="12" t="inlineStr">
        <is>
          <t>R1 MCC-GT2</t>
        </is>
      </c>
      <c r="G1490" s="12" t="inlineStr">
        <is>
          <t>GT2 aux</t>
        </is>
      </c>
      <c r="H1490" s="12" t="inlineStr">
        <is>
          <t>GT2 aux: lube oil, hydraulics, enclosure fans</t>
        </is>
      </c>
      <c r="I1490" s="12" t="inlineStr">
        <is>
          <t>LV 600 V</t>
        </is>
      </c>
      <c r="J1490" s="12" t="inlineStr">
        <is>
          <t>ARMOR-X MC-HL 600 V 3/C Cu XHHW-2 + ground, CWA, black PVC (Class I Div 2)</t>
        </is>
      </c>
      <c r="K1490" s="12" t="inlineStr">
        <is>
          <t>LVAX|3/C+G|1</t>
        </is>
      </c>
      <c r="L1490" s="12" t="inlineStr">
        <is>
          <t>3/C+G</t>
        </is>
      </c>
      <c r="M1490" s="12" t="inlineStr">
        <is>
          <t>1</t>
        </is>
      </c>
      <c r="N1490" s="12" t="n">
        <v>1</v>
      </c>
      <c r="O1490" s="12" t="n">
        <v>1</v>
      </c>
      <c r="P1490" s="12" t="n">
        <v>480</v>
      </c>
      <c r="Q1490" s="12" t="n">
        <v>45</v>
      </c>
      <c r="R1490" s="12" t="n">
        <v>63.7</v>
      </c>
      <c r="S1490" s="12" t="inlineStr">
        <is>
          <t>Tray</t>
        </is>
      </c>
      <c r="T1490" s="16" t="n">
        <v>482</v>
      </c>
      <c r="U1490" s="16" t="n">
        <v>150</v>
      </c>
      <c r="V1490" s="16">
        <f>ROUNDUP((T1490+U1490+2*'Read Me'!$B$13)*(1+'Read Me'!$B$12),-1)</f>
        <v/>
      </c>
      <c r="W1490" s="16">
        <f>V1490*N1490*O1490</f>
        <v/>
      </c>
      <c r="X1490" s="12">
        <f>IF(LEFT(I1490,2)="MV",2*N1490*IF(L1490="1/C",O1490,1),0)</f>
        <v/>
      </c>
      <c r="Y1490" s="12">
        <f>IF(OR(LEFT(K1490,4)="LVAX",LEFT(K1490,6)="MV15AX",LEFT(K1490,4)="CTAX",LEFT(K1490,2)="W|"),2*N1490*O1490,0)</f>
        <v/>
      </c>
      <c r="Z1490" s="12" t="inlineStr">
        <is>
          <t>VD 2.5 %</t>
        </is>
      </c>
      <c r="AA1490" s="12">
        <f>N1490*O1490</f>
        <v/>
      </c>
    </row>
    <row r="1491">
      <c r="A1491" s="12" t="inlineStr">
        <is>
          <t>A-P-0124</t>
        </is>
      </c>
      <c r="B1491" s="12" t="inlineStr">
        <is>
          <t>A</t>
        </is>
      </c>
      <c r="C1491" s="12" t="inlineStr">
        <is>
          <t>Power block</t>
        </is>
      </c>
      <c r="D1491" s="12" t="inlineStr">
        <is>
          <t>Motor 8 of 12, 45 kW</t>
        </is>
      </c>
      <c r="E1491" s="12" t="inlineStr">
        <is>
          <t>MCC-GT2</t>
        </is>
      </c>
      <c r="F1491" s="12" t="inlineStr">
        <is>
          <t>R1 MCC-GT2</t>
        </is>
      </c>
      <c r="G1491" s="12" t="inlineStr">
        <is>
          <t>GT2 aux</t>
        </is>
      </c>
      <c r="H1491" s="12" t="inlineStr">
        <is>
          <t>GT2 aux: lube oil, hydraulics, enclosure fans</t>
        </is>
      </c>
      <c r="I1491" s="12" t="inlineStr">
        <is>
          <t>LV 600 V</t>
        </is>
      </c>
      <c r="J1491" s="12" t="inlineStr">
        <is>
          <t>ARMOR-X MC-HL 600 V 3/C Cu XHHW-2 + ground, CWA, black PVC (Class I Div 2)</t>
        </is>
      </c>
      <c r="K1491" s="12" t="inlineStr">
        <is>
          <t>LVAX|3/C+G|1</t>
        </is>
      </c>
      <c r="L1491" s="12" t="inlineStr">
        <is>
          <t>3/C+G</t>
        </is>
      </c>
      <c r="M1491" s="12" t="inlineStr">
        <is>
          <t>1</t>
        </is>
      </c>
      <c r="N1491" s="12" t="n">
        <v>1</v>
      </c>
      <c r="O1491" s="12" t="n">
        <v>1</v>
      </c>
      <c r="P1491" s="12" t="n">
        <v>480</v>
      </c>
      <c r="Q1491" s="12" t="n">
        <v>45</v>
      </c>
      <c r="R1491" s="12" t="n">
        <v>63.7</v>
      </c>
      <c r="S1491" s="12" t="inlineStr">
        <is>
          <t>Tray</t>
        </is>
      </c>
      <c r="T1491" s="16" t="n">
        <v>482</v>
      </c>
      <c r="U1491" s="16" t="n">
        <v>150</v>
      </c>
      <c r="V1491" s="16">
        <f>ROUNDUP((T1491+U1491+2*'Read Me'!$B$13)*(1+'Read Me'!$B$12),-1)</f>
        <v/>
      </c>
      <c r="W1491" s="16">
        <f>V1491*N1491*O1491</f>
        <v/>
      </c>
      <c r="X1491" s="12">
        <f>IF(LEFT(I1491,2)="MV",2*N1491*IF(L1491="1/C",O1491,1),0)</f>
        <v/>
      </c>
      <c r="Y1491" s="12">
        <f>IF(OR(LEFT(K1491,4)="LVAX",LEFT(K1491,6)="MV15AX",LEFT(K1491,4)="CTAX",LEFT(K1491,2)="W|"),2*N1491*O1491,0)</f>
        <v/>
      </c>
      <c r="Z1491" s="12" t="inlineStr">
        <is>
          <t>VD 2.5 %</t>
        </is>
      </c>
      <c r="AA1491" s="12">
        <f>N1491*O1491</f>
        <v/>
      </c>
    </row>
    <row r="1492">
      <c r="A1492" s="12" t="inlineStr">
        <is>
          <t>A-P-0125</t>
        </is>
      </c>
      <c r="B1492" s="12" t="inlineStr">
        <is>
          <t>A</t>
        </is>
      </c>
      <c r="C1492" s="12" t="inlineStr">
        <is>
          <t>Power block</t>
        </is>
      </c>
      <c r="D1492" s="12" t="inlineStr">
        <is>
          <t>Motor 9 of 12, 45 kW</t>
        </is>
      </c>
      <c r="E1492" s="12" t="inlineStr">
        <is>
          <t>MCC-GT2</t>
        </is>
      </c>
      <c r="F1492" s="12" t="inlineStr">
        <is>
          <t>R1 MCC-GT2</t>
        </is>
      </c>
      <c r="G1492" s="12" t="inlineStr">
        <is>
          <t>GT2 aux</t>
        </is>
      </c>
      <c r="H1492" s="12" t="inlineStr">
        <is>
          <t>GT2 aux: lube oil, hydraulics, enclosure fans</t>
        </is>
      </c>
      <c r="I1492" s="12" t="inlineStr">
        <is>
          <t>LV 600 V</t>
        </is>
      </c>
      <c r="J1492" s="12" t="inlineStr">
        <is>
          <t>ARMOR-X MC-HL 600 V 3/C Cu XHHW-2 + ground, CWA, black PVC (Class I Div 2)</t>
        </is>
      </c>
      <c r="K1492" s="12" t="inlineStr">
        <is>
          <t>LVAX|3/C+G|1</t>
        </is>
      </c>
      <c r="L1492" s="12" t="inlineStr">
        <is>
          <t>3/C+G</t>
        </is>
      </c>
      <c r="M1492" s="12" t="inlineStr">
        <is>
          <t>1</t>
        </is>
      </c>
      <c r="N1492" s="12" t="n">
        <v>1</v>
      </c>
      <c r="O1492" s="12" t="n">
        <v>1</v>
      </c>
      <c r="P1492" s="12" t="n">
        <v>480</v>
      </c>
      <c r="Q1492" s="12" t="n">
        <v>45</v>
      </c>
      <c r="R1492" s="12" t="n">
        <v>63.7</v>
      </c>
      <c r="S1492" s="12" t="inlineStr">
        <is>
          <t>Tray</t>
        </is>
      </c>
      <c r="T1492" s="16" t="n">
        <v>482</v>
      </c>
      <c r="U1492" s="16" t="n">
        <v>150</v>
      </c>
      <c r="V1492" s="16">
        <f>ROUNDUP((T1492+U1492+2*'Read Me'!$B$13)*(1+'Read Me'!$B$12),-1)</f>
        <v/>
      </c>
      <c r="W1492" s="16">
        <f>V1492*N1492*O1492</f>
        <v/>
      </c>
      <c r="X1492" s="12">
        <f>IF(LEFT(I1492,2)="MV",2*N1492*IF(L1492="1/C",O1492,1),0)</f>
        <v/>
      </c>
      <c r="Y1492" s="12">
        <f>IF(OR(LEFT(K1492,4)="LVAX",LEFT(K1492,6)="MV15AX",LEFT(K1492,4)="CTAX",LEFT(K1492,2)="W|"),2*N1492*O1492,0)</f>
        <v/>
      </c>
      <c r="Z1492" s="12" t="inlineStr">
        <is>
          <t>VD 2.5 %</t>
        </is>
      </c>
      <c r="AA1492" s="12">
        <f>N1492*O1492</f>
        <v/>
      </c>
    </row>
    <row r="1493">
      <c r="A1493" s="12" t="inlineStr">
        <is>
          <t>A-P-0126</t>
        </is>
      </c>
      <c r="B1493" s="12" t="inlineStr">
        <is>
          <t>A</t>
        </is>
      </c>
      <c r="C1493" s="12" t="inlineStr">
        <is>
          <t>Power block</t>
        </is>
      </c>
      <c r="D1493" s="12" t="inlineStr">
        <is>
          <t>Motor 10 of 12, 45 kW</t>
        </is>
      </c>
      <c r="E1493" s="12" t="inlineStr">
        <is>
          <t>MCC-GT2</t>
        </is>
      </c>
      <c r="F1493" s="12" t="inlineStr">
        <is>
          <t>R1 MCC-GT2</t>
        </is>
      </c>
      <c r="G1493" s="12" t="inlineStr">
        <is>
          <t>GT2 aux</t>
        </is>
      </c>
      <c r="H1493" s="12" t="inlineStr">
        <is>
          <t>GT2 aux: lube oil, hydraulics, enclosure fans</t>
        </is>
      </c>
      <c r="I1493" s="12" t="inlineStr">
        <is>
          <t>LV 600 V</t>
        </is>
      </c>
      <c r="J1493" s="12" t="inlineStr">
        <is>
          <t>ARMOR-X MC-HL 600 V 3/C Cu XHHW-2 + ground, CWA, black PVC (Class I Div 2)</t>
        </is>
      </c>
      <c r="K1493" s="12" t="inlineStr">
        <is>
          <t>LVAX|3/C+G|1</t>
        </is>
      </c>
      <c r="L1493" s="12" t="inlineStr">
        <is>
          <t>3/C+G</t>
        </is>
      </c>
      <c r="M1493" s="12" t="inlineStr">
        <is>
          <t>1</t>
        </is>
      </c>
      <c r="N1493" s="12" t="n">
        <v>1</v>
      </c>
      <c r="O1493" s="12" t="n">
        <v>1</v>
      </c>
      <c r="P1493" s="12" t="n">
        <v>480</v>
      </c>
      <c r="Q1493" s="12" t="n">
        <v>45</v>
      </c>
      <c r="R1493" s="12" t="n">
        <v>63.7</v>
      </c>
      <c r="S1493" s="12" t="inlineStr">
        <is>
          <t>Tray</t>
        </is>
      </c>
      <c r="T1493" s="16" t="n">
        <v>482</v>
      </c>
      <c r="U1493" s="16" t="n">
        <v>150</v>
      </c>
      <c r="V1493" s="16">
        <f>ROUNDUP((T1493+U1493+2*'Read Me'!$B$13)*(1+'Read Me'!$B$12),-1)</f>
        <v/>
      </c>
      <c r="W1493" s="16">
        <f>V1493*N1493*O1493</f>
        <v/>
      </c>
      <c r="X1493" s="12">
        <f>IF(LEFT(I1493,2)="MV",2*N1493*IF(L1493="1/C",O1493,1),0)</f>
        <v/>
      </c>
      <c r="Y1493" s="12">
        <f>IF(OR(LEFT(K1493,4)="LVAX",LEFT(K1493,6)="MV15AX",LEFT(K1493,4)="CTAX",LEFT(K1493,2)="W|"),2*N1493*O1493,0)</f>
        <v/>
      </c>
      <c r="Z1493" s="12" t="inlineStr">
        <is>
          <t>VD 2.5 %</t>
        </is>
      </c>
      <c r="AA1493" s="12">
        <f>N1493*O1493</f>
        <v/>
      </c>
    </row>
    <row r="1494">
      <c r="A1494" s="12" t="inlineStr">
        <is>
          <t>A-P-0127</t>
        </is>
      </c>
      <c r="B1494" s="12" t="inlineStr">
        <is>
          <t>A</t>
        </is>
      </c>
      <c r="C1494" s="12" t="inlineStr">
        <is>
          <t>Power block</t>
        </is>
      </c>
      <c r="D1494" s="12" t="inlineStr">
        <is>
          <t>Motor 11 of 12, 45 kW</t>
        </is>
      </c>
      <c r="E1494" s="12" t="inlineStr">
        <is>
          <t>MCC-GT2</t>
        </is>
      </c>
      <c r="F1494" s="12" t="inlineStr">
        <is>
          <t>R1 MCC-GT2</t>
        </is>
      </c>
      <c r="G1494" s="12" t="inlineStr">
        <is>
          <t>GT2 aux</t>
        </is>
      </c>
      <c r="H1494" s="12" t="inlineStr">
        <is>
          <t>GT2 aux: lube oil, hydraulics, enclosure fans</t>
        </is>
      </c>
      <c r="I1494" s="12" t="inlineStr">
        <is>
          <t>LV 600 V</t>
        </is>
      </c>
      <c r="J1494" s="12" t="inlineStr">
        <is>
          <t>ARMOR-X MC-HL 600 V 3/C Cu XHHW-2 + ground, CWA, black PVC (Class I Div 2)</t>
        </is>
      </c>
      <c r="K1494" s="12" t="inlineStr">
        <is>
          <t>LVAX|3/C+G|1</t>
        </is>
      </c>
      <c r="L1494" s="12" t="inlineStr">
        <is>
          <t>3/C+G</t>
        </is>
      </c>
      <c r="M1494" s="12" t="inlineStr">
        <is>
          <t>1</t>
        </is>
      </c>
      <c r="N1494" s="12" t="n">
        <v>1</v>
      </c>
      <c r="O1494" s="12" t="n">
        <v>1</v>
      </c>
      <c r="P1494" s="12" t="n">
        <v>480</v>
      </c>
      <c r="Q1494" s="12" t="n">
        <v>45</v>
      </c>
      <c r="R1494" s="12" t="n">
        <v>63.7</v>
      </c>
      <c r="S1494" s="12" t="inlineStr">
        <is>
          <t>Tray</t>
        </is>
      </c>
      <c r="T1494" s="16" t="n">
        <v>482</v>
      </c>
      <c r="U1494" s="16" t="n">
        <v>150</v>
      </c>
      <c r="V1494" s="16">
        <f>ROUNDUP((T1494+U1494+2*'Read Me'!$B$13)*(1+'Read Me'!$B$12),-1)</f>
        <v/>
      </c>
      <c r="W1494" s="16">
        <f>V1494*N1494*O1494</f>
        <v/>
      </c>
      <c r="X1494" s="12">
        <f>IF(LEFT(I1494,2)="MV",2*N1494*IF(L1494="1/C",O1494,1),0)</f>
        <v/>
      </c>
      <c r="Y1494" s="12">
        <f>IF(OR(LEFT(K1494,4)="LVAX",LEFT(K1494,6)="MV15AX",LEFT(K1494,4)="CTAX",LEFT(K1494,2)="W|"),2*N1494*O1494,0)</f>
        <v/>
      </c>
      <c r="Z1494" s="12" t="inlineStr">
        <is>
          <t>VD 2.5 %</t>
        </is>
      </c>
      <c r="AA1494" s="12">
        <f>N1494*O1494</f>
        <v/>
      </c>
    </row>
    <row r="1495">
      <c r="A1495" s="12" t="inlineStr">
        <is>
          <t>A-P-0128</t>
        </is>
      </c>
      <c r="B1495" s="12" t="inlineStr">
        <is>
          <t>A</t>
        </is>
      </c>
      <c r="C1495" s="12" t="inlineStr">
        <is>
          <t>Power block</t>
        </is>
      </c>
      <c r="D1495" s="12" t="inlineStr">
        <is>
          <t>Motor 12 of 12, 45 kW</t>
        </is>
      </c>
      <c r="E1495" s="12" t="inlineStr">
        <is>
          <t>MCC-GT2</t>
        </is>
      </c>
      <c r="F1495" s="12" t="inlineStr">
        <is>
          <t>R1 MCC-GT2</t>
        </is>
      </c>
      <c r="G1495" s="12" t="inlineStr">
        <is>
          <t>GT2 aux</t>
        </is>
      </c>
      <c r="H1495" s="12" t="inlineStr">
        <is>
          <t>GT2 aux: lube oil, hydraulics, enclosure fans</t>
        </is>
      </c>
      <c r="I1495" s="12" t="inlineStr">
        <is>
          <t>LV 600 V</t>
        </is>
      </c>
      <c r="J1495" s="12" t="inlineStr">
        <is>
          <t>ARMOR-X MC-HL 600 V 3/C Cu XHHW-2 + ground, CWA, black PVC (Class I Div 2)</t>
        </is>
      </c>
      <c r="K1495" s="12" t="inlineStr">
        <is>
          <t>LVAX|3/C+G|1</t>
        </is>
      </c>
      <c r="L1495" s="12" t="inlineStr">
        <is>
          <t>3/C+G</t>
        </is>
      </c>
      <c r="M1495" s="12" t="inlineStr">
        <is>
          <t>1</t>
        </is>
      </c>
      <c r="N1495" s="12" t="n">
        <v>1</v>
      </c>
      <c r="O1495" s="12" t="n">
        <v>1</v>
      </c>
      <c r="P1495" s="12" t="n">
        <v>480</v>
      </c>
      <c r="Q1495" s="12" t="n">
        <v>45</v>
      </c>
      <c r="R1495" s="12" t="n">
        <v>63.7</v>
      </c>
      <c r="S1495" s="12" t="inlineStr">
        <is>
          <t>Tray</t>
        </is>
      </c>
      <c r="T1495" s="16" t="n">
        <v>482</v>
      </c>
      <c r="U1495" s="16" t="n">
        <v>150</v>
      </c>
      <c r="V1495" s="16">
        <f>ROUNDUP((T1495+U1495+2*'Read Me'!$B$13)*(1+'Read Me'!$B$12),-1)</f>
        <v/>
      </c>
      <c r="W1495" s="16">
        <f>V1495*N1495*O1495</f>
        <v/>
      </c>
      <c r="X1495" s="12">
        <f>IF(LEFT(I1495,2)="MV",2*N1495*IF(L1495="1/C",O1495,1),0)</f>
        <v/>
      </c>
      <c r="Y1495" s="12">
        <f>IF(OR(LEFT(K1495,4)="LVAX",LEFT(K1495,6)="MV15AX",LEFT(K1495,4)="CTAX",LEFT(K1495,2)="W|"),2*N1495*O1495,0)</f>
        <v/>
      </c>
      <c r="Z1495" s="12" t="inlineStr">
        <is>
          <t>VD 2.5 %</t>
        </is>
      </c>
      <c r="AA1495" s="12">
        <f>N1495*O1495</f>
        <v/>
      </c>
    </row>
    <row r="1496">
      <c r="A1496" s="12" t="inlineStr">
        <is>
          <t>A-P-0129</t>
        </is>
      </c>
      <c r="B1496" s="12" t="inlineStr">
        <is>
          <t>A</t>
        </is>
      </c>
      <c r="C1496" s="12" t="inlineStr">
        <is>
          <t>Power block</t>
        </is>
      </c>
      <c r="D1496" s="12" t="inlineStr">
        <is>
          <t>LV power feeder</t>
        </is>
      </c>
      <c r="E1496" s="12" t="inlineStr">
        <is>
          <t>MCC-GT2</t>
        </is>
      </c>
      <c r="F1496" s="12" t="inlineStr">
        <is>
          <t>R1 MCC-GT2</t>
        </is>
      </c>
      <c r="G1496" s="12" t="inlineStr">
        <is>
          <t>GT2</t>
        </is>
      </c>
      <c r="H1496" s="12" t="inlineStr">
        <is>
          <t>GT2: H-class gas turbine (60 Hz)</t>
        </is>
      </c>
      <c r="I1496" s="12" t="inlineStr">
        <is>
          <t>LV 600 V</t>
        </is>
      </c>
      <c r="J1496" s="12" t="inlineStr">
        <is>
          <t>ARMOR-X MC-HL 600 V 3/C Cu XHHW-2 + ground, CWA, black PVC (Class I Div 2)</t>
        </is>
      </c>
      <c r="K1496" s="12" t="inlineStr">
        <is>
          <t>LVAX|3/C+G|350</t>
        </is>
      </c>
      <c r="L1496" s="12" t="inlineStr">
        <is>
          <t>3/C+G</t>
        </is>
      </c>
      <c r="M1496" s="12" t="inlineStr">
        <is>
          <t>350 kcmil</t>
        </is>
      </c>
      <c r="N1496" s="12" t="n">
        <v>1</v>
      </c>
      <c r="O1496" s="12" t="n">
        <v>1</v>
      </c>
      <c r="P1496" s="12" t="n">
        <v>480</v>
      </c>
      <c r="Q1496" s="12" t="n">
        <v>150</v>
      </c>
      <c r="R1496" s="12" t="n">
        <v>212.3</v>
      </c>
      <c r="S1496" s="12" t="inlineStr">
        <is>
          <t>Tray</t>
        </is>
      </c>
      <c r="T1496" s="16" t="n">
        <v>412</v>
      </c>
      <c r="U1496" s="16" t="n">
        <v>134</v>
      </c>
      <c r="V1496" s="16">
        <f>ROUNDUP((T1496+U1496+2*'Read Me'!$B$13)*(1+'Read Me'!$B$12),-1)</f>
        <v/>
      </c>
      <c r="W1496" s="16">
        <f>V1496*N1496*O1496</f>
        <v/>
      </c>
      <c r="X1496" s="12">
        <f>IF(LEFT(I1496,2)="MV",2*N1496*IF(L1496="1/C",O1496,1),0)</f>
        <v/>
      </c>
      <c r="Y1496" s="12">
        <f>IF(OR(LEFT(K1496,4)="LVAX",LEFT(K1496,6)="MV15AX",LEFT(K1496,4)="CTAX",LEFT(K1496,2)="W|"),2*N1496*O1496,0)</f>
        <v/>
      </c>
      <c r="Z1496" s="12" t="inlineStr">
        <is>
          <t>VD 1.7 %</t>
        </is>
      </c>
      <c r="AA1496" s="12">
        <f>N1496*O1496</f>
        <v/>
      </c>
    </row>
    <row r="1497">
      <c r="A1497" s="12" t="inlineStr">
        <is>
          <t>A-P-0130</t>
        </is>
      </c>
      <c r="B1497" s="12" t="inlineStr">
        <is>
          <t>A</t>
        </is>
      </c>
      <c r="C1497" s="12" t="inlineStr">
        <is>
          <t>Power block</t>
        </is>
      </c>
      <c r="D1497" s="12" t="inlineStr">
        <is>
          <t>480 V welding receptacle 1</t>
        </is>
      </c>
      <c r="E1497" s="12" t="inlineStr">
        <is>
          <t>MCC-GT2</t>
        </is>
      </c>
      <c r="F1497" s="12" t="inlineStr">
        <is>
          <t>R1 MCC-GT2</t>
        </is>
      </c>
      <c r="G1497" s="12" t="inlineStr">
        <is>
          <t>GT2</t>
        </is>
      </c>
      <c r="H1497" s="12" t="inlineStr">
        <is>
          <t>GT2: H-class gas turbine (60 Hz)</t>
        </is>
      </c>
      <c r="I1497" s="12" t="inlineStr">
        <is>
          <t>LV 600 V</t>
        </is>
      </c>
      <c r="J1497" s="12" t="inlineStr">
        <is>
          <t>ARMOR-X MC-HL 600 V 3/C Cu XHHW-2 + ground, CWA, black PVC (Class I Div 2)</t>
        </is>
      </c>
      <c r="K1497" s="12" t="inlineStr">
        <is>
          <t>LVAX|3/C+G|1</t>
        </is>
      </c>
      <c r="L1497" s="12" t="inlineStr">
        <is>
          <t>3/C+G</t>
        </is>
      </c>
      <c r="M1497" s="12" t="inlineStr">
        <is>
          <t>1</t>
        </is>
      </c>
      <c r="N1497" s="12" t="n">
        <v>1</v>
      </c>
      <c r="O1497" s="12" t="n">
        <v>1</v>
      </c>
      <c r="P1497" s="12" t="n">
        <v>480</v>
      </c>
      <c r="Q1497" s="12" t="n">
        <v>60</v>
      </c>
      <c r="R1497" s="12" t="n">
        <v>76</v>
      </c>
      <c r="S1497" s="12" t="inlineStr">
        <is>
          <t>Tray</t>
        </is>
      </c>
      <c r="T1497" s="16" t="n">
        <v>412</v>
      </c>
      <c r="U1497" s="16" t="n">
        <v>134</v>
      </c>
      <c r="V1497" s="16">
        <f>ROUNDUP((T1497+U1497+2*'Read Me'!$B$13)*(1+'Read Me'!$B$12),-1)</f>
        <v/>
      </c>
      <c r="W1497" s="16">
        <f>V1497*N1497*O1497</f>
        <v/>
      </c>
      <c r="X1497" s="12">
        <f>IF(LEFT(I1497,2)="MV",2*N1497*IF(L1497="1/C",O1497,1),0)</f>
        <v/>
      </c>
      <c r="Y1497" s="12">
        <f>IF(OR(LEFT(K1497,4)="LVAX",LEFT(K1497,6)="MV15AX",LEFT(K1497,4)="CTAX",LEFT(K1497,2)="W|"),2*N1497*O1497,0)</f>
        <v/>
      </c>
      <c r="Z1497" s="12" t="inlineStr">
        <is>
          <t>VD 2.5 %</t>
        </is>
      </c>
      <c r="AA1497" s="12">
        <f>N1497*O1497</f>
        <v/>
      </c>
    </row>
    <row r="1498">
      <c r="A1498" s="12" t="inlineStr">
        <is>
          <t>A-P-0131</t>
        </is>
      </c>
      <c r="B1498" s="12" t="inlineStr">
        <is>
          <t>A</t>
        </is>
      </c>
      <c r="C1498" s="12" t="inlineStr">
        <is>
          <t>Power block</t>
        </is>
      </c>
      <c r="D1498" s="12" t="inlineStr">
        <is>
          <t>480 V welding receptacle 2</t>
        </is>
      </c>
      <c r="E1498" s="12" t="inlineStr">
        <is>
          <t>MCC-GT2</t>
        </is>
      </c>
      <c r="F1498" s="12" t="inlineStr">
        <is>
          <t>R1 MCC-GT2</t>
        </is>
      </c>
      <c r="G1498" s="12" t="inlineStr">
        <is>
          <t>GT2</t>
        </is>
      </c>
      <c r="H1498" s="12" t="inlineStr">
        <is>
          <t>GT2: H-class gas turbine (60 Hz)</t>
        </is>
      </c>
      <c r="I1498" s="12" t="inlineStr">
        <is>
          <t>LV 600 V</t>
        </is>
      </c>
      <c r="J1498" s="12" t="inlineStr">
        <is>
          <t>ARMOR-X MC-HL 600 V 3/C Cu XHHW-2 + ground, CWA, black PVC (Class I Div 2)</t>
        </is>
      </c>
      <c r="K1498" s="12" t="inlineStr">
        <is>
          <t>LVAX|3/C+G|1</t>
        </is>
      </c>
      <c r="L1498" s="12" t="inlineStr">
        <is>
          <t>3/C+G</t>
        </is>
      </c>
      <c r="M1498" s="12" t="inlineStr">
        <is>
          <t>1</t>
        </is>
      </c>
      <c r="N1498" s="12" t="n">
        <v>1</v>
      </c>
      <c r="O1498" s="12" t="n">
        <v>1</v>
      </c>
      <c r="P1498" s="12" t="n">
        <v>480</v>
      </c>
      <c r="Q1498" s="12" t="n">
        <v>60</v>
      </c>
      <c r="R1498" s="12" t="n">
        <v>76</v>
      </c>
      <c r="S1498" s="12" t="inlineStr">
        <is>
          <t>Tray</t>
        </is>
      </c>
      <c r="T1498" s="16" t="n">
        <v>412</v>
      </c>
      <c r="U1498" s="16" t="n">
        <v>134</v>
      </c>
      <c r="V1498" s="16">
        <f>ROUNDUP((T1498+U1498+2*'Read Me'!$B$13)*(1+'Read Me'!$B$12),-1)</f>
        <v/>
      </c>
      <c r="W1498" s="16">
        <f>V1498*N1498*O1498</f>
        <v/>
      </c>
      <c r="X1498" s="12">
        <f>IF(LEFT(I1498,2)="MV",2*N1498*IF(L1498="1/C",O1498,1),0)</f>
        <v/>
      </c>
      <c r="Y1498" s="12">
        <f>IF(OR(LEFT(K1498,4)="LVAX",LEFT(K1498,6)="MV15AX",LEFT(K1498,4)="CTAX",LEFT(K1498,2)="W|"),2*N1498*O1498,0)</f>
        <v/>
      </c>
      <c r="Z1498" s="12" t="inlineStr">
        <is>
          <t>VD 2.5 %</t>
        </is>
      </c>
      <c r="AA1498" s="12">
        <f>N1498*O1498</f>
        <v/>
      </c>
    </row>
    <row r="1499">
      <c r="A1499" s="12" t="inlineStr">
        <is>
          <t>A-P-0132</t>
        </is>
      </c>
      <c r="B1499" s="12" t="inlineStr">
        <is>
          <t>A</t>
        </is>
      </c>
      <c r="C1499" s="12" t="inlineStr">
        <is>
          <t>Power block</t>
        </is>
      </c>
      <c r="D1499" s="12" t="inlineStr">
        <is>
          <t>480 V welding receptacle 3</t>
        </is>
      </c>
      <c r="E1499" s="12" t="inlineStr">
        <is>
          <t>MCC-GT2</t>
        </is>
      </c>
      <c r="F1499" s="12" t="inlineStr">
        <is>
          <t>R1 MCC-GT2</t>
        </is>
      </c>
      <c r="G1499" s="12" t="inlineStr">
        <is>
          <t>GT2</t>
        </is>
      </c>
      <c r="H1499" s="12" t="inlineStr">
        <is>
          <t>GT2: H-class gas turbine (60 Hz)</t>
        </is>
      </c>
      <c r="I1499" s="12" t="inlineStr">
        <is>
          <t>LV 600 V</t>
        </is>
      </c>
      <c r="J1499" s="12" t="inlineStr">
        <is>
          <t>ARMOR-X MC-HL 600 V 3/C Cu XHHW-2 + ground, CWA, black PVC (Class I Div 2)</t>
        </is>
      </c>
      <c r="K1499" s="12" t="inlineStr">
        <is>
          <t>LVAX|3/C+G|1</t>
        </is>
      </c>
      <c r="L1499" s="12" t="inlineStr">
        <is>
          <t>3/C+G</t>
        </is>
      </c>
      <c r="M1499" s="12" t="inlineStr">
        <is>
          <t>1</t>
        </is>
      </c>
      <c r="N1499" s="12" t="n">
        <v>1</v>
      </c>
      <c r="O1499" s="12" t="n">
        <v>1</v>
      </c>
      <c r="P1499" s="12" t="n">
        <v>480</v>
      </c>
      <c r="Q1499" s="12" t="n">
        <v>60</v>
      </c>
      <c r="R1499" s="12" t="n">
        <v>76</v>
      </c>
      <c r="S1499" s="12" t="inlineStr">
        <is>
          <t>Tray</t>
        </is>
      </c>
      <c r="T1499" s="16" t="n">
        <v>412</v>
      </c>
      <c r="U1499" s="16" t="n">
        <v>134</v>
      </c>
      <c r="V1499" s="16">
        <f>ROUNDUP((T1499+U1499+2*'Read Me'!$B$13)*(1+'Read Me'!$B$12),-1)</f>
        <v/>
      </c>
      <c r="W1499" s="16">
        <f>V1499*N1499*O1499</f>
        <v/>
      </c>
      <c r="X1499" s="12">
        <f>IF(LEFT(I1499,2)="MV",2*N1499*IF(L1499="1/C",O1499,1),0)</f>
        <v/>
      </c>
      <c r="Y1499" s="12">
        <f>IF(OR(LEFT(K1499,4)="LVAX",LEFT(K1499,6)="MV15AX",LEFT(K1499,4)="CTAX",LEFT(K1499,2)="W|"),2*N1499*O1499,0)</f>
        <v/>
      </c>
      <c r="Z1499" s="12" t="inlineStr">
        <is>
          <t>VD 2.5 %</t>
        </is>
      </c>
      <c r="AA1499" s="12">
        <f>N1499*O1499</f>
        <v/>
      </c>
    </row>
    <row r="1500">
      <c r="A1500" s="12" t="inlineStr">
        <is>
          <t>A-P-0133</t>
        </is>
      </c>
      <c r="B1500" s="12" t="inlineStr">
        <is>
          <t>A</t>
        </is>
      </c>
      <c r="C1500" s="12" t="inlineStr">
        <is>
          <t>Power block</t>
        </is>
      </c>
      <c r="D1500" s="12" t="inlineStr">
        <is>
          <t>480 V welding receptacle 4</t>
        </is>
      </c>
      <c r="E1500" s="12" t="inlineStr">
        <is>
          <t>MCC-GT2</t>
        </is>
      </c>
      <c r="F1500" s="12" t="inlineStr">
        <is>
          <t>R1 MCC-GT2</t>
        </is>
      </c>
      <c r="G1500" s="12" t="inlineStr">
        <is>
          <t>GT2</t>
        </is>
      </c>
      <c r="H1500" s="12" t="inlineStr">
        <is>
          <t>GT2: H-class gas turbine (60 Hz)</t>
        </is>
      </c>
      <c r="I1500" s="12" t="inlineStr">
        <is>
          <t>LV 600 V</t>
        </is>
      </c>
      <c r="J1500" s="12" t="inlineStr">
        <is>
          <t>ARMOR-X MC-HL 600 V 3/C Cu XHHW-2 + ground, CWA, black PVC (Class I Div 2)</t>
        </is>
      </c>
      <c r="K1500" s="12" t="inlineStr">
        <is>
          <t>LVAX|3/C+G|1</t>
        </is>
      </c>
      <c r="L1500" s="12" t="inlineStr">
        <is>
          <t>3/C+G</t>
        </is>
      </c>
      <c r="M1500" s="12" t="inlineStr">
        <is>
          <t>1</t>
        </is>
      </c>
      <c r="N1500" s="12" t="n">
        <v>1</v>
      </c>
      <c r="O1500" s="12" t="n">
        <v>1</v>
      </c>
      <c r="P1500" s="12" t="n">
        <v>480</v>
      </c>
      <c r="Q1500" s="12" t="n">
        <v>60</v>
      </c>
      <c r="R1500" s="12" t="n">
        <v>76</v>
      </c>
      <c r="S1500" s="12" t="inlineStr">
        <is>
          <t>Tray</t>
        </is>
      </c>
      <c r="T1500" s="16" t="n">
        <v>412</v>
      </c>
      <c r="U1500" s="16" t="n">
        <v>134</v>
      </c>
      <c r="V1500" s="16">
        <f>ROUNDUP((T1500+U1500+2*'Read Me'!$B$13)*(1+'Read Me'!$B$12),-1)</f>
        <v/>
      </c>
      <c r="W1500" s="16">
        <f>V1500*N1500*O1500</f>
        <v/>
      </c>
      <c r="X1500" s="12">
        <f>IF(LEFT(I1500,2)="MV",2*N1500*IF(L1500="1/C",O1500,1),0)</f>
        <v/>
      </c>
      <c r="Y1500" s="12">
        <f>IF(OR(LEFT(K1500,4)="LVAX",LEFT(K1500,6)="MV15AX",LEFT(K1500,4)="CTAX",LEFT(K1500,2)="W|"),2*N1500*O1500,0)</f>
        <v/>
      </c>
      <c r="Z1500" s="12" t="inlineStr">
        <is>
          <t>VD 2.5 %</t>
        </is>
      </c>
      <c r="AA1500" s="12">
        <f>N1500*O1500</f>
        <v/>
      </c>
    </row>
    <row r="1501">
      <c r="A1501" s="12" t="inlineStr">
        <is>
          <t>A-P-0134</t>
        </is>
      </c>
      <c r="B1501" s="12" t="inlineStr">
        <is>
          <t>A</t>
        </is>
      </c>
      <c r="C1501" s="12" t="inlineStr">
        <is>
          <t>Power block</t>
        </is>
      </c>
      <c r="D1501" s="12" t="inlineStr">
        <is>
          <t>Motor 1 of 12, 45 kW</t>
        </is>
      </c>
      <c r="E1501" s="12" t="inlineStr">
        <is>
          <t>MCC-GT3</t>
        </is>
      </c>
      <c r="F1501" s="12" t="inlineStr">
        <is>
          <t>R1 MCC-GT3</t>
        </is>
      </c>
      <c r="G1501" s="12" t="inlineStr">
        <is>
          <t>GT3 aux</t>
        </is>
      </c>
      <c r="H1501" s="12" t="inlineStr">
        <is>
          <t>GT3 aux: lube oil, hydraulics, enclosure fans</t>
        </is>
      </c>
      <c r="I1501" s="12" t="inlineStr">
        <is>
          <t>LV 600 V</t>
        </is>
      </c>
      <c r="J1501" s="12" t="inlineStr">
        <is>
          <t>ARMOR-X MC-HL 600 V 3/C Cu XHHW-2 + ground, CWA, black PVC (Class I Div 2)</t>
        </is>
      </c>
      <c r="K1501" s="12" t="inlineStr">
        <is>
          <t>LVAX|3/C+G|1/0</t>
        </is>
      </c>
      <c r="L1501" s="12" t="inlineStr">
        <is>
          <t>3/C+G</t>
        </is>
      </c>
      <c r="M1501" s="12" t="inlineStr">
        <is>
          <t>1/0</t>
        </is>
      </c>
      <c r="N1501" s="12" t="n">
        <v>1</v>
      </c>
      <c r="O1501" s="12" t="n">
        <v>1</v>
      </c>
      <c r="P1501" s="12" t="n">
        <v>480</v>
      </c>
      <c r="Q1501" s="12" t="n">
        <v>45</v>
      </c>
      <c r="R1501" s="12" t="n">
        <v>63.7</v>
      </c>
      <c r="S1501" s="12" t="inlineStr">
        <is>
          <t>Tray</t>
        </is>
      </c>
      <c r="T1501" s="16" t="n">
        <v>693</v>
      </c>
      <c r="U1501" s="16" t="n">
        <v>149</v>
      </c>
      <c r="V1501" s="16">
        <f>ROUNDUP((T1501+U1501+2*'Read Me'!$B$13)*(1+'Read Me'!$B$12),-1)</f>
        <v/>
      </c>
      <c r="W1501" s="16">
        <f>V1501*N1501*O1501</f>
        <v/>
      </c>
      <c r="X1501" s="12">
        <f>IF(LEFT(I1501,2)="MV",2*N1501*IF(L1501="1/C",O1501,1),0)</f>
        <v/>
      </c>
      <c r="Y1501" s="12">
        <f>IF(OR(LEFT(K1501,4)="LVAX",LEFT(K1501,6)="MV15AX",LEFT(K1501,4)="CTAX",LEFT(K1501,2)="W|"),2*N1501*O1501,0)</f>
        <v/>
      </c>
      <c r="Z1501" s="12" t="inlineStr">
        <is>
          <t>VD 2.6 %</t>
        </is>
      </c>
      <c r="AA1501" s="12">
        <f>N1501*O1501</f>
        <v/>
      </c>
    </row>
    <row r="1502">
      <c r="A1502" s="12" t="inlineStr">
        <is>
          <t>A-P-0135</t>
        </is>
      </c>
      <c r="B1502" s="12" t="inlineStr">
        <is>
          <t>A</t>
        </is>
      </c>
      <c r="C1502" s="12" t="inlineStr">
        <is>
          <t>Power block</t>
        </is>
      </c>
      <c r="D1502" s="12" t="inlineStr">
        <is>
          <t>Motor 2 of 12, 45 kW</t>
        </is>
      </c>
      <c r="E1502" s="12" t="inlineStr">
        <is>
          <t>MCC-GT3</t>
        </is>
      </c>
      <c r="F1502" s="12" t="inlineStr">
        <is>
          <t>R1 MCC-GT3</t>
        </is>
      </c>
      <c r="G1502" s="12" t="inlineStr">
        <is>
          <t>GT3 aux</t>
        </is>
      </c>
      <c r="H1502" s="12" t="inlineStr">
        <is>
          <t>GT3 aux: lube oil, hydraulics, enclosure fans</t>
        </is>
      </c>
      <c r="I1502" s="12" t="inlineStr">
        <is>
          <t>LV 600 V</t>
        </is>
      </c>
      <c r="J1502" s="12" t="inlineStr">
        <is>
          <t>ARMOR-X MC-HL 600 V 3/C Cu XHHW-2 + ground, CWA, black PVC (Class I Div 2)</t>
        </is>
      </c>
      <c r="K1502" s="12" t="inlineStr">
        <is>
          <t>LVAX|3/C+G|1/0</t>
        </is>
      </c>
      <c r="L1502" s="12" t="inlineStr">
        <is>
          <t>3/C+G</t>
        </is>
      </c>
      <c r="M1502" s="12" t="inlineStr">
        <is>
          <t>1/0</t>
        </is>
      </c>
      <c r="N1502" s="12" t="n">
        <v>1</v>
      </c>
      <c r="O1502" s="12" t="n">
        <v>1</v>
      </c>
      <c r="P1502" s="12" t="n">
        <v>480</v>
      </c>
      <c r="Q1502" s="12" t="n">
        <v>45</v>
      </c>
      <c r="R1502" s="12" t="n">
        <v>63.7</v>
      </c>
      <c r="S1502" s="12" t="inlineStr">
        <is>
          <t>Tray</t>
        </is>
      </c>
      <c r="T1502" s="16" t="n">
        <v>693</v>
      </c>
      <c r="U1502" s="16" t="n">
        <v>149</v>
      </c>
      <c r="V1502" s="16">
        <f>ROUNDUP((T1502+U1502+2*'Read Me'!$B$13)*(1+'Read Me'!$B$12),-1)</f>
        <v/>
      </c>
      <c r="W1502" s="16">
        <f>V1502*N1502*O1502</f>
        <v/>
      </c>
      <c r="X1502" s="12">
        <f>IF(LEFT(I1502,2)="MV",2*N1502*IF(L1502="1/C",O1502,1),0)</f>
        <v/>
      </c>
      <c r="Y1502" s="12">
        <f>IF(OR(LEFT(K1502,4)="LVAX",LEFT(K1502,6)="MV15AX",LEFT(K1502,4)="CTAX",LEFT(K1502,2)="W|"),2*N1502*O1502,0)</f>
        <v/>
      </c>
      <c r="Z1502" s="12" t="inlineStr">
        <is>
          <t>VD 2.6 %</t>
        </is>
      </c>
      <c r="AA1502" s="12">
        <f>N1502*O1502</f>
        <v/>
      </c>
    </row>
    <row r="1503">
      <c r="A1503" s="12" t="inlineStr">
        <is>
          <t>A-P-0136</t>
        </is>
      </c>
      <c r="B1503" s="12" t="inlineStr">
        <is>
          <t>A</t>
        </is>
      </c>
      <c r="C1503" s="12" t="inlineStr">
        <is>
          <t>Power block</t>
        </is>
      </c>
      <c r="D1503" s="12" t="inlineStr">
        <is>
          <t>Motor 3 of 12, 45 kW</t>
        </is>
      </c>
      <c r="E1503" s="12" t="inlineStr">
        <is>
          <t>MCC-GT3</t>
        </is>
      </c>
      <c r="F1503" s="12" t="inlineStr">
        <is>
          <t>R1 MCC-GT3</t>
        </is>
      </c>
      <c r="G1503" s="12" t="inlineStr">
        <is>
          <t>GT3 aux</t>
        </is>
      </c>
      <c r="H1503" s="12" t="inlineStr">
        <is>
          <t>GT3 aux: lube oil, hydraulics, enclosure fans</t>
        </is>
      </c>
      <c r="I1503" s="12" t="inlineStr">
        <is>
          <t>LV 600 V</t>
        </is>
      </c>
      <c r="J1503" s="12" t="inlineStr">
        <is>
          <t>ARMOR-X MC-HL 600 V 3/C Cu XHHW-2 + ground, CWA, black PVC (Class I Div 2)</t>
        </is>
      </c>
      <c r="K1503" s="12" t="inlineStr">
        <is>
          <t>LVAX|3/C+G|1/0</t>
        </is>
      </c>
      <c r="L1503" s="12" t="inlineStr">
        <is>
          <t>3/C+G</t>
        </is>
      </c>
      <c r="M1503" s="12" t="inlineStr">
        <is>
          <t>1/0</t>
        </is>
      </c>
      <c r="N1503" s="12" t="n">
        <v>1</v>
      </c>
      <c r="O1503" s="12" t="n">
        <v>1</v>
      </c>
      <c r="P1503" s="12" t="n">
        <v>480</v>
      </c>
      <c r="Q1503" s="12" t="n">
        <v>45</v>
      </c>
      <c r="R1503" s="12" t="n">
        <v>63.7</v>
      </c>
      <c r="S1503" s="12" t="inlineStr">
        <is>
          <t>Tray</t>
        </is>
      </c>
      <c r="T1503" s="16" t="n">
        <v>693</v>
      </c>
      <c r="U1503" s="16" t="n">
        <v>149</v>
      </c>
      <c r="V1503" s="16">
        <f>ROUNDUP((T1503+U1503+2*'Read Me'!$B$13)*(1+'Read Me'!$B$12),-1)</f>
        <v/>
      </c>
      <c r="W1503" s="16">
        <f>V1503*N1503*O1503</f>
        <v/>
      </c>
      <c r="X1503" s="12">
        <f>IF(LEFT(I1503,2)="MV",2*N1503*IF(L1503="1/C",O1503,1),0)</f>
        <v/>
      </c>
      <c r="Y1503" s="12">
        <f>IF(OR(LEFT(K1503,4)="LVAX",LEFT(K1503,6)="MV15AX",LEFT(K1503,4)="CTAX",LEFT(K1503,2)="W|"),2*N1503*O1503,0)</f>
        <v/>
      </c>
      <c r="Z1503" s="12" t="inlineStr">
        <is>
          <t>VD 2.6 %</t>
        </is>
      </c>
      <c r="AA1503" s="12">
        <f>N1503*O1503</f>
        <v/>
      </c>
    </row>
    <row r="1504">
      <c r="A1504" s="12" t="inlineStr">
        <is>
          <t>A-P-0137</t>
        </is>
      </c>
      <c r="B1504" s="12" t="inlineStr">
        <is>
          <t>A</t>
        </is>
      </c>
      <c r="C1504" s="12" t="inlineStr">
        <is>
          <t>Power block</t>
        </is>
      </c>
      <c r="D1504" s="12" t="inlineStr">
        <is>
          <t>Motor 4 of 12, 45 kW</t>
        </is>
      </c>
      <c r="E1504" s="12" t="inlineStr">
        <is>
          <t>MCC-GT3</t>
        </is>
      </c>
      <c r="F1504" s="12" t="inlineStr">
        <is>
          <t>R1 MCC-GT3</t>
        </is>
      </c>
      <c r="G1504" s="12" t="inlineStr">
        <is>
          <t>GT3 aux</t>
        </is>
      </c>
      <c r="H1504" s="12" t="inlineStr">
        <is>
          <t>GT3 aux: lube oil, hydraulics, enclosure fans</t>
        </is>
      </c>
      <c r="I1504" s="12" t="inlineStr">
        <is>
          <t>LV 600 V</t>
        </is>
      </c>
      <c r="J1504" s="12" t="inlineStr">
        <is>
          <t>ARMOR-X MC-HL 600 V 3/C Cu XHHW-2 + ground, CWA, black PVC (Class I Div 2)</t>
        </is>
      </c>
      <c r="K1504" s="12" t="inlineStr">
        <is>
          <t>LVAX|3/C+G|1/0</t>
        </is>
      </c>
      <c r="L1504" s="12" t="inlineStr">
        <is>
          <t>3/C+G</t>
        </is>
      </c>
      <c r="M1504" s="12" t="inlineStr">
        <is>
          <t>1/0</t>
        </is>
      </c>
      <c r="N1504" s="12" t="n">
        <v>1</v>
      </c>
      <c r="O1504" s="12" t="n">
        <v>1</v>
      </c>
      <c r="P1504" s="12" t="n">
        <v>480</v>
      </c>
      <c r="Q1504" s="12" t="n">
        <v>45</v>
      </c>
      <c r="R1504" s="12" t="n">
        <v>63.7</v>
      </c>
      <c r="S1504" s="12" t="inlineStr">
        <is>
          <t>Tray</t>
        </is>
      </c>
      <c r="T1504" s="16" t="n">
        <v>693</v>
      </c>
      <c r="U1504" s="16" t="n">
        <v>149</v>
      </c>
      <c r="V1504" s="16">
        <f>ROUNDUP((T1504+U1504+2*'Read Me'!$B$13)*(1+'Read Me'!$B$12),-1)</f>
        <v/>
      </c>
      <c r="W1504" s="16">
        <f>V1504*N1504*O1504</f>
        <v/>
      </c>
      <c r="X1504" s="12">
        <f>IF(LEFT(I1504,2)="MV",2*N1504*IF(L1504="1/C",O1504,1),0)</f>
        <v/>
      </c>
      <c r="Y1504" s="12">
        <f>IF(OR(LEFT(K1504,4)="LVAX",LEFT(K1504,6)="MV15AX",LEFT(K1504,4)="CTAX",LEFT(K1504,2)="W|"),2*N1504*O1504,0)</f>
        <v/>
      </c>
      <c r="Z1504" s="12" t="inlineStr">
        <is>
          <t>VD 2.6 %</t>
        </is>
      </c>
      <c r="AA1504" s="12">
        <f>N1504*O1504</f>
        <v/>
      </c>
    </row>
    <row r="1505">
      <c r="A1505" s="12" t="inlineStr">
        <is>
          <t>A-P-0138</t>
        </is>
      </c>
      <c r="B1505" s="12" t="inlineStr">
        <is>
          <t>A</t>
        </is>
      </c>
      <c r="C1505" s="12" t="inlineStr">
        <is>
          <t>Power block</t>
        </is>
      </c>
      <c r="D1505" s="12" t="inlineStr">
        <is>
          <t>Motor 5 of 12, 45 kW</t>
        </is>
      </c>
      <c r="E1505" s="12" t="inlineStr">
        <is>
          <t>MCC-GT3</t>
        </is>
      </c>
      <c r="F1505" s="12" t="inlineStr">
        <is>
          <t>R1 MCC-GT3</t>
        </is>
      </c>
      <c r="G1505" s="12" t="inlineStr">
        <is>
          <t>GT3 aux</t>
        </is>
      </c>
      <c r="H1505" s="12" t="inlineStr">
        <is>
          <t>GT3 aux: lube oil, hydraulics, enclosure fans</t>
        </is>
      </c>
      <c r="I1505" s="12" t="inlineStr">
        <is>
          <t>LV 600 V</t>
        </is>
      </c>
      <c r="J1505" s="12" t="inlineStr">
        <is>
          <t>ARMOR-X MC-HL 600 V 3/C Cu XHHW-2 + ground, CWA, black PVC (Class I Div 2)</t>
        </is>
      </c>
      <c r="K1505" s="12" t="inlineStr">
        <is>
          <t>LVAX|3/C+G|1/0</t>
        </is>
      </c>
      <c r="L1505" s="12" t="inlineStr">
        <is>
          <t>3/C+G</t>
        </is>
      </c>
      <c r="M1505" s="12" t="inlineStr">
        <is>
          <t>1/0</t>
        </is>
      </c>
      <c r="N1505" s="12" t="n">
        <v>1</v>
      </c>
      <c r="O1505" s="12" t="n">
        <v>1</v>
      </c>
      <c r="P1505" s="12" t="n">
        <v>480</v>
      </c>
      <c r="Q1505" s="12" t="n">
        <v>45</v>
      </c>
      <c r="R1505" s="12" t="n">
        <v>63.7</v>
      </c>
      <c r="S1505" s="12" t="inlineStr">
        <is>
          <t>Tray</t>
        </is>
      </c>
      <c r="T1505" s="16" t="n">
        <v>693</v>
      </c>
      <c r="U1505" s="16" t="n">
        <v>149</v>
      </c>
      <c r="V1505" s="16">
        <f>ROUNDUP((T1505+U1505+2*'Read Me'!$B$13)*(1+'Read Me'!$B$12),-1)</f>
        <v/>
      </c>
      <c r="W1505" s="16">
        <f>V1505*N1505*O1505</f>
        <v/>
      </c>
      <c r="X1505" s="12">
        <f>IF(LEFT(I1505,2)="MV",2*N1505*IF(L1505="1/C",O1505,1),0)</f>
        <v/>
      </c>
      <c r="Y1505" s="12">
        <f>IF(OR(LEFT(K1505,4)="LVAX",LEFT(K1505,6)="MV15AX",LEFT(K1505,4)="CTAX",LEFT(K1505,2)="W|"),2*N1505*O1505,0)</f>
        <v/>
      </c>
      <c r="Z1505" s="12" t="inlineStr">
        <is>
          <t>VD 2.6 %</t>
        </is>
      </c>
      <c r="AA1505" s="12">
        <f>N1505*O1505</f>
        <v/>
      </c>
    </row>
    <row r="1506">
      <c r="A1506" s="12" t="inlineStr">
        <is>
          <t>A-P-0139</t>
        </is>
      </c>
      <c r="B1506" s="12" t="inlineStr">
        <is>
          <t>A</t>
        </is>
      </c>
      <c r="C1506" s="12" t="inlineStr">
        <is>
          <t>Power block</t>
        </is>
      </c>
      <c r="D1506" s="12" t="inlineStr">
        <is>
          <t>Motor 6 of 12, 45 kW</t>
        </is>
      </c>
      <c r="E1506" s="12" t="inlineStr">
        <is>
          <t>MCC-GT3</t>
        </is>
      </c>
      <c r="F1506" s="12" t="inlineStr">
        <is>
          <t>R1 MCC-GT3</t>
        </is>
      </c>
      <c r="G1506" s="12" t="inlineStr">
        <is>
          <t>GT3 aux</t>
        </is>
      </c>
      <c r="H1506" s="12" t="inlineStr">
        <is>
          <t>GT3 aux: lube oil, hydraulics, enclosure fans</t>
        </is>
      </c>
      <c r="I1506" s="12" t="inlineStr">
        <is>
          <t>LV 600 V</t>
        </is>
      </c>
      <c r="J1506" s="12" t="inlineStr">
        <is>
          <t>ARMOR-X MC-HL 600 V 3/C Cu XHHW-2 + ground, CWA, black PVC (Class I Div 2)</t>
        </is>
      </c>
      <c r="K1506" s="12" t="inlineStr">
        <is>
          <t>LVAX|3/C+G|1/0</t>
        </is>
      </c>
      <c r="L1506" s="12" t="inlineStr">
        <is>
          <t>3/C+G</t>
        </is>
      </c>
      <c r="M1506" s="12" t="inlineStr">
        <is>
          <t>1/0</t>
        </is>
      </c>
      <c r="N1506" s="12" t="n">
        <v>1</v>
      </c>
      <c r="O1506" s="12" t="n">
        <v>1</v>
      </c>
      <c r="P1506" s="12" t="n">
        <v>480</v>
      </c>
      <c r="Q1506" s="12" t="n">
        <v>45</v>
      </c>
      <c r="R1506" s="12" t="n">
        <v>63.7</v>
      </c>
      <c r="S1506" s="12" t="inlineStr">
        <is>
          <t>Tray</t>
        </is>
      </c>
      <c r="T1506" s="16" t="n">
        <v>693</v>
      </c>
      <c r="U1506" s="16" t="n">
        <v>149</v>
      </c>
      <c r="V1506" s="16">
        <f>ROUNDUP((T1506+U1506+2*'Read Me'!$B$13)*(1+'Read Me'!$B$12),-1)</f>
        <v/>
      </c>
      <c r="W1506" s="16">
        <f>V1506*N1506*O1506</f>
        <v/>
      </c>
      <c r="X1506" s="12">
        <f>IF(LEFT(I1506,2)="MV",2*N1506*IF(L1506="1/C",O1506,1),0)</f>
        <v/>
      </c>
      <c r="Y1506" s="12">
        <f>IF(OR(LEFT(K1506,4)="LVAX",LEFT(K1506,6)="MV15AX",LEFT(K1506,4)="CTAX",LEFT(K1506,2)="W|"),2*N1506*O1506,0)</f>
        <v/>
      </c>
      <c r="Z1506" s="12" t="inlineStr">
        <is>
          <t>VD 2.6 %</t>
        </is>
      </c>
      <c r="AA1506" s="12">
        <f>N1506*O1506</f>
        <v/>
      </c>
    </row>
    <row r="1507">
      <c r="A1507" s="12" t="inlineStr">
        <is>
          <t>A-P-0140</t>
        </is>
      </c>
      <c r="B1507" s="12" t="inlineStr">
        <is>
          <t>A</t>
        </is>
      </c>
      <c r="C1507" s="12" t="inlineStr">
        <is>
          <t>Power block</t>
        </is>
      </c>
      <c r="D1507" s="12" t="inlineStr">
        <is>
          <t>Motor 7 of 12, 45 kW</t>
        </is>
      </c>
      <c r="E1507" s="12" t="inlineStr">
        <is>
          <t>MCC-GT3</t>
        </is>
      </c>
      <c r="F1507" s="12" t="inlineStr">
        <is>
          <t>R1 MCC-GT3</t>
        </is>
      </c>
      <c r="G1507" s="12" t="inlineStr">
        <is>
          <t>GT3 aux</t>
        </is>
      </c>
      <c r="H1507" s="12" t="inlineStr">
        <is>
          <t>GT3 aux: lube oil, hydraulics, enclosure fans</t>
        </is>
      </c>
      <c r="I1507" s="12" t="inlineStr">
        <is>
          <t>LV 600 V</t>
        </is>
      </c>
      <c r="J1507" s="12" t="inlineStr">
        <is>
          <t>ARMOR-X MC-HL 600 V 3/C Cu XHHW-2 + ground, CWA, black PVC (Class I Div 2)</t>
        </is>
      </c>
      <c r="K1507" s="12" t="inlineStr">
        <is>
          <t>LVAX|3/C+G|1/0</t>
        </is>
      </c>
      <c r="L1507" s="12" t="inlineStr">
        <is>
          <t>3/C+G</t>
        </is>
      </c>
      <c r="M1507" s="12" t="inlineStr">
        <is>
          <t>1/0</t>
        </is>
      </c>
      <c r="N1507" s="12" t="n">
        <v>1</v>
      </c>
      <c r="O1507" s="12" t="n">
        <v>1</v>
      </c>
      <c r="P1507" s="12" t="n">
        <v>480</v>
      </c>
      <c r="Q1507" s="12" t="n">
        <v>45</v>
      </c>
      <c r="R1507" s="12" t="n">
        <v>63.7</v>
      </c>
      <c r="S1507" s="12" t="inlineStr">
        <is>
          <t>Tray</t>
        </is>
      </c>
      <c r="T1507" s="16" t="n">
        <v>693</v>
      </c>
      <c r="U1507" s="16" t="n">
        <v>149</v>
      </c>
      <c r="V1507" s="16">
        <f>ROUNDUP((T1507+U1507+2*'Read Me'!$B$13)*(1+'Read Me'!$B$12),-1)</f>
        <v/>
      </c>
      <c r="W1507" s="16">
        <f>V1507*N1507*O1507</f>
        <v/>
      </c>
      <c r="X1507" s="12">
        <f>IF(LEFT(I1507,2)="MV",2*N1507*IF(L1507="1/C",O1507,1),0)</f>
        <v/>
      </c>
      <c r="Y1507" s="12">
        <f>IF(OR(LEFT(K1507,4)="LVAX",LEFT(K1507,6)="MV15AX",LEFT(K1507,4)="CTAX",LEFT(K1507,2)="W|"),2*N1507*O1507,0)</f>
        <v/>
      </c>
      <c r="Z1507" s="12" t="inlineStr">
        <is>
          <t>VD 2.6 %</t>
        </is>
      </c>
      <c r="AA1507" s="12">
        <f>N1507*O1507</f>
        <v/>
      </c>
    </row>
    <row r="1508">
      <c r="A1508" s="12" t="inlineStr">
        <is>
          <t>A-P-0141</t>
        </is>
      </c>
      <c r="B1508" s="12" t="inlineStr">
        <is>
          <t>A</t>
        </is>
      </c>
      <c r="C1508" s="12" t="inlineStr">
        <is>
          <t>Power block</t>
        </is>
      </c>
      <c r="D1508" s="12" t="inlineStr">
        <is>
          <t>Motor 8 of 12, 45 kW</t>
        </is>
      </c>
      <c r="E1508" s="12" t="inlineStr">
        <is>
          <t>MCC-GT3</t>
        </is>
      </c>
      <c r="F1508" s="12" t="inlineStr">
        <is>
          <t>R1 MCC-GT3</t>
        </is>
      </c>
      <c r="G1508" s="12" t="inlineStr">
        <is>
          <t>GT3 aux</t>
        </is>
      </c>
      <c r="H1508" s="12" t="inlineStr">
        <is>
          <t>GT3 aux: lube oil, hydraulics, enclosure fans</t>
        </is>
      </c>
      <c r="I1508" s="12" t="inlineStr">
        <is>
          <t>LV 600 V</t>
        </is>
      </c>
      <c r="J1508" s="12" t="inlineStr">
        <is>
          <t>ARMOR-X MC-HL 600 V 3/C Cu XHHW-2 + ground, CWA, black PVC (Class I Div 2)</t>
        </is>
      </c>
      <c r="K1508" s="12" t="inlineStr">
        <is>
          <t>LVAX|3/C+G|1/0</t>
        </is>
      </c>
      <c r="L1508" s="12" t="inlineStr">
        <is>
          <t>3/C+G</t>
        </is>
      </c>
      <c r="M1508" s="12" t="inlineStr">
        <is>
          <t>1/0</t>
        </is>
      </c>
      <c r="N1508" s="12" t="n">
        <v>1</v>
      </c>
      <c r="O1508" s="12" t="n">
        <v>1</v>
      </c>
      <c r="P1508" s="12" t="n">
        <v>480</v>
      </c>
      <c r="Q1508" s="12" t="n">
        <v>45</v>
      </c>
      <c r="R1508" s="12" t="n">
        <v>63.7</v>
      </c>
      <c r="S1508" s="12" t="inlineStr">
        <is>
          <t>Tray</t>
        </is>
      </c>
      <c r="T1508" s="16" t="n">
        <v>693</v>
      </c>
      <c r="U1508" s="16" t="n">
        <v>149</v>
      </c>
      <c r="V1508" s="16">
        <f>ROUNDUP((T1508+U1508+2*'Read Me'!$B$13)*(1+'Read Me'!$B$12),-1)</f>
        <v/>
      </c>
      <c r="W1508" s="16">
        <f>V1508*N1508*O1508</f>
        <v/>
      </c>
      <c r="X1508" s="12">
        <f>IF(LEFT(I1508,2)="MV",2*N1508*IF(L1508="1/C",O1508,1),0)</f>
        <v/>
      </c>
      <c r="Y1508" s="12">
        <f>IF(OR(LEFT(K1508,4)="LVAX",LEFT(K1508,6)="MV15AX",LEFT(K1508,4)="CTAX",LEFT(K1508,2)="W|"),2*N1508*O1508,0)</f>
        <v/>
      </c>
      <c r="Z1508" s="12" t="inlineStr">
        <is>
          <t>VD 2.6 %</t>
        </is>
      </c>
      <c r="AA1508" s="12">
        <f>N1508*O1508</f>
        <v/>
      </c>
    </row>
    <row r="1509">
      <c r="A1509" s="12" t="inlineStr">
        <is>
          <t>A-P-0142</t>
        </is>
      </c>
      <c r="B1509" s="12" t="inlineStr">
        <is>
          <t>A</t>
        </is>
      </c>
      <c r="C1509" s="12" t="inlineStr">
        <is>
          <t>Power block</t>
        </is>
      </c>
      <c r="D1509" s="12" t="inlineStr">
        <is>
          <t>Motor 9 of 12, 45 kW</t>
        </is>
      </c>
      <c r="E1509" s="12" t="inlineStr">
        <is>
          <t>MCC-GT3</t>
        </is>
      </c>
      <c r="F1509" s="12" t="inlineStr">
        <is>
          <t>R1 MCC-GT3</t>
        </is>
      </c>
      <c r="G1509" s="12" t="inlineStr">
        <is>
          <t>GT3 aux</t>
        </is>
      </c>
      <c r="H1509" s="12" t="inlineStr">
        <is>
          <t>GT3 aux: lube oil, hydraulics, enclosure fans</t>
        </is>
      </c>
      <c r="I1509" s="12" t="inlineStr">
        <is>
          <t>LV 600 V</t>
        </is>
      </c>
      <c r="J1509" s="12" t="inlineStr">
        <is>
          <t>ARMOR-X MC-HL 600 V 3/C Cu XHHW-2 + ground, CWA, black PVC (Class I Div 2)</t>
        </is>
      </c>
      <c r="K1509" s="12" t="inlineStr">
        <is>
          <t>LVAX|3/C+G|1/0</t>
        </is>
      </c>
      <c r="L1509" s="12" t="inlineStr">
        <is>
          <t>3/C+G</t>
        </is>
      </c>
      <c r="M1509" s="12" t="inlineStr">
        <is>
          <t>1/0</t>
        </is>
      </c>
      <c r="N1509" s="12" t="n">
        <v>1</v>
      </c>
      <c r="O1509" s="12" t="n">
        <v>1</v>
      </c>
      <c r="P1509" s="12" t="n">
        <v>480</v>
      </c>
      <c r="Q1509" s="12" t="n">
        <v>45</v>
      </c>
      <c r="R1509" s="12" t="n">
        <v>63.7</v>
      </c>
      <c r="S1509" s="12" t="inlineStr">
        <is>
          <t>Tray</t>
        </is>
      </c>
      <c r="T1509" s="16" t="n">
        <v>693</v>
      </c>
      <c r="U1509" s="16" t="n">
        <v>149</v>
      </c>
      <c r="V1509" s="16">
        <f>ROUNDUP((T1509+U1509+2*'Read Me'!$B$13)*(1+'Read Me'!$B$12),-1)</f>
        <v/>
      </c>
      <c r="W1509" s="16">
        <f>V1509*N1509*O1509</f>
        <v/>
      </c>
      <c r="X1509" s="12">
        <f>IF(LEFT(I1509,2)="MV",2*N1509*IF(L1509="1/C",O1509,1),0)</f>
        <v/>
      </c>
      <c r="Y1509" s="12">
        <f>IF(OR(LEFT(K1509,4)="LVAX",LEFT(K1509,6)="MV15AX",LEFT(K1509,4)="CTAX",LEFT(K1509,2)="W|"),2*N1509*O1509,0)</f>
        <v/>
      </c>
      <c r="Z1509" s="12" t="inlineStr">
        <is>
          <t>VD 2.6 %</t>
        </is>
      </c>
      <c r="AA1509" s="12">
        <f>N1509*O1509</f>
        <v/>
      </c>
    </row>
    <row r="1510">
      <c r="A1510" s="12" t="inlineStr">
        <is>
          <t>A-P-0143</t>
        </is>
      </c>
      <c r="B1510" s="12" t="inlineStr">
        <is>
          <t>A</t>
        </is>
      </c>
      <c r="C1510" s="12" t="inlineStr">
        <is>
          <t>Power block</t>
        </is>
      </c>
      <c r="D1510" s="12" t="inlineStr">
        <is>
          <t>Motor 10 of 12, 45 kW</t>
        </is>
      </c>
      <c r="E1510" s="12" t="inlineStr">
        <is>
          <t>MCC-GT3</t>
        </is>
      </c>
      <c r="F1510" s="12" t="inlineStr">
        <is>
          <t>R1 MCC-GT3</t>
        </is>
      </c>
      <c r="G1510" s="12" t="inlineStr">
        <is>
          <t>GT3 aux</t>
        </is>
      </c>
      <c r="H1510" s="12" t="inlineStr">
        <is>
          <t>GT3 aux: lube oil, hydraulics, enclosure fans</t>
        </is>
      </c>
      <c r="I1510" s="12" t="inlineStr">
        <is>
          <t>LV 600 V</t>
        </is>
      </c>
      <c r="J1510" s="12" t="inlineStr">
        <is>
          <t>ARMOR-X MC-HL 600 V 3/C Cu XHHW-2 + ground, CWA, black PVC (Class I Div 2)</t>
        </is>
      </c>
      <c r="K1510" s="12" t="inlineStr">
        <is>
          <t>LVAX|3/C+G|1/0</t>
        </is>
      </c>
      <c r="L1510" s="12" t="inlineStr">
        <is>
          <t>3/C+G</t>
        </is>
      </c>
      <c r="M1510" s="12" t="inlineStr">
        <is>
          <t>1/0</t>
        </is>
      </c>
      <c r="N1510" s="12" t="n">
        <v>1</v>
      </c>
      <c r="O1510" s="12" t="n">
        <v>1</v>
      </c>
      <c r="P1510" s="12" t="n">
        <v>480</v>
      </c>
      <c r="Q1510" s="12" t="n">
        <v>45</v>
      </c>
      <c r="R1510" s="12" t="n">
        <v>63.7</v>
      </c>
      <c r="S1510" s="12" t="inlineStr">
        <is>
          <t>Tray</t>
        </is>
      </c>
      <c r="T1510" s="16" t="n">
        <v>693</v>
      </c>
      <c r="U1510" s="16" t="n">
        <v>149</v>
      </c>
      <c r="V1510" s="16">
        <f>ROUNDUP((T1510+U1510+2*'Read Me'!$B$13)*(1+'Read Me'!$B$12),-1)</f>
        <v/>
      </c>
      <c r="W1510" s="16">
        <f>V1510*N1510*O1510</f>
        <v/>
      </c>
      <c r="X1510" s="12">
        <f>IF(LEFT(I1510,2)="MV",2*N1510*IF(L1510="1/C",O1510,1),0)</f>
        <v/>
      </c>
      <c r="Y1510" s="12">
        <f>IF(OR(LEFT(K1510,4)="LVAX",LEFT(K1510,6)="MV15AX",LEFT(K1510,4)="CTAX",LEFT(K1510,2)="W|"),2*N1510*O1510,0)</f>
        <v/>
      </c>
      <c r="Z1510" s="12" t="inlineStr">
        <is>
          <t>VD 2.6 %</t>
        </is>
      </c>
      <c r="AA1510" s="12">
        <f>N1510*O1510</f>
        <v/>
      </c>
    </row>
    <row r="1511">
      <c r="A1511" s="12" t="inlineStr">
        <is>
          <t>A-P-0144</t>
        </is>
      </c>
      <c r="B1511" s="12" t="inlineStr">
        <is>
          <t>A</t>
        </is>
      </c>
      <c r="C1511" s="12" t="inlineStr">
        <is>
          <t>Power block</t>
        </is>
      </c>
      <c r="D1511" s="12" t="inlineStr">
        <is>
          <t>Motor 11 of 12, 45 kW</t>
        </is>
      </c>
      <c r="E1511" s="12" t="inlineStr">
        <is>
          <t>MCC-GT3</t>
        </is>
      </c>
      <c r="F1511" s="12" t="inlineStr">
        <is>
          <t>R1 MCC-GT3</t>
        </is>
      </c>
      <c r="G1511" s="12" t="inlineStr">
        <is>
          <t>GT3 aux</t>
        </is>
      </c>
      <c r="H1511" s="12" t="inlineStr">
        <is>
          <t>GT3 aux: lube oil, hydraulics, enclosure fans</t>
        </is>
      </c>
      <c r="I1511" s="12" t="inlineStr">
        <is>
          <t>LV 600 V</t>
        </is>
      </c>
      <c r="J1511" s="12" t="inlineStr">
        <is>
          <t>ARMOR-X MC-HL 600 V 3/C Cu XHHW-2 + ground, CWA, black PVC (Class I Div 2)</t>
        </is>
      </c>
      <c r="K1511" s="12" t="inlineStr">
        <is>
          <t>LVAX|3/C+G|1/0</t>
        </is>
      </c>
      <c r="L1511" s="12" t="inlineStr">
        <is>
          <t>3/C+G</t>
        </is>
      </c>
      <c r="M1511" s="12" t="inlineStr">
        <is>
          <t>1/0</t>
        </is>
      </c>
      <c r="N1511" s="12" t="n">
        <v>1</v>
      </c>
      <c r="O1511" s="12" t="n">
        <v>1</v>
      </c>
      <c r="P1511" s="12" t="n">
        <v>480</v>
      </c>
      <c r="Q1511" s="12" t="n">
        <v>45</v>
      </c>
      <c r="R1511" s="12" t="n">
        <v>63.7</v>
      </c>
      <c r="S1511" s="12" t="inlineStr">
        <is>
          <t>Tray</t>
        </is>
      </c>
      <c r="T1511" s="16" t="n">
        <v>693</v>
      </c>
      <c r="U1511" s="16" t="n">
        <v>149</v>
      </c>
      <c r="V1511" s="16">
        <f>ROUNDUP((T1511+U1511+2*'Read Me'!$B$13)*(1+'Read Me'!$B$12),-1)</f>
        <v/>
      </c>
      <c r="W1511" s="16">
        <f>V1511*N1511*O1511</f>
        <v/>
      </c>
      <c r="X1511" s="12">
        <f>IF(LEFT(I1511,2)="MV",2*N1511*IF(L1511="1/C",O1511,1),0)</f>
        <v/>
      </c>
      <c r="Y1511" s="12">
        <f>IF(OR(LEFT(K1511,4)="LVAX",LEFT(K1511,6)="MV15AX",LEFT(K1511,4)="CTAX",LEFT(K1511,2)="W|"),2*N1511*O1511,0)</f>
        <v/>
      </c>
      <c r="Z1511" s="12" t="inlineStr">
        <is>
          <t>VD 2.6 %</t>
        </is>
      </c>
      <c r="AA1511" s="12">
        <f>N1511*O1511</f>
        <v/>
      </c>
    </row>
    <row r="1512">
      <c r="A1512" s="12" t="inlineStr">
        <is>
          <t>A-P-0145</t>
        </is>
      </c>
      <c r="B1512" s="12" t="inlineStr">
        <is>
          <t>A</t>
        </is>
      </c>
      <c r="C1512" s="12" t="inlineStr">
        <is>
          <t>Power block</t>
        </is>
      </c>
      <c r="D1512" s="12" t="inlineStr">
        <is>
          <t>Motor 12 of 12, 45 kW</t>
        </is>
      </c>
      <c r="E1512" s="12" t="inlineStr">
        <is>
          <t>MCC-GT3</t>
        </is>
      </c>
      <c r="F1512" s="12" t="inlineStr">
        <is>
          <t>R1 MCC-GT3</t>
        </is>
      </c>
      <c r="G1512" s="12" t="inlineStr">
        <is>
          <t>GT3 aux</t>
        </is>
      </c>
      <c r="H1512" s="12" t="inlineStr">
        <is>
          <t>GT3 aux: lube oil, hydraulics, enclosure fans</t>
        </is>
      </c>
      <c r="I1512" s="12" t="inlineStr">
        <is>
          <t>LV 600 V</t>
        </is>
      </c>
      <c r="J1512" s="12" t="inlineStr">
        <is>
          <t>ARMOR-X MC-HL 600 V 3/C Cu XHHW-2 + ground, CWA, black PVC (Class I Div 2)</t>
        </is>
      </c>
      <c r="K1512" s="12" t="inlineStr">
        <is>
          <t>LVAX|3/C+G|1/0</t>
        </is>
      </c>
      <c r="L1512" s="12" t="inlineStr">
        <is>
          <t>3/C+G</t>
        </is>
      </c>
      <c r="M1512" s="12" t="inlineStr">
        <is>
          <t>1/0</t>
        </is>
      </c>
      <c r="N1512" s="12" t="n">
        <v>1</v>
      </c>
      <c r="O1512" s="12" t="n">
        <v>1</v>
      </c>
      <c r="P1512" s="12" t="n">
        <v>480</v>
      </c>
      <c r="Q1512" s="12" t="n">
        <v>45</v>
      </c>
      <c r="R1512" s="12" t="n">
        <v>63.7</v>
      </c>
      <c r="S1512" s="12" t="inlineStr">
        <is>
          <t>Tray</t>
        </is>
      </c>
      <c r="T1512" s="16" t="n">
        <v>693</v>
      </c>
      <c r="U1512" s="16" t="n">
        <v>149</v>
      </c>
      <c r="V1512" s="16">
        <f>ROUNDUP((T1512+U1512+2*'Read Me'!$B$13)*(1+'Read Me'!$B$12),-1)</f>
        <v/>
      </c>
      <c r="W1512" s="16">
        <f>V1512*N1512*O1512</f>
        <v/>
      </c>
      <c r="X1512" s="12">
        <f>IF(LEFT(I1512,2)="MV",2*N1512*IF(L1512="1/C",O1512,1),0)</f>
        <v/>
      </c>
      <c r="Y1512" s="12">
        <f>IF(OR(LEFT(K1512,4)="LVAX",LEFT(K1512,6)="MV15AX",LEFT(K1512,4)="CTAX",LEFT(K1512,2)="W|"),2*N1512*O1512,0)</f>
        <v/>
      </c>
      <c r="Z1512" s="12" t="inlineStr">
        <is>
          <t>VD 2.6 %</t>
        </is>
      </c>
      <c r="AA1512" s="12">
        <f>N1512*O1512</f>
        <v/>
      </c>
    </row>
    <row r="1513">
      <c r="A1513" s="12" t="inlineStr">
        <is>
          <t>A-P-0146</t>
        </is>
      </c>
      <c r="B1513" s="12" t="inlineStr">
        <is>
          <t>A</t>
        </is>
      </c>
      <c r="C1513" s="12" t="inlineStr">
        <is>
          <t>Power block</t>
        </is>
      </c>
      <c r="D1513" s="12" t="inlineStr">
        <is>
          <t>LV power feeder</t>
        </is>
      </c>
      <c r="E1513" s="12" t="inlineStr">
        <is>
          <t>MCC-GT3</t>
        </is>
      </c>
      <c r="F1513" s="12" t="inlineStr">
        <is>
          <t>R1 MCC-GT3</t>
        </is>
      </c>
      <c r="G1513" s="12" t="inlineStr">
        <is>
          <t>GT3</t>
        </is>
      </c>
      <c r="H1513" s="12" t="inlineStr">
        <is>
          <t>GT3: H-class gas turbine (60 Hz)</t>
        </is>
      </c>
      <c r="I1513" s="12" t="inlineStr">
        <is>
          <t>LV 600 V</t>
        </is>
      </c>
      <c r="J1513" s="12" t="inlineStr">
        <is>
          <t>ARMOR-X MC-HL 600 V 3/C Cu XHHW-2 + ground, CWA, black PVC (Class I Div 2)</t>
        </is>
      </c>
      <c r="K1513" s="12" t="inlineStr">
        <is>
          <t>LVAX|3/C+G|350</t>
        </is>
      </c>
      <c r="L1513" s="12" t="inlineStr">
        <is>
          <t>3/C+G</t>
        </is>
      </c>
      <c r="M1513" s="12" t="inlineStr">
        <is>
          <t>350 kcmil</t>
        </is>
      </c>
      <c r="N1513" s="12" t="n">
        <v>1</v>
      </c>
      <c r="O1513" s="12" t="n">
        <v>1</v>
      </c>
      <c r="P1513" s="12" t="n">
        <v>480</v>
      </c>
      <c r="Q1513" s="12" t="n">
        <v>150</v>
      </c>
      <c r="R1513" s="12" t="n">
        <v>212.3</v>
      </c>
      <c r="S1513" s="12" t="inlineStr">
        <is>
          <t>Tray</t>
        </is>
      </c>
      <c r="T1513" s="16" t="n">
        <v>580</v>
      </c>
      <c r="U1513" s="16" t="n">
        <v>142</v>
      </c>
      <c r="V1513" s="16">
        <f>ROUNDUP((T1513+U1513+2*'Read Me'!$B$13)*(1+'Read Me'!$B$12),-1)</f>
        <v/>
      </c>
      <c r="W1513" s="16">
        <f>V1513*N1513*O1513</f>
        <v/>
      </c>
      <c r="X1513" s="12">
        <f>IF(LEFT(I1513,2)="MV",2*N1513*IF(L1513="1/C",O1513,1),0)</f>
        <v/>
      </c>
      <c r="Y1513" s="12">
        <f>IF(OR(LEFT(K1513,4)="LVAX",LEFT(K1513,6)="MV15AX",LEFT(K1513,4)="CTAX",LEFT(K1513,2)="W|"),2*N1513*O1513,0)</f>
        <v/>
      </c>
      <c r="Z1513" s="12" t="inlineStr">
        <is>
          <t>VD 2.2 %</t>
        </is>
      </c>
      <c r="AA1513" s="12">
        <f>N1513*O1513</f>
        <v/>
      </c>
    </row>
    <row r="1514">
      <c r="A1514" s="12" t="inlineStr">
        <is>
          <t>A-P-0147</t>
        </is>
      </c>
      <c r="B1514" s="12" t="inlineStr">
        <is>
          <t>A</t>
        </is>
      </c>
      <c r="C1514" s="12" t="inlineStr">
        <is>
          <t>Power block</t>
        </is>
      </c>
      <c r="D1514" s="12" t="inlineStr">
        <is>
          <t>480 V welding receptacle 1</t>
        </is>
      </c>
      <c r="E1514" s="12" t="inlineStr">
        <is>
          <t>MCC-GT3</t>
        </is>
      </c>
      <c r="F1514" s="12" t="inlineStr">
        <is>
          <t>R1 MCC-GT3</t>
        </is>
      </c>
      <c r="G1514" s="12" t="inlineStr">
        <is>
          <t>GT3</t>
        </is>
      </c>
      <c r="H1514" s="12" t="inlineStr">
        <is>
          <t>GT3: H-class gas turbine (60 Hz)</t>
        </is>
      </c>
      <c r="I1514" s="12" t="inlineStr">
        <is>
          <t>LV 600 V</t>
        </is>
      </c>
      <c r="J1514" s="12" t="inlineStr">
        <is>
          <t>ARMOR-X MC-HL 600 V 3/C Cu XHHW-2 + ground, CWA, black PVC (Class I Div 2)</t>
        </is>
      </c>
      <c r="K1514" s="12" t="inlineStr">
        <is>
          <t>LVAX|3/C+G|1/0</t>
        </is>
      </c>
      <c r="L1514" s="12" t="inlineStr">
        <is>
          <t>3/C+G</t>
        </is>
      </c>
      <c r="M1514" s="12" t="inlineStr">
        <is>
          <t>1/0</t>
        </is>
      </c>
      <c r="N1514" s="12" t="n">
        <v>1</v>
      </c>
      <c r="O1514" s="12" t="n">
        <v>1</v>
      </c>
      <c r="P1514" s="12" t="n">
        <v>480</v>
      </c>
      <c r="Q1514" s="12" t="n">
        <v>60</v>
      </c>
      <c r="R1514" s="12" t="n">
        <v>76</v>
      </c>
      <c r="S1514" s="12" t="inlineStr">
        <is>
          <t>Tray</t>
        </is>
      </c>
      <c r="T1514" s="16" t="n">
        <v>580</v>
      </c>
      <c r="U1514" s="16" t="n">
        <v>142</v>
      </c>
      <c r="V1514" s="16">
        <f>ROUNDUP((T1514+U1514+2*'Read Me'!$B$13)*(1+'Read Me'!$B$12),-1)</f>
        <v/>
      </c>
      <c r="W1514" s="16">
        <f>V1514*N1514*O1514</f>
        <v/>
      </c>
      <c r="X1514" s="12">
        <f>IF(LEFT(I1514,2)="MV",2*N1514*IF(L1514="1/C",O1514,1),0)</f>
        <v/>
      </c>
      <c r="Y1514" s="12">
        <f>IF(OR(LEFT(K1514,4)="LVAX",LEFT(K1514,6)="MV15AX",LEFT(K1514,4)="CTAX",LEFT(K1514,2)="W|"),2*N1514*O1514,0)</f>
        <v/>
      </c>
      <c r="Z1514" s="12" t="inlineStr">
        <is>
          <t>VD 2.7 %</t>
        </is>
      </c>
      <c r="AA1514" s="12">
        <f>N1514*O1514</f>
        <v/>
      </c>
    </row>
    <row r="1515">
      <c r="A1515" s="12" t="inlineStr">
        <is>
          <t>A-P-0148</t>
        </is>
      </c>
      <c r="B1515" s="12" t="inlineStr">
        <is>
          <t>A</t>
        </is>
      </c>
      <c r="C1515" s="12" t="inlineStr">
        <is>
          <t>Power block</t>
        </is>
      </c>
      <c r="D1515" s="12" t="inlineStr">
        <is>
          <t>480 V welding receptacle 2</t>
        </is>
      </c>
      <c r="E1515" s="12" t="inlineStr">
        <is>
          <t>MCC-GT3</t>
        </is>
      </c>
      <c r="F1515" s="12" t="inlineStr">
        <is>
          <t>R1 MCC-GT3</t>
        </is>
      </c>
      <c r="G1515" s="12" t="inlineStr">
        <is>
          <t>GT3</t>
        </is>
      </c>
      <c r="H1515" s="12" t="inlineStr">
        <is>
          <t>GT3: H-class gas turbine (60 Hz)</t>
        </is>
      </c>
      <c r="I1515" s="12" t="inlineStr">
        <is>
          <t>LV 600 V</t>
        </is>
      </c>
      <c r="J1515" s="12" t="inlineStr">
        <is>
          <t>ARMOR-X MC-HL 600 V 3/C Cu XHHW-2 + ground, CWA, black PVC (Class I Div 2)</t>
        </is>
      </c>
      <c r="K1515" s="12" t="inlineStr">
        <is>
          <t>LVAX|3/C+G|1/0</t>
        </is>
      </c>
      <c r="L1515" s="12" t="inlineStr">
        <is>
          <t>3/C+G</t>
        </is>
      </c>
      <c r="M1515" s="12" t="inlineStr">
        <is>
          <t>1/0</t>
        </is>
      </c>
      <c r="N1515" s="12" t="n">
        <v>1</v>
      </c>
      <c r="O1515" s="12" t="n">
        <v>1</v>
      </c>
      <c r="P1515" s="12" t="n">
        <v>480</v>
      </c>
      <c r="Q1515" s="12" t="n">
        <v>60</v>
      </c>
      <c r="R1515" s="12" t="n">
        <v>76</v>
      </c>
      <c r="S1515" s="12" t="inlineStr">
        <is>
          <t>Tray</t>
        </is>
      </c>
      <c r="T1515" s="16" t="n">
        <v>580</v>
      </c>
      <c r="U1515" s="16" t="n">
        <v>142</v>
      </c>
      <c r="V1515" s="16">
        <f>ROUNDUP((T1515+U1515+2*'Read Me'!$B$13)*(1+'Read Me'!$B$12),-1)</f>
        <v/>
      </c>
      <c r="W1515" s="16">
        <f>V1515*N1515*O1515</f>
        <v/>
      </c>
      <c r="X1515" s="12">
        <f>IF(LEFT(I1515,2)="MV",2*N1515*IF(L1515="1/C",O1515,1),0)</f>
        <v/>
      </c>
      <c r="Y1515" s="12">
        <f>IF(OR(LEFT(K1515,4)="LVAX",LEFT(K1515,6)="MV15AX",LEFT(K1515,4)="CTAX",LEFT(K1515,2)="W|"),2*N1515*O1515,0)</f>
        <v/>
      </c>
      <c r="Z1515" s="12" t="inlineStr">
        <is>
          <t>VD 2.7 %</t>
        </is>
      </c>
      <c r="AA1515" s="12">
        <f>N1515*O1515</f>
        <v/>
      </c>
    </row>
    <row r="1516">
      <c r="A1516" s="12" t="inlineStr">
        <is>
          <t>A-P-0149</t>
        </is>
      </c>
      <c r="B1516" s="12" t="inlineStr">
        <is>
          <t>A</t>
        </is>
      </c>
      <c r="C1516" s="12" t="inlineStr">
        <is>
          <t>Power block</t>
        </is>
      </c>
      <c r="D1516" s="12" t="inlineStr">
        <is>
          <t>480 V welding receptacle 3</t>
        </is>
      </c>
      <c r="E1516" s="12" t="inlineStr">
        <is>
          <t>MCC-GT3</t>
        </is>
      </c>
      <c r="F1516" s="12" t="inlineStr">
        <is>
          <t>R1 MCC-GT3</t>
        </is>
      </c>
      <c r="G1516" s="12" t="inlineStr">
        <is>
          <t>GT3</t>
        </is>
      </c>
      <c r="H1516" s="12" t="inlineStr">
        <is>
          <t>GT3: H-class gas turbine (60 Hz)</t>
        </is>
      </c>
      <c r="I1516" s="12" t="inlineStr">
        <is>
          <t>LV 600 V</t>
        </is>
      </c>
      <c r="J1516" s="12" t="inlineStr">
        <is>
          <t>ARMOR-X MC-HL 600 V 3/C Cu XHHW-2 + ground, CWA, black PVC (Class I Div 2)</t>
        </is>
      </c>
      <c r="K1516" s="12" t="inlineStr">
        <is>
          <t>LVAX|3/C+G|1/0</t>
        </is>
      </c>
      <c r="L1516" s="12" t="inlineStr">
        <is>
          <t>3/C+G</t>
        </is>
      </c>
      <c r="M1516" s="12" t="inlineStr">
        <is>
          <t>1/0</t>
        </is>
      </c>
      <c r="N1516" s="12" t="n">
        <v>1</v>
      </c>
      <c r="O1516" s="12" t="n">
        <v>1</v>
      </c>
      <c r="P1516" s="12" t="n">
        <v>480</v>
      </c>
      <c r="Q1516" s="12" t="n">
        <v>60</v>
      </c>
      <c r="R1516" s="12" t="n">
        <v>76</v>
      </c>
      <c r="S1516" s="12" t="inlineStr">
        <is>
          <t>Tray</t>
        </is>
      </c>
      <c r="T1516" s="16" t="n">
        <v>580</v>
      </c>
      <c r="U1516" s="16" t="n">
        <v>142</v>
      </c>
      <c r="V1516" s="16">
        <f>ROUNDUP((T1516+U1516+2*'Read Me'!$B$13)*(1+'Read Me'!$B$12),-1)</f>
        <v/>
      </c>
      <c r="W1516" s="16">
        <f>V1516*N1516*O1516</f>
        <v/>
      </c>
      <c r="X1516" s="12">
        <f>IF(LEFT(I1516,2)="MV",2*N1516*IF(L1516="1/C",O1516,1),0)</f>
        <v/>
      </c>
      <c r="Y1516" s="12">
        <f>IF(OR(LEFT(K1516,4)="LVAX",LEFT(K1516,6)="MV15AX",LEFT(K1516,4)="CTAX",LEFT(K1516,2)="W|"),2*N1516*O1516,0)</f>
        <v/>
      </c>
      <c r="Z1516" s="12" t="inlineStr">
        <is>
          <t>VD 2.7 %</t>
        </is>
      </c>
      <c r="AA1516" s="12">
        <f>N1516*O1516</f>
        <v/>
      </c>
    </row>
    <row r="1517">
      <c r="A1517" s="12" t="inlineStr">
        <is>
          <t>A-P-0150</t>
        </is>
      </c>
      <c r="B1517" s="12" t="inlineStr">
        <is>
          <t>A</t>
        </is>
      </c>
      <c r="C1517" s="12" t="inlineStr">
        <is>
          <t>Power block</t>
        </is>
      </c>
      <c r="D1517" s="12" t="inlineStr">
        <is>
          <t>480 V welding receptacle 4</t>
        </is>
      </c>
      <c r="E1517" s="12" t="inlineStr">
        <is>
          <t>MCC-GT3</t>
        </is>
      </c>
      <c r="F1517" s="12" t="inlineStr">
        <is>
          <t>R1 MCC-GT3</t>
        </is>
      </c>
      <c r="G1517" s="12" t="inlineStr">
        <is>
          <t>GT3</t>
        </is>
      </c>
      <c r="H1517" s="12" t="inlineStr">
        <is>
          <t>GT3: H-class gas turbine (60 Hz)</t>
        </is>
      </c>
      <c r="I1517" s="12" t="inlineStr">
        <is>
          <t>LV 600 V</t>
        </is>
      </c>
      <c r="J1517" s="12" t="inlineStr">
        <is>
          <t>ARMOR-X MC-HL 600 V 3/C Cu XHHW-2 + ground, CWA, black PVC (Class I Div 2)</t>
        </is>
      </c>
      <c r="K1517" s="12" t="inlineStr">
        <is>
          <t>LVAX|3/C+G|1/0</t>
        </is>
      </c>
      <c r="L1517" s="12" t="inlineStr">
        <is>
          <t>3/C+G</t>
        </is>
      </c>
      <c r="M1517" s="12" t="inlineStr">
        <is>
          <t>1/0</t>
        </is>
      </c>
      <c r="N1517" s="12" t="n">
        <v>1</v>
      </c>
      <c r="O1517" s="12" t="n">
        <v>1</v>
      </c>
      <c r="P1517" s="12" t="n">
        <v>480</v>
      </c>
      <c r="Q1517" s="12" t="n">
        <v>60</v>
      </c>
      <c r="R1517" s="12" t="n">
        <v>76</v>
      </c>
      <c r="S1517" s="12" t="inlineStr">
        <is>
          <t>Tray</t>
        </is>
      </c>
      <c r="T1517" s="16" t="n">
        <v>580</v>
      </c>
      <c r="U1517" s="16" t="n">
        <v>142</v>
      </c>
      <c r="V1517" s="16">
        <f>ROUNDUP((T1517+U1517+2*'Read Me'!$B$13)*(1+'Read Me'!$B$12),-1)</f>
        <v/>
      </c>
      <c r="W1517" s="16">
        <f>V1517*N1517*O1517</f>
        <v/>
      </c>
      <c r="X1517" s="12">
        <f>IF(LEFT(I1517,2)="MV",2*N1517*IF(L1517="1/C",O1517,1),0)</f>
        <v/>
      </c>
      <c r="Y1517" s="12">
        <f>IF(OR(LEFT(K1517,4)="LVAX",LEFT(K1517,6)="MV15AX",LEFT(K1517,4)="CTAX",LEFT(K1517,2)="W|"),2*N1517*O1517,0)</f>
        <v/>
      </c>
      <c r="Z1517" s="12" t="inlineStr">
        <is>
          <t>VD 2.7 %</t>
        </is>
      </c>
      <c r="AA1517" s="12">
        <f>N1517*O1517</f>
        <v/>
      </c>
    </row>
    <row r="1518">
      <c r="A1518" s="12" t="inlineStr">
        <is>
          <t>A-P-0151</t>
        </is>
      </c>
      <c r="B1518" s="12" t="inlineStr">
        <is>
          <t>A</t>
        </is>
      </c>
      <c r="C1518" s="12" t="inlineStr">
        <is>
          <t>Power block</t>
        </is>
      </c>
      <c r="D1518" s="12" t="inlineStr">
        <is>
          <t>Motor 1 of 4, 2 kW</t>
        </is>
      </c>
      <c r="E1518" s="12" t="inlineStr">
        <is>
          <t>MCC-GT1</t>
        </is>
      </c>
      <c r="F1518" s="12" t="inlineStr">
        <is>
          <t>R1 MCC-GT1</t>
        </is>
      </c>
      <c r="G1518" s="12" t="inlineStr">
        <is>
          <t>GTG-1</t>
        </is>
      </c>
      <c r="H1518" s="12" t="inlineStr">
        <is>
          <t>GTG-1: GT generator</t>
        </is>
      </c>
      <c r="I1518" s="12" t="inlineStr">
        <is>
          <t>LV 600 V</t>
        </is>
      </c>
      <c r="J1518" s="12" t="inlineStr">
        <is>
          <t>Type TC-ER 600 V 3/C Cu XHHW-2 + ground, PVC jacket</t>
        </is>
      </c>
      <c r="K1518" s="12" t="inlineStr">
        <is>
          <t>LV|3/C+G|10</t>
        </is>
      </c>
      <c r="L1518" s="12" t="inlineStr">
        <is>
          <t>3/C+G</t>
        </is>
      </c>
      <c r="M1518" s="12" t="inlineStr">
        <is>
          <t>10</t>
        </is>
      </c>
      <c r="N1518" s="12" t="n">
        <v>1</v>
      </c>
      <c r="O1518" s="12" t="n">
        <v>1</v>
      </c>
      <c r="P1518" s="12" t="n">
        <v>480</v>
      </c>
      <c r="Q1518" s="12" t="n">
        <v>2</v>
      </c>
      <c r="R1518" s="12" t="n">
        <v>2.8</v>
      </c>
      <c r="S1518" s="12" t="inlineStr">
        <is>
          <t>Tray</t>
        </is>
      </c>
      <c r="T1518" s="16" t="n">
        <v>445</v>
      </c>
      <c r="U1518" s="16" t="n">
        <v>178</v>
      </c>
      <c r="V1518" s="16">
        <f>ROUNDUP((T1518+U1518+2*'Read Me'!$B$13)*(1+'Read Me'!$B$12),-1)</f>
        <v/>
      </c>
      <c r="W1518" s="16">
        <f>V1518*N1518*O1518</f>
        <v/>
      </c>
      <c r="X1518" s="12">
        <f>IF(LEFT(I1518,2)="MV",2*N1518*IF(L1518="1/C",O1518,1),0)</f>
        <v/>
      </c>
      <c r="Y1518" s="12">
        <f>IF(OR(LEFT(K1518,4)="LVAX",LEFT(K1518,6)="MV15AX",LEFT(K1518,4)="CTAX",LEFT(K1518,2)="W|"),2*N1518*O1518,0)</f>
        <v/>
      </c>
      <c r="Z1518" s="12" t="inlineStr">
        <is>
          <t>VD 0.8 %</t>
        </is>
      </c>
      <c r="AA1518" s="12">
        <f>N1518*O1518</f>
        <v/>
      </c>
    </row>
    <row r="1519">
      <c r="A1519" s="12" t="inlineStr">
        <is>
          <t>A-P-0152</t>
        </is>
      </c>
      <c r="B1519" s="12" t="inlineStr">
        <is>
          <t>A</t>
        </is>
      </c>
      <c r="C1519" s="12" t="inlineStr">
        <is>
          <t>Power block</t>
        </is>
      </c>
      <c r="D1519" s="12" t="inlineStr">
        <is>
          <t>Motor 2 of 4, 2 kW</t>
        </is>
      </c>
      <c r="E1519" s="12" t="inlineStr">
        <is>
          <t>MCC-GT1</t>
        </is>
      </c>
      <c r="F1519" s="12" t="inlineStr">
        <is>
          <t>R1 MCC-GT1</t>
        </is>
      </c>
      <c r="G1519" s="12" t="inlineStr">
        <is>
          <t>GTG-1</t>
        </is>
      </c>
      <c r="H1519" s="12" t="inlineStr">
        <is>
          <t>GTG-1: GT generator</t>
        </is>
      </c>
      <c r="I1519" s="12" t="inlineStr">
        <is>
          <t>LV 600 V</t>
        </is>
      </c>
      <c r="J1519" s="12" t="inlineStr">
        <is>
          <t>Type TC-ER 600 V 3/C Cu XHHW-2 + ground, PVC jacket</t>
        </is>
      </c>
      <c r="K1519" s="12" t="inlineStr">
        <is>
          <t>LV|3/C+G|10</t>
        </is>
      </c>
      <c r="L1519" s="12" t="inlineStr">
        <is>
          <t>3/C+G</t>
        </is>
      </c>
      <c r="M1519" s="12" t="inlineStr">
        <is>
          <t>10</t>
        </is>
      </c>
      <c r="N1519" s="12" t="n">
        <v>1</v>
      </c>
      <c r="O1519" s="12" t="n">
        <v>1</v>
      </c>
      <c r="P1519" s="12" t="n">
        <v>480</v>
      </c>
      <c r="Q1519" s="12" t="n">
        <v>2</v>
      </c>
      <c r="R1519" s="12" t="n">
        <v>2.8</v>
      </c>
      <c r="S1519" s="12" t="inlineStr">
        <is>
          <t>Tray</t>
        </is>
      </c>
      <c r="T1519" s="16" t="n">
        <v>445</v>
      </c>
      <c r="U1519" s="16" t="n">
        <v>178</v>
      </c>
      <c r="V1519" s="16">
        <f>ROUNDUP((T1519+U1519+2*'Read Me'!$B$13)*(1+'Read Me'!$B$12),-1)</f>
        <v/>
      </c>
      <c r="W1519" s="16">
        <f>V1519*N1519*O1519</f>
        <v/>
      </c>
      <c r="X1519" s="12">
        <f>IF(LEFT(I1519,2)="MV",2*N1519*IF(L1519="1/C",O1519,1),0)</f>
        <v/>
      </c>
      <c r="Y1519" s="12">
        <f>IF(OR(LEFT(K1519,4)="LVAX",LEFT(K1519,6)="MV15AX",LEFT(K1519,4)="CTAX",LEFT(K1519,2)="W|"),2*N1519*O1519,0)</f>
        <v/>
      </c>
      <c r="Z1519" s="12" t="inlineStr">
        <is>
          <t>VD 0.8 %</t>
        </is>
      </c>
      <c r="AA1519" s="12">
        <f>N1519*O1519</f>
        <v/>
      </c>
    </row>
    <row r="1520">
      <c r="A1520" s="12" t="inlineStr">
        <is>
          <t>A-P-0153</t>
        </is>
      </c>
      <c r="B1520" s="12" t="inlineStr">
        <is>
          <t>A</t>
        </is>
      </c>
      <c r="C1520" s="12" t="inlineStr">
        <is>
          <t>Power block</t>
        </is>
      </c>
      <c r="D1520" s="12" t="inlineStr">
        <is>
          <t>Motor 3 of 4, 2 kW</t>
        </is>
      </c>
      <c r="E1520" s="12" t="inlineStr">
        <is>
          <t>MCC-GT1</t>
        </is>
      </c>
      <c r="F1520" s="12" t="inlineStr">
        <is>
          <t>R1 MCC-GT1</t>
        </is>
      </c>
      <c r="G1520" s="12" t="inlineStr">
        <is>
          <t>GTG-1</t>
        </is>
      </c>
      <c r="H1520" s="12" t="inlineStr">
        <is>
          <t>GTG-1: GT generator</t>
        </is>
      </c>
      <c r="I1520" s="12" t="inlineStr">
        <is>
          <t>LV 600 V</t>
        </is>
      </c>
      <c r="J1520" s="12" t="inlineStr">
        <is>
          <t>Type TC-ER 600 V 3/C Cu XHHW-2 + ground, PVC jacket</t>
        </is>
      </c>
      <c r="K1520" s="12" t="inlineStr">
        <is>
          <t>LV|3/C+G|10</t>
        </is>
      </c>
      <c r="L1520" s="12" t="inlineStr">
        <is>
          <t>3/C+G</t>
        </is>
      </c>
      <c r="M1520" s="12" t="inlineStr">
        <is>
          <t>10</t>
        </is>
      </c>
      <c r="N1520" s="12" t="n">
        <v>1</v>
      </c>
      <c r="O1520" s="12" t="n">
        <v>1</v>
      </c>
      <c r="P1520" s="12" t="n">
        <v>480</v>
      </c>
      <c r="Q1520" s="12" t="n">
        <v>2</v>
      </c>
      <c r="R1520" s="12" t="n">
        <v>2.8</v>
      </c>
      <c r="S1520" s="12" t="inlineStr">
        <is>
          <t>Tray</t>
        </is>
      </c>
      <c r="T1520" s="16" t="n">
        <v>445</v>
      </c>
      <c r="U1520" s="16" t="n">
        <v>178</v>
      </c>
      <c r="V1520" s="16">
        <f>ROUNDUP((T1520+U1520+2*'Read Me'!$B$13)*(1+'Read Me'!$B$12),-1)</f>
        <v/>
      </c>
      <c r="W1520" s="16">
        <f>V1520*N1520*O1520</f>
        <v/>
      </c>
      <c r="X1520" s="12">
        <f>IF(LEFT(I1520,2)="MV",2*N1520*IF(L1520="1/C",O1520,1),0)</f>
        <v/>
      </c>
      <c r="Y1520" s="12">
        <f>IF(OR(LEFT(K1520,4)="LVAX",LEFT(K1520,6)="MV15AX",LEFT(K1520,4)="CTAX",LEFT(K1520,2)="W|"),2*N1520*O1520,0)</f>
        <v/>
      </c>
      <c r="Z1520" s="12" t="inlineStr">
        <is>
          <t>VD 0.8 %</t>
        </is>
      </c>
      <c r="AA1520" s="12">
        <f>N1520*O1520</f>
        <v/>
      </c>
    </row>
    <row r="1521">
      <c r="A1521" s="12" t="inlineStr">
        <is>
          <t>A-P-0154</t>
        </is>
      </c>
      <c r="B1521" s="12" t="inlineStr">
        <is>
          <t>A</t>
        </is>
      </c>
      <c r="C1521" s="12" t="inlineStr">
        <is>
          <t>Power block</t>
        </is>
      </c>
      <c r="D1521" s="12" t="inlineStr">
        <is>
          <t>Motor 4 of 4, 2 kW</t>
        </is>
      </c>
      <c r="E1521" s="12" t="inlineStr">
        <is>
          <t>MCC-GT1</t>
        </is>
      </c>
      <c r="F1521" s="12" t="inlineStr">
        <is>
          <t>R1 MCC-GT1</t>
        </is>
      </c>
      <c r="G1521" s="12" t="inlineStr">
        <is>
          <t>GTG-1</t>
        </is>
      </c>
      <c r="H1521" s="12" t="inlineStr">
        <is>
          <t>GTG-1: GT generator</t>
        </is>
      </c>
      <c r="I1521" s="12" t="inlineStr">
        <is>
          <t>LV 600 V</t>
        </is>
      </c>
      <c r="J1521" s="12" t="inlineStr">
        <is>
          <t>Type TC-ER 600 V 3/C Cu XHHW-2 + ground, PVC jacket</t>
        </is>
      </c>
      <c r="K1521" s="12" t="inlineStr">
        <is>
          <t>LV|3/C+G|10</t>
        </is>
      </c>
      <c r="L1521" s="12" t="inlineStr">
        <is>
          <t>3/C+G</t>
        </is>
      </c>
      <c r="M1521" s="12" t="inlineStr">
        <is>
          <t>10</t>
        </is>
      </c>
      <c r="N1521" s="12" t="n">
        <v>1</v>
      </c>
      <c r="O1521" s="12" t="n">
        <v>1</v>
      </c>
      <c r="P1521" s="12" t="n">
        <v>480</v>
      </c>
      <c r="Q1521" s="12" t="n">
        <v>2</v>
      </c>
      <c r="R1521" s="12" t="n">
        <v>2.8</v>
      </c>
      <c r="S1521" s="12" t="inlineStr">
        <is>
          <t>Tray</t>
        </is>
      </c>
      <c r="T1521" s="16" t="n">
        <v>445</v>
      </c>
      <c r="U1521" s="16" t="n">
        <v>178</v>
      </c>
      <c r="V1521" s="16">
        <f>ROUNDUP((T1521+U1521+2*'Read Me'!$B$13)*(1+'Read Me'!$B$12),-1)</f>
        <v/>
      </c>
      <c r="W1521" s="16">
        <f>V1521*N1521*O1521</f>
        <v/>
      </c>
      <c r="X1521" s="12">
        <f>IF(LEFT(I1521,2)="MV",2*N1521*IF(L1521="1/C",O1521,1),0)</f>
        <v/>
      </c>
      <c r="Y1521" s="12">
        <f>IF(OR(LEFT(K1521,4)="LVAX",LEFT(K1521,6)="MV15AX",LEFT(K1521,4)="CTAX",LEFT(K1521,2)="W|"),2*N1521*O1521,0)</f>
        <v/>
      </c>
      <c r="Z1521" s="12" t="inlineStr">
        <is>
          <t>VD 0.8 %</t>
        </is>
      </c>
      <c r="AA1521" s="12">
        <f>N1521*O1521</f>
        <v/>
      </c>
    </row>
    <row r="1522">
      <c r="A1522" s="12" t="inlineStr">
        <is>
          <t>A-P-0155</t>
        </is>
      </c>
      <c r="B1522" s="12" t="inlineStr">
        <is>
          <t>A</t>
        </is>
      </c>
      <c r="C1522" s="12" t="inlineStr">
        <is>
          <t>Power block</t>
        </is>
      </c>
      <c r="D1522" s="12" t="inlineStr">
        <is>
          <t>Motor 1 of 4, 2 kW</t>
        </is>
      </c>
      <c r="E1522" s="12" t="inlineStr">
        <is>
          <t>MCC-GT2</t>
        </is>
      </c>
      <c r="F1522" s="12" t="inlineStr">
        <is>
          <t>R1 MCC-GT2</t>
        </is>
      </c>
      <c r="G1522" s="12" t="inlineStr">
        <is>
          <t>GTG-2</t>
        </is>
      </c>
      <c r="H1522" s="12" t="inlineStr">
        <is>
          <t>GTG-2: GT generator</t>
        </is>
      </c>
      <c r="I1522" s="12" t="inlineStr">
        <is>
          <t>LV 600 V</t>
        </is>
      </c>
      <c r="J1522" s="12" t="inlineStr">
        <is>
          <t>Type TC-ER 600 V 3/C Cu XHHW-2 + ground, PVC jacket</t>
        </is>
      </c>
      <c r="K1522" s="12" t="inlineStr">
        <is>
          <t>LV|3/C+G|10</t>
        </is>
      </c>
      <c r="L1522" s="12" t="inlineStr">
        <is>
          <t>3/C+G</t>
        </is>
      </c>
      <c r="M1522" s="12" t="inlineStr">
        <is>
          <t>10</t>
        </is>
      </c>
      <c r="N1522" s="12" t="n">
        <v>1</v>
      </c>
      <c r="O1522" s="12" t="n">
        <v>1</v>
      </c>
      <c r="P1522" s="12" t="n">
        <v>480</v>
      </c>
      <c r="Q1522" s="12" t="n">
        <v>2</v>
      </c>
      <c r="R1522" s="12" t="n">
        <v>2.8</v>
      </c>
      <c r="S1522" s="12" t="inlineStr">
        <is>
          <t>Tray</t>
        </is>
      </c>
      <c r="T1522" s="16" t="n">
        <v>625</v>
      </c>
      <c r="U1522" s="16" t="n">
        <v>158</v>
      </c>
      <c r="V1522" s="16">
        <f>ROUNDUP((T1522+U1522+2*'Read Me'!$B$13)*(1+'Read Me'!$B$12),-1)</f>
        <v/>
      </c>
      <c r="W1522" s="16">
        <f>V1522*N1522*O1522</f>
        <v/>
      </c>
      <c r="X1522" s="12">
        <f>IF(LEFT(I1522,2)="MV",2*N1522*IF(L1522="1/C",O1522,1),0)</f>
        <v/>
      </c>
      <c r="Y1522" s="12">
        <f>IF(OR(LEFT(K1522,4)="LVAX",LEFT(K1522,6)="MV15AX",LEFT(K1522,4)="CTAX",LEFT(K1522,2)="W|"),2*N1522*O1522,0)</f>
        <v/>
      </c>
      <c r="Z1522" s="12" t="inlineStr">
        <is>
          <t>VD 1.1 %</t>
        </is>
      </c>
      <c r="AA1522" s="12">
        <f>N1522*O1522</f>
        <v/>
      </c>
    </row>
    <row r="1523">
      <c r="A1523" s="12" t="inlineStr">
        <is>
          <t>A-P-0156</t>
        </is>
      </c>
      <c r="B1523" s="12" t="inlineStr">
        <is>
          <t>A</t>
        </is>
      </c>
      <c r="C1523" s="12" t="inlineStr">
        <is>
          <t>Power block</t>
        </is>
      </c>
      <c r="D1523" s="12" t="inlineStr">
        <is>
          <t>Motor 2 of 4, 2 kW</t>
        </is>
      </c>
      <c r="E1523" s="12" t="inlineStr">
        <is>
          <t>MCC-GT2</t>
        </is>
      </c>
      <c r="F1523" s="12" t="inlineStr">
        <is>
          <t>R1 MCC-GT2</t>
        </is>
      </c>
      <c r="G1523" s="12" t="inlineStr">
        <is>
          <t>GTG-2</t>
        </is>
      </c>
      <c r="H1523" s="12" t="inlineStr">
        <is>
          <t>GTG-2: GT generator</t>
        </is>
      </c>
      <c r="I1523" s="12" t="inlineStr">
        <is>
          <t>LV 600 V</t>
        </is>
      </c>
      <c r="J1523" s="12" t="inlineStr">
        <is>
          <t>Type TC-ER 600 V 3/C Cu XHHW-2 + ground, PVC jacket</t>
        </is>
      </c>
      <c r="K1523" s="12" t="inlineStr">
        <is>
          <t>LV|3/C+G|10</t>
        </is>
      </c>
      <c r="L1523" s="12" t="inlineStr">
        <is>
          <t>3/C+G</t>
        </is>
      </c>
      <c r="M1523" s="12" t="inlineStr">
        <is>
          <t>10</t>
        </is>
      </c>
      <c r="N1523" s="12" t="n">
        <v>1</v>
      </c>
      <c r="O1523" s="12" t="n">
        <v>1</v>
      </c>
      <c r="P1523" s="12" t="n">
        <v>480</v>
      </c>
      <c r="Q1523" s="12" t="n">
        <v>2</v>
      </c>
      <c r="R1523" s="12" t="n">
        <v>2.8</v>
      </c>
      <c r="S1523" s="12" t="inlineStr">
        <is>
          <t>Tray</t>
        </is>
      </c>
      <c r="T1523" s="16" t="n">
        <v>625</v>
      </c>
      <c r="U1523" s="16" t="n">
        <v>158</v>
      </c>
      <c r="V1523" s="16">
        <f>ROUNDUP((T1523+U1523+2*'Read Me'!$B$13)*(1+'Read Me'!$B$12),-1)</f>
        <v/>
      </c>
      <c r="W1523" s="16">
        <f>V1523*N1523*O1523</f>
        <v/>
      </c>
      <c r="X1523" s="12">
        <f>IF(LEFT(I1523,2)="MV",2*N1523*IF(L1523="1/C",O1523,1),0)</f>
        <v/>
      </c>
      <c r="Y1523" s="12">
        <f>IF(OR(LEFT(K1523,4)="LVAX",LEFT(K1523,6)="MV15AX",LEFT(K1523,4)="CTAX",LEFT(K1523,2)="W|"),2*N1523*O1523,0)</f>
        <v/>
      </c>
      <c r="Z1523" s="12" t="inlineStr">
        <is>
          <t>VD 1.1 %</t>
        </is>
      </c>
      <c r="AA1523" s="12">
        <f>N1523*O1523</f>
        <v/>
      </c>
    </row>
    <row r="1524">
      <c r="A1524" s="12" t="inlineStr">
        <is>
          <t>A-P-0157</t>
        </is>
      </c>
      <c r="B1524" s="12" t="inlineStr">
        <is>
          <t>A</t>
        </is>
      </c>
      <c r="C1524" s="12" t="inlineStr">
        <is>
          <t>Power block</t>
        </is>
      </c>
      <c r="D1524" s="12" t="inlineStr">
        <is>
          <t>Motor 3 of 4, 2 kW</t>
        </is>
      </c>
      <c r="E1524" s="12" t="inlineStr">
        <is>
          <t>MCC-GT2</t>
        </is>
      </c>
      <c r="F1524" s="12" t="inlineStr">
        <is>
          <t>R1 MCC-GT2</t>
        </is>
      </c>
      <c r="G1524" s="12" t="inlineStr">
        <is>
          <t>GTG-2</t>
        </is>
      </c>
      <c r="H1524" s="12" t="inlineStr">
        <is>
          <t>GTG-2: GT generator</t>
        </is>
      </c>
      <c r="I1524" s="12" t="inlineStr">
        <is>
          <t>LV 600 V</t>
        </is>
      </c>
      <c r="J1524" s="12" t="inlineStr">
        <is>
          <t>Type TC-ER 600 V 3/C Cu XHHW-2 + ground, PVC jacket</t>
        </is>
      </c>
      <c r="K1524" s="12" t="inlineStr">
        <is>
          <t>LV|3/C+G|10</t>
        </is>
      </c>
      <c r="L1524" s="12" t="inlineStr">
        <is>
          <t>3/C+G</t>
        </is>
      </c>
      <c r="M1524" s="12" t="inlineStr">
        <is>
          <t>10</t>
        </is>
      </c>
      <c r="N1524" s="12" t="n">
        <v>1</v>
      </c>
      <c r="O1524" s="12" t="n">
        <v>1</v>
      </c>
      <c r="P1524" s="12" t="n">
        <v>480</v>
      </c>
      <c r="Q1524" s="12" t="n">
        <v>2</v>
      </c>
      <c r="R1524" s="12" t="n">
        <v>2.8</v>
      </c>
      <c r="S1524" s="12" t="inlineStr">
        <is>
          <t>Tray</t>
        </is>
      </c>
      <c r="T1524" s="16" t="n">
        <v>625</v>
      </c>
      <c r="U1524" s="16" t="n">
        <v>158</v>
      </c>
      <c r="V1524" s="16">
        <f>ROUNDUP((T1524+U1524+2*'Read Me'!$B$13)*(1+'Read Me'!$B$12),-1)</f>
        <v/>
      </c>
      <c r="W1524" s="16">
        <f>V1524*N1524*O1524</f>
        <v/>
      </c>
      <c r="X1524" s="12">
        <f>IF(LEFT(I1524,2)="MV",2*N1524*IF(L1524="1/C",O1524,1),0)</f>
        <v/>
      </c>
      <c r="Y1524" s="12">
        <f>IF(OR(LEFT(K1524,4)="LVAX",LEFT(K1524,6)="MV15AX",LEFT(K1524,4)="CTAX",LEFT(K1524,2)="W|"),2*N1524*O1524,0)</f>
        <v/>
      </c>
      <c r="Z1524" s="12" t="inlineStr">
        <is>
          <t>VD 1.1 %</t>
        </is>
      </c>
      <c r="AA1524" s="12">
        <f>N1524*O1524</f>
        <v/>
      </c>
    </row>
    <row r="1525">
      <c r="A1525" s="12" t="inlineStr">
        <is>
          <t>A-P-0158</t>
        </is>
      </c>
      <c r="B1525" s="12" t="inlineStr">
        <is>
          <t>A</t>
        </is>
      </c>
      <c r="C1525" s="12" t="inlineStr">
        <is>
          <t>Power block</t>
        </is>
      </c>
      <c r="D1525" s="12" t="inlineStr">
        <is>
          <t>Motor 4 of 4, 2 kW</t>
        </is>
      </c>
      <c r="E1525" s="12" t="inlineStr">
        <is>
          <t>MCC-GT2</t>
        </is>
      </c>
      <c r="F1525" s="12" t="inlineStr">
        <is>
          <t>R1 MCC-GT2</t>
        </is>
      </c>
      <c r="G1525" s="12" t="inlineStr">
        <is>
          <t>GTG-2</t>
        </is>
      </c>
      <c r="H1525" s="12" t="inlineStr">
        <is>
          <t>GTG-2: GT generator</t>
        </is>
      </c>
      <c r="I1525" s="12" t="inlineStr">
        <is>
          <t>LV 600 V</t>
        </is>
      </c>
      <c r="J1525" s="12" t="inlineStr">
        <is>
          <t>Type TC-ER 600 V 3/C Cu XHHW-2 + ground, PVC jacket</t>
        </is>
      </c>
      <c r="K1525" s="12" t="inlineStr">
        <is>
          <t>LV|3/C+G|10</t>
        </is>
      </c>
      <c r="L1525" s="12" t="inlineStr">
        <is>
          <t>3/C+G</t>
        </is>
      </c>
      <c r="M1525" s="12" t="inlineStr">
        <is>
          <t>10</t>
        </is>
      </c>
      <c r="N1525" s="12" t="n">
        <v>1</v>
      </c>
      <c r="O1525" s="12" t="n">
        <v>1</v>
      </c>
      <c r="P1525" s="12" t="n">
        <v>480</v>
      </c>
      <c r="Q1525" s="12" t="n">
        <v>2</v>
      </c>
      <c r="R1525" s="12" t="n">
        <v>2.8</v>
      </c>
      <c r="S1525" s="12" t="inlineStr">
        <is>
          <t>Tray</t>
        </is>
      </c>
      <c r="T1525" s="16" t="n">
        <v>625</v>
      </c>
      <c r="U1525" s="16" t="n">
        <v>158</v>
      </c>
      <c r="V1525" s="16">
        <f>ROUNDUP((T1525+U1525+2*'Read Me'!$B$13)*(1+'Read Me'!$B$12),-1)</f>
        <v/>
      </c>
      <c r="W1525" s="16">
        <f>V1525*N1525*O1525</f>
        <v/>
      </c>
      <c r="X1525" s="12">
        <f>IF(LEFT(I1525,2)="MV",2*N1525*IF(L1525="1/C",O1525,1),0)</f>
        <v/>
      </c>
      <c r="Y1525" s="12">
        <f>IF(OR(LEFT(K1525,4)="LVAX",LEFT(K1525,6)="MV15AX",LEFT(K1525,4)="CTAX",LEFT(K1525,2)="W|"),2*N1525*O1525,0)</f>
        <v/>
      </c>
      <c r="Z1525" s="12" t="inlineStr">
        <is>
          <t>VD 1.1 %</t>
        </is>
      </c>
      <c r="AA1525" s="12">
        <f>N1525*O1525</f>
        <v/>
      </c>
    </row>
    <row r="1526">
      <c r="A1526" s="12" t="inlineStr">
        <is>
          <t>A-P-0159</t>
        </is>
      </c>
      <c r="B1526" s="12" t="inlineStr">
        <is>
          <t>A</t>
        </is>
      </c>
      <c r="C1526" s="12" t="inlineStr">
        <is>
          <t>Power block</t>
        </is>
      </c>
      <c r="D1526" s="12" t="inlineStr">
        <is>
          <t>Motor 1 of 4, 2 kW</t>
        </is>
      </c>
      <c r="E1526" s="12" t="inlineStr">
        <is>
          <t>MCC-GT3</t>
        </is>
      </c>
      <c r="F1526" s="12" t="inlineStr">
        <is>
          <t>R1 MCC-GT3</t>
        </is>
      </c>
      <c r="G1526" s="12" t="inlineStr">
        <is>
          <t>GTG-3</t>
        </is>
      </c>
      <c r="H1526" s="12" t="inlineStr">
        <is>
          <t>GTG-3: GT generator</t>
        </is>
      </c>
      <c r="I1526" s="12" t="inlineStr">
        <is>
          <t>LV 600 V</t>
        </is>
      </c>
      <c r="J1526" s="12" t="inlineStr">
        <is>
          <t>Type TC-ER 600 V 3/C Cu XHHW-2 + ground, PVC jacket</t>
        </is>
      </c>
      <c r="K1526" s="12" t="inlineStr">
        <is>
          <t>LV|3/C+G|10</t>
        </is>
      </c>
      <c r="L1526" s="12" t="inlineStr">
        <is>
          <t>3/C+G</t>
        </is>
      </c>
      <c r="M1526" s="12" t="inlineStr">
        <is>
          <t>10</t>
        </is>
      </c>
      <c r="N1526" s="12" t="n">
        <v>1</v>
      </c>
      <c r="O1526" s="12" t="n">
        <v>1</v>
      </c>
      <c r="P1526" s="12" t="n">
        <v>480</v>
      </c>
      <c r="Q1526" s="12" t="n">
        <v>2</v>
      </c>
      <c r="R1526" s="12" t="n">
        <v>2.8</v>
      </c>
      <c r="S1526" s="12" t="inlineStr">
        <is>
          <t>Tray</t>
        </is>
      </c>
      <c r="T1526" s="16" t="n">
        <v>793</v>
      </c>
      <c r="U1526" s="16" t="n">
        <v>166</v>
      </c>
      <c r="V1526" s="16">
        <f>ROUNDUP((T1526+U1526+2*'Read Me'!$B$13)*(1+'Read Me'!$B$12),-1)</f>
        <v/>
      </c>
      <c r="W1526" s="16">
        <f>V1526*N1526*O1526</f>
        <v/>
      </c>
      <c r="X1526" s="12">
        <f>IF(LEFT(I1526,2)="MV",2*N1526*IF(L1526="1/C",O1526,1),0)</f>
        <v/>
      </c>
      <c r="Y1526" s="12">
        <f>IF(OR(LEFT(K1526,4)="LVAX",LEFT(K1526,6)="MV15AX",LEFT(K1526,4)="CTAX",LEFT(K1526,2)="W|"),2*N1526*O1526,0)</f>
        <v/>
      </c>
      <c r="Z1526" s="12" t="inlineStr">
        <is>
          <t>VD 1.3 %</t>
        </is>
      </c>
      <c r="AA1526" s="12">
        <f>N1526*O1526</f>
        <v/>
      </c>
    </row>
    <row r="1527">
      <c r="A1527" s="12" t="inlineStr">
        <is>
          <t>A-P-0160</t>
        </is>
      </c>
      <c r="B1527" s="12" t="inlineStr">
        <is>
          <t>A</t>
        </is>
      </c>
      <c r="C1527" s="12" t="inlineStr">
        <is>
          <t>Power block</t>
        </is>
      </c>
      <c r="D1527" s="12" t="inlineStr">
        <is>
          <t>Motor 2 of 4, 2 kW</t>
        </is>
      </c>
      <c r="E1527" s="12" t="inlineStr">
        <is>
          <t>MCC-GT3</t>
        </is>
      </c>
      <c r="F1527" s="12" t="inlineStr">
        <is>
          <t>R1 MCC-GT3</t>
        </is>
      </c>
      <c r="G1527" s="12" t="inlineStr">
        <is>
          <t>GTG-3</t>
        </is>
      </c>
      <c r="H1527" s="12" t="inlineStr">
        <is>
          <t>GTG-3: GT generator</t>
        </is>
      </c>
      <c r="I1527" s="12" t="inlineStr">
        <is>
          <t>LV 600 V</t>
        </is>
      </c>
      <c r="J1527" s="12" t="inlineStr">
        <is>
          <t>Type TC-ER 600 V 3/C Cu XHHW-2 + ground, PVC jacket</t>
        </is>
      </c>
      <c r="K1527" s="12" t="inlineStr">
        <is>
          <t>LV|3/C+G|10</t>
        </is>
      </c>
      <c r="L1527" s="12" t="inlineStr">
        <is>
          <t>3/C+G</t>
        </is>
      </c>
      <c r="M1527" s="12" t="inlineStr">
        <is>
          <t>10</t>
        </is>
      </c>
      <c r="N1527" s="12" t="n">
        <v>1</v>
      </c>
      <c r="O1527" s="12" t="n">
        <v>1</v>
      </c>
      <c r="P1527" s="12" t="n">
        <v>480</v>
      </c>
      <c r="Q1527" s="12" t="n">
        <v>2</v>
      </c>
      <c r="R1527" s="12" t="n">
        <v>2.8</v>
      </c>
      <c r="S1527" s="12" t="inlineStr">
        <is>
          <t>Tray</t>
        </is>
      </c>
      <c r="T1527" s="16" t="n">
        <v>793</v>
      </c>
      <c r="U1527" s="16" t="n">
        <v>166</v>
      </c>
      <c r="V1527" s="16">
        <f>ROUNDUP((T1527+U1527+2*'Read Me'!$B$13)*(1+'Read Me'!$B$12),-1)</f>
        <v/>
      </c>
      <c r="W1527" s="16">
        <f>V1527*N1527*O1527</f>
        <v/>
      </c>
      <c r="X1527" s="12">
        <f>IF(LEFT(I1527,2)="MV",2*N1527*IF(L1527="1/C",O1527,1),0)</f>
        <v/>
      </c>
      <c r="Y1527" s="12">
        <f>IF(OR(LEFT(K1527,4)="LVAX",LEFT(K1527,6)="MV15AX",LEFT(K1527,4)="CTAX",LEFT(K1527,2)="W|"),2*N1527*O1527,0)</f>
        <v/>
      </c>
      <c r="Z1527" s="12" t="inlineStr">
        <is>
          <t>VD 1.3 %</t>
        </is>
      </c>
      <c r="AA1527" s="12">
        <f>N1527*O1527</f>
        <v/>
      </c>
    </row>
    <row r="1528">
      <c r="A1528" s="12" t="inlineStr">
        <is>
          <t>A-P-0161</t>
        </is>
      </c>
      <c r="B1528" s="12" t="inlineStr">
        <is>
          <t>A</t>
        </is>
      </c>
      <c r="C1528" s="12" t="inlineStr">
        <is>
          <t>Power block</t>
        </is>
      </c>
      <c r="D1528" s="12" t="inlineStr">
        <is>
          <t>Motor 3 of 4, 2 kW</t>
        </is>
      </c>
      <c r="E1528" s="12" t="inlineStr">
        <is>
          <t>MCC-GT3</t>
        </is>
      </c>
      <c r="F1528" s="12" t="inlineStr">
        <is>
          <t>R1 MCC-GT3</t>
        </is>
      </c>
      <c r="G1528" s="12" t="inlineStr">
        <is>
          <t>GTG-3</t>
        </is>
      </c>
      <c r="H1528" s="12" t="inlineStr">
        <is>
          <t>GTG-3: GT generator</t>
        </is>
      </c>
      <c r="I1528" s="12" t="inlineStr">
        <is>
          <t>LV 600 V</t>
        </is>
      </c>
      <c r="J1528" s="12" t="inlineStr">
        <is>
          <t>Type TC-ER 600 V 3/C Cu XHHW-2 + ground, PVC jacket</t>
        </is>
      </c>
      <c r="K1528" s="12" t="inlineStr">
        <is>
          <t>LV|3/C+G|10</t>
        </is>
      </c>
      <c r="L1528" s="12" t="inlineStr">
        <is>
          <t>3/C+G</t>
        </is>
      </c>
      <c r="M1528" s="12" t="inlineStr">
        <is>
          <t>10</t>
        </is>
      </c>
      <c r="N1528" s="12" t="n">
        <v>1</v>
      </c>
      <c r="O1528" s="12" t="n">
        <v>1</v>
      </c>
      <c r="P1528" s="12" t="n">
        <v>480</v>
      </c>
      <c r="Q1528" s="12" t="n">
        <v>2</v>
      </c>
      <c r="R1528" s="12" t="n">
        <v>2.8</v>
      </c>
      <c r="S1528" s="12" t="inlineStr">
        <is>
          <t>Tray</t>
        </is>
      </c>
      <c r="T1528" s="16" t="n">
        <v>793</v>
      </c>
      <c r="U1528" s="16" t="n">
        <v>166</v>
      </c>
      <c r="V1528" s="16">
        <f>ROUNDUP((T1528+U1528+2*'Read Me'!$B$13)*(1+'Read Me'!$B$12),-1)</f>
        <v/>
      </c>
      <c r="W1528" s="16">
        <f>V1528*N1528*O1528</f>
        <v/>
      </c>
      <c r="X1528" s="12">
        <f>IF(LEFT(I1528,2)="MV",2*N1528*IF(L1528="1/C",O1528,1),0)</f>
        <v/>
      </c>
      <c r="Y1528" s="12">
        <f>IF(OR(LEFT(K1528,4)="LVAX",LEFT(K1528,6)="MV15AX",LEFT(K1528,4)="CTAX",LEFT(K1528,2)="W|"),2*N1528*O1528,0)</f>
        <v/>
      </c>
      <c r="Z1528" s="12" t="inlineStr">
        <is>
          <t>VD 1.3 %</t>
        </is>
      </c>
      <c r="AA1528" s="12">
        <f>N1528*O1528</f>
        <v/>
      </c>
    </row>
    <row r="1529">
      <c r="A1529" s="12" t="inlineStr">
        <is>
          <t>A-P-0162</t>
        </is>
      </c>
      <c r="B1529" s="12" t="inlineStr">
        <is>
          <t>A</t>
        </is>
      </c>
      <c r="C1529" s="12" t="inlineStr">
        <is>
          <t>Power block</t>
        </is>
      </c>
      <c r="D1529" s="12" t="inlineStr">
        <is>
          <t>Motor 4 of 4, 2 kW</t>
        </is>
      </c>
      <c r="E1529" s="12" t="inlineStr">
        <is>
          <t>MCC-GT3</t>
        </is>
      </c>
      <c r="F1529" s="12" t="inlineStr">
        <is>
          <t>R1 MCC-GT3</t>
        </is>
      </c>
      <c r="G1529" s="12" t="inlineStr">
        <is>
          <t>GTG-3</t>
        </is>
      </c>
      <c r="H1529" s="12" t="inlineStr">
        <is>
          <t>GTG-3: GT generator</t>
        </is>
      </c>
      <c r="I1529" s="12" t="inlineStr">
        <is>
          <t>LV 600 V</t>
        </is>
      </c>
      <c r="J1529" s="12" t="inlineStr">
        <is>
          <t>Type TC-ER 600 V 3/C Cu XHHW-2 + ground, PVC jacket</t>
        </is>
      </c>
      <c r="K1529" s="12" t="inlineStr">
        <is>
          <t>LV|3/C+G|10</t>
        </is>
      </c>
      <c r="L1529" s="12" t="inlineStr">
        <is>
          <t>3/C+G</t>
        </is>
      </c>
      <c r="M1529" s="12" t="inlineStr">
        <is>
          <t>10</t>
        </is>
      </c>
      <c r="N1529" s="12" t="n">
        <v>1</v>
      </c>
      <c r="O1529" s="12" t="n">
        <v>1</v>
      </c>
      <c r="P1529" s="12" t="n">
        <v>480</v>
      </c>
      <c r="Q1529" s="12" t="n">
        <v>2</v>
      </c>
      <c r="R1529" s="12" t="n">
        <v>2.8</v>
      </c>
      <c r="S1529" s="12" t="inlineStr">
        <is>
          <t>Tray</t>
        </is>
      </c>
      <c r="T1529" s="16" t="n">
        <v>793</v>
      </c>
      <c r="U1529" s="16" t="n">
        <v>166</v>
      </c>
      <c r="V1529" s="16">
        <f>ROUNDUP((T1529+U1529+2*'Read Me'!$B$13)*(1+'Read Me'!$B$12),-1)</f>
        <v/>
      </c>
      <c r="W1529" s="16">
        <f>V1529*N1529*O1529</f>
        <v/>
      </c>
      <c r="X1529" s="12">
        <f>IF(LEFT(I1529,2)="MV",2*N1529*IF(L1529="1/C",O1529,1),0)</f>
        <v/>
      </c>
      <c r="Y1529" s="12">
        <f>IF(OR(LEFT(K1529,4)="LVAX",LEFT(K1529,6)="MV15AX",LEFT(K1529,4)="CTAX",LEFT(K1529,2)="W|"),2*N1529*O1529,0)</f>
        <v/>
      </c>
      <c r="Z1529" s="12" t="inlineStr">
        <is>
          <t>VD 1.3 %</t>
        </is>
      </c>
      <c r="AA1529" s="12">
        <f>N1529*O1529</f>
        <v/>
      </c>
    </row>
    <row r="1530">
      <c r="A1530" s="12" t="inlineStr">
        <is>
          <t>A-P-0163</t>
        </is>
      </c>
      <c r="B1530" s="12" t="inlineStr">
        <is>
          <t>A</t>
        </is>
      </c>
      <c r="C1530" s="12" t="inlineStr">
        <is>
          <t>Power block</t>
        </is>
      </c>
      <c r="D1530" s="12" t="inlineStr">
        <is>
          <t>Motor 1 of 4, 15 kW</t>
        </is>
      </c>
      <c r="E1530" s="12" t="inlineStr">
        <is>
          <t>R2A</t>
        </is>
      </c>
      <c r="F1530" s="12" t="inlineStr">
        <is>
          <t>R2A: unit / HRSG electrical e-house (32 x 40 ft)</t>
        </is>
      </c>
      <c r="G1530" s="12" t="inlineStr">
        <is>
          <t>HRSG-1</t>
        </is>
      </c>
      <c r="H1530" s="12" t="inlineStr">
        <is>
          <t>HRSG 1 + SCR (3P reheat, horizontal)</t>
        </is>
      </c>
      <c r="I1530" s="12" t="inlineStr">
        <is>
          <t>LV 600 V</t>
        </is>
      </c>
      <c r="J1530" s="12" t="inlineStr">
        <is>
          <t>Type TC-ER 600 V 3/C Cu XHHW-2 + ground, PVC jacket</t>
        </is>
      </c>
      <c r="K1530" s="12" t="inlineStr">
        <is>
          <t>LV|3/C+G|10</t>
        </is>
      </c>
      <c r="L1530" s="12" t="inlineStr">
        <is>
          <t>3/C+G</t>
        </is>
      </c>
      <c r="M1530" s="12" t="inlineStr">
        <is>
          <t>10</t>
        </is>
      </c>
      <c r="N1530" s="12" t="n">
        <v>1</v>
      </c>
      <c r="O1530" s="12" t="n">
        <v>1</v>
      </c>
      <c r="P1530" s="12" t="n">
        <v>480</v>
      </c>
      <c r="Q1530" s="12" t="n">
        <v>15</v>
      </c>
      <c r="R1530" s="12" t="n">
        <v>21.2</v>
      </c>
      <c r="S1530" s="12" t="inlineStr">
        <is>
          <t>Tray</t>
        </is>
      </c>
      <c r="T1530" s="16" t="n">
        <v>0</v>
      </c>
      <c r="U1530" s="16" t="n">
        <v>87</v>
      </c>
      <c r="V1530" s="16">
        <f>ROUNDUP((T1530+U1530+2*'Read Me'!$B$13)*(1+'Read Me'!$B$12),-1)</f>
        <v/>
      </c>
      <c r="W1530" s="16">
        <f>V1530*N1530*O1530</f>
        <v/>
      </c>
      <c r="X1530" s="12">
        <f>IF(LEFT(I1530,2)="MV",2*N1530*IF(L1530="1/C",O1530,1),0)</f>
        <v/>
      </c>
      <c r="Y1530" s="12">
        <f>IF(OR(LEFT(K1530,4)="LVAX",LEFT(K1530,6)="MV15AX",LEFT(K1530,4)="CTAX",LEFT(K1530,2)="W|"),2*N1530*O1530,0)</f>
        <v/>
      </c>
      <c r="Z1530" s="12" t="inlineStr">
        <is>
          <t>VD 0.9 %</t>
        </is>
      </c>
      <c r="AA1530" s="12">
        <f>N1530*O1530</f>
        <v/>
      </c>
    </row>
    <row r="1531">
      <c r="A1531" s="12" t="inlineStr">
        <is>
          <t>A-P-0164</t>
        </is>
      </c>
      <c r="B1531" s="12" t="inlineStr">
        <is>
          <t>A</t>
        </is>
      </c>
      <c r="C1531" s="12" t="inlineStr">
        <is>
          <t>Power block</t>
        </is>
      </c>
      <c r="D1531" s="12" t="inlineStr">
        <is>
          <t>Motor 2 of 4, 15 kW</t>
        </is>
      </c>
      <c r="E1531" s="12" t="inlineStr">
        <is>
          <t>R2A</t>
        </is>
      </c>
      <c r="F1531" s="12" t="inlineStr">
        <is>
          <t>R2A: unit / HRSG electrical e-house (32 x 40 ft)</t>
        </is>
      </c>
      <c r="G1531" s="12" t="inlineStr">
        <is>
          <t>HRSG-1</t>
        </is>
      </c>
      <c r="H1531" s="12" t="inlineStr">
        <is>
          <t>HRSG 1 + SCR (3P reheat, horizontal)</t>
        </is>
      </c>
      <c r="I1531" s="12" t="inlineStr">
        <is>
          <t>LV 600 V</t>
        </is>
      </c>
      <c r="J1531" s="12" t="inlineStr">
        <is>
          <t>Type TC-ER 600 V 3/C Cu XHHW-2 + ground, PVC jacket</t>
        </is>
      </c>
      <c r="K1531" s="12" t="inlineStr">
        <is>
          <t>LV|3/C+G|10</t>
        </is>
      </c>
      <c r="L1531" s="12" t="inlineStr">
        <is>
          <t>3/C+G</t>
        </is>
      </c>
      <c r="M1531" s="12" t="inlineStr">
        <is>
          <t>10</t>
        </is>
      </c>
      <c r="N1531" s="12" t="n">
        <v>1</v>
      </c>
      <c r="O1531" s="12" t="n">
        <v>1</v>
      </c>
      <c r="P1531" s="12" t="n">
        <v>480</v>
      </c>
      <c r="Q1531" s="12" t="n">
        <v>15</v>
      </c>
      <c r="R1531" s="12" t="n">
        <v>21.2</v>
      </c>
      <c r="S1531" s="12" t="inlineStr">
        <is>
          <t>Tray</t>
        </is>
      </c>
      <c r="T1531" s="16" t="n">
        <v>0</v>
      </c>
      <c r="U1531" s="16" t="n">
        <v>87</v>
      </c>
      <c r="V1531" s="16">
        <f>ROUNDUP((T1531+U1531+2*'Read Me'!$B$13)*(1+'Read Me'!$B$12),-1)</f>
        <v/>
      </c>
      <c r="W1531" s="16">
        <f>V1531*N1531*O1531</f>
        <v/>
      </c>
      <c r="X1531" s="12">
        <f>IF(LEFT(I1531,2)="MV",2*N1531*IF(L1531="1/C",O1531,1),0)</f>
        <v/>
      </c>
      <c r="Y1531" s="12">
        <f>IF(OR(LEFT(K1531,4)="LVAX",LEFT(K1531,6)="MV15AX",LEFT(K1531,4)="CTAX",LEFT(K1531,2)="W|"),2*N1531*O1531,0)</f>
        <v/>
      </c>
      <c r="Z1531" s="12" t="inlineStr">
        <is>
          <t>VD 0.9 %</t>
        </is>
      </c>
      <c r="AA1531" s="12">
        <f>N1531*O1531</f>
        <v/>
      </c>
    </row>
    <row r="1532">
      <c r="A1532" s="12" t="inlineStr">
        <is>
          <t>A-P-0165</t>
        </is>
      </c>
      <c r="B1532" s="12" t="inlineStr">
        <is>
          <t>A</t>
        </is>
      </c>
      <c r="C1532" s="12" t="inlineStr">
        <is>
          <t>Power block</t>
        </is>
      </c>
      <c r="D1532" s="12" t="inlineStr">
        <is>
          <t>Motor 3 of 4, 15 kW</t>
        </is>
      </c>
      <c r="E1532" s="12" t="inlineStr">
        <is>
          <t>R2A</t>
        </is>
      </c>
      <c r="F1532" s="12" t="inlineStr">
        <is>
          <t>R2A: unit / HRSG electrical e-house (32 x 40 ft)</t>
        </is>
      </c>
      <c r="G1532" s="12" t="inlineStr">
        <is>
          <t>HRSG-1</t>
        </is>
      </c>
      <c r="H1532" s="12" t="inlineStr">
        <is>
          <t>HRSG 1 + SCR (3P reheat, horizontal)</t>
        </is>
      </c>
      <c r="I1532" s="12" t="inlineStr">
        <is>
          <t>LV 600 V</t>
        </is>
      </c>
      <c r="J1532" s="12" t="inlineStr">
        <is>
          <t>Type TC-ER 600 V 3/C Cu XHHW-2 + ground, PVC jacket</t>
        </is>
      </c>
      <c r="K1532" s="12" t="inlineStr">
        <is>
          <t>LV|3/C+G|10</t>
        </is>
      </c>
      <c r="L1532" s="12" t="inlineStr">
        <is>
          <t>3/C+G</t>
        </is>
      </c>
      <c r="M1532" s="12" t="inlineStr">
        <is>
          <t>10</t>
        </is>
      </c>
      <c r="N1532" s="12" t="n">
        <v>1</v>
      </c>
      <c r="O1532" s="12" t="n">
        <v>1</v>
      </c>
      <c r="P1532" s="12" t="n">
        <v>480</v>
      </c>
      <c r="Q1532" s="12" t="n">
        <v>15</v>
      </c>
      <c r="R1532" s="12" t="n">
        <v>21.2</v>
      </c>
      <c r="S1532" s="12" t="inlineStr">
        <is>
          <t>Tray</t>
        </is>
      </c>
      <c r="T1532" s="16" t="n">
        <v>0</v>
      </c>
      <c r="U1532" s="16" t="n">
        <v>87</v>
      </c>
      <c r="V1532" s="16">
        <f>ROUNDUP((T1532+U1532+2*'Read Me'!$B$13)*(1+'Read Me'!$B$12),-1)</f>
        <v/>
      </c>
      <c r="W1532" s="16">
        <f>V1532*N1532*O1532</f>
        <v/>
      </c>
      <c r="X1532" s="12">
        <f>IF(LEFT(I1532,2)="MV",2*N1532*IF(L1532="1/C",O1532,1),0)</f>
        <v/>
      </c>
      <c r="Y1532" s="12">
        <f>IF(OR(LEFT(K1532,4)="LVAX",LEFT(K1532,6)="MV15AX",LEFT(K1532,4)="CTAX",LEFT(K1532,2)="W|"),2*N1532*O1532,0)</f>
        <v/>
      </c>
      <c r="Z1532" s="12" t="inlineStr">
        <is>
          <t>VD 0.9 %</t>
        </is>
      </c>
      <c r="AA1532" s="12">
        <f>N1532*O1532</f>
        <v/>
      </c>
    </row>
    <row r="1533">
      <c r="A1533" s="12" t="inlineStr">
        <is>
          <t>A-P-0166</t>
        </is>
      </c>
      <c r="B1533" s="12" t="inlineStr">
        <is>
          <t>A</t>
        </is>
      </c>
      <c r="C1533" s="12" t="inlineStr">
        <is>
          <t>Power block</t>
        </is>
      </c>
      <c r="D1533" s="12" t="inlineStr">
        <is>
          <t>Motor 4 of 4, 15 kW</t>
        </is>
      </c>
      <c r="E1533" s="12" t="inlineStr">
        <is>
          <t>R2A</t>
        </is>
      </c>
      <c r="F1533" s="12" t="inlineStr">
        <is>
          <t>R2A: unit / HRSG electrical e-house (32 x 40 ft)</t>
        </is>
      </c>
      <c r="G1533" s="12" t="inlineStr">
        <is>
          <t>HRSG-1</t>
        </is>
      </c>
      <c r="H1533" s="12" t="inlineStr">
        <is>
          <t>HRSG 1 + SCR (3P reheat, horizontal)</t>
        </is>
      </c>
      <c r="I1533" s="12" t="inlineStr">
        <is>
          <t>LV 600 V</t>
        </is>
      </c>
      <c r="J1533" s="12" t="inlineStr">
        <is>
          <t>Type TC-ER 600 V 3/C Cu XHHW-2 + ground, PVC jacket</t>
        </is>
      </c>
      <c r="K1533" s="12" t="inlineStr">
        <is>
          <t>LV|3/C+G|10</t>
        </is>
      </c>
      <c r="L1533" s="12" t="inlineStr">
        <is>
          <t>3/C+G</t>
        </is>
      </c>
      <c r="M1533" s="12" t="inlineStr">
        <is>
          <t>10</t>
        </is>
      </c>
      <c r="N1533" s="12" t="n">
        <v>1</v>
      </c>
      <c r="O1533" s="12" t="n">
        <v>1</v>
      </c>
      <c r="P1533" s="12" t="n">
        <v>480</v>
      </c>
      <c r="Q1533" s="12" t="n">
        <v>15</v>
      </c>
      <c r="R1533" s="12" t="n">
        <v>21.2</v>
      </c>
      <c r="S1533" s="12" t="inlineStr">
        <is>
          <t>Tray</t>
        </is>
      </c>
      <c r="T1533" s="16" t="n">
        <v>0</v>
      </c>
      <c r="U1533" s="16" t="n">
        <v>87</v>
      </c>
      <c r="V1533" s="16">
        <f>ROUNDUP((T1533+U1533+2*'Read Me'!$B$13)*(1+'Read Me'!$B$12),-1)</f>
        <v/>
      </c>
      <c r="W1533" s="16">
        <f>V1533*N1533*O1533</f>
        <v/>
      </c>
      <c r="X1533" s="12">
        <f>IF(LEFT(I1533,2)="MV",2*N1533*IF(L1533="1/C",O1533,1),0)</f>
        <v/>
      </c>
      <c r="Y1533" s="12">
        <f>IF(OR(LEFT(K1533,4)="LVAX",LEFT(K1533,6)="MV15AX",LEFT(K1533,4)="CTAX",LEFT(K1533,2)="W|"),2*N1533*O1533,0)</f>
        <v/>
      </c>
      <c r="Z1533" s="12" t="inlineStr">
        <is>
          <t>VD 0.9 %</t>
        </is>
      </c>
      <c r="AA1533" s="12">
        <f>N1533*O1533</f>
        <v/>
      </c>
    </row>
    <row r="1534">
      <c r="A1534" s="12" t="inlineStr">
        <is>
          <t>A-P-0167</t>
        </is>
      </c>
      <c r="B1534" s="12" t="inlineStr">
        <is>
          <t>A</t>
        </is>
      </c>
      <c r="C1534" s="12" t="inlineStr">
        <is>
          <t>Power block</t>
        </is>
      </c>
      <c r="D1534" s="12" t="inlineStr">
        <is>
          <t>MOV 1: power</t>
        </is>
      </c>
      <c r="E1534" s="12" t="inlineStr">
        <is>
          <t>R2A</t>
        </is>
      </c>
      <c r="F1534" s="12" t="inlineStr">
        <is>
          <t>R2A: unit / HRSG electrical e-house (32 x 40 ft)</t>
        </is>
      </c>
      <c r="G1534" s="12" t="inlineStr">
        <is>
          <t>HRSG-1</t>
        </is>
      </c>
      <c r="H1534" s="12" t="inlineStr">
        <is>
          <t>HRSG 1 + SCR (3P reheat, horizontal)</t>
        </is>
      </c>
      <c r="I1534" s="12" t="inlineStr">
        <is>
          <t>LV 600 V</t>
        </is>
      </c>
      <c r="J1534" s="12" t="inlineStr">
        <is>
          <t>Type TC-ER 600 V 3/C Cu XHHW-2 + ground, PVC jacket</t>
        </is>
      </c>
      <c r="K1534" s="12" t="inlineStr">
        <is>
          <t>LV|3/C+G|10</t>
        </is>
      </c>
      <c r="L1534" s="12" t="inlineStr">
        <is>
          <t>3/C+G</t>
        </is>
      </c>
      <c r="M1534" s="12" t="inlineStr">
        <is>
          <t>10</t>
        </is>
      </c>
      <c r="N1534" s="12" t="n">
        <v>1</v>
      </c>
      <c r="O1534" s="12" t="n">
        <v>1</v>
      </c>
      <c r="P1534" s="12" t="n">
        <v>480</v>
      </c>
      <c r="Q1534" s="12" t="n">
        <v>2.5</v>
      </c>
      <c r="R1534" s="12" t="n">
        <v>3.5</v>
      </c>
      <c r="S1534" s="12" t="inlineStr">
        <is>
          <t>Tray</t>
        </is>
      </c>
      <c r="T1534" s="16" t="n">
        <v>0</v>
      </c>
      <c r="U1534" s="16" t="n">
        <v>87</v>
      </c>
      <c r="V1534" s="16">
        <f>ROUNDUP((T1534+U1534+2*'Read Me'!$B$13)*(1+'Read Me'!$B$12),-1)</f>
        <v/>
      </c>
      <c r="W1534" s="16">
        <f>V1534*N1534*O1534</f>
        <v/>
      </c>
      <c r="X1534" s="12">
        <f>IF(LEFT(I1534,2)="MV",2*N1534*IF(L1534="1/C",O1534,1),0)</f>
        <v/>
      </c>
      <c r="Y1534" s="12">
        <f>IF(OR(LEFT(K1534,4)="LVAX",LEFT(K1534,6)="MV15AX",LEFT(K1534,4)="CTAX",LEFT(K1534,2)="W|"),2*N1534*O1534,0)</f>
        <v/>
      </c>
      <c r="Z1534" s="12" t="inlineStr">
        <is>
          <t>VD 0.1 %</t>
        </is>
      </c>
      <c r="AA1534" s="12">
        <f>N1534*O1534</f>
        <v/>
      </c>
    </row>
    <row r="1535">
      <c r="A1535" s="12" t="inlineStr">
        <is>
          <t>A-P-0168</t>
        </is>
      </c>
      <c r="B1535" s="12" t="inlineStr">
        <is>
          <t>A</t>
        </is>
      </c>
      <c r="C1535" s="12" t="inlineStr">
        <is>
          <t>Power block</t>
        </is>
      </c>
      <c r="D1535" s="12" t="inlineStr">
        <is>
          <t>MOV 2: power</t>
        </is>
      </c>
      <c r="E1535" s="12" t="inlineStr">
        <is>
          <t>R2A</t>
        </is>
      </c>
      <c r="F1535" s="12" t="inlineStr">
        <is>
          <t>R2A: unit / HRSG electrical e-house (32 x 40 ft)</t>
        </is>
      </c>
      <c r="G1535" s="12" t="inlineStr">
        <is>
          <t>HRSG-1</t>
        </is>
      </c>
      <c r="H1535" s="12" t="inlineStr">
        <is>
          <t>HRSG 1 + SCR (3P reheat, horizontal)</t>
        </is>
      </c>
      <c r="I1535" s="12" t="inlineStr">
        <is>
          <t>LV 600 V</t>
        </is>
      </c>
      <c r="J1535" s="12" t="inlineStr">
        <is>
          <t>Type TC-ER 600 V 3/C Cu XHHW-2 + ground, PVC jacket</t>
        </is>
      </c>
      <c r="K1535" s="12" t="inlineStr">
        <is>
          <t>LV|3/C+G|10</t>
        </is>
      </c>
      <c r="L1535" s="12" t="inlineStr">
        <is>
          <t>3/C+G</t>
        </is>
      </c>
      <c r="M1535" s="12" t="inlineStr">
        <is>
          <t>10</t>
        </is>
      </c>
      <c r="N1535" s="12" t="n">
        <v>1</v>
      </c>
      <c r="O1535" s="12" t="n">
        <v>1</v>
      </c>
      <c r="P1535" s="12" t="n">
        <v>480</v>
      </c>
      <c r="Q1535" s="12" t="n">
        <v>2.5</v>
      </c>
      <c r="R1535" s="12" t="n">
        <v>3.5</v>
      </c>
      <c r="S1535" s="12" t="inlineStr">
        <is>
          <t>Tray</t>
        </is>
      </c>
      <c r="T1535" s="16" t="n">
        <v>0</v>
      </c>
      <c r="U1535" s="16" t="n">
        <v>87</v>
      </c>
      <c r="V1535" s="16">
        <f>ROUNDUP((T1535+U1535+2*'Read Me'!$B$13)*(1+'Read Me'!$B$12),-1)</f>
        <v/>
      </c>
      <c r="W1535" s="16">
        <f>V1535*N1535*O1535</f>
        <v/>
      </c>
      <c r="X1535" s="12">
        <f>IF(LEFT(I1535,2)="MV",2*N1535*IF(L1535="1/C",O1535,1),0)</f>
        <v/>
      </c>
      <c r="Y1535" s="12">
        <f>IF(OR(LEFT(K1535,4)="LVAX",LEFT(K1535,6)="MV15AX",LEFT(K1535,4)="CTAX",LEFT(K1535,2)="W|"),2*N1535*O1535,0)</f>
        <v/>
      </c>
      <c r="Z1535" s="12" t="inlineStr">
        <is>
          <t>VD 0.1 %</t>
        </is>
      </c>
      <c r="AA1535" s="12">
        <f>N1535*O1535</f>
        <v/>
      </c>
    </row>
    <row r="1536">
      <c r="A1536" s="12" t="inlineStr">
        <is>
          <t>A-P-0169</t>
        </is>
      </c>
      <c r="B1536" s="12" t="inlineStr">
        <is>
          <t>A</t>
        </is>
      </c>
      <c r="C1536" s="12" t="inlineStr">
        <is>
          <t>Power block</t>
        </is>
      </c>
      <c r="D1536" s="12" t="inlineStr">
        <is>
          <t>MOV 3: power</t>
        </is>
      </c>
      <c r="E1536" s="12" t="inlineStr">
        <is>
          <t>R2A</t>
        </is>
      </c>
      <c r="F1536" s="12" t="inlineStr">
        <is>
          <t>R2A: unit / HRSG electrical e-house (32 x 40 ft)</t>
        </is>
      </c>
      <c r="G1536" s="12" t="inlineStr">
        <is>
          <t>HRSG-1</t>
        </is>
      </c>
      <c r="H1536" s="12" t="inlineStr">
        <is>
          <t>HRSG 1 + SCR (3P reheat, horizontal)</t>
        </is>
      </c>
      <c r="I1536" s="12" t="inlineStr">
        <is>
          <t>LV 600 V</t>
        </is>
      </c>
      <c r="J1536" s="12" t="inlineStr">
        <is>
          <t>Type TC-ER 600 V 3/C Cu XHHW-2 + ground, PVC jacket</t>
        </is>
      </c>
      <c r="K1536" s="12" t="inlineStr">
        <is>
          <t>LV|3/C+G|10</t>
        </is>
      </c>
      <c r="L1536" s="12" t="inlineStr">
        <is>
          <t>3/C+G</t>
        </is>
      </c>
      <c r="M1536" s="12" t="inlineStr">
        <is>
          <t>10</t>
        </is>
      </c>
      <c r="N1536" s="12" t="n">
        <v>1</v>
      </c>
      <c r="O1536" s="12" t="n">
        <v>1</v>
      </c>
      <c r="P1536" s="12" t="n">
        <v>480</v>
      </c>
      <c r="Q1536" s="12" t="n">
        <v>2.5</v>
      </c>
      <c r="R1536" s="12" t="n">
        <v>3.5</v>
      </c>
      <c r="S1536" s="12" t="inlineStr">
        <is>
          <t>Tray</t>
        </is>
      </c>
      <c r="T1536" s="16" t="n">
        <v>0</v>
      </c>
      <c r="U1536" s="16" t="n">
        <v>87</v>
      </c>
      <c r="V1536" s="16">
        <f>ROUNDUP((T1536+U1536+2*'Read Me'!$B$13)*(1+'Read Me'!$B$12),-1)</f>
        <v/>
      </c>
      <c r="W1536" s="16">
        <f>V1536*N1536*O1536</f>
        <v/>
      </c>
      <c r="X1536" s="12">
        <f>IF(LEFT(I1536,2)="MV",2*N1536*IF(L1536="1/C",O1536,1),0)</f>
        <v/>
      </c>
      <c r="Y1536" s="12">
        <f>IF(OR(LEFT(K1536,4)="LVAX",LEFT(K1536,6)="MV15AX",LEFT(K1536,4)="CTAX",LEFT(K1536,2)="W|"),2*N1536*O1536,0)</f>
        <v/>
      </c>
      <c r="Z1536" s="12" t="inlineStr">
        <is>
          <t>VD 0.1 %</t>
        </is>
      </c>
      <c r="AA1536" s="12">
        <f>N1536*O1536</f>
        <v/>
      </c>
    </row>
    <row r="1537">
      <c r="A1537" s="12" t="inlineStr">
        <is>
          <t>A-P-0170</t>
        </is>
      </c>
      <c r="B1537" s="12" t="inlineStr">
        <is>
          <t>A</t>
        </is>
      </c>
      <c r="C1537" s="12" t="inlineStr">
        <is>
          <t>Power block</t>
        </is>
      </c>
      <c r="D1537" s="12" t="inlineStr">
        <is>
          <t>MOV 4: power</t>
        </is>
      </c>
      <c r="E1537" s="12" t="inlineStr">
        <is>
          <t>R2A</t>
        </is>
      </c>
      <c r="F1537" s="12" t="inlineStr">
        <is>
          <t>R2A: unit / HRSG electrical e-house (32 x 40 ft)</t>
        </is>
      </c>
      <c r="G1537" s="12" t="inlineStr">
        <is>
          <t>HRSG-1</t>
        </is>
      </c>
      <c r="H1537" s="12" t="inlineStr">
        <is>
          <t>HRSG 1 + SCR (3P reheat, horizontal)</t>
        </is>
      </c>
      <c r="I1537" s="12" t="inlineStr">
        <is>
          <t>LV 600 V</t>
        </is>
      </c>
      <c r="J1537" s="12" t="inlineStr">
        <is>
          <t>Type TC-ER 600 V 3/C Cu XHHW-2 + ground, PVC jacket</t>
        </is>
      </c>
      <c r="K1537" s="12" t="inlineStr">
        <is>
          <t>LV|3/C+G|10</t>
        </is>
      </c>
      <c r="L1537" s="12" t="inlineStr">
        <is>
          <t>3/C+G</t>
        </is>
      </c>
      <c r="M1537" s="12" t="inlineStr">
        <is>
          <t>10</t>
        </is>
      </c>
      <c r="N1537" s="12" t="n">
        <v>1</v>
      </c>
      <c r="O1537" s="12" t="n">
        <v>1</v>
      </c>
      <c r="P1537" s="12" t="n">
        <v>480</v>
      </c>
      <c r="Q1537" s="12" t="n">
        <v>2.5</v>
      </c>
      <c r="R1537" s="12" t="n">
        <v>3.5</v>
      </c>
      <c r="S1537" s="12" t="inlineStr">
        <is>
          <t>Tray</t>
        </is>
      </c>
      <c r="T1537" s="16" t="n">
        <v>0</v>
      </c>
      <c r="U1537" s="16" t="n">
        <v>87</v>
      </c>
      <c r="V1537" s="16">
        <f>ROUNDUP((T1537+U1537+2*'Read Me'!$B$13)*(1+'Read Me'!$B$12),-1)</f>
        <v/>
      </c>
      <c r="W1537" s="16">
        <f>V1537*N1537*O1537</f>
        <v/>
      </c>
      <c r="X1537" s="12">
        <f>IF(LEFT(I1537,2)="MV",2*N1537*IF(L1537="1/C",O1537,1),0)</f>
        <v/>
      </c>
      <c r="Y1537" s="12">
        <f>IF(OR(LEFT(K1537,4)="LVAX",LEFT(K1537,6)="MV15AX",LEFT(K1537,4)="CTAX",LEFT(K1537,2)="W|"),2*N1537*O1537,0)</f>
        <v/>
      </c>
      <c r="Z1537" s="12" t="inlineStr">
        <is>
          <t>VD 0.1 %</t>
        </is>
      </c>
      <c r="AA1537" s="12">
        <f>N1537*O1537</f>
        <v/>
      </c>
    </row>
    <row r="1538">
      <c r="A1538" s="12" t="inlineStr">
        <is>
          <t>A-P-0171</t>
        </is>
      </c>
      <c r="B1538" s="12" t="inlineStr">
        <is>
          <t>A</t>
        </is>
      </c>
      <c r="C1538" s="12" t="inlineStr">
        <is>
          <t>Power block</t>
        </is>
      </c>
      <c r="D1538" s="12" t="inlineStr">
        <is>
          <t>MOV 5: power</t>
        </is>
      </c>
      <c r="E1538" s="12" t="inlineStr">
        <is>
          <t>R2A</t>
        </is>
      </c>
      <c r="F1538" s="12" t="inlineStr">
        <is>
          <t>R2A: unit / HRSG electrical e-house (32 x 40 ft)</t>
        </is>
      </c>
      <c r="G1538" s="12" t="inlineStr">
        <is>
          <t>HRSG-1</t>
        </is>
      </c>
      <c r="H1538" s="12" t="inlineStr">
        <is>
          <t>HRSG 1 + SCR (3P reheat, horizontal)</t>
        </is>
      </c>
      <c r="I1538" s="12" t="inlineStr">
        <is>
          <t>LV 600 V</t>
        </is>
      </c>
      <c r="J1538" s="12" t="inlineStr">
        <is>
          <t>Type TC-ER 600 V 3/C Cu XHHW-2 + ground, PVC jacket</t>
        </is>
      </c>
      <c r="K1538" s="12" t="inlineStr">
        <is>
          <t>LV|3/C+G|10</t>
        </is>
      </c>
      <c r="L1538" s="12" t="inlineStr">
        <is>
          <t>3/C+G</t>
        </is>
      </c>
      <c r="M1538" s="12" t="inlineStr">
        <is>
          <t>10</t>
        </is>
      </c>
      <c r="N1538" s="12" t="n">
        <v>1</v>
      </c>
      <c r="O1538" s="12" t="n">
        <v>1</v>
      </c>
      <c r="P1538" s="12" t="n">
        <v>480</v>
      </c>
      <c r="Q1538" s="12" t="n">
        <v>2.5</v>
      </c>
      <c r="R1538" s="12" t="n">
        <v>3.5</v>
      </c>
      <c r="S1538" s="12" t="inlineStr">
        <is>
          <t>Tray</t>
        </is>
      </c>
      <c r="T1538" s="16" t="n">
        <v>0</v>
      </c>
      <c r="U1538" s="16" t="n">
        <v>87</v>
      </c>
      <c r="V1538" s="16">
        <f>ROUNDUP((T1538+U1538+2*'Read Me'!$B$13)*(1+'Read Me'!$B$12),-1)</f>
        <v/>
      </c>
      <c r="W1538" s="16">
        <f>V1538*N1538*O1538</f>
        <v/>
      </c>
      <c r="X1538" s="12">
        <f>IF(LEFT(I1538,2)="MV",2*N1538*IF(L1538="1/C",O1538,1),0)</f>
        <v/>
      </c>
      <c r="Y1538" s="12">
        <f>IF(OR(LEFT(K1538,4)="LVAX",LEFT(K1538,6)="MV15AX",LEFT(K1538,4)="CTAX",LEFT(K1538,2)="W|"),2*N1538*O1538,0)</f>
        <v/>
      </c>
      <c r="Z1538" s="12" t="inlineStr">
        <is>
          <t>VD 0.1 %</t>
        </is>
      </c>
      <c r="AA1538" s="12">
        <f>N1538*O1538</f>
        <v/>
      </c>
    </row>
    <row r="1539">
      <c r="A1539" s="12" t="inlineStr">
        <is>
          <t>A-P-0172</t>
        </is>
      </c>
      <c r="B1539" s="12" t="inlineStr">
        <is>
          <t>A</t>
        </is>
      </c>
      <c r="C1539" s="12" t="inlineStr">
        <is>
          <t>Power block</t>
        </is>
      </c>
      <c r="D1539" s="12" t="inlineStr">
        <is>
          <t>MOV 6: power</t>
        </is>
      </c>
      <c r="E1539" s="12" t="inlineStr">
        <is>
          <t>R2A</t>
        </is>
      </c>
      <c r="F1539" s="12" t="inlineStr">
        <is>
          <t>R2A: unit / HRSG electrical e-house (32 x 40 ft)</t>
        </is>
      </c>
      <c r="G1539" s="12" t="inlineStr">
        <is>
          <t>HRSG-1</t>
        </is>
      </c>
      <c r="H1539" s="12" t="inlineStr">
        <is>
          <t>HRSG 1 + SCR (3P reheat, horizontal)</t>
        </is>
      </c>
      <c r="I1539" s="12" t="inlineStr">
        <is>
          <t>LV 600 V</t>
        </is>
      </c>
      <c r="J1539" s="12" t="inlineStr">
        <is>
          <t>Type TC-ER 600 V 3/C Cu XHHW-2 + ground, PVC jacket</t>
        </is>
      </c>
      <c r="K1539" s="12" t="inlineStr">
        <is>
          <t>LV|3/C+G|10</t>
        </is>
      </c>
      <c r="L1539" s="12" t="inlineStr">
        <is>
          <t>3/C+G</t>
        </is>
      </c>
      <c r="M1539" s="12" t="inlineStr">
        <is>
          <t>10</t>
        </is>
      </c>
      <c r="N1539" s="12" t="n">
        <v>1</v>
      </c>
      <c r="O1539" s="12" t="n">
        <v>1</v>
      </c>
      <c r="P1539" s="12" t="n">
        <v>480</v>
      </c>
      <c r="Q1539" s="12" t="n">
        <v>2.5</v>
      </c>
      <c r="R1539" s="12" t="n">
        <v>3.5</v>
      </c>
      <c r="S1539" s="12" t="inlineStr">
        <is>
          <t>Tray</t>
        </is>
      </c>
      <c r="T1539" s="16" t="n">
        <v>0</v>
      </c>
      <c r="U1539" s="16" t="n">
        <v>87</v>
      </c>
      <c r="V1539" s="16">
        <f>ROUNDUP((T1539+U1539+2*'Read Me'!$B$13)*(1+'Read Me'!$B$12),-1)</f>
        <v/>
      </c>
      <c r="W1539" s="16">
        <f>V1539*N1539*O1539</f>
        <v/>
      </c>
      <c r="X1539" s="12">
        <f>IF(LEFT(I1539,2)="MV",2*N1539*IF(L1539="1/C",O1539,1),0)</f>
        <v/>
      </c>
      <c r="Y1539" s="12">
        <f>IF(OR(LEFT(K1539,4)="LVAX",LEFT(K1539,6)="MV15AX",LEFT(K1539,4)="CTAX",LEFT(K1539,2)="W|"),2*N1539*O1539,0)</f>
        <v/>
      </c>
      <c r="Z1539" s="12" t="inlineStr">
        <is>
          <t>VD 0.1 %</t>
        </is>
      </c>
      <c r="AA1539" s="12">
        <f>N1539*O1539</f>
        <v/>
      </c>
    </row>
    <row r="1540">
      <c r="A1540" s="12" t="inlineStr">
        <is>
          <t>A-P-0173</t>
        </is>
      </c>
      <c r="B1540" s="12" t="inlineStr">
        <is>
          <t>A</t>
        </is>
      </c>
      <c r="C1540" s="12" t="inlineStr">
        <is>
          <t>Power block</t>
        </is>
      </c>
      <c r="D1540" s="12" t="inlineStr">
        <is>
          <t>MOV 7: power</t>
        </is>
      </c>
      <c r="E1540" s="12" t="inlineStr">
        <is>
          <t>R2A</t>
        </is>
      </c>
      <c r="F1540" s="12" t="inlineStr">
        <is>
          <t>R2A: unit / HRSG electrical e-house (32 x 40 ft)</t>
        </is>
      </c>
      <c r="G1540" s="12" t="inlineStr">
        <is>
          <t>HRSG-1</t>
        </is>
      </c>
      <c r="H1540" s="12" t="inlineStr">
        <is>
          <t>HRSG 1 + SCR (3P reheat, horizontal)</t>
        </is>
      </c>
      <c r="I1540" s="12" t="inlineStr">
        <is>
          <t>LV 600 V</t>
        </is>
      </c>
      <c r="J1540" s="12" t="inlineStr">
        <is>
          <t>Type TC-ER 600 V 3/C Cu XHHW-2 + ground, PVC jacket</t>
        </is>
      </c>
      <c r="K1540" s="12" t="inlineStr">
        <is>
          <t>LV|3/C+G|10</t>
        </is>
      </c>
      <c r="L1540" s="12" t="inlineStr">
        <is>
          <t>3/C+G</t>
        </is>
      </c>
      <c r="M1540" s="12" t="inlineStr">
        <is>
          <t>10</t>
        </is>
      </c>
      <c r="N1540" s="12" t="n">
        <v>1</v>
      </c>
      <c r="O1540" s="12" t="n">
        <v>1</v>
      </c>
      <c r="P1540" s="12" t="n">
        <v>480</v>
      </c>
      <c r="Q1540" s="12" t="n">
        <v>2.5</v>
      </c>
      <c r="R1540" s="12" t="n">
        <v>3.5</v>
      </c>
      <c r="S1540" s="12" t="inlineStr">
        <is>
          <t>Tray</t>
        </is>
      </c>
      <c r="T1540" s="16" t="n">
        <v>0</v>
      </c>
      <c r="U1540" s="16" t="n">
        <v>87</v>
      </c>
      <c r="V1540" s="16">
        <f>ROUNDUP((T1540+U1540+2*'Read Me'!$B$13)*(1+'Read Me'!$B$12),-1)</f>
        <v/>
      </c>
      <c r="W1540" s="16">
        <f>V1540*N1540*O1540</f>
        <v/>
      </c>
      <c r="X1540" s="12">
        <f>IF(LEFT(I1540,2)="MV",2*N1540*IF(L1540="1/C",O1540,1),0)</f>
        <v/>
      </c>
      <c r="Y1540" s="12">
        <f>IF(OR(LEFT(K1540,4)="LVAX",LEFT(K1540,6)="MV15AX",LEFT(K1540,4)="CTAX",LEFT(K1540,2)="W|"),2*N1540*O1540,0)</f>
        <v/>
      </c>
      <c r="Z1540" s="12" t="inlineStr">
        <is>
          <t>VD 0.1 %</t>
        </is>
      </c>
      <c r="AA1540" s="12">
        <f>N1540*O1540</f>
        <v/>
      </c>
    </row>
    <row r="1541">
      <c r="A1541" s="12" t="inlineStr">
        <is>
          <t>A-P-0174</t>
        </is>
      </c>
      <c r="B1541" s="12" t="inlineStr">
        <is>
          <t>A</t>
        </is>
      </c>
      <c r="C1541" s="12" t="inlineStr">
        <is>
          <t>Power block</t>
        </is>
      </c>
      <c r="D1541" s="12" t="inlineStr">
        <is>
          <t>MOV 8: power</t>
        </is>
      </c>
      <c r="E1541" s="12" t="inlineStr">
        <is>
          <t>R2A</t>
        </is>
      </c>
      <c r="F1541" s="12" t="inlineStr">
        <is>
          <t>R2A: unit / HRSG electrical e-house (32 x 40 ft)</t>
        </is>
      </c>
      <c r="G1541" s="12" t="inlineStr">
        <is>
          <t>HRSG-1</t>
        </is>
      </c>
      <c r="H1541" s="12" t="inlineStr">
        <is>
          <t>HRSG 1 + SCR (3P reheat, horizontal)</t>
        </is>
      </c>
      <c r="I1541" s="12" t="inlineStr">
        <is>
          <t>LV 600 V</t>
        </is>
      </c>
      <c r="J1541" s="12" t="inlineStr">
        <is>
          <t>Type TC-ER 600 V 3/C Cu XHHW-2 + ground, PVC jacket</t>
        </is>
      </c>
      <c r="K1541" s="12" t="inlineStr">
        <is>
          <t>LV|3/C+G|10</t>
        </is>
      </c>
      <c r="L1541" s="12" t="inlineStr">
        <is>
          <t>3/C+G</t>
        </is>
      </c>
      <c r="M1541" s="12" t="inlineStr">
        <is>
          <t>10</t>
        </is>
      </c>
      <c r="N1541" s="12" t="n">
        <v>1</v>
      </c>
      <c r="O1541" s="12" t="n">
        <v>1</v>
      </c>
      <c r="P1541" s="12" t="n">
        <v>480</v>
      </c>
      <c r="Q1541" s="12" t="n">
        <v>2.5</v>
      </c>
      <c r="R1541" s="12" t="n">
        <v>3.5</v>
      </c>
      <c r="S1541" s="12" t="inlineStr">
        <is>
          <t>Tray</t>
        </is>
      </c>
      <c r="T1541" s="16" t="n">
        <v>0</v>
      </c>
      <c r="U1541" s="16" t="n">
        <v>87</v>
      </c>
      <c r="V1541" s="16">
        <f>ROUNDUP((T1541+U1541+2*'Read Me'!$B$13)*(1+'Read Me'!$B$12),-1)</f>
        <v/>
      </c>
      <c r="W1541" s="16">
        <f>V1541*N1541*O1541</f>
        <v/>
      </c>
      <c r="X1541" s="12">
        <f>IF(LEFT(I1541,2)="MV",2*N1541*IF(L1541="1/C",O1541,1),0)</f>
        <v/>
      </c>
      <c r="Y1541" s="12">
        <f>IF(OR(LEFT(K1541,4)="LVAX",LEFT(K1541,6)="MV15AX",LEFT(K1541,4)="CTAX",LEFT(K1541,2)="W|"),2*N1541*O1541,0)</f>
        <v/>
      </c>
      <c r="Z1541" s="12" t="inlineStr">
        <is>
          <t>VD 0.1 %</t>
        </is>
      </c>
      <c r="AA1541" s="12">
        <f>N1541*O1541</f>
        <v/>
      </c>
    </row>
    <row r="1542">
      <c r="A1542" s="12" t="inlineStr">
        <is>
          <t>A-P-0175</t>
        </is>
      </c>
      <c r="B1542" s="12" t="inlineStr">
        <is>
          <t>A</t>
        </is>
      </c>
      <c r="C1542" s="12" t="inlineStr">
        <is>
          <t>Power block</t>
        </is>
      </c>
      <c r="D1542" s="12" t="inlineStr">
        <is>
          <t>MOV 9: power</t>
        </is>
      </c>
      <c r="E1542" s="12" t="inlineStr">
        <is>
          <t>R2A</t>
        </is>
      </c>
      <c r="F1542" s="12" t="inlineStr">
        <is>
          <t>R2A: unit / HRSG electrical e-house (32 x 40 ft)</t>
        </is>
      </c>
      <c r="G1542" s="12" t="inlineStr">
        <is>
          <t>HRSG-1</t>
        </is>
      </c>
      <c r="H1542" s="12" t="inlineStr">
        <is>
          <t>HRSG 1 + SCR (3P reheat, horizontal)</t>
        </is>
      </c>
      <c r="I1542" s="12" t="inlineStr">
        <is>
          <t>LV 600 V</t>
        </is>
      </c>
      <c r="J1542" s="12" t="inlineStr">
        <is>
          <t>Type TC-ER 600 V 3/C Cu XHHW-2 + ground, PVC jacket</t>
        </is>
      </c>
      <c r="K1542" s="12" t="inlineStr">
        <is>
          <t>LV|3/C+G|10</t>
        </is>
      </c>
      <c r="L1542" s="12" t="inlineStr">
        <is>
          <t>3/C+G</t>
        </is>
      </c>
      <c r="M1542" s="12" t="inlineStr">
        <is>
          <t>10</t>
        </is>
      </c>
      <c r="N1542" s="12" t="n">
        <v>1</v>
      </c>
      <c r="O1542" s="12" t="n">
        <v>1</v>
      </c>
      <c r="P1542" s="12" t="n">
        <v>480</v>
      </c>
      <c r="Q1542" s="12" t="n">
        <v>2.5</v>
      </c>
      <c r="R1542" s="12" t="n">
        <v>3.5</v>
      </c>
      <c r="S1542" s="12" t="inlineStr">
        <is>
          <t>Tray</t>
        </is>
      </c>
      <c r="T1542" s="16" t="n">
        <v>0</v>
      </c>
      <c r="U1542" s="16" t="n">
        <v>87</v>
      </c>
      <c r="V1542" s="16">
        <f>ROUNDUP((T1542+U1542+2*'Read Me'!$B$13)*(1+'Read Me'!$B$12),-1)</f>
        <v/>
      </c>
      <c r="W1542" s="16">
        <f>V1542*N1542*O1542</f>
        <v/>
      </c>
      <c r="X1542" s="12">
        <f>IF(LEFT(I1542,2)="MV",2*N1542*IF(L1542="1/C",O1542,1),0)</f>
        <v/>
      </c>
      <c r="Y1542" s="12">
        <f>IF(OR(LEFT(K1542,4)="LVAX",LEFT(K1542,6)="MV15AX",LEFT(K1542,4)="CTAX",LEFT(K1542,2)="W|"),2*N1542*O1542,0)</f>
        <v/>
      </c>
      <c r="Z1542" s="12" t="inlineStr">
        <is>
          <t>VD 0.1 %</t>
        </is>
      </c>
      <c r="AA1542" s="12">
        <f>N1542*O1542</f>
        <v/>
      </c>
    </row>
    <row r="1543">
      <c r="A1543" s="12" t="inlineStr">
        <is>
          <t>A-P-0176</t>
        </is>
      </c>
      <c r="B1543" s="12" t="inlineStr">
        <is>
          <t>A</t>
        </is>
      </c>
      <c r="C1543" s="12" t="inlineStr">
        <is>
          <t>Power block</t>
        </is>
      </c>
      <c r="D1543" s="12" t="inlineStr">
        <is>
          <t>MOV 10: power</t>
        </is>
      </c>
      <c r="E1543" s="12" t="inlineStr">
        <is>
          <t>R2A</t>
        </is>
      </c>
      <c r="F1543" s="12" t="inlineStr">
        <is>
          <t>R2A: unit / HRSG electrical e-house (32 x 40 ft)</t>
        </is>
      </c>
      <c r="G1543" s="12" t="inlineStr">
        <is>
          <t>HRSG-1</t>
        </is>
      </c>
      <c r="H1543" s="12" t="inlineStr">
        <is>
          <t>HRSG 1 + SCR (3P reheat, horizontal)</t>
        </is>
      </c>
      <c r="I1543" s="12" t="inlineStr">
        <is>
          <t>LV 600 V</t>
        </is>
      </c>
      <c r="J1543" s="12" t="inlineStr">
        <is>
          <t>Type TC-ER 600 V 3/C Cu XHHW-2 + ground, PVC jacket</t>
        </is>
      </c>
      <c r="K1543" s="12" t="inlineStr">
        <is>
          <t>LV|3/C+G|10</t>
        </is>
      </c>
      <c r="L1543" s="12" t="inlineStr">
        <is>
          <t>3/C+G</t>
        </is>
      </c>
      <c r="M1543" s="12" t="inlineStr">
        <is>
          <t>10</t>
        </is>
      </c>
      <c r="N1543" s="12" t="n">
        <v>1</v>
      </c>
      <c r="O1543" s="12" t="n">
        <v>1</v>
      </c>
      <c r="P1543" s="12" t="n">
        <v>480</v>
      </c>
      <c r="Q1543" s="12" t="n">
        <v>2.5</v>
      </c>
      <c r="R1543" s="12" t="n">
        <v>3.5</v>
      </c>
      <c r="S1543" s="12" t="inlineStr">
        <is>
          <t>Tray</t>
        </is>
      </c>
      <c r="T1543" s="16" t="n">
        <v>0</v>
      </c>
      <c r="U1543" s="16" t="n">
        <v>87</v>
      </c>
      <c r="V1543" s="16">
        <f>ROUNDUP((T1543+U1543+2*'Read Me'!$B$13)*(1+'Read Me'!$B$12),-1)</f>
        <v/>
      </c>
      <c r="W1543" s="16">
        <f>V1543*N1543*O1543</f>
        <v/>
      </c>
      <c r="X1543" s="12">
        <f>IF(LEFT(I1543,2)="MV",2*N1543*IF(L1543="1/C",O1543,1),0)</f>
        <v/>
      </c>
      <c r="Y1543" s="12">
        <f>IF(OR(LEFT(K1543,4)="LVAX",LEFT(K1543,6)="MV15AX",LEFT(K1543,4)="CTAX",LEFT(K1543,2)="W|"),2*N1543*O1543,0)</f>
        <v/>
      </c>
      <c r="Z1543" s="12" t="inlineStr">
        <is>
          <t>VD 0.1 %</t>
        </is>
      </c>
      <c r="AA1543" s="12">
        <f>N1543*O1543</f>
        <v/>
      </c>
    </row>
    <row r="1544">
      <c r="A1544" s="12" t="inlineStr">
        <is>
          <t>A-P-0177</t>
        </is>
      </c>
      <c r="B1544" s="12" t="inlineStr">
        <is>
          <t>A</t>
        </is>
      </c>
      <c r="C1544" s="12" t="inlineStr">
        <is>
          <t>Power block</t>
        </is>
      </c>
      <c r="D1544" s="12" t="inlineStr">
        <is>
          <t>MOV 11: power</t>
        </is>
      </c>
      <c r="E1544" s="12" t="inlineStr">
        <is>
          <t>R2A</t>
        </is>
      </c>
      <c r="F1544" s="12" t="inlineStr">
        <is>
          <t>R2A: unit / HRSG electrical e-house (32 x 40 ft)</t>
        </is>
      </c>
      <c r="G1544" s="12" t="inlineStr">
        <is>
          <t>HRSG-1</t>
        </is>
      </c>
      <c r="H1544" s="12" t="inlineStr">
        <is>
          <t>HRSG 1 + SCR (3P reheat, horizontal)</t>
        </is>
      </c>
      <c r="I1544" s="12" t="inlineStr">
        <is>
          <t>LV 600 V</t>
        </is>
      </c>
      <c r="J1544" s="12" t="inlineStr">
        <is>
          <t>Type TC-ER 600 V 3/C Cu XHHW-2 + ground, PVC jacket</t>
        </is>
      </c>
      <c r="K1544" s="12" t="inlineStr">
        <is>
          <t>LV|3/C+G|10</t>
        </is>
      </c>
      <c r="L1544" s="12" t="inlineStr">
        <is>
          <t>3/C+G</t>
        </is>
      </c>
      <c r="M1544" s="12" t="inlineStr">
        <is>
          <t>10</t>
        </is>
      </c>
      <c r="N1544" s="12" t="n">
        <v>1</v>
      </c>
      <c r="O1544" s="12" t="n">
        <v>1</v>
      </c>
      <c r="P1544" s="12" t="n">
        <v>480</v>
      </c>
      <c r="Q1544" s="12" t="n">
        <v>2.5</v>
      </c>
      <c r="R1544" s="12" t="n">
        <v>3.5</v>
      </c>
      <c r="S1544" s="12" t="inlineStr">
        <is>
          <t>Tray</t>
        </is>
      </c>
      <c r="T1544" s="16" t="n">
        <v>0</v>
      </c>
      <c r="U1544" s="16" t="n">
        <v>87</v>
      </c>
      <c r="V1544" s="16">
        <f>ROUNDUP((T1544+U1544+2*'Read Me'!$B$13)*(1+'Read Me'!$B$12),-1)</f>
        <v/>
      </c>
      <c r="W1544" s="16">
        <f>V1544*N1544*O1544</f>
        <v/>
      </c>
      <c r="X1544" s="12">
        <f>IF(LEFT(I1544,2)="MV",2*N1544*IF(L1544="1/C",O1544,1),0)</f>
        <v/>
      </c>
      <c r="Y1544" s="12">
        <f>IF(OR(LEFT(K1544,4)="LVAX",LEFT(K1544,6)="MV15AX",LEFT(K1544,4)="CTAX",LEFT(K1544,2)="W|"),2*N1544*O1544,0)</f>
        <v/>
      </c>
      <c r="Z1544" s="12" t="inlineStr">
        <is>
          <t>VD 0.1 %</t>
        </is>
      </c>
      <c r="AA1544" s="12">
        <f>N1544*O1544</f>
        <v/>
      </c>
    </row>
    <row r="1545">
      <c r="A1545" s="12" t="inlineStr">
        <is>
          <t>A-P-0178</t>
        </is>
      </c>
      <c r="B1545" s="12" t="inlineStr">
        <is>
          <t>A</t>
        </is>
      </c>
      <c r="C1545" s="12" t="inlineStr">
        <is>
          <t>Power block</t>
        </is>
      </c>
      <c r="D1545" s="12" t="inlineStr">
        <is>
          <t>MOV 12: power</t>
        </is>
      </c>
      <c r="E1545" s="12" t="inlineStr">
        <is>
          <t>R2A</t>
        </is>
      </c>
      <c r="F1545" s="12" t="inlineStr">
        <is>
          <t>R2A: unit / HRSG electrical e-house (32 x 40 ft)</t>
        </is>
      </c>
      <c r="G1545" s="12" t="inlineStr">
        <is>
          <t>HRSG-1</t>
        </is>
      </c>
      <c r="H1545" s="12" t="inlineStr">
        <is>
          <t>HRSG 1 + SCR (3P reheat, horizontal)</t>
        </is>
      </c>
      <c r="I1545" s="12" t="inlineStr">
        <is>
          <t>LV 600 V</t>
        </is>
      </c>
      <c r="J1545" s="12" t="inlineStr">
        <is>
          <t>Type TC-ER 600 V 3/C Cu XHHW-2 + ground, PVC jacket</t>
        </is>
      </c>
      <c r="K1545" s="12" t="inlineStr">
        <is>
          <t>LV|3/C+G|10</t>
        </is>
      </c>
      <c r="L1545" s="12" t="inlineStr">
        <is>
          <t>3/C+G</t>
        </is>
      </c>
      <c r="M1545" s="12" t="inlineStr">
        <is>
          <t>10</t>
        </is>
      </c>
      <c r="N1545" s="12" t="n">
        <v>1</v>
      </c>
      <c r="O1545" s="12" t="n">
        <v>1</v>
      </c>
      <c r="P1545" s="12" t="n">
        <v>480</v>
      </c>
      <c r="Q1545" s="12" t="n">
        <v>2.5</v>
      </c>
      <c r="R1545" s="12" t="n">
        <v>3.5</v>
      </c>
      <c r="S1545" s="12" t="inlineStr">
        <is>
          <t>Tray</t>
        </is>
      </c>
      <c r="T1545" s="16" t="n">
        <v>0</v>
      </c>
      <c r="U1545" s="16" t="n">
        <v>87</v>
      </c>
      <c r="V1545" s="16">
        <f>ROUNDUP((T1545+U1545+2*'Read Me'!$B$13)*(1+'Read Me'!$B$12),-1)</f>
        <v/>
      </c>
      <c r="W1545" s="16">
        <f>V1545*N1545*O1545</f>
        <v/>
      </c>
      <c r="X1545" s="12">
        <f>IF(LEFT(I1545,2)="MV",2*N1545*IF(L1545="1/C",O1545,1),0)</f>
        <v/>
      </c>
      <c r="Y1545" s="12">
        <f>IF(OR(LEFT(K1545,4)="LVAX",LEFT(K1545,6)="MV15AX",LEFT(K1545,4)="CTAX",LEFT(K1545,2)="W|"),2*N1545*O1545,0)</f>
        <v/>
      </c>
      <c r="Z1545" s="12" t="inlineStr">
        <is>
          <t>VD 0.1 %</t>
        </is>
      </c>
      <c r="AA1545" s="12">
        <f>N1545*O1545</f>
        <v/>
      </c>
    </row>
    <row r="1546">
      <c r="A1546" s="12" t="inlineStr">
        <is>
          <t>A-P-0179</t>
        </is>
      </c>
      <c r="B1546" s="12" t="inlineStr">
        <is>
          <t>A</t>
        </is>
      </c>
      <c r="C1546" s="12" t="inlineStr">
        <is>
          <t>Power block</t>
        </is>
      </c>
      <c r="D1546" s="12" t="inlineStr">
        <is>
          <t>MOV 13: power</t>
        </is>
      </c>
      <c r="E1546" s="12" t="inlineStr">
        <is>
          <t>R2A</t>
        </is>
      </c>
      <c r="F1546" s="12" t="inlineStr">
        <is>
          <t>R2A: unit / HRSG electrical e-house (32 x 40 ft)</t>
        </is>
      </c>
      <c r="G1546" s="12" t="inlineStr">
        <is>
          <t>HRSG-1</t>
        </is>
      </c>
      <c r="H1546" s="12" t="inlineStr">
        <is>
          <t>HRSG 1 + SCR (3P reheat, horizontal)</t>
        </is>
      </c>
      <c r="I1546" s="12" t="inlineStr">
        <is>
          <t>LV 600 V</t>
        </is>
      </c>
      <c r="J1546" s="12" t="inlineStr">
        <is>
          <t>Type TC-ER 600 V 3/C Cu XHHW-2 + ground, PVC jacket</t>
        </is>
      </c>
      <c r="K1546" s="12" t="inlineStr">
        <is>
          <t>LV|3/C+G|10</t>
        </is>
      </c>
      <c r="L1546" s="12" t="inlineStr">
        <is>
          <t>3/C+G</t>
        </is>
      </c>
      <c r="M1546" s="12" t="inlineStr">
        <is>
          <t>10</t>
        </is>
      </c>
      <c r="N1546" s="12" t="n">
        <v>1</v>
      </c>
      <c r="O1546" s="12" t="n">
        <v>1</v>
      </c>
      <c r="P1546" s="12" t="n">
        <v>480</v>
      </c>
      <c r="Q1546" s="12" t="n">
        <v>2.5</v>
      </c>
      <c r="R1546" s="12" t="n">
        <v>3.5</v>
      </c>
      <c r="S1546" s="12" t="inlineStr">
        <is>
          <t>Tray</t>
        </is>
      </c>
      <c r="T1546" s="16" t="n">
        <v>0</v>
      </c>
      <c r="U1546" s="16" t="n">
        <v>87</v>
      </c>
      <c r="V1546" s="16">
        <f>ROUNDUP((T1546+U1546+2*'Read Me'!$B$13)*(1+'Read Me'!$B$12),-1)</f>
        <v/>
      </c>
      <c r="W1546" s="16">
        <f>V1546*N1546*O1546</f>
        <v/>
      </c>
      <c r="X1546" s="12">
        <f>IF(LEFT(I1546,2)="MV",2*N1546*IF(L1546="1/C",O1546,1),0)</f>
        <v/>
      </c>
      <c r="Y1546" s="12">
        <f>IF(OR(LEFT(K1546,4)="LVAX",LEFT(K1546,6)="MV15AX",LEFT(K1546,4)="CTAX",LEFT(K1546,2)="W|"),2*N1546*O1546,0)</f>
        <v/>
      </c>
      <c r="Z1546" s="12" t="inlineStr">
        <is>
          <t>VD 0.1 %</t>
        </is>
      </c>
      <c r="AA1546" s="12">
        <f>N1546*O1546</f>
        <v/>
      </c>
    </row>
    <row r="1547">
      <c r="A1547" s="12" t="inlineStr">
        <is>
          <t>A-P-0180</t>
        </is>
      </c>
      <c r="B1547" s="12" t="inlineStr">
        <is>
          <t>A</t>
        </is>
      </c>
      <c r="C1547" s="12" t="inlineStr">
        <is>
          <t>Power block</t>
        </is>
      </c>
      <c r="D1547" s="12" t="inlineStr">
        <is>
          <t>MOV 14: power</t>
        </is>
      </c>
      <c r="E1547" s="12" t="inlineStr">
        <is>
          <t>R2A</t>
        </is>
      </c>
      <c r="F1547" s="12" t="inlineStr">
        <is>
          <t>R2A: unit / HRSG electrical e-house (32 x 40 ft)</t>
        </is>
      </c>
      <c r="G1547" s="12" t="inlineStr">
        <is>
          <t>HRSG-1</t>
        </is>
      </c>
      <c r="H1547" s="12" t="inlineStr">
        <is>
          <t>HRSG 1 + SCR (3P reheat, horizontal)</t>
        </is>
      </c>
      <c r="I1547" s="12" t="inlineStr">
        <is>
          <t>LV 600 V</t>
        </is>
      </c>
      <c r="J1547" s="12" t="inlineStr">
        <is>
          <t>Type TC-ER 600 V 3/C Cu XHHW-2 + ground, PVC jacket</t>
        </is>
      </c>
      <c r="K1547" s="12" t="inlineStr">
        <is>
          <t>LV|3/C+G|10</t>
        </is>
      </c>
      <c r="L1547" s="12" t="inlineStr">
        <is>
          <t>3/C+G</t>
        </is>
      </c>
      <c r="M1547" s="12" t="inlineStr">
        <is>
          <t>10</t>
        </is>
      </c>
      <c r="N1547" s="12" t="n">
        <v>1</v>
      </c>
      <c r="O1547" s="12" t="n">
        <v>1</v>
      </c>
      <c r="P1547" s="12" t="n">
        <v>480</v>
      </c>
      <c r="Q1547" s="12" t="n">
        <v>2.5</v>
      </c>
      <c r="R1547" s="12" t="n">
        <v>3.5</v>
      </c>
      <c r="S1547" s="12" t="inlineStr">
        <is>
          <t>Tray</t>
        </is>
      </c>
      <c r="T1547" s="16" t="n">
        <v>0</v>
      </c>
      <c r="U1547" s="16" t="n">
        <v>87</v>
      </c>
      <c r="V1547" s="16">
        <f>ROUNDUP((T1547+U1547+2*'Read Me'!$B$13)*(1+'Read Me'!$B$12),-1)</f>
        <v/>
      </c>
      <c r="W1547" s="16">
        <f>V1547*N1547*O1547</f>
        <v/>
      </c>
      <c r="X1547" s="12">
        <f>IF(LEFT(I1547,2)="MV",2*N1547*IF(L1547="1/C",O1547,1),0)</f>
        <v/>
      </c>
      <c r="Y1547" s="12">
        <f>IF(OR(LEFT(K1547,4)="LVAX",LEFT(K1547,6)="MV15AX",LEFT(K1547,4)="CTAX",LEFT(K1547,2)="W|"),2*N1547*O1547,0)</f>
        <v/>
      </c>
      <c r="Z1547" s="12" t="inlineStr">
        <is>
          <t>VD 0.1 %</t>
        </is>
      </c>
      <c r="AA1547" s="12">
        <f>N1547*O1547</f>
        <v/>
      </c>
    </row>
    <row r="1548">
      <c r="A1548" s="12" t="inlineStr">
        <is>
          <t>A-P-0181</t>
        </is>
      </c>
      <c r="B1548" s="12" t="inlineStr">
        <is>
          <t>A</t>
        </is>
      </c>
      <c r="C1548" s="12" t="inlineStr">
        <is>
          <t>Power block</t>
        </is>
      </c>
      <c r="D1548" s="12" t="inlineStr">
        <is>
          <t>MOV 15: power</t>
        </is>
      </c>
      <c r="E1548" s="12" t="inlineStr">
        <is>
          <t>R2A</t>
        </is>
      </c>
      <c r="F1548" s="12" t="inlineStr">
        <is>
          <t>R2A: unit / HRSG electrical e-house (32 x 40 ft)</t>
        </is>
      </c>
      <c r="G1548" s="12" t="inlineStr">
        <is>
          <t>HRSG-1</t>
        </is>
      </c>
      <c r="H1548" s="12" t="inlineStr">
        <is>
          <t>HRSG 1 + SCR (3P reheat, horizontal)</t>
        </is>
      </c>
      <c r="I1548" s="12" t="inlineStr">
        <is>
          <t>LV 600 V</t>
        </is>
      </c>
      <c r="J1548" s="12" t="inlineStr">
        <is>
          <t>Type TC-ER 600 V 3/C Cu XHHW-2 + ground, PVC jacket</t>
        </is>
      </c>
      <c r="K1548" s="12" t="inlineStr">
        <is>
          <t>LV|3/C+G|10</t>
        </is>
      </c>
      <c r="L1548" s="12" t="inlineStr">
        <is>
          <t>3/C+G</t>
        </is>
      </c>
      <c r="M1548" s="12" t="inlineStr">
        <is>
          <t>10</t>
        </is>
      </c>
      <c r="N1548" s="12" t="n">
        <v>1</v>
      </c>
      <c r="O1548" s="12" t="n">
        <v>1</v>
      </c>
      <c r="P1548" s="12" t="n">
        <v>480</v>
      </c>
      <c r="Q1548" s="12" t="n">
        <v>2.5</v>
      </c>
      <c r="R1548" s="12" t="n">
        <v>3.5</v>
      </c>
      <c r="S1548" s="12" t="inlineStr">
        <is>
          <t>Tray</t>
        </is>
      </c>
      <c r="T1548" s="16" t="n">
        <v>0</v>
      </c>
      <c r="U1548" s="16" t="n">
        <v>87</v>
      </c>
      <c r="V1548" s="16">
        <f>ROUNDUP((T1548+U1548+2*'Read Me'!$B$13)*(1+'Read Me'!$B$12),-1)</f>
        <v/>
      </c>
      <c r="W1548" s="16">
        <f>V1548*N1548*O1548</f>
        <v/>
      </c>
      <c r="X1548" s="12">
        <f>IF(LEFT(I1548,2)="MV",2*N1548*IF(L1548="1/C",O1548,1),0)</f>
        <v/>
      </c>
      <c r="Y1548" s="12">
        <f>IF(OR(LEFT(K1548,4)="LVAX",LEFT(K1548,6)="MV15AX",LEFT(K1548,4)="CTAX",LEFT(K1548,2)="W|"),2*N1548*O1548,0)</f>
        <v/>
      </c>
      <c r="Z1548" s="12" t="inlineStr">
        <is>
          <t>VD 0.1 %</t>
        </is>
      </c>
      <c r="AA1548" s="12">
        <f>N1548*O1548</f>
        <v/>
      </c>
    </row>
    <row r="1549">
      <c r="A1549" s="12" t="inlineStr">
        <is>
          <t>A-P-0182</t>
        </is>
      </c>
      <c r="B1549" s="12" t="inlineStr">
        <is>
          <t>A</t>
        </is>
      </c>
      <c r="C1549" s="12" t="inlineStr">
        <is>
          <t>Power block</t>
        </is>
      </c>
      <c r="D1549" s="12" t="inlineStr">
        <is>
          <t>MOV 16: power</t>
        </is>
      </c>
      <c r="E1549" s="12" t="inlineStr">
        <is>
          <t>R2A</t>
        </is>
      </c>
      <c r="F1549" s="12" t="inlineStr">
        <is>
          <t>R2A: unit / HRSG electrical e-house (32 x 40 ft)</t>
        </is>
      </c>
      <c r="G1549" s="12" t="inlineStr">
        <is>
          <t>HRSG-1</t>
        </is>
      </c>
      <c r="H1549" s="12" t="inlineStr">
        <is>
          <t>HRSG 1 + SCR (3P reheat, horizontal)</t>
        </is>
      </c>
      <c r="I1549" s="12" t="inlineStr">
        <is>
          <t>LV 600 V</t>
        </is>
      </c>
      <c r="J1549" s="12" t="inlineStr">
        <is>
          <t>Type TC-ER 600 V 3/C Cu XHHW-2 + ground, PVC jacket</t>
        </is>
      </c>
      <c r="K1549" s="12" t="inlineStr">
        <is>
          <t>LV|3/C+G|10</t>
        </is>
      </c>
      <c r="L1549" s="12" t="inlineStr">
        <is>
          <t>3/C+G</t>
        </is>
      </c>
      <c r="M1549" s="12" t="inlineStr">
        <is>
          <t>10</t>
        </is>
      </c>
      <c r="N1549" s="12" t="n">
        <v>1</v>
      </c>
      <c r="O1549" s="12" t="n">
        <v>1</v>
      </c>
      <c r="P1549" s="12" t="n">
        <v>480</v>
      </c>
      <c r="Q1549" s="12" t="n">
        <v>2.5</v>
      </c>
      <c r="R1549" s="12" t="n">
        <v>3.5</v>
      </c>
      <c r="S1549" s="12" t="inlineStr">
        <is>
          <t>Tray</t>
        </is>
      </c>
      <c r="T1549" s="16" t="n">
        <v>0</v>
      </c>
      <c r="U1549" s="16" t="n">
        <v>87</v>
      </c>
      <c r="V1549" s="16">
        <f>ROUNDUP((T1549+U1549+2*'Read Me'!$B$13)*(1+'Read Me'!$B$12),-1)</f>
        <v/>
      </c>
      <c r="W1549" s="16">
        <f>V1549*N1549*O1549</f>
        <v/>
      </c>
      <c r="X1549" s="12">
        <f>IF(LEFT(I1549,2)="MV",2*N1549*IF(L1549="1/C",O1549,1),0)</f>
        <v/>
      </c>
      <c r="Y1549" s="12">
        <f>IF(OR(LEFT(K1549,4)="LVAX",LEFT(K1549,6)="MV15AX",LEFT(K1549,4)="CTAX",LEFT(K1549,2)="W|"),2*N1549*O1549,0)</f>
        <v/>
      </c>
      <c r="Z1549" s="12" t="inlineStr">
        <is>
          <t>VD 0.1 %</t>
        </is>
      </c>
      <c r="AA1549" s="12">
        <f>N1549*O1549</f>
        <v/>
      </c>
    </row>
    <row r="1550">
      <c r="A1550" s="12" t="inlineStr">
        <is>
          <t>A-P-0183</t>
        </is>
      </c>
      <c r="B1550" s="12" t="inlineStr">
        <is>
          <t>A</t>
        </is>
      </c>
      <c r="C1550" s="12" t="inlineStr">
        <is>
          <t>Power block</t>
        </is>
      </c>
      <c r="D1550" s="12" t="inlineStr">
        <is>
          <t>MOV 17: power</t>
        </is>
      </c>
      <c r="E1550" s="12" t="inlineStr">
        <is>
          <t>R2A</t>
        </is>
      </c>
      <c r="F1550" s="12" t="inlineStr">
        <is>
          <t>R2A: unit / HRSG electrical e-house (32 x 40 ft)</t>
        </is>
      </c>
      <c r="G1550" s="12" t="inlineStr">
        <is>
          <t>HRSG-1</t>
        </is>
      </c>
      <c r="H1550" s="12" t="inlineStr">
        <is>
          <t>HRSG 1 + SCR (3P reheat, horizontal)</t>
        </is>
      </c>
      <c r="I1550" s="12" t="inlineStr">
        <is>
          <t>LV 600 V</t>
        </is>
      </c>
      <c r="J1550" s="12" t="inlineStr">
        <is>
          <t>Type TC-ER 600 V 3/C Cu XHHW-2 + ground, PVC jacket</t>
        </is>
      </c>
      <c r="K1550" s="12" t="inlineStr">
        <is>
          <t>LV|3/C+G|10</t>
        </is>
      </c>
      <c r="L1550" s="12" t="inlineStr">
        <is>
          <t>3/C+G</t>
        </is>
      </c>
      <c r="M1550" s="12" t="inlineStr">
        <is>
          <t>10</t>
        </is>
      </c>
      <c r="N1550" s="12" t="n">
        <v>1</v>
      </c>
      <c r="O1550" s="12" t="n">
        <v>1</v>
      </c>
      <c r="P1550" s="12" t="n">
        <v>480</v>
      </c>
      <c r="Q1550" s="12" t="n">
        <v>2.5</v>
      </c>
      <c r="R1550" s="12" t="n">
        <v>3.5</v>
      </c>
      <c r="S1550" s="12" t="inlineStr">
        <is>
          <t>Tray</t>
        </is>
      </c>
      <c r="T1550" s="16" t="n">
        <v>0</v>
      </c>
      <c r="U1550" s="16" t="n">
        <v>87</v>
      </c>
      <c r="V1550" s="16">
        <f>ROUNDUP((T1550+U1550+2*'Read Me'!$B$13)*(1+'Read Me'!$B$12),-1)</f>
        <v/>
      </c>
      <c r="W1550" s="16">
        <f>V1550*N1550*O1550</f>
        <v/>
      </c>
      <c r="X1550" s="12">
        <f>IF(LEFT(I1550,2)="MV",2*N1550*IF(L1550="1/C",O1550,1),0)</f>
        <v/>
      </c>
      <c r="Y1550" s="12">
        <f>IF(OR(LEFT(K1550,4)="LVAX",LEFT(K1550,6)="MV15AX",LEFT(K1550,4)="CTAX",LEFT(K1550,2)="W|"),2*N1550*O1550,0)</f>
        <v/>
      </c>
      <c r="Z1550" s="12" t="inlineStr">
        <is>
          <t>VD 0.1 %</t>
        </is>
      </c>
      <c r="AA1550" s="12">
        <f>N1550*O1550</f>
        <v/>
      </c>
    </row>
    <row r="1551">
      <c r="A1551" s="12" t="inlineStr">
        <is>
          <t>A-P-0184</t>
        </is>
      </c>
      <c r="B1551" s="12" t="inlineStr">
        <is>
          <t>A</t>
        </is>
      </c>
      <c r="C1551" s="12" t="inlineStr">
        <is>
          <t>Power block</t>
        </is>
      </c>
      <c r="D1551" s="12" t="inlineStr">
        <is>
          <t>MOV 18: power</t>
        </is>
      </c>
      <c r="E1551" s="12" t="inlineStr">
        <is>
          <t>R2A</t>
        </is>
      </c>
      <c r="F1551" s="12" t="inlineStr">
        <is>
          <t>R2A: unit / HRSG electrical e-house (32 x 40 ft)</t>
        </is>
      </c>
      <c r="G1551" s="12" t="inlineStr">
        <is>
          <t>HRSG-1</t>
        </is>
      </c>
      <c r="H1551" s="12" t="inlineStr">
        <is>
          <t>HRSG 1 + SCR (3P reheat, horizontal)</t>
        </is>
      </c>
      <c r="I1551" s="12" t="inlineStr">
        <is>
          <t>LV 600 V</t>
        </is>
      </c>
      <c r="J1551" s="12" t="inlineStr">
        <is>
          <t>Type TC-ER 600 V 3/C Cu XHHW-2 + ground, PVC jacket</t>
        </is>
      </c>
      <c r="K1551" s="12" t="inlineStr">
        <is>
          <t>LV|3/C+G|10</t>
        </is>
      </c>
      <c r="L1551" s="12" t="inlineStr">
        <is>
          <t>3/C+G</t>
        </is>
      </c>
      <c r="M1551" s="12" t="inlineStr">
        <is>
          <t>10</t>
        </is>
      </c>
      <c r="N1551" s="12" t="n">
        <v>1</v>
      </c>
      <c r="O1551" s="12" t="n">
        <v>1</v>
      </c>
      <c r="P1551" s="12" t="n">
        <v>480</v>
      </c>
      <c r="Q1551" s="12" t="n">
        <v>2.5</v>
      </c>
      <c r="R1551" s="12" t="n">
        <v>3.5</v>
      </c>
      <c r="S1551" s="12" t="inlineStr">
        <is>
          <t>Tray</t>
        </is>
      </c>
      <c r="T1551" s="16" t="n">
        <v>0</v>
      </c>
      <c r="U1551" s="16" t="n">
        <v>87</v>
      </c>
      <c r="V1551" s="16">
        <f>ROUNDUP((T1551+U1551+2*'Read Me'!$B$13)*(1+'Read Me'!$B$12),-1)</f>
        <v/>
      </c>
      <c r="W1551" s="16">
        <f>V1551*N1551*O1551</f>
        <v/>
      </c>
      <c r="X1551" s="12">
        <f>IF(LEFT(I1551,2)="MV",2*N1551*IF(L1551="1/C",O1551,1),0)</f>
        <v/>
      </c>
      <c r="Y1551" s="12">
        <f>IF(OR(LEFT(K1551,4)="LVAX",LEFT(K1551,6)="MV15AX",LEFT(K1551,4)="CTAX",LEFT(K1551,2)="W|"),2*N1551*O1551,0)</f>
        <v/>
      </c>
      <c r="Z1551" s="12" t="inlineStr">
        <is>
          <t>VD 0.1 %</t>
        </is>
      </c>
      <c r="AA1551" s="12">
        <f>N1551*O1551</f>
        <v/>
      </c>
    </row>
    <row r="1552">
      <c r="A1552" s="12" t="inlineStr">
        <is>
          <t>A-P-0185</t>
        </is>
      </c>
      <c r="B1552" s="12" t="inlineStr">
        <is>
          <t>A</t>
        </is>
      </c>
      <c r="C1552" s="12" t="inlineStr">
        <is>
          <t>Power block</t>
        </is>
      </c>
      <c r="D1552" s="12" t="inlineStr">
        <is>
          <t>MOV 19: power</t>
        </is>
      </c>
      <c r="E1552" s="12" t="inlineStr">
        <is>
          <t>R2A</t>
        </is>
      </c>
      <c r="F1552" s="12" t="inlineStr">
        <is>
          <t>R2A: unit / HRSG electrical e-house (32 x 40 ft)</t>
        </is>
      </c>
      <c r="G1552" s="12" t="inlineStr">
        <is>
          <t>HRSG-1</t>
        </is>
      </c>
      <c r="H1552" s="12" t="inlineStr">
        <is>
          <t>HRSG 1 + SCR (3P reheat, horizontal)</t>
        </is>
      </c>
      <c r="I1552" s="12" t="inlineStr">
        <is>
          <t>LV 600 V</t>
        </is>
      </c>
      <c r="J1552" s="12" t="inlineStr">
        <is>
          <t>Type TC-ER 600 V 3/C Cu XHHW-2 + ground, PVC jacket</t>
        </is>
      </c>
      <c r="K1552" s="12" t="inlineStr">
        <is>
          <t>LV|3/C+G|10</t>
        </is>
      </c>
      <c r="L1552" s="12" t="inlineStr">
        <is>
          <t>3/C+G</t>
        </is>
      </c>
      <c r="M1552" s="12" t="inlineStr">
        <is>
          <t>10</t>
        </is>
      </c>
      <c r="N1552" s="12" t="n">
        <v>1</v>
      </c>
      <c r="O1552" s="12" t="n">
        <v>1</v>
      </c>
      <c r="P1552" s="12" t="n">
        <v>480</v>
      </c>
      <c r="Q1552" s="12" t="n">
        <v>2.5</v>
      </c>
      <c r="R1552" s="12" t="n">
        <v>3.5</v>
      </c>
      <c r="S1552" s="12" t="inlineStr">
        <is>
          <t>Tray</t>
        </is>
      </c>
      <c r="T1552" s="16" t="n">
        <v>0</v>
      </c>
      <c r="U1552" s="16" t="n">
        <v>87</v>
      </c>
      <c r="V1552" s="16">
        <f>ROUNDUP((T1552+U1552+2*'Read Me'!$B$13)*(1+'Read Me'!$B$12),-1)</f>
        <v/>
      </c>
      <c r="W1552" s="16">
        <f>V1552*N1552*O1552</f>
        <v/>
      </c>
      <c r="X1552" s="12">
        <f>IF(LEFT(I1552,2)="MV",2*N1552*IF(L1552="1/C",O1552,1),0)</f>
        <v/>
      </c>
      <c r="Y1552" s="12">
        <f>IF(OR(LEFT(K1552,4)="LVAX",LEFT(K1552,6)="MV15AX",LEFT(K1552,4)="CTAX",LEFT(K1552,2)="W|"),2*N1552*O1552,0)</f>
        <v/>
      </c>
      <c r="Z1552" s="12" t="inlineStr">
        <is>
          <t>VD 0.1 %</t>
        </is>
      </c>
      <c r="AA1552" s="12">
        <f>N1552*O1552</f>
        <v/>
      </c>
    </row>
    <row r="1553">
      <c r="A1553" s="12" t="inlineStr">
        <is>
          <t>A-P-0186</t>
        </is>
      </c>
      <c r="B1553" s="12" t="inlineStr">
        <is>
          <t>A</t>
        </is>
      </c>
      <c r="C1553" s="12" t="inlineStr">
        <is>
          <t>Power block</t>
        </is>
      </c>
      <c r="D1553" s="12" t="inlineStr">
        <is>
          <t>MOV 20: power</t>
        </is>
      </c>
      <c r="E1553" s="12" t="inlineStr">
        <is>
          <t>R2A</t>
        </is>
      </c>
      <c r="F1553" s="12" t="inlineStr">
        <is>
          <t>R2A: unit / HRSG electrical e-house (32 x 40 ft)</t>
        </is>
      </c>
      <c r="G1553" s="12" t="inlineStr">
        <is>
          <t>HRSG-1</t>
        </is>
      </c>
      <c r="H1553" s="12" t="inlineStr">
        <is>
          <t>HRSG 1 + SCR (3P reheat, horizontal)</t>
        </is>
      </c>
      <c r="I1553" s="12" t="inlineStr">
        <is>
          <t>LV 600 V</t>
        </is>
      </c>
      <c r="J1553" s="12" t="inlineStr">
        <is>
          <t>Type TC-ER 600 V 3/C Cu XHHW-2 + ground, PVC jacket</t>
        </is>
      </c>
      <c r="K1553" s="12" t="inlineStr">
        <is>
          <t>LV|3/C+G|10</t>
        </is>
      </c>
      <c r="L1553" s="12" t="inlineStr">
        <is>
          <t>3/C+G</t>
        </is>
      </c>
      <c r="M1553" s="12" t="inlineStr">
        <is>
          <t>10</t>
        </is>
      </c>
      <c r="N1553" s="12" t="n">
        <v>1</v>
      </c>
      <c r="O1553" s="12" t="n">
        <v>1</v>
      </c>
      <c r="P1553" s="12" t="n">
        <v>480</v>
      </c>
      <c r="Q1553" s="12" t="n">
        <v>2.5</v>
      </c>
      <c r="R1553" s="12" t="n">
        <v>3.5</v>
      </c>
      <c r="S1553" s="12" t="inlineStr">
        <is>
          <t>Tray</t>
        </is>
      </c>
      <c r="T1553" s="16" t="n">
        <v>0</v>
      </c>
      <c r="U1553" s="16" t="n">
        <v>87</v>
      </c>
      <c r="V1553" s="16">
        <f>ROUNDUP((T1553+U1553+2*'Read Me'!$B$13)*(1+'Read Me'!$B$12),-1)</f>
        <v/>
      </c>
      <c r="W1553" s="16">
        <f>V1553*N1553*O1553</f>
        <v/>
      </c>
      <c r="X1553" s="12">
        <f>IF(LEFT(I1553,2)="MV",2*N1553*IF(L1553="1/C",O1553,1),0)</f>
        <v/>
      </c>
      <c r="Y1553" s="12">
        <f>IF(OR(LEFT(K1553,4)="LVAX",LEFT(K1553,6)="MV15AX",LEFT(K1553,4)="CTAX",LEFT(K1553,2)="W|"),2*N1553*O1553,0)</f>
        <v/>
      </c>
      <c r="Z1553" s="12" t="inlineStr">
        <is>
          <t>VD 0.1 %</t>
        </is>
      </c>
      <c r="AA1553" s="12">
        <f>N1553*O1553</f>
        <v/>
      </c>
    </row>
    <row r="1554">
      <c r="A1554" s="12" t="inlineStr">
        <is>
          <t>A-P-0187</t>
        </is>
      </c>
      <c r="B1554" s="12" t="inlineStr">
        <is>
          <t>A</t>
        </is>
      </c>
      <c r="C1554" s="12" t="inlineStr">
        <is>
          <t>Power block</t>
        </is>
      </c>
      <c r="D1554" s="12" t="inlineStr">
        <is>
          <t>MOV 21: power</t>
        </is>
      </c>
      <c r="E1554" s="12" t="inlineStr">
        <is>
          <t>R2A</t>
        </is>
      </c>
      <c r="F1554" s="12" t="inlineStr">
        <is>
          <t>R2A: unit / HRSG electrical e-house (32 x 40 ft)</t>
        </is>
      </c>
      <c r="G1554" s="12" t="inlineStr">
        <is>
          <t>HRSG-1</t>
        </is>
      </c>
      <c r="H1554" s="12" t="inlineStr">
        <is>
          <t>HRSG 1 + SCR (3P reheat, horizontal)</t>
        </is>
      </c>
      <c r="I1554" s="12" t="inlineStr">
        <is>
          <t>LV 600 V</t>
        </is>
      </c>
      <c r="J1554" s="12" t="inlineStr">
        <is>
          <t>Type TC-ER 600 V 3/C Cu XHHW-2 + ground, PVC jacket</t>
        </is>
      </c>
      <c r="K1554" s="12" t="inlineStr">
        <is>
          <t>LV|3/C+G|10</t>
        </is>
      </c>
      <c r="L1554" s="12" t="inlineStr">
        <is>
          <t>3/C+G</t>
        </is>
      </c>
      <c r="M1554" s="12" t="inlineStr">
        <is>
          <t>10</t>
        </is>
      </c>
      <c r="N1554" s="12" t="n">
        <v>1</v>
      </c>
      <c r="O1554" s="12" t="n">
        <v>1</v>
      </c>
      <c r="P1554" s="12" t="n">
        <v>480</v>
      </c>
      <c r="Q1554" s="12" t="n">
        <v>2.5</v>
      </c>
      <c r="R1554" s="12" t="n">
        <v>3.5</v>
      </c>
      <c r="S1554" s="12" t="inlineStr">
        <is>
          <t>Tray</t>
        </is>
      </c>
      <c r="T1554" s="16" t="n">
        <v>0</v>
      </c>
      <c r="U1554" s="16" t="n">
        <v>87</v>
      </c>
      <c r="V1554" s="16">
        <f>ROUNDUP((T1554+U1554+2*'Read Me'!$B$13)*(1+'Read Me'!$B$12),-1)</f>
        <v/>
      </c>
      <c r="W1554" s="16">
        <f>V1554*N1554*O1554</f>
        <v/>
      </c>
      <c r="X1554" s="12">
        <f>IF(LEFT(I1554,2)="MV",2*N1554*IF(L1554="1/C",O1554,1),0)</f>
        <v/>
      </c>
      <c r="Y1554" s="12">
        <f>IF(OR(LEFT(K1554,4)="LVAX",LEFT(K1554,6)="MV15AX",LEFT(K1554,4)="CTAX",LEFT(K1554,2)="W|"),2*N1554*O1554,0)</f>
        <v/>
      </c>
      <c r="Z1554" s="12" t="inlineStr">
        <is>
          <t>VD 0.1 %</t>
        </is>
      </c>
      <c r="AA1554" s="12">
        <f>N1554*O1554</f>
        <v/>
      </c>
    </row>
    <row r="1555">
      <c r="A1555" s="12" t="inlineStr">
        <is>
          <t>A-P-0188</t>
        </is>
      </c>
      <c r="B1555" s="12" t="inlineStr">
        <is>
          <t>A</t>
        </is>
      </c>
      <c r="C1555" s="12" t="inlineStr">
        <is>
          <t>Power block</t>
        </is>
      </c>
      <c r="D1555" s="12" t="inlineStr">
        <is>
          <t>MOV 22: power</t>
        </is>
      </c>
      <c r="E1555" s="12" t="inlineStr">
        <is>
          <t>R2A</t>
        </is>
      </c>
      <c r="F1555" s="12" t="inlineStr">
        <is>
          <t>R2A: unit / HRSG electrical e-house (32 x 40 ft)</t>
        </is>
      </c>
      <c r="G1555" s="12" t="inlineStr">
        <is>
          <t>HRSG-1</t>
        </is>
      </c>
      <c r="H1555" s="12" t="inlineStr">
        <is>
          <t>HRSG 1 + SCR (3P reheat, horizontal)</t>
        </is>
      </c>
      <c r="I1555" s="12" t="inlineStr">
        <is>
          <t>LV 600 V</t>
        </is>
      </c>
      <c r="J1555" s="12" t="inlineStr">
        <is>
          <t>Type TC-ER 600 V 3/C Cu XHHW-2 + ground, PVC jacket</t>
        </is>
      </c>
      <c r="K1555" s="12" t="inlineStr">
        <is>
          <t>LV|3/C+G|10</t>
        </is>
      </c>
      <c r="L1555" s="12" t="inlineStr">
        <is>
          <t>3/C+G</t>
        </is>
      </c>
      <c r="M1555" s="12" t="inlineStr">
        <is>
          <t>10</t>
        </is>
      </c>
      <c r="N1555" s="12" t="n">
        <v>1</v>
      </c>
      <c r="O1555" s="12" t="n">
        <v>1</v>
      </c>
      <c r="P1555" s="12" t="n">
        <v>480</v>
      </c>
      <c r="Q1555" s="12" t="n">
        <v>2.5</v>
      </c>
      <c r="R1555" s="12" t="n">
        <v>3.5</v>
      </c>
      <c r="S1555" s="12" t="inlineStr">
        <is>
          <t>Tray</t>
        </is>
      </c>
      <c r="T1555" s="16" t="n">
        <v>0</v>
      </c>
      <c r="U1555" s="16" t="n">
        <v>87</v>
      </c>
      <c r="V1555" s="16">
        <f>ROUNDUP((T1555+U1555+2*'Read Me'!$B$13)*(1+'Read Me'!$B$12),-1)</f>
        <v/>
      </c>
      <c r="W1555" s="16">
        <f>V1555*N1555*O1555</f>
        <v/>
      </c>
      <c r="X1555" s="12">
        <f>IF(LEFT(I1555,2)="MV",2*N1555*IF(L1555="1/C",O1555,1),0)</f>
        <v/>
      </c>
      <c r="Y1555" s="12">
        <f>IF(OR(LEFT(K1555,4)="LVAX",LEFT(K1555,6)="MV15AX",LEFT(K1555,4)="CTAX",LEFT(K1555,2)="W|"),2*N1555*O1555,0)</f>
        <v/>
      </c>
      <c r="Z1555" s="12" t="inlineStr">
        <is>
          <t>VD 0.1 %</t>
        </is>
      </c>
      <c r="AA1555" s="12">
        <f>N1555*O1555</f>
        <v/>
      </c>
    </row>
    <row r="1556">
      <c r="A1556" s="12" t="inlineStr">
        <is>
          <t>A-P-0189</t>
        </is>
      </c>
      <c r="B1556" s="12" t="inlineStr">
        <is>
          <t>A</t>
        </is>
      </c>
      <c r="C1556" s="12" t="inlineStr">
        <is>
          <t>Power block</t>
        </is>
      </c>
      <c r="D1556" s="12" t="inlineStr">
        <is>
          <t>MOV 23: power</t>
        </is>
      </c>
      <c r="E1556" s="12" t="inlineStr">
        <is>
          <t>R2A</t>
        </is>
      </c>
      <c r="F1556" s="12" t="inlineStr">
        <is>
          <t>R2A: unit / HRSG electrical e-house (32 x 40 ft)</t>
        </is>
      </c>
      <c r="G1556" s="12" t="inlineStr">
        <is>
          <t>HRSG-1</t>
        </is>
      </c>
      <c r="H1556" s="12" t="inlineStr">
        <is>
          <t>HRSG 1 + SCR (3P reheat, horizontal)</t>
        </is>
      </c>
      <c r="I1556" s="12" t="inlineStr">
        <is>
          <t>LV 600 V</t>
        </is>
      </c>
      <c r="J1556" s="12" t="inlineStr">
        <is>
          <t>Type TC-ER 600 V 3/C Cu XHHW-2 + ground, PVC jacket</t>
        </is>
      </c>
      <c r="K1556" s="12" t="inlineStr">
        <is>
          <t>LV|3/C+G|10</t>
        </is>
      </c>
      <c r="L1556" s="12" t="inlineStr">
        <is>
          <t>3/C+G</t>
        </is>
      </c>
      <c r="M1556" s="12" t="inlineStr">
        <is>
          <t>10</t>
        </is>
      </c>
      <c r="N1556" s="12" t="n">
        <v>1</v>
      </c>
      <c r="O1556" s="12" t="n">
        <v>1</v>
      </c>
      <c r="P1556" s="12" t="n">
        <v>480</v>
      </c>
      <c r="Q1556" s="12" t="n">
        <v>2.5</v>
      </c>
      <c r="R1556" s="12" t="n">
        <v>3.5</v>
      </c>
      <c r="S1556" s="12" t="inlineStr">
        <is>
          <t>Tray</t>
        </is>
      </c>
      <c r="T1556" s="16" t="n">
        <v>0</v>
      </c>
      <c r="U1556" s="16" t="n">
        <v>87</v>
      </c>
      <c r="V1556" s="16">
        <f>ROUNDUP((T1556+U1556+2*'Read Me'!$B$13)*(1+'Read Me'!$B$12),-1)</f>
        <v/>
      </c>
      <c r="W1556" s="16">
        <f>V1556*N1556*O1556</f>
        <v/>
      </c>
      <c r="X1556" s="12">
        <f>IF(LEFT(I1556,2)="MV",2*N1556*IF(L1556="1/C",O1556,1),0)</f>
        <v/>
      </c>
      <c r="Y1556" s="12">
        <f>IF(OR(LEFT(K1556,4)="LVAX",LEFT(K1556,6)="MV15AX",LEFT(K1556,4)="CTAX",LEFT(K1556,2)="W|"),2*N1556*O1556,0)</f>
        <v/>
      </c>
      <c r="Z1556" s="12" t="inlineStr">
        <is>
          <t>VD 0.1 %</t>
        </is>
      </c>
      <c r="AA1556" s="12">
        <f>N1556*O1556</f>
        <v/>
      </c>
    </row>
    <row r="1557">
      <c r="A1557" s="12" t="inlineStr">
        <is>
          <t>A-P-0190</t>
        </is>
      </c>
      <c r="B1557" s="12" t="inlineStr">
        <is>
          <t>A</t>
        </is>
      </c>
      <c r="C1557" s="12" t="inlineStr">
        <is>
          <t>Power block</t>
        </is>
      </c>
      <c r="D1557" s="12" t="inlineStr">
        <is>
          <t>MOV 24: power</t>
        </is>
      </c>
      <c r="E1557" s="12" t="inlineStr">
        <is>
          <t>R2A</t>
        </is>
      </c>
      <c r="F1557" s="12" t="inlineStr">
        <is>
          <t>R2A: unit / HRSG electrical e-house (32 x 40 ft)</t>
        </is>
      </c>
      <c r="G1557" s="12" t="inlineStr">
        <is>
          <t>HRSG-1</t>
        </is>
      </c>
      <c r="H1557" s="12" t="inlineStr">
        <is>
          <t>HRSG 1 + SCR (3P reheat, horizontal)</t>
        </is>
      </c>
      <c r="I1557" s="12" t="inlineStr">
        <is>
          <t>LV 600 V</t>
        </is>
      </c>
      <c r="J1557" s="12" t="inlineStr">
        <is>
          <t>Type TC-ER 600 V 3/C Cu XHHW-2 + ground, PVC jacket</t>
        </is>
      </c>
      <c r="K1557" s="12" t="inlineStr">
        <is>
          <t>LV|3/C+G|10</t>
        </is>
      </c>
      <c r="L1557" s="12" t="inlineStr">
        <is>
          <t>3/C+G</t>
        </is>
      </c>
      <c r="M1557" s="12" t="inlineStr">
        <is>
          <t>10</t>
        </is>
      </c>
      <c r="N1557" s="12" t="n">
        <v>1</v>
      </c>
      <c r="O1557" s="12" t="n">
        <v>1</v>
      </c>
      <c r="P1557" s="12" t="n">
        <v>480</v>
      </c>
      <c r="Q1557" s="12" t="n">
        <v>2.5</v>
      </c>
      <c r="R1557" s="12" t="n">
        <v>3.5</v>
      </c>
      <c r="S1557" s="12" t="inlineStr">
        <is>
          <t>Tray</t>
        </is>
      </c>
      <c r="T1557" s="16" t="n">
        <v>0</v>
      </c>
      <c r="U1557" s="16" t="n">
        <v>87</v>
      </c>
      <c r="V1557" s="16">
        <f>ROUNDUP((T1557+U1557+2*'Read Me'!$B$13)*(1+'Read Me'!$B$12),-1)</f>
        <v/>
      </c>
      <c r="W1557" s="16">
        <f>V1557*N1557*O1557</f>
        <v/>
      </c>
      <c r="X1557" s="12">
        <f>IF(LEFT(I1557,2)="MV",2*N1557*IF(L1557="1/C",O1557,1),0)</f>
        <v/>
      </c>
      <c r="Y1557" s="12">
        <f>IF(OR(LEFT(K1557,4)="LVAX",LEFT(K1557,6)="MV15AX",LEFT(K1557,4)="CTAX",LEFT(K1557,2)="W|"),2*N1557*O1557,0)</f>
        <v/>
      </c>
      <c r="Z1557" s="12" t="inlineStr">
        <is>
          <t>VD 0.1 %</t>
        </is>
      </c>
      <c r="AA1557" s="12">
        <f>N1557*O1557</f>
        <v/>
      </c>
    </row>
    <row r="1558">
      <c r="A1558" s="12" t="inlineStr">
        <is>
          <t>A-P-0191</t>
        </is>
      </c>
      <c r="B1558" s="12" t="inlineStr">
        <is>
          <t>A</t>
        </is>
      </c>
      <c r="C1558" s="12" t="inlineStr">
        <is>
          <t>Power block</t>
        </is>
      </c>
      <c r="D1558" s="12" t="inlineStr">
        <is>
          <t>MOV 25: power</t>
        </is>
      </c>
      <c r="E1558" s="12" t="inlineStr">
        <is>
          <t>R2A</t>
        </is>
      </c>
      <c r="F1558" s="12" t="inlineStr">
        <is>
          <t>R2A: unit / HRSG electrical e-house (32 x 40 ft)</t>
        </is>
      </c>
      <c r="G1558" s="12" t="inlineStr">
        <is>
          <t>HRSG-1</t>
        </is>
      </c>
      <c r="H1558" s="12" t="inlineStr">
        <is>
          <t>HRSG 1 + SCR (3P reheat, horizontal)</t>
        </is>
      </c>
      <c r="I1558" s="12" t="inlineStr">
        <is>
          <t>LV 600 V</t>
        </is>
      </c>
      <c r="J1558" s="12" t="inlineStr">
        <is>
          <t>Type TC-ER 600 V 3/C Cu XHHW-2 + ground, PVC jacket</t>
        </is>
      </c>
      <c r="K1558" s="12" t="inlineStr">
        <is>
          <t>LV|3/C+G|10</t>
        </is>
      </c>
      <c r="L1558" s="12" t="inlineStr">
        <is>
          <t>3/C+G</t>
        </is>
      </c>
      <c r="M1558" s="12" t="inlineStr">
        <is>
          <t>10</t>
        </is>
      </c>
      <c r="N1558" s="12" t="n">
        <v>1</v>
      </c>
      <c r="O1558" s="12" t="n">
        <v>1</v>
      </c>
      <c r="P1558" s="12" t="n">
        <v>480</v>
      </c>
      <c r="Q1558" s="12" t="n">
        <v>2.5</v>
      </c>
      <c r="R1558" s="12" t="n">
        <v>3.5</v>
      </c>
      <c r="S1558" s="12" t="inlineStr">
        <is>
          <t>Tray</t>
        </is>
      </c>
      <c r="T1558" s="16" t="n">
        <v>0</v>
      </c>
      <c r="U1558" s="16" t="n">
        <v>87</v>
      </c>
      <c r="V1558" s="16">
        <f>ROUNDUP((T1558+U1558+2*'Read Me'!$B$13)*(1+'Read Me'!$B$12),-1)</f>
        <v/>
      </c>
      <c r="W1558" s="16">
        <f>V1558*N1558*O1558</f>
        <v/>
      </c>
      <c r="X1558" s="12">
        <f>IF(LEFT(I1558,2)="MV",2*N1558*IF(L1558="1/C",O1558,1),0)</f>
        <v/>
      </c>
      <c r="Y1558" s="12">
        <f>IF(OR(LEFT(K1558,4)="LVAX",LEFT(K1558,6)="MV15AX",LEFT(K1558,4)="CTAX",LEFT(K1558,2)="W|"),2*N1558*O1558,0)</f>
        <v/>
      </c>
      <c r="Z1558" s="12" t="inlineStr">
        <is>
          <t>VD 0.1 %</t>
        </is>
      </c>
      <c r="AA1558" s="12">
        <f>N1558*O1558</f>
        <v/>
      </c>
    </row>
    <row r="1559">
      <c r="A1559" s="12" t="inlineStr">
        <is>
          <t>A-P-0192</t>
        </is>
      </c>
      <c r="B1559" s="12" t="inlineStr">
        <is>
          <t>A</t>
        </is>
      </c>
      <c r="C1559" s="12" t="inlineStr">
        <is>
          <t>Power block</t>
        </is>
      </c>
      <c r="D1559" s="12" t="inlineStr">
        <is>
          <t>MOV 26: power</t>
        </is>
      </c>
      <c r="E1559" s="12" t="inlineStr">
        <is>
          <t>R2A</t>
        </is>
      </c>
      <c r="F1559" s="12" t="inlineStr">
        <is>
          <t>R2A: unit / HRSG electrical e-house (32 x 40 ft)</t>
        </is>
      </c>
      <c r="G1559" s="12" t="inlineStr">
        <is>
          <t>HRSG-1</t>
        </is>
      </c>
      <c r="H1559" s="12" t="inlineStr">
        <is>
          <t>HRSG 1 + SCR (3P reheat, horizontal)</t>
        </is>
      </c>
      <c r="I1559" s="12" t="inlineStr">
        <is>
          <t>LV 600 V</t>
        </is>
      </c>
      <c r="J1559" s="12" t="inlineStr">
        <is>
          <t>Type TC-ER 600 V 3/C Cu XHHW-2 + ground, PVC jacket</t>
        </is>
      </c>
      <c r="K1559" s="12" t="inlineStr">
        <is>
          <t>LV|3/C+G|10</t>
        </is>
      </c>
      <c r="L1559" s="12" t="inlineStr">
        <is>
          <t>3/C+G</t>
        </is>
      </c>
      <c r="M1559" s="12" t="inlineStr">
        <is>
          <t>10</t>
        </is>
      </c>
      <c r="N1559" s="12" t="n">
        <v>1</v>
      </c>
      <c r="O1559" s="12" t="n">
        <v>1</v>
      </c>
      <c r="P1559" s="12" t="n">
        <v>480</v>
      </c>
      <c r="Q1559" s="12" t="n">
        <v>2.5</v>
      </c>
      <c r="R1559" s="12" t="n">
        <v>3.5</v>
      </c>
      <c r="S1559" s="12" t="inlineStr">
        <is>
          <t>Tray</t>
        </is>
      </c>
      <c r="T1559" s="16" t="n">
        <v>0</v>
      </c>
      <c r="U1559" s="16" t="n">
        <v>87</v>
      </c>
      <c r="V1559" s="16">
        <f>ROUNDUP((T1559+U1559+2*'Read Me'!$B$13)*(1+'Read Me'!$B$12),-1)</f>
        <v/>
      </c>
      <c r="W1559" s="16">
        <f>V1559*N1559*O1559</f>
        <v/>
      </c>
      <c r="X1559" s="12">
        <f>IF(LEFT(I1559,2)="MV",2*N1559*IF(L1559="1/C",O1559,1),0)</f>
        <v/>
      </c>
      <c r="Y1559" s="12">
        <f>IF(OR(LEFT(K1559,4)="LVAX",LEFT(K1559,6)="MV15AX",LEFT(K1559,4)="CTAX",LEFT(K1559,2)="W|"),2*N1559*O1559,0)</f>
        <v/>
      </c>
      <c r="Z1559" s="12" t="inlineStr">
        <is>
          <t>VD 0.1 %</t>
        </is>
      </c>
      <c r="AA1559" s="12">
        <f>N1559*O1559</f>
        <v/>
      </c>
    </row>
    <row r="1560">
      <c r="A1560" s="12" t="inlineStr">
        <is>
          <t>A-P-0193</t>
        </is>
      </c>
      <c r="B1560" s="12" t="inlineStr">
        <is>
          <t>A</t>
        </is>
      </c>
      <c r="C1560" s="12" t="inlineStr">
        <is>
          <t>Power block</t>
        </is>
      </c>
      <c r="D1560" s="12" t="inlineStr">
        <is>
          <t>MOV 27: power</t>
        </is>
      </c>
      <c r="E1560" s="12" t="inlineStr">
        <is>
          <t>R2A</t>
        </is>
      </c>
      <c r="F1560" s="12" t="inlineStr">
        <is>
          <t>R2A: unit / HRSG electrical e-house (32 x 40 ft)</t>
        </is>
      </c>
      <c r="G1560" s="12" t="inlineStr">
        <is>
          <t>HRSG-1</t>
        </is>
      </c>
      <c r="H1560" s="12" t="inlineStr">
        <is>
          <t>HRSG 1 + SCR (3P reheat, horizontal)</t>
        </is>
      </c>
      <c r="I1560" s="12" t="inlineStr">
        <is>
          <t>LV 600 V</t>
        </is>
      </c>
      <c r="J1560" s="12" t="inlineStr">
        <is>
          <t>Type TC-ER 600 V 3/C Cu XHHW-2 + ground, PVC jacket</t>
        </is>
      </c>
      <c r="K1560" s="12" t="inlineStr">
        <is>
          <t>LV|3/C+G|10</t>
        </is>
      </c>
      <c r="L1560" s="12" t="inlineStr">
        <is>
          <t>3/C+G</t>
        </is>
      </c>
      <c r="M1560" s="12" t="inlineStr">
        <is>
          <t>10</t>
        </is>
      </c>
      <c r="N1560" s="12" t="n">
        <v>1</v>
      </c>
      <c r="O1560" s="12" t="n">
        <v>1</v>
      </c>
      <c r="P1560" s="12" t="n">
        <v>480</v>
      </c>
      <c r="Q1560" s="12" t="n">
        <v>2.5</v>
      </c>
      <c r="R1560" s="12" t="n">
        <v>3.5</v>
      </c>
      <c r="S1560" s="12" t="inlineStr">
        <is>
          <t>Tray</t>
        </is>
      </c>
      <c r="T1560" s="16" t="n">
        <v>0</v>
      </c>
      <c r="U1560" s="16" t="n">
        <v>87</v>
      </c>
      <c r="V1560" s="16">
        <f>ROUNDUP((T1560+U1560+2*'Read Me'!$B$13)*(1+'Read Me'!$B$12),-1)</f>
        <v/>
      </c>
      <c r="W1560" s="16">
        <f>V1560*N1560*O1560</f>
        <v/>
      </c>
      <c r="X1560" s="12">
        <f>IF(LEFT(I1560,2)="MV",2*N1560*IF(L1560="1/C",O1560,1),0)</f>
        <v/>
      </c>
      <c r="Y1560" s="12">
        <f>IF(OR(LEFT(K1560,4)="LVAX",LEFT(K1560,6)="MV15AX",LEFT(K1560,4)="CTAX",LEFT(K1560,2)="W|"),2*N1560*O1560,0)</f>
        <v/>
      </c>
      <c r="Z1560" s="12" t="inlineStr">
        <is>
          <t>VD 0.1 %</t>
        </is>
      </c>
      <c r="AA1560" s="12">
        <f>N1560*O1560</f>
        <v/>
      </c>
    </row>
    <row r="1561">
      <c r="A1561" s="12" t="inlineStr">
        <is>
          <t>A-P-0194</t>
        </is>
      </c>
      <c r="B1561" s="12" t="inlineStr">
        <is>
          <t>A</t>
        </is>
      </c>
      <c r="C1561" s="12" t="inlineStr">
        <is>
          <t>Power block</t>
        </is>
      </c>
      <c r="D1561" s="12" t="inlineStr">
        <is>
          <t>MOV 28: power</t>
        </is>
      </c>
      <c r="E1561" s="12" t="inlineStr">
        <is>
          <t>R2A</t>
        </is>
      </c>
      <c r="F1561" s="12" t="inlineStr">
        <is>
          <t>R2A: unit / HRSG electrical e-house (32 x 40 ft)</t>
        </is>
      </c>
      <c r="G1561" s="12" t="inlineStr">
        <is>
          <t>HRSG-1</t>
        </is>
      </c>
      <c r="H1561" s="12" t="inlineStr">
        <is>
          <t>HRSG 1 + SCR (3P reheat, horizontal)</t>
        </is>
      </c>
      <c r="I1561" s="12" t="inlineStr">
        <is>
          <t>LV 600 V</t>
        </is>
      </c>
      <c r="J1561" s="12" t="inlineStr">
        <is>
          <t>Type TC-ER 600 V 3/C Cu XHHW-2 + ground, PVC jacket</t>
        </is>
      </c>
      <c r="K1561" s="12" t="inlineStr">
        <is>
          <t>LV|3/C+G|10</t>
        </is>
      </c>
      <c r="L1561" s="12" t="inlineStr">
        <is>
          <t>3/C+G</t>
        </is>
      </c>
      <c r="M1561" s="12" t="inlineStr">
        <is>
          <t>10</t>
        </is>
      </c>
      <c r="N1561" s="12" t="n">
        <v>1</v>
      </c>
      <c r="O1561" s="12" t="n">
        <v>1</v>
      </c>
      <c r="P1561" s="12" t="n">
        <v>480</v>
      </c>
      <c r="Q1561" s="12" t="n">
        <v>2.5</v>
      </c>
      <c r="R1561" s="12" t="n">
        <v>3.5</v>
      </c>
      <c r="S1561" s="12" t="inlineStr">
        <is>
          <t>Tray</t>
        </is>
      </c>
      <c r="T1561" s="16" t="n">
        <v>0</v>
      </c>
      <c r="U1561" s="16" t="n">
        <v>87</v>
      </c>
      <c r="V1561" s="16">
        <f>ROUNDUP((T1561+U1561+2*'Read Me'!$B$13)*(1+'Read Me'!$B$12),-1)</f>
        <v/>
      </c>
      <c r="W1561" s="16">
        <f>V1561*N1561*O1561</f>
        <v/>
      </c>
      <c r="X1561" s="12">
        <f>IF(LEFT(I1561,2)="MV",2*N1561*IF(L1561="1/C",O1561,1),0)</f>
        <v/>
      </c>
      <c r="Y1561" s="12">
        <f>IF(OR(LEFT(K1561,4)="LVAX",LEFT(K1561,6)="MV15AX",LEFT(K1561,4)="CTAX",LEFT(K1561,2)="W|"),2*N1561*O1561,0)</f>
        <v/>
      </c>
      <c r="Z1561" s="12" t="inlineStr">
        <is>
          <t>VD 0.1 %</t>
        </is>
      </c>
      <c r="AA1561" s="12">
        <f>N1561*O1561</f>
        <v/>
      </c>
    </row>
    <row r="1562">
      <c r="A1562" s="12" t="inlineStr">
        <is>
          <t>A-P-0195</t>
        </is>
      </c>
      <c r="B1562" s="12" t="inlineStr">
        <is>
          <t>A</t>
        </is>
      </c>
      <c r="C1562" s="12" t="inlineStr">
        <is>
          <t>Power block</t>
        </is>
      </c>
      <c r="D1562" s="12" t="inlineStr">
        <is>
          <t>MOV 29: power</t>
        </is>
      </c>
      <c r="E1562" s="12" t="inlineStr">
        <is>
          <t>R2A</t>
        </is>
      </c>
      <c r="F1562" s="12" t="inlineStr">
        <is>
          <t>R2A: unit / HRSG electrical e-house (32 x 40 ft)</t>
        </is>
      </c>
      <c r="G1562" s="12" t="inlineStr">
        <is>
          <t>HRSG-1</t>
        </is>
      </c>
      <c r="H1562" s="12" t="inlineStr">
        <is>
          <t>HRSG 1 + SCR (3P reheat, horizontal)</t>
        </is>
      </c>
      <c r="I1562" s="12" t="inlineStr">
        <is>
          <t>LV 600 V</t>
        </is>
      </c>
      <c r="J1562" s="12" t="inlineStr">
        <is>
          <t>Type TC-ER 600 V 3/C Cu XHHW-2 + ground, PVC jacket</t>
        </is>
      </c>
      <c r="K1562" s="12" t="inlineStr">
        <is>
          <t>LV|3/C+G|10</t>
        </is>
      </c>
      <c r="L1562" s="12" t="inlineStr">
        <is>
          <t>3/C+G</t>
        </is>
      </c>
      <c r="M1562" s="12" t="inlineStr">
        <is>
          <t>10</t>
        </is>
      </c>
      <c r="N1562" s="12" t="n">
        <v>1</v>
      </c>
      <c r="O1562" s="12" t="n">
        <v>1</v>
      </c>
      <c r="P1562" s="12" t="n">
        <v>480</v>
      </c>
      <c r="Q1562" s="12" t="n">
        <v>2.5</v>
      </c>
      <c r="R1562" s="12" t="n">
        <v>3.5</v>
      </c>
      <c r="S1562" s="12" t="inlineStr">
        <is>
          <t>Tray</t>
        </is>
      </c>
      <c r="T1562" s="16" t="n">
        <v>0</v>
      </c>
      <c r="U1562" s="16" t="n">
        <v>87</v>
      </c>
      <c r="V1562" s="16">
        <f>ROUNDUP((T1562+U1562+2*'Read Me'!$B$13)*(1+'Read Me'!$B$12),-1)</f>
        <v/>
      </c>
      <c r="W1562" s="16">
        <f>V1562*N1562*O1562</f>
        <v/>
      </c>
      <c r="X1562" s="12">
        <f>IF(LEFT(I1562,2)="MV",2*N1562*IF(L1562="1/C",O1562,1),0)</f>
        <v/>
      </c>
      <c r="Y1562" s="12">
        <f>IF(OR(LEFT(K1562,4)="LVAX",LEFT(K1562,6)="MV15AX",LEFT(K1562,4)="CTAX",LEFT(K1562,2)="W|"),2*N1562*O1562,0)</f>
        <v/>
      </c>
      <c r="Z1562" s="12" t="inlineStr">
        <is>
          <t>VD 0.1 %</t>
        </is>
      </c>
      <c r="AA1562" s="12">
        <f>N1562*O1562</f>
        <v/>
      </c>
    </row>
    <row r="1563">
      <c r="A1563" s="12" t="inlineStr">
        <is>
          <t>A-P-0196</t>
        </is>
      </c>
      <c r="B1563" s="12" t="inlineStr">
        <is>
          <t>A</t>
        </is>
      </c>
      <c r="C1563" s="12" t="inlineStr">
        <is>
          <t>Power block</t>
        </is>
      </c>
      <c r="D1563" s="12" t="inlineStr">
        <is>
          <t>MOV 30: power</t>
        </is>
      </c>
      <c r="E1563" s="12" t="inlineStr">
        <is>
          <t>R2A</t>
        </is>
      </c>
      <c r="F1563" s="12" t="inlineStr">
        <is>
          <t>R2A: unit / HRSG electrical e-house (32 x 40 ft)</t>
        </is>
      </c>
      <c r="G1563" s="12" t="inlineStr">
        <is>
          <t>HRSG-1</t>
        </is>
      </c>
      <c r="H1563" s="12" t="inlineStr">
        <is>
          <t>HRSG 1 + SCR (3P reheat, horizontal)</t>
        </is>
      </c>
      <c r="I1563" s="12" t="inlineStr">
        <is>
          <t>LV 600 V</t>
        </is>
      </c>
      <c r="J1563" s="12" t="inlineStr">
        <is>
          <t>Type TC-ER 600 V 3/C Cu XHHW-2 + ground, PVC jacket</t>
        </is>
      </c>
      <c r="K1563" s="12" t="inlineStr">
        <is>
          <t>LV|3/C+G|10</t>
        </is>
      </c>
      <c r="L1563" s="12" t="inlineStr">
        <is>
          <t>3/C+G</t>
        </is>
      </c>
      <c r="M1563" s="12" t="inlineStr">
        <is>
          <t>10</t>
        </is>
      </c>
      <c r="N1563" s="12" t="n">
        <v>1</v>
      </c>
      <c r="O1563" s="12" t="n">
        <v>1</v>
      </c>
      <c r="P1563" s="12" t="n">
        <v>480</v>
      </c>
      <c r="Q1563" s="12" t="n">
        <v>2.5</v>
      </c>
      <c r="R1563" s="12" t="n">
        <v>3.5</v>
      </c>
      <c r="S1563" s="12" t="inlineStr">
        <is>
          <t>Tray</t>
        </is>
      </c>
      <c r="T1563" s="16" t="n">
        <v>0</v>
      </c>
      <c r="U1563" s="16" t="n">
        <v>87</v>
      </c>
      <c r="V1563" s="16">
        <f>ROUNDUP((T1563+U1563+2*'Read Me'!$B$13)*(1+'Read Me'!$B$12),-1)</f>
        <v/>
      </c>
      <c r="W1563" s="16">
        <f>V1563*N1563*O1563</f>
        <v/>
      </c>
      <c r="X1563" s="12">
        <f>IF(LEFT(I1563,2)="MV",2*N1563*IF(L1563="1/C",O1563,1),0)</f>
        <v/>
      </c>
      <c r="Y1563" s="12">
        <f>IF(OR(LEFT(K1563,4)="LVAX",LEFT(K1563,6)="MV15AX",LEFT(K1563,4)="CTAX",LEFT(K1563,2)="W|"),2*N1563*O1563,0)</f>
        <v/>
      </c>
      <c r="Z1563" s="12" t="inlineStr">
        <is>
          <t>VD 0.1 %</t>
        </is>
      </c>
      <c r="AA1563" s="12">
        <f>N1563*O1563</f>
        <v/>
      </c>
    </row>
    <row r="1564">
      <c r="A1564" s="12" t="inlineStr">
        <is>
          <t>A-P-0197</t>
        </is>
      </c>
      <c r="B1564" s="12" t="inlineStr">
        <is>
          <t>A</t>
        </is>
      </c>
      <c r="C1564" s="12" t="inlineStr">
        <is>
          <t>Power block</t>
        </is>
      </c>
      <c r="D1564" s="12" t="inlineStr">
        <is>
          <t>MOV 31: power</t>
        </is>
      </c>
      <c r="E1564" s="12" t="inlineStr">
        <is>
          <t>R2A</t>
        </is>
      </c>
      <c r="F1564" s="12" t="inlineStr">
        <is>
          <t>R2A: unit / HRSG electrical e-house (32 x 40 ft)</t>
        </is>
      </c>
      <c r="G1564" s="12" t="inlineStr">
        <is>
          <t>HRSG-1</t>
        </is>
      </c>
      <c r="H1564" s="12" t="inlineStr">
        <is>
          <t>HRSG 1 + SCR (3P reheat, horizontal)</t>
        </is>
      </c>
      <c r="I1564" s="12" t="inlineStr">
        <is>
          <t>LV 600 V</t>
        </is>
      </c>
      <c r="J1564" s="12" t="inlineStr">
        <is>
          <t>Type TC-ER 600 V 3/C Cu XHHW-2 + ground, PVC jacket</t>
        </is>
      </c>
      <c r="K1564" s="12" t="inlineStr">
        <is>
          <t>LV|3/C+G|10</t>
        </is>
      </c>
      <c r="L1564" s="12" t="inlineStr">
        <is>
          <t>3/C+G</t>
        </is>
      </c>
      <c r="M1564" s="12" t="inlineStr">
        <is>
          <t>10</t>
        </is>
      </c>
      <c r="N1564" s="12" t="n">
        <v>1</v>
      </c>
      <c r="O1564" s="12" t="n">
        <v>1</v>
      </c>
      <c r="P1564" s="12" t="n">
        <v>480</v>
      </c>
      <c r="Q1564" s="12" t="n">
        <v>2.5</v>
      </c>
      <c r="R1564" s="12" t="n">
        <v>3.5</v>
      </c>
      <c r="S1564" s="12" t="inlineStr">
        <is>
          <t>Tray</t>
        </is>
      </c>
      <c r="T1564" s="16" t="n">
        <v>0</v>
      </c>
      <c r="U1564" s="16" t="n">
        <v>87</v>
      </c>
      <c r="V1564" s="16">
        <f>ROUNDUP((T1564+U1564+2*'Read Me'!$B$13)*(1+'Read Me'!$B$12),-1)</f>
        <v/>
      </c>
      <c r="W1564" s="16">
        <f>V1564*N1564*O1564</f>
        <v/>
      </c>
      <c r="X1564" s="12">
        <f>IF(LEFT(I1564,2)="MV",2*N1564*IF(L1564="1/C",O1564,1),0)</f>
        <v/>
      </c>
      <c r="Y1564" s="12">
        <f>IF(OR(LEFT(K1564,4)="LVAX",LEFT(K1564,6)="MV15AX",LEFT(K1564,4)="CTAX",LEFT(K1564,2)="W|"),2*N1564*O1564,0)</f>
        <v/>
      </c>
      <c r="Z1564" s="12" t="inlineStr">
        <is>
          <t>VD 0.1 %</t>
        </is>
      </c>
      <c r="AA1564" s="12">
        <f>N1564*O1564</f>
        <v/>
      </c>
    </row>
    <row r="1565">
      <c r="A1565" s="12" t="inlineStr">
        <is>
          <t>A-P-0198</t>
        </is>
      </c>
      <c r="B1565" s="12" t="inlineStr">
        <is>
          <t>A</t>
        </is>
      </c>
      <c r="C1565" s="12" t="inlineStr">
        <is>
          <t>Power block</t>
        </is>
      </c>
      <c r="D1565" s="12" t="inlineStr">
        <is>
          <t>MOV 32: power</t>
        </is>
      </c>
      <c r="E1565" s="12" t="inlineStr">
        <is>
          <t>R2A</t>
        </is>
      </c>
      <c r="F1565" s="12" t="inlineStr">
        <is>
          <t>R2A: unit / HRSG electrical e-house (32 x 40 ft)</t>
        </is>
      </c>
      <c r="G1565" s="12" t="inlineStr">
        <is>
          <t>HRSG-1</t>
        </is>
      </c>
      <c r="H1565" s="12" t="inlineStr">
        <is>
          <t>HRSG 1 + SCR (3P reheat, horizontal)</t>
        </is>
      </c>
      <c r="I1565" s="12" t="inlineStr">
        <is>
          <t>LV 600 V</t>
        </is>
      </c>
      <c r="J1565" s="12" t="inlineStr">
        <is>
          <t>Type TC-ER 600 V 3/C Cu XHHW-2 + ground, PVC jacket</t>
        </is>
      </c>
      <c r="K1565" s="12" t="inlineStr">
        <is>
          <t>LV|3/C+G|10</t>
        </is>
      </c>
      <c r="L1565" s="12" t="inlineStr">
        <is>
          <t>3/C+G</t>
        </is>
      </c>
      <c r="M1565" s="12" t="inlineStr">
        <is>
          <t>10</t>
        </is>
      </c>
      <c r="N1565" s="12" t="n">
        <v>1</v>
      </c>
      <c r="O1565" s="12" t="n">
        <v>1</v>
      </c>
      <c r="P1565" s="12" t="n">
        <v>480</v>
      </c>
      <c r="Q1565" s="12" t="n">
        <v>2.5</v>
      </c>
      <c r="R1565" s="12" t="n">
        <v>3.5</v>
      </c>
      <c r="S1565" s="12" t="inlineStr">
        <is>
          <t>Tray</t>
        </is>
      </c>
      <c r="T1565" s="16" t="n">
        <v>0</v>
      </c>
      <c r="U1565" s="16" t="n">
        <v>87</v>
      </c>
      <c r="V1565" s="16">
        <f>ROUNDUP((T1565+U1565+2*'Read Me'!$B$13)*(1+'Read Me'!$B$12),-1)</f>
        <v/>
      </c>
      <c r="W1565" s="16">
        <f>V1565*N1565*O1565</f>
        <v/>
      </c>
      <c r="X1565" s="12">
        <f>IF(LEFT(I1565,2)="MV",2*N1565*IF(L1565="1/C",O1565,1),0)</f>
        <v/>
      </c>
      <c r="Y1565" s="12">
        <f>IF(OR(LEFT(K1565,4)="LVAX",LEFT(K1565,6)="MV15AX",LEFT(K1565,4)="CTAX",LEFT(K1565,2)="W|"),2*N1565*O1565,0)</f>
        <v/>
      </c>
      <c r="Z1565" s="12" t="inlineStr">
        <is>
          <t>VD 0.1 %</t>
        </is>
      </c>
      <c r="AA1565" s="12">
        <f>N1565*O1565</f>
        <v/>
      </c>
    </row>
    <row r="1566">
      <c r="A1566" s="12" t="inlineStr">
        <is>
          <t>A-P-0199</t>
        </is>
      </c>
      <c r="B1566" s="12" t="inlineStr">
        <is>
          <t>A</t>
        </is>
      </c>
      <c r="C1566" s="12" t="inlineStr">
        <is>
          <t>Power block</t>
        </is>
      </c>
      <c r="D1566" s="12" t="inlineStr">
        <is>
          <t>MOV 33: power</t>
        </is>
      </c>
      <c r="E1566" s="12" t="inlineStr">
        <is>
          <t>R2A</t>
        </is>
      </c>
      <c r="F1566" s="12" t="inlineStr">
        <is>
          <t>R2A: unit / HRSG electrical e-house (32 x 40 ft)</t>
        </is>
      </c>
      <c r="G1566" s="12" t="inlineStr">
        <is>
          <t>HRSG-1</t>
        </is>
      </c>
      <c r="H1566" s="12" t="inlineStr">
        <is>
          <t>HRSG 1 + SCR (3P reheat, horizontal)</t>
        </is>
      </c>
      <c r="I1566" s="12" t="inlineStr">
        <is>
          <t>LV 600 V</t>
        </is>
      </c>
      <c r="J1566" s="12" t="inlineStr">
        <is>
          <t>Type TC-ER 600 V 3/C Cu XHHW-2 + ground, PVC jacket</t>
        </is>
      </c>
      <c r="K1566" s="12" t="inlineStr">
        <is>
          <t>LV|3/C+G|10</t>
        </is>
      </c>
      <c r="L1566" s="12" t="inlineStr">
        <is>
          <t>3/C+G</t>
        </is>
      </c>
      <c r="M1566" s="12" t="inlineStr">
        <is>
          <t>10</t>
        </is>
      </c>
      <c r="N1566" s="12" t="n">
        <v>1</v>
      </c>
      <c r="O1566" s="12" t="n">
        <v>1</v>
      </c>
      <c r="P1566" s="12" t="n">
        <v>480</v>
      </c>
      <c r="Q1566" s="12" t="n">
        <v>2.5</v>
      </c>
      <c r="R1566" s="12" t="n">
        <v>3.5</v>
      </c>
      <c r="S1566" s="12" t="inlineStr">
        <is>
          <t>Tray</t>
        </is>
      </c>
      <c r="T1566" s="16" t="n">
        <v>0</v>
      </c>
      <c r="U1566" s="16" t="n">
        <v>87</v>
      </c>
      <c r="V1566" s="16">
        <f>ROUNDUP((T1566+U1566+2*'Read Me'!$B$13)*(1+'Read Me'!$B$12),-1)</f>
        <v/>
      </c>
      <c r="W1566" s="16">
        <f>V1566*N1566*O1566</f>
        <v/>
      </c>
      <c r="X1566" s="12">
        <f>IF(LEFT(I1566,2)="MV",2*N1566*IF(L1566="1/C",O1566,1),0)</f>
        <v/>
      </c>
      <c r="Y1566" s="12">
        <f>IF(OR(LEFT(K1566,4)="LVAX",LEFT(K1566,6)="MV15AX",LEFT(K1566,4)="CTAX",LEFT(K1566,2)="W|"),2*N1566*O1566,0)</f>
        <v/>
      </c>
      <c r="Z1566" s="12" t="inlineStr">
        <is>
          <t>VD 0.1 %</t>
        </is>
      </c>
      <c r="AA1566" s="12">
        <f>N1566*O1566</f>
        <v/>
      </c>
    </row>
    <row r="1567">
      <c r="A1567" s="12" t="inlineStr">
        <is>
          <t>A-P-0200</t>
        </is>
      </c>
      <c r="B1567" s="12" t="inlineStr">
        <is>
          <t>A</t>
        </is>
      </c>
      <c r="C1567" s="12" t="inlineStr">
        <is>
          <t>Power block</t>
        </is>
      </c>
      <c r="D1567" s="12" t="inlineStr">
        <is>
          <t>MOV 34: power</t>
        </is>
      </c>
      <c r="E1567" s="12" t="inlineStr">
        <is>
          <t>R2A</t>
        </is>
      </c>
      <c r="F1567" s="12" t="inlineStr">
        <is>
          <t>R2A: unit / HRSG electrical e-house (32 x 40 ft)</t>
        </is>
      </c>
      <c r="G1567" s="12" t="inlineStr">
        <is>
          <t>HRSG-1</t>
        </is>
      </c>
      <c r="H1567" s="12" t="inlineStr">
        <is>
          <t>HRSG 1 + SCR (3P reheat, horizontal)</t>
        </is>
      </c>
      <c r="I1567" s="12" t="inlineStr">
        <is>
          <t>LV 600 V</t>
        </is>
      </c>
      <c r="J1567" s="12" t="inlineStr">
        <is>
          <t>Type TC-ER 600 V 3/C Cu XHHW-2 + ground, PVC jacket</t>
        </is>
      </c>
      <c r="K1567" s="12" t="inlineStr">
        <is>
          <t>LV|3/C+G|10</t>
        </is>
      </c>
      <c r="L1567" s="12" t="inlineStr">
        <is>
          <t>3/C+G</t>
        </is>
      </c>
      <c r="M1567" s="12" t="inlineStr">
        <is>
          <t>10</t>
        </is>
      </c>
      <c r="N1567" s="12" t="n">
        <v>1</v>
      </c>
      <c r="O1567" s="12" t="n">
        <v>1</v>
      </c>
      <c r="P1567" s="12" t="n">
        <v>480</v>
      </c>
      <c r="Q1567" s="12" t="n">
        <v>2.5</v>
      </c>
      <c r="R1567" s="12" t="n">
        <v>3.5</v>
      </c>
      <c r="S1567" s="12" t="inlineStr">
        <is>
          <t>Tray</t>
        </is>
      </c>
      <c r="T1567" s="16" t="n">
        <v>0</v>
      </c>
      <c r="U1567" s="16" t="n">
        <v>87</v>
      </c>
      <c r="V1567" s="16">
        <f>ROUNDUP((T1567+U1567+2*'Read Me'!$B$13)*(1+'Read Me'!$B$12),-1)</f>
        <v/>
      </c>
      <c r="W1567" s="16">
        <f>V1567*N1567*O1567</f>
        <v/>
      </c>
      <c r="X1567" s="12">
        <f>IF(LEFT(I1567,2)="MV",2*N1567*IF(L1567="1/C",O1567,1),0)</f>
        <v/>
      </c>
      <c r="Y1567" s="12">
        <f>IF(OR(LEFT(K1567,4)="LVAX",LEFT(K1567,6)="MV15AX",LEFT(K1567,4)="CTAX",LEFT(K1567,2)="W|"),2*N1567*O1567,0)</f>
        <v/>
      </c>
      <c r="Z1567" s="12" t="inlineStr">
        <is>
          <t>VD 0.1 %</t>
        </is>
      </c>
      <c r="AA1567" s="12">
        <f>N1567*O1567</f>
        <v/>
      </c>
    </row>
    <row r="1568">
      <c r="A1568" s="12" t="inlineStr">
        <is>
          <t>A-P-0201</t>
        </is>
      </c>
      <c r="B1568" s="12" t="inlineStr">
        <is>
          <t>A</t>
        </is>
      </c>
      <c r="C1568" s="12" t="inlineStr">
        <is>
          <t>Power block</t>
        </is>
      </c>
      <c r="D1568" s="12" t="inlineStr">
        <is>
          <t>MOV 35: power</t>
        </is>
      </c>
      <c r="E1568" s="12" t="inlineStr">
        <is>
          <t>R2A</t>
        </is>
      </c>
      <c r="F1568" s="12" t="inlineStr">
        <is>
          <t>R2A: unit / HRSG electrical e-house (32 x 40 ft)</t>
        </is>
      </c>
      <c r="G1568" s="12" t="inlineStr">
        <is>
          <t>HRSG-1</t>
        </is>
      </c>
      <c r="H1568" s="12" t="inlineStr">
        <is>
          <t>HRSG 1 + SCR (3P reheat, horizontal)</t>
        </is>
      </c>
      <c r="I1568" s="12" t="inlineStr">
        <is>
          <t>LV 600 V</t>
        </is>
      </c>
      <c r="J1568" s="12" t="inlineStr">
        <is>
          <t>Type TC-ER 600 V 3/C Cu XHHW-2 + ground, PVC jacket</t>
        </is>
      </c>
      <c r="K1568" s="12" t="inlineStr">
        <is>
          <t>LV|3/C+G|10</t>
        </is>
      </c>
      <c r="L1568" s="12" t="inlineStr">
        <is>
          <t>3/C+G</t>
        </is>
      </c>
      <c r="M1568" s="12" t="inlineStr">
        <is>
          <t>10</t>
        </is>
      </c>
      <c r="N1568" s="12" t="n">
        <v>1</v>
      </c>
      <c r="O1568" s="12" t="n">
        <v>1</v>
      </c>
      <c r="P1568" s="12" t="n">
        <v>480</v>
      </c>
      <c r="Q1568" s="12" t="n">
        <v>2.5</v>
      </c>
      <c r="R1568" s="12" t="n">
        <v>3.5</v>
      </c>
      <c r="S1568" s="12" t="inlineStr">
        <is>
          <t>Tray</t>
        </is>
      </c>
      <c r="T1568" s="16" t="n">
        <v>0</v>
      </c>
      <c r="U1568" s="16" t="n">
        <v>87</v>
      </c>
      <c r="V1568" s="16">
        <f>ROUNDUP((T1568+U1568+2*'Read Me'!$B$13)*(1+'Read Me'!$B$12),-1)</f>
        <v/>
      </c>
      <c r="W1568" s="16">
        <f>V1568*N1568*O1568</f>
        <v/>
      </c>
      <c r="X1568" s="12">
        <f>IF(LEFT(I1568,2)="MV",2*N1568*IF(L1568="1/C",O1568,1),0)</f>
        <v/>
      </c>
      <c r="Y1568" s="12">
        <f>IF(OR(LEFT(K1568,4)="LVAX",LEFT(K1568,6)="MV15AX",LEFT(K1568,4)="CTAX",LEFT(K1568,2)="W|"),2*N1568*O1568,0)</f>
        <v/>
      </c>
      <c r="Z1568" s="12" t="inlineStr">
        <is>
          <t>VD 0.1 %</t>
        </is>
      </c>
      <c r="AA1568" s="12">
        <f>N1568*O1568</f>
        <v/>
      </c>
    </row>
    <row r="1569">
      <c r="A1569" s="12" t="inlineStr">
        <is>
          <t>A-P-0202</t>
        </is>
      </c>
      <c r="B1569" s="12" t="inlineStr">
        <is>
          <t>A</t>
        </is>
      </c>
      <c r="C1569" s="12" t="inlineStr">
        <is>
          <t>Power block</t>
        </is>
      </c>
      <c r="D1569" s="12" t="inlineStr">
        <is>
          <t>MOV 36: power</t>
        </is>
      </c>
      <c r="E1569" s="12" t="inlineStr">
        <is>
          <t>R2A</t>
        </is>
      </c>
      <c r="F1569" s="12" t="inlineStr">
        <is>
          <t>R2A: unit / HRSG electrical e-house (32 x 40 ft)</t>
        </is>
      </c>
      <c r="G1569" s="12" t="inlineStr">
        <is>
          <t>HRSG-1</t>
        </is>
      </c>
      <c r="H1569" s="12" t="inlineStr">
        <is>
          <t>HRSG 1 + SCR (3P reheat, horizontal)</t>
        </is>
      </c>
      <c r="I1569" s="12" t="inlineStr">
        <is>
          <t>LV 600 V</t>
        </is>
      </c>
      <c r="J1569" s="12" t="inlineStr">
        <is>
          <t>Type TC-ER 600 V 3/C Cu XHHW-2 + ground, PVC jacket</t>
        </is>
      </c>
      <c r="K1569" s="12" t="inlineStr">
        <is>
          <t>LV|3/C+G|10</t>
        </is>
      </c>
      <c r="L1569" s="12" t="inlineStr">
        <is>
          <t>3/C+G</t>
        </is>
      </c>
      <c r="M1569" s="12" t="inlineStr">
        <is>
          <t>10</t>
        </is>
      </c>
      <c r="N1569" s="12" t="n">
        <v>1</v>
      </c>
      <c r="O1569" s="12" t="n">
        <v>1</v>
      </c>
      <c r="P1569" s="12" t="n">
        <v>480</v>
      </c>
      <c r="Q1569" s="12" t="n">
        <v>2.5</v>
      </c>
      <c r="R1569" s="12" t="n">
        <v>3.5</v>
      </c>
      <c r="S1569" s="12" t="inlineStr">
        <is>
          <t>Tray</t>
        </is>
      </c>
      <c r="T1569" s="16" t="n">
        <v>0</v>
      </c>
      <c r="U1569" s="16" t="n">
        <v>87</v>
      </c>
      <c r="V1569" s="16">
        <f>ROUNDUP((T1569+U1569+2*'Read Me'!$B$13)*(1+'Read Me'!$B$12),-1)</f>
        <v/>
      </c>
      <c r="W1569" s="16">
        <f>V1569*N1569*O1569</f>
        <v/>
      </c>
      <c r="X1569" s="12">
        <f>IF(LEFT(I1569,2)="MV",2*N1569*IF(L1569="1/C",O1569,1),0)</f>
        <v/>
      </c>
      <c r="Y1569" s="12">
        <f>IF(OR(LEFT(K1569,4)="LVAX",LEFT(K1569,6)="MV15AX",LEFT(K1569,4)="CTAX",LEFT(K1569,2)="W|"),2*N1569*O1569,0)</f>
        <v/>
      </c>
      <c r="Z1569" s="12" t="inlineStr">
        <is>
          <t>VD 0.1 %</t>
        </is>
      </c>
      <c r="AA1569" s="12">
        <f>N1569*O1569</f>
        <v/>
      </c>
    </row>
    <row r="1570">
      <c r="A1570" s="12" t="inlineStr">
        <is>
          <t>A-P-0203</t>
        </is>
      </c>
      <c r="B1570" s="12" t="inlineStr">
        <is>
          <t>A</t>
        </is>
      </c>
      <c r="C1570" s="12" t="inlineStr">
        <is>
          <t>Power block</t>
        </is>
      </c>
      <c r="D1570" s="12" t="inlineStr">
        <is>
          <t>MOV 37: power</t>
        </is>
      </c>
      <c r="E1570" s="12" t="inlineStr">
        <is>
          <t>R2A</t>
        </is>
      </c>
      <c r="F1570" s="12" t="inlineStr">
        <is>
          <t>R2A: unit / HRSG electrical e-house (32 x 40 ft)</t>
        </is>
      </c>
      <c r="G1570" s="12" t="inlineStr">
        <is>
          <t>HRSG-1</t>
        </is>
      </c>
      <c r="H1570" s="12" t="inlineStr">
        <is>
          <t>HRSG 1 + SCR (3P reheat, horizontal)</t>
        </is>
      </c>
      <c r="I1570" s="12" t="inlineStr">
        <is>
          <t>LV 600 V</t>
        </is>
      </c>
      <c r="J1570" s="12" t="inlineStr">
        <is>
          <t>Type TC-ER 600 V 3/C Cu XHHW-2 + ground, PVC jacket</t>
        </is>
      </c>
      <c r="K1570" s="12" t="inlineStr">
        <is>
          <t>LV|3/C+G|10</t>
        </is>
      </c>
      <c r="L1570" s="12" t="inlineStr">
        <is>
          <t>3/C+G</t>
        </is>
      </c>
      <c r="M1570" s="12" t="inlineStr">
        <is>
          <t>10</t>
        </is>
      </c>
      <c r="N1570" s="12" t="n">
        <v>1</v>
      </c>
      <c r="O1570" s="12" t="n">
        <v>1</v>
      </c>
      <c r="P1570" s="12" t="n">
        <v>480</v>
      </c>
      <c r="Q1570" s="12" t="n">
        <v>2.5</v>
      </c>
      <c r="R1570" s="12" t="n">
        <v>3.5</v>
      </c>
      <c r="S1570" s="12" t="inlineStr">
        <is>
          <t>Tray</t>
        </is>
      </c>
      <c r="T1570" s="16" t="n">
        <v>0</v>
      </c>
      <c r="U1570" s="16" t="n">
        <v>87</v>
      </c>
      <c r="V1570" s="16">
        <f>ROUNDUP((T1570+U1570+2*'Read Me'!$B$13)*(1+'Read Me'!$B$12),-1)</f>
        <v/>
      </c>
      <c r="W1570" s="16">
        <f>V1570*N1570*O1570</f>
        <v/>
      </c>
      <c r="X1570" s="12">
        <f>IF(LEFT(I1570,2)="MV",2*N1570*IF(L1570="1/C",O1570,1),0)</f>
        <v/>
      </c>
      <c r="Y1570" s="12">
        <f>IF(OR(LEFT(K1570,4)="LVAX",LEFT(K1570,6)="MV15AX",LEFT(K1570,4)="CTAX",LEFT(K1570,2)="W|"),2*N1570*O1570,0)</f>
        <v/>
      </c>
      <c r="Z1570" s="12" t="inlineStr">
        <is>
          <t>VD 0.1 %</t>
        </is>
      </c>
      <c r="AA1570" s="12">
        <f>N1570*O1570</f>
        <v/>
      </c>
    </row>
    <row r="1571">
      <c r="A1571" s="12" t="inlineStr">
        <is>
          <t>A-P-0204</t>
        </is>
      </c>
      <c r="B1571" s="12" t="inlineStr">
        <is>
          <t>A</t>
        </is>
      </c>
      <c r="C1571" s="12" t="inlineStr">
        <is>
          <t>Power block</t>
        </is>
      </c>
      <c r="D1571" s="12" t="inlineStr">
        <is>
          <t>MOV 38: power</t>
        </is>
      </c>
      <c r="E1571" s="12" t="inlineStr">
        <is>
          <t>R2A</t>
        </is>
      </c>
      <c r="F1571" s="12" t="inlineStr">
        <is>
          <t>R2A: unit / HRSG electrical e-house (32 x 40 ft)</t>
        </is>
      </c>
      <c r="G1571" s="12" t="inlineStr">
        <is>
          <t>HRSG-1</t>
        </is>
      </c>
      <c r="H1571" s="12" t="inlineStr">
        <is>
          <t>HRSG 1 + SCR (3P reheat, horizontal)</t>
        </is>
      </c>
      <c r="I1571" s="12" t="inlineStr">
        <is>
          <t>LV 600 V</t>
        </is>
      </c>
      <c r="J1571" s="12" t="inlineStr">
        <is>
          <t>Type TC-ER 600 V 3/C Cu XHHW-2 + ground, PVC jacket</t>
        </is>
      </c>
      <c r="K1571" s="12" t="inlineStr">
        <is>
          <t>LV|3/C+G|10</t>
        </is>
      </c>
      <c r="L1571" s="12" t="inlineStr">
        <is>
          <t>3/C+G</t>
        </is>
      </c>
      <c r="M1571" s="12" t="inlineStr">
        <is>
          <t>10</t>
        </is>
      </c>
      <c r="N1571" s="12" t="n">
        <v>1</v>
      </c>
      <c r="O1571" s="12" t="n">
        <v>1</v>
      </c>
      <c r="P1571" s="12" t="n">
        <v>480</v>
      </c>
      <c r="Q1571" s="12" t="n">
        <v>2.5</v>
      </c>
      <c r="R1571" s="12" t="n">
        <v>3.5</v>
      </c>
      <c r="S1571" s="12" t="inlineStr">
        <is>
          <t>Tray</t>
        </is>
      </c>
      <c r="T1571" s="16" t="n">
        <v>0</v>
      </c>
      <c r="U1571" s="16" t="n">
        <v>87</v>
      </c>
      <c r="V1571" s="16">
        <f>ROUNDUP((T1571+U1571+2*'Read Me'!$B$13)*(1+'Read Me'!$B$12),-1)</f>
        <v/>
      </c>
      <c r="W1571" s="16">
        <f>V1571*N1571*O1571</f>
        <v/>
      </c>
      <c r="X1571" s="12">
        <f>IF(LEFT(I1571,2)="MV",2*N1571*IF(L1571="1/C",O1571,1),0)</f>
        <v/>
      </c>
      <c r="Y1571" s="12">
        <f>IF(OR(LEFT(K1571,4)="LVAX",LEFT(K1571,6)="MV15AX",LEFT(K1571,4)="CTAX",LEFT(K1571,2)="W|"),2*N1571*O1571,0)</f>
        <v/>
      </c>
      <c r="Z1571" s="12" t="inlineStr">
        <is>
          <t>VD 0.1 %</t>
        </is>
      </c>
      <c r="AA1571" s="12">
        <f>N1571*O1571</f>
        <v/>
      </c>
    </row>
    <row r="1572">
      <c r="A1572" s="12" t="inlineStr">
        <is>
          <t>A-P-0205</t>
        </is>
      </c>
      <c r="B1572" s="12" t="inlineStr">
        <is>
          <t>A</t>
        </is>
      </c>
      <c r="C1572" s="12" t="inlineStr">
        <is>
          <t>Power block</t>
        </is>
      </c>
      <c r="D1572" s="12" t="inlineStr">
        <is>
          <t>MOV 39: power</t>
        </is>
      </c>
      <c r="E1572" s="12" t="inlineStr">
        <is>
          <t>R2A</t>
        </is>
      </c>
      <c r="F1572" s="12" t="inlineStr">
        <is>
          <t>R2A: unit / HRSG electrical e-house (32 x 40 ft)</t>
        </is>
      </c>
      <c r="G1572" s="12" t="inlineStr">
        <is>
          <t>HRSG-1</t>
        </is>
      </c>
      <c r="H1572" s="12" t="inlineStr">
        <is>
          <t>HRSG 1 + SCR (3P reheat, horizontal)</t>
        </is>
      </c>
      <c r="I1572" s="12" t="inlineStr">
        <is>
          <t>LV 600 V</t>
        </is>
      </c>
      <c r="J1572" s="12" t="inlineStr">
        <is>
          <t>Type TC-ER 600 V 3/C Cu XHHW-2 + ground, PVC jacket</t>
        </is>
      </c>
      <c r="K1572" s="12" t="inlineStr">
        <is>
          <t>LV|3/C+G|10</t>
        </is>
      </c>
      <c r="L1572" s="12" t="inlineStr">
        <is>
          <t>3/C+G</t>
        </is>
      </c>
      <c r="M1572" s="12" t="inlineStr">
        <is>
          <t>10</t>
        </is>
      </c>
      <c r="N1572" s="12" t="n">
        <v>1</v>
      </c>
      <c r="O1572" s="12" t="n">
        <v>1</v>
      </c>
      <c r="P1572" s="12" t="n">
        <v>480</v>
      </c>
      <c r="Q1572" s="12" t="n">
        <v>2.5</v>
      </c>
      <c r="R1572" s="12" t="n">
        <v>3.5</v>
      </c>
      <c r="S1572" s="12" t="inlineStr">
        <is>
          <t>Tray</t>
        </is>
      </c>
      <c r="T1572" s="16" t="n">
        <v>0</v>
      </c>
      <c r="U1572" s="16" t="n">
        <v>87</v>
      </c>
      <c r="V1572" s="16">
        <f>ROUNDUP((T1572+U1572+2*'Read Me'!$B$13)*(1+'Read Me'!$B$12),-1)</f>
        <v/>
      </c>
      <c r="W1572" s="16">
        <f>V1572*N1572*O1572</f>
        <v/>
      </c>
      <c r="X1572" s="12">
        <f>IF(LEFT(I1572,2)="MV",2*N1572*IF(L1572="1/C",O1572,1),0)</f>
        <v/>
      </c>
      <c r="Y1572" s="12">
        <f>IF(OR(LEFT(K1572,4)="LVAX",LEFT(K1572,6)="MV15AX",LEFT(K1572,4)="CTAX",LEFT(K1572,2)="W|"),2*N1572*O1572,0)</f>
        <v/>
      </c>
      <c r="Z1572" s="12" t="inlineStr">
        <is>
          <t>VD 0.1 %</t>
        </is>
      </c>
      <c r="AA1572" s="12">
        <f>N1572*O1572</f>
        <v/>
      </c>
    </row>
    <row r="1573">
      <c r="A1573" s="12" t="inlineStr">
        <is>
          <t>A-P-0206</t>
        </is>
      </c>
      <c r="B1573" s="12" t="inlineStr">
        <is>
          <t>A</t>
        </is>
      </c>
      <c r="C1573" s="12" t="inlineStr">
        <is>
          <t>Power block</t>
        </is>
      </c>
      <c r="D1573" s="12" t="inlineStr">
        <is>
          <t>MOV 40: power</t>
        </is>
      </c>
      <c r="E1573" s="12" t="inlineStr">
        <is>
          <t>R2A</t>
        </is>
      </c>
      <c r="F1573" s="12" t="inlineStr">
        <is>
          <t>R2A: unit / HRSG electrical e-house (32 x 40 ft)</t>
        </is>
      </c>
      <c r="G1573" s="12" t="inlineStr">
        <is>
          <t>HRSG-1</t>
        </is>
      </c>
      <c r="H1573" s="12" t="inlineStr">
        <is>
          <t>HRSG 1 + SCR (3P reheat, horizontal)</t>
        </is>
      </c>
      <c r="I1573" s="12" t="inlineStr">
        <is>
          <t>LV 600 V</t>
        </is>
      </c>
      <c r="J1573" s="12" t="inlineStr">
        <is>
          <t>Type TC-ER 600 V 3/C Cu XHHW-2 + ground, PVC jacket</t>
        </is>
      </c>
      <c r="K1573" s="12" t="inlineStr">
        <is>
          <t>LV|3/C+G|10</t>
        </is>
      </c>
      <c r="L1573" s="12" t="inlineStr">
        <is>
          <t>3/C+G</t>
        </is>
      </c>
      <c r="M1573" s="12" t="inlineStr">
        <is>
          <t>10</t>
        </is>
      </c>
      <c r="N1573" s="12" t="n">
        <v>1</v>
      </c>
      <c r="O1573" s="12" t="n">
        <v>1</v>
      </c>
      <c r="P1573" s="12" t="n">
        <v>480</v>
      </c>
      <c r="Q1573" s="12" t="n">
        <v>2.5</v>
      </c>
      <c r="R1573" s="12" t="n">
        <v>3.5</v>
      </c>
      <c r="S1573" s="12" t="inlineStr">
        <is>
          <t>Tray</t>
        </is>
      </c>
      <c r="T1573" s="16" t="n">
        <v>0</v>
      </c>
      <c r="U1573" s="16" t="n">
        <v>87</v>
      </c>
      <c r="V1573" s="16">
        <f>ROUNDUP((T1573+U1573+2*'Read Me'!$B$13)*(1+'Read Me'!$B$12),-1)</f>
        <v/>
      </c>
      <c r="W1573" s="16">
        <f>V1573*N1573*O1573</f>
        <v/>
      </c>
      <c r="X1573" s="12">
        <f>IF(LEFT(I1573,2)="MV",2*N1573*IF(L1573="1/C",O1573,1),0)</f>
        <v/>
      </c>
      <c r="Y1573" s="12">
        <f>IF(OR(LEFT(K1573,4)="LVAX",LEFT(K1573,6)="MV15AX",LEFT(K1573,4)="CTAX",LEFT(K1573,2)="W|"),2*N1573*O1573,0)</f>
        <v/>
      </c>
      <c r="Z1573" s="12" t="inlineStr">
        <is>
          <t>VD 0.1 %</t>
        </is>
      </c>
      <c r="AA1573" s="12">
        <f>N1573*O1573</f>
        <v/>
      </c>
    </row>
    <row r="1574">
      <c r="A1574" s="12" t="inlineStr">
        <is>
          <t>A-P-0207</t>
        </is>
      </c>
      <c r="B1574" s="12" t="inlineStr">
        <is>
          <t>A</t>
        </is>
      </c>
      <c r="C1574" s="12" t="inlineStr">
        <is>
          <t>Power block</t>
        </is>
      </c>
      <c r="D1574" s="12" t="inlineStr">
        <is>
          <t>MOV 41: power</t>
        </is>
      </c>
      <c r="E1574" s="12" t="inlineStr">
        <is>
          <t>R2A</t>
        </is>
      </c>
      <c r="F1574" s="12" t="inlineStr">
        <is>
          <t>R2A: unit / HRSG electrical e-house (32 x 40 ft)</t>
        </is>
      </c>
      <c r="G1574" s="12" t="inlineStr">
        <is>
          <t>HRSG-1</t>
        </is>
      </c>
      <c r="H1574" s="12" t="inlineStr">
        <is>
          <t>HRSG 1 + SCR (3P reheat, horizontal)</t>
        </is>
      </c>
      <c r="I1574" s="12" t="inlineStr">
        <is>
          <t>LV 600 V</t>
        </is>
      </c>
      <c r="J1574" s="12" t="inlineStr">
        <is>
          <t>Type TC-ER 600 V 3/C Cu XHHW-2 + ground, PVC jacket</t>
        </is>
      </c>
      <c r="K1574" s="12" t="inlineStr">
        <is>
          <t>LV|3/C+G|10</t>
        </is>
      </c>
      <c r="L1574" s="12" t="inlineStr">
        <is>
          <t>3/C+G</t>
        </is>
      </c>
      <c r="M1574" s="12" t="inlineStr">
        <is>
          <t>10</t>
        </is>
      </c>
      <c r="N1574" s="12" t="n">
        <v>1</v>
      </c>
      <c r="O1574" s="12" t="n">
        <v>1</v>
      </c>
      <c r="P1574" s="12" t="n">
        <v>480</v>
      </c>
      <c r="Q1574" s="12" t="n">
        <v>2.5</v>
      </c>
      <c r="R1574" s="12" t="n">
        <v>3.5</v>
      </c>
      <c r="S1574" s="12" t="inlineStr">
        <is>
          <t>Tray</t>
        </is>
      </c>
      <c r="T1574" s="16" t="n">
        <v>0</v>
      </c>
      <c r="U1574" s="16" t="n">
        <v>87</v>
      </c>
      <c r="V1574" s="16">
        <f>ROUNDUP((T1574+U1574+2*'Read Me'!$B$13)*(1+'Read Me'!$B$12),-1)</f>
        <v/>
      </c>
      <c r="W1574" s="16">
        <f>V1574*N1574*O1574</f>
        <v/>
      </c>
      <c r="X1574" s="12">
        <f>IF(LEFT(I1574,2)="MV",2*N1574*IF(L1574="1/C",O1574,1),0)</f>
        <v/>
      </c>
      <c r="Y1574" s="12">
        <f>IF(OR(LEFT(K1574,4)="LVAX",LEFT(K1574,6)="MV15AX",LEFT(K1574,4)="CTAX",LEFT(K1574,2)="W|"),2*N1574*O1574,0)</f>
        <v/>
      </c>
      <c r="Z1574" s="12" t="inlineStr">
        <is>
          <t>VD 0.1 %</t>
        </is>
      </c>
      <c r="AA1574" s="12">
        <f>N1574*O1574</f>
        <v/>
      </c>
    </row>
    <row r="1575">
      <c r="A1575" s="12" t="inlineStr">
        <is>
          <t>A-P-0208</t>
        </is>
      </c>
      <c r="B1575" s="12" t="inlineStr">
        <is>
          <t>A</t>
        </is>
      </c>
      <c r="C1575" s="12" t="inlineStr">
        <is>
          <t>Power block</t>
        </is>
      </c>
      <c r="D1575" s="12" t="inlineStr">
        <is>
          <t>MOV 42: power</t>
        </is>
      </c>
      <c r="E1575" s="12" t="inlineStr">
        <is>
          <t>R2A</t>
        </is>
      </c>
      <c r="F1575" s="12" t="inlineStr">
        <is>
          <t>R2A: unit / HRSG electrical e-house (32 x 40 ft)</t>
        </is>
      </c>
      <c r="G1575" s="12" t="inlineStr">
        <is>
          <t>HRSG-1</t>
        </is>
      </c>
      <c r="H1575" s="12" t="inlineStr">
        <is>
          <t>HRSG 1 + SCR (3P reheat, horizontal)</t>
        </is>
      </c>
      <c r="I1575" s="12" t="inlineStr">
        <is>
          <t>LV 600 V</t>
        </is>
      </c>
      <c r="J1575" s="12" t="inlineStr">
        <is>
          <t>Type TC-ER 600 V 3/C Cu XHHW-2 + ground, PVC jacket</t>
        </is>
      </c>
      <c r="K1575" s="12" t="inlineStr">
        <is>
          <t>LV|3/C+G|10</t>
        </is>
      </c>
      <c r="L1575" s="12" t="inlineStr">
        <is>
          <t>3/C+G</t>
        </is>
      </c>
      <c r="M1575" s="12" t="inlineStr">
        <is>
          <t>10</t>
        </is>
      </c>
      <c r="N1575" s="12" t="n">
        <v>1</v>
      </c>
      <c r="O1575" s="12" t="n">
        <v>1</v>
      </c>
      <c r="P1575" s="12" t="n">
        <v>480</v>
      </c>
      <c r="Q1575" s="12" t="n">
        <v>2.5</v>
      </c>
      <c r="R1575" s="12" t="n">
        <v>3.5</v>
      </c>
      <c r="S1575" s="12" t="inlineStr">
        <is>
          <t>Tray</t>
        </is>
      </c>
      <c r="T1575" s="16" t="n">
        <v>0</v>
      </c>
      <c r="U1575" s="16" t="n">
        <v>87</v>
      </c>
      <c r="V1575" s="16">
        <f>ROUNDUP((T1575+U1575+2*'Read Me'!$B$13)*(1+'Read Me'!$B$12),-1)</f>
        <v/>
      </c>
      <c r="W1575" s="16">
        <f>V1575*N1575*O1575</f>
        <v/>
      </c>
      <c r="X1575" s="12">
        <f>IF(LEFT(I1575,2)="MV",2*N1575*IF(L1575="1/C",O1575,1),0)</f>
        <v/>
      </c>
      <c r="Y1575" s="12">
        <f>IF(OR(LEFT(K1575,4)="LVAX",LEFT(K1575,6)="MV15AX",LEFT(K1575,4)="CTAX",LEFT(K1575,2)="W|"),2*N1575*O1575,0)</f>
        <v/>
      </c>
      <c r="Z1575" s="12" t="inlineStr">
        <is>
          <t>VD 0.1 %</t>
        </is>
      </c>
      <c r="AA1575" s="12">
        <f>N1575*O1575</f>
        <v/>
      </c>
    </row>
    <row r="1576">
      <c r="A1576" s="12" t="inlineStr">
        <is>
          <t>A-P-0209</t>
        </is>
      </c>
      <c r="B1576" s="12" t="inlineStr">
        <is>
          <t>A</t>
        </is>
      </c>
      <c r="C1576" s="12" t="inlineStr">
        <is>
          <t>Power block</t>
        </is>
      </c>
      <c r="D1576" s="12" t="inlineStr">
        <is>
          <t>MOV 43: power</t>
        </is>
      </c>
      <c r="E1576" s="12" t="inlineStr">
        <is>
          <t>R2A</t>
        </is>
      </c>
      <c r="F1576" s="12" t="inlineStr">
        <is>
          <t>R2A: unit / HRSG electrical e-house (32 x 40 ft)</t>
        </is>
      </c>
      <c r="G1576" s="12" t="inlineStr">
        <is>
          <t>HRSG-1</t>
        </is>
      </c>
      <c r="H1576" s="12" t="inlineStr">
        <is>
          <t>HRSG 1 + SCR (3P reheat, horizontal)</t>
        </is>
      </c>
      <c r="I1576" s="12" t="inlineStr">
        <is>
          <t>LV 600 V</t>
        </is>
      </c>
      <c r="J1576" s="12" t="inlineStr">
        <is>
          <t>Type TC-ER 600 V 3/C Cu XHHW-2 + ground, PVC jacket</t>
        </is>
      </c>
      <c r="K1576" s="12" t="inlineStr">
        <is>
          <t>LV|3/C+G|10</t>
        </is>
      </c>
      <c r="L1576" s="12" t="inlineStr">
        <is>
          <t>3/C+G</t>
        </is>
      </c>
      <c r="M1576" s="12" t="inlineStr">
        <is>
          <t>10</t>
        </is>
      </c>
      <c r="N1576" s="12" t="n">
        <v>1</v>
      </c>
      <c r="O1576" s="12" t="n">
        <v>1</v>
      </c>
      <c r="P1576" s="12" t="n">
        <v>480</v>
      </c>
      <c r="Q1576" s="12" t="n">
        <v>2.5</v>
      </c>
      <c r="R1576" s="12" t="n">
        <v>3.5</v>
      </c>
      <c r="S1576" s="12" t="inlineStr">
        <is>
          <t>Tray</t>
        </is>
      </c>
      <c r="T1576" s="16" t="n">
        <v>0</v>
      </c>
      <c r="U1576" s="16" t="n">
        <v>87</v>
      </c>
      <c r="V1576" s="16">
        <f>ROUNDUP((T1576+U1576+2*'Read Me'!$B$13)*(1+'Read Me'!$B$12),-1)</f>
        <v/>
      </c>
      <c r="W1576" s="16">
        <f>V1576*N1576*O1576</f>
        <v/>
      </c>
      <c r="X1576" s="12">
        <f>IF(LEFT(I1576,2)="MV",2*N1576*IF(L1576="1/C",O1576,1),0)</f>
        <v/>
      </c>
      <c r="Y1576" s="12">
        <f>IF(OR(LEFT(K1576,4)="LVAX",LEFT(K1576,6)="MV15AX",LEFT(K1576,4)="CTAX",LEFT(K1576,2)="W|"),2*N1576*O1576,0)</f>
        <v/>
      </c>
      <c r="Z1576" s="12" t="inlineStr">
        <is>
          <t>VD 0.1 %</t>
        </is>
      </c>
      <c r="AA1576" s="12">
        <f>N1576*O1576</f>
        <v/>
      </c>
    </row>
    <row r="1577">
      <c r="A1577" s="12" t="inlineStr">
        <is>
          <t>A-P-0210</t>
        </is>
      </c>
      <c r="B1577" s="12" t="inlineStr">
        <is>
          <t>A</t>
        </is>
      </c>
      <c r="C1577" s="12" t="inlineStr">
        <is>
          <t>Power block</t>
        </is>
      </c>
      <c r="D1577" s="12" t="inlineStr">
        <is>
          <t>MOV 44: power</t>
        </is>
      </c>
      <c r="E1577" s="12" t="inlineStr">
        <is>
          <t>R2A</t>
        </is>
      </c>
      <c r="F1577" s="12" t="inlineStr">
        <is>
          <t>R2A: unit / HRSG electrical e-house (32 x 40 ft)</t>
        </is>
      </c>
      <c r="G1577" s="12" t="inlineStr">
        <is>
          <t>HRSG-1</t>
        </is>
      </c>
      <c r="H1577" s="12" t="inlineStr">
        <is>
          <t>HRSG 1 + SCR (3P reheat, horizontal)</t>
        </is>
      </c>
      <c r="I1577" s="12" t="inlineStr">
        <is>
          <t>LV 600 V</t>
        </is>
      </c>
      <c r="J1577" s="12" t="inlineStr">
        <is>
          <t>Type TC-ER 600 V 3/C Cu XHHW-2 + ground, PVC jacket</t>
        </is>
      </c>
      <c r="K1577" s="12" t="inlineStr">
        <is>
          <t>LV|3/C+G|10</t>
        </is>
      </c>
      <c r="L1577" s="12" t="inlineStr">
        <is>
          <t>3/C+G</t>
        </is>
      </c>
      <c r="M1577" s="12" t="inlineStr">
        <is>
          <t>10</t>
        </is>
      </c>
      <c r="N1577" s="12" t="n">
        <v>1</v>
      </c>
      <c r="O1577" s="12" t="n">
        <v>1</v>
      </c>
      <c r="P1577" s="12" t="n">
        <v>480</v>
      </c>
      <c r="Q1577" s="12" t="n">
        <v>2.5</v>
      </c>
      <c r="R1577" s="12" t="n">
        <v>3.5</v>
      </c>
      <c r="S1577" s="12" t="inlineStr">
        <is>
          <t>Tray</t>
        </is>
      </c>
      <c r="T1577" s="16" t="n">
        <v>0</v>
      </c>
      <c r="U1577" s="16" t="n">
        <v>87</v>
      </c>
      <c r="V1577" s="16">
        <f>ROUNDUP((T1577+U1577+2*'Read Me'!$B$13)*(1+'Read Me'!$B$12),-1)</f>
        <v/>
      </c>
      <c r="W1577" s="16">
        <f>V1577*N1577*O1577</f>
        <v/>
      </c>
      <c r="X1577" s="12">
        <f>IF(LEFT(I1577,2)="MV",2*N1577*IF(L1577="1/C",O1577,1),0)</f>
        <v/>
      </c>
      <c r="Y1577" s="12">
        <f>IF(OR(LEFT(K1577,4)="LVAX",LEFT(K1577,6)="MV15AX",LEFT(K1577,4)="CTAX",LEFT(K1577,2)="W|"),2*N1577*O1577,0)</f>
        <v/>
      </c>
      <c r="Z1577" s="12" t="inlineStr">
        <is>
          <t>VD 0.1 %</t>
        </is>
      </c>
      <c r="AA1577" s="12">
        <f>N1577*O1577</f>
        <v/>
      </c>
    </row>
    <row r="1578">
      <c r="A1578" s="12" t="inlineStr">
        <is>
          <t>A-P-0211</t>
        </is>
      </c>
      <c r="B1578" s="12" t="inlineStr">
        <is>
          <t>A</t>
        </is>
      </c>
      <c r="C1578" s="12" t="inlineStr">
        <is>
          <t>Power block</t>
        </is>
      </c>
      <c r="D1578" s="12" t="inlineStr">
        <is>
          <t>MOV 45: power</t>
        </is>
      </c>
      <c r="E1578" s="12" t="inlineStr">
        <is>
          <t>R2A</t>
        </is>
      </c>
      <c r="F1578" s="12" t="inlineStr">
        <is>
          <t>R2A: unit / HRSG electrical e-house (32 x 40 ft)</t>
        </is>
      </c>
      <c r="G1578" s="12" t="inlineStr">
        <is>
          <t>HRSG-1</t>
        </is>
      </c>
      <c r="H1578" s="12" t="inlineStr">
        <is>
          <t>HRSG 1 + SCR (3P reheat, horizontal)</t>
        </is>
      </c>
      <c r="I1578" s="12" t="inlineStr">
        <is>
          <t>LV 600 V</t>
        </is>
      </c>
      <c r="J1578" s="12" t="inlineStr">
        <is>
          <t>Type TC-ER 600 V 3/C Cu XHHW-2 + ground, PVC jacket</t>
        </is>
      </c>
      <c r="K1578" s="12" t="inlineStr">
        <is>
          <t>LV|3/C+G|10</t>
        </is>
      </c>
      <c r="L1578" s="12" t="inlineStr">
        <is>
          <t>3/C+G</t>
        </is>
      </c>
      <c r="M1578" s="12" t="inlineStr">
        <is>
          <t>10</t>
        </is>
      </c>
      <c r="N1578" s="12" t="n">
        <v>1</v>
      </c>
      <c r="O1578" s="12" t="n">
        <v>1</v>
      </c>
      <c r="P1578" s="12" t="n">
        <v>480</v>
      </c>
      <c r="Q1578" s="12" t="n">
        <v>2.5</v>
      </c>
      <c r="R1578" s="12" t="n">
        <v>3.5</v>
      </c>
      <c r="S1578" s="12" t="inlineStr">
        <is>
          <t>Tray</t>
        </is>
      </c>
      <c r="T1578" s="16" t="n">
        <v>0</v>
      </c>
      <c r="U1578" s="16" t="n">
        <v>87</v>
      </c>
      <c r="V1578" s="16">
        <f>ROUNDUP((T1578+U1578+2*'Read Me'!$B$13)*(1+'Read Me'!$B$12),-1)</f>
        <v/>
      </c>
      <c r="W1578" s="16">
        <f>V1578*N1578*O1578</f>
        <v/>
      </c>
      <c r="X1578" s="12">
        <f>IF(LEFT(I1578,2)="MV",2*N1578*IF(L1578="1/C",O1578,1),0)</f>
        <v/>
      </c>
      <c r="Y1578" s="12">
        <f>IF(OR(LEFT(K1578,4)="LVAX",LEFT(K1578,6)="MV15AX",LEFT(K1578,4)="CTAX",LEFT(K1578,2)="W|"),2*N1578*O1578,0)</f>
        <v/>
      </c>
      <c r="Z1578" s="12" t="inlineStr">
        <is>
          <t>VD 0.1 %</t>
        </is>
      </c>
      <c r="AA1578" s="12">
        <f>N1578*O1578</f>
        <v/>
      </c>
    </row>
    <row r="1579">
      <c r="A1579" s="12" t="inlineStr">
        <is>
          <t>A-P-0212</t>
        </is>
      </c>
      <c r="B1579" s="12" t="inlineStr">
        <is>
          <t>A</t>
        </is>
      </c>
      <c r="C1579" s="12" t="inlineStr">
        <is>
          <t>Power block</t>
        </is>
      </c>
      <c r="D1579" s="12" t="inlineStr">
        <is>
          <t>Area / platform lighting circuit 1 (12 fixtures)</t>
        </is>
      </c>
      <c r="E1579" s="12" t="inlineStr">
        <is>
          <t>R2A</t>
        </is>
      </c>
      <c r="F1579" s="12" t="inlineStr">
        <is>
          <t>R2A: unit / HRSG electrical e-house (32 x 40 ft)</t>
        </is>
      </c>
      <c r="G1579" s="12" t="inlineStr">
        <is>
          <t>HRSG-1</t>
        </is>
      </c>
      <c r="H1579" s="12" t="inlineStr">
        <is>
          <t>HRSG 1 + SCR (3P reheat, horizontal)</t>
        </is>
      </c>
      <c r="I1579" s="12" t="inlineStr">
        <is>
          <t>LV 600 V</t>
        </is>
      </c>
      <c r="J1579" s="12" t="inlineStr">
        <is>
          <t>Type TC-ER 600 V 3/C Cu XHHW-2 + ground, PVC jacket</t>
        </is>
      </c>
      <c r="K1579" s="12" t="inlineStr">
        <is>
          <t>LV|3/C+G|10</t>
        </is>
      </c>
      <c r="L1579" s="12" t="inlineStr">
        <is>
          <t>3/C+G</t>
        </is>
      </c>
      <c r="M1579" s="12" t="inlineStr">
        <is>
          <t>10</t>
        </is>
      </c>
      <c r="N1579" s="12" t="n">
        <v>1</v>
      </c>
      <c r="O1579" s="12" t="n">
        <v>1</v>
      </c>
      <c r="P1579" s="12" t="n">
        <v>480</v>
      </c>
      <c r="Q1579" s="12" t="n">
        <v>3</v>
      </c>
      <c r="R1579" s="12" t="n">
        <v>5</v>
      </c>
      <c r="S1579" s="12" t="inlineStr">
        <is>
          <t>Tray</t>
        </is>
      </c>
      <c r="T1579" s="16" t="n">
        <v>300</v>
      </c>
      <c r="U1579" s="16" t="n">
        <v>87</v>
      </c>
      <c r="V1579" s="16">
        <f>ROUNDUP((T1579+U1579+2*'Read Me'!$B$13)*(1+'Read Me'!$B$12),-1)</f>
        <v/>
      </c>
      <c r="W1579" s="16">
        <f>V1579*N1579*O1579</f>
        <v/>
      </c>
      <c r="X1579" s="12">
        <f>IF(LEFT(I1579,2)="MV",2*N1579*IF(L1579="1/C",O1579,1),0)</f>
        <v/>
      </c>
      <c r="Y1579" s="12">
        <f>IF(OR(LEFT(K1579,4)="LVAX",LEFT(K1579,6)="MV15AX",LEFT(K1579,4)="CTAX",LEFT(K1579,2)="W|"),2*N1579*O1579,0)</f>
        <v/>
      </c>
      <c r="Z1579" s="12" t="inlineStr">
        <is>
          <t>fixture-to-fixture run included</t>
        </is>
      </c>
      <c r="AA1579" s="12">
        <f>N1579*O1579</f>
        <v/>
      </c>
    </row>
    <row r="1580">
      <c r="A1580" s="12" t="inlineStr">
        <is>
          <t>A-P-0213</t>
        </is>
      </c>
      <c r="B1580" s="12" t="inlineStr">
        <is>
          <t>A</t>
        </is>
      </c>
      <c r="C1580" s="12" t="inlineStr">
        <is>
          <t>Power block</t>
        </is>
      </c>
      <c r="D1580" s="12" t="inlineStr">
        <is>
          <t>Area / platform lighting circuit 2 (12 fixtures)</t>
        </is>
      </c>
      <c r="E1580" s="12" t="inlineStr">
        <is>
          <t>R2A</t>
        </is>
      </c>
      <c r="F1580" s="12" t="inlineStr">
        <is>
          <t>R2A: unit / HRSG electrical e-house (32 x 40 ft)</t>
        </is>
      </c>
      <c r="G1580" s="12" t="inlineStr">
        <is>
          <t>HRSG-1</t>
        </is>
      </c>
      <c r="H1580" s="12" t="inlineStr">
        <is>
          <t>HRSG 1 + SCR (3P reheat, horizontal)</t>
        </is>
      </c>
      <c r="I1580" s="12" t="inlineStr">
        <is>
          <t>LV 600 V</t>
        </is>
      </c>
      <c r="J1580" s="12" t="inlineStr">
        <is>
          <t>Type TC-ER 600 V 3/C Cu XHHW-2 + ground, PVC jacket</t>
        </is>
      </c>
      <c r="K1580" s="12" t="inlineStr">
        <is>
          <t>LV|3/C+G|10</t>
        </is>
      </c>
      <c r="L1580" s="12" t="inlineStr">
        <is>
          <t>3/C+G</t>
        </is>
      </c>
      <c r="M1580" s="12" t="inlineStr">
        <is>
          <t>10</t>
        </is>
      </c>
      <c r="N1580" s="12" t="n">
        <v>1</v>
      </c>
      <c r="O1580" s="12" t="n">
        <v>1</v>
      </c>
      <c r="P1580" s="12" t="n">
        <v>480</v>
      </c>
      <c r="Q1580" s="12" t="n">
        <v>3</v>
      </c>
      <c r="R1580" s="12" t="n">
        <v>5</v>
      </c>
      <c r="S1580" s="12" t="inlineStr">
        <is>
          <t>Tray</t>
        </is>
      </c>
      <c r="T1580" s="16" t="n">
        <v>300</v>
      </c>
      <c r="U1580" s="16" t="n">
        <v>87</v>
      </c>
      <c r="V1580" s="16">
        <f>ROUNDUP((T1580+U1580+2*'Read Me'!$B$13)*(1+'Read Me'!$B$12),-1)</f>
        <v/>
      </c>
      <c r="W1580" s="16">
        <f>V1580*N1580*O1580</f>
        <v/>
      </c>
      <c r="X1580" s="12">
        <f>IF(LEFT(I1580,2)="MV",2*N1580*IF(L1580="1/C",O1580,1),0)</f>
        <v/>
      </c>
      <c r="Y1580" s="12">
        <f>IF(OR(LEFT(K1580,4)="LVAX",LEFT(K1580,6)="MV15AX",LEFT(K1580,4)="CTAX",LEFT(K1580,2)="W|"),2*N1580*O1580,0)</f>
        <v/>
      </c>
      <c r="Z1580" s="12" t="inlineStr">
        <is>
          <t>fixture-to-fixture run included</t>
        </is>
      </c>
      <c r="AA1580" s="12">
        <f>N1580*O1580</f>
        <v/>
      </c>
    </row>
    <row r="1581">
      <c r="A1581" s="12" t="inlineStr">
        <is>
          <t>A-P-0214</t>
        </is>
      </c>
      <c r="B1581" s="12" t="inlineStr">
        <is>
          <t>A</t>
        </is>
      </c>
      <c r="C1581" s="12" t="inlineStr">
        <is>
          <t>Power block</t>
        </is>
      </c>
      <c r="D1581" s="12" t="inlineStr">
        <is>
          <t>Area / platform lighting circuit 3 (12 fixtures)</t>
        </is>
      </c>
      <c r="E1581" s="12" t="inlineStr">
        <is>
          <t>R2A</t>
        </is>
      </c>
      <c r="F1581" s="12" t="inlineStr">
        <is>
          <t>R2A: unit / HRSG electrical e-house (32 x 40 ft)</t>
        </is>
      </c>
      <c r="G1581" s="12" t="inlineStr">
        <is>
          <t>HRSG-1</t>
        </is>
      </c>
      <c r="H1581" s="12" t="inlineStr">
        <is>
          <t>HRSG 1 + SCR (3P reheat, horizontal)</t>
        </is>
      </c>
      <c r="I1581" s="12" t="inlineStr">
        <is>
          <t>LV 600 V</t>
        </is>
      </c>
      <c r="J1581" s="12" t="inlineStr">
        <is>
          <t>Type TC-ER 600 V 3/C Cu XHHW-2 + ground, PVC jacket</t>
        </is>
      </c>
      <c r="K1581" s="12" t="inlineStr">
        <is>
          <t>LV|3/C+G|10</t>
        </is>
      </c>
      <c r="L1581" s="12" t="inlineStr">
        <is>
          <t>3/C+G</t>
        </is>
      </c>
      <c r="M1581" s="12" t="inlineStr">
        <is>
          <t>10</t>
        </is>
      </c>
      <c r="N1581" s="12" t="n">
        <v>1</v>
      </c>
      <c r="O1581" s="12" t="n">
        <v>1</v>
      </c>
      <c r="P1581" s="12" t="n">
        <v>480</v>
      </c>
      <c r="Q1581" s="12" t="n">
        <v>3</v>
      </c>
      <c r="R1581" s="12" t="n">
        <v>5</v>
      </c>
      <c r="S1581" s="12" t="inlineStr">
        <is>
          <t>Tray</t>
        </is>
      </c>
      <c r="T1581" s="16" t="n">
        <v>300</v>
      </c>
      <c r="U1581" s="16" t="n">
        <v>87</v>
      </c>
      <c r="V1581" s="16">
        <f>ROUNDUP((T1581+U1581+2*'Read Me'!$B$13)*(1+'Read Me'!$B$12),-1)</f>
        <v/>
      </c>
      <c r="W1581" s="16">
        <f>V1581*N1581*O1581</f>
        <v/>
      </c>
      <c r="X1581" s="12">
        <f>IF(LEFT(I1581,2)="MV",2*N1581*IF(L1581="1/C",O1581,1),0)</f>
        <v/>
      </c>
      <c r="Y1581" s="12">
        <f>IF(OR(LEFT(K1581,4)="LVAX",LEFT(K1581,6)="MV15AX",LEFT(K1581,4)="CTAX",LEFT(K1581,2)="W|"),2*N1581*O1581,0)</f>
        <v/>
      </c>
      <c r="Z1581" s="12" t="inlineStr">
        <is>
          <t>fixture-to-fixture run included</t>
        </is>
      </c>
      <c r="AA1581" s="12">
        <f>N1581*O1581</f>
        <v/>
      </c>
    </row>
    <row r="1582">
      <c r="A1582" s="12" t="inlineStr">
        <is>
          <t>A-P-0215</t>
        </is>
      </c>
      <c r="B1582" s="12" t="inlineStr">
        <is>
          <t>A</t>
        </is>
      </c>
      <c r="C1582" s="12" t="inlineStr">
        <is>
          <t>Power block</t>
        </is>
      </c>
      <c r="D1582" s="12" t="inlineStr">
        <is>
          <t>Area / platform lighting circuit 4 (4 fixtures)</t>
        </is>
      </c>
      <c r="E1582" s="12" t="inlineStr">
        <is>
          <t>R2A</t>
        </is>
      </c>
      <c r="F1582" s="12" t="inlineStr">
        <is>
          <t>R2A: unit / HRSG electrical e-house (32 x 40 ft)</t>
        </is>
      </c>
      <c r="G1582" s="12" t="inlineStr">
        <is>
          <t>HRSG-1</t>
        </is>
      </c>
      <c r="H1582" s="12" t="inlineStr">
        <is>
          <t>HRSG 1 + SCR (3P reheat, horizontal)</t>
        </is>
      </c>
      <c r="I1582" s="12" t="inlineStr">
        <is>
          <t>LV 600 V</t>
        </is>
      </c>
      <c r="J1582" s="12" t="inlineStr">
        <is>
          <t>Type TC-ER 600 V 3/C Cu XHHW-2 + ground, PVC jacket</t>
        </is>
      </c>
      <c r="K1582" s="12" t="inlineStr">
        <is>
          <t>LV|3/C+G|10</t>
        </is>
      </c>
      <c r="L1582" s="12" t="inlineStr">
        <is>
          <t>3/C+G</t>
        </is>
      </c>
      <c r="M1582" s="12" t="inlineStr">
        <is>
          <t>10</t>
        </is>
      </c>
      <c r="N1582" s="12" t="n">
        <v>1</v>
      </c>
      <c r="O1582" s="12" t="n">
        <v>1</v>
      </c>
      <c r="P1582" s="12" t="n">
        <v>480</v>
      </c>
      <c r="Q1582" s="12" t="n">
        <v>3</v>
      </c>
      <c r="R1582" s="12" t="n">
        <v>5</v>
      </c>
      <c r="S1582" s="12" t="inlineStr">
        <is>
          <t>Tray</t>
        </is>
      </c>
      <c r="T1582" s="16" t="n">
        <v>300</v>
      </c>
      <c r="U1582" s="16" t="n">
        <v>87</v>
      </c>
      <c r="V1582" s="16">
        <f>ROUNDUP((T1582+U1582+2*'Read Me'!$B$13)*(1+'Read Me'!$B$12),-1)</f>
        <v/>
      </c>
      <c r="W1582" s="16">
        <f>V1582*N1582*O1582</f>
        <v/>
      </c>
      <c r="X1582" s="12">
        <f>IF(LEFT(I1582,2)="MV",2*N1582*IF(L1582="1/C",O1582,1),0)</f>
        <v/>
      </c>
      <c r="Y1582" s="12">
        <f>IF(OR(LEFT(K1582,4)="LVAX",LEFT(K1582,6)="MV15AX",LEFT(K1582,4)="CTAX",LEFT(K1582,2)="W|"),2*N1582*O1582,0)</f>
        <v/>
      </c>
      <c r="Z1582" s="12" t="inlineStr">
        <is>
          <t>fixture-to-fixture run included</t>
        </is>
      </c>
      <c r="AA1582" s="12">
        <f>N1582*O1582</f>
        <v/>
      </c>
    </row>
    <row r="1583">
      <c r="A1583" s="12" t="inlineStr">
        <is>
          <t>A-P-0216</t>
        </is>
      </c>
      <c r="B1583" s="12" t="inlineStr">
        <is>
          <t>A</t>
        </is>
      </c>
      <c r="C1583" s="12" t="inlineStr">
        <is>
          <t>Power block</t>
        </is>
      </c>
      <c r="D1583" s="12" t="inlineStr">
        <is>
          <t>480 V welding receptacle 1</t>
        </is>
      </c>
      <c r="E1583" s="12" t="inlineStr">
        <is>
          <t>R2A</t>
        </is>
      </c>
      <c r="F1583" s="12" t="inlineStr">
        <is>
          <t>R2A: unit / HRSG electrical e-house (32 x 40 ft)</t>
        </is>
      </c>
      <c r="G1583" s="12" t="inlineStr">
        <is>
          <t>HRSG-1</t>
        </is>
      </c>
      <c r="H1583" s="12" t="inlineStr">
        <is>
          <t>HRSG 1 + SCR (3P reheat, horizontal)</t>
        </is>
      </c>
      <c r="I1583" s="12" t="inlineStr">
        <is>
          <t>LV 600 V</t>
        </is>
      </c>
      <c r="J1583" s="12" t="inlineStr">
        <is>
          <t>Type TC-ER 600 V 3/C Cu XHHW-2 + ground, PVC jacket</t>
        </is>
      </c>
      <c r="K1583" s="12" t="inlineStr">
        <is>
          <t>LV|3/C+G|2</t>
        </is>
      </c>
      <c r="L1583" s="12" t="inlineStr">
        <is>
          <t>3/C+G</t>
        </is>
      </c>
      <c r="M1583" s="12" t="inlineStr">
        <is>
          <t>2</t>
        </is>
      </c>
      <c r="N1583" s="12" t="n">
        <v>1</v>
      </c>
      <c r="O1583" s="12" t="n">
        <v>1</v>
      </c>
      <c r="P1583" s="12" t="n">
        <v>480</v>
      </c>
      <c r="Q1583" s="12" t="n">
        <v>60</v>
      </c>
      <c r="R1583" s="12" t="n">
        <v>76</v>
      </c>
      <c r="S1583" s="12" t="inlineStr">
        <is>
          <t>Tray</t>
        </is>
      </c>
      <c r="T1583" s="16" t="n">
        <v>0</v>
      </c>
      <c r="U1583" s="16" t="n">
        <v>87</v>
      </c>
      <c r="V1583" s="16">
        <f>ROUNDUP((T1583+U1583+2*'Read Me'!$B$13)*(1+'Read Me'!$B$12),-1)</f>
        <v/>
      </c>
      <c r="W1583" s="16">
        <f>V1583*N1583*O1583</f>
        <v/>
      </c>
      <c r="X1583" s="12">
        <f>IF(LEFT(I1583,2)="MV",2*N1583*IF(L1583="1/C",O1583,1),0)</f>
        <v/>
      </c>
      <c r="Y1583" s="12">
        <f>IF(OR(LEFT(K1583,4)="LVAX",LEFT(K1583,6)="MV15AX",LEFT(K1583,4)="CTAX",LEFT(K1583,2)="W|"),2*N1583*O1583,0)</f>
        <v/>
      </c>
      <c r="Z1583" s="12" t="inlineStr">
        <is>
          <t>VD 0.5 %</t>
        </is>
      </c>
      <c r="AA1583" s="12">
        <f>N1583*O1583</f>
        <v/>
      </c>
    </row>
    <row r="1584">
      <c r="A1584" s="12" t="inlineStr">
        <is>
          <t>A-P-0217</t>
        </is>
      </c>
      <c r="B1584" s="12" t="inlineStr">
        <is>
          <t>A</t>
        </is>
      </c>
      <c r="C1584" s="12" t="inlineStr">
        <is>
          <t>Power block</t>
        </is>
      </c>
      <c r="D1584" s="12" t="inlineStr">
        <is>
          <t>480 V welding receptacle 2</t>
        </is>
      </c>
      <c r="E1584" s="12" t="inlineStr">
        <is>
          <t>R2A</t>
        </is>
      </c>
      <c r="F1584" s="12" t="inlineStr">
        <is>
          <t>R2A: unit / HRSG electrical e-house (32 x 40 ft)</t>
        </is>
      </c>
      <c r="G1584" s="12" t="inlineStr">
        <is>
          <t>HRSG-1</t>
        </is>
      </c>
      <c r="H1584" s="12" t="inlineStr">
        <is>
          <t>HRSG 1 + SCR (3P reheat, horizontal)</t>
        </is>
      </c>
      <c r="I1584" s="12" t="inlineStr">
        <is>
          <t>LV 600 V</t>
        </is>
      </c>
      <c r="J1584" s="12" t="inlineStr">
        <is>
          <t>Type TC-ER 600 V 3/C Cu XHHW-2 + ground, PVC jacket</t>
        </is>
      </c>
      <c r="K1584" s="12" t="inlineStr">
        <is>
          <t>LV|3/C+G|2</t>
        </is>
      </c>
      <c r="L1584" s="12" t="inlineStr">
        <is>
          <t>3/C+G</t>
        </is>
      </c>
      <c r="M1584" s="12" t="inlineStr">
        <is>
          <t>2</t>
        </is>
      </c>
      <c r="N1584" s="12" t="n">
        <v>1</v>
      </c>
      <c r="O1584" s="12" t="n">
        <v>1</v>
      </c>
      <c r="P1584" s="12" t="n">
        <v>480</v>
      </c>
      <c r="Q1584" s="12" t="n">
        <v>60</v>
      </c>
      <c r="R1584" s="12" t="n">
        <v>76</v>
      </c>
      <c r="S1584" s="12" t="inlineStr">
        <is>
          <t>Tray</t>
        </is>
      </c>
      <c r="T1584" s="16" t="n">
        <v>0</v>
      </c>
      <c r="U1584" s="16" t="n">
        <v>87</v>
      </c>
      <c r="V1584" s="16">
        <f>ROUNDUP((T1584+U1584+2*'Read Me'!$B$13)*(1+'Read Me'!$B$12),-1)</f>
        <v/>
      </c>
      <c r="W1584" s="16">
        <f>V1584*N1584*O1584</f>
        <v/>
      </c>
      <c r="X1584" s="12">
        <f>IF(LEFT(I1584,2)="MV",2*N1584*IF(L1584="1/C",O1584,1),0)</f>
        <v/>
      </c>
      <c r="Y1584" s="12">
        <f>IF(OR(LEFT(K1584,4)="LVAX",LEFT(K1584,6)="MV15AX",LEFT(K1584,4)="CTAX",LEFT(K1584,2)="W|"),2*N1584*O1584,0)</f>
        <v/>
      </c>
      <c r="Z1584" s="12" t="inlineStr">
        <is>
          <t>VD 0.5 %</t>
        </is>
      </c>
      <c r="AA1584" s="12">
        <f>N1584*O1584</f>
        <v/>
      </c>
    </row>
    <row r="1585">
      <c r="A1585" s="12" t="inlineStr">
        <is>
          <t>A-P-0218</t>
        </is>
      </c>
      <c r="B1585" s="12" t="inlineStr">
        <is>
          <t>A</t>
        </is>
      </c>
      <c r="C1585" s="12" t="inlineStr">
        <is>
          <t>Power block</t>
        </is>
      </c>
      <c r="D1585" s="12" t="inlineStr">
        <is>
          <t>480 V welding receptacle 3</t>
        </is>
      </c>
      <c r="E1585" s="12" t="inlineStr">
        <is>
          <t>R2A</t>
        </is>
      </c>
      <c r="F1585" s="12" t="inlineStr">
        <is>
          <t>R2A: unit / HRSG electrical e-house (32 x 40 ft)</t>
        </is>
      </c>
      <c r="G1585" s="12" t="inlineStr">
        <is>
          <t>HRSG-1</t>
        </is>
      </c>
      <c r="H1585" s="12" t="inlineStr">
        <is>
          <t>HRSG 1 + SCR (3P reheat, horizontal)</t>
        </is>
      </c>
      <c r="I1585" s="12" t="inlineStr">
        <is>
          <t>LV 600 V</t>
        </is>
      </c>
      <c r="J1585" s="12" t="inlineStr">
        <is>
          <t>Type TC-ER 600 V 3/C Cu XHHW-2 + ground, PVC jacket</t>
        </is>
      </c>
      <c r="K1585" s="12" t="inlineStr">
        <is>
          <t>LV|3/C+G|2</t>
        </is>
      </c>
      <c r="L1585" s="12" t="inlineStr">
        <is>
          <t>3/C+G</t>
        </is>
      </c>
      <c r="M1585" s="12" t="inlineStr">
        <is>
          <t>2</t>
        </is>
      </c>
      <c r="N1585" s="12" t="n">
        <v>1</v>
      </c>
      <c r="O1585" s="12" t="n">
        <v>1</v>
      </c>
      <c r="P1585" s="12" t="n">
        <v>480</v>
      </c>
      <c r="Q1585" s="12" t="n">
        <v>60</v>
      </c>
      <c r="R1585" s="12" t="n">
        <v>76</v>
      </c>
      <c r="S1585" s="12" t="inlineStr">
        <is>
          <t>Tray</t>
        </is>
      </c>
      <c r="T1585" s="16" t="n">
        <v>0</v>
      </c>
      <c r="U1585" s="16" t="n">
        <v>87</v>
      </c>
      <c r="V1585" s="16">
        <f>ROUNDUP((T1585+U1585+2*'Read Me'!$B$13)*(1+'Read Me'!$B$12),-1)</f>
        <v/>
      </c>
      <c r="W1585" s="16">
        <f>V1585*N1585*O1585</f>
        <v/>
      </c>
      <c r="X1585" s="12">
        <f>IF(LEFT(I1585,2)="MV",2*N1585*IF(L1585="1/C",O1585,1),0)</f>
        <v/>
      </c>
      <c r="Y1585" s="12">
        <f>IF(OR(LEFT(K1585,4)="LVAX",LEFT(K1585,6)="MV15AX",LEFT(K1585,4)="CTAX",LEFT(K1585,2)="W|"),2*N1585*O1585,0)</f>
        <v/>
      </c>
      <c r="Z1585" s="12" t="inlineStr">
        <is>
          <t>VD 0.5 %</t>
        </is>
      </c>
      <c r="AA1585" s="12">
        <f>N1585*O1585</f>
        <v/>
      </c>
    </row>
    <row r="1586">
      <c r="A1586" s="12" t="inlineStr">
        <is>
          <t>A-P-0219</t>
        </is>
      </c>
      <c r="B1586" s="12" t="inlineStr">
        <is>
          <t>A</t>
        </is>
      </c>
      <c r="C1586" s="12" t="inlineStr">
        <is>
          <t>Power block</t>
        </is>
      </c>
      <c r="D1586" s="12" t="inlineStr">
        <is>
          <t>480 V welding receptacle 4</t>
        </is>
      </c>
      <c r="E1586" s="12" t="inlineStr">
        <is>
          <t>R2A</t>
        </is>
      </c>
      <c r="F1586" s="12" t="inlineStr">
        <is>
          <t>R2A: unit / HRSG electrical e-house (32 x 40 ft)</t>
        </is>
      </c>
      <c r="G1586" s="12" t="inlineStr">
        <is>
          <t>HRSG-1</t>
        </is>
      </c>
      <c r="H1586" s="12" t="inlineStr">
        <is>
          <t>HRSG 1 + SCR (3P reheat, horizontal)</t>
        </is>
      </c>
      <c r="I1586" s="12" t="inlineStr">
        <is>
          <t>LV 600 V</t>
        </is>
      </c>
      <c r="J1586" s="12" t="inlineStr">
        <is>
          <t>Type TC-ER 600 V 3/C Cu XHHW-2 + ground, PVC jacket</t>
        </is>
      </c>
      <c r="K1586" s="12" t="inlineStr">
        <is>
          <t>LV|3/C+G|2</t>
        </is>
      </c>
      <c r="L1586" s="12" t="inlineStr">
        <is>
          <t>3/C+G</t>
        </is>
      </c>
      <c r="M1586" s="12" t="inlineStr">
        <is>
          <t>2</t>
        </is>
      </c>
      <c r="N1586" s="12" t="n">
        <v>1</v>
      </c>
      <c r="O1586" s="12" t="n">
        <v>1</v>
      </c>
      <c r="P1586" s="12" t="n">
        <v>480</v>
      </c>
      <c r="Q1586" s="12" t="n">
        <v>60</v>
      </c>
      <c r="R1586" s="12" t="n">
        <v>76</v>
      </c>
      <c r="S1586" s="12" t="inlineStr">
        <is>
          <t>Tray</t>
        </is>
      </c>
      <c r="T1586" s="16" t="n">
        <v>0</v>
      </c>
      <c r="U1586" s="16" t="n">
        <v>87</v>
      </c>
      <c r="V1586" s="16">
        <f>ROUNDUP((T1586+U1586+2*'Read Me'!$B$13)*(1+'Read Me'!$B$12),-1)</f>
        <v/>
      </c>
      <c r="W1586" s="16">
        <f>V1586*N1586*O1586</f>
        <v/>
      </c>
      <c r="X1586" s="12">
        <f>IF(LEFT(I1586,2)="MV",2*N1586*IF(L1586="1/C",O1586,1),0)</f>
        <v/>
      </c>
      <c r="Y1586" s="12">
        <f>IF(OR(LEFT(K1586,4)="LVAX",LEFT(K1586,6)="MV15AX",LEFT(K1586,4)="CTAX",LEFT(K1586,2)="W|"),2*N1586*O1586,0)</f>
        <v/>
      </c>
      <c r="Z1586" s="12" t="inlineStr">
        <is>
          <t>VD 0.5 %</t>
        </is>
      </c>
      <c r="AA1586" s="12">
        <f>N1586*O1586</f>
        <v/>
      </c>
    </row>
    <row r="1587">
      <c r="A1587" s="12" t="inlineStr">
        <is>
          <t>A-P-0220</t>
        </is>
      </c>
      <c r="B1587" s="12" t="inlineStr">
        <is>
          <t>A</t>
        </is>
      </c>
      <c r="C1587" s="12" t="inlineStr">
        <is>
          <t>Power block</t>
        </is>
      </c>
      <c r="D1587" s="12" t="inlineStr">
        <is>
          <t>MOV 1: power</t>
        </is>
      </c>
      <c r="E1587" s="12" t="inlineStr">
        <is>
          <t>R2A</t>
        </is>
      </c>
      <c r="F1587" s="12" t="inlineStr">
        <is>
          <t>R2A: unit / HRSG electrical e-house (32 x 40 ft)</t>
        </is>
      </c>
      <c r="G1587" s="12" t="inlineStr"/>
      <c r="H1587" s="12" t="inlineStr">
        <is>
          <t>HRSG 1 blowdown tank (continuous / intermittent)</t>
        </is>
      </c>
      <c r="I1587" s="12" t="inlineStr">
        <is>
          <t>LV 600 V</t>
        </is>
      </c>
      <c r="J1587" s="12" t="inlineStr">
        <is>
          <t>Type TC-ER 600 V 3/C Cu XHHW-2 + ground, PVC jacket</t>
        </is>
      </c>
      <c r="K1587" s="12" t="inlineStr">
        <is>
          <t>LV|3/C+G|10</t>
        </is>
      </c>
      <c r="L1587" s="12" t="inlineStr">
        <is>
          <t>3/C+G</t>
        </is>
      </c>
      <c r="M1587" s="12" t="inlineStr">
        <is>
          <t>10</t>
        </is>
      </c>
      <c r="N1587" s="12" t="n">
        <v>1</v>
      </c>
      <c r="O1587" s="12" t="n">
        <v>1</v>
      </c>
      <c r="P1587" s="12" t="n">
        <v>480</v>
      </c>
      <c r="Q1587" s="12" t="n">
        <v>2.5</v>
      </c>
      <c r="R1587" s="12" t="n">
        <v>3.5</v>
      </c>
      <c r="S1587" s="12" t="inlineStr">
        <is>
          <t>Tray</t>
        </is>
      </c>
      <c r="T1587" s="16" t="n">
        <v>38</v>
      </c>
      <c r="U1587" s="16" t="n">
        <v>86</v>
      </c>
      <c r="V1587" s="16">
        <f>ROUNDUP((T1587+U1587+2*'Read Me'!$B$13)*(1+'Read Me'!$B$12),-1)</f>
        <v/>
      </c>
      <c r="W1587" s="16">
        <f>V1587*N1587*O1587</f>
        <v/>
      </c>
      <c r="X1587" s="12">
        <f>IF(LEFT(I1587,2)="MV",2*N1587*IF(L1587="1/C",O1587,1),0)</f>
        <v/>
      </c>
      <c r="Y1587" s="12">
        <f>IF(OR(LEFT(K1587,4)="LVAX",LEFT(K1587,6)="MV15AX",LEFT(K1587,4)="CTAX",LEFT(K1587,2)="W|"),2*N1587*O1587,0)</f>
        <v/>
      </c>
      <c r="Z1587" s="12" t="inlineStr">
        <is>
          <t>VD 0.2 %</t>
        </is>
      </c>
      <c r="AA1587" s="12">
        <f>N1587*O1587</f>
        <v/>
      </c>
    </row>
    <row r="1588">
      <c r="A1588" s="12" t="inlineStr">
        <is>
          <t>A-P-0221</t>
        </is>
      </c>
      <c r="B1588" s="12" t="inlineStr">
        <is>
          <t>A</t>
        </is>
      </c>
      <c r="C1588" s="12" t="inlineStr">
        <is>
          <t>Power block</t>
        </is>
      </c>
      <c r="D1588" s="12" t="inlineStr">
        <is>
          <t>MOV 2: power</t>
        </is>
      </c>
      <c r="E1588" s="12" t="inlineStr">
        <is>
          <t>R2A</t>
        </is>
      </c>
      <c r="F1588" s="12" t="inlineStr">
        <is>
          <t>R2A: unit / HRSG electrical e-house (32 x 40 ft)</t>
        </is>
      </c>
      <c r="G1588" s="12" t="inlineStr"/>
      <c r="H1588" s="12" t="inlineStr">
        <is>
          <t>HRSG 1 blowdown tank (continuous / intermittent)</t>
        </is>
      </c>
      <c r="I1588" s="12" t="inlineStr">
        <is>
          <t>LV 600 V</t>
        </is>
      </c>
      <c r="J1588" s="12" t="inlineStr">
        <is>
          <t>Type TC-ER 600 V 3/C Cu XHHW-2 + ground, PVC jacket</t>
        </is>
      </c>
      <c r="K1588" s="12" t="inlineStr">
        <is>
          <t>LV|3/C+G|10</t>
        </is>
      </c>
      <c r="L1588" s="12" t="inlineStr">
        <is>
          <t>3/C+G</t>
        </is>
      </c>
      <c r="M1588" s="12" t="inlineStr">
        <is>
          <t>10</t>
        </is>
      </c>
      <c r="N1588" s="12" t="n">
        <v>1</v>
      </c>
      <c r="O1588" s="12" t="n">
        <v>1</v>
      </c>
      <c r="P1588" s="12" t="n">
        <v>480</v>
      </c>
      <c r="Q1588" s="12" t="n">
        <v>2.5</v>
      </c>
      <c r="R1588" s="12" t="n">
        <v>3.5</v>
      </c>
      <c r="S1588" s="12" t="inlineStr">
        <is>
          <t>Tray</t>
        </is>
      </c>
      <c r="T1588" s="16" t="n">
        <v>38</v>
      </c>
      <c r="U1588" s="16" t="n">
        <v>86</v>
      </c>
      <c r="V1588" s="16">
        <f>ROUNDUP((T1588+U1588+2*'Read Me'!$B$13)*(1+'Read Me'!$B$12),-1)</f>
        <v/>
      </c>
      <c r="W1588" s="16">
        <f>V1588*N1588*O1588</f>
        <v/>
      </c>
      <c r="X1588" s="12">
        <f>IF(LEFT(I1588,2)="MV",2*N1588*IF(L1588="1/C",O1588,1),0)</f>
        <v/>
      </c>
      <c r="Y1588" s="12">
        <f>IF(OR(LEFT(K1588,4)="LVAX",LEFT(K1588,6)="MV15AX",LEFT(K1588,4)="CTAX",LEFT(K1588,2)="W|"),2*N1588*O1588,0)</f>
        <v/>
      </c>
      <c r="Z1588" s="12" t="inlineStr">
        <is>
          <t>VD 0.2 %</t>
        </is>
      </c>
      <c r="AA1588" s="12">
        <f>N1588*O1588</f>
        <v/>
      </c>
    </row>
    <row r="1589">
      <c r="A1589" s="12" t="inlineStr">
        <is>
          <t>A-P-0222</t>
        </is>
      </c>
      <c r="B1589" s="12" t="inlineStr">
        <is>
          <t>A</t>
        </is>
      </c>
      <c r="C1589" s="12" t="inlineStr">
        <is>
          <t>Power block</t>
        </is>
      </c>
      <c r="D1589" s="12" t="inlineStr">
        <is>
          <t>MOV 3: power</t>
        </is>
      </c>
      <c r="E1589" s="12" t="inlineStr">
        <is>
          <t>R2A</t>
        </is>
      </c>
      <c r="F1589" s="12" t="inlineStr">
        <is>
          <t>R2A: unit / HRSG electrical e-house (32 x 40 ft)</t>
        </is>
      </c>
      <c r="G1589" s="12" t="inlineStr"/>
      <c r="H1589" s="12" t="inlineStr">
        <is>
          <t>HRSG 1 blowdown tank (continuous / intermittent)</t>
        </is>
      </c>
      <c r="I1589" s="12" t="inlineStr">
        <is>
          <t>LV 600 V</t>
        </is>
      </c>
      <c r="J1589" s="12" t="inlineStr">
        <is>
          <t>Type TC-ER 600 V 3/C Cu XHHW-2 + ground, PVC jacket</t>
        </is>
      </c>
      <c r="K1589" s="12" t="inlineStr">
        <is>
          <t>LV|3/C+G|10</t>
        </is>
      </c>
      <c r="L1589" s="12" t="inlineStr">
        <is>
          <t>3/C+G</t>
        </is>
      </c>
      <c r="M1589" s="12" t="inlineStr">
        <is>
          <t>10</t>
        </is>
      </c>
      <c r="N1589" s="12" t="n">
        <v>1</v>
      </c>
      <c r="O1589" s="12" t="n">
        <v>1</v>
      </c>
      <c r="P1589" s="12" t="n">
        <v>480</v>
      </c>
      <c r="Q1589" s="12" t="n">
        <v>2.5</v>
      </c>
      <c r="R1589" s="12" t="n">
        <v>3.5</v>
      </c>
      <c r="S1589" s="12" t="inlineStr">
        <is>
          <t>Tray</t>
        </is>
      </c>
      <c r="T1589" s="16" t="n">
        <v>38</v>
      </c>
      <c r="U1589" s="16" t="n">
        <v>86</v>
      </c>
      <c r="V1589" s="16">
        <f>ROUNDUP((T1589+U1589+2*'Read Me'!$B$13)*(1+'Read Me'!$B$12),-1)</f>
        <v/>
      </c>
      <c r="W1589" s="16">
        <f>V1589*N1589*O1589</f>
        <v/>
      </c>
      <c r="X1589" s="12">
        <f>IF(LEFT(I1589,2)="MV",2*N1589*IF(L1589="1/C",O1589,1),0)</f>
        <v/>
      </c>
      <c r="Y1589" s="12">
        <f>IF(OR(LEFT(K1589,4)="LVAX",LEFT(K1589,6)="MV15AX",LEFT(K1589,4)="CTAX",LEFT(K1589,2)="W|"),2*N1589*O1589,0)</f>
        <v/>
      </c>
      <c r="Z1589" s="12" t="inlineStr">
        <is>
          <t>VD 0.2 %</t>
        </is>
      </c>
      <c r="AA1589" s="12">
        <f>N1589*O1589</f>
        <v/>
      </c>
    </row>
    <row r="1590">
      <c r="A1590" s="12" t="inlineStr">
        <is>
          <t>A-P-0223</t>
        </is>
      </c>
      <c r="B1590" s="12" t="inlineStr">
        <is>
          <t>A</t>
        </is>
      </c>
      <c r="C1590" s="12" t="inlineStr">
        <is>
          <t>Power block</t>
        </is>
      </c>
      <c r="D1590" s="12" t="inlineStr">
        <is>
          <t>MOV 4: power</t>
        </is>
      </c>
      <c r="E1590" s="12" t="inlineStr">
        <is>
          <t>R2A</t>
        </is>
      </c>
      <c r="F1590" s="12" t="inlineStr">
        <is>
          <t>R2A: unit / HRSG electrical e-house (32 x 40 ft)</t>
        </is>
      </c>
      <c r="G1590" s="12" t="inlineStr"/>
      <c r="H1590" s="12" t="inlineStr">
        <is>
          <t>HRSG 1 blowdown tank (continuous / intermittent)</t>
        </is>
      </c>
      <c r="I1590" s="12" t="inlineStr">
        <is>
          <t>LV 600 V</t>
        </is>
      </c>
      <c r="J1590" s="12" t="inlineStr">
        <is>
          <t>Type TC-ER 600 V 3/C Cu XHHW-2 + ground, PVC jacket</t>
        </is>
      </c>
      <c r="K1590" s="12" t="inlineStr">
        <is>
          <t>LV|3/C+G|10</t>
        </is>
      </c>
      <c r="L1590" s="12" t="inlineStr">
        <is>
          <t>3/C+G</t>
        </is>
      </c>
      <c r="M1590" s="12" t="inlineStr">
        <is>
          <t>10</t>
        </is>
      </c>
      <c r="N1590" s="12" t="n">
        <v>1</v>
      </c>
      <c r="O1590" s="12" t="n">
        <v>1</v>
      </c>
      <c r="P1590" s="12" t="n">
        <v>480</v>
      </c>
      <c r="Q1590" s="12" t="n">
        <v>2.5</v>
      </c>
      <c r="R1590" s="12" t="n">
        <v>3.5</v>
      </c>
      <c r="S1590" s="12" t="inlineStr">
        <is>
          <t>Tray</t>
        </is>
      </c>
      <c r="T1590" s="16" t="n">
        <v>38</v>
      </c>
      <c r="U1590" s="16" t="n">
        <v>86</v>
      </c>
      <c r="V1590" s="16">
        <f>ROUNDUP((T1590+U1590+2*'Read Me'!$B$13)*(1+'Read Me'!$B$12),-1)</f>
        <v/>
      </c>
      <c r="W1590" s="16">
        <f>V1590*N1590*O1590</f>
        <v/>
      </c>
      <c r="X1590" s="12">
        <f>IF(LEFT(I1590,2)="MV",2*N1590*IF(L1590="1/C",O1590,1),0)</f>
        <v/>
      </c>
      <c r="Y1590" s="12">
        <f>IF(OR(LEFT(K1590,4)="LVAX",LEFT(K1590,6)="MV15AX",LEFT(K1590,4)="CTAX",LEFT(K1590,2)="W|"),2*N1590*O1590,0)</f>
        <v/>
      </c>
      <c r="Z1590" s="12" t="inlineStr">
        <is>
          <t>VD 0.2 %</t>
        </is>
      </c>
      <c r="AA1590" s="12">
        <f>N1590*O1590</f>
        <v/>
      </c>
    </row>
    <row r="1591">
      <c r="A1591" s="12" t="inlineStr">
        <is>
          <t>A-P-0224</t>
        </is>
      </c>
      <c r="B1591" s="12" t="inlineStr">
        <is>
          <t>A</t>
        </is>
      </c>
      <c r="C1591" s="12" t="inlineStr">
        <is>
          <t>Power block</t>
        </is>
      </c>
      <c r="D1591" s="12" t="inlineStr">
        <is>
          <t>LV power feeder</t>
        </is>
      </c>
      <c r="E1591" s="12" t="inlineStr">
        <is>
          <t>R2A</t>
        </is>
      </c>
      <c r="F1591" s="12" t="inlineStr">
        <is>
          <t>R2A: unit / HRSG electrical e-house (32 x 40 ft)</t>
        </is>
      </c>
      <c r="G1591" s="12" t="inlineStr"/>
      <c r="H1591" s="12" t="inlineStr">
        <is>
          <t>HRSG 1 blowdown tank (continuous / intermittent)</t>
        </is>
      </c>
      <c r="I1591" s="12" t="inlineStr">
        <is>
          <t>LV 600 V</t>
        </is>
      </c>
      <c r="J1591" s="12" t="inlineStr">
        <is>
          <t>Type TC-ER 600 V 3/C Cu XHHW-2 + ground, PVC jacket</t>
        </is>
      </c>
      <c r="K1591" s="12" t="inlineStr">
        <is>
          <t>LV|3/C+G|10</t>
        </is>
      </c>
      <c r="L1591" s="12" t="inlineStr">
        <is>
          <t>3/C+G</t>
        </is>
      </c>
      <c r="M1591" s="12" t="inlineStr">
        <is>
          <t>10</t>
        </is>
      </c>
      <c r="N1591" s="12" t="n">
        <v>1</v>
      </c>
      <c r="O1591" s="12" t="n">
        <v>1</v>
      </c>
      <c r="P1591" s="12" t="n">
        <v>480</v>
      </c>
      <c r="Q1591" s="12" t="n">
        <v>10</v>
      </c>
      <c r="R1591" s="12" t="n">
        <v>14.2</v>
      </c>
      <c r="S1591" s="12" t="inlineStr">
        <is>
          <t>Tray</t>
        </is>
      </c>
      <c r="T1591" s="16" t="n">
        <v>38</v>
      </c>
      <c r="U1591" s="16" t="n">
        <v>86</v>
      </c>
      <c r="V1591" s="16">
        <f>ROUNDUP((T1591+U1591+2*'Read Me'!$B$13)*(1+'Read Me'!$B$12),-1)</f>
        <v/>
      </c>
      <c r="W1591" s="16">
        <f>V1591*N1591*O1591</f>
        <v/>
      </c>
      <c r="X1591" s="12">
        <f>IF(LEFT(I1591,2)="MV",2*N1591*IF(L1591="1/C",O1591,1),0)</f>
        <v/>
      </c>
      <c r="Y1591" s="12">
        <f>IF(OR(LEFT(K1591,4)="LVAX",LEFT(K1591,6)="MV15AX",LEFT(K1591,4)="CTAX",LEFT(K1591,2)="W|"),2*N1591*O1591,0)</f>
        <v/>
      </c>
      <c r="Z1591" s="12" t="inlineStr">
        <is>
          <t>VD 0.8 %</t>
        </is>
      </c>
      <c r="AA1591" s="12">
        <f>N1591*O1591</f>
        <v/>
      </c>
    </row>
    <row r="1592">
      <c r="A1592" s="12" t="inlineStr">
        <is>
          <t>A-P-0225</t>
        </is>
      </c>
      <c r="B1592" s="12" t="inlineStr">
        <is>
          <t>A</t>
        </is>
      </c>
      <c r="C1592" s="12" t="inlineStr">
        <is>
          <t>Power block</t>
        </is>
      </c>
      <c r="D1592" s="12" t="inlineStr">
        <is>
          <t>Motor 1 of 6, 2 kW</t>
        </is>
      </c>
      <c r="E1592" s="12" t="inlineStr">
        <is>
          <t>R2A</t>
        </is>
      </c>
      <c r="F1592" s="12" t="inlineStr">
        <is>
          <t>R2A: unit / HRSG electrical e-house (32 x 40 ft)</t>
        </is>
      </c>
      <c r="G1592" s="12" t="inlineStr"/>
      <c r="H1592" s="12" t="inlineStr">
        <is>
          <t>HRSG 1 chemical feed skid (phosphate / amine)</t>
        </is>
      </c>
      <c r="I1592" s="12" t="inlineStr">
        <is>
          <t>LV 600 V</t>
        </is>
      </c>
      <c r="J1592" s="12" t="inlineStr">
        <is>
          <t>Type TC-ER 600 V 3/C Cu XHHW-2 + ground, PVC jacket</t>
        </is>
      </c>
      <c r="K1592" s="12" t="inlineStr">
        <is>
          <t>LV|3/C+G|10</t>
        </is>
      </c>
      <c r="L1592" s="12" t="inlineStr">
        <is>
          <t>3/C+G</t>
        </is>
      </c>
      <c r="M1592" s="12" t="inlineStr">
        <is>
          <t>10</t>
        </is>
      </c>
      <c r="N1592" s="12" t="n">
        <v>1</v>
      </c>
      <c r="O1592" s="12" t="n">
        <v>1</v>
      </c>
      <c r="P1592" s="12" t="n">
        <v>480</v>
      </c>
      <c r="Q1592" s="12" t="n">
        <v>2</v>
      </c>
      <c r="R1592" s="12" t="n">
        <v>2.8</v>
      </c>
      <c r="S1592" s="12" t="inlineStr">
        <is>
          <t>Tray</t>
        </is>
      </c>
      <c r="T1592" s="16" t="n">
        <v>404</v>
      </c>
      <c r="U1592" s="16" t="n">
        <v>108</v>
      </c>
      <c r="V1592" s="16">
        <f>ROUNDUP((T1592+U1592+2*'Read Me'!$B$13)*(1+'Read Me'!$B$12),-1)</f>
        <v/>
      </c>
      <c r="W1592" s="16">
        <f>V1592*N1592*O1592</f>
        <v/>
      </c>
      <c r="X1592" s="12">
        <f>IF(LEFT(I1592,2)="MV",2*N1592*IF(L1592="1/C",O1592,1),0)</f>
        <v/>
      </c>
      <c r="Y1592" s="12">
        <f>IF(OR(LEFT(K1592,4)="LVAX",LEFT(K1592,6)="MV15AX",LEFT(K1592,4)="CTAX",LEFT(K1592,2)="W|"),2*N1592*O1592,0)</f>
        <v/>
      </c>
      <c r="Z1592" s="12" t="inlineStr">
        <is>
          <t>VD 0.7 %</t>
        </is>
      </c>
      <c r="AA1592" s="12">
        <f>N1592*O1592</f>
        <v/>
      </c>
    </row>
    <row r="1593">
      <c r="A1593" s="12" t="inlineStr">
        <is>
          <t>A-P-0226</t>
        </is>
      </c>
      <c r="B1593" s="12" t="inlineStr">
        <is>
          <t>A</t>
        </is>
      </c>
      <c r="C1593" s="12" t="inlineStr">
        <is>
          <t>Power block</t>
        </is>
      </c>
      <c r="D1593" s="12" t="inlineStr">
        <is>
          <t>Motor 2 of 6, 2 kW</t>
        </is>
      </c>
      <c r="E1593" s="12" t="inlineStr">
        <is>
          <t>R2A</t>
        </is>
      </c>
      <c r="F1593" s="12" t="inlineStr">
        <is>
          <t>R2A: unit / HRSG electrical e-house (32 x 40 ft)</t>
        </is>
      </c>
      <c r="G1593" s="12" t="inlineStr"/>
      <c r="H1593" s="12" t="inlineStr">
        <is>
          <t>HRSG 1 chemical feed skid (phosphate / amine)</t>
        </is>
      </c>
      <c r="I1593" s="12" t="inlineStr">
        <is>
          <t>LV 600 V</t>
        </is>
      </c>
      <c r="J1593" s="12" t="inlineStr">
        <is>
          <t>Type TC-ER 600 V 3/C Cu XHHW-2 + ground, PVC jacket</t>
        </is>
      </c>
      <c r="K1593" s="12" t="inlineStr">
        <is>
          <t>LV|3/C+G|10</t>
        </is>
      </c>
      <c r="L1593" s="12" t="inlineStr">
        <is>
          <t>3/C+G</t>
        </is>
      </c>
      <c r="M1593" s="12" t="inlineStr">
        <is>
          <t>10</t>
        </is>
      </c>
      <c r="N1593" s="12" t="n">
        <v>1</v>
      </c>
      <c r="O1593" s="12" t="n">
        <v>1</v>
      </c>
      <c r="P1593" s="12" t="n">
        <v>480</v>
      </c>
      <c r="Q1593" s="12" t="n">
        <v>2</v>
      </c>
      <c r="R1593" s="12" t="n">
        <v>2.8</v>
      </c>
      <c r="S1593" s="12" t="inlineStr">
        <is>
          <t>Tray</t>
        </is>
      </c>
      <c r="T1593" s="16" t="n">
        <v>404</v>
      </c>
      <c r="U1593" s="16" t="n">
        <v>108</v>
      </c>
      <c r="V1593" s="16">
        <f>ROUNDUP((T1593+U1593+2*'Read Me'!$B$13)*(1+'Read Me'!$B$12),-1)</f>
        <v/>
      </c>
      <c r="W1593" s="16">
        <f>V1593*N1593*O1593</f>
        <v/>
      </c>
      <c r="X1593" s="12">
        <f>IF(LEFT(I1593,2)="MV",2*N1593*IF(L1593="1/C",O1593,1),0)</f>
        <v/>
      </c>
      <c r="Y1593" s="12">
        <f>IF(OR(LEFT(K1593,4)="LVAX",LEFT(K1593,6)="MV15AX",LEFT(K1593,4)="CTAX",LEFT(K1593,2)="W|"),2*N1593*O1593,0)</f>
        <v/>
      </c>
      <c r="Z1593" s="12" t="inlineStr">
        <is>
          <t>VD 0.7 %</t>
        </is>
      </c>
      <c r="AA1593" s="12">
        <f>N1593*O1593</f>
        <v/>
      </c>
    </row>
    <row r="1594">
      <c r="A1594" s="12" t="inlineStr">
        <is>
          <t>A-P-0227</t>
        </is>
      </c>
      <c r="B1594" s="12" t="inlineStr">
        <is>
          <t>A</t>
        </is>
      </c>
      <c r="C1594" s="12" t="inlineStr">
        <is>
          <t>Power block</t>
        </is>
      </c>
      <c r="D1594" s="12" t="inlineStr">
        <is>
          <t>Motor 3 of 6, 2 kW</t>
        </is>
      </c>
      <c r="E1594" s="12" t="inlineStr">
        <is>
          <t>R2A</t>
        </is>
      </c>
      <c r="F1594" s="12" t="inlineStr">
        <is>
          <t>R2A: unit / HRSG electrical e-house (32 x 40 ft)</t>
        </is>
      </c>
      <c r="G1594" s="12" t="inlineStr"/>
      <c r="H1594" s="12" t="inlineStr">
        <is>
          <t>HRSG 1 chemical feed skid (phosphate / amine)</t>
        </is>
      </c>
      <c r="I1594" s="12" t="inlineStr">
        <is>
          <t>LV 600 V</t>
        </is>
      </c>
      <c r="J1594" s="12" t="inlineStr">
        <is>
          <t>Type TC-ER 600 V 3/C Cu XHHW-2 + ground, PVC jacket</t>
        </is>
      </c>
      <c r="K1594" s="12" t="inlineStr">
        <is>
          <t>LV|3/C+G|10</t>
        </is>
      </c>
      <c r="L1594" s="12" t="inlineStr">
        <is>
          <t>3/C+G</t>
        </is>
      </c>
      <c r="M1594" s="12" t="inlineStr">
        <is>
          <t>10</t>
        </is>
      </c>
      <c r="N1594" s="12" t="n">
        <v>1</v>
      </c>
      <c r="O1594" s="12" t="n">
        <v>1</v>
      </c>
      <c r="P1594" s="12" t="n">
        <v>480</v>
      </c>
      <c r="Q1594" s="12" t="n">
        <v>2</v>
      </c>
      <c r="R1594" s="12" t="n">
        <v>2.8</v>
      </c>
      <c r="S1594" s="12" t="inlineStr">
        <is>
          <t>Tray</t>
        </is>
      </c>
      <c r="T1594" s="16" t="n">
        <v>404</v>
      </c>
      <c r="U1594" s="16" t="n">
        <v>108</v>
      </c>
      <c r="V1594" s="16">
        <f>ROUNDUP((T1594+U1594+2*'Read Me'!$B$13)*(1+'Read Me'!$B$12),-1)</f>
        <v/>
      </c>
      <c r="W1594" s="16">
        <f>V1594*N1594*O1594</f>
        <v/>
      </c>
      <c r="X1594" s="12">
        <f>IF(LEFT(I1594,2)="MV",2*N1594*IF(L1594="1/C",O1594,1),0)</f>
        <v/>
      </c>
      <c r="Y1594" s="12">
        <f>IF(OR(LEFT(K1594,4)="LVAX",LEFT(K1594,6)="MV15AX",LEFT(K1594,4)="CTAX",LEFT(K1594,2)="W|"),2*N1594*O1594,0)</f>
        <v/>
      </c>
      <c r="Z1594" s="12" t="inlineStr">
        <is>
          <t>VD 0.7 %</t>
        </is>
      </c>
      <c r="AA1594" s="12">
        <f>N1594*O1594</f>
        <v/>
      </c>
    </row>
    <row r="1595">
      <c r="A1595" s="12" t="inlineStr">
        <is>
          <t>A-P-0228</t>
        </is>
      </c>
      <c r="B1595" s="12" t="inlineStr">
        <is>
          <t>A</t>
        </is>
      </c>
      <c r="C1595" s="12" t="inlineStr">
        <is>
          <t>Power block</t>
        </is>
      </c>
      <c r="D1595" s="12" t="inlineStr">
        <is>
          <t>Motor 4 of 6, 2 kW</t>
        </is>
      </c>
      <c r="E1595" s="12" t="inlineStr">
        <is>
          <t>R2A</t>
        </is>
      </c>
      <c r="F1595" s="12" t="inlineStr">
        <is>
          <t>R2A: unit / HRSG electrical e-house (32 x 40 ft)</t>
        </is>
      </c>
      <c r="G1595" s="12" t="inlineStr"/>
      <c r="H1595" s="12" t="inlineStr">
        <is>
          <t>HRSG 1 chemical feed skid (phosphate / amine)</t>
        </is>
      </c>
      <c r="I1595" s="12" t="inlineStr">
        <is>
          <t>LV 600 V</t>
        </is>
      </c>
      <c r="J1595" s="12" t="inlineStr">
        <is>
          <t>Type TC-ER 600 V 3/C Cu XHHW-2 + ground, PVC jacket</t>
        </is>
      </c>
      <c r="K1595" s="12" t="inlineStr">
        <is>
          <t>LV|3/C+G|10</t>
        </is>
      </c>
      <c r="L1595" s="12" t="inlineStr">
        <is>
          <t>3/C+G</t>
        </is>
      </c>
      <c r="M1595" s="12" t="inlineStr">
        <is>
          <t>10</t>
        </is>
      </c>
      <c r="N1595" s="12" t="n">
        <v>1</v>
      </c>
      <c r="O1595" s="12" t="n">
        <v>1</v>
      </c>
      <c r="P1595" s="12" t="n">
        <v>480</v>
      </c>
      <c r="Q1595" s="12" t="n">
        <v>2</v>
      </c>
      <c r="R1595" s="12" t="n">
        <v>2.8</v>
      </c>
      <c r="S1595" s="12" t="inlineStr">
        <is>
          <t>Tray</t>
        </is>
      </c>
      <c r="T1595" s="16" t="n">
        <v>404</v>
      </c>
      <c r="U1595" s="16" t="n">
        <v>108</v>
      </c>
      <c r="V1595" s="16">
        <f>ROUNDUP((T1595+U1595+2*'Read Me'!$B$13)*(1+'Read Me'!$B$12),-1)</f>
        <v/>
      </c>
      <c r="W1595" s="16">
        <f>V1595*N1595*O1595</f>
        <v/>
      </c>
      <c r="X1595" s="12">
        <f>IF(LEFT(I1595,2)="MV",2*N1595*IF(L1595="1/C",O1595,1),0)</f>
        <v/>
      </c>
      <c r="Y1595" s="12">
        <f>IF(OR(LEFT(K1595,4)="LVAX",LEFT(K1595,6)="MV15AX",LEFT(K1595,4)="CTAX",LEFT(K1595,2)="W|"),2*N1595*O1595,0)</f>
        <v/>
      </c>
      <c r="Z1595" s="12" t="inlineStr">
        <is>
          <t>VD 0.7 %</t>
        </is>
      </c>
      <c r="AA1595" s="12">
        <f>N1595*O1595</f>
        <v/>
      </c>
    </row>
    <row r="1596">
      <c r="A1596" s="12" t="inlineStr">
        <is>
          <t>A-P-0229</t>
        </is>
      </c>
      <c r="B1596" s="12" t="inlineStr">
        <is>
          <t>A</t>
        </is>
      </c>
      <c r="C1596" s="12" t="inlineStr">
        <is>
          <t>Power block</t>
        </is>
      </c>
      <c r="D1596" s="12" t="inlineStr">
        <is>
          <t>Motor 5 of 6, 2 kW</t>
        </is>
      </c>
      <c r="E1596" s="12" t="inlineStr">
        <is>
          <t>R2A</t>
        </is>
      </c>
      <c r="F1596" s="12" t="inlineStr">
        <is>
          <t>R2A: unit / HRSG electrical e-house (32 x 40 ft)</t>
        </is>
      </c>
      <c r="G1596" s="12" t="inlineStr"/>
      <c r="H1596" s="12" t="inlineStr">
        <is>
          <t>HRSG 1 chemical feed skid (phosphate / amine)</t>
        </is>
      </c>
      <c r="I1596" s="12" t="inlineStr">
        <is>
          <t>LV 600 V</t>
        </is>
      </c>
      <c r="J1596" s="12" t="inlineStr">
        <is>
          <t>Type TC-ER 600 V 3/C Cu XHHW-2 + ground, PVC jacket</t>
        </is>
      </c>
      <c r="K1596" s="12" t="inlineStr">
        <is>
          <t>LV|3/C+G|10</t>
        </is>
      </c>
      <c r="L1596" s="12" t="inlineStr">
        <is>
          <t>3/C+G</t>
        </is>
      </c>
      <c r="M1596" s="12" t="inlineStr">
        <is>
          <t>10</t>
        </is>
      </c>
      <c r="N1596" s="12" t="n">
        <v>1</v>
      </c>
      <c r="O1596" s="12" t="n">
        <v>1</v>
      </c>
      <c r="P1596" s="12" t="n">
        <v>480</v>
      </c>
      <c r="Q1596" s="12" t="n">
        <v>2</v>
      </c>
      <c r="R1596" s="12" t="n">
        <v>2.8</v>
      </c>
      <c r="S1596" s="12" t="inlineStr">
        <is>
          <t>Tray</t>
        </is>
      </c>
      <c r="T1596" s="16" t="n">
        <v>404</v>
      </c>
      <c r="U1596" s="16" t="n">
        <v>108</v>
      </c>
      <c r="V1596" s="16">
        <f>ROUNDUP((T1596+U1596+2*'Read Me'!$B$13)*(1+'Read Me'!$B$12),-1)</f>
        <v/>
      </c>
      <c r="W1596" s="16">
        <f>V1596*N1596*O1596</f>
        <v/>
      </c>
      <c r="X1596" s="12">
        <f>IF(LEFT(I1596,2)="MV",2*N1596*IF(L1596="1/C",O1596,1),0)</f>
        <v/>
      </c>
      <c r="Y1596" s="12">
        <f>IF(OR(LEFT(K1596,4)="LVAX",LEFT(K1596,6)="MV15AX",LEFT(K1596,4)="CTAX",LEFT(K1596,2)="W|"),2*N1596*O1596,0)</f>
        <v/>
      </c>
      <c r="Z1596" s="12" t="inlineStr">
        <is>
          <t>VD 0.7 %</t>
        </is>
      </c>
      <c r="AA1596" s="12">
        <f>N1596*O1596</f>
        <v/>
      </c>
    </row>
    <row r="1597">
      <c r="A1597" s="12" t="inlineStr">
        <is>
          <t>A-P-0230</t>
        </is>
      </c>
      <c r="B1597" s="12" t="inlineStr">
        <is>
          <t>A</t>
        </is>
      </c>
      <c r="C1597" s="12" t="inlineStr">
        <is>
          <t>Power block</t>
        </is>
      </c>
      <c r="D1597" s="12" t="inlineStr">
        <is>
          <t>Motor 6 of 6, 2 kW</t>
        </is>
      </c>
      <c r="E1597" s="12" t="inlineStr">
        <is>
          <t>R2A</t>
        </is>
      </c>
      <c r="F1597" s="12" t="inlineStr">
        <is>
          <t>R2A: unit / HRSG electrical e-house (32 x 40 ft)</t>
        </is>
      </c>
      <c r="G1597" s="12" t="inlineStr"/>
      <c r="H1597" s="12" t="inlineStr">
        <is>
          <t>HRSG 1 chemical feed skid (phosphate / amine)</t>
        </is>
      </c>
      <c r="I1597" s="12" t="inlineStr">
        <is>
          <t>LV 600 V</t>
        </is>
      </c>
      <c r="J1597" s="12" t="inlineStr">
        <is>
          <t>Type TC-ER 600 V 3/C Cu XHHW-2 + ground, PVC jacket</t>
        </is>
      </c>
      <c r="K1597" s="12" t="inlineStr">
        <is>
          <t>LV|3/C+G|10</t>
        </is>
      </c>
      <c r="L1597" s="12" t="inlineStr">
        <is>
          <t>3/C+G</t>
        </is>
      </c>
      <c r="M1597" s="12" t="inlineStr">
        <is>
          <t>10</t>
        </is>
      </c>
      <c r="N1597" s="12" t="n">
        <v>1</v>
      </c>
      <c r="O1597" s="12" t="n">
        <v>1</v>
      </c>
      <c r="P1597" s="12" t="n">
        <v>480</v>
      </c>
      <c r="Q1597" s="12" t="n">
        <v>2</v>
      </c>
      <c r="R1597" s="12" t="n">
        <v>2.8</v>
      </c>
      <c r="S1597" s="12" t="inlineStr">
        <is>
          <t>Tray</t>
        </is>
      </c>
      <c r="T1597" s="16" t="n">
        <v>404</v>
      </c>
      <c r="U1597" s="16" t="n">
        <v>108</v>
      </c>
      <c r="V1597" s="16">
        <f>ROUNDUP((T1597+U1597+2*'Read Me'!$B$13)*(1+'Read Me'!$B$12),-1)</f>
        <v/>
      </c>
      <c r="W1597" s="16">
        <f>V1597*N1597*O1597</f>
        <v/>
      </c>
      <c r="X1597" s="12">
        <f>IF(LEFT(I1597,2)="MV",2*N1597*IF(L1597="1/C",O1597,1),0)</f>
        <v/>
      </c>
      <c r="Y1597" s="12">
        <f>IF(OR(LEFT(K1597,4)="LVAX",LEFT(K1597,6)="MV15AX",LEFT(K1597,4)="CTAX",LEFT(K1597,2)="W|"),2*N1597*O1597,0)</f>
        <v/>
      </c>
      <c r="Z1597" s="12" t="inlineStr">
        <is>
          <t>VD 0.7 %</t>
        </is>
      </c>
      <c r="AA1597" s="12">
        <f>N1597*O1597</f>
        <v/>
      </c>
    </row>
    <row r="1598">
      <c r="A1598" s="12" t="inlineStr">
        <is>
          <t>A-P-0231</t>
        </is>
      </c>
      <c r="B1598" s="12" t="inlineStr">
        <is>
          <t>A</t>
        </is>
      </c>
      <c r="C1598" s="12" t="inlineStr">
        <is>
          <t>Power block</t>
        </is>
      </c>
      <c r="D1598" s="12" t="inlineStr">
        <is>
          <t>Area / platform lighting circuit 1 (6 fixtures)</t>
        </is>
      </c>
      <c r="E1598" s="12" t="inlineStr">
        <is>
          <t>R2A</t>
        </is>
      </c>
      <c r="F1598" s="12" t="inlineStr">
        <is>
          <t>R2A: unit / HRSG electrical e-house (32 x 40 ft)</t>
        </is>
      </c>
      <c r="G1598" s="12" t="inlineStr">
        <is>
          <t>STK-1</t>
        </is>
      </c>
      <c r="H1598" s="12" t="inlineStr">
        <is>
          <t>HRSG 1 stack</t>
        </is>
      </c>
      <c r="I1598" s="12" t="inlineStr">
        <is>
          <t>LV 600 V</t>
        </is>
      </c>
      <c r="J1598" s="12" t="inlineStr">
        <is>
          <t>Type TC-ER 600 V 3/C Cu XHHW-2 + ground, PVC jacket</t>
        </is>
      </c>
      <c r="K1598" s="12" t="inlineStr">
        <is>
          <t>LV|3/C+G|10</t>
        </is>
      </c>
      <c r="L1598" s="12" t="inlineStr">
        <is>
          <t>3/C+G</t>
        </is>
      </c>
      <c r="M1598" s="12" t="inlineStr">
        <is>
          <t>10</t>
        </is>
      </c>
      <c r="N1598" s="12" t="n">
        <v>1</v>
      </c>
      <c r="O1598" s="12" t="n">
        <v>1</v>
      </c>
      <c r="P1598" s="12" t="n">
        <v>480</v>
      </c>
      <c r="Q1598" s="12" t="n">
        <v>3</v>
      </c>
      <c r="R1598" s="12" t="n">
        <v>5</v>
      </c>
      <c r="S1598" s="12" t="inlineStr">
        <is>
          <t>Tray</t>
        </is>
      </c>
      <c r="T1598" s="16" t="n">
        <v>486</v>
      </c>
      <c r="U1598" s="16" t="n">
        <v>148</v>
      </c>
      <c r="V1598" s="16">
        <f>ROUNDUP((T1598+U1598+2*'Read Me'!$B$13)*(1+'Read Me'!$B$12),-1)</f>
        <v/>
      </c>
      <c r="W1598" s="16">
        <f>V1598*N1598*O1598</f>
        <v/>
      </c>
      <c r="X1598" s="12">
        <f>IF(LEFT(I1598,2)="MV",2*N1598*IF(L1598="1/C",O1598,1),0)</f>
        <v/>
      </c>
      <c r="Y1598" s="12">
        <f>IF(OR(LEFT(K1598,4)="LVAX",LEFT(K1598,6)="MV15AX",LEFT(K1598,4)="CTAX",LEFT(K1598,2)="W|"),2*N1598*O1598,0)</f>
        <v/>
      </c>
      <c r="Z1598" s="12" t="inlineStr">
        <is>
          <t>fixture-to-fixture run included</t>
        </is>
      </c>
      <c r="AA1598" s="12">
        <f>N1598*O1598</f>
        <v/>
      </c>
    </row>
    <row r="1599">
      <c r="A1599" s="12" t="inlineStr">
        <is>
          <t>A-P-0232</t>
        </is>
      </c>
      <c r="B1599" s="12" t="inlineStr">
        <is>
          <t>A</t>
        </is>
      </c>
      <c r="C1599" s="12" t="inlineStr">
        <is>
          <t>Power block</t>
        </is>
      </c>
      <c r="D1599" s="12" t="inlineStr">
        <is>
          <t>Motor 1 of 4, 15 kW</t>
        </is>
      </c>
      <c r="E1599" s="12" t="inlineStr">
        <is>
          <t>R2B</t>
        </is>
      </c>
      <c r="F1599" s="12" t="inlineStr">
        <is>
          <t>R2B: unit / HRSG electrical e-house (32 x 40 ft)</t>
        </is>
      </c>
      <c r="G1599" s="12" t="inlineStr">
        <is>
          <t>HRSG-2</t>
        </is>
      </c>
      <c r="H1599" s="12" t="inlineStr">
        <is>
          <t>HRSG 2 + SCR (3P reheat, horizontal)</t>
        </is>
      </c>
      <c r="I1599" s="12" t="inlineStr">
        <is>
          <t>LV 600 V</t>
        </is>
      </c>
      <c r="J1599" s="12" t="inlineStr">
        <is>
          <t>Type TC-ER 600 V 3/C Cu XHHW-2 + ground, PVC jacket</t>
        </is>
      </c>
      <c r="K1599" s="12" t="inlineStr">
        <is>
          <t>LV|3/C+G|10</t>
        </is>
      </c>
      <c r="L1599" s="12" t="inlineStr">
        <is>
          <t>3/C+G</t>
        </is>
      </c>
      <c r="M1599" s="12" t="inlineStr">
        <is>
          <t>10</t>
        </is>
      </c>
      <c r="N1599" s="12" t="n">
        <v>1</v>
      </c>
      <c r="O1599" s="12" t="n">
        <v>1</v>
      </c>
      <c r="P1599" s="12" t="n">
        <v>480</v>
      </c>
      <c r="Q1599" s="12" t="n">
        <v>15</v>
      </c>
      <c r="R1599" s="12" t="n">
        <v>21.2</v>
      </c>
      <c r="S1599" s="12" t="inlineStr">
        <is>
          <t>Tray</t>
        </is>
      </c>
      <c r="T1599" s="16" t="n">
        <v>53</v>
      </c>
      <c r="U1599" s="16" t="n">
        <v>96</v>
      </c>
      <c r="V1599" s="16">
        <f>ROUNDUP((T1599+U1599+2*'Read Me'!$B$13)*(1+'Read Me'!$B$12),-1)</f>
        <v/>
      </c>
      <c r="W1599" s="16">
        <f>V1599*N1599*O1599</f>
        <v/>
      </c>
      <c r="X1599" s="12">
        <f>IF(LEFT(I1599,2)="MV",2*N1599*IF(L1599="1/C",O1599,1),0)</f>
        <v/>
      </c>
      <c r="Y1599" s="12">
        <f>IF(OR(LEFT(K1599,4)="LVAX",LEFT(K1599,6)="MV15AX",LEFT(K1599,4)="CTAX",LEFT(K1599,2)="W|"),2*N1599*O1599,0)</f>
        <v/>
      </c>
      <c r="Z1599" s="12" t="inlineStr">
        <is>
          <t>VD 1.5 %</t>
        </is>
      </c>
      <c r="AA1599" s="12">
        <f>N1599*O1599</f>
        <v/>
      </c>
    </row>
    <row r="1600">
      <c r="A1600" s="12" t="inlineStr">
        <is>
          <t>A-P-0233</t>
        </is>
      </c>
      <c r="B1600" s="12" t="inlineStr">
        <is>
          <t>A</t>
        </is>
      </c>
      <c r="C1600" s="12" t="inlineStr">
        <is>
          <t>Power block</t>
        </is>
      </c>
      <c r="D1600" s="12" t="inlineStr">
        <is>
          <t>Motor 2 of 4, 15 kW</t>
        </is>
      </c>
      <c r="E1600" s="12" t="inlineStr">
        <is>
          <t>R2B</t>
        </is>
      </c>
      <c r="F1600" s="12" t="inlineStr">
        <is>
          <t>R2B: unit / HRSG electrical e-house (32 x 40 ft)</t>
        </is>
      </c>
      <c r="G1600" s="12" t="inlineStr">
        <is>
          <t>HRSG-2</t>
        </is>
      </c>
      <c r="H1600" s="12" t="inlineStr">
        <is>
          <t>HRSG 2 + SCR (3P reheat, horizontal)</t>
        </is>
      </c>
      <c r="I1600" s="12" t="inlineStr">
        <is>
          <t>LV 600 V</t>
        </is>
      </c>
      <c r="J1600" s="12" t="inlineStr">
        <is>
          <t>Type TC-ER 600 V 3/C Cu XHHW-2 + ground, PVC jacket</t>
        </is>
      </c>
      <c r="K1600" s="12" t="inlineStr">
        <is>
          <t>LV|3/C+G|10</t>
        </is>
      </c>
      <c r="L1600" s="12" t="inlineStr">
        <is>
          <t>3/C+G</t>
        </is>
      </c>
      <c r="M1600" s="12" t="inlineStr">
        <is>
          <t>10</t>
        </is>
      </c>
      <c r="N1600" s="12" t="n">
        <v>1</v>
      </c>
      <c r="O1600" s="12" t="n">
        <v>1</v>
      </c>
      <c r="P1600" s="12" t="n">
        <v>480</v>
      </c>
      <c r="Q1600" s="12" t="n">
        <v>15</v>
      </c>
      <c r="R1600" s="12" t="n">
        <v>21.2</v>
      </c>
      <c r="S1600" s="12" t="inlineStr">
        <is>
          <t>Tray</t>
        </is>
      </c>
      <c r="T1600" s="16" t="n">
        <v>53</v>
      </c>
      <c r="U1600" s="16" t="n">
        <v>96</v>
      </c>
      <c r="V1600" s="16">
        <f>ROUNDUP((T1600+U1600+2*'Read Me'!$B$13)*(1+'Read Me'!$B$12),-1)</f>
        <v/>
      </c>
      <c r="W1600" s="16">
        <f>V1600*N1600*O1600</f>
        <v/>
      </c>
      <c r="X1600" s="12">
        <f>IF(LEFT(I1600,2)="MV",2*N1600*IF(L1600="1/C",O1600,1),0)</f>
        <v/>
      </c>
      <c r="Y1600" s="12">
        <f>IF(OR(LEFT(K1600,4)="LVAX",LEFT(K1600,6)="MV15AX",LEFT(K1600,4)="CTAX",LEFT(K1600,2)="W|"),2*N1600*O1600,0)</f>
        <v/>
      </c>
      <c r="Z1600" s="12" t="inlineStr">
        <is>
          <t>VD 1.5 %</t>
        </is>
      </c>
      <c r="AA1600" s="12">
        <f>N1600*O1600</f>
        <v/>
      </c>
    </row>
    <row r="1601">
      <c r="A1601" s="12" t="inlineStr">
        <is>
          <t>A-P-0234</t>
        </is>
      </c>
      <c r="B1601" s="12" t="inlineStr">
        <is>
          <t>A</t>
        </is>
      </c>
      <c r="C1601" s="12" t="inlineStr">
        <is>
          <t>Power block</t>
        </is>
      </c>
      <c r="D1601" s="12" t="inlineStr">
        <is>
          <t>Motor 3 of 4, 15 kW</t>
        </is>
      </c>
      <c r="E1601" s="12" t="inlineStr">
        <is>
          <t>R2B</t>
        </is>
      </c>
      <c r="F1601" s="12" t="inlineStr">
        <is>
          <t>R2B: unit / HRSG electrical e-house (32 x 40 ft)</t>
        </is>
      </c>
      <c r="G1601" s="12" t="inlineStr">
        <is>
          <t>HRSG-2</t>
        </is>
      </c>
      <c r="H1601" s="12" t="inlineStr">
        <is>
          <t>HRSG 2 + SCR (3P reheat, horizontal)</t>
        </is>
      </c>
      <c r="I1601" s="12" t="inlineStr">
        <is>
          <t>LV 600 V</t>
        </is>
      </c>
      <c r="J1601" s="12" t="inlineStr">
        <is>
          <t>Type TC-ER 600 V 3/C Cu XHHW-2 + ground, PVC jacket</t>
        </is>
      </c>
      <c r="K1601" s="12" t="inlineStr">
        <is>
          <t>LV|3/C+G|10</t>
        </is>
      </c>
      <c r="L1601" s="12" t="inlineStr">
        <is>
          <t>3/C+G</t>
        </is>
      </c>
      <c r="M1601" s="12" t="inlineStr">
        <is>
          <t>10</t>
        </is>
      </c>
      <c r="N1601" s="12" t="n">
        <v>1</v>
      </c>
      <c r="O1601" s="12" t="n">
        <v>1</v>
      </c>
      <c r="P1601" s="12" t="n">
        <v>480</v>
      </c>
      <c r="Q1601" s="12" t="n">
        <v>15</v>
      </c>
      <c r="R1601" s="12" t="n">
        <v>21.2</v>
      </c>
      <c r="S1601" s="12" t="inlineStr">
        <is>
          <t>Tray</t>
        </is>
      </c>
      <c r="T1601" s="16" t="n">
        <v>53</v>
      </c>
      <c r="U1601" s="16" t="n">
        <v>96</v>
      </c>
      <c r="V1601" s="16">
        <f>ROUNDUP((T1601+U1601+2*'Read Me'!$B$13)*(1+'Read Me'!$B$12),-1)</f>
        <v/>
      </c>
      <c r="W1601" s="16">
        <f>V1601*N1601*O1601</f>
        <v/>
      </c>
      <c r="X1601" s="12">
        <f>IF(LEFT(I1601,2)="MV",2*N1601*IF(L1601="1/C",O1601,1),0)</f>
        <v/>
      </c>
      <c r="Y1601" s="12">
        <f>IF(OR(LEFT(K1601,4)="LVAX",LEFT(K1601,6)="MV15AX",LEFT(K1601,4)="CTAX",LEFT(K1601,2)="W|"),2*N1601*O1601,0)</f>
        <v/>
      </c>
      <c r="Z1601" s="12" t="inlineStr">
        <is>
          <t>VD 1.5 %</t>
        </is>
      </c>
      <c r="AA1601" s="12">
        <f>N1601*O1601</f>
        <v/>
      </c>
    </row>
    <row r="1602">
      <c r="A1602" s="12" t="inlineStr">
        <is>
          <t>A-P-0235</t>
        </is>
      </c>
      <c r="B1602" s="12" t="inlineStr">
        <is>
          <t>A</t>
        </is>
      </c>
      <c r="C1602" s="12" t="inlineStr">
        <is>
          <t>Power block</t>
        </is>
      </c>
      <c r="D1602" s="12" t="inlineStr">
        <is>
          <t>Motor 4 of 4, 15 kW</t>
        </is>
      </c>
      <c r="E1602" s="12" t="inlineStr">
        <is>
          <t>R2B</t>
        </is>
      </c>
      <c r="F1602" s="12" t="inlineStr">
        <is>
          <t>R2B: unit / HRSG electrical e-house (32 x 40 ft)</t>
        </is>
      </c>
      <c r="G1602" s="12" t="inlineStr">
        <is>
          <t>HRSG-2</t>
        </is>
      </c>
      <c r="H1602" s="12" t="inlineStr">
        <is>
          <t>HRSG 2 + SCR (3P reheat, horizontal)</t>
        </is>
      </c>
      <c r="I1602" s="12" t="inlineStr">
        <is>
          <t>LV 600 V</t>
        </is>
      </c>
      <c r="J1602" s="12" t="inlineStr">
        <is>
          <t>Type TC-ER 600 V 3/C Cu XHHW-2 + ground, PVC jacket</t>
        </is>
      </c>
      <c r="K1602" s="12" t="inlineStr">
        <is>
          <t>LV|3/C+G|10</t>
        </is>
      </c>
      <c r="L1602" s="12" t="inlineStr">
        <is>
          <t>3/C+G</t>
        </is>
      </c>
      <c r="M1602" s="12" t="inlineStr">
        <is>
          <t>10</t>
        </is>
      </c>
      <c r="N1602" s="12" t="n">
        <v>1</v>
      </c>
      <c r="O1602" s="12" t="n">
        <v>1</v>
      </c>
      <c r="P1602" s="12" t="n">
        <v>480</v>
      </c>
      <c r="Q1602" s="12" t="n">
        <v>15</v>
      </c>
      <c r="R1602" s="12" t="n">
        <v>21.2</v>
      </c>
      <c r="S1602" s="12" t="inlineStr">
        <is>
          <t>Tray</t>
        </is>
      </c>
      <c r="T1602" s="16" t="n">
        <v>53</v>
      </c>
      <c r="U1602" s="16" t="n">
        <v>96</v>
      </c>
      <c r="V1602" s="16">
        <f>ROUNDUP((T1602+U1602+2*'Read Me'!$B$13)*(1+'Read Me'!$B$12),-1)</f>
        <v/>
      </c>
      <c r="W1602" s="16">
        <f>V1602*N1602*O1602</f>
        <v/>
      </c>
      <c r="X1602" s="12">
        <f>IF(LEFT(I1602,2)="MV",2*N1602*IF(L1602="1/C",O1602,1),0)</f>
        <v/>
      </c>
      <c r="Y1602" s="12">
        <f>IF(OR(LEFT(K1602,4)="LVAX",LEFT(K1602,6)="MV15AX",LEFT(K1602,4)="CTAX",LEFT(K1602,2)="W|"),2*N1602*O1602,0)</f>
        <v/>
      </c>
      <c r="Z1602" s="12" t="inlineStr">
        <is>
          <t>VD 1.5 %</t>
        </is>
      </c>
      <c r="AA1602" s="12">
        <f>N1602*O1602</f>
        <v/>
      </c>
    </row>
    <row r="1603">
      <c r="A1603" s="12" t="inlineStr">
        <is>
          <t>A-P-0236</t>
        </is>
      </c>
      <c r="B1603" s="12" t="inlineStr">
        <is>
          <t>A</t>
        </is>
      </c>
      <c r="C1603" s="12" t="inlineStr">
        <is>
          <t>Power block</t>
        </is>
      </c>
      <c r="D1603" s="12" t="inlineStr">
        <is>
          <t>MOV 1: power</t>
        </is>
      </c>
      <c r="E1603" s="12" t="inlineStr">
        <is>
          <t>R2B</t>
        </is>
      </c>
      <c r="F1603" s="12" t="inlineStr">
        <is>
          <t>R2B: unit / HRSG electrical e-house (32 x 40 ft)</t>
        </is>
      </c>
      <c r="G1603" s="12" t="inlineStr">
        <is>
          <t>HRSG-2</t>
        </is>
      </c>
      <c r="H1603" s="12" t="inlineStr">
        <is>
          <t>HRSG 2 + SCR (3P reheat, horizontal)</t>
        </is>
      </c>
      <c r="I1603" s="12" t="inlineStr">
        <is>
          <t>LV 600 V</t>
        </is>
      </c>
      <c r="J1603" s="12" t="inlineStr">
        <is>
          <t>Type TC-ER 600 V 3/C Cu XHHW-2 + ground, PVC jacket</t>
        </is>
      </c>
      <c r="K1603" s="12" t="inlineStr">
        <is>
          <t>LV|3/C+G|10</t>
        </is>
      </c>
      <c r="L1603" s="12" t="inlineStr">
        <is>
          <t>3/C+G</t>
        </is>
      </c>
      <c r="M1603" s="12" t="inlineStr">
        <is>
          <t>10</t>
        </is>
      </c>
      <c r="N1603" s="12" t="n">
        <v>1</v>
      </c>
      <c r="O1603" s="12" t="n">
        <v>1</v>
      </c>
      <c r="P1603" s="12" t="n">
        <v>480</v>
      </c>
      <c r="Q1603" s="12" t="n">
        <v>2.5</v>
      </c>
      <c r="R1603" s="12" t="n">
        <v>3.5</v>
      </c>
      <c r="S1603" s="12" t="inlineStr">
        <is>
          <t>Tray</t>
        </is>
      </c>
      <c r="T1603" s="16" t="n">
        <v>53</v>
      </c>
      <c r="U1603" s="16" t="n">
        <v>96</v>
      </c>
      <c r="V1603" s="16">
        <f>ROUNDUP((T1603+U1603+2*'Read Me'!$B$13)*(1+'Read Me'!$B$12),-1)</f>
        <v/>
      </c>
      <c r="W1603" s="16">
        <f>V1603*N1603*O1603</f>
        <v/>
      </c>
      <c r="X1603" s="12">
        <f>IF(LEFT(I1603,2)="MV",2*N1603*IF(L1603="1/C",O1603,1),0)</f>
        <v/>
      </c>
      <c r="Y1603" s="12">
        <f>IF(OR(LEFT(K1603,4)="LVAX",LEFT(K1603,6)="MV15AX",LEFT(K1603,4)="CTAX",LEFT(K1603,2)="W|"),2*N1603*O1603,0)</f>
        <v/>
      </c>
      <c r="Z1603" s="12" t="inlineStr">
        <is>
          <t>VD 0.3 %</t>
        </is>
      </c>
      <c r="AA1603" s="12">
        <f>N1603*O1603</f>
        <v/>
      </c>
    </row>
    <row r="1604">
      <c r="A1604" s="12" t="inlineStr">
        <is>
          <t>A-P-0237</t>
        </is>
      </c>
      <c r="B1604" s="12" t="inlineStr">
        <is>
          <t>A</t>
        </is>
      </c>
      <c r="C1604" s="12" t="inlineStr">
        <is>
          <t>Power block</t>
        </is>
      </c>
      <c r="D1604" s="12" t="inlineStr">
        <is>
          <t>MOV 2: power</t>
        </is>
      </c>
      <c r="E1604" s="12" t="inlineStr">
        <is>
          <t>R2B</t>
        </is>
      </c>
      <c r="F1604" s="12" t="inlineStr">
        <is>
          <t>R2B: unit / HRSG electrical e-house (32 x 40 ft)</t>
        </is>
      </c>
      <c r="G1604" s="12" t="inlineStr">
        <is>
          <t>HRSG-2</t>
        </is>
      </c>
      <c r="H1604" s="12" t="inlineStr">
        <is>
          <t>HRSG 2 + SCR (3P reheat, horizontal)</t>
        </is>
      </c>
      <c r="I1604" s="12" t="inlineStr">
        <is>
          <t>LV 600 V</t>
        </is>
      </c>
      <c r="J1604" s="12" t="inlineStr">
        <is>
          <t>Type TC-ER 600 V 3/C Cu XHHW-2 + ground, PVC jacket</t>
        </is>
      </c>
      <c r="K1604" s="12" t="inlineStr">
        <is>
          <t>LV|3/C+G|10</t>
        </is>
      </c>
      <c r="L1604" s="12" t="inlineStr">
        <is>
          <t>3/C+G</t>
        </is>
      </c>
      <c r="M1604" s="12" t="inlineStr">
        <is>
          <t>10</t>
        </is>
      </c>
      <c r="N1604" s="12" t="n">
        <v>1</v>
      </c>
      <c r="O1604" s="12" t="n">
        <v>1</v>
      </c>
      <c r="P1604" s="12" t="n">
        <v>480</v>
      </c>
      <c r="Q1604" s="12" t="n">
        <v>2.5</v>
      </c>
      <c r="R1604" s="12" t="n">
        <v>3.5</v>
      </c>
      <c r="S1604" s="12" t="inlineStr">
        <is>
          <t>Tray</t>
        </is>
      </c>
      <c r="T1604" s="16" t="n">
        <v>53</v>
      </c>
      <c r="U1604" s="16" t="n">
        <v>96</v>
      </c>
      <c r="V1604" s="16">
        <f>ROUNDUP((T1604+U1604+2*'Read Me'!$B$13)*(1+'Read Me'!$B$12),-1)</f>
        <v/>
      </c>
      <c r="W1604" s="16">
        <f>V1604*N1604*O1604</f>
        <v/>
      </c>
      <c r="X1604" s="12">
        <f>IF(LEFT(I1604,2)="MV",2*N1604*IF(L1604="1/C",O1604,1),0)</f>
        <v/>
      </c>
      <c r="Y1604" s="12">
        <f>IF(OR(LEFT(K1604,4)="LVAX",LEFT(K1604,6)="MV15AX",LEFT(K1604,4)="CTAX",LEFT(K1604,2)="W|"),2*N1604*O1604,0)</f>
        <v/>
      </c>
      <c r="Z1604" s="12" t="inlineStr">
        <is>
          <t>VD 0.3 %</t>
        </is>
      </c>
      <c r="AA1604" s="12">
        <f>N1604*O1604</f>
        <v/>
      </c>
    </row>
    <row r="1605">
      <c r="A1605" s="12" t="inlineStr">
        <is>
          <t>A-P-0238</t>
        </is>
      </c>
      <c r="B1605" s="12" t="inlineStr">
        <is>
          <t>A</t>
        </is>
      </c>
      <c r="C1605" s="12" t="inlineStr">
        <is>
          <t>Power block</t>
        </is>
      </c>
      <c r="D1605" s="12" t="inlineStr">
        <is>
          <t>MOV 3: power</t>
        </is>
      </c>
      <c r="E1605" s="12" t="inlineStr">
        <is>
          <t>R2B</t>
        </is>
      </c>
      <c r="F1605" s="12" t="inlineStr">
        <is>
          <t>R2B: unit / HRSG electrical e-house (32 x 40 ft)</t>
        </is>
      </c>
      <c r="G1605" s="12" t="inlineStr">
        <is>
          <t>HRSG-2</t>
        </is>
      </c>
      <c r="H1605" s="12" t="inlineStr">
        <is>
          <t>HRSG 2 + SCR (3P reheat, horizontal)</t>
        </is>
      </c>
      <c r="I1605" s="12" t="inlineStr">
        <is>
          <t>LV 600 V</t>
        </is>
      </c>
      <c r="J1605" s="12" t="inlineStr">
        <is>
          <t>Type TC-ER 600 V 3/C Cu XHHW-2 + ground, PVC jacket</t>
        </is>
      </c>
      <c r="K1605" s="12" t="inlineStr">
        <is>
          <t>LV|3/C+G|10</t>
        </is>
      </c>
      <c r="L1605" s="12" t="inlineStr">
        <is>
          <t>3/C+G</t>
        </is>
      </c>
      <c r="M1605" s="12" t="inlineStr">
        <is>
          <t>10</t>
        </is>
      </c>
      <c r="N1605" s="12" t="n">
        <v>1</v>
      </c>
      <c r="O1605" s="12" t="n">
        <v>1</v>
      </c>
      <c r="P1605" s="12" t="n">
        <v>480</v>
      </c>
      <c r="Q1605" s="12" t="n">
        <v>2.5</v>
      </c>
      <c r="R1605" s="12" t="n">
        <v>3.5</v>
      </c>
      <c r="S1605" s="12" t="inlineStr">
        <is>
          <t>Tray</t>
        </is>
      </c>
      <c r="T1605" s="16" t="n">
        <v>53</v>
      </c>
      <c r="U1605" s="16" t="n">
        <v>96</v>
      </c>
      <c r="V1605" s="16">
        <f>ROUNDUP((T1605+U1605+2*'Read Me'!$B$13)*(1+'Read Me'!$B$12),-1)</f>
        <v/>
      </c>
      <c r="W1605" s="16">
        <f>V1605*N1605*O1605</f>
        <v/>
      </c>
      <c r="X1605" s="12">
        <f>IF(LEFT(I1605,2)="MV",2*N1605*IF(L1605="1/C",O1605,1),0)</f>
        <v/>
      </c>
      <c r="Y1605" s="12">
        <f>IF(OR(LEFT(K1605,4)="LVAX",LEFT(K1605,6)="MV15AX",LEFT(K1605,4)="CTAX",LEFT(K1605,2)="W|"),2*N1605*O1605,0)</f>
        <v/>
      </c>
      <c r="Z1605" s="12" t="inlineStr">
        <is>
          <t>VD 0.3 %</t>
        </is>
      </c>
      <c r="AA1605" s="12">
        <f>N1605*O1605</f>
        <v/>
      </c>
    </row>
    <row r="1606">
      <c r="A1606" s="12" t="inlineStr">
        <is>
          <t>A-P-0239</t>
        </is>
      </c>
      <c r="B1606" s="12" t="inlineStr">
        <is>
          <t>A</t>
        </is>
      </c>
      <c r="C1606" s="12" t="inlineStr">
        <is>
          <t>Power block</t>
        </is>
      </c>
      <c r="D1606" s="12" t="inlineStr">
        <is>
          <t>MOV 4: power</t>
        </is>
      </c>
      <c r="E1606" s="12" t="inlineStr">
        <is>
          <t>R2B</t>
        </is>
      </c>
      <c r="F1606" s="12" t="inlineStr">
        <is>
          <t>R2B: unit / HRSG electrical e-house (32 x 40 ft)</t>
        </is>
      </c>
      <c r="G1606" s="12" t="inlineStr">
        <is>
          <t>HRSG-2</t>
        </is>
      </c>
      <c r="H1606" s="12" t="inlineStr">
        <is>
          <t>HRSG 2 + SCR (3P reheat, horizontal)</t>
        </is>
      </c>
      <c r="I1606" s="12" t="inlineStr">
        <is>
          <t>LV 600 V</t>
        </is>
      </c>
      <c r="J1606" s="12" t="inlineStr">
        <is>
          <t>Type TC-ER 600 V 3/C Cu XHHW-2 + ground, PVC jacket</t>
        </is>
      </c>
      <c r="K1606" s="12" t="inlineStr">
        <is>
          <t>LV|3/C+G|10</t>
        </is>
      </c>
      <c r="L1606" s="12" t="inlineStr">
        <is>
          <t>3/C+G</t>
        </is>
      </c>
      <c r="M1606" s="12" t="inlineStr">
        <is>
          <t>10</t>
        </is>
      </c>
      <c r="N1606" s="12" t="n">
        <v>1</v>
      </c>
      <c r="O1606" s="12" t="n">
        <v>1</v>
      </c>
      <c r="P1606" s="12" t="n">
        <v>480</v>
      </c>
      <c r="Q1606" s="12" t="n">
        <v>2.5</v>
      </c>
      <c r="R1606" s="12" t="n">
        <v>3.5</v>
      </c>
      <c r="S1606" s="12" t="inlineStr">
        <is>
          <t>Tray</t>
        </is>
      </c>
      <c r="T1606" s="16" t="n">
        <v>53</v>
      </c>
      <c r="U1606" s="16" t="n">
        <v>96</v>
      </c>
      <c r="V1606" s="16">
        <f>ROUNDUP((T1606+U1606+2*'Read Me'!$B$13)*(1+'Read Me'!$B$12),-1)</f>
        <v/>
      </c>
      <c r="W1606" s="16">
        <f>V1606*N1606*O1606</f>
        <v/>
      </c>
      <c r="X1606" s="12">
        <f>IF(LEFT(I1606,2)="MV",2*N1606*IF(L1606="1/C",O1606,1),0)</f>
        <v/>
      </c>
      <c r="Y1606" s="12">
        <f>IF(OR(LEFT(K1606,4)="LVAX",LEFT(K1606,6)="MV15AX",LEFT(K1606,4)="CTAX",LEFT(K1606,2)="W|"),2*N1606*O1606,0)</f>
        <v/>
      </c>
      <c r="Z1606" s="12" t="inlineStr">
        <is>
          <t>VD 0.3 %</t>
        </is>
      </c>
      <c r="AA1606" s="12">
        <f>N1606*O1606</f>
        <v/>
      </c>
    </row>
    <row r="1607">
      <c r="A1607" s="12" t="inlineStr">
        <is>
          <t>A-P-0240</t>
        </is>
      </c>
      <c r="B1607" s="12" t="inlineStr">
        <is>
          <t>A</t>
        </is>
      </c>
      <c r="C1607" s="12" t="inlineStr">
        <is>
          <t>Power block</t>
        </is>
      </c>
      <c r="D1607" s="12" t="inlineStr">
        <is>
          <t>MOV 5: power</t>
        </is>
      </c>
      <c r="E1607" s="12" t="inlineStr">
        <is>
          <t>R2B</t>
        </is>
      </c>
      <c r="F1607" s="12" t="inlineStr">
        <is>
          <t>R2B: unit / HRSG electrical e-house (32 x 40 ft)</t>
        </is>
      </c>
      <c r="G1607" s="12" t="inlineStr">
        <is>
          <t>HRSG-2</t>
        </is>
      </c>
      <c r="H1607" s="12" t="inlineStr">
        <is>
          <t>HRSG 2 + SCR (3P reheat, horizontal)</t>
        </is>
      </c>
      <c r="I1607" s="12" t="inlineStr">
        <is>
          <t>LV 600 V</t>
        </is>
      </c>
      <c r="J1607" s="12" t="inlineStr">
        <is>
          <t>Type TC-ER 600 V 3/C Cu XHHW-2 + ground, PVC jacket</t>
        </is>
      </c>
      <c r="K1607" s="12" t="inlineStr">
        <is>
          <t>LV|3/C+G|10</t>
        </is>
      </c>
      <c r="L1607" s="12" t="inlineStr">
        <is>
          <t>3/C+G</t>
        </is>
      </c>
      <c r="M1607" s="12" t="inlineStr">
        <is>
          <t>10</t>
        </is>
      </c>
      <c r="N1607" s="12" t="n">
        <v>1</v>
      </c>
      <c r="O1607" s="12" t="n">
        <v>1</v>
      </c>
      <c r="P1607" s="12" t="n">
        <v>480</v>
      </c>
      <c r="Q1607" s="12" t="n">
        <v>2.5</v>
      </c>
      <c r="R1607" s="12" t="n">
        <v>3.5</v>
      </c>
      <c r="S1607" s="12" t="inlineStr">
        <is>
          <t>Tray</t>
        </is>
      </c>
      <c r="T1607" s="16" t="n">
        <v>53</v>
      </c>
      <c r="U1607" s="16" t="n">
        <v>96</v>
      </c>
      <c r="V1607" s="16">
        <f>ROUNDUP((T1607+U1607+2*'Read Me'!$B$13)*(1+'Read Me'!$B$12),-1)</f>
        <v/>
      </c>
      <c r="W1607" s="16">
        <f>V1607*N1607*O1607</f>
        <v/>
      </c>
      <c r="X1607" s="12">
        <f>IF(LEFT(I1607,2)="MV",2*N1607*IF(L1607="1/C",O1607,1),0)</f>
        <v/>
      </c>
      <c r="Y1607" s="12">
        <f>IF(OR(LEFT(K1607,4)="LVAX",LEFT(K1607,6)="MV15AX",LEFT(K1607,4)="CTAX",LEFT(K1607,2)="W|"),2*N1607*O1607,0)</f>
        <v/>
      </c>
      <c r="Z1607" s="12" t="inlineStr">
        <is>
          <t>VD 0.3 %</t>
        </is>
      </c>
      <c r="AA1607" s="12">
        <f>N1607*O1607</f>
        <v/>
      </c>
    </row>
    <row r="1608">
      <c r="A1608" s="12" t="inlineStr">
        <is>
          <t>A-P-0241</t>
        </is>
      </c>
      <c r="B1608" s="12" t="inlineStr">
        <is>
          <t>A</t>
        </is>
      </c>
      <c r="C1608" s="12" t="inlineStr">
        <is>
          <t>Power block</t>
        </is>
      </c>
      <c r="D1608" s="12" t="inlineStr">
        <is>
          <t>MOV 6: power</t>
        </is>
      </c>
      <c r="E1608" s="12" t="inlineStr">
        <is>
          <t>R2B</t>
        </is>
      </c>
      <c r="F1608" s="12" t="inlineStr">
        <is>
          <t>R2B: unit / HRSG electrical e-house (32 x 40 ft)</t>
        </is>
      </c>
      <c r="G1608" s="12" t="inlineStr">
        <is>
          <t>HRSG-2</t>
        </is>
      </c>
      <c r="H1608" s="12" t="inlineStr">
        <is>
          <t>HRSG 2 + SCR (3P reheat, horizontal)</t>
        </is>
      </c>
      <c r="I1608" s="12" t="inlineStr">
        <is>
          <t>LV 600 V</t>
        </is>
      </c>
      <c r="J1608" s="12" t="inlineStr">
        <is>
          <t>Type TC-ER 600 V 3/C Cu XHHW-2 + ground, PVC jacket</t>
        </is>
      </c>
      <c r="K1608" s="12" t="inlineStr">
        <is>
          <t>LV|3/C+G|10</t>
        </is>
      </c>
      <c r="L1608" s="12" t="inlineStr">
        <is>
          <t>3/C+G</t>
        </is>
      </c>
      <c r="M1608" s="12" t="inlineStr">
        <is>
          <t>10</t>
        </is>
      </c>
      <c r="N1608" s="12" t="n">
        <v>1</v>
      </c>
      <c r="O1608" s="12" t="n">
        <v>1</v>
      </c>
      <c r="P1608" s="12" t="n">
        <v>480</v>
      </c>
      <c r="Q1608" s="12" t="n">
        <v>2.5</v>
      </c>
      <c r="R1608" s="12" t="n">
        <v>3.5</v>
      </c>
      <c r="S1608" s="12" t="inlineStr">
        <is>
          <t>Tray</t>
        </is>
      </c>
      <c r="T1608" s="16" t="n">
        <v>53</v>
      </c>
      <c r="U1608" s="16" t="n">
        <v>96</v>
      </c>
      <c r="V1608" s="16">
        <f>ROUNDUP((T1608+U1608+2*'Read Me'!$B$13)*(1+'Read Me'!$B$12),-1)</f>
        <v/>
      </c>
      <c r="W1608" s="16">
        <f>V1608*N1608*O1608</f>
        <v/>
      </c>
      <c r="X1608" s="12">
        <f>IF(LEFT(I1608,2)="MV",2*N1608*IF(L1608="1/C",O1608,1),0)</f>
        <v/>
      </c>
      <c r="Y1608" s="12">
        <f>IF(OR(LEFT(K1608,4)="LVAX",LEFT(K1608,6)="MV15AX",LEFT(K1608,4)="CTAX",LEFT(K1608,2)="W|"),2*N1608*O1608,0)</f>
        <v/>
      </c>
      <c r="Z1608" s="12" t="inlineStr">
        <is>
          <t>VD 0.3 %</t>
        </is>
      </c>
      <c r="AA1608" s="12">
        <f>N1608*O1608</f>
        <v/>
      </c>
    </row>
    <row r="1609">
      <c r="A1609" s="12" t="inlineStr">
        <is>
          <t>A-P-0242</t>
        </is>
      </c>
      <c r="B1609" s="12" t="inlineStr">
        <is>
          <t>A</t>
        </is>
      </c>
      <c r="C1609" s="12" t="inlineStr">
        <is>
          <t>Power block</t>
        </is>
      </c>
      <c r="D1609" s="12" t="inlineStr">
        <is>
          <t>MOV 7: power</t>
        </is>
      </c>
      <c r="E1609" s="12" t="inlineStr">
        <is>
          <t>R2B</t>
        </is>
      </c>
      <c r="F1609" s="12" t="inlineStr">
        <is>
          <t>R2B: unit / HRSG electrical e-house (32 x 40 ft)</t>
        </is>
      </c>
      <c r="G1609" s="12" t="inlineStr">
        <is>
          <t>HRSG-2</t>
        </is>
      </c>
      <c r="H1609" s="12" t="inlineStr">
        <is>
          <t>HRSG 2 + SCR (3P reheat, horizontal)</t>
        </is>
      </c>
      <c r="I1609" s="12" t="inlineStr">
        <is>
          <t>LV 600 V</t>
        </is>
      </c>
      <c r="J1609" s="12" t="inlineStr">
        <is>
          <t>Type TC-ER 600 V 3/C Cu XHHW-2 + ground, PVC jacket</t>
        </is>
      </c>
      <c r="K1609" s="12" t="inlineStr">
        <is>
          <t>LV|3/C+G|10</t>
        </is>
      </c>
      <c r="L1609" s="12" t="inlineStr">
        <is>
          <t>3/C+G</t>
        </is>
      </c>
      <c r="M1609" s="12" t="inlineStr">
        <is>
          <t>10</t>
        </is>
      </c>
      <c r="N1609" s="12" t="n">
        <v>1</v>
      </c>
      <c r="O1609" s="12" t="n">
        <v>1</v>
      </c>
      <c r="P1609" s="12" t="n">
        <v>480</v>
      </c>
      <c r="Q1609" s="12" t="n">
        <v>2.5</v>
      </c>
      <c r="R1609" s="12" t="n">
        <v>3.5</v>
      </c>
      <c r="S1609" s="12" t="inlineStr">
        <is>
          <t>Tray</t>
        </is>
      </c>
      <c r="T1609" s="16" t="n">
        <v>53</v>
      </c>
      <c r="U1609" s="16" t="n">
        <v>96</v>
      </c>
      <c r="V1609" s="16">
        <f>ROUNDUP((T1609+U1609+2*'Read Me'!$B$13)*(1+'Read Me'!$B$12),-1)</f>
        <v/>
      </c>
      <c r="W1609" s="16">
        <f>V1609*N1609*O1609</f>
        <v/>
      </c>
      <c r="X1609" s="12">
        <f>IF(LEFT(I1609,2)="MV",2*N1609*IF(L1609="1/C",O1609,1),0)</f>
        <v/>
      </c>
      <c r="Y1609" s="12">
        <f>IF(OR(LEFT(K1609,4)="LVAX",LEFT(K1609,6)="MV15AX",LEFT(K1609,4)="CTAX",LEFT(K1609,2)="W|"),2*N1609*O1609,0)</f>
        <v/>
      </c>
      <c r="Z1609" s="12" t="inlineStr">
        <is>
          <t>VD 0.3 %</t>
        </is>
      </c>
      <c r="AA1609" s="12">
        <f>N1609*O1609</f>
        <v/>
      </c>
    </row>
    <row r="1610">
      <c r="A1610" s="12" t="inlineStr">
        <is>
          <t>A-P-0243</t>
        </is>
      </c>
      <c r="B1610" s="12" t="inlineStr">
        <is>
          <t>A</t>
        </is>
      </c>
      <c r="C1610" s="12" t="inlineStr">
        <is>
          <t>Power block</t>
        </is>
      </c>
      <c r="D1610" s="12" t="inlineStr">
        <is>
          <t>MOV 8: power</t>
        </is>
      </c>
      <c r="E1610" s="12" t="inlineStr">
        <is>
          <t>R2B</t>
        </is>
      </c>
      <c r="F1610" s="12" t="inlineStr">
        <is>
          <t>R2B: unit / HRSG electrical e-house (32 x 40 ft)</t>
        </is>
      </c>
      <c r="G1610" s="12" t="inlineStr">
        <is>
          <t>HRSG-2</t>
        </is>
      </c>
      <c r="H1610" s="12" t="inlineStr">
        <is>
          <t>HRSG 2 + SCR (3P reheat, horizontal)</t>
        </is>
      </c>
      <c r="I1610" s="12" t="inlineStr">
        <is>
          <t>LV 600 V</t>
        </is>
      </c>
      <c r="J1610" s="12" t="inlineStr">
        <is>
          <t>Type TC-ER 600 V 3/C Cu XHHW-2 + ground, PVC jacket</t>
        </is>
      </c>
      <c r="K1610" s="12" t="inlineStr">
        <is>
          <t>LV|3/C+G|10</t>
        </is>
      </c>
      <c r="L1610" s="12" t="inlineStr">
        <is>
          <t>3/C+G</t>
        </is>
      </c>
      <c r="M1610" s="12" t="inlineStr">
        <is>
          <t>10</t>
        </is>
      </c>
      <c r="N1610" s="12" t="n">
        <v>1</v>
      </c>
      <c r="O1610" s="12" t="n">
        <v>1</v>
      </c>
      <c r="P1610" s="12" t="n">
        <v>480</v>
      </c>
      <c r="Q1610" s="12" t="n">
        <v>2.5</v>
      </c>
      <c r="R1610" s="12" t="n">
        <v>3.5</v>
      </c>
      <c r="S1610" s="12" t="inlineStr">
        <is>
          <t>Tray</t>
        </is>
      </c>
      <c r="T1610" s="16" t="n">
        <v>53</v>
      </c>
      <c r="U1610" s="16" t="n">
        <v>96</v>
      </c>
      <c r="V1610" s="16">
        <f>ROUNDUP((T1610+U1610+2*'Read Me'!$B$13)*(1+'Read Me'!$B$12),-1)</f>
        <v/>
      </c>
      <c r="W1610" s="16">
        <f>V1610*N1610*O1610</f>
        <v/>
      </c>
      <c r="X1610" s="12">
        <f>IF(LEFT(I1610,2)="MV",2*N1610*IF(L1610="1/C",O1610,1),0)</f>
        <v/>
      </c>
      <c r="Y1610" s="12">
        <f>IF(OR(LEFT(K1610,4)="LVAX",LEFT(K1610,6)="MV15AX",LEFT(K1610,4)="CTAX",LEFT(K1610,2)="W|"),2*N1610*O1610,0)</f>
        <v/>
      </c>
      <c r="Z1610" s="12" t="inlineStr">
        <is>
          <t>VD 0.3 %</t>
        </is>
      </c>
      <c r="AA1610" s="12">
        <f>N1610*O1610</f>
        <v/>
      </c>
    </row>
    <row r="1611">
      <c r="A1611" s="12" t="inlineStr">
        <is>
          <t>A-P-0244</t>
        </is>
      </c>
      <c r="B1611" s="12" t="inlineStr">
        <is>
          <t>A</t>
        </is>
      </c>
      <c r="C1611" s="12" t="inlineStr">
        <is>
          <t>Power block</t>
        </is>
      </c>
      <c r="D1611" s="12" t="inlineStr">
        <is>
          <t>MOV 9: power</t>
        </is>
      </c>
      <c r="E1611" s="12" t="inlineStr">
        <is>
          <t>R2B</t>
        </is>
      </c>
      <c r="F1611" s="12" t="inlineStr">
        <is>
          <t>R2B: unit / HRSG electrical e-house (32 x 40 ft)</t>
        </is>
      </c>
      <c r="G1611" s="12" t="inlineStr">
        <is>
          <t>HRSG-2</t>
        </is>
      </c>
      <c r="H1611" s="12" t="inlineStr">
        <is>
          <t>HRSG 2 + SCR (3P reheat, horizontal)</t>
        </is>
      </c>
      <c r="I1611" s="12" t="inlineStr">
        <is>
          <t>LV 600 V</t>
        </is>
      </c>
      <c r="J1611" s="12" t="inlineStr">
        <is>
          <t>Type TC-ER 600 V 3/C Cu XHHW-2 + ground, PVC jacket</t>
        </is>
      </c>
      <c r="K1611" s="12" t="inlineStr">
        <is>
          <t>LV|3/C+G|10</t>
        </is>
      </c>
      <c r="L1611" s="12" t="inlineStr">
        <is>
          <t>3/C+G</t>
        </is>
      </c>
      <c r="M1611" s="12" t="inlineStr">
        <is>
          <t>10</t>
        </is>
      </c>
      <c r="N1611" s="12" t="n">
        <v>1</v>
      </c>
      <c r="O1611" s="12" t="n">
        <v>1</v>
      </c>
      <c r="P1611" s="12" t="n">
        <v>480</v>
      </c>
      <c r="Q1611" s="12" t="n">
        <v>2.5</v>
      </c>
      <c r="R1611" s="12" t="n">
        <v>3.5</v>
      </c>
      <c r="S1611" s="12" t="inlineStr">
        <is>
          <t>Tray</t>
        </is>
      </c>
      <c r="T1611" s="16" t="n">
        <v>53</v>
      </c>
      <c r="U1611" s="16" t="n">
        <v>96</v>
      </c>
      <c r="V1611" s="16">
        <f>ROUNDUP((T1611+U1611+2*'Read Me'!$B$13)*(1+'Read Me'!$B$12),-1)</f>
        <v/>
      </c>
      <c r="W1611" s="16">
        <f>V1611*N1611*O1611</f>
        <v/>
      </c>
      <c r="X1611" s="12">
        <f>IF(LEFT(I1611,2)="MV",2*N1611*IF(L1611="1/C",O1611,1),0)</f>
        <v/>
      </c>
      <c r="Y1611" s="12">
        <f>IF(OR(LEFT(K1611,4)="LVAX",LEFT(K1611,6)="MV15AX",LEFT(K1611,4)="CTAX",LEFT(K1611,2)="W|"),2*N1611*O1611,0)</f>
        <v/>
      </c>
      <c r="Z1611" s="12" t="inlineStr">
        <is>
          <t>VD 0.3 %</t>
        </is>
      </c>
      <c r="AA1611" s="12">
        <f>N1611*O1611</f>
        <v/>
      </c>
    </row>
    <row r="1612">
      <c r="A1612" s="12" t="inlineStr">
        <is>
          <t>A-P-0245</t>
        </is>
      </c>
      <c r="B1612" s="12" t="inlineStr">
        <is>
          <t>A</t>
        </is>
      </c>
      <c r="C1612" s="12" t="inlineStr">
        <is>
          <t>Power block</t>
        </is>
      </c>
      <c r="D1612" s="12" t="inlineStr">
        <is>
          <t>MOV 10: power</t>
        </is>
      </c>
      <c r="E1612" s="12" t="inlineStr">
        <is>
          <t>R2B</t>
        </is>
      </c>
      <c r="F1612" s="12" t="inlineStr">
        <is>
          <t>R2B: unit / HRSG electrical e-house (32 x 40 ft)</t>
        </is>
      </c>
      <c r="G1612" s="12" t="inlineStr">
        <is>
          <t>HRSG-2</t>
        </is>
      </c>
      <c r="H1612" s="12" t="inlineStr">
        <is>
          <t>HRSG 2 + SCR (3P reheat, horizontal)</t>
        </is>
      </c>
      <c r="I1612" s="12" t="inlineStr">
        <is>
          <t>LV 600 V</t>
        </is>
      </c>
      <c r="J1612" s="12" t="inlineStr">
        <is>
          <t>Type TC-ER 600 V 3/C Cu XHHW-2 + ground, PVC jacket</t>
        </is>
      </c>
      <c r="K1612" s="12" t="inlineStr">
        <is>
          <t>LV|3/C+G|10</t>
        </is>
      </c>
      <c r="L1612" s="12" t="inlineStr">
        <is>
          <t>3/C+G</t>
        </is>
      </c>
      <c r="M1612" s="12" t="inlineStr">
        <is>
          <t>10</t>
        </is>
      </c>
      <c r="N1612" s="12" t="n">
        <v>1</v>
      </c>
      <c r="O1612" s="12" t="n">
        <v>1</v>
      </c>
      <c r="P1612" s="12" t="n">
        <v>480</v>
      </c>
      <c r="Q1612" s="12" t="n">
        <v>2.5</v>
      </c>
      <c r="R1612" s="12" t="n">
        <v>3.5</v>
      </c>
      <c r="S1612" s="12" t="inlineStr">
        <is>
          <t>Tray</t>
        </is>
      </c>
      <c r="T1612" s="16" t="n">
        <v>53</v>
      </c>
      <c r="U1612" s="16" t="n">
        <v>96</v>
      </c>
      <c r="V1612" s="16">
        <f>ROUNDUP((T1612+U1612+2*'Read Me'!$B$13)*(1+'Read Me'!$B$12),-1)</f>
        <v/>
      </c>
      <c r="W1612" s="16">
        <f>V1612*N1612*O1612</f>
        <v/>
      </c>
      <c r="X1612" s="12">
        <f>IF(LEFT(I1612,2)="MV",2*N1612*IF(L1612="1/C",O1612,1),0)</f>
        <v/>
      </c>
      <c r="Y1612" s="12">
        <f>IF(OR(LEFT(K1612,4)="LVAX",LEFT(K1612,6)="MV15AX",LEFT(K1612,4)="CTAX",LEFT(K1612,2)="W|"),2*N1612*O1612,0)</f>
        <v/>
      </c>
      <c r="Z1612" s="12" t="inlineStr">
        <is>
          <t>VD 0.3 %</t>
        </is>
      </c>
      <c r="AA1612" s="12">
        <f>N1612*O1612</f>
        <v/>
      </c>
    </row>
    <row r="1613">
      <c r="A1613" s="12" t="inlineStr">
        <is>
          <t>A-P-0246</t>
        </is>
      </c>
      <c r="B1613" s="12" t="inlineStr">
        <is>
          <t>A</t>
        </is>
      </c>
      <c r="C1613" s="12" t="inlineStr">
        <is>
          <t>Power block</t>
        </is>
      </c>
      <c r="D1613" s="12" t="inlineStr">
        <is>
          <t>MOV 11: power</t>
        </is>
      </c>
      <c r="E1613" s="12" t="inlineStr">
        <is>
          <t>R2B</t>
        </is>
      </c>
      <c r="F1613" s="12" t="inlineStr">
        <is>
          <t>R2B: unit / HRSG electrical e-house (32 x 40 ft)</t>
        </is>
      </c>
      <c r="G1613" s="12" t="inlineStr">
        <is>
          <t>HRSG-2</t>
        </is>
      </c>
      <c r="H1613" s="12" t="inlineStr">
        <is>
          <t>HRSG 2 + SCR (3P reheat, horizontal)</t>
        </is>
      </c>
      <c r="I1613" s="12" t="inlineStr">
        <is>
          <t>LV 600 V</t>
        </is>
      </c>
      <c r="J1613" s="12" t="inlineStr">
        <is>
          <t>Type TC-ER 600 V 3/C Cu XHHW-2 + ground, PVC jacket</t>
        </is>
      </c>
      <c r="K1613" s="12" t="inlineStr">
        <is>
          <t>LV|3/C+G|10</t>
        </is>
      </c>
      <c r="L1613" s="12" t="inlineStr">
        <is>
          <t>3/C+G</t>
        </is>
      </c>
      <c r="M1613" s="12" t="inlineStr">
        <is>
          <t>10</t>
        </is>
      </c>
      <c r="N1613" s="12" t="n">
        <v>1</v>
      </c>
      <c r="O1613" s="12" t="n">
        <v>1</v>
      </c>
      <c r="P1613" s="12" t="n">
        <v>480</v>
      </c>
      <c r="Q1613" s="12" t="n">
        <v>2.5</v>
      </c>
      <c r="R1613" s="12" t="n">
        <v>3.5</v>
      </c>
      <c r="S1613" s="12" t="inlineStr">
        <is>
          <t>Tray</t>
        </is>
      </c>
      <c r="T1613" s="16" t="n">
        <v>53</v>
      </c>
      <c r="U1613" s="16" t="n">
        <v>96</v>
      </c>
      <c r="V1613" s="16">
        <f>ROUNDUP((T1613+U1613+2*'Read Me'!$B$13)*(1+'Read Me'!$B$12),-1)</f>
        <v/>
      </c>
      <c r="W1613" s="16">
        <f>V1613*N1613*O1613</f>
        <v/>
      </c>
      <c r="X1613" s="12">
        <f>IF(LEFT(I1613,2)="MV",2*N1613*IF(L1613="1/C",O1613,1),0)</f>
        <v/>
      </c>
      <c r="Y1613" s="12">
        <f>IF(OR(LEFT(K1613,4)="LVAX",LEFT(K1613,6)="MV15AX",LEFT(K1613,4)="CTAX",LEFT(K1613,2)="W|"),2*N1613*O1613,0)</f>
        <v/>
      </c>
      <c r="Z1613" s="12" t="inlineStr">
        <is>
          <t>VD 0.3 %</t>
        </is>
      </c>
      <c r="AA1613" s="12">
        <f>N1613*O1613</f>
        <v/>
      </c>
    </row>
    <row r="1614">
      <c r="A1614" s="12" t="inlineStr">
        <is>
          <t>A-P-0247</t>
        </is>
      </c>
      <c r="B1614" s="12" t="inlineStr">
        <is>
          <t>A</t>
        </is>
      </c>
      <c r="C1614" s="12" t="inlineStr">
        <is>
          <t>Power block</t>
        </is>
      </c>
      <c r="D1614" s="12" t="inlineStr">
        <is>
          <t>MOV 12: power</t>
        </is>
      </c>
      <c r="E1614" s="12" t="inlineStr">
        <is>
          <t>R2B</t>
        </is>
      </c>
      <c r="F1614" s="12" t="inlineStr">
        <is>
          <t>R2B: unit / HRSG electrical e-house (32 x 40 ft)</t>
        </is>
      </c>
      <c r="G1614" s="12" t="inlineStr">
        <is>
          <t>HRSG-2</t>
        </is>
      </c>
      <c r="H1614" s="12" t="inlineStr">
        <is>
          <t>HRSG 2 + SCR (3P reheat, horizontal)</t>
        </is>
      </c>
      <c r="I1614" s="12" t="inlineStr">
        <is>
          <t>LV 600 V</t>
        </is>
      </c>
      <c r="J1614" s="12" t="inlineStr">
        <is>
          <t>Type TC-ER 600 V 3/C Cu XHHW-2 + ground, PVC jacket</t>
        </is>
      </c>
      <c r="K1614" s="12" t="inlineStr">
        <is>
          <t>LV|3/C+G|10</t>
        </is>
      </c>
      <c r="L1614" s="12" t="inlineStr">
        <is>
          <t>3/C+G</t>
        </is>
      </c>
      <c r="M1614" s="12" t="inlineStr">
        <is>
          <t>10</t>
        </is>
      </c>
      <c r="N1614" s="12" t="n">
        <v>1</v>
      </c>
      <c r="O1614" s="12" t="n">
        <v>1</v>
      </c>
      <c r="P1614" s="12" t="n">
        <v>480</v>
      </c>
      <c r="Q1614" s="12" t="n">
        <v>2.5</v>
      </c>
      <c r="R1614" s="12" t="n">
        <v>3.5</v>
      </c>
      <c r="S1614" s="12" t="inlineStr">
        <is>
          <t>Tray</t>
        </is>
      </c>
      <c r="T1614" s="16" t="n">
        <v>53</v>
      </c>
      <c r="U1614" s="16" t="n">
        <v>96</v>
      </c>
      <c r="V1614" s="16">
        <f>ROUNDUP((T1614+U1614+2*'Read Me'!$B$13)*(1+'Read Me'!$B$12),-1)</f>
        <v/>
      </c>
      <c r="W1614" s="16">
        <f>V1614*N1614*O1614</f>
        <v/>
      </c>
      <c r="X1614" s="12">
        <f>IF(LEFT(I1614,2)="MV",2*N1614*IF(L1614="1/C",O1614,1),0)</f>
        <v/>
      </c>
      <c r="Y1614" s="12">
        <f>IF(OR(LEFT(K1614,4)="LVAX",LEFT(K1614,6)="MV15AX",LEFT(K1614,4)="CTAX",LEFT(K1614,2)="W|"),2*N1614*O1614,0)</f>
        <v/>
      </c>
      <c r="Z1614" s="12" t="inlineStr">
        <is>
          <t>VD 0.3 %</t>
        </is>
      </c>
      <c r="AA1614" s="12">
        <f>N1614*O1614</f>
        <v/>
      </c>
    </row>
    <row r="1615">
      <c r="A1615" s="12" t="inlineStr">
        <is>
          <t>A-P-0248</t>
        </is>
      </c>
      <c r="B1615" s="12" t="inlineStr">
        <is>
          <t>A</t>
        </is>
      </c>
      <c r="C1615" s="12" t="inlineStr">
        <is>
          <t>Power block</t>
        </is>
      </c>
      <c r="D1615" s="12" t="inlineStr">
        <is>
          <t>MOV 13: power</t>
        </is>
      </c>
      <c r="E1615" s="12" t="inlineStr">
        <is>
          <t>R2B</t>
        </is>
      </c>
      <c r="F1615" s="12" t="inlineStr">
        <is>
          <t>R2B: unit / HRSG electrical e-house (32 x 40 ft)</t>
        </is>
      </c>
      <c r="G1615" s="12" t="inlineStr">
        <is>
          <t>HRSG-2</t>
        </is>
      </c>
      <c r="H1615" s="12" t="inlineStr">
        <is>
          <t>HRSG 2 + SCR (3P reheat, horizontal)</t>
        </is>
      </c>
      <c r="I1615" s="12" t="inlineStr">
        <is>
          <t>LV 600 V</t>
        </is>
      </c>
      <c r="J1615" s="12" t="inlineStr">
        <is>
          <t>Type TC-ER 600 V 3/C Cu XHHW-2 + ground, PVC jacket</t>
        </is>
      </c>
      <c r="K1615" s="12" t="inlineStr">
        <is>
          <t>LV|3/C+G|10</t>
        </is>
      </c>
      <c r="L1615" s="12" t="inlineStr">
        <is>
          <t>3/C+G</t>
        </is>
      </c>
      <c r="M1615" s="12" t="inlineStr">
        <is>
          <t>10</t>
        </is>
      </c>
      <c r="N1615" s="12" t="n">
        <v>1</v>
      </c>
      <c r="O1615" s="12" t="n">
        <v>1</v>
      </c>
      <c r="P1615" s="12" t="n">
        <v>480</v>
      </c>
      <c r="Q1615" s="12" t="n">
        <v>2.5</v>
      </c>
      <c r="R1615" s="12" t="n">
        <v>3.5</v>
      </c>
      <c r="S1615" s="12" t="inlineStr">
        <is>
          <t>Tray</t>
        </is>
      </c>
      <c r="T1615" s="16" t="n">
        <v>53</v>
      </c>
      <c r="U1615" s="16" t="n">
        <v>96</v>
      </c>
      <c r="V1615" s="16">
        <f>ROUNDUP((T1615+U1615+2*'Read Me'!$B$13)*(1+'Read Me'!$B$12),-1)</f>
        <v/>
      </c>
      <c r="W1615" s="16">
        <f>V1615*N1615*O1615</f>
        <v/>
      </c>
      <c r="X1615" s="12">
        <f>IF(LEFT(I1615,2)="MV",2*N1615*IF(L1615="1/C",O1615,1),0)</f>
        <v/>
      </c>
      <c r="Y1615" s="12">
        <f>IF(OR(LEFT(K1615,4)="LVAX",LEFT(K1615,6)="MV15AX",LEFT(K1615,4)="CTAX",LEFT(K1615,2)="W|"),2*N1615*O1615,0)</f>
        <v/>
      </c>
      <c r="Z1615" s="12" t="inlineStr">
        <is>
          <t>VD 0.3 %</t>
        </is>
      </c>
      <c r="AA1615" s="12">
        <f>N1615*O1615</f>
        <v/>
      </c>
    </row>
    <row r="1616">
      <c r="A1616" s="12" t="inlineStr">
        <is>
          <t>A-P-0249</t>
        </is>
      </c>
      <c r="B1616" s="12" t="inlineStr">
        <is>
          <t>A</t>
        </is>
      </c>
      <c r="C1616" s="12" t="inlineStr">
        <is>
          <t>Power block</t>
        </is>
      </c>
      <c r="D1616" s="12" t="inlineStr">
        <is>
          <t>MOV 14: power</t>
        </is>
      </c>
      <c r="E1616" s="12" t="inlineStr">
        <is>
          <t>R2B</t>
        </is>
      </c>
      <c r="F1616" s="12" t="inlineStr">
        <is>
          <t>R2B: unit / HRSG electrical e-house (32 x 40 ft)</t>
        </is>
      </c>
      <c r="G1616" s="12" t="inlineStr">
        <is>
          <t>HRSG-2</t>
        </is>
      </c>
      <c r="H1616" s="12" t="inlineStr">
        <is>
          <t>HRSG 2 + SCR (3P reheat, horizontal)</t>
        </is>
      </c>
      <c r="I1616" s="12" t="inlineStr">
        <is>
          <t>LV 600 V</t>
        </is>
      </c>
      <c r="J1616" s="12" t="inlineStr">
        <is>
          <t>Type TC-ER 600 V 3/C Cu XHHW-2 + ground, PVC jacket</t>
        </is>
      </c>
      <c r="K1616" s="12" t="inlineStr">
        <is>
          <t>LV|3/C+G|10</t>
        </is>
      </c>
      <c r="L1616" s="12" t="inlineStr">
        <is>
          <t>3/C+G</t>
        </is>
      </c>
      <c r="M1616" s="12" t="inlineStr">
        <is>
          <t>10</t>
        </is>
      </c>
      <c r="N1616" s="12" t="n">
        <v>1</v>
      </c>
      <c r="O1616" s="12" t="n">
        <v>1</v>
      </c>
      <c r="P1616" s="12" t="n">
        <v>480</v>
      </c>
      <c r="Q1616" s="12" t="n">
        <v>2.5</v>
      </c>
      <c r="R1616" s="12" t="n">
        <v>3.5</v>
      </c>
      <c r="S1616" s="12" t="inlineStr">
        <is>
          <t>Tray</t>
        </is>
      </c>
      <c r="T1616" s="16" t="n">
        <v>53</v>
      </c>
      <c r="U1616" s="16" t="n">
        <v>96</v>
      </c>
      <c r="V1616" s="16">
        <f>ROUNDUP((T1616+U1616+2*'Read Me'!$B$13)*(1+'Read Me'!$B$12),-1)</f>
        <v/>
      </c>
      <c r="W1616" s="16">
        <f>V1616*N1616*O1616</f>
        <v/>
      </c>
      <c r="X1616" s="12">
        <f>IF(LEFT(I1616,2)="MV",2*N1616*IF(L1616="1/C",O1616,1),0)</f>
        <v/>
      </c>
      <c r="Y1616" s="12">
        <f>IF(OR(LEFT(K1616,4)="LVAX",LEFT(K1616,6)="MV15AX",LEFT(K1616,4)="CTAX",LEFT(K1616,2)="W|"),2*N1616*O1616,0)</f>
        <v/>
      </c>
      <c r="Z1616" s="12" t="inlineStr">
        <is>
          <t>VD 0.3 %</t>
        </is>
      </c>
      <c r="AA1616" s="12">
        <f>N1616*O1616</f>
        <v/>
      </c>
    </row>
    <row r="1617">
      <c r="A1617" s="12" t="inlineStr">
        <is>
          <t>A-P-0250</t>
        </is>
      </c>
      <c r="B1617" s="12" t="inlineStr">
        <is>
          <t>A</t>
        </is>
      </c>
      <c r="C1617" s="12" t="inlineStr">
        <is>
          <t>Power block</t>
        </is>
      </c>
      <c r="D1617" s="12" t="inlineStr">
        <is>
          <t>MOV 15: power</t>
        </is>
      </c>
      <c r="E1617" s="12" t="inlineStr">
        <is>
          <t>R2B</t>
        </is>
      </c>
      <c r="F1617" s="12" t="inlineStr">
        <is>
          <t>R2B: unit / HRSG electrical e-house (32 x 40 ft)</t>
        </is>
      </c>
      <c r="G1617" s="12" t="inlineStr">
        <is>
          <t>HRSG-2</t>
        </is>
      </c>
      <c r="H1617" s="12" t="inlineStr">
        <is>
          <t>HRSG 2 + SCR (3P reheat, horizontal)</t>
        </is>
      </c>
      <c r="I1617" s="12" t="inlineStr">
        <is>
          <t>LV 600 V</t>
        </is>
      </c>
      <c r="J1617" s="12" t="inlineStr">
        <is>
          <t>Type TC-ER 600 V 3/C Cu XHHW-2 + ground, PVC jacket</t>
        </is>
      </c>
      <c r="K1617" s="12" t="inlineStr">
        <is>
          <t>LV|3/C+G|10</t>
        </is>
      </c>
      <c r="L1617" s="12" t="inlineStr">
        <is>
          <t>3/C+G</t>
        </is>
      </c>
      <c r="M1617" s="12" t="inlineStr">
        <is>
          <t>10</t>
        </is>
      </c>
      <c r="N1617" s="12" t="n">
        <v>1</v>
      </c>
      <c r="O1617" s="12" t="n">
        <v>1</v>
      </c>
      <c r="P1617" s="12" t="n">
        <v>480</v>
      </c>
      <c r="Q1617" s="12" t="n">
        <v>2.5</v>
      </c>
      <c r="R1617" s="12" t="n">
        <v>3.5</v>
      </c>
      <c r="S1617" s="12" t="inlineStr">
        <is>
          <t>Tray</t>
        </is>
      </c>
      <c r="T1617" s="16" t="n">
        <v>53</v>
      </c>
      <c r="U1617" s="16" t="n">
        <v>96</v>
      </c>
      <c r="V1617" s="16">
        <f>ROUNDUP((T1617+U1617+2*'Read Me'!$B$13)*(1+'Read Me'!$B$12),-1)</f>
        <v/>
      </c>
      <c r="W1617" s="16">
        <f>V1617*N1617*O1617</f>
        <v/>
      </c>
      <c r="X1617" s="12">
        <f>IF(LEFT(I1617,2)="MV",2*N1617*IF(L1617="1/C",O1617,1),0)</f>
        <v/>
      </c>
      <c r="Y1617" s="12">
        <f>IF(OR(LEFT(K1617,4)="LVAX",LEFT(K1617,6)="MV15AX",LEFT(K1617,4)="CTAX",LEFT(K1617,2)="W|"),2*N1617*O1617,0)</f>
        <v/>
      </c>
      <c r="Z1617" s="12" t="inlineStr">
        <is>
          <t>VD 0.3 %</t>
        </is>
      </c>
      <c r="AA1617" s="12">
        <f>N1617*O1617</f>
        <v/>
      </c>
    </row>
    <row r="1618">
      <c r="A1618" s="12" t="inlineStr">
        <is>
          <t>A-P-0251</t>
        </is>
      </c>
      <c r="B1618" s="12" t="inlineStr">
        <is>
          <t>A</t>
        </is>
      </c>
      <c r="C1618" s="12" t="inlineStr">
        <is>
          <t>Power block</t>
        </is>
      </c>
      <c r="D1618" s="12" t="inlineStr">
        <is>
          <t>MOV 16: power</t>
        </is>
      </c>
      <c r="E1618" s="12" t="inlineStr">
        <is>
          <t>R2B</t>
        </is>
      </c>
      <c r="F1618" s="12" t="inlineStr">
        <is>
          <t>R2B: unit / HRSG electrical e-house (32 x 40 ft)</t>
        </is>
      </c>
      <c r="G1618" s="12" t="inlineStr">
        <is>
          <t>HRSG-2</t>
        </is>
      </c>
      <c r="H1618" s="12" t="inlineStr">
        <is>
          <t>HRSG 2 + SCR (3P reheat, horizontal)</t>
        </is>
      </c>
      <c r="I1618" s="12" t="inlineStr">
        <is>
          <t>LV 600 V</t>
        </is>
      </c>
      <c r="J1618" s="12" t="inlineStr">
        <is>
          <t>Type TC-ER 600 V 3/C Cu XHHW-2 + ground, PVC jacket</t>
        </is>
      </c>
      <c r="K1618" s="12" t="inlineStr">
        <is>
          <t>LV|3/C+G|10</t>
        </is>
      </c>
      <c r="L1618" s="12" t="inlineStr">
        <is>
          <t>3/C+G</t>
        </is>
      </c>
      <c r="M1618" s="12" t="inlineStr">
        <is>
          <t>10</t>
        </is>
      </c>
      <c r="N1618" s="12" t="n">
        <v>1</v>
      </c>
      <c r="O1618" s="12" t="n">
        <v>1</v>
      </c>
      <c r="P1618" s="12" t="n">
        <v>480</v>
      </c>
      <c r="Q1618" s="12" t="n">
        <v>2.5</v>
      </c>
      <c r="R1618" s="12" t="n">
        <v>3.5</v>
      </c>
      <c r="S1618" s="12" t="inlineStr">
        <is>
          <t>Tray</t>
        </is>
      </c>
      <c r="T1618" s="16" t="n">
        <v>53</v>
      </c>
      <c r="U1618" s="16" t="n">
        <v>96</v>
      </c>
      <c r="V1618" s="16">
        <f>ROUNDUP((T1618+U1618+2*'Read Me'!$B$13)*(1+'Read Me'!$B$12),-1)</f>
        <v/>
      </c>
      <c r="W1618" s="16">
        <f>V1618*N1618*O1618</f>
        <v/>
      </c>
      <c r="X1618" s="12">
        <f>IF(LEFT(I1618,2)="MV",2*N1618*IF(L1618="1/C",O1618,1),0)</f>
        <v/>
      </c>
      <c r="Y1618" s="12">
        <f>IF(OR(LEFT(K1618,4)="LVAX",LEFT(K1618,6)="MV15AX",LEFT(K1618,4)="CTAX",LEFT(K1618,2)="W|"),2*N1618*O1618,0)</f>
        <v/>
      </c>
      <c r="Z1618" s="12" t="inlineStr">
        <is>
          <t>VD 0.3 %</t>
        </is>
      </c>
      <c r="AA1618" s="12">
        <f>N1618*O1618</f>
        <v/>
      </c>
    </row>
    <row r="1619">
      <c r="A1619" s="12" t="inlineStr">
        <is>
          <t>A-P-0252</t>
        </is>
      </c>
      <c r="B1619" s="12" t="inlineStr">
        <is>
          <t>A</t>
        </is>
      </c>
      <c r="C1619" s="12" t="inlineStr">
        <is>
          <t>Power block</t>
        </is>
      </c>
      <c r="D1619" s="12" t="inlineStr">
        <is>
          <t>MOV 17: power</t>
        </is>
      </c>
      <c r="E1619" s="12" t="inlineStr">
        <is>
          <t>R2B</t>
        </is>
      </c>
      <c r="F1619" s="12" t="inlineStr">
        <is>
          <t>R2B: unit / HRSG electrical e-house (32 x 40 ft)</t>
        </is>
      </c>
      <c r="G1619" s="12" t="inlineStr">
        <is>
          <t>HRSG-2</t>
        </is>
      </c>
      <c r="H1619" s="12" t="inlineStr">
        <is>
          <t>HRSG 2 + SCR (3P reheat, horizontal)</t>
        </is>
      </c>
      <c r="I1619" s="12" t="inlineStr">
        <is>
          <t>LV 600 V</t>
        </is>
      </c>
      <c r="J1619" s="12" t="inlineStr">
        <is>
          <t>Type TC-ER 600 V 3/C Cu XHHW-2 + ground, PVC jacket</t>
        </is>
      </c>
      <c r="K1619" s="12" t="inlineStr">
        <is>
          <t>LV|3/C+G|10</t>
        </is>
      </c>
      <c r="L1619" s="12" t="inlineStr">
        <is>
          <t>3/C+G</t>
        </is>
      </c>
      <c r="M1619" s="12" t="inlineStr">
        <is>
          <t>10</t>
        </is>
      </c>
      <c r="N1619" s="12" t="n">
        <v>1</v>
      </c>
      <c r="O1619" s="12" t="n">
        <v>1</v>
      </c>
      <c r="P1619" s="12" t="n">
        <v>480</v>
      </c>
      <c r="Q1619" s="12" t="n">
        <v>2.5</v>
      </c>
      <c r="R1619" s="12" t="n">
        <v>3.5</v>
      </c>
      <c r="S1619" s="12" t="inlineStr">
        <is>
          <t>Tray</t>
        </is>
      </c>
      <c r="T1619" s="16" t="n">
        <v>53</v>
      </c>
      <c r="U1619" s="16" t="n">
        <v>96</v>
      </c>
      <c r="V1619" s="16">
        <f>ROUNDUP((T1619+U1619+2*'Read Me'!$B$13)*(1+'Read Me'!$B$12),-1)</f>
        <v/>
      </c>
      <c r="W1619" s="16">
        <f>V1619*N1619*O1619</f>
        <v/>
      </c>
      <c r="X1619" s="12">
        <f>IF(LEFT(I1619,2)="MV",2*N1619*IF(L1619="1/C",O1619,1),0)</f>
        <v/>
      </c>
      <c r="Y1619" s="12">
        <f>IF(OR(LEFT(K1619,4)="LVAX",LEFT(K1619,6)="MV15AX",LEFT(K1619,4)="CTAX",LEFT(K1619,2)="W|"),2*N1619*O1619,0)</f>
        <v/>
      </c>
      <c r="Z1619" s="12" t="inlineStr">
        <is>
          <t>VD 0.3 %</t>
        </is>
      </c>
      <c r="AA1619" s="12">
        <f>N1619*O1619</f>
        <v/>
      </c>
    </row>
    <row r="1620">
      <c r="A1620" s="12" t="inlineStr">
        <is>
          <t>A-P-0253</t>
        </is>
      </c>
      <c r="B1620" s="12" t="inlineStr">
        <is>
          <t>A</t>
        </is>
      </c>
      <c r="C1620" s="12" t="inlineStr">
        <is>
          <t>Power block</t>
        </is>
      </c>
      <c r="D1620" s="12" t="inlineStr">
        <is>
          <t>MOV 18: power</t>
        </is>
      </c>
      <c r="E1620" s="12" t="inlineStr">
        <is>
          <t>R2B</t>
        </is>
      </c>
      <c r="F1620" s="12" t="inlineStr">
        <is>
          <t>R2B: unit / HRSG electrical e-house (32 x 40 ft)</t>
        </is>
      </c>
      <c r="G1620" s="12" t="inlineStr">
        <is>
          <t>HRSG-2</t>
        </is>
      </c>
      <c r="H1620" s="12" t="inlineStr">
        <is>
          <t>HRSG 2 + SCR (3P reheat, horizontal)</t>
        </is>
      </c>
      <c r="I1620" s="12" t="inlineStr">
        <is>
          <t>LV 600 V</t>
        </is>
      </c>
      <c r="J1620" s="12" t="inlineStr">
        <is>
          <t>Type TC-ER 600 V 3/C Cu XHHW-2 + ground, PVC jacket</t>
        </is>
      </c>
      <c r="K1620" s="12" t="inlineStr">
        <is>
          <t>LV|3/C+G|10</t>
        </is>
      </c>
      <c r="L1620" s="12" t="inlineStr">
        <is>
          <t>3/C+G</t>
        </is>
      </c>
      <c r="M1620" s="12" t="inlineStr">
        <is>
          <t>10</t>
        </is>
      </c>
      <c r="N1620" s="12" t="n">
        <v>1</v>
      </c>
      <c r="O1620" s="12" t="n">
        <v>1</v>
      </c>
      <c r="P1620" s="12" t="n">
        <v>480</v>
      </c>
      <c r="Q1620" s="12" t="n">
        <v>2.5</v>
      </c>
      <c r="R1620" s="12" t="n">
        <v>3.5</v>
      </c>
      <c r="S1620" s="12" t="inlineStr">
        <is>
          <t>Tray</t>
        </is>
      </c>
      <c r="T1620" s="16" t="n">
        <v>53</v>
      </c>
      <c r="U1620" s="16" t="n">
        <v>96</v>
      </c>
      <c r="V1620" s="16">
        <f>ROUNDUP((T1620+U1620+2*'Read Me'!$B$13)*(1+'Read Me'!$B$12),-1)</f>
        <v/>
      </c>
      <c r="W1620" s="16">
        <f>V1620*N1620*O1620</f>
        <v/>
      </c>
      <c r="X1620" s="12">
        <f>IF(LEFT(I1620,2)="MV",2*N1620*IF(L1620="1/C",O1620,1),0)</f>
        <v/>
      </c>
      <c r="Y1620" s="12">
        <f>IF(OR(LEFT(K1620,4)="LVAX",LEFT(K1620,6)="MV15AX",LEFT(K1620,4)="CTAX",LEFT(K1620,2)="W|"),2*N1620*O1620,0)</f>
        <v/>
      </c>
      <c r="Z1620" s="12" t="inlineStr">
        <is>
          <t>VD 0.3 %</t>
        </is>
      </c>
      <c r="AA1620" s="12">
        <f>N1620*O1620</f>
        <v/>
      </c>
    </row>
    <row r="1621">
      <c r="A1621" s="12" t="inlineStr">
        <is>
          <t>A-P-0254</t>
        </is>
      </c>
      <c r="B1621" s="12" t="inlineStr">
        <is>
          <t>A</t>
        </is>
      </c>
      <c r="C1621" s="12" t="inlineStr">
        <is>
          <t>Power block</t>
        </is>
      </c>
      <c r="D1621" s="12" t="inlineStr">
        <is>
          <t>MOV 19: power</t>
        </is>
      </c>
      <c r="E1621" s="12" t="inlineStr">
        <is>
          <t>R2B</t>
        </is>
      </c>
      <c r="F1621" s="12" t="inlineStr">
        <is>
          <t>R2B: unit / HRSG electrical e-house (32 x 40 ft)</t>
        </is>
      </c>
      <c r="G1621" s="12" t="inlineStr">
        <is>
          <t>HRSG-2</t>
        </is>
      </c>
      <c r="H1621" s="12" t="inlineStr">
        <is>
          <t>HRSG 2 + SCR (3P reheat, horizontal)</t>
        </is>
      </c>
      <c r="I1621" s="12" t="inlineStr">
        <is>
          <t>LV 600 V</t>
        </is>
      </c>
      <c r="J1621" s="12" t="inlineStr">
        <is>
          <t>Type TC-ER 600 V 3/C Cu XHHW-2 + ground, PVC jacket</t>
        </is>
      </c>
      <c r="K1621" s="12" t="inlineStr">
        <is>
          <t>LV|3/C+G|10</t>
        </is>
      </c>
      <c r="L1621" s="12" t="inlineStr">
        <is>
          <t>3/C+G</t>
        </is>
      </c>
      <c r="M1621" s="12" t="inlineStr">
        <is>
          <t>10</t>
        </is>
      </c>
      <c r="N1621" s="12" t="n">
        <v>1</v>
      </c>
      <c r="O1621" s="12" t="n">
        <v>1</v>
      </c>
      <c r="P1621" s="12" t="n">
        <v>480</v>
      </c>
      <c r="Q1621" s="12" t="n">
        <v>2.5</v>
      </c>
      <c r="R1621" s="12" t="n">
        <v>3.5</v>
      </c>
      <c r="S1621" s="12" t="inlineStr">
        <is>
          <t>Tray</t>
        </is>
      </c>
      <c r="T1621" s="16" t="n">
        <v>53</v>
      </c>
      <c r="U1621" s="16" t="n">
        <v>96</v>
      </c>
      <c r="V1621" s="16">
        <f>ROUNDUP((T1621+U1621+2*'Read Me'!$B$13)*(1+'Read Me'!$B$12),-1)</f>
        <v/>
      </c>
      <c r="W1621" s="16">
        <f>V1621*N1621*O1621</f>
        <v/>
      </c>
      <c r="X1621" s="12">
        <f>IF(LEFT(I1621,2)="MV",2*N1621*IF(L1621="1/C",O1621,1),0)</f>
        <v/>
      </c>
      <c r="Y1621" s="12">
        <f>IF(OR(LEFT(K1621,4)="LVAX",LEFT(K1621,6)="MV15AX",LEFT(K1621,4)="CTAX",LEFT(K1621,2)="W|"),2*N1621*O1621,0)</f>
        <v/>
      </c>
      <c r="Z1621" s="12" t="inlineStr">
        <is>
          <t>VD 0.3 %</t>
        </is>
      </c>
      <c r="AA1621" s="12">
        <f>N1621*O1621</f>
        <v/>
      </c>
    </row>
    <row r="1622">
      <c r="A1622" s="12" t="inlineStr">
        <is>
          <t>A-P-0255</t>
        </is>
      </c>
      <c r="B1622" s="12" t="inlineStr">
        <is>
          <t>A</t>
        </is>
      </c>
      <c r="C1622" s="12" t="inlineStr">
        <is>
          <t>Power block</t>
        </is>
      </c>
      <c r="D1622" s="12" t="inlineStr">
        <is>
          <t>MOV 20: power</t>
        </is>
      </c>
      <c r="E1622" s="12" t="inlineStr">
        <is>
          <t>R2B</t>
        </is>
      </c>
      <c r="F1622" s="12" t="inlineStr">
        <is>
          <t>R2B: unit / HRSG electrical e-house (32 x 40 ft)</t>
        </is>
      </c>
      <c r="G1622" s="12" t="inlineStr">
        <is>
          <t>HRSG-2</t>
        </is>
      </c>
      <c r="H1622" s="12" t="inlineStr">
        <is>
          <t>HRSG 2 + SCR (3P reheat, horizontal)</t>
        </is>
      </c>
      <c r="I1622" s="12" t="inlineStr">
        <is>
          <t>LV 600 V</t>
        </is>
      </c>
      <c r="J1622" s="12" t="inlineStr">
        <is>
          <t>Type TC-ER 600 V 3/C Cu XHHW-2 + ground, PVC jacket</t>
        </is>
      </c>
      <c r="K1622" s="12" t="inlineStr">
        <is>
          <t>LV|3/C+G|10</t>
        </is>
      </c>
      <c r="L1622" s="12" t="inlineStr">
        <is>
          <t>3/C+G</t>
        </is>
      </c>
      <c r="M1622" s="12" t="inlineStr">
        <is>
          <t>10</t>
        </is>
      </c>
      <c r="N1622" s="12" t="n">
        <v>1</v>
      </c>
      <c r="O1622" s="12" t="n">
        <v>1</v>
      </c>
      <c r="P1622" s="12" t="n">
        <v>480</v>
      </c>
      <c r="Q1622" s="12" t="n">
        <v>2.5</v>
      </c>
      <c r="R1622" s="12" t="n">
        <v>3.5</v>
      </c>
      <c r="S1622" s="12" t="inlineStr">
        <is>
          <t>Tray</t>
        </is>
      </c>
      <c r="T1622" s="16" t="n">
        <v>53</v>
      </c>
      <c r="U1622" s="16" t="n">
        <v>96</v>
      </c>
      <c r="V1622" s="16">
        <f>ROUNDUP((T1622+U1622+2*'Read Me'!$B$13)*(1+'Read Me'!$B$12),-1)</f>
        <v/>
      </c>
      <c r="W1622" s="16">
        <f>V1622*N1622*O1622</f>
        <v/>
      </c>
      <c r="X1622" s="12">
        <f>IF(LEFT(I1622,2)="MV",2*N1622*IF(L1622="1/C",O1622,1),0)</f>
        <v/>
      </c>
      <c r="Y1622" s="12">
        <f>IF(OR(LEFT(K1622,4)="LVAX",LEFT(K1622,6)="MV15AX",LEFT(K1622,4)="CTAX",LEFT(K1622,2)="W|"),2*N1622*O1622,0)</f>
        <v/>
      </c>
      <c r="Z1622" s="12" t="inlineStr">
        <is>
          <t>VD 0.3 %</t>
        </is>
      </c>
      <c r="AA1622" s="12">
        <f>N1622*O1622</f>
        <v/>
      </c>
    </row>
    <row r="1623">
      <c r="A1623" s="12" t="inlineStr">
        <is>
          <t>A-P-0256</t>
        </is>
      </c>
      <c r="B1623" s="12" t="inlineStr">
        <is>
          <t>A</t>
        </is>
      </c>
      <c r="C1623" s="12" t="inlineStr">
        <is>
          <t>Power block</t>
        </is>
      </c>
      <c r="D1623" s="12" t="inlineStr">
        <is>
          <t>MOV 21: power</t>
        </is>
      </c>
      <c r="E1623" s="12" t="inlineStr">
        <is>
          <t>R2B</t>
        </is>
      </c>
      <c r="F1623" s="12" t="inlineStr">
        <is>
          <t>R2B: unit / HRSG electrical e-house (32 x 40 ft)</t>
        </is>
      </c>
      <c r="G1623" s="12" t="inlineStr">
        <is>
          <t>HRSG-2</t>
        </is>
      </c>
      <c r="H1623" s="12" t="inlineStr">
        <is>
          <t>HRSG 2 + SCR (3P reheat, horizontal)</t>
        </is>
      </c>
      <c r="I1623" s="12" t="inlineStr">
        <is>
          <t>LV 600 V</t>
        </is>
      </c>
      <c r="J1623" s="12" t="inlineStr">
        <is>
          <t>Type TC-ER 600 V 3/C Cu XHHW-2 + ground, PVC jacket</t>
        </is>
      </c>
      <c r="K1623" s="12" t="inlineStr">
        <is>
          <t>LV|3/C+G|10</t>
        </is>
      </c>
      <c r="L1623" s="12" t="inlineStr">
        <is>
          <t>3/C+G</t>
        </is>
      </c>
      <c r="M1623" s="12" t="inlineStr">
        <is>
          <t>10</t>
        </is>
      </c>
      <c r="N1623" s="12" t="n">
        <v>1</v>
      </c>
      <c r="O1623" s="12" t="n">
        <v>1</v>
      </c>
      <c r="P1623" s="12" t="n">
        <v>480</v>
      </c>
      <c r="Q1623" s="12" t="n">
        <v>2.5</v>
      </c>
      <c r="R1623" s="12" t="n">
        <v>3.5</v>
      </c>
      <c r="S1623" s="12" t="inlineStr">
        <is>
          <t>Tray</t>
        </is>
      </c>
      <c r="T1623" s="16" t="n">
        <v>53</v>
      </c>
      <c r="U1623" s="16" t="n">
        <v>96</v>
      </c>
      <c r="V1623" s="16">
        <f>ROUNDUP((T1623+U1623+2*'Read Me'!$B$13)*(1+'Read Me'!$B$12),-1)</f>
        <v/>
      </c>
      <c r="W1623" s="16">
        <f>V1623*N1623*O1623</f>
        <v/>
      </c>
      <c r="X1623" s="12">
        <f>IF(LEFT(I1623,2)="MV",2*N1623*IF(L1623="1/C",O1623,1),0)</f>
        <v/>
      </c>
      <c r="Y1623" s="12">
        <f>IF(OR(LEFT(K1623,4)="LVAX",LEFT(K1623,6)="MV15AX",LEFT(K1623,4)="CTAX",LEFT(K1623,2)="W|"),2*N1623*O1623,0)</f>
        <v/>
      </c>
      <c r="Z1623" s="12" t="inlineStr">
        <is>
          <t>VD 0.3 %</t>
        </is>
      </c>
      <c r="AA1623" s="12">
        <f>N1623*O1623</f>
        <v/>
      </c>
    </row>
    <row r="1624">
      <c r="A1624" s="12" t="inlineStr">
        <is>
          <t>A-P-0257</t>
        </is>
      </c>
      <c r="B1624" s="12" t="inlineStr">
        <is>
          <t>A</t>
        </is>
      </c>
      <c r="C1624" s="12" t="inlineStr">
        <is>
          <t>Power block</t>
        </is>
      </c>
      <c r="D1624" s="12" t="inlineStr">
        <is>
          <t>MOV 22: power</t>
        </is>
      </c>
      <c r="E1624" s="12" t="inlineStr">
        <is>
          <t>R2B</t>
        </is>
      </c>
      <c r="F1624" s="12" t="inlineStr">
        <is>
          <t>R2B: unit / HRSG electrical e-house (32 x 40 ft)</t>
        </is>
      </c>
      <c r="G1624" s="12" t="inlineStr">
        <is>
          <t>HRSG-2</t>
        </is>
      </c>
      <c r="H1624" s="12" t="inlineStr">
        <is>
          <t>HRSG 2 + SCR (3P reheat, horizontal)</t>
        </is>
      </c>
      <c r="I1624" s="12" t="inlineStr">
        <is>
          <t>LV 600 V</t>
        </is>
      </c>
      <c r="J1624" s="12" t="inlineStr">
        <is>
          <t>Type TC-ER 600 V 3/C Cu XHHW-2 + ground, PVC jacket</t>
        </is>
      </c>
      <c r="K1624" s="12" t="inlineStr">
        <is>
          <t>LV|3/C+G|10</t>
        </is>
      </c>
      <c r="L1624" s="12" t="inlineStr">
        <is>
          <t>3/C+G</t>
        </is>
      </c>
      <c r="M1624" s="12" t="inlineStr">
        <is>
          <t>10</t>
        </is>
      </c>
      <c r="N1624" s="12" t="n">
        <v>1</v>
      </c>
      <c r="O1624" s="12" t="n">
        <v>1</v>
      </c>
      <c r="P1624" s="12" t="n">
        <v>480</v>
      </c>
      <c r="Q1624" s="12" t="n">
        <v>2.5</v>
      </c>
      <c r="R1624" s="12" t="n">
        <v>3.5</v>
      </c>
      <c r="S1624" s="12" t="inlineStr">
        <is>
          <t>Tray</t>
        </is>
      </c>
      <c r="T1624" s="16" t="n">
        <v>53</v>
      </c>
      <c r="U1624" s="16" t="n">
        <v>96</v>
      </c>
      <c r="V1624" s="16">
        <f>ROUNDUP((T1624+U1624+2*'Read Me'!$B$13)*(1+'Read Me'!$B$12),-1)</f>
        <v/>
      </c>
      <c r="W1624" s="16">
        <f>V1624*N1624*O1624</f>
        <v/>
      </c>
      <c r="X1624" s="12">
        <f>IF(LEFT(I1624,2)="MV",2*N1624*IF(L1624="1/C",O1624,1),0)</f>
        <v/>
      </c>
      <c r="Y1624" s="12">
        <f>IF(OR(LEFT(K1624,4)="LVAX",LEFT(K1624,6)="MV15AX",LEFT(K1624,4)="CTAX",LEFT(K1624,2)="W|"),2*N1624*O1624,0)</f>
        <v/>
      </c>
      <c r="Z1624" s="12" t="inlineStr">
        <is>
          <t>VD 0.3 %</t>
        </is>
      </c>
      <c r="AA1624" s="12">
        <f>N1624*O1624</f>
        <v/>
      </c>
    </row>
    <row r="1625">
      <c r="A1625" s="12" t="inlineStr">
        <is>
          <t>A-P-0258</t>
        </is>
      </c>
      <c r="B1625" s="12" t="inlineStr">
        <is>
          <t>A</t>
        </is>
      </c>
      <c r="C1625" s="12" t="inlineStr">
        <is>
          <t>Power block</t>
        </is>
      </c>
      <c r="D1625" s="12" t="inlineStr">
        <is>
          <t>MOV 23: power</t>
        </is>
      </c>
      <c r="E1625" s="12" t="inlineStr">
        <is>
          <t>R2B</t>
        </is>
      </c>
      <c r="F1625" s="12" t="inlineStr">
        <is>
          <t>R2B: unit / HRSG electrical e-house (32 x 40 ft)</t>
        </is>
      </c>
      <c r="G1625" s="12" t="inlineStr">
        <is>
          <t>HRSG-2</t>
        </is>
      </c>
      <c r="H1625" s="12" t="inlineStr">
        <is>
          <t>HRSG 2 + SCR (3P reheat, horizontal)</t>
        </is>
      </c>
      <c r="I1625" s="12" t="inlineStr">
        <is>
          <t>LV 600 V</t>
        </is>
      </c>
      <c r="J1625" s="12" t="inlineStr">
        <is>
          <t>Type TC-ER 600 V 3/C Cu XHHW-2 + ground, PVC jacket</t>
        </is>
      </c>
      <c r="K1625" s="12" t="inlineStr">
        <is>
          <t>LV|3/C+G|10</t>
        </is>
      </c>
      <c r="L1625" s="12" t="inlineStr">
        <is>
          <t>3/C+G</t>
        </is>
      </c>
      <c r="M1625" s="12" t="inlineStr">
        <is>
          <t>10</t>
        </is>
      </c>
      <c r="N1625" s="12" t="n">
        <v>1</v>
      </c>
      <c r="O1625" s="12" t="n">
        <v>1</v>
      </c>
      <c r="P1625" s="12" t="n">
        <v>480</v>
      </c>
      <c r="Q1625" s="12" t="n">
        <v>2.5</v>
      </c>
      <c r="R1625" s="12" t="n">
        <v>3.5</v>
      </c>
      <c r="S1625" s="12" t="inlineStr">
        <is>
          <t>Tray</t>
        </is>
      </c>
      <c r="T1625" s="16" t="n">
        <v>53</v>
      </c>
      <c r="U1625" s="16" t="n">
        <v>96</v>
      </c>
      <c r="V1625" s="16">
        <f>ROUNDUP((T1625+U1625+2*'Read Me'!$B$13)*(1+'Read Me'!$B$12),-1)</f>
        <v/>
      </c>
      <c r="W1625" s="16">
        <f>V1625*N1625*O1625</f>
        <v/>
      </c>
      <c r="X1625" s="12">
        <f>IF(LEFT(I1625,2)="MV",2*N1625*IF(L1625="1/C",O1625,1),0)</f>
        <v/>
      </c>
      <c r="Y1625" s="12">
        <f>IF(OR(LEFT(K1625,4)="LVAX",LEFT(K1625,6)="MV15AX",LEFT(K1625,4)="CTAX",LEFT(K1625,2)="W|"),2*N1625*O1625,0)</f>
        <v/>
      </c>
      <c r="Z1625" s="12" t="inlineStr">
        <is>
          <t>VD 0.3 %</t>
        </is>
      </c>
      <c r="AA1625" s="12">
        <f>N1625*O1625</f>
        <v/>
      </c>
    </row>
    <row r="1626">
      <c r="A1626" s="12" t="inlineStr">
        <is>
          <t>A-P-0259</t>
        </is>
      </c>
      <c r="B1626" s="12" t="inlineStr">
        <is>
          <t>A</t>
        </is>
      </c>
      <c r="C1626" s="12" t="inlineStr">
        <is>
          <t>Power block</t>
        </is>
      </c>
      <c r="D1626" s="12" t="inlineStr">
        <is>
          <t>MOV 24: power</t>
        </is>
      </c>
      <c r="E1626" s="12" t="inlineStr">
        <is>
          <t>R2B</t>
        </is>
      </c>
      <c r="F1626" s="12" t="inlineStr">
        <is>
          <t>R2B: unit / HRSG electrical e-house (32 x 40 ft)</t>
        </is>
      </c>
      <c r="G1626" s="12" t="inlineStr">
        <is>
          <t>HRSG-2</t>
        </is>
      </c>
      <c r="H1626" s="12" t="inlineStr">
        <is>
          <t>HRSG 2 + SCR (3P reheat, horizontal)</t>
        </is>
      </c>
      <c r="I1626" s="12" t="inlineStr">
        <is>
          <t>LV 600 V</t>
        </is>
      </c>
      <c r="J1626" s="12" t="inlineStr">
        <is>
          <t>Type TC-ER 600 V 3/C Cu XHHW-2 + ground, PVC jacket</t>
        </is>
      </c>
      <c r="K1626" s="12" t="inlineStr">
        <is>
          <t>LV|3/C+G|10</t>
        </is>
      </c>
      <c r="L1626" s="12" t="inlineStr">
        <is>
          <t>3/C+G</t>
        </is>
      </c>
      <c r="M1626" s="12" t="inlineStr">
        <is>
          <t>10</t>
        </is>
      </c>
      <c r="N1626" s="12" t="n">
        <v>1</v>
      </c>
      <c r="O1626" s="12" t="n">
        <v>1</v>
      </c>
      <c r="P1626" s="12" t="n">
        <v>480</v>
      </c>
      <c r="Q1626" s="12" t="n">
        <v>2.5</v>
      </c>
      <c r="R1626" s="12" t="n">
        <v>3.5</v>
      </c>
      <c r="S1626" s="12" t="inlineStr">
        <is>
          <t>Tray</t>
        </is>
      </c>
      <c r="T1626" s="16" t="n">
        <v>53</v>
      </c>
      <c r="U1626" s="16" t="n">
        <v>96</v>
      </c>
      <c r="V1626" s="16">
        <f>ROUNDUP((T1626+U1626+2*'Read Me'!$B$13)*(1+'Read Me'!$B$12),-1)</f>
        <v/>
      </c>
      <c r="W1626" s="16">
        <f>V1626*N1626*O1626</f>
        <v/>
      </c>
      <c r="X1626" s="12">
        <f>IF(LEFT(I1626,2)="MV",2*N1626*IF(L1626="1/C",O1626,1),0)</f>
        <v/>
      </c>
      <c r="Y1626" s="12">
        <f>IF(OR(LEFT(K1626,4)="LVAX",LEFT(K1626,6)="MV15AX",LEFT(K1626,4)="CTAX",LEFT(K1626,2)="W|"),2*N1626*O1626,0)</f>
        <v/>
      </c>
      <c r="Z1626" s="12" t="inlineStr">
        <is>
          <t>VD 0.3 %</t>
        </is>
      </c>
      <c r="AA1626" s="12">
        <f>N1626*O1626</f>
        <v/>
      </c>
    </row>
    <row r="1627">
      <c r="A1627" s="12" t="inlineStr">
        <is>
          <t>A-P-0260</t>
        </is>
      </c>
      <c r="B1627" s="12" t="inlineStr">
        <is>
          <t>A</t>
        </is>
      </c>
      <c r="C1627" s="12" t="inlineStr">
        <is>
          <t>Power block</t>
        </is>
      </c>
      <c r="D1627" s="12" t="inlineStr">
        <is>
          <t>MOV 25: power</t>
        </is>
      </c>
      <c r="E1627" s="12" t="inlineStr">
        <is>
          <t>R2B</t>
        </is>
      </c>
      <c r="F1627" s="12" t="inlineStr">
        <is>
          <t>R2B: unit / HRSG electrical e-house (32 x 40 ft)</t>
        </is>
      </c>
      <c r="G1627" s="12" t="inlineStr">
        <is>
          <t>HRSG-2</t>
        </is>
      </c>
      <c r="H1627" s="12" t="inlineStr">
        <is>
          <t>HRSG 2 + SCR (3P reheat, horizontal)</t>
        </is>
      </c>
      <c r="I1627" s="12" t="inlineStr">
        <is>
          <t>LV 600 V</t>
        </is>
      </c>
      <c r="J1627" s="12" t="inlineStr">
        <is>
          <t>Type TC-ER 600 V 3/C Cu XHHW-2 + ground, PVC jacket</t>
        </is>
      </c>
      <c r="K1627" s="12" t="inlineStr">
        <is>
          <t>LV|3/C+G|10</t>
        </is>
      </c>
      <c r="L1627" s="12" t="inlineStr">
        <is>
          <t>3/C+G</t>
        </is>
      </c>
      <c r="M1627" s="12" t="inlineStr">
        <is>
          <t>10</t>
        </is>
      </c>
      <c r="N1627" s="12" t="n">
        <v>1</v>
      </c>
      <c r="O1627" s="12" t="n">
        <v>1</v>
      </c>
      <c r="P1627" s="12" t="n">
        <v>480</v>
      </c>
      <c r="Q1627" s="12" t="n">
        <v>2.5</v>
      </c>
      <c r="R1627" s="12" t="n">
        <v>3.5</v>
      </c>
      <c r="S1627" s="12" t="inlineStr">
        <is>
          <t>Tray</t>
        </is>
      </c>
      <c r="T1627" s="16" t="n">
        <v>53</v>
      </c>
      <c r="U1627" s="16" t="n">
        <v>96</v>
      </c>
      <c r="V1627" s="16">
        <f>ROUNDUP((T1627+U1627+2*'Read Me'!$B$13)*(1+'Read Me'!$B$12),-1)</f>
        <v/>
      </c>
      <c r="W1627" s="16">
        <f>V1627*N1627*O1627</f>
        <v/>
      </c>
      <c r="X1627" s="12">
        <f>IF(LEFT(I1627,2)="MV",2*N1627*IF(L1627="1/C",O1627,1),0)</f>
        <v/>
      </c>
      <c r="Y1627" s="12">
        <f>IF(OR(LEFT(K1627,4)="LVAX",LEFT(K1627,6)="MV15AX",LEFT(K1627,4)="CTAX",LEFT(K1627,2)="W|"),2*N1627*O1627,0)</f>
        <v/>
      </c>
      <c r="Z1627" s="12" t="inlineStr">
        <is>
          <t>VD 0.3 %</t>
        </is>
      </c>
      <c r="AA1627" s="12">
        <f>N1627*O1627</f>
        <v/>
      </c>
    </row>
    <row r="1628">
      <c r="A1628" s="12" t="inlineStr">
        <is>
          <t>A-P-0261</t>
        </is>
      </c>
      <c r="B1628" s="12" t="inlineStr">
        <is>
          <t>A</t>
        </is>
      </c>
      <c r="C1628" s="12" t="inlineStr">
        <is>
          <t>Power block</t>
        </is>
      </c>
      <c r="D1628" s="12" t="inlineStr">
        <is>
          <t>MOV 26: power</t>
        </is>
      </c>
      <c r="E1628" s="12" t="inlineStr">
        <is>
          <t>R2B</t>
        </is>
      </c>
      <c r="F1628" s="12" t="inlineStr">
        <is>
          <t>R2B: unit / HRSG electrical e-house (32 x 40 ft)</t>
        </is>
      </c>
      <c r="G1628" s="12" t="inlineStr">
        <is>
          <t>HRSG-2</t>
        </is>
      </c>
      <c r="H1628" s="12" t="inlineStr">
        <is>
          <t>HRSG 2 + SCR (3P reheat, horizontal)</t>
        </is>
      </c>
      <c r="I1628" s="12" t="inlineStr">
        <is>
          <t>LV 600 V</t>
        </is>
      </c>
      <c r="J1628" s="12" t="inlineStr">
        <is>
          <t>Type TC-ER 600 V 3/C Cu XHHW-2 + ground, PVC jacket</t>
        </is>
      </c>
      <c r="K1628" s="12" t="inlineStr">
        <is>
          <t>LV|3/C+G|10</t>
        </is>
      </c>
      <c r="L1628" s="12" t="inlineStr">
        <is>
          <t>3/C+G</t>
        </is>
      </c>
      <c r="M1628" s="12" t="inlineStr">
        <is>
          <t>10</t>
        </is>
      </c>
      <c r="N1628" s="12" t="n">
        <v>1</v>
      </c>
      <c r="O1628" s="12" t="n">
        <v>1</v>
      </c>
      <c r="P1628" s="12" t="n">
        <v>480</v>
      </c>
      <c r="Q1628" s="12" t="n">
        <v>2.5</v>
      </c>
      <c r="R1628" s="12" t="n">
        <v>3.5</v>
      </c>
      <c r="S1628" s="12" t="inlineStr">
        <is>
          <t>Tray</t>
        </is>
      </c>
      <c r="T1628" s="16" t="n">
        <v>53</v>
      </c>
      <c r="U1628" s="16" t="n">
        <v>96</v>
      </c>
      <c r="V1628" s="16">
        <f>ROUNDUP((T1628+U1628+2*'Read Me'!$B$13)*(1+'Read Me'!$B$12),-1)</f>
        <v/>
      </c>
      <c r="W1628" s="16">
        <f>V1628*N1628*O1628</f>
        <v/>
      </c>
      <c r="X1628" s="12">
        <f>IF(LEFT(I1628,2)="MV",2*N1628*IF(L1628="1/C",O1628,1),0)</f>
        <v/>
      </c>
      <c r="Y1628" s="12">
        <f>IF(OR(LEFT(K1628,4)="LVAX",LEFT(K1628,6)="MV15AX",LEFT(K1628,4)="CTAX",LEFT(K1628,2)="W|"),2*N1628*O1628,0)</f>
        <v/>
      </c>
      <c r="Z1628" s="12" t="inlineStr">
        <is>
          <t>VD 0.3 %</t>
        </is>
      </c>
      <c r="AA1628" s="12">
        <f>N1628*O1628</f>
        <v/>
      </c>
    </row>
    <row r="1629">
      <c r="A1629" s="12" t="inlineStr">
        <is>
          <t>A-P-0262</t>
        </is>
      </c>
      <c r="B1629" s="12" t="inlineStr">
        <is>
          <t>A</t>
        </is>
      </c>
      <c r="C1629" s="12" t="inlineStr">
        <is>
          <t>Power block</t>
        </is>
      </c>
      <c r="D1629" s="12" t="inlineStr">
        <is>
          <t>MOV 27: power</t>
        </is>
      </c>
      <c r="E1629" s="12" t="inlineStr">
        <is>
          <t>R2B</t>
        </is>
      </c>
      <c r="F1629" s="12" t="inlineStr">
        <is>
          <t>R2B: unit / HRSG electrical e-house (32 x 40 ft)</t>
        </is>
      </c>
      <c r="G1629" s="12" t="inlineStr">
        <is>
          <t>HRSG-2</t>
        </is>
      </c>
      <c r="H1629" s="12" t="inlineStr">
        <is>
          <t>HRSG 2 + SCR (3P reheat, horizontal)</t>
        </is>
      </c>
      <c r="I1629" s="12" t="inlineStr">
        <is>
          <t>LV 600 V</t>
        </is>
      </c>
      <c r="J1629" s="12" t="inlineStr">
        <is>
          <t>Type TC-ER 600 V 3/C Cu XHHW-2 + ground, PVC jacket</t>
        </is>
      </c>
      <c r="K1629" s="12" t="inlineStr">
        <is>
          <t>LV|3/C+G|10</t>
        </is>
      </c>
      <c r="L1629" s="12" t="inlineStr">
        <is>
          <t>3/C+G</t>
        </is>
      </c>
      <c r="M1629" s="12" t="inlineStr">
        <is>
          <t>10</t>
        </is>
      </c>
      <c r="N1629" s="12" t="n">
        <v>1</v>
      </c>
      <c r="O1629" s="12" t="n">
        <v>1</v>
      </c>
      <c r="P1629" s="12" t="n">
        <v>480</v>
      </c>
      <c r="Q1629" s="12" t="n">
        <v>2.5</v>
      </c>
      <c r="R1629" s="12" t="n">
        <v>3.5</v>
      </c>
      <c r="S1629" s="12" t="inlineStr">
        <is>
          <t>Tray</t>
        </is>
      </c>
      <c r="T1629" s="16" t="n">
        <v>53</v>
      </c>
      <c r="U1629" s="16" t="n">
        <v>96</v>
      </c>
      <c r="V1629" s="16">
        <f>ROUNDUP((T1629+U1629+2*'Read Me'!$B$13)*(1+'Read Me'!$B$12),-1)</f>
        <v/>
      </c>
      <c r="W1629" s="16">
        <f>V1629*N1629*O1629</f>
        <v/>
      </c>
      <c r="X1629" s="12">
        <f>IF(LEFT(I1629,2)="MV",2*N1629*IF(L1629="1/C",O1629,1),0)</f>
        <v/>
      </c>
      <c r="Y1629" s="12">
        <f>IF(OR(LEFT(K1629,4)="LVAX",LEFT(K1629,6)="MV15AX",LEFT(K1629,4)="CTAX",LEFT(K1629,2)="W|"),2*N1629*O1629,0)</f>
        <v/>
      </c>
      <c r="Z1629" s="12" t="inlineStr">
        <is>
          <t>VD 0.3 %</t>
        </is>
      </c>
      <c r="AA1629" s="12">
        <f>N1629*O1629</f>
        <v/>
      </c>
    </row>
    <row r="1630">
      <c r="A1630" s="12" t="inlineStr">
        <is>
          <t>A-P-0263</t>
        </is>
      </c>
      <c r="B1630" s="12" t="inlineStr">
        <is>
          <t>A</t>
        </is>
      </c>
      <c r="C1630" s="12" t="inlineStr">
        <is>
          <t>Power block</t>
        </is>
      </c>
      <c r="D1630" s="12" t="inlineStr">
        <is>
          <t>MOV 28: power</t>
        </is>
      </c>
      <c r="E1630" s="12" t="inlineStr">
        <is>
          <t>R2B</t>
        </is>
      </c>
      <c r="F1630" s="12" t="inlineStr">
        <is>
          <t>R2B: unit / HRSG electrical e-house (32 x 40 ft)</t>
        </is>
      </c>
      <c r="G1630" s="12" t="inlineStr">
        <is>
          <t>HRSG-2</t>
        </is>
      </c>
      <c r="H1630" s="12" t="inlineStr">
        <is>
          <t>HRSG 2 + SCR (3P reheat, horizontal)</t>
        </is>
      </c>
      <c r="I1630" s="12" t="inlineStr">
        <is>
          <t>LV 600 V</t>
        </is>
      </c>
      <c r="J1630" s="12" t="inlineStr">
        <is>
          <t>Type TC-ER 600 V 3/C Cu XHHW-2 + ground, PVC jacket</t>
        </is>
      </c>
      <c r="K1630" s="12" t="inlineStr">
        <is>
          <t>LV|3/C+G|10</t>
        </is>
      </c>
      <c r="L1630" s="12" t="inlineStr">
        <is>
          <t>3/C+G</t>
        </is>
      </c>
      <c r="M1630" s="12" t="inlineStr">
        <is>
          <t>10</t>
        </is>
      </c>
      <c r="N1630" s="12" t="n">
        <v>1</v>
      </c>
      <c r="O1630" s="12" t="n">
        <v>1</v>
      </c>
      <c r="P1630" s="12" t="n">
        <v>480</v>
      </c>
      <c r="Q1630" s="12" t="n">
        <v>2.5</v>
      </c>
      <c r="R1630" s="12" t="n">
        <v>3.5</v>
      </c>
      <c r="S1630" s="12" t="inlineStr">
        <is>
          <t>Tray</t>
        </is>
      </c>
      <c r="T1630" s="16" t="n">
        <v>53</v>
      </c>
      <c r="U1630" s="16" t="n">
        <v>96</v>
      </c>
      <c r="V1630" s="16">
        <f>ROUNDUP((T1630+U1630+2*'Read Me'!$B$13)*(1+'Read Me'!$B$12),-1)</f>
        <v/>
      </c>
      <c r="W1630" s="16">
        <f>V1630*N1630*O1630</f>
        <v/>
      </c>
      <c r="X1630" s="12">
        <f>IF(LEFT(I1630,2)="MV",2*N1630*IF(L1630="1/C",O1630,1),0)</f>
        <v/>
      </c>
      <c r="Y1630" s="12">
        <f>IF(OR(LEFT(K1630,4)="LVAX",LEFT(K1630,6)="MV15AX",LEFT(K1630,4)="CTAX",LEFT(K1630,2)="W|"),2*N1630*O1630,0)</f>
        <v/>
      </c>
      <c r="Z1630" s="12" t="inlineStr">
        <is>
          <t>VD 0.3 %</t>
        </is>
      </c>
      <c r="AA1630" s="12">
        <f>N1630*O1630</f>
        <v/>
      </c>
    </row>
    <row r="1631">
      <c r="A1631" s="12" t="inlineStr">
        <is>
          <t>A-P-0264</t>
        </is>
      </c>
      <c r="B1631" s="12" t="inlineStr">
        <is>
          <t>A</t>
        </is>
      </c>
      <c r="C1631" s="12" t="inlineStr">
        <is>
          <t>Power block</t>
        </is>
      </c>
      <c r="D1631" s="12" t="inlineStr">
        <is>
          <t>MOV 29: power</t>
        </is>
      </c>
      <c r="E1631" s="12" t="inlineStr">
        <is>
          <t>R2B</t>
        </is>
      </c>
      <c r="F1631" s="12" t="inlineStr">
        <is>
          <t>R2B: unit / HRSG electrical e-house (32 x 40 ft)</t>
        </is>
      </c>
      <c r="G1631" s="12" t="inlineStr">
        <is>
          <t>HRSG-2</t>
        </is>
      </c>
      <c r="H1631" s="12" t="inlineStr">
        <is>
          <t>HRSG 2 + SCR (3P reheat, horizontal)</t>
        </is>
      </c>
      <c r="I1631" s="12" t="inlineStr">
        <is>
          <t>LV 600 V</t>
        </is>
      </c>
      <c r="J1631" s="12" t="inlineStr">
        <is>
          <t>Type TC-ER 600 V 3/C Cu XHHW-2 + ground, PVC jacket</t>
        </is>
      </c>
      <c r="K1631" s="12" t="inlineStr">
        <is>
          <t>LV|3/C+G|10</t>
        </is>
      </c>
      <c r="L1631" s="12" t="inlineStr">
        <is>
          <t>3/C+G</t>
        </is>
      </c>
      <c r="M1631" s="12" t="inlineStr">
        <is>
          <t>10</t>
        </is>
      </c>
      <c r="N1631" s="12" t="n">
        <v>1</v>
      </c>
      <c r="O1631" s="12" t="n">
        <v>1</v>
      </c>
      <c r="P1631" s="12" t="n">
        <v>480</v>
      </c>
      <c r="Q1631" s="12" t="n">
        <v>2.5</v>
      </c>
      <c r="R1631" s="12" t="n">
        <v>3.5</v>
      </c>
      <c r="S1631" s="12" t="inlineStr">
        <is>
          <t>Tray</t>
        </is>
      </c>
      <c r="T1631" s="16" t="n">
        <v>53</v>
      </c>
      <c r="U1631" s="16" t="n">
        <v>96</v>
      </c>
      <c r="V1631" s="16">
        <f>ROUNDUP((T1631+U1631+2*'Read Me'!$B$13)*(1+'Read Me'!$B$12),-1)</f>
        <v/>
      </c>
      <c r="W1631" s="16">
        <f>V1631*N1631*O1631</f>
        <v/>
      </c>
      <c r="X1631" s="12">
        <f>IF(LEFT(I1631,2)="MV",2*N1631*IF(L1631="1/C",O1631,1),0)</f>
        <v/>
      </c>
      <c r="Y1631" s="12">
        <f>IF(OR(LEFT(K1631,4)="LVAX",LEFT(K1631,6)="MV15AX",LEFT(K1631,4)="CTAX",LEFT(K1631,2)="W|"),2*N1631*O1631,0)</f>
        <v/>
      </c>
      <c r="Z1631" s="12" t="inlineStr">
        <is>
          <t>VD 0.3 %</t>
        </is>
      </c>
      <c r="AA1631" s="12">
        <f>N1631*O1631</f>
        <v/>
      </c>
    </row>
    <row r="1632">
      <c r="A1632" s="12" t="inlineStr">
        <is>
          <t>A-P-0265</t>
        </is>
      </c>
      <c r="B1632" s="12" t="inlineStr">
        <is>
          <t>A</t>
        </is>
      </c>
      <c r="C1632" s="12" t="inlineStr">
        <is>
          <t>Power block</t>
        </is>
      </c>
      <c r="D1632" s="12" t="inlineStr">
        <is>
          <t>MOV 30: power</t>
        </is>
      </c>
      <c r="E1632" s="12" t="inlineStr">
        <is>
          <t>R2B</t>
        </is>
      </c>
      <c r="F1632" s="12" t="inlineStr">
        <is>
          <t>R2B: unit / HRSG electrical e-house (32 x 40 ft)</t>
        </is>
      </c>
      <c r="G1632" s="12" t="inlineStr">
        <is>
          <t>HRSG-2</t>
        </is>
      </c>
      <c r="H1632" s="12" t="inlineStr">
        <is>
          <t>HRSG 2 + SCR (3P reheat, horizontal)</t>
        </is>
      </c>
      <c r="I1632" s="12" t="inlineStr">
        <is>
          <t>LV 600 V</t>
        </is>
      </c>
      <c r="J1632" s="12" t="inlineStr">
        <is>
          <t>Type TC-ER 600 V 3/C Cu XHHW-2 + ground, PVC jacket</t>
        </is>
      </c>
      <c r="K1632" s="12" t="inlineStr">
        <is>
          <t>LV|3/C+G|10</t>
        </is>
      </c>
      <c r="L1632" s="12" t="inlineStr">
        <is>
          <t>3/C+G</t>
        </is>
      </c>
      <c r="M1632" s="12" t="inlineStr">
        <is>
          <t>10</t>
        </is>
      </c>
      <c r="N1632" s="12" t="n">
        <v>1</v>
      </c>
      <c r="O1632" s="12" t="n">
        <v>1</v>
      </c>
      <c r="P1632" s="12" t="n">
        <v>480</v>
      </c>
      <c r="Q1632" s="12" t="n">
        <v>2.5</v>
      </c>
      <c r="R1632" s="12" t="n">
        <v>3.5</v>
      </c>
      <c r="S1632" s="12" t="inlineStr">
        <is>
          <t>Tray</t>
        </is>
      </c>
      <c r="T1632" s="16" t="n">
        <v>53</v>
      </c>
      <c r="U1632" s="16" t="n">
        <v>96</v>
      </c>
      <c r="V1632" s="16">
        <f>ROUNDUP((T1632+U1632+2*'Read Me'!$B$13)*(1+'Read Me'!$B$12),-1)</f>
        <v/>
      </c>
      <c r="W1632" s="16">
        <f>V1632*N1632*O1632</f>
        <v/>
      </c>
      <c r="X1632" s="12">
        <f>IF(LEFT(I1632,2)="MV",2*N1632*IF(L1632="1/C",O1632,1),0)</f>
        <v/>
      </c>
      <c r="Y1632" s="12">
        <f>IF(OR(LEFT(K1632,4)="LVAX",LEFT(K1632,6)="MV15AX",LEFT(K1632,4)="CTAX",LEFT(K1632,2)="W|"),2*N1632*O1632,0)</f>
        <v/>
      </c>
      <c r="Z1632" s="12" t="inlineStr">
        <is>
          <t>VD 0.3 %</t>
        </is>
      </c>
      <c r="AA1632" s="12">
        <f>N1632*O1632</f>
        <v/>
      </c>
    </row>
    <row r="1633">
      <c r="A1633" s="12" t="inlineStr">
        <is>
          <t>A-P-0266</t>
        </is>
      </c>
      <c r="B1633" s="12" t="inlineStr">
        <is>
          <t>A</t>
        </is>
      </c>
      <c r="C1633" s="12" t="inlineStr">
        <is>
          <t>Power block</t>
        </is>
      </c>
      <c r="D1633" s="12" t="inlineStr">
        <is>
          <t>MOV 31: power</t>
        </is>
      </c>
      <c r="E1633" s="12" t="inlineStr">
        <is>
          <t>R2B</t>
        </is>
      </c>
      <c r="F1633" s="12" t="inlineStr">
        <is>
          <t>R2B: unit / HRSG electrical e-house (32 x 40 ft)</t>
        </is>
      </c>
      <c r="G1633" s="12" t="inlineStr">
        <is>
          <t>HRSG-2</t>
        </is>
      </c>
      <c r="H1633" s="12" t="inlineStr">
        <is>
          <t>HRSG 2 + SCR (3P reheat, horizontal)</t>
        </is>
      </c>
      <c r="I1633" s="12" t="inlineStr">
        <is>
          <t>LV 600 V</t>
        </is>
      </c>
      <c r="J1633" s="12" t="inlineStr">
        <is>
          <t>Type TC-ER 600 V 3/C Cu XHHW-2 + ground, PVC jacket</t>
        </is>
      </c>
      <c r="K1633" s="12" t="inlineStr">
        <is>
          <t>LV|3/C+G|10</t>
        </is>
      </c>
      <c r="L1633" s="12" t="inlineStr">
        <is>
          <t>3/C+G</t>
        </is>
      </c>
      <c r="M1633" s="12" t="inlineStr">
        <is>
          <t>10</t>
        </is>
      </c>
      <c r="N1633" s="12" t="n">
        <v>1</v>
      </c>
      <c r="O1633" s="12" t="n">
        <v>1</v>
      </c>
      <c r="P1633" s="12" t="n">
        <v>480</v>
      </c>
      <c r="Q1633" s="12" t="n">
        <v>2.5</v>
      </c>
      <c r="R1633" s="12" t="n">
        <v>3.5</v>
      </c>
      <c r="S1633" s="12" t="inlineStr">
        <is>
          <t>Tray</t>
        </is>
      </c>
      <c r="T1633" s="16" t="n">
        <v>53</v>
      </c>
      <c r="U1633" s="16" t="n">
        <v>96</v>
      </c>
      <c r="V1633" s="16">
        <f>ROUNDUP((T1633+U1633+2*'Read Me'!$B$13)*(1+'Read Me'!$B$12),-1)</f>
        <v/>
      </c>
      <c r="W1633" s="16">
        <f>V1633*N1633*O1633</f>
        <v/>
      </c>
      <c r="X1633" s="12">
        <f>IF(LEFT(I1633,2)="MV",2*N1633*IF(L1633="1/C",O1633,1),0)</f>
        <v/>
      </c>
      <c r="Y1633" s="12">
        <f>IF(OR(LEFT(K1633,4)="LVAX",LEFT(K1633,6)="MV15AX",LEFT(K1633,4)="CTAX",LEFT(K1633,2)="W|"),2*N1633*O1633,0)</f>
        <v/>
      </c>
      <c r="Z1633" s="12" t="inlineStr">
        <is>
          <t>VD 0.3 %</t>
        </is>
      </c>
      <c r="AA1633" s="12">
        <f>N1633*O1633</f>
        <v/>
      </c>
    </row>
    <row r="1634">
      <c r="A1634" s="12" t="inlineStr">
        <is>
          <t>A-P-0267</t>
        </is>
      </c>
      <c r="B1634" s="12" t="inlineStr">
        <is>
          <t>A</t>
        </is>
      </c>
      <c r="C1634" s="12" t="inlineStr">
        <is>
          <t>Power block</t>
        </is>
      </c>
      <c r="D1634" s="12" t="inlineStr">
        <is>
          <t>MOV 32: power</t>
        </is>
      </c>
      <c r="E1634" s="12" t="inlineStr">
        <is>
          <t>R2B</t>
        </is>
      </c>
      <c r="F1634" s="12" t="inlineStr">
        <is>
          <t>R2B: unit / HRSG electrical e-house (32 x 40 ft)</t>
        </is>
      </c>
      <c r="G1634" s="12" t="inlineStr">
        <is>
          <t>HRSG-2</t>
        </is>
      </c>
      <c r="H1634" s="12" t="inlineStr">
        <is>
          <t>HRSG 2 + SCR (3P reheat, horizontal)</t>
        </is>
      </c>
      <c r="I1634" s="12" t="inlineStr">
        <is>
          <t>LV 600 V</t>
        </is>
      </c>
      <c r="J1634" s="12" t="inlineStr">
        <is>
          <t>Type TC-ER 600 V 3/C Cu XHHW-2 + ground, PVC jacket</t>
        </is>
      </c>
      <c r="K1634" s="12" t="inlineStr">
        <is>
          <t>LV|3/C+G|10</t>
        </is>
      </c>
      <c r="L1634" s="12" t="inlineStr">
        <is>
          <t>3/C+G</t>
        </is>
      </c>
      <c r="M1634" s="12" t="inlineStr">
        <is>
          <t>10</t>
        </is>
      </c>
      <c r="N1634" s="12" t="n">
        <v>1</v>
      </c>
      <c r="O1634" s="12" t="n">
        <v>1</v>
      </c>
      <c r="P1634" s="12" t="n">
        <v>480</v>
      </c>
      <c r="Q1634" s="12" t="n">
        <v>2.5</v>
      </c>
      <c r="R1634" s="12" t="n">
        <v>3.5</v>
      </c>
      <c r="S1634" s="12" t="inlineStr">
        <is>
          <t>Tray</t>
        </is>
      </c>
      <c r="T1634" s="16" t="n">
        <v>53</v>
      </c>
      <c r="U1634" s="16" t="n">
        <v>96</v>
      </c>
      <c r="V1634" s="16">
        <f>ROUNDUP((T1634+U1634+2*'Read Me'!$B$13)*(1+'Read Me'!$B$12),-1)</f>
        <v/>
      </c>
      <c r="W1634" s="16">
        <f>V1634*N1634*O1634</f>
        <v/>
      </c>
      <c r="X1634" s="12">
        <f>IF(LEFT(I1634,2)="MV",2*N1634*IF(L1634="1/C",O1634,1),0)</f>
        <v/>
      </c>
      <c r="Y1634" s="12">
        <f>IF(OR(LEFT(K1634,4)="LVAX",LEFT(K1634,6)="MV15AX",LEFT(K1634,4)="CTAX",LEFT(K1634,2)="W|"),2*N1634*O1634,0)</f>
        <v/>
      </c>
      <c r="Z1634" s="12" t="inlineStr">
        <is>
          <t>VD 0.3 %</t>
        </is>
      </c>
      <c r="AA1634" s="12">
        <f>N1634*O1634</f>
        <v/>
      </c>
    </row>
    <row r="1635">
      <c r="A1635" s="12" t="inlineStr">
        <is>
          <t>A-P-0268</t>
        </is>
      </c>
      <c r="B1635" s="12" t="inlineStr">
        <is>
          <t>A</t>
        </is>
      </c>
      <c r="C1635" s="12" t="inlineStr">
        <is>
          <t>Power block</t>
        </is>
      </c>
      <c r="D1635" s="12" t="inlineStr">
        <is>
          <t>MOV 33: power</t>
        </is>
      </c>
      <c r="E1635" s="12" t="inlineStr">
        <is>
          <t>R2B</t>
        </is>
      </c>
      <c r="F1635" s="12" t="inlineStr">
        <is>
          <t>R2B: unit / HRSG electrical e-house (32 x 40 ft)</t>
        </is>
      </c>
      <c r="G1635" s="12" t="inlineStr">
        <is>
          <t>HRSG-2</t>
        </is>
      </c>
      <c r="H1635" s="12" t="inlineStr">
        <is>
          <t>HRSG 2 + SCR (3P reheat, horizontal)</t>
        </is>
      </c>
      <c r="I1635" s="12" t="inlineStr">
        <is>
          <t>LV 600 V</t>
        </is>
      </c>
      <c r="J1635" s="12" t="inlineStr">
        <is>
          <t>Type TC-ER 600 V 3/C Cu XHHW-2 + ground, PVC jacket</t>
        </is>
      </c>
      <c r="K1635" s="12" t="inlineStr">
        <is>
          <t>LV|3/C+G|10</t>
        </is>
      </c>
      <c r="L1635" s="12" t="inlineStr">
        <is>
          <t>3/C+G</t>
        </is>
      </c>
      <c r="M1635" s="12" t="inlineStr">
        <is>
          <t>10</t>
        </is>
      </c>
      <c r="N1635" s="12" t="n">
        <v>1</v>
      </c>
      <c r="O1635" s="12" t="n">
        <v>1</v>
      </c>
      <c r="P1635" s="12" t="n">
        <v>480</v>
      </c>
      <c r="Q1635" s="12" t="n">
        <v>2.5</v>
      </c>
      <c r="R1635" s="12" t="n">
        <v>3.5</v>
      </c>
      <c r="S1635" s="12" t="inlineStr">
        <is>
          <t>Tray</t>
        </is>
      </c>
      <c r="T1635" s="16" t="n">
        <v>53</v>
      </c>
      <c r="U1635" s="16" t="n">
        <v>96</v>
      </c>
      <c r="V1635" s="16">
        <f>ROUNDUP((T1635+U1635+2*'Read Me'!$B$13)*(1+'Read Me'!$B$12),-1)</f>
        <v/>
      </c>
      <c r="W1635" s="16">
        <f>V1635*N1635*O1635</f>
        <v/>
      </c>
      <c r="X1635" s="12">
        <f>IF(LEFT(I1635,2)="MV",2*N1635*IF(L1635="1/C",O1635,1),0)</f>
        <v/>
      </c>
      <c r="Y1635" s="12">
        <f>IF(OR(LEFT(K1635,4)="LVAX",LEFT(K1635,6)="MV15AX",LEFT(K1635,4)="CTAX",LEFT(K1635,2)="W|"),2*N1635*O1635,0)</f>
        <v/>
      </c>
      <c r="Z1635" s="12" t="inlineStr">
        <is>
          <t>VD 0.3 %</t>
        </is>
      </c>
      <c r="AA1635" s="12">
        <f>N1635*O1635</f>
        <v/>
      </c>
    </row>
    <row r="1636">
      <c r="A1636" s="12" t="inlineStr">
        <is>
          <t>A-P-0269</t>
        </is>
      </c>
      <c r="B1636" s="12" t="inlineStr">
        <is>
          <t>A</t>
        </is>
      </c>
      <c r="C1636" s="12" t="inlineStr">
        <is>
          <t>Power block</t>
        </is>
      </c>
      <c r="D1636" s="12" t="inlineStr">
        <is>
          <t>MOV 34: power</t>
        </is>
      </c>
      <c r="E1636" s="12" t="inlineStr">
        <is>
          <t>R2B</t>
        </is>
      </c>
      <c r="F1636" s="12" t="inlineStr">
        <is>
          <t>R2B: unit / HRSG electrical e-house (32 x 40 ft)</t>
        </is>
      </c>
      <c r="G1636" s="12" t="inlineStr">
        <is>
          <t>HRSG-2</t>
        </is>
      </c>
      <c r="H1636" s="12" t="inlineStr">
        <is>
          <t>HRSG 2 + SCR (3P reheat, horizontal)</t>
        </is>
      </c>
      <c r="I1636" s="12" t="inlineStr">
        <is>
          <t>LV 600 V</t>
        </is>
      </c>
      <c r="J1636" s="12" t="inlineStr">
        <is>
          <t>Type TC-ER 600 V 3/C Cu XHHW-2 + ground, PVC jacket</t>
        </is>
      </c>
      <c r="K1636" s="12" t="inlineStr">
        <is>
          <t>LV|3/C+G|10</t>
        </is>
      </c>
      <c r="L1636" s="12" t="inlineStr">
        <is>
          <t>3/C+G</t>
        </is>
      </c>
      <c r="M1636" s="12" t="inlineStr">
        <is>
          <t>10</t>
        </is>
      </c>
      <c r="N1636" s="12" t="n">
        <v>1</v>
      </c>
      <c r="O1636" s="12" t="n">
        <v>1</v>
      </c>
      <c r="P1636" s="12" t="n">
        <v>480</v>
      </c>
      <c r="Q1636" s="12" t="n">
        <v>2.5</v>
      </c>
      <c r="R1636" s="12" t="n">
        <v>3.5</v>
      </c>
      <c r="S1636" s="12" t="inlineStr">
        <is>
          <t>Tray</t>
        </is>
      </c>
      <c r="T1636" s="16" t="n">
        <v>53</v>
      </c>
      <c r="U1636" s="16" t="n">
        <v>96</v>
      </c>
      <c r="V1636" s="16">
        <f>ROUNDUP((T1636+U1636+2*'Read Me'!$B$13)*(1+'Read Me'!$B$12),-1)</f>
        <v/>
      </c>
      <c r="W1636" s="16">
        <f>V1636*N1636*O1636</f>
        <v/>
      </c>
      <c r="X1636" s="12">
        <f>IF(LEFT(I1636,2)="MV",2*N1636*IF(L1636="1/C",O1636,1),0)</f>
        <v/>
      </c>
      <c r="Y1636" s="12">
        <f>IF(OR(LEFT(K1636,4)="LVAX",LEFT(K1636,6)="MV15AX",LEFT(K1636,4)="CTAX",LEFT(K1636,2)="W|"),2*N1636*O1636,0)</f>
        <v/>
      </c>
      <c r="Z1636" s="12" t="inlineStr">
        <is>
          <t>VD 0.3 %</t>
        </is>
      </c>
      <c r="AA1636" s="12">
        <f>N1636*O1636</f>
        <v/>
      </c>
    </row>
    <row r="1637">
      <c r="A1637" s="12" t="inlineStr">
        <is>
          <t>A-P-0270</t>
        </is>
      </c>
      <c r="B1637" s="12" t="inlineStr">
        <is>
          <t>A</t>
        </is>
      </c>
      <c r="C1637" s="12" t="inlineStr">
        <is>
          <t>Power block</t>
        </is>
      </c>
      <c r="D1637" s="12" t="inlineStr">
        <is>
          <t>MOV 35: power</t>
        </is>
      </c>
      <c r="E1637" s="12" t="inlineStr">
        <is>
          <t>R2B</t>
        </is>
      </c>
      <c r="F1637" s="12" t="inlineStr">
        <is>
          <t>R2B: unit / HRSG electrical e-house (32 x 40 ft)</t>
        </is>
      </c>
      <c r="G1637" s="12" t="inlineStr">
        <is>
          <t>HRSG-2</t>
        </is>
      </c>
      <c r="H1637" s="12" t="inlineStr">
        <is>
          <t>HRSG 2 + SCR (3P reheat, horizontal)</t>
        </is>
      </c>
      <c r="I1637" s="12" t="inlineStr">
        <is>
          <t>LV 600 V</t>
        </is>
      </c>
      <c r="J1637" s="12" t="inlineStr">
        <is>
          <t>Type TC-ER 600 V 3/C Cu XHHW-2 + ground, PVC jacket</t>
        </is>
      </c>
      <c r="K1637" s="12" t="inlineStr">
        <is>
          <t>LV|3/C+G|10</t>
        </is>
      </c>
      <c r="L1637" s="12" t="inlineStr">
        <is>
          <t>3/C+G</t>
        </is>
      </c>
      <c r="M1637" s="12" t="inlineStr">
        <is>
          <t>10</t>
        </is>
      </c>
      <c r="N1637" s="12" t="n">
        <v>1</v>
      </c>
      <c r="O1637" s="12" t="n">
        <v>1</v>
      </c>
      <c r="P1637" s="12" t="n">
        <v>480</v>
      </c>
      <c r="Q1637" s="12" t="n">
        <v>2.5</v>
      </c>
      <c r="R1637" s="12" t="n">
        <v>3.5</v>
      </c>
      <c r="S1637" s="12" t="inlineStr">
        <is>
          <t>Tray</t>
        </is>
      </c>
      <c r="T1637" s="16" t="n">
        <v>53</v>
      </c>
      <c r="U1637" s="16" t="n">
        <v>96</v>
      </c>
      <c r="V1637" s="16">
        <f>ROUNDUP((T1637+U1637+2*'Read Me'!$B$13)*(1+'Read Me'!$B$12),-1)</f>
        <v/>
      </c>
      <c r="W1637" s="16">
        <f>V1637*N1637*O1637</f>
        <v/>
      </c>
      <c r="X1637" s="12">
        <f>IF(LEFT(I1637,2)="MV",2*N1637*IF(L1637="1/C",O1637,1),0)</f>
        <v/>
      </c>
      <c r="Y1637" s="12">
        <f>IF(OR(LEFT(K1637,4)="LVAX",LEFT(K1637,6)="MV15AX",LEFT(K1637,4)="CTAX",LEFT(K1637,2)="W|"),2*N1637*O1637,0)</f>
        <v/>
      </c>
      <c r="Z1637" s="12" t="inlineStr">
        <is>
          <t>VD 0.3 %</t>
        </is>
      </c>
      <c r="AA1637" s="12">
        <f>N1637*O1637</f>
        <v/>
      </c>
    </row>
    <row r="1638">
      <c r="A1638" s="12" t="inlineStr">
        <is>
          <t>A-P-0271</t>
        </is>
      </c>
      <c r="B1638" s="12" t="inlineStr">
        <is>
          <t>A</t>
        </is>
      </c>
      <c r="C1638" s="12" t="inlineStr">
        <is>
          <t>Power block</t>
        </is>
      </c>
      <c r="D1638" s="12" t="inlineStr">
        <is>
          <t>MOV 36: power</t>
        </is>
      </c>
      <c r="E1638" s="12" t="inlineStr">
        <is>
          <t>R2B</t>
        </is>
      </c>
      <c r="F1638" s="12" t="inlineStr">
        <is>
          <t>R2B: unit / HRSG electrical e-house (32 x 40 ft)</t>
        </is>
      </c>
      <c r="G1638" s="12" t="inlineStr">
        <is>
          <t>HRSG-2</t>
        </is>
      </c>
      <c r="H1638" s="12" t="inlineStr">
        <is>
          <t>HRSG 2 + SCR (3P reheat, horizontal)</t>
        </is>
      </c>
      <c r="I1638" s="12" t="inlineStr">
        <is>
          <t>LV 600 V</t>
        </is>
      </c>
      <c r="J1638" s="12" t="inlineStr">
        <is>
          <t>Type TC-ER 600 V 3/C Cu XHHW-2 + ground, PVC jacket</t>
        </is>
      </c>
      <c r="K1638" s="12" t="inlineStr">
        <is>
          <t>LV|3/C+G|10</t>
        </is>
      </c>
      <c r="L1638" s="12" t="inlineStr">
        <is>
          <t>3/C+G</t>
        </is>
      </c>
      <c r="M1638" s="12" t="inlineStr">
        <is>
          <t>10</t>
        </is>
      </c>
      <c r="N1638" s="12" t="n">
        <v>1</v>
      </c>
      <c r="O1638" s="12" t="n">
        <v>1</v>
      </c>
      <c r="P1638" s="12" t="n">
        <v>480</v>
      </c>
      <c r="Q1638" s="12" t="n">
        <v>2.5</v>
      </c>
      <c r="R1638" s="12" t="n">
        <v>3.5</v>
      </c>
      <c r="S1638" s="12" t="inlineStr">
        <is>
          <t>Tray</t>
        </is>
      </c>
      <c r="T1638" s="16" t="n">
        <v>53</v>
      </c>
      <c r="U1638" s="16" t="n">
        <v>96</v>
      </c>
      <c r="V1638" s="16">
        <f>ROUNDUP((T1638+U1638+2*'Read Me'!$B$13)*(1+'Read Me'!$B$12),-1)</f>
        <v/>
      </c>
      <c r="W1638" s="16">
        <f>V1638*N1638*O1638</f>
        <v/>
      </c>
      <c r="X1638" s="12">
        <f>IF(LEFT(I1638,2)="MV",2*N1638*IF(L1638="1/C",O1638,1),0)</f>
        <v/>
      </c>
      <c r="Y1638" s="12">
        <f>IF(OR(LEFT(K1638,4)="LVAX",LEFT(K1638,6)="MV15AX",LEFT(K1638,4)="CTAX",LEFT(K1638,2)="W|"),2*N1638*O1638,0)</f>
        <v/>
      </c>
      <c r="Z1638" s="12" t="inlineStr">
        <is>
          <t>VD 0.3 %</t>
        </is>
      </c>
      <c r="AA1638" s="12">
        <f>N1638*O1638</f>
        <v/>
      </c>
    </row>
    <row r="1639">
      <c r="A1639" s="12" t="inlineStr">
        <is>
          <t>A-P-0272</t>
        </is>
      </c>
      <c r="B1639" s="12" t="inlineStr">
        <is>
          <t>A</t>
        </is>
      </c>
      <c r="C1639" s="12" t="inlineStr">
        <is>
          <t>Power block</t>
        </is>
      </c>
      <c r="D1639" s="12" t="inlineStr">
        <is>
          <t>MOV 37: power</t>
        </is>
      </c>
      <c r="E1639" s="12" t="inlineStr">
        <is>
          <t>R2B</t>
        </is>
      </c>
      <c r="F1639" s="12" t="inlineStr">
        <is>
          <t>R2B: unit / HRSG electrical e-house (32 x 40 ft)</t>
        </is>
      </c>
      <c r="G1639" s="12" t="inlineStr">
        <is>
          <t>HRSG-2</t>
        </is>
      </c>
      <c r="H1639" s="12" t="inlineStr">
        <is>
          <t>HRSG 2 + SCR (3P reheat, horizontal)</t>
        </is>
      </c>
      <c r="I1639" s="12" t="inlineStr">
        <is>
          <t>LV 600 V</t>
        </is>
      </c>
      <c r="J1639" s="12" t="inlineStr">
        <is>
          <t>Type TC-ER 600 V 3/C Cu XHHW-2 + ground, PVC jacket</t>
        </is>
      </c>
      <c r="K1639" s="12" t="inlineStr">
        <is>
          <t>LV|3/C+G|10</t>
        </is>
      </c>
      <c r="L1639" s="12" t="inlineStr">
        <is>
          <t>3/C+G</t>
        </is>
      </c>
      <c r="M1639" s="12" t="inlineStr">
        <is>
          <t>10</t>
        </is>
      </c>
      <c r="N1639" s="12" t="n">
        <v>1</v>
      </c>
      <c r="O1639" s="12" t="n">
        <v>1</v>
      </c>
      <c r="P1639" s="12" t="n">
        <v>480</v>
      </c>
      <c r="Q1639" s="12" t="n">
        <v>2.5</v>
      </c>
      <c r="R1639" s="12" t="n">
        <v>3.5</v>
      </c>
      <c r="S1639" s="12" t="inlineStr">
        <is>
          <t>Tray</t>
        </is>
      </c>
      <c r="T1639" s="16" t="n">
        <v>53</v>
      </c>
      <c r="U1639" s="16" t="n">
        <v>96</v>
      </c>
      <c r="V1639" s="16">
        <f>ROUNDUP((T1639+U1639+2*'Read Me'!$B$13)*(1+'Read Me'!$B$12),-1)</f>
        <v/>
      </c>
      <c r="W1639" s="16">
        <f>V1639*N1639*O1639</f>
        <v/>
      </c>
      <c r="X1639" s="12">
        <f>IF(LEFT(I1639,2)="MV",2*N1639*IF(L1639="1/C",O1639,1),0)</f>
        <v/>
      </c>
      <c r="Y1639" s="12">
        <f>IF(OR(LEFT(K1639,4)="LVAX",LEFT(K1639,6)="MV15AX",LEFT(K1639,4)="CTAX",LEFT(K1639,2)="W|"),2*N1639*O1639,0)</f>
        <v/>
      </c>
      <c r="Z1639" s="12" t="inlineStr">
        <is>
          <t>VD 0.3 %</t>
        </is>
      </c>
      <c r="AA1639" s="12">
        <f>N1639*O1639</f>
        <v/>
      </c>
    </row>
    <row r="1640">
      <c r="A1640" s="12" t="inlineStr">
        <is>
          <t>A-P-0273</t>
        </is>
      </c>
      <c r="B1640" s="12" t="inlineStr">
        <is>
          <t>A</t>
        </is>
      </c>
      <c r="C1640" s="12" t="inlineStr">
        <is>
          <t>Power block</t>
        </is>
      </c>
      <c r="D1640" s="12" t="inlineStr">
        <is>
          <t>MOV 38: power</t>
        </is>
      </c>
      <c r="E1640" s="12" t="inlineStr">
        <is>
          <t>R2B</t>
        </is>
      </c>
      <c r="F1640" s="12" t="inlineStr">
        <is>
          <t>R2B: unit / HRSG electrical e-house (32 x 40 ft)</t>
        </is>
      </c>
      <c r="G1640" s="12" t="inlineStr">
        <is>
          <t>HRSG-2</t>
        </is>
      </c>
      <c r="H1640" s="12" t="inlineStr">
        <is>
          <t>HRSG 2 + SCR (3P reheat, horizontal)</t>
        </is>
      </c>
      <c r="I1640" s="12" t="inlineStr">
        <is>
          <t>LV 600 V</t>
        </is>
      </c>
      <c r="J1640" s="12" t="inlineStr">
        <is>
          <t>Type TC-ER 600 V 3/C Cu XHHW-2 + ground, PVC jacket</t>
        </is>
      </c>
      <c r="K1640" s="12" t="inlineStr">
        <is>
          <t>LV|3/C+G|10</t>
        </is>
      </c>
      <c r="L1640" s="12" t="inlineStr">
        <is>
          <t>3/C+G</t>
        </is>
      </c>
      <c r="M1640" s="12" t="inlineStr">
        <is>
          <t>10</t>
        </is>
      </c>
      <c r="N1640" s="12" t="n">
        <v>1</v>
      </c>
      <c r="O1640" s="12" t="n">
        <v>1</v>
      </c>
      <c r="P1640" s="12" t="n">
        <v>480</v>
      </c>
      <c r="Q1640" s="12" t="n">
        <v>2.5</v>
      </c>
      <c r="R1640" s="12" t="n">
        <v>3.5</v>
      </c>
      <c r="S1640" s="12" t="inlineStr">
        <is>
          <t>Tray</t>
        </is>
      </c>
      <c r="T1640" s="16" t="n">
        <v>53</v>
      </c>
      <c r="U1640" s="16" t="n">
        <v>96</v>
      </c>
      <c r="V1640" s="16">
        <f>ROUNDUP((T1640+U1640+2*'Read Me'!$B$13)*(1+'Read Me'!$B$12),-1)</f>
        <v/>
      </c>
      <c r="W1640" s="16">
        <f>V1640*N1640*O1640</f>
        <v/>
      </c>
      <c r="X1640" s="12">
        <f>IF(LEFT(I1640,2)="MV",2*N1640*IF(L1640="1/C",O1640,1),0)</f>
        <v/>
      </c>
      <c r="Y1640" s="12">
        <f>IF(OR(LEFT(K1640,4)="LVAX",LEFT(K1640,6)="MV15AX",LEFT(K1640,4)="CTAX",LEFT(K1640,2)="W|"),2*N1640*O1640,0)</f>
        <v/>
      </c>
      <c r="Z1640" s="12" t="inlineStr">
        <is>
          <t>VD 0.3 %</t>
        </is>
      </c>
      <c r="AA1640" s="12">
        <f>N1640*O1640</f>
        <v/>
      </c>
    </row>
    <row r="1641">
      <c r="A1641" s="12" t="inlineStr">
        <is>
          <t>A-P-0274</t>
        </is>
      </c>
      <c r="B1641" s="12" t="inlineStr">
        <is>
          <t>A</t>
        </is>
      </c>
      <c r="C1641" s="12" t="inlineStr">
        <is>
          <t>Power block</t>
        </is>
      </c>
      <c r="D1641" s="12" t="inlineStr">
        <is>
          <t>MOV 39: power</t>
        </is>
      </c>
      <c r="E1641" s="12" t="inlineStr">
        <is>
          <t>R2B</t>
        </is>
      </c>
      <c r="F1641" s="12" t="inlineStr">
        <is>
          <t>R2B: unit / HRSG electrical e-house (32 x 40 ft)</t>
        </is>
      </c>
      <c r="G1641" s="12" t="inlineStr">
        <is>
          <t>HRSG-2</t>
        </is>
      </c>
      <c r="H1641" s="12" t="inlineStr">
        <is>
          <t>HRSG 2 + SCR (3P reheat, horizontal)</t>
        </is>
      </c>
      <c r="I1641" s="12" t="inlineStr">
        <is>
          <t>LV 600 V</t>
        </is>
      </c>
      <c r="J1641" s="12" t="inlineStr">
        <is>
          <t>Type TC-ER 600 V 3/C Cu XHHW-2 + ground, PVC jacket</t>
        </is>
      </c>
      <c r="K1641" s="12" t="inlineStr">
        <is>
          <t>LV|3/C+G|10</t>
        </is>
      </c>
      <c r="L1641" s="12" t="inlineStr">
        <is>
          <t>3/C+G</t>
        </is>
      </c>
      <c r="M1641" s="12" t="inlineStr">
        <is>
          <t>10</t>
        </is>
      </c>
      <c r="N1641" s="12" t="n">
        <v>1</v>
      </c>
      <c r="O1641" s="12" t="n">
        <v>1</v>
      </c>
      <c r="P1641" s="12" t="n">
        <v>480</v>
      </c>
      <c r="Q1641" s="12" t="n">
        <v>2.5</v>
      </c>
      <c r="R1641" s="12" t="n">
        <v>3.5</v>
      </c>
      <c r="S1641" s="12" t="inlineStr">
        <is>
          <t>Tray</t>
        </is>
      </c>
      <c r="T1641" s="16" t="n">
        <v>53</v>
      </c>
      <c r="U1641" s="16" t="n">
        <v>96</v>
      </c>
      <c r="V1641" s="16">
        <f>ROUNDUP((T1641+U1641+2*'Read Me'!$B$13)*(1+'Read Me'!$B$12),-1)</f>
        <v/>
      </c>
      <c r="W1641" s="16">
        <f>V1641*N1641*O1641</f>
        <v/>
      </c>
      <c r="X1641" s="12">
        <f>IF(LEFT(I1641,2)="MV",2*N1641*IF(L1641="1/C",O1641,1),0)</f>
        <v/>
      </c>
      <c r="Y1641" s="12">
        <f>IF(OR(LEFT(K1641,4)="LVAX",LEFT(K1641,6)="MV15AX",LEFT(K1641,4)="CTAX",LEFT(K1641,2)="W|"),2*N1641*O1641,0)</f>
        <v/>
      </c>
      <c r="Z1641" s="12" t="inlineStr">
        <is>
          <t>VD 0.3 %</t>
        </is>
      </c>
      <c r="AA1641" s="12">
        <f>N1641*O1641</f>
        <v/>
      </c>
    </row>
    <row r="1642">
      <c r="A1642" s="12" t="inlineStr">
        <is>
          <t>A-P-0275</t>
        </is>
      </c>
      <c r="B1642" s="12" t="inlineStr">
        <is>
          <t>A</t>
        </is>
      </c>
      <c r="C1642" s="12" t="inlineStr">
        <is>
          <t>Power block</t>
        </is>
      </c>
      <c r="D1642" s="12" t="inlineStr">
        <is>
          <t>MOV 40: power</t>
        </is>
      </c>
      <c r="E1642" s="12" t="inlineStr">
        <is>
          <t>R2B</t>
        </is>
      </c>
      <c r="F1642" s="12" t="inlineStr">
        <is>
          <t>R2B: unit / HRSG electrical e-house (32 x 40 ft)</t>
        </is>
      </c>
      <c r="G1642" s="12" t="inlineStr">
        <is>
          <t>HRSG-2</t>
        </is>
      </c>
      <c r="H1642" s="12" t="inlineStr">
        <is>
          <t>HRSG 2 + SCR (3P reheat, horizontal)</t>
        </is>
      </c>
      <c r="I1642" s="12" t="inlineStr">
        <is>
          <t>LV 600 V</t>
        </is>
      </c>
      <c r="J1642" s="12" t="inlineStr">
        <is>
          <t>Type TC-ER 600 V 3/C Cu XHHW-2 + ground, PVC jacket</t>
        </is>
      </c>
      <c r="K1642" s="12" t="inlineStr">
        <is>
          <t>LV|3/C+G|10</t>
        </is>
      </c>
      <c r="L1642" s="12" t="inlineStr">
        <is>
          <t>3/C+G</t>
        </is>
      </c>
      <c r="M1642" s="12" t="inlineStr">
        <is>
          <t>10</t>
        </is>
      </c>
      <c r="N1642" s="12" t="n">
        <v>1</v>
      </c>
      <c r="O1642" s="12" t="n">
        <v>1</v>
      </c>
      <c r="P1642" s="12" t="n">
        <v>480</v>
      </c>
      <c r="Q1642" s="12" t="n">
        <v>2.5</v>
      </c>
      <c r="R1642" s="12" t="n">
        <v>3.5</v>
      </c>
      <c r="S1642" s="12" t="inlineStr">
        <is>
          <t>Tray</t>
        </is>
      </c>
      <c r="T1642" s="16" t="n">
        <v>53</v>
      </c>
      <c r="U1642" s="16" t="n">
        <v>96</v>
      </c>
      <c r="V1642" s="16">
        <f>ROUNDUP((T1642+U1642+2*'Read Me'!$B$13)*(1+'Read Me'!$B$12),-1)</f>
        <v/>
      </c>
      <c r="W1642" s="16">
        <f>V1642*N1642*O1642</f>
        <v/>
      </c>
      <c r="X1642" s="12">
        <f>IF(LEFT(I1642,2)="MV",2*N1642*IF(L1642="1/C",O1642,1),0)</f>
        <v/>
      </c>
      <c r="Y1642" s="12">
        <f>IF(OR(LEFT(K1642,4)="LVAX",LEFT(K1642,6)="MV15AX",LEFT(K1642,4)="CTAX",LEFT(K1642,2)="W|"),2*N1642*O1642,0)</f>
        <v/>
      </c>
      <c r="Z1642" s="12" t="inlineStr">
        <is>
          <t>VD 0.3 %</t>
        </is>
      </c>
      <c r="AA1642" s="12">
        <f>N1642*O1642</f>
        <v/>
      </c>
    </row>
    <row r="1643">
      <c r="A1643" s="12" t="inlineStr">
        <is>
          <t>A-P-0276</t>
        </is>
      </c>
      <c r="B1643" s="12" t="inlineStr">
        <is>
          <t>A</t>
        </is>
      </c>
      <c r="C1643" s="12" t="inlineStr">
        <is>
          <t>Power block</t>
        </is>
      </c>
      <c r="D1643" s="12" t="inlineStr">
        <is>
          <t>MOV 41: power</t>
        </is>
      </c>
      <c r="E1643" s="12" t="inlineStr">
        <is>
          <t>R2B</t>
        </is>
      </c>
      <c r="F1643" s="12" t="inlineStr">
        <is>
          <t>R2B: unit / HRSG electrical e-house (32 x 40 ft)</t>
        </is>
      </c>
      <c r="G1643" s="12" t="inlineStr">
        <is>
          <t>HRSG-2</t>
        </is>
      </c>
      <c r="H1643" s="12" t="inlineStr">
        <is>
          <t>HRSG 2 + SCR (3P reheat, horizontal)</t>
        </is>
      </c>
      <c r="I1643" s="12" t="inlineStr">
        <is>
          <t>LV 600 V</t>
        </is>
      </c>
      <c r="J1643" s="12" t="inlineStr">
        <is>
          <t>Type TC-ER 600 V 3/C Cu XHHW-2 + ground, PVC jacket</t>
        </is>
      </c>
      <c r="K1643" s="12" t="inlineStr">
        <is>
          <t>LV|3/C+G|10</t>
        </is>
      </c>
      <c r="L1643" s="12" t="inlineStr">
        <is>
          <t>3/C+G</t>
        </is>
      </c>
      <c r="M1643" s="12" t="inlineStr">
        <is>
          <t>10</t>
        </is>
      </c>
      <c r="N1643" s="12" t="n">
        <v>1</v>
      </c>
      <c r="O1643" s="12" t="n">
        <v>1</v>
      </c>
      <c r="P1643" s="12" t="n">
        <v>480</v>
      </c>
      <c r="Q1643" s="12" t="n">
        <v>2.5</v>
      </c>
      <c r="R1643" s="12" t="n">
        <v>3.5</v>
      </c>
      <c r="S1643" s="12" t="inlineStr">
        <is>
          <t>Tray</t>
        </is>
      </c>
      <c r="T1643" s="16" t="n">
        <v>53</v>
      </c>
      <c r="U1643" s="16" t="n">
        <v>96</v>
      </c>
      <c r="V1643" s="16">
        <f>ROUNDUP((T1643+U1643+2*'Read Me'!$B$13)*(1+'Read Me'!$B$12),-1)</f>
        <v/>
      </c>
      <c r="W1643" s="16">
        <f>V1643*N1643*O1643</f>
        <v/>
      </c>
      <c r="X1643" s="12">
        <f>IF(LEFT(I1643,2)="MV",2*N1643*IF(L1643="1/C",O1643,1),0)</f>
        <v/>
      </c>
      <c r="Y1643" s="12">
        <f>IF(OR(LEFT(K1643,4)="LVAX",LEFT(K1643,6)="MV15AX",LEFT(K1643,4)="CTAX",LEFT(K1643,2)="W|"),2*N1643*O1643,0)</f>
        <v/>
      </c>
      <c r="Z1643" s="12" t="inlineStr">
        <is>
          <t>VD 0.3 %</t>
        </is>
      </c>
      <c r="AA1643" s="12">
        <f>N1643*O1643</f>
        <v/>
      </c>
    </row>
    <row r="1644">
      <c r="A1644" s="12" t="inlineStr">
        <is>
          <t>A-P-0277</t>
        </is>
      </c>
      <c r="B1644" s="12" t="inlineStr">
        <is>
          <t>A</t>
        </is>
      </c>
      <c r="C1644" s="12" t="inlineStr">
        <is>
          <t>Power block</t>
        </is>
      </c>
      <c r="D1644" s="12" t="inlineStr">
        <is>
          <t>MOV 42: power</t>
        </is>
      </c>
      <c r="E1644" s="12" t="inlineStr">
        <is>
          <t>R2B</t>
        </is>
      </c>
      <c r="F1644" s="12" t="inlineStr">
        <is>
          <t>R2B: unit / HRSG electrical e-house (32 x 40 ft)</t>
        </is>
      </c>
      <c r="G1644" s="12" t="inlineStr">
        <is>
          <t>HRSG-2</t>
        </is>
      </c>
      <c r="H1644" s="12" t="inlineStr">
        <is>
          <t>HRSG 2 + SCR (3P reheat, horizontal)</t>
        </is>
      </c>
      <c r="I1644" s="12" t="inlineStr">
        <is>
          <t>LV 600 V</t>
        </is>
      </c>
      <c r="J1644" s="12" t="inlineStr">
        <is>
          <t>Type TC-ER 600 V 3/C Cu XHHW-2 + ground, PVC jacket</t>
        </is>
      </c>
      <c r="K1644" s="12" t="inlineStr">
        <is>
          <t>LV|3/C+G|10</t>
        </is>
      </c>
      <c r="L1644" s="12" t="inlineStr">
        <is>
          <t>3/C+G</t>
        </is>
      </c>
      <c r="M1644" s="12" t="inlineStr">
        <is>
          <t>10</t>
        </is>
      </c>
      <c r="N1644" s="12" t="n">
        <v>1</v>
      </c>
      <c r="O1644" s="12" t="n">
        <v>1</v>
      </c>
      <c r="P1644" s="12" t="n">
        <v>480</v>
      </c>
      <c r="Q1644" s="12" t="n">
        <v>2.5</v>
      </c>
      <c r="R1644" s="12" t="n">
        <v>3.5</v>
      </c>
      <c r="S1644" s="12" t="inlineStr">
        <is>
          <t>Tray</t>
        </is>
      </c>
      <c r="T1644" s="16" t="n">
        <v>53</v>
      </c>
      <c r="U1644" s="16" t="n">
        <v>96</v>
      </c>
      <c r="V1644" s="16">
        <f>ROUNDUP((T1644+U1644+2*'Read Me'!$B$13)*(1+'Read Me'!$B$12),-1)</f>
        <v/>
      </c>
      <c r="W1644" s="16">
        <f>V1644*N1644*O1644</f>
        <v/>
      </c>
      <c r="X1644" s="12">
        <f>IF(LEFT(I1644,2)="MV",2*N1644*IF(L1644="1/C",O1644,1),0)</f>
        <v/>
      </c>
      <c r="Y1644" s="12">
        <f>IF(OR(LEFT(K1644,4)="LVAX",LEFT(K1644,6)="MV15AX",LEFT(K1644,4)="CTAX",LEFT(K1644,2)="W|"),2*N1644*O1644,0)</f>
        <v/>
      </c>
      <c r="Z1644" s="12" t="inlineStr">
        <is>
          <t>VD 0.3 %</t>
        </is>
      </c>
      <c r="AA1644" s="12">
        <f>N1644*O1644</f>
        <v/>
      </c>
    </row>
    <row r="1645">
      <c r="A1645" s="12" t="inlineStr">
        <is>
          <t>A-P-0278</t>
        </is>
      </c>
      <c r="B1645" s="12" t="inlineStr">
        <is>
          <t>A</t>
        </is>
      </c>
      <c r="C1645" s="12" t="inlineStr">
        <is>
          <t>Power block</t>
        </is>
      </c>
      <c r="D1645" s="12" t="inlineStr">
        <is>
          <t>MOV 43: power</t>
        </is>
      </c>
      <c r="E1645" s="12" t="inlineStr">
        <is>
          <t>R2B</t>
        </is>
      </c>
      <c r="F1645" s="12" t="inlineStr">
        <is>
          <t>R2B: unit / HRSG electrical e-house (32 x 40 ft)</t>
        </is>
      </c>
      <c r="G1645" s="12" t="inlineStr">
        <is>
          <t>HRSG-2</t>
        </is>
      </c>
      <c r="H1645" s="12" t="inlineStr">
        <is>
          <t>HRSG 2 + SCR (3P reheat, horizontal)</t>
        </is>
      </c>
      <c r="I1645" s="12" t="inlineStr">
        <is>
          <t>LV 600 V</t>
        </is>
      </c>
      <c r="J1645" s="12" t="inlineStr">
        <is>
          <t>Type TC-ER 600 V 3/C Cu XHHW-2 + ground, PVC jacket</t>
        </is>
      </c>
      <c r="K1645" s="12" t="inlineStr">
        <is>
          <t>LV|3/C+G|10</t>
        </is>
      </c>
      <c r="L1645" s="12" t="inlineStr">
        <is>
          <t>3/C+G</t>
        </is>
      </c>
      <c r="M1645" s="12" t="inlineStr">
        <is>
          <t>10</t>
        </is>
      </c>
      <c r="N1645" s="12" t="n">
        <v>1</v>
      </c>
      <c r="O1645" s="12" t="n">
        <v>1</v>
      </c>
      <c r="P1645" s="12" t="n">
        <v>480</v>
      </c>
      <c r="Q1645" s="12" t="n">
        <v>2.5</v>
      </c>
      <c r="R1645" s="12" t="n">
        <v>3.5</v>
      </c>
      <c r="S1645" s="12" t="inlineStr">
        <is>
          <t>Tray</t>
        </is>
      </c>
      <c r="T1645" s="16" t="n">
        <v>53</v>
      </c>
      <c r="U1645" s="16" t="n">
        <v>96</v>
      </c>
      <c r="V1645" s="16">
        <f>ROUNDUP((T1645+U1645+2*'Read Me'!$B$13)*(1+'Read Me'!$B$12),-1)</f>
        <v/>
      </c>
      <c r="W1645" s="16">
        <f>V1645*N1645*O1645</f>
        <v/>
      </c>
      <c r="X1645" s="12">
        <f>IF(LEFT(I1645,2)="MV",2*N1645*IF(L1645="1/C",O1645,1),0)</f>
        <v/>
      </c>
      <c r="Y1645" s="12">
        <f>IF(OR(LEFT(K1645,4)="LVAX",LEFT(K1645,6)="MV15AX",LEFT(K1645,4)="CTAX",LEFT(K1645,2)="W|"),2*N1645*O1645,0)</f>
        <v/>
      </c>
      <c r="Z1645" s="12" t="inlineStr">
        <is>
          <t>VD 0.3 %</t>
        </is>
      </c>
      <c r="AA1645" s="12">
        <f>N1645*O1645</f>
        <v/>
      </c>
    </row>
    <row r="1646">
      <c r="A1646" s="12" t="inlineStr">
        <is>
          <t>A-P-0279</t>
        </is>
      </c>
      <c r="B1646" s="12" t="inlineStr">
        <is>
          <t>A</t>
        </is>
      </c>
      <c r="C1646" s="12" t="inlineStr">
        <is>
          <t>Power block</t>
        </is>
      </c>
      <c r="D1646" s="12" t="inlineStr">
        <is>
          <t>MOV 44: power</t>
        </is>
      </c>
      <c r="E1646" s="12" t="inlineStr">
        <is>
          <t>R2B</t>
        </is>
      </c>
      <c r="F1646" s="12" t="inlineStr">
        <is>
          <t>R2B: unit / HRSG electrical e-house (32 x 40 ft)</t>
        </is>
      </c>
      <c r="G1646" s="12" t="inlineStr">
        <is>
          <t>HRSG-2</t>
        </is>
      </c>
      <c r="H1646" s="12" t="inlineStr">
        <is>
          <t>HRSG 2 + SCR (3P reheat, horizontal)</t>
        </is>
      </c>
      <c r="I1646" s="12" t="inlineStr">
        <is>
          <t>LV 600 V</t>
        </is>
      </c>
      <c r="J1646" s="12" t="inlineStr">
        <is>
          <t>Type TC-ER 600 V 3/C Cu XHHW-2 + ground, PVC jacket</t>
        </is>
      </c>
      <c r="K1646" s="12" t="inlineStr">
        <is>
          <t>LV|3/C+G|10</t>
        </is>
      </c>
      <c r="L1646" s="12" t="inlineStr">
        <is>
          <t>3/C+G</t>
        </is>
      </c>
      <c r="M1646" s="12" t="inlineStr">
        <is>
          <t>10</t>
        </is>
      </c>
      <c r="N1646" s="12" t="n">
        <v>1</v>
      </c>
      <c r="O1646" s="12" t="n">
        <v>1</v>
      </c>
      <c r="P1646" s="12" t="n">
        <v>480</v>
      </c>
      <c r="Q1646" s="12" t="n">
        <v>2.5</v>
      </c>
      <c r="R1646" s="12" t="n">
        <v>3.5</v>
      </c>
      <c r="S1646" s="12" t="inlineStr">
        <is>
          <t>Tray</t>
        </is>
      </c>
      <c r="T1646" s="16" t="n">
        <v>53</v>
      </c>
      <c r="U1646" s="16" t="n">
        <v>96</v>
      </c>
      <c r="V1646" s="16">
        <f>ROUNDUP((T1646+U1646+2*'Read Me'!$B$13)*(1+'Read Me'!$B$12),-1)</f>
        <v/>
      </c>
      <c r="W1646" s="16">
        <f>V1646*N1646*O1646</f>
        <v/>
      </c>
      <c r="X1646" s="12">
        <f>IF(LEFT(I1646,2)="MV",2*N1646*IF(L1646="1/C",O1646,1),0)</f>
        <v/>
      </c>
      <c r="Y1646" s="12">
        <f>IF(OR(LEFT(K1646,4)="LVAX",LEFT(K1646,6)="MV15AX",LEFT(K1646,4)="CTAX",LEFT(K1646,2)="W|"),2*N1646*O1646,0)</f>
        <v/>
      </c>
      <c r="Z1646" s="12" t="inlineStr">
        <is>
          <t>VD 0.3 %</t>
        </is>
      </c>
      <c r="AA1646" s="12">
        <f>N1646*O1646</f>
        <v/>
      </c>
    </row>
    <row r="1647">
      <c r="A1647" s="12" t="inlineStr">
        <is>
          <t>A-P-0280</t>
        </is>
      </c>
      <c r="B1647" s="12" t="inlineStr">
        <is>
          <t>A</t>
        </is>
      </c>
      <c r="C1647" s="12" t="inlineStr">
        <is>
          <t>Power block</t>
        </is>
      </c>
      <c r="D1647" s="12" t="inlineStr">
        <is>
          <t>MOV 45: power</t>
        </is>
      </c>
      <c r="E1647" s="12" t="inlineStr">
        <is>
          <t>R2B</t>
        </is>
      </c>
      <c r="F1647" s="12" t="inlineStr">
        <is>
          <t>R2B: unit / HRSG electrical e-house (32 x 40 ft)</t>
        </is>
      </c>
      <c r="G1647" s="12" t="inlineStr">
        <is>
          <t>HRSG-2</t>
        </is>
      </c>
      <c r="H1647" s="12" t="inlineStr">
        <is>
          <t>HRSG 2 + SCR (3P reheat, horizontal)</t>
        </is>
      </c>
      <c r="I1647" s="12" t="inlineStr">
        <is>
          <t>LV 600 V</t>
        </is>
      </c>
      <c r="J1647" s="12" t="inlineStr">
        <is>
          <t>Type TC-ER 600 V 3/C Cu XHHW-2 + ground, PVC jacket</t>
        </is>
      </c>
      <c r="K1647" s="12" t="inlineStr">
        <is>
          <t>LV|3/C+G|10</t>
        </is>
      </c>
      <c r="L1647" s="12" t="inlineStr">
        <is>
          <t>3/C+G</t>
        </is>
      </c>
      <c r="M1647" s="12" t="inlineStr">
        <is>
          <t>10</t>
        </is>
      </c>
      <c r="N1647" s="12" t="n">
        <v>1</v>
      </c>
      <c r="O1647" s="12" t="n">
        <v>1</v>
      </c>
      <c r="P1647" s="12" t="n">
        <v>480</v>
      </c>
      <c r="Q1647" s="12" t="n">
        <v>2.5</v>
      </c>
      <c r="R1647" s="12" t="n">
        <v>3.5</v>
      </c>
      <c r="S1647" s="12" t="inlineStr">
        <is>
          <t>Tray</t>
        </is>
      </c>
      <c r="T1647" s="16" t="n">
        <v>53</v>
      </c>
      <c r="U1647" s="16" t="n">
        <v>96</v>
      </c>
      <c r="V1647" s="16">
        <f>ROUNDUP((T1647+U1647+2*'Read Me'!$B$13)*(1+'Read Me'!$B$12),-1)</f>
        <v/>
      </c>
      <c r="W1647" s="16">
        <f>V1647*N1647*O1647</f>
        <v/>
      </c>
      <c r="X1647" s="12">
        <f>IF(LEFT(I1647,2)="MV",2*N1647*IF(L1647="1/C",O1647,1),0)</f>
        <v/>
      </c>
      <c r="Y1647" s="12">
        <f>IF(OR(LEFT(K1647,4)="LVAX",LEFT(K1647,6)="MV15AX",LEFT(K1647,4)="CTAX",LEFT(K1647,2)="W|"),2*N1647*O1647,0)</f>
        <v/>
      </c>
      <c r="Z1647" s="12" t="inlineStr">
        <is>
          <t>VD 0.3 %</t>
        </is>
      </c>
      <c r="AA1647" s="12">
        <f>N1647*O1647</f>
        <v/>
      </c>
    </row>
    <row r="1648">
      <c r="A1648" s="12" t="inlineStr">
        <is>
          <t>A-P-0281</t>
        </is>
      </c>
      <c r="B1648" s="12" t="inlineStr">
        <is>
          <t>A</t>
        </is>
      </c>
      <c r="C1648" s="12" t="inlineStr">
        <is>
          <t>Power block</t>
        </is>
      </c>
      <c r="D1648" s="12" t="inlineStr">
        <is>
          <t>Area / platform lighting circuit 1 (12 fixtures)</t>
        </is>
      </c>
      <c r="E1648" s="12" t="inlineStr">
        <is>
          <t>R2B</t>
        </is>
      </c>
      <c r="F1648" s="12" t="inlineStr">
        <is>
          <t>R2B: unit / HRSG electrical e-house (32 x 40 ft)</t>
        </is>
      </c>
      <c r="G1648" s="12" t="inlineStr">
        <is>
          <t>HRSG-2</t>
        </is>
      </c>
      <c r="H1648" s="12" t="inlineStr">
        <is>
          <t>HRSG 2 + SCR (3P reheat, horizontal)</t>
        </is>
      </c>
      <c r="I1648" s="12" t="inlineStr">
        <is>
          <t>LV 600 V</t>
        </is>
      </c>
      <c r="J1648" s="12" t="inlineStr">
        <is>
          <t>Type TC-ER 600 V 3/C Cu XHHW-2 + ground, PVC jacket</t>
        </is>
      </c>
      <c r="K1648" s="12" t="inlineStr">
        <is>
          <t>LV|3/C+G|10</t>
        </is>
      </c>
      <c r="L1648" s="12" t="inlineStr">
        <is>
          <t>3/C+G</t>
        </is>
      </c>
      <c r="M1648" s="12" t="inlineStr">
        <is>
          <t>10</t>
        </is>
      </c>
      <c r="N1648" s="12" t="n">
        <v>1</v>
      </c>
      <c r="O1648" s="12" t="n">
        <v>1</v>
      </c>
      <c r="P1648" s="12" t="n">
        <v>480</v>
      </c>
      <c r="Q1648" s="12" t="n">
        <v>3</v>
      </c>
      <c r="R1648" s="12" t="n">
        <v>5</v>
      </c>
      <c r="S1648" s="12" t="inlineStr">
        <is>
          <t>Tray</t>
        </is>
      </c>
      <c r="T1648" s="16" t="n">
        <v>353</v>
      </c>
      <c r="U1648" s="16" t="n">
        <v>96</v>
      </c>
      <c r="V1648" s="16">
        <f>ROUNDUP((T1648+U1648+2*'Read Me'!$B$13)*(1+'Read Me'!$B$12),-1)</f>
        <v/>
      </c>
      <c r="W1648" s="16">
        <f>V1648*N1648*O1648</f>
        <v/>
      </c>
      <c r="X1648" s="12">
        <f>IF(LEFT(I1648,2)="MV",2*N1648*IF(L1648="1/C",O1648,1),0)</f>
        <v/>
      </c>
      <c r="Y1648" s="12">
        <f>IF(OR(LEFT(K1648,4)="LVAX",LEFT(K1648,6)="MV15AX",LEFT(K1648,4)="CTAX",LEFT(K1648,2)="W|"),2*N1648*O1648,0)</f>
        <v/>
      </c>
      <c r="Z1648" s="12" t="inlineStr">
        <is>
          <t>fixture-to-fixture run included</t>
        </is>
      </c>
      <c r="AA1648" s="12">
        <f>N1648*O1648</f>
        <v/>
      </c>
    </row>
    <row r="1649">
      <c r="A1649" s="12" t="inlineStr">
        <is>
          <t>A-P-0282</t>
        </is>
      </c>
      <c r="B1649" s="12" t="inlineStr">
        <is>
          <t>A</t>
        </is>
      </c>
      <c r="C1649" s="12" t="inlineStr">
        <is>
          <t>Power block</t>
        </is>
      </c>
      <c r="D1649" s="12" t="inlineStr">
        <is>
          <t>Area / platform lighting circuit 2 (12 fixtures)</t>
        </is>
      </c>
      <c r="E1649" s="12" t="inlineStr">
        <is>
          <t>R2B</t>
        </is>
      </c>
      <c r="F1649" s="12" t="inlineStr">
        <is>
          <t>R2B: unit / HRSG electrical e-house (32 x 40 ft)</t>
        </is>
      </c>
      <c r="G1649" s="12" t="inlineStr">
        <is>
          <t>HRSG-2</t>
        </is>
      </c>
      <c r="H1649" s="12" t="inlineStr">
        <is>
          <t>HRSG 2 + SCR (3P reheat, horizontal)</t>
        </is>
      </c>
      <c r="I1649" s="12" t="inlineStr">
        <is>
          <t>LV 600 V</t>
        </is>
      </c>
      <c r="J1649" s="12" t="inlineStr">
        <is>
          <t>Type TC-ER 600 V 3/C Cu XHHW-2 + ground, PVC jacket</t>
        </is>
      </c>
      <c r="K1649" s="12" t="inlineStr">
        <is>
          <t>LV|3/C+G|10</t>
        </is>
      </c>
      <c r="L1649" s="12" t="inlineStr">
        <is>
          <t>3/C+G</t>
        </is>
      </c>
      <c r="M1649" s="12" t="inlineStr">
        <is>
          <t>10</t>
        </is>
      </c>
      <c r="N1649" s="12" t="n">
        <v>1</v>
      </c>
      <c r="O1649" s="12" t="n">
        <v>1</v>
      </c>
      <c r="P1649" s="12" t="n">
        <v>480</v>
      </c>
      <c r="Q1649" s="12" t="n">
        <v>3</v>
      </c>
      <c r="R1649" s="12" t="n">
        <v>5</v>
      </c>
      <c r="S1649" s="12" t="inlineStr">
        <is>
          <t>Tray</t>
        </is>
      </c>
      <c r="T1649" s="16" t="n">
        <v>353</v>
      </c>
      <c r="U1649" s="16" t="n">
        <v>96</v>
      </c>
      <c r="V1649" s="16">
        <f>ROUNDUP((T1649+U1649+2*'Read Me'!$B$13)*(1+'Read Me'!$B$12),-1)</f>
        <v/>
      </c>
      <c r="W1649" s="16">
        <f>V1649*N1649*O1649</f>
        <v/>
      </c>
      <c r="X1649" s="12">
        <f>IF(LEFT(I1649,2)="MV",2*N1649*IF(L1649="1/C",O1649,1),0)</f>
        <v/>
      </c>
      <c r="Y1649" s="12">
        <f>IF(OR(LEFT(K1649,4)="LVAX",LEFT(K1649,6)="MV15AX",LEFT(K1649,4)="CTAX",LEFT(K1649,2)="W|"),2*N1649*O1649,0)</f>
        <v/>
      </c>
      <c r="Z1649" s="12" t="inlineStr">
        <is>
          <t>fixture-to-fixture run included</t>
        </is>
      </c>
      <c r="AA1649" s="12">
        <f>N1649*O1649</f>
        <v/>
      </c>
    </row>
    <row r="1650">
      <c r="A1650" s="12" t="inlineStr">
        <is>
          <t>A-P-0283</t>
        </is>
      </c>
      <c r="B1650" s="12" t="inlineStr">
        <is>
          <t>A</t>
        </is>
      </c>
      <c r="C1650" s="12" t="inlineStr">
        <is>
          <t>Power block</t>
        </is>
      </c>
      <c r="D1650" s="12" t="inlineStr">
        <is>
          <t>Area / platform lighting circuit 3 (12 fixtures)</t>
        </is>
      </c>
      <c r="E1650" s="12" t="inlineStr">
        <is>
          <t>R2B</t>
        </is>
      </c>
      <c r="F1650" s="12" t="inlineStr">
        <is>
          <t>R2B: unit / HRSG electrical e-house (32 x 40 ft)</t>
        </is>
      </c>
      <c r="G1650" s="12" t="inlineStr">
        <is>
          <t>HRSG-2</t>
        </is>
      </c>
      <c r="H1650" s="12" t="inlineStr">
        <is>
          <t>HRSG 2 + SCR (3P reheat, horizontal)</t>
        </is>
      </c>
      <c r="I1650" s="12" t="inlineStr">
        <is>
          <t>LV 600 V</t>
        </is>
      </c>
      <c r="J1650" s="12" t="inlineStr">
        <is>
          <t>Type TC-ER 600 V 3/C Cu XHHW-2 + ground, PVC jacket</t>
        </is>
      </c>
      <c r="K1650" s="12" t="inlineStr">
        <is>
          <t>LV|3/C+G|10</t>
        </is>
      </c>
      <c r="L1650" s="12" t="inlineStr">
        <is>
          <t>3/C+G</t>
        </is>
      </c>
      <c r="M1650" s="12" t="inlineStr">
        <is>
          <t>10</t>
        </is>
      </c>
      <c r="N1650" s="12" t="n">
        <v>1</v>
      </c>
      <c r="O1650" s="12" t="n">
        <v>1</v>
      </c>
      <c r="P1650" s="12" t="n">
        <v>480</v>
      </c>
      <c r="Q1650" s="12" t="n">
        <v>3</v>
      </c>
      <c r="R1650" s="12" t="n">
        <v>5</v>
      </c>
      <c r="S1650" s="12" t="inlineStr">
        <is>
          <t>Tray</t>
        </is>
      </c>
      <c r="T1650" s="16" t="n">
        <v>353</v>
      </c>
      <c r="U1650" s="16" t="n">
        <v>96</v>
      </c>
      <c r="V1650" s="16">
        <f>ROUNDUP((T1650+U1650+2*'Read Me'!$B$13)*(1+'Read Me'!$B$12),-1)</f>
        <v/>
      </c>
      <c r="W1650" s="16">
        <f>V1650*N1650*O1650</f>
        <v/>
      </c>
      <c r="X1650" s="12">
        <f>IF(LEFT(I1650,2)="MV",2*N1650*IF(L1650="1/C",O1650,1),0)</f>
        <v/>
      </c>
      <c r="Y1650" s="12">
        <f>IF(OR(LEFT(K1650,4)="LVAX",LEFT(K1650,6)="MV15AX",LEFT(K1650,4)="CTAX",LEFT(K1650,2)="W|"),2*N1650*O1650,0)</f>
        <v/>
      </c>
      <c r="Z1650" s="12" t="inlineStr">
        <is>
          <t>fixture-to-fixture run included</t>
        </is>
      </c>
      <c r="AA1650" s="12">
        <f>N1650*O1650</f>
        <v/>
      </c>
    </row>
    <row r="1651">
      <c r="A1651" s="12" t="inlineStr">
        <is>
          <t>A-P-0284</t>
        </is>
      </c>
      <c r="B1651" s="12" t="inlineStr">
        <is>
          <t>A</t>
        </is>
      </c>
      <c r="C1651" s="12" t="inlineStr">
        <is>
          <t>Power block</t>
        </is>
      </c>
      <c r="D1651" s="12" t="inlineStr">
        <is>
          <t>Area / platform lighting circuit 4 (4 fixtures)</t>
        </is>
      </c>
      <c r="E1651" s="12" t="inlineStr">
        <is>
          <t>R2B</t>
        </is>
      </c>
      <c r="F1651" s="12" t="inlineStr">
        <is>
          <t>R2B: unit / HRSG electrical e-house (32 x 40 ft)</t>
        </is>
      </c>
      <c r="G1651" s="12" t="inlineStr">
        <is>
          <t>HRSG-2</t>
        </is>
      </c>
      <c r="H1651" s="12" t="inlineStr">
        <is>
          <t>HRSG 2 + SCR (3P reheat, horizontal)</t>
        </is>
      </c>
      <c r="I1651" s="12" t="inlineStr">
        <is>
          <t>LV 600 V</t>
        </is>
      </c>
      <c r="J1651" s="12" t="inlineStr">
        <is>
          <t>Type TC-ER 600 V 3/C Cu XHHW-2 + ground, PVC jacket</t>
        </is>
      </c>
      <c r="K1651" s="12" t="inlineStr">
        <is>
          <t>LV|3/C+G|10</t>
        </is>
      </c>
      <c r="L1651" s="12" t="inlineStr">
        <is>
          <t>3/C+G</t>
        </is>
      </c>
      <c r="M1651" s="12" t="inlineStr">
        <is>
          <t>10</t>
        </is>
      </c>
      <c r="N1651" s="12" t="n">
        <v>1</v>
      </c>
      <c r="O1651" s="12" t="n">
        <v>1</v>
      </c>
      <c r="P1651" s="12" t="n">
        <v>480</v>
      </c>
      <c r="Q1651" s="12" t="n">
        <v>3</v>
      </c>
      <c r="R1651" s="12" t="n">
        <v>5</v>
      </c>
      <c r="S1651" s="12" t="inlineStr">
        <is>
          <t>Tray</t>
        </is>
      </c>
      <c r="T1651" s="16" t="n">
        <v>353</v>
      </c>
      <c r="U1651" s="16" t="n">
        <v>96</v>
      </c>
      <c r="V1651" s="16">
        <f>ROUNDUP((T1651+U1651+2*'Read Me'!$B$13)*(1+'Read Me'!$B$12),-1)</f>
        <v/>
      </c>
      <c r="W1651" s="16">
        <f>V1651*N1651*O1651</f>
        <v/>
      </c>
      <c r="X1651" s="12">
        <f>IF(LEFT(I1651,2)="MV",2*N1651*IF(L1651="1/C",O1651,1),0)</f>
        <v/>
      </c>
      <c r="Y1651" s="12">
        <f>IF(OR(LEFT(K1651,4)="LVAX",LEFT(K1651,6)="MV15AX",LEFT(K1651,4)="CTAX",LEFT(K1651,2)="W|"),2*N1651*O1651,0)</f>
        <v/>
      </c>
      <c r="Z1651" s="12" t="inlineStr">
        <is>
          <t>fixture-to-fixture run included</t>
        </is>
      </c>
      <c r="AA1651" s="12">
        <f>N1651*O1651</f>
        <v/>
      </c>
    </row>
    <row r="1652">
      <c r="A1652" s="12" t="inlineStr">
        <is>
          <t>A-P-0285</t>
        </is>
      </c>
      <c r="B1652" s="12" t="inlineStr">
        <is>
          <t>A</t>
        </is>
      </c>
      <c r="C1652" s="12" t="inlineStr">
        <is>
          <t>Power block</t>
        </is>
      </c>
      <c r="D1652" s="12" t="inlineStr">
        <is>
          <t>480 V welding receptacle 1</t>
        </is>
      </c>
      <c r="E1652" s="12" t="inlineStr">
        <is>
          <t>R2B</t>
        </is>
      </c>
      <c r="F1652" s="12" t="inlineStr">
        <is>
          <t>R2B: unit / HRSG electrical e-house (32 x 40 ft)</t>
        </is>
      </c>
      <c r="G1652" s="12" t="inlineStr">
        <is>
          <t>HRSG-2</t>
        </is>
      </c>
      <c r="H1652" s="12" t="inlineStr">
        <is>
          <t>HRSG 2 + SCR (3P reheat, horizontal)</t>
        </is>
      </c>
      <c r="I1652" s="12" t="inlineStr">
        <is>
          <t>LV 600 V</t>
        </is>
      </c>
      <c r="J1652" s="12" t="inlineStr">
        <is>
          <t>Type TC-ER 600 V 3/C Cu XHHW-2 + ground, PVC jacket</t>
        </is>
      </c>
      <c r="K1652" s="12" t="inlineStr">
        <is>
          <t>LV|3/C+G|2</t>
        </is>
      </c>
      <c r="L1652" s="12" t="inlineStr">
        <is>
          <t>3/C+G</t>
        </is>
      </c>
      <c r="M1652" s="12" t="inlineStr">
        <is>
          <t>2</t>
        </is>
      </c>
      <c r="N1652" s="12" t="n">
        <v>1</v>
      </c>
      <c r="O1652" s="12" t="n">
        <v>1</v>
      </c>
      <c r="P1652" s="12" t="n">
        <v>480</v>
      </c>
      <c r="Q1652" s="12" t="n">
        <v>60</v>
      </c>
      <c r="R1652" s="12" t="n">
        <v>76</v>
      </c>
      <c r="S1652" s="12" t="inlineStr">
        <is>
          <t>Tray</t>
        </is>
      </c>
      <c r="T1652" s="16" t="n">
        <v>53</v>
      </c>
      <c r="U1652" s="16" t="n">
        <v>96</v>
      </c>
      <c r="V1652" s="16">
        <f>ROUNDUP((T1652+U1652+2*'Read Me'!$B$13)*(1+'Read Me'!$B$12),-1)</f>
        <v/>
      </c>
      <c r="W1652" s="16">
        <f>V1652*N1652*O1652</f>
        <v/>
      </c>
      <c r="X1652" s="12">
        <f>IF(LEFT(I1652,2)="MV",2*N1652*IF(L1652="1/C",O1652,1),0)</f>
        <v/>
      </c>
      <c r="Y1652" s="12">
        <f>IF(OR(LEFT(K1652,4)="LVAX",LEFT(K1652,6)="MV15AX",LEFT(K1652,4)="CTAX",LEFT(K1652,2)="W|"),2*N1652*O1652,0)</f>
        <v/>
      </c>
      <c r="Z1652" s="12" t="inlineStr">
        <is>
          <t>VD 0.9 %</t>
        </is>
      </c>
      <c r="AA1652" s="12">
        <f>N1652*O1652</f>
        <v/>
      </c>
    </row>
    <row r="1653">
      <c r="A1653" s="12" t="inlineStr">
        <is>
          <t>A-P-0286</t>
        </is>
      </c>
      <c r="B1653" s="12" t="inlineStr">
        <is>
          <t>A</t>
        </is>
      </c>
      <c r="C1653" s="12" t="inlineStr">
        <is>
          <t>Power block</t>
        </is>
      </c>
      <c r="D1653" s="12" t="inlineStr">
        <is>
          <t>480 V welding receptacle 2</t>
        </is>
      </c>
      <c r="E1653" s="12" t="inlineStr">
        <is>
          <t>R2B</t>
        </is>
      </c>
      <c r="F1653" s="12" t="inlineStr">
        <is>
          <t>R2B: unit / HRSG electrical e-house (32 x 40 ft)</t>
        </is>
      </c>
      <c r="G1653" s="12" t="inlineStr">
        <is>
          <t>HRSG-2</t>
        </is>
      </c>
      <c r="H1653" s="12" t="inlineStr">
        <is>
          <t>HRSG 2 + SCR (3P reheat, horizontal)</t>
        </is>
      </c>
      <c r="I1653" s="12" t="inlineStr">
        <is>
          <t>LV 600 V</t>
        </is>
      </c>
      <c r="J1653" s="12" t="inlineStr">
        <is>
          <t>Type TC-ER 600 V 3/C Cu XHHW-2 + ground, PVC jacket</t>
        </is>
      </c>
      <c r="K1653" s="12" t="inlineStr">
        <is>
          <t>LV|3/C+G|2</t>
        </is>
      </c>
      <c r="L1653" s="12" t="inlineStr">
        <is>
          <t>3/C+G</t>
        </is>
      </c>
      <c r="M1653" s="12" t="inlineStr">
        <is>
          <t>2</t>
        </is>
      </c>
      <c r="N1653" s="12" t="n">
        <v>1</v>
      </c>
      <c r="O1653" s="12" t="n">
        <v>1</v>
      </c>
      <c r="P1653" s="12" t="n">
        <v>480</v>
      </c>
      <c r="Q1653" s="12" t="n">
        <v>60</v>
      </c>
      <c r="R1653" s="12" t="n">
        <v>76</v>
      </c>
      <c r="S1653" s="12" t="inlineStr">
        <is>
          <t>Tray</t>
        </is>
      </c>
      <c r="T1653" s="16" t="n">
        <v>53</v>
      </c>
      <c r="U1653" s="16" t="n">
        <v>96</v>
      </c>
      <c r="V1653" s="16">
        <f>ROUNDUP((T1653+U1653+2*'Read Me'!$B$13)*(1+'Read Me'!$B$12),-1)</f>
        <v/>
      </c>
      <c r="W1653" s="16">
        <f>V1653*N1653*O1653</f>
        <v/>
      </c>
      <c r="X1653" s="12">
        <f>IF(LEFT(I1653,2)="MV",2*N1653*IF(L1653="1/C",O1653,1),0)</f>
        <v/>
      </c>
      <c r="Y1653" s="12">
        <f>IF(OR(LEFT(K1653,4)="LVAX",LEFT(K1653,6)="MV15AX",LEFT(K1653,4)="CTAX",LEFT(K1653,2)="W|"),2*N1653*O1653,0)</f>
        <v/>
      </c>
      <c r="Z1653" s="12" t="inlineStr">
        <is>
          <t>VD 0.9 %</t>
        </is>
      </c>
      <c r="AA1653" s="12">
        <f>N1653*O1653</f>
        <v/>
      </c>
    </row>
    <row r="1654">
      <c r="A1654" s="12" t="inlineStr">
        <is>
          <t>A-P-0287</t>
        </is>
      </c>
      <c r="B1654" s="12" t="inlineStr">
        <is>
          <t>A</t>
        </is>
      </c>
      <c r="C1654" s="12" t="inlineStr">
        <is>
          <t>Power block</t>
        </is>
      </c>
      <c r="D1654" s="12" t="inlineStr">
        <is>
          <t>480 V welding receptacle 3</t>
        </is>
      </c>
      <c r="E1654" s="12" t="inlineStr">
        <is>
          <t>R2B</t>
        </is>
      </c>
      <c r="F1654" s="12" t="inlineStr">
        <is>
          <t>R2B: unit / HRSG electrical e-house (32 x 40 ft)</t>
        </is>
      </c>
      <c r="G1654" s="12" t="inlineStr">
        <is>
          <t>HRSG-2</t>
        </is>
      </c>
      <c r="H1654" s="12" t="inlineStr">
        <is>
          <t>HRSG 2 + SCR (3P reheat, horizontal)</t>
        </is>
      </c>
      <c r="I1654" s="12" t="inlineStr">
        <is>
          <t>LV 600 V</t>
        </is>
      </c>
      <c r="J1654" s="12" t="inlineStr">
        <is>
          <t>Type TC-ER 600 V 3/C Cu XHHW-2 + ground, PVC jacket</t>
        </is>
      </c>
      <c r="K1654" s="12" t="inlineStr">
        <is>
          <t>LV|3/C+G|2</t>
        </is>
      </c>
      <c r="L1654" s="12" t="inlineStr">
        <is>
          <t>3/C+G</t>
        </is>
      </c>
      <c r="M1654" s="12" t="inlineStr">
        <is>
          <t>2</t>
        </is>
      </c>
      <c r="N1654" s="12" t="n">
        <v>1</v>
      </c>
      <c r="O1654" s="12" t="n">
        <v>1</v>
      </c>
      <c r="P1654" s="12" t="n">
        <v>480</v>
      </c>
      <c r="Q1654" s="12" t="n">
        <v>60</v>
      </c>
      <c r="R1654" s="12" t="n">
        <v>76</v>
      </c>
      <c r="S1654" s="12" t="inlineStr">
        <is>
          <t>Tray</t>
        </is>
      </c>
      <c r="T1654" s="16" t="n">
        <v>53</v>
      </c>
      <c r="U1654" s="16" t="n">
        <v>96</v>
      </c>
      <c r="V1654" s="16">
        <f>ROUNDUP((T1654+U1654+2*'Read Me'!$B$13)*(1+'Read Me'!$B$12),-1)</f>
        <v/>
      </c>
      <c r="W1654" s="16">
        <f>V1654*N1654*O1654</f>
        <v/>
      </c>
      <c r="X1654" s="12">
        <f>IF(LEFT(I1654,2)="MV",2*N1654*IF(L1654="1/C",O1654,1),0)</f>
        <v/>
      </c>
      <c r="Y1654" s="12">
        <f>IF(OR(LEFT(K1654,4)="LVAX",LEFT(K1654,6)="MV15AX",LEFT(K1654,4)="CTAX",LEFT(K1654,2)="W|"),2*N1654*O1654,0)</f>
        <v/>
      </c>
      <c r="Z1654" s="12" t="inlineStr">
        <is>
          <t>VD 0.9 %</t>
        </is>
      </c>
      <c r="AA1654" s="12">
        <f>N1654*O1654</f>
        <v/>
      </c>
    </row>
    <row r="1655">
      <c r="A1655" s="12" t="inlineStr">
        <is>
          <t>A-P-0288</t>
        </is>
      </c>
      <c r="B1655" s="12" t="inlineStr">
        <is>
          <t>A</t>
        </is>
      </c>
      <c r="C1655" s="12" t="inlineStr">
        <is>
          <t>Power block</t>
        </is>
      </c>
      <c r="D1655" s="12" t="inlineStr">
        <is>
          <t>480 V welding receptacle 4</t>
        </is>
      </c>
      <c r="E1655" s="12" t="inlineStr">
        <is>
          <t>R2B</t>
        </is>
      </c>
      <c r="F1655" s="12" t="inlineStr">
        <is>
          <t>R2B: unit / HRSG electrical e-house (32 x 40 ft)</t>
        </is>
      </c>
      <c r="G1655" s="12" t="inlineStr">
        <is>
          <t>HRSG-2</t>
        </is>
      </c>
      <c r="H1655" s="12" t="inlineStr">
        <is>
          <t>HRSG 2 + SCR (3P reheat, horizontal)</t>
        </is>
      </c>
      <c r="I1655" s="12" t="inlineStr">
        <is>
          <t>LV 600 V</t>
        </is>
      </c>
      <c r="J1655" s="12" t="inlineStr">
        <is>
          <t>Type TC-ER 600 V 3/C Cu XHHW-2 + ground, PVC jacket</t>
        </is>
      </c>
      <c r="K1655" s="12" t="inlineStr">
        <is>
          <t>LV|3/C+G|2</t>
        </is>
      </c>
      <c r="L1655" s="12" t="inlineStr">
        <is>
          <t>3/C+G</t>
        </is>
      </c>
      <c r="M1655" s="12" t="inlineStr">
        <is>
          <t>2</t>
        </is>
      </c>
      <c r="N1655" s="12" t="n">
        <v>1</v>
      </c>
      <c r="O1655" s="12" t="n">
        <v>1</v>
      </c>
      <c r="P1655" s="12" t="n">
        <v>480</v>
      </c>
      <c r="Q1655" s="12" t="n">
        <v>60</v>
      </c>
      <c r="R1655" s="12" t="n">
        <v>76</v>
      </c>
      <c r="S1655" s="12" t="inlineStr">
        <is>
          <t>Tray</t>
        </is>
      </c>
      <c r="T1655" s="16" t="n">
        <v>53</v>
      </c>
      <c r="U1655" s="16" t="n">
        <v>96</v>
      </c>
      <c r="V1655" s="16">
        <f>ROUNDUP((T1655+U1655+2*'Read Me'!$B$13)*(1+'Read Me'!$B$12),-1)</f>
        <v/>
      </c>
      <c r="W1655" s="16">
        <f>V1655*N1655*O1655</f>
        <v/>
      </c>
      <c r="X1655" s="12">
        <f>IF(LEFT(I1655,2)="MV",2*N1655*IF(L1655="1/C",O1655,1),0)</f>
        <v/>
      </c>
      <c r="Y1655" s="12">
        <f>IF(OR(LEFT(K1655,4)="LVAX",LEFT(K1655,6)="MV15AX",LEFT(K1655,4)="CTAX",LEFT(K1655,2)="W|"),2*N1655*O1655,0)</f>
        <v/>
      </c>
      <c r="Z1655" s="12" t="inlineStr">
        <is>
          <t>VD 0.9 %</t>
        </is>
      </c>
      <c r="AA1655" s="12">
        <f>N1655*O1655</f>
        <v/>
      </c>
    </row>
    <row r="1656">
      <c r="A1656" s="12" t="inlineStr">
        <is>
          <t>A-P-0289</t>
        </is>
      </c>
      <c r="B1656" s="12" t="inlineStr">
        <is>
          <t>A</t>
        </is>
      </c>
      <c r="C1656" s="12" t="inlineStr">
        <is>
          <t>Power block</t>
        </is>
      </c>
      <c r="D1656" s="12" t="inlineStr">
        <is>
          <t>MOV 1: power</t>
        </is>
      </c>
      <c r="E1656" s="12" t="inlineStr">
        <is>
          <t>R2B</t>
        </is>
      </c>
      <c r="F1656" s="12" t="inlineStr">
        <is>
          <t>R2B: unit / HRSG electrical e-house (32 x 40 ft)</t>
        </is>
      </c>
      <c r="G1656" s="12" t="inlineStr"/>
      <c r="H1656" s="12" t="inlineStr">
        <is>
          <t>HRSG 2 blowdown tank (continuous / intermittent)</t>
        </is>
      </c>
      <c r="I1656" s="12" t="inlineStr">
        <is>
          <t>LV 600 V</t>
        </is>
      </c>
      <c r="J1656" s="12" t="inlineStr">
        <is>
          <t>Type TC-ER 600 V 3/C Cu XHHW-2 + ground, PVC jacket</t>
        </is>
      </c>
      <c r="K1656" s="12" t="inlineStr">
        <is>
          <t>LV|3/C+G|10</t>
        </is>
      </c>
      <c r="L1656" s="12" t="inlineStr">
        <is>
          <t>3/C+G</t>
        </is>
      </c>
      <c r="M1656" s="12" t="inlineStr">
        <is>
          <t>10</t>
        </is>
      </c>
      <c r="N1656" s="12" t="n">
        <v>1</v>
      </c>
      <c r="O1656" s="12" t="n">
        <v>1</v>
      </c>
      <c r="P1656" s="12" t="n">
        <v>480</v>
      </c>
      <c r="Q1656" s="12" t="n">
        <v>2.5</v>
      </c>
      <c r="R1656" s="12" t="n">
        <v>3.5</v>
      </c>
      <c r="S1656" s="12" t="inlineStr">
        <is>
          <t>Tray</t>
        </is>
      </c>
      <c r="T1656" s="16" t="n">
        <v>38</v>
      </c>
      <c r="U1656" s="16" t="n">
        <v>86</v>
      </c>
      <c r="V1656" s="16">
        <f>ROUNDUP((T1656+U1656+2*'Read Me'!$B$13)*(1+'Read Me'!$B$12),-1)</f>
        <v/>
      </c>
      <c r="W1656" s="16">
        <f>V1656*N1656*O1656</f>
        <v/>
      </c>
      <c r="X1656" s="12">
        <f>IF(LEFT(I1656,2)="MV",2*N1656*IF(L1656="1/C",O1656,1),0)</f>
        <v/>
      </c>
      <c r="Y1656" s="12">
        <f>IF(OR(LEFT(K1656,4)="LVAX",LEFT(K1656,6)="MV15AX",LEFT(K1656,4)="CTAX",LEFT(K1656,2)="W|"),2*N1656*O1656,0)</f>
        <v/>
      </c>
      <c r="Z1656" s="12" t="inlineStr">
        <is>
          <t>VD 0.2 %</t>
        </is>
      </c>
      <c r="AA1656" s="12">
        <f>N1656*O1656</f>
        <v/>
      </c>
    </row>
    <row r="1657">
      <c r="A1657" s="12" t="inlineStr">
        <is>
          <t>A-P-0290</t>
        </is>
      </c>
      <c r="B1657" s="12" t="inlineStr">
        <is>
          <t>A</t>
        </is>
      </c>
      <c r="C1657" s="12" t="inlineStr">
        <is>
          <t>Power block</t>
        </is>
      </c>
      <c r="D1657" s="12" t="inlineStr">
        <is>
          <t>MOV 2: power</t>
        </is>
      </c>
      <c r="E1657" s="12" t="inlineStr">
        <is>
          <t>R2B</t>
        </is>
      </c>
      <c r="F1657" s="12" t="inlineStr">
        <is>
          <t>R2B: unit / HRSG electrical e-house (32 x 40 ft)</t>
        </is>
      </c>
      <c r="G1657" s="12" t="inlineStr"/>
      <c r="H1657" s="12" t="inlineStr">
        <is>
          <t>HRSG 2 blowdown tank (continuous / intermittent)</t>
        </is>
      </c>
      <c r="I1657" s="12" t="inlineStr">
        <is>
          <t>LV 600 V</t>
        </is>
      </c>
      <c r="J1657" s="12" t="inlineStr">
        <is>
          <t>Type TC-ER 600 V 3/C Cu XHHW-2 + ground, PVC jacket</t>
        </is>
      </c>
      <c r="K1657" s="12" t="inlineStr">
        <is>
          <t>LV|3/C+G|10</t>
        </is>
      </c>
      <c r="L1657" s="12" t="inlineStr">
        <is>
          <t>3/C+G</t>
        </is>
      </c>
      <c r="M1657" s="12" t="inlineStr">
        <is>
          <t>10</t>
        </is>
      </c>
      <c r="N1657" s="12" t="n">
        <v>1</v>
      </c>
      <c r="O1657" s="12" t="n">
        <v>1</v>
      </c>
      <c r="P1657" s="12" t="n">
        <v>480</v>
      </c>
      <c r="Q1657" s="12" t="n">
        <v>2.5</v>
      </c>
      <c r="R1657" s="12" t="n">
        <v>3.5</v>
      </c>
      <c r="S1657" s="12" t="inlineStr">
        <is>
          <t>Tray</t>
        </is>
      </c>
      <c r="T1657" s="16" t="n">
        <v>38</v>
      </c>
      <c r="U1657" s="16" t="n">
        <v>86</v>
      </c>
      <c r="V1657" s="16">
        <f>ROUNDUP((T1657+U1657+2*'Read Me'!$B$13)*(1+'Read Me'!$B$12),-1)</f>
        <v/>
      </c>
      <c r="W1657" s="16">
        <f>V1657*N1657*O1657</f>
        <v/>
      </c>
      <c r="X1657" s="12">
        <f>IF(LEFT(I1657,2)="MV",2*N1657*IF(L1657="1/C",O1657,1),0)</f>
        <v/>
      </c>
      <c r="Y1657" s="12">
        <f>IF(OR(LEFT(K1657,4)="LVAX",LEFT(K1657,6)="MV15AX",LEFT(K1657,4)="CTAX",LEFT(K1657,2)="W|"),2*N1657*O1657,0)</f>
        <v/>
      </c>
      <c r="Z1657" s="12" t="inlineStr">
        <is>
          <t>VD 0.2 %</t>
        </is>
      </c>
      <c r="AA1657" s="12">
        <f>N1657*O1657</f>
        <v/>
      </c>
    </row>
    <row r="1658">
      <c r="A1658" s="12" t="inlineStr">
        <is>
          <t>A-P-0291</t>
        </is>
      </c>
      <c r="B1658" s="12" t="inlineStr">
        <is>
          <t>A</t>
        </is>
      </c>
      <c r="C1658" s="12" t="inlineStr">
        <is>
          <t>Power block</t>
        </is>
      </c>
      <c r="D1658" s="12" t="inlineStr">
        <is>
          <t>MOV 3: power</t>
        </is>
      </c>
      <c r="E1658" s="12" t="inlineStr">
        <is>
          <t>R2B</t>
        </is>
      </c>
      <c r="F1658" s="12" t="inlineStr">
        <is>
          <t>R2B: unit / HRSG electrical e-house (32 x 40 ft)</t>
        </is>
      </c>
      <c r="G1658" s="12" t="inlineStr"/>
      <c r="H1658" s="12" t="inlineStr">
        <is>
          <t>HRSG 2 blowdown tank (continuous / intermittent)</t>
        </is>
      </c>
      <c r="I1658" s="12" t="inlineStr">
        <is>
          <t>LV 600 V</t>
        </is>
      </c>
      <c r="J1658" s="12" t="inlineStr">
        <is>
          <t>Type TC-ER 600 V 3/C Cu XHHW-2 + ground, PVC jacket</t>
        </is>
      </c>
      <c r="K1658" s="12" t="inlineStr">
        <is>
          <t>LV|3/C+G|10</t>
        </is>
      </c>
      <c r="L1658" s="12" t="inlineStr">
        <is>
          <t>3/C+G</t>
        </is>
      </c>
      <c r="M1658" s="12" t="inlineStr">
        <is>
          <t>10</t>
        </is>
      </c>
      <c r="N1658" s="12" t="n">
        <v>1</v>
      </c>
      <c r="O1658" s="12" t="n">
        <v>1</v>
      </c>
      <c r="P1658" s="12" t="n">
        <v>480</v>
      </c>
      <c r="Q1658" s="12" t="n">
        <v>2.5</v>
      </c>
      <c r="R1658" s="12" t="n">
        <v>3.5</v>
      </c>
      <c r="S1658" s="12" t="inlineStr">
        <is>
          <t>Tray</t>
        </is>
      </c>
      <c r="T1658" s="16" t="n">
        <v>38</v>
      </c>
      <c r="U1658" s="16" t="n">
        <v>86</v>
      </c>
      <c r="V1658" s="16">
        <f>ROUNDUP((T1658+U1658+2*'Read Me'!$B$13)*(1+'Read Me'!$B$12),-1)</f>
        <v/>
      </c>
      <c r="W1658" s="16">
        <f>V1658*N1658*O1658</f>
        <v/>
      </c>
      <c r="X1658" s="12">
        <f>IF(LEFT(I1658,2)="MV",2*N1658*IF(L1658="1/C",O1658,1),0)</f>
        <v/>
      </c>
      <c r="Y1658" s="12">
        <f>IF(OR(LEFT(K1658,4)="LVAX",LEFT(K1658,6)="MV15AX",LEFT(K1658,4)="CTAX",LEFT(K1658,2)="W|"),2*N1658*O1658,0)</f>
        <v/>
      </c>
      <c r="Z1658" s="12" t="inlineStr">
        <is>
          <t>VD 0.2 %</t>
        </is>
      </c>
      <c r="AA1658" s="12">
        <f>N1658*O1658</f>
        <v/>
      </c>
    </row>
    <row r="1659">
      <c r="A1659" s="12" t="inlineStr">
        <is>
          <t>A-P-0292</t>
        </is>
      </c>
      <c r="B1659" s="12" t="inlineStr">
        <is>
          <t>A</t>
        </is>
      </c>
      <c r="C1659" s="12" t="inlineStr">
        <is>
          <t>Power block</t>
        </is>
      </c>
      <c r="D1659" s="12" t="inlineStr">
        <is>
          <t>MOV 4: power</t>
        </is>
      </c>
      <c r="E1659" s="12" t="inlineStr">
        <is>
          <t>R2B</t>
        </is>
      </c>
      <c r="F1659" s="12" t="inlineStr">
        <is>
          <t>R2B: unit / HRSG electrical e-house (32 x 40 ft)</t>
        </is>
      </c>
      <c r="G1659" s="12" t="inlineStr"/>
      <c r="H1659" s="12" t="inlineStr">
        <is>
          <t>HRSG 2 blowdown tank (continuous / intermittent)</t>
        </is>
      </c>
      <c r="I1659" s="12" t="inlineStr">
        <is>
          <t>LV 600 V</t>
        </is>
      </c>
      <c r="J1659" s="12" t="inlineStr">
        <is>
          <t>Type TC-ER 600 V 3/C Cu XHHW-2 + ground, PVC jacket</t>
        </is>
      </c>
      <c r="K1659" s="12" t="inlineStr">
        <is>
          <t>LV|3/C+G|10</t>
        </is>
      </c>
      <c r="L1659" s="12" t="inlineStr">
        <is>
          <t>3/C+G</t>
        </is>
      </c>
      <c r="M1659" s="12" t="inlineStr">
        <is>
          <t>10</t>
        </is>
      </c>
      <c r="N1659" s="12" t="n">
        <v>1</v>
      </c>
      <c r="O1659" s="12" t="n">
        <v>1</v>
      </c>
      <c r="P1659" s="12" t="n">
        <v>480</v>
      </c>
      <c r="Q1659" s="12" t="n">
        <v>2.5</v>
      </c>
      <c r="R1659" s="12" t="n">
        <v>3.5</v>
      </c>
      <c r="S1659" s="12" t="inlineStr">
        <is>
          <t>Tray</t>
        </is>
      </c>
      <c r="T1659" s="16" t="n">
        <v>38</v>
      </c>
      <c r="U1659" s="16" t="n">
        <v>86</v>
      </c>
      <c r="V1659" s="16">
        <f>ROUNDUP((T1659+U1659+2*'Read Me'!$B$13)*(1+'Read Me'!$B$12),-1)</f>
        <v/>
      </c>
      <c r="W1659" s="16">
        <f>V1659*N1659*O1659</f>
        <v/>
      </c>
      <c r="X1659" s="12">
        <f>IF(LEFT(I1659,2)="MV",2*N1659*IF(L1659="1/C",O1659,1),0)</f>
        <v/>
      </c>
      <c r="Y1659" s="12">
        <f>IF(OR(LEFT(K1659,4)="LVAX",LEFT(K1659,6)="MV15AX",LEFT(K1659,4)="CTAX",LEFT(K1659,2)="W|"),2*N1659*O1659,0)</f>
        <v/>
      </c>
      <c r="Z1659" s="12" t="inlineStr">
        <is>
          <t>VD 0.2 %</t>
        </is>
      </c>
      <c r="AA1659" s="12">
        <f>N1659*O1659</f>
        <v/>
      </c>
    </row>
    <row r="1660">
      <c r="A1660" s="12" t="inlineStr">
        <is>
          <t>A-P-0293</t>
        </is>
      </c>
      <c r="B1660" s="12" t="inlineStr">
        <is>
          <t>A</t>
        </is>
      </c>
      <c r="C1660" s="12" t="inlineStr">
        <is>
          <t>Power block</t>
        </is>
      </c>
      <c r="D1660" s="12" t="inlineStr">
        <is>
          <t>LV power feeder</t>
        </is>
      </c>
      <c r="E1660" s="12" t="inlineStr">
        <is>
          <t>R2B</t>
        </is>
      </c>
      <c r="F1660" s="12" t="inlineStr">
        <is>
          <t>R2B: unit / HRSG electrical e-house (32 x 40 ft)</t>
        </is>
      </c>
      <c r="G1660" s="12" t="inlineStr"/>
      <c r="H1660" s="12" t="inlineStr">
        <is>
          <t>HRSG 2 blowdown tank (continuous / intermittent)</t>
        </is>
      </c>
      <c r="I1660" s="12" t="inlineStr">
        <is>
          <t>LV 600 V</t>
        </is>
      </c>
      <c r="J1660" s="12" t="inlineStr">
        <is>
          <t>Type TC-ER 600 V 3/C Cu XHHW-2 + ground, PVC jacket</t>
        </is>
      </c>
      <c r="K1660" s="12" t="inlineStr">
        <is>
          <t>LV|3/C+G|10</t>
        </is>
      </c>
      <c r="L1660" s="12" t="inlineStr">
        <is>
          <t>3/C+G</t>
        </is>
      </c>
      <c r="M1660" s="12" t="inlineStr">
        <is>
          <t>10</t>
        </is>
      </c>
      <c r="N1660" s="12" t="n">
        <v>1</v>
      </c>
      <c r="O1660" s="12" t="n">
        <v>1</v>
      </c>
      <c r="P1660" s="12" t="n">
        <v>480</v>
      </c>
      <c r="Q1660" s="12" t="n">
        <v>10</v>
      </c>
      <c r="R1660" s="12" t="n">
        <v>14.2</v>
      </c>
      <c r="S1660" s="12" t="inlineStr">
        <is>
          <t>Tray</t>
        </is>
      </c>
      <c r="T1660" s="16" t="n">
        <v>38</v>
      </c>
      <c r="U1660" s="16" t="n">
        <v>86</v>
      </c>
      <c r="V1660" s="16">
        <f>ROUNDUP((T1660+U1660+2*'Read Me'!$B$13)*(1+'Read Me'!$B$12),-1)</f>
        <v/>
      </c>
      <c r="W1660" s="16">
        <f>V1660*N1660*O1660</f>
        <v/>
      </c>
      <c r="X1660" s="12">
        <f>IF(LEFT(I1660,2)="MV",2*N1660*IF(L1660="1/C",O1660,1),0)</f>
        <v/>
      </c>
      <c r="Y1660" s="12">
        <f>IF(OR(LEFT(K1660,4)="LVAX",LEFT(K1660,6)="MV15AX",LEFT(K1660,4)="CTAX",LEFT(K1660,2)="W|"),2*N1660*O1660,0)</f>
        <v/>
      </c>
      <c r="Z1660" s="12" t="inlineStr">
        <is>
          <t>VD 0.8 %</t>
        </is>
      </c>
      <c r="AA1660" s="12">
        <f>N1660*O1660</f>
        <v/>
      </c>
    </row>
    <row r="1661">
      <c r="A1661" s="12" t="inlineStr">
        <is>
          <t>A-P-0294</t>
        </is>
      </c>
      <c r="B1661" s="12" t="inlineStr">
        <is>
          <t>A</t>
        </is>
      </c>
      <c r="C1661" s="12" t="inlineStr">
        <is>
          <t>Power block</t>
        </is>
      </c>
      <c r="D1661" s="12" t="inlineStr">
        <is>
          <t>Motor 1 of 6, 2 kW</t>
        </is>
      </c>
      <c r="E1661" s="12" t="inlineStr">
        <is>
          <t>R2B</t>
        </is>
      </c>
      <c r="F1661" s="12" t="inlineStr">
        <is>
          <t>R2B: unit / HRSG electrical e-house (32 x 40 ft)</t>
        </is>
      </c>
      <c r="G1661" s="12" t="inlineStr"/>
      <c r="H1661" s="12" t="inlineStr">
        <is>
          <t>HRSG 2 chemical feed skid (phosphate / amine)</t>
        </is>
      </c>
      <c r="I1661" s="12" t="inlineStr">
        <is>
          <t>LV 600 V</t>
        </is>
      </c>
      <c r="J1661" s="12" t="inlineStr">
        <is>
          <t>Type TC-ER 600 V 3/C Cu XHHW-2 + ground, PVC jacket</t>
        </is>
      </c>
      <c r="K1661" s="12" t="inlineStr">
        <is>
          <t>LV|3/C+G|10</t>
        </is>
      </c>
      <c r="L1661" s="12" t="inlineStr">
        <is>
          <t>3/C+G</t>
        </is>
      </c>
      <c r="M1661" s="12" t="inlineStr">
        <is>
          <t>10</t>
        </is>
      </c>
      <c r="N1661" s="12" t="n">
        <v>1</v>
      </c>
      <c r="O1661" s="12" t="n">
        <v>1</v>
      </c>
      <c r="P1661" s="12" t="n">
        <v>480</v>
      </c>
      <c r="Q1661" s="12" t="n">
        <v>2</v>
      </c>
      <c r="R1661" s="12" t="n">
        <v>2.8</v>
      </c>
      <c r="S1661" s="12" t="inlineStr">
        <is>
          <t>Tray</t>
        </is>
      </c>
      <c r="T1661" s="16" t="n">
        <v>404</v>
      </c>
      <c r="U1661" s="16" t="n">
        <v>108</v>
      </c>
      <c r="V1661" s="16">
        <f>ROUNDUP((T1661+U1661+2*'Read Me'!$B$13)*(1+'Read Me'!$B$12),-1)</f>
        <v/>
      </c>
      <c r="W1661" s="16">
        <f>V1661*N1661*O1661</f>
        <v/>
      </c>
      <c r="X1661" s="12">
        <f>IF(LEFT(I1661,2)="MV",2*N1661*IF(L1661="1/C",O1661,1),0)</f>
        <v/>
      </c>
      <c r="Y1661" s="12">
        <f>IF(OR(LEFT(K1661,4)="LVAX",LEFT(K1661,6)="MV15AX",LEFT(K1661,4)="CTAX",LEFT(K1661,2)="W|"),2*N1661*O1661,0)</f>
        <v/>
      </c>
      <c r="Z1661" s="12" t="inlineStr">
        <is>
          <t>VD 0.7 %</t>
        </is>
      </c>
      <c r="AA1661" s="12">
        <f>N1661*O1661</f>
        <v/>
      </c>
    </row>
    <row r="1662">
      <c r="A1662" s="12" t="inlineStr">
        <is>
          <t>A-P-0295</t>
        </is>
      </c>
      <c r="B1662" s="12" t="inlineStr">
        <is>
          <t>A</t>
        </is>
      </c>
      <c r="C1662" s="12" t="inlineStr">
        <is>
          <t>Power block</t>
        </is>
      </c>
      <c r="D1662" s="12" t="inlineStr">
        <is>
          <t>Motor 2 of 6, 2 kW</t>
        </is>
      </c>
      <c r="E1662" s="12" t="inlineStr">
        <is>
          <t>R2B</t>
        </is>
      </c>
      <c r="F1662" s="12" t="inlineStr">
        <is>
          <t>R2B: unit / HRSG electrical e-house (32 x 40 ft)</t>
        </is>
      </c>
      <c r="G1662" s="12" t="inlineStr"/>
      <c r="H1662" s="12" t="inlineStr">
        <is>
          <t>HRSG 2 chemical feed skid (phosphate / amine)</t>
        </is>
      </c>
      <c r="I1662" s="12" t="inlineStr">
        <is>
          <t>LV 600 V</t>
        </is>
      </c>
      <c r="J1662" s="12" t="inlineStr">
        <is>
          <t>Type TC-ER 600 V 3/C Cu XHHW-2 + ground, PVC jacket</t>
        </is>
      </c>
      <c r="K1662" s="12" t="inlineStr">
        <is>
          <t>LV|3/C+G|10</t>
        </is>
      </c>
      <c r="L1662" s="12" t="inlineStr">
        <is>
          <t>3/C+G</t>
        </is>
      </c>
      <c r="M1662" s="12" t="inlineStr">
        <is>
          <t>10</t>
        </is>
      </c>
      <c r="N1662" s="12" t="n">
        <v>1</v>
      </c>
      <c r="O1662" s="12" t="n">
        <v>1</v>
      </c>
      <c r="P1662" s="12" t="n">
        <v>480</v>
      </c>
      <c r="Q1662" s="12" t="n">
        <v>2</v>
      </c>
      <c r="R1662" s="12" t="n">
        <v>2.8</v>
      </c>
      <c r="S1662" s="12" t="inlineStr">
        <is>
          <t>Tray</t>
        </is>
      </c>
      <c r="T1662" s="16" t="n">
        <v>404</v>
      </c>
      <c r="U1662" s="16" t="n">
        <v>108</v>
      </c>
      <c r="V1662" s="16">
        <f>ROUNDUP((T1662+U1662+2*'Read Me'!$B$13)*(1+'Read Me'!$B$12),-1)</f>
        <v/>
      </c>
      <c r="W1662" s="16">
        <f>V1662*N1662*O1662</f>
        <v/>
      </c>
      <c r="X1662" s="12">
        <f>IF(LEFT(I1662,2)="MV",2*N1662*IF(L1662="1/C",O1662,1),0)</f>
        <v/>
      </c>
      <c r="Y1662" s="12">
        <f>IF(OR(LEFT(K1662,4)="LVAX",LEFT(K1662,6)="MV15AX",LEFT(K1662,4)="CTAX",LEFT(K1662,2)="W|"),2*N1662*O1662,0)</f>
        <v/>
      </c>
      <c r="Z1662" s="12" t="inlineStr">
        <is>
          <t>VD 0.7 %</t>
        </is>
      </c>
      <c r="AA1662" s="12">
        <f>N1662*O1662</f>
        <v/>
      </c>
    </row>
    <row r="1663">
      <c r="A1663" s="12" t="inlineStr">
        <is>
          <t>A-P-0296</t>
        </is>
      </c>
      <c r="B1663" s="12" t="inlineStr">
        <is>
          <t>A</t>
        </is>
      </c>
      <c r="C1663" s="12" t="inlineStr">
        <is>
          <t>Power block</t>
        </is>
      </c>
      <c r="D1663" s="12" t="inlineStr">
        <is>
          <t>Motor 3 of 6, 2 kW</t>
        </is>
      </c>
      <c r="E1663" s="12" t="inlineStr">
        <is>
          <t>R2B</t>
        </is>
      </c>
      <c r="F1663" s="12" t="inlineStr">
        <is>
          <t>R2B: unit / HRSG electrical e-house (32 x 40 ft)</t>
        </is>
      </c>
      <c r="G1663" s="12" t="inlineStr"/>
      <c r="H1663" s="12" t="inlineStr">
        <is>
          <t>HRSG 2 chemical feed skid (phosphate / amine)</t>
        </is>
      </c>
      <c r="I1663" s="12" t="inlineStr">
        <is>
          <t>LV 600 V</t>
        </is>
      </c>
      <c r="J1663" s="12" t="inlineStr">
        <is>
          <t>Type TC-ER 600 V 3/C Cu XHHW-2 + ground, PVC jacket</t>
        </is>
      </c>
      <c r="K1663" s="12" t="inlineStr">
        <is>
          <t>LV|3/C+G|10</t>
        </is>
      </c>
      <c r="L1663" s="12" t="inlineStr">
        <is>
          <t>3/C+G</t>
        </is>
      </c>
      <c r="M1663" s="12" t="inlineStr">
        <is>
          <t>10</t>
        </is>
      </c>
      <c r="N1663" s="12" t="n">
        <v>1</v>
      </c>
      <c r="O1663" s="12" t="n">
        <v>1</v>
      </c>
      <c r="P1663" s="12" t="n">
        <v>480</v>
      </c>
      <c r="Q1663" s="12" t="n">
        <v>2</v>
      </c>
      <c r="R1663" s="12" t="n">
        <v>2.8</v>
      </c>
      <c r="S1663" s="12" t="inlineStr">
        <is>
          <t>Tray</t>
        </is>
      </c>
      <c r="T1663" s="16" t="n">
        <v>404</v>
      </c>
      <c r="U1663" s="16" t="n">
        <v>108</v>
      </c>
      <c r="V1663" s="16">
        <f>ROUNDUP((T1663+U1663+2*'Read Me'!$B$13)*(1+'Read Me'!$B$12),-1)</f>
        <v/>
      </c>
      <c r="W1663" s="16">
        <f>V1663*N1663*O1663</f>
        <v/>
      </c>
      <c r="X1663" s="12">
        <f>IF(LEFT(I1663,2)="MV",2*N1663*IF(L1663="1/C",O1663,1),0)</f>
        <v/>
      </c>
      <c r="Y1663" s="12">
        <f>IF(OR(LEFT(K1663,4)="LVAX",LEFT(K1663,6)="MV15AX",LEFT(K1663,4)="CTAX",LEFT(K1663,2)="W|"),2*N1663*O1663,0)</f>
        <v/>
      </c>
      <c r="Z1663" s="12" t="inlineStr">
        <is>
          <t>VD 0.7 %</t>
        </is>
      </c>
      <c r="AA1663" s="12">
        <f>N1663*O1663</f>
        <v/>
      </c>
    </row>
    <row r="1664">
      <c r="A1664" s="12" t="inlineStr">
        <is>
          <t>A-P-0297</t>
        </is>
      </c>
      <c r="B1664" s="12" t="inlineStr">
        <is>
          <t>A</t>
        </is>
      </c>
      <c r="C1664" s="12" t="inlineStr">
        <is>
          <t>Power block</t>
        </is>
      </c>
      <c r="D1664" s="12" t="inlineStr">
        <is>
          <t>Motor 4 of 6, 2 kW</t>
        </is>
      </c>
      <c r="E1664" s="12" t="inlineStr">
        <is>
          <t>R2B</t>
        </is>
      </c>
      <c r="F1664" s="12" t="inlineStr">
        <is>
          <t>R2B: unit / HRSG electrical e-house (32 x 40 ft)</t>
        </is>
      </c>
      <c r="G1664" s="12" t="inlineStr"/>
      <c r="H1664" s="12" t="inlineStr">
        <is>
          <t>HRSG 2 chemical feed skid (phosphate / amine)</t>
        </is>
      </c>
      <c r="I1664" s="12" t="inlineStr">
        <is>
          <t>LV 600 V</t>
        </is>
      </c>
      <c r="J1664" s="12" t="inlineStr">
        <is>
          <t>Type TC-ER 600 V 3/C Cu XHHW-2 + ground, PVC jacket</t>
        </is>
      </c>
      <c r="K1664" s="12" t="inlineStr">
        <is>
          <t>LV|3/C+G|10</t>
        </is>
      </c>
      <c r="L1664" s="12" t="inlineStr">
        <is>
          <t>3/C+G</t>
        </is>
      </c>
      <c r="M1664" s="12" t="inlineStr">
        <is>
          <t>10</t>
        </is>
      </c>
      <c r="N1664" s="12" t="n">
        <v>1</v>
      </c>
      <c r="O1664" s="12" t="n">
        <v>1</v>
      </c>
      <c r="P1664" s="12" t="n">
        <v>480</v>
      </c>
      <c r="Q1664" s="12" t="n">
        <v>2</v>
      </c>
      <c r="R1664" s="12" t="n">
        <v>2.8</v>
      </c>
      <c r="S1664" s="12" t="inlineStr">
        <is>
          <t>Tray</t>
        </is>
      </c>
      <c r="T1664" s="16" t="n">
        <v>404</v>
      </c>
      <c r="U1664" s="16" t="n">
        <v>108</v>
      </c>
      <c r="V1664" s="16">
        <f>ROUNDUP((T1664+U1664+2*'Read Me'!$B$13)*(1+'Read Me'!$B$12),-1)</f>
        <v/>
      </c>
      <c r="W1664" s="16">
        <f>V1664*N1664*O1664</f>
        <v/>
      </c>
      <c r="X1664" s="12">
        <f>IF(LEFT(I1664,2)="MV",2*N1664*IF(L1664="1/C",O1664,1),0)</f>
        <v/>
      </c>
      <c r="Y1664" s="12">
        <f>IF(OR(LEFT(K1664,4)="LVAX",LEFT(K1664,6)="MV15AX",LEFT(K1664,4)="CTAX",LEFT(K1664,2)="W|"),2*N1664*O1664,0)</f>
        <v/>
      </c>
      <c r="Z1664" s="12" t="inlineStr">
        <is>
          <t>VD 0.7 %</t>
        </is>
      </c>
      <c r="AA1664" s="12">
        <f>N1664*O1664</f>
        <v/>
      </c>
    </row>
    <row r="1665">
      <c r="A1665" s="12" t="inlineStr">
        <is>
          <t>A-P-0298</t>
        </is>
      </c>
      <c r="B1665" s="12" t="inlineStr">
        <is>
          <t>A</t>
        </is>
      </c>
      <c r="C1665" s="12" t="inlineStr">
        <is>
          <t>Power block</t>
        </is>
      </c>
      <c r="D1665" s="12" t="inlineStr">
        <is>
          <t>Motor 5 of 6, 2 kW</t>
        </is>
      </c>
      <c r="E1665" s="12" t="inlineStr">
        <is>
          <t>R2B</t>
        </is>
      </c>
      <c r="F1665" s="12" t="inlineStr">
        <is>
          <t>R2B: unit / HRSG electrical e-house (32 x 40 ft)</t>
        </is>
      </c>
      <c r="G1665" s="12" t="inlineStr"/>
      <c r="H1665" s="12" t="inlineStr">
        <is>
          <t>HRSG 2 chemical feed skid (phosphate / amine)</t>
        </is>
      </c>
      <c r="I1665" s="12" t="inlineStr">
        <is>
          <t>LV 600 V</t>
        </is>
      </c>
      <c r="J1665" s="12" t="inlineStr">
        <is>
          <t>Type TC-ER 600 V 3/C Cu XHHW-2 + ground, PVC jacket</t>
        </is>
      </c>
      <c r="K1665" s="12" t="inlineStr">
        <is>
          <t>LV|3/C+G|10</t>
        </is>
      </c>
      <c r="L1665" s="12" t="inlineStr">
        <is>
          <t>3/C+G</t>
        </is>
      </c>
      <c r="M1665" s="12" t="inlineStr">
        <is>
          <t>10</t>
        </is>
      </c>
      <c r="N1665" s="12" t="n">
        <v>1</v>
      </c>
      <c r="O1665" s="12" t="n">
        <v>1</v>
      </c>
      <c r="P1665" s="12" t="n">
        <v>480</v>
      </c>
      <c r="Q1665" s="12" t="n">
        <v>2</v>
      </c>
      <c r="R1665" s="12" t="n">
        <v>2.8</v>
      </c>
      <c r="S1665" s="12" t="inlineStr">
        <is>
          <t>Tray</t>
        </is>
      </c>
      <c r="T1665" s="16" t="n">
        <v>404</v>
      </c>
      <c r="U1665" s="16" t="n">
        <v>108</v>
      </c>
      <c r="V1665" s="16">
        <f>ROUNDUP((T1665+U1665+2*'Read Me'!$B$13)*(1+'Read Me'!$B$12),-1)</f>
        <v/>
      </c>
      <c r="W1665" s="16">
        <f>V1665*N1665*O1665</f>
        <v/>
      </c>
      <c r="X1665" s="12">
        <f>IF(LEFT(I1665,2)="MV",2*N1665*IF(L1665="1/C",O1665,1),0)</f>
        <v/>
      </c>
      <c r="Y1665" s="12">
        <f>IF(OR(LEFT(K1665,4)="LVAX",LEFT(K1665,6)="MV15AX",LEFT(K1665,4)="CTAX",LEFT(K1665,2)="W|"),2*N1665*O1665,0)</f>
        <v/>
      </c>
      <c r="Z1665" s="12" t="inlineStr">
        <is>
          <t>VD 0.7 %</t>
        </is>
      </c>
      <c r="AA1665" s="12">
        <f>N1665*O1665</f>
        <v/>
      </c>
    </row>
    <row r="1666">
      <c r="A1666" s="12" t="inlineStr">
        <is>
          <t>A-P-0299</t>
        </is>
      </c>
      <c r="B1666" s="12" t="inlineStr">
        <is>
          <t>A</t>
        </is>
      </c>
      <c r="C1666" s="12" t="inlineStr">
        <is>
          <t>Power block</t>
        </is>
      </c>
      <c r="D1666" s="12" t="inlineStr">
        <is>
          <t>Motor 6 of 6, 2 kW</t>
        </is>
      </c>
      <c r="E1666" s="12" t="inlineStr">
        <is>
          <t>R2B</t>
        </is>
      </c>
      <c r="F1666" s="12" t="inlineStr">
        <is>
          <t>R2B: unit / HRSG electrical e-house (32 x 40 ft)</t>
        </is>
      </c>
      <c r="G1666" s="12" t="inlineStr"/>
      <c r="H1666" s="12" t="inlineStr">
        <is>
          <t>HRSG 2 chemical feed skid (phosphate / amine)</t>
        </is>
      </c>
      <c r="I1666" s="12" t="inlineStr">
        <is>
          <t>LV 600 V</t>
        </is>
      </c>
      <c r="J1666" s="12" t="inlineStr">
        <is>
          <t>Type TC-ER 600 V 3/C Cu XHHW-2 + ground, PVC jacket</t>
        </is>
      </c>
      <c r="K1666" s="12" t="inlineStr">
        <is>
          <t>LV|3/C+G|10</t>
        </is>
      </c>
      <c r="L1666" s="12" t="inlineStr">
        <is>
          <t>3/C+G</t>
        </is>
      </c>
      <c r="M1666" s="12" t="inlineStr">
        <is>
          <t>10</t>
        </is>
      </c>
      <c r="N1666" s="12" t="n">
        <v>1</v>
      </c>
      <c r="O1666" s="12" t="n">
        <v>1</v>
      </c>
      <c r="P1666" s="12" t="n">
        <v>480</v>
      </c>
      <c r="Q1666" s="12" t="n">
        <v>2</v>
      </c>
      <c r="R1666" s="12" t="n">
        <v>2.8</v>
      </c>
      <c r="S1666" s="12" t="inlineStr">
        <is>
          <t>Tray</t>
        </is>
      </c>
      <c r="T1666" s="16" t="n">
        <v>404</v>
      </c>
      <c r="U1666" s="16" t="n">
        <v>108</v>
      </c>
      <c r="V1666" s="16">
        <f>ROUNDUP((T1666+U1666+2*'Read Me'!$B$13)*(1+'Read Me'!$B$12),-1)</f>
        <v/>
      </c>
      <c r="W1666" s="16">
        <f>V1666*N1666*O1666</f>
        <v/>
      </c>
      <c r="X1666" s="12">
        <f>IF(LEFT(I1666,2)="MV",2*N1666*IF(L1666="1/C",O1666,1),0)</f>
        <v/>
      </c>
      <c r="Y1666" s="12">
        <f>IF(OR(LEFT(K1666,4)="LVAX",LEFT(K1666,6)="MV15AX",LEFT(K1666,4)="CTAX",LEFT(K1666,2)="W|"),2*N1666*O1666,0)</f>
        <v/>
      </c>
      <c r="Z1666" s="12" t="inlineStr">
        <is>
          <t>VD 0.7 %</t>
        </is>
      </c>
      <c r="AA1666" s="12">
        <f>N1666*O1666</f>
        <v/>
      </c>
    </row>
    <row r="1667">
      <c r="A1667" s="12" t="inlineStr">
        <is>
          <t>A-P-0300</t>
        </is>
      </c>
      <c r="B1667" s="12" t="inlineStr">
        <is>
          <t>A</t>
        </is>
      </c>
      <c r="C1667" s="12" t="inlineStr">
        <is>
          <t>Power block</t>
        </is>
      </c>
      <c r="D1667" s="12" t="inlineStr">
        <is>
          <t>Area / platform lighting circuit 1 (6 fixtures)</t>
        </is>
      </c>
      <c r="E1667" s="12" t="inlineStr">
        <is>
          <t>R2B</t>
        </is>
      </c>
      <c r="F1667" s="12" t="inlineStr">
        <is>
          <t>R2B: unit / HRSG electrical e-house (32 x 40 ft)</t>
        </is>
      </c>
      <c r="G1667" s="12" t="inlineStr">
        <is>
          <t>STK-2</t>
        </is>
      </c>
      <c r="H1667" s="12" t="inlineStr">
        <is>
          <t>HRSG 2 stack</t>
        </is>
      </c>
      <c r="I1667" s="12" t="inlineStr">
        <is>
          <t>LV 600 V</t>
        </is>
      </c>
      <c r="J1667" s="12" t="inlineStr">
        <is>
          <t>Type TC-ER 600 V 3/C Cu XHHW-2 + ground, PVC jacket</t>
        </is>
      </c>
      <c r="K1667" s="12" t="inlineStr">
        <is>
          <t>LV|3/C+G|10</t>
        </is>
      </c>
      <c r="L1667" s="12" t="inlineStr">
        <is>
          <t>3/C+G</t>
        </is>
      </c>
      <c r="M1667" s="12" t="inlineStr">
        <is>
          <t>10</t>
        </is>
      </c>
      <c r="N1667" s="12" t="n">
        <v>1</v>
      </c>
      <c r="O1667" s="12" t="n">
        <v>1</v>
      </c>
      <c r="P1667" s="12" t="n">
        <v>480</v>
      </c>
      <c r="Q1667" s="12" t="n">
        <v>3</v>
      </c>
      <c r="R1667" s="12" t="n">
        <v>5</v>
      </c>
      <c r="S1667" s="12" t="inlineStr">
        <is>
          <t>Tray</t>
        </is>
      </c>
      <c r="T1667" s="16" t="n">
        <v>573</v>
      </c>
      <c r="U1667" s="16" t="n">
        <v>135</v>
      </c>
      <c r="V1667" s="16">
        <f>ROUNDUP((T1667+U1667+2*'Read Me'!$B$13)*(1+'Read Me'!$B$12),-1)</f>
        <v/>
      </c>
      <c r="W1667" s="16">
        <f>V1667*N1667*O1667</f>
        <v/>
      </c>
      <c r="X1667" s="12">
        <f>IF(LEFT(I1667,2)="MV",2*N1667*IF(L1667="1/C",O1667,1),0)</f>
        <v/>
      </c>
      <c r="Y1667" s="12">
        <f>IF(OR(LEFT(K1667,4)="LVAX",LEFT(K1667,6)="MV15AX",LEFT(K1667,4)="CTAX",LEFT(K1667,2)="W|"),2*N1667*O1667,0)</f>
        <v/>
      </c>
      <c r="Z1667" s="12" t="inlineStr">
        <is>
          <t>fixture-to-fixture run included</t>
        </is>
      </c>
      <c r="AA1667" s="12">
        <f>N1667*O1667</f>
        <v/>
      </c>
    </row>
    <row r="1668">
      <c r="A1668" s="12" t="inlineStr">
        <is>
          <t>A-P-0301</t>
        </is>
      </c>
      <c r="B1668" s="12" t="inlineStr">
        <is>
          <t>A</t>
        </is>
      </c>
      <c r="C1668" s="12" t="inlineStr">
        <is>
          <t>Power block</t>
        </is>
      </c>
      <c r="D1668" s="12" t="inlineStr">
        <is>
          <t>Motor 1 of 4, 15 kW</t>
        </is>
      </c>
      <c r="E1668" s="12" t="inlineStr">
        <is>
          <t>R2C</t>
        </is>
      </c>
      <c r="F1668" s="12" t="inlineStr">
        <is>
          <t>R2C: unit / HRSG electrical e-house (32 x 40 ft)</t>
        </is>
      </c>
      <c r="G1668" s="12" t="inlineStr">
        <is>
          <t>HRSG-3</t>
        </is>
      </c>
      <c r="H1668" s="12" t="inlineStr">
        <is>
          <t>HRSG 3 + SCR (3P reheat, horizontal)</t>
        </is>
      </c>
      <c r="I1668" s="12" t="inlineStr">
        <is>
          <t>LV 600 V</t>
        </is>
      </c>
      <c r="J1668" s="12" t="inlineStr">
        <is>
          <t>Type TC-ER 600 V 3/C Cu XHHW-2 + ground, PVC jacket</t>
        </is>
      </c>
      <c r="K1668" s="12" t="inlineStr">
        <is>
          <t>LV|3/C+G|10</t>
        </is>
      </c>
      <c r="L1668" s="12" t="inlineStr">
        <is>
          <t>3/C+G</t>
        </is>
      </c>
      <c r="M1668" s="12" t="inlineStr">
        <is>
          <t>10</t>
        </is>
      </c>
      <c r="N1668" s="12" t="n">
        <v>1</v>
      </c>
      <c r="O1668" s="12" t="n">
        <v>1</v>
      </c>
      <c r="P1668" s="12" t="n">
        <v>480</v>
      </c>
      <c r="Q1668" s="12" t="n">
        <v>15</v>
      </c>
      <c r="R1668" s="12" t="n">
        <v>21.2</v>
      </c>
      <c r="S1668" s="12" t="inlineStr">
        <is>
          <t>Tray</t>
        </is>
      </c>
      <c r="T1668" s="16" t="n">
        <v>0</v>
      </c>
      <c r="U1668" s="16" t="n">
        <v>87</v>
      </c>
      <c r="V1668" s="16">
        <f>ROUNDUP((T1668+U1668+2*'Read Me'!$B$13)*(1+'Read Me'!$B$12),-1)</f>
        <v/>
      </c>
      <c r="W1668" s="16">
        <f>V1668*N1668*O1668</f>
        <v/>
      </c>
      <c r="X1668" s="12">
        <f>IF(LEFT(I1668,2)="MV",2*N1668*IF(L1668="1/C",O1668,1),0)</f>
        <v/>
      </c>
      <c r="Y1668" s="12">
        <f>IF(OR(LEFT(K1668,4)="LVAX",LEFT(K1668,6)="MV15AX",LEFT(K1668,4)="CTAX",LEFT(K1668,2)="W|"),2*N1668*O1668,0)</f>
        <v/>
      </c>
      <c r="Z1668" s="12" t="inlineStr">
        <is>
          <t>VD 0.9 %</t>
        </is>
      </c>
      <c r="AA1668" s="12">
        <f>N1668*O1668</f>
        <v/>
      </c>
    </row>
    <row r="1669">
      <c r="A1669" s="12" t="inlineStr">
        <is>
          <t>A-P-0302</t>
        </is>
      </c>
      <c r="B1669" s="12" t="inlineStr">
        <is>
          <t>A</t>
        </is>
      </c>
      <c r="C1669" s="12" t="inlineStr">
        <is>
          <t>Power block</t>
        </is>
      </c>
      <c r="D1669" s="12" t="inlineStr">
        <is>
          <t>Motor 2 of 4, 15 kW</t>
        </is>
      </c>
      <c r="E1669" s="12" t="inlineStr">
        <is>
          <t>R2C</t>
        </is>
      </c>
      <c r="F1669" s="12" t="inlineStr">
        <is>
          <t>R2C: unit / HRSG electrical e-house (32 x 40 ft)</t>
        </is>
      </c>
      <c r="G1669" s="12" t="inlineStr">
        <is>
          <t>HRSG-3</t>
        </is>
      </c>
      <c r="H1669" s="12" t="inlineStr">
        <is>
          <t>HRSG 3 + SCR (3P reheat, horizontal)</t>
        </is>
      </c>
      <c r="I1669" s="12" t="inlineStr">
        <is>
          <t>LV 600 V</t>
        </is>
      </c>
      <c r="J1669" s="12" t="inlineStr">
        <is>
          <t>Type TC-ER 600 V 3/C Cu XHHW-2 + ground, PVC jacket</t>
        </is>
      </c>
      <c r="K1669" s="12" t="inlineStr">
        <is>
          <t>LV|3/C+G|10</t>
        </is>
      </c>
      <c r="L1669" s="12" t="inlineStr">
        <is>
          <t>3/C+G</t>
        </is>
      </c>
      <c r="M1669" s="12" t="inlineStr">
        <is>
          <t>10</t>
        </is>
      </c>
      <c r="N1669" s="12" t="n">
        <v>1</v>
      </c>
      <c r="O1669" s="12" t="n">
        <v>1</v>
      </c>
      <c r="P1669" s="12" t="n">
        <v>480</v>
      </c>
      <c r="Q1669" s="12" t="n">
        <v>15</v>
      </c>
      <c r="R1669" s="12" t="n">
        <v>21.2</v>
      </c>
      <c r="S1669" s="12" t="inlineStr">
        <is>
          <t>Tray</t>
        </is>
      </c>
      <c r="T1669" s="16" t="n">
        <v>0</v>
      </c>
      <c r="U1669" s="16" t="n">
        <v>87</v>
      </c>
      <c r="V1669" s="16">
        <f>ROUNDUP((T1669+U1669+2*'Read Me'!$B$13)*(1+'Read Me'!$B$12),-1)</f>
        <v/>
      </c>
      <c r="W1669" s="16">
        <f>V1669*N1669*O1669</f>
        <v/>
      </c>
      <c r="X1669" s="12">
        <f>IF(LEFT(I1669,2)="MV",2*N1669*IF(L1669="1/C",O1669,1),0)</f>
        <v/>
      </c>
      <c r="Y1669" s="12">
        <f>IF(OR(LEFT(K1669,4)="LVAX",LEFT(K1669,6)="MV15AX",LEFT(K1669,4)="CTAX",LEFT(K1669,2)="W|"),2*N1669*O1669,0)</f>
        <v/>
      </c>
      <c r="Z1669" s="12" t="inlineStr">
        <is>
          <t>VD 0.9 %</t>
        </is>
      </c>
      <c r="AA1669" s="12">
        <f>N1669*O1669</f>
        <v/>
      </c>
    </row>
    <row r="1670">
      <c r="A1670" s="12" t="inlineStr">
        <is>
          <t>A-P-0303</t>
        </is>
      </c>
      <c r="B1670" s="12" t="inlineStr">
        <is>
          <t>A</t>
        </is>
      </c>
      <c r="C1670" s="12" t="inlineStr">
        <is>
          <t>Power block</t>
        </is>
      </c>
      <c r="D1670" s="12" t="inlineStr">
        <is>
          <t>Motor 3 of 4, 15 kW</t>
        </is>
      </c>
      <c r="E1670" s="12" t="inlineStr">
        <is>
          <t>R2C</t>
        </is>
      </c>
      <c r="F1670" s="12" t="inlineStr">
        <is>
          <t>R2C: unit / HRSG electrical e-house (32 x 40 ft)</t>
        </is>
      </c>
      <c r="G1670" s="12" t="inlineStr">
        <is>
          <t>HRSG-3</t>
        </is>
      </c>
      <c r="H1670" s="12" t="inlineStr">
        <is>
          <t>HRSG 3 + SCR (3P reheat, horizontal)</t>
        </is>
      </c>
      <c r="I1670" s="12" t="inlineStr">
        <is>
          <t>LV 600 V</t>
        </is>
      </c>
      <c r="J1670" s="12" t="inlineStr">
        <is>
          <t>Type TC-ER 600 V 3/C Cu XHHW-2 + ground, PVC jacket</t>
        </is>
      </c>
      <c r="K1670" s="12" t="inlineStr">
        <is>
          <t>LV|3/C+G|10</t>
        </is>
      </c>
      <c r="L1670" s="12" t="inlineStr">
        <is>
          <t>3/C+G</t>
        </is>
      </c>
      <c r="M1670" s="12" t="inlineStr">
        <is>
          <t>10</t>
        </is>
      </c>
      <c r="N1670" s="12" t="n">
        <v>1</v>
      </c>
      <c r="O1670" s="12" t="n">
        <v>1</v>
      </c>
      <c r="P1670" s="12" t="n">
        <v>480</v>
      </c>
      <c r="Q1670" s="12" t="n">
        <v>15</v>
      </c>
      <c r="R1670" s="12" t="n">
        <v>21.2</v>
      </c>
      <c r="S1670" s="12" t="inlineStr">
        <is>
          <t>Tray</t>
        </is>
      </c>
      <c r="T1670" s="16" t="n">
        <v>0</v>
      </c>
      <c r="U1670" s="16" t="n">
        <v>87</v>
      </c>
      <c r="V1670" s="16">
        <f>ROUNDUP((T1670+U1670+2*'Read Me'!$B$13)*(1+'Read Me'!$B$12),-1)</f>
        <v/>
      </c>
      <c r="W1670" s="16">
        <f>V1670*N1670*O1670</f>
        <v/>
      </c>
      <c r="X1670" s="12">
        <f>IF(LEFT(I1670,2)="MV",2*N1670*IF(L1670="1/C",O1670,1),0)</f>
        <v/>
      </c>
      <c r="Y1670" s="12">
        <f>IF(OR(LEFT(K1670,4)="LVAX",LEFT(K1670,6)="MV15AX",LEFT(K1670,4)="CTAX",LEFT(K1670,2)="W|"),2*N1670*O1670,0)</f>
        <v/>
      </c>
      <c r="Z1670" s="12" t="inlineStr">
        <is>
          <t>VD 0.9 %</t>
        </is>
      </c>
      <c r="AA1670" s="12">
        <f>N1670*O1670</f>
        <v/>
      </c>
    </row>
    <row r="1671">
      <c r="A1671" s="12" t="inlineStr">
        <is>
          <t>A-P-0304</t>
        </is>
      </c>
      <c r="B1671" s="12" t="inlineStr">
        <is>
          <t>A</t>
        </is>
      </c>
      <c r="C1671" s="12" t="inlineStr">
        <is>
          <t>Power block</t>
        </is>
      </c>
      <c r="D1671" s="12" t="inlineStr">
        <is>
          <t>Motor 4 of 4, 15 kW</t>
        </is>
      </c>
      <c r="E1671" s="12" t="inlineStr">
        <is>
          <t>R2C</t>
        </is>
      </c>
      <c r="F1671" s="12" t="inlineStr">
        <is>
          <t>R2C: unit / HRSG electrical e-house (32 x 40 ft)</t>
        </is>
      </c>
      <c r="G1671" s="12" t="inlineStr">
        <is>
          <t>HRSG-3</t>
        </is>
      </c>
      <c r="H1671" s="12" t="inlineStr">
        <is>
          <t>HRSG 3 + SCR (3P reheat, horizontal)</t>
        </is>
      </c>
      <c r="I1671" s="12" t="inlineStr">
        <is>
          <t>LV 600 V</t>
        </is>
      </c>
      <c r="J1671" s="12" t="inlineStr">
        <is>
          <t>Type TC-ER 600 V 3/C Cu XHHW-2 + ground, PVC jacket</t>
        </is>
      </c>
      <c r="K1671" s="12" t="inlineStr">
        <is>
          <t>LV|3/C+G|10</t>
        </is>
      </c>
      <c r="L1671" s="12" t="inlineStr">
        <is>
          <t>3/C+G</t>
        </is>
      </c>
      <c r="M1671" s="12" t="inlineStr">
        <is>
          <t>10</t>
        </is>
      </c>
      <c r="N1671" s="12" t="n">
        <v>1</v>
      </c>
      <c r="O1671" s="12" t="n">
        <v>1</v>
      </c>
      <c r="P1671" s="12" t="n">
        <v>480</v>
      </c>
      <c r="Q1671" s="12" t="n">
        <v>15</v>
      </c>
      <c r="R1671" s="12" t="n">
        <v>21.2</v>
      </c>
      <c r="S1671" s="12" t="inlineStr">
        <is>
          <t>Tray</t>
        </is>
      </c>
      <c r="T1671" s="16" t="n">
        <v>0</v>
      </c>
      <c r="U1671" s="16" t="n">
        <v>87</v>
      </c>
      <c r="V1671" s="16">
        <f>ROUNDUP((T1671+U1671+2*'Read Me'!$B$13)*(1+'Read Me'!$B$12),-1)</f>
        <v/>
      </c>
      <c r="W1671" s="16">
        <f>V1671*N1671*O1671</f>
        <v/>
      </c>
      <c r="X1671" s="12">
        <f>IF(LEFT(I1671,2)="MV",2*N1671*IF(L1671="1/C",O1671,1),0)</f>
        <v/>
      </c>
      <c r="Y1671" s="12">
        <f>IF(OR(LEFT(K1671,4)="LVAX",LEFT(K1671,6)="MV15AX",LEFT(K1671,4)="CTAX",LEFT(K1671,2)="W|"),2*N1671*O1671,0)</f>
        <v/>
      </c>
      <c r="Z1671" s="12" t="inlineStr">
        <is>
          <t>VD 0.9 %</t>
        </is>
      </c>
      <c r="AA1671" s="12">
        <f>N1671*O1671</f>
        <v/>
      </c>
    </row>
    <row r="1672">
      <c r="A1672" s="12" t="inlineStr">
        <is>
          <t>A-P-0305</t>
        </is>
      </c>
      <c r="B1672" s="12" t="inlineStr">
        <is>
          <t>A</t>
        </is>
      </c>
      <c r="C1672" s="12" t="inlineStr">
        <is>
          <t>Power block</t>
        </is>
      </c>
      <c r="D1672" s="12" t="inlineStr">
        <is>
          <t>MOV 1: power</t>
        </is>
      </c>
      <c r="E1672" s="12" t="inlineStr">
        <is>
          <t>R2C</t>
        </is>
      </c>
      <c r="F1672" s="12" t="inlineStr">
        <is>
          <t>R2C: unit / HRSG electrical e-house (32 x 40 ft)</t>
        </is>
      </c>
      <c r="G1672" s="12" t="inlineStr">
        <is>
          <t>HRSG-3</t>
        </is>
      </c>
      <c r="H1672" s="12" t="inlineStr">
        <is>
          <t>HRSG 3 + SCR (3P reheat, horizontal)</t>
        </is>
      </c>
      <c r="I1672" s="12" t="inlineStr">
        <is>
          <t>LV 600 V</t>
        </is>
      </c>
      <c r="J1672" s="12" t="inlineStr">
        <is>
          <t>Type TC-ER 600 V 3/C Cu XHHW-2 + ground, PVC jacket</t>
        </is>
      </c>
      <c r="K1672" s="12" t="inlineStr">
        <is>
          <t>LV|3/C+G|10</t>
        </is>
      </c>
      <c r="L1672" s="12" t="inlineStr">
        <is>
          <t>3/C+G</t>
        </is>
      </c>
      <c r="M1672" s="12" t="inlineStr">
        <is>
          <t>10</t>
        </is>
      </c>
      <c r="N1672" s="12" t="n">
        <v>1</v>
      </c>
      <c r="O1672" s="12" t="n">
        <v>1</v>
      </c>
      <c r="P1672" s="12" t="n">
        <v>480</v>
      </c>
      <c r="Q1672" s="12" t="n">
        <v>2.5</v>
      </c>
      <c r="R1672" s="12" t="n">
        <v>3.5</v>
      </c>
      <c r="S1672" s="12" t="inlineStr">
        <is>
          <t>Tray</t>
        </is>
      </c>
      <c r="T1672" s="16" t="n">
        <v>0</v>
      </c>
      <c r="U1672" s="16" t="n">
        <v>87</v>
      </c>
      <c r="V1672" s="16">
        <f>ROUNDUP((T1672+U1672+2*'Read Me'!$B$13)*(1+'Read Me'!$B$12),-1)</f>
        <v/>
      </c>
      <c r="W1672" s="16">
        <f>V1672*N1672*O1672</f>
        <v/>
      </c>
      <c r="X1672" s="12">
        <f>IF(LEFT(I1672,2)="MV",2*N1672*IF(L1672="1/C",O1672,1),0)</f>
        <v/>
      </c>
      <c r="Y1672" s="12">
        <f>IF(OR(LEFT(K1672,4)="LVAX",LEFT(K1672,6)="MV15AX",LEFT(K1672,4)="CTAX",LEFT(K1672,2)="W|"),2*N1672*O1672,0)</f>
        <v/>
      </c>
      <c r="Z1672" s="12" t="inlineStr">
        <is>
          <t>VD 0.1 %</t>
        </is>
      </c>
      <c r="AA1672" s="12">
        <f>N1672*O1672</f>
        <v/>
      </c>
    </row>
    <row r="1673">
      <c r="A1673" s="12" t="inlineStr">
        <is>
          <t>A-P-0306</t>
        </is>
      </c>
      <c r="B1673" s="12" t="inlineStr">
        <is>
          <t>A</t>
        </is>
      </c>
      <c r="C1673" s="12" t="inlineStr">
        <is>
          <t>Power block</t>
        </is>
      </c>
      <c r="D1673" s="12" t="inlineStr">
        <is>
          <t>MOV 2: power</t>
        </is>
      </c>
      <c r="E1673" s="12" t="inlineStr">
        <is>
          <t>R2C</t>
        </is>
      </c>
      <c r="F1673" s="12" t="inlineStr">
        <is>
          <t>R2C: unit / HRSG electrical e-house (32 x 40 ft)</t>
        </is>
      </c>
      <c r="G1673" s="12" t="inlineStr">
        <is>
          <t>HRSG-3</t>
        </is>
      </c>
      <c r="H1673" s="12" t="inlineStr">
        <is>
          <t>HRSG 3 + SCR (3P reheat, horizontal)</t>
        </is>
      </c>
      <c r="I1673" s="12" t="inlineStr">
        <is>
          <t>LV 600 V</t>
        </is>
      </c>
      <c r="J1673" s="12" t="inlineStr">
        <is>
          <t>Type TC-ER 600 V 3/C Cu XHHW-2 + ground, PVC jacket</t>
        </is>
      </c>
      <c r="K1673" s="12" t="inlineStr">
        <is>
          <t>LV|3/C+G|10</t>
        </is>
      </c>
      <c r="L1673" s="12" t="inlineStr">
        <is>
          <t>3/C+G</t>
        </is>
      </c>
      <c r="M1673" s="12" t="inlineStr">
        <is>
          <t>10</t>
        </is>
      </c>
      <c r="N1673" s="12" t="n">
        <v>1</v>
      </c>
      <c r="O1673" s="12" t="n">
        <v>1</v>
      </c>
      <c r="P1673" s="12" t="n">
        <v>480</v>
      </c>
      <c r="Q1673" s="12" t="n">
        <v>2.5</v>
      </c>
      <c r="R1673" s="12" t="n">
        <v>3.5</v>
      </c>
      <c r="S1673" s="12" t="inlineStr">
        <is>
          <t>Tray</t>
        </is>
      </c>
      <c r="T1673" s="16" t="n">
        <v>0</v>
      </c>
      <c r="U1673" s="16" t="n">
        <v>87</v>
      </c>
      <c r="V1673" s="16">
        <f>ROUNDUP((T1673+U1673+2*'Read Me'!$B$13)*(1+'Read Me'!$B$12),-1)</f>
        <v/>
      </c>
      <c r="W1673" s="16">
        <f>V1673*N1673*O1673</f>
        <v/>
      </c>
      <c r="X1673" s="12">
        <f>IF(LEFT(I1673,2)="MV",2*N1673*IF(L1673="1/C",O1673,1),0)</f>
        <v/>
      </c>
      <c r="Y1673" s="12">
        <f>IF(OR(LEFT(K1673,4)="LVAX",LEFT(K1673,6)="MV15AX",LEFT(K1673,4)="CTAX",LEFT(K1673,2)="W|"),2*N1673*O1673,0)</f>
        <v/>
      </c>
      <c r="Z1673" s="12" t="inlineStr">
        <is>
          <t>VD 0.1 %</t>
        </is>
      </c>
      <c r="AA1673" s="12">
        <f>N1673*O1673</f>
        <v/>
      </c>
    </row>
    <row r="1674">
      <c r="A1674" s="12" t="inlineStr">
        <is>
          <t>A-P-0307</t>
        </is>
      </c>
      <c r="B1674" s="12" t="inlineStr">
        <is>
          <t>A</t>
        </is>
      </c>
      <c r="C1674" s="12" t="inlineStr">
        <is>
          <t>Power block</t>
        </is>
      </c>
      <c r="D1674" s="12" t="inlineStr">
        <is>
          <t>MOV 3: power</t>
        </is>
      </c>
      <c r="E1674" s="12" t="inlineStr">
        <is>
          <t>R2C</t>
        </is>
      </c>
      <c r="F1674" s="12" t="inlineStr">
        <is>
          <t>R2C: unit / HRSG electrical e-house (32 x 40 ft)</t>
        </is>
      </c>
      <c r="G1674" s="12" t="inlineStr">
        <is>
          <t>HRSG-3</t>
        </is>
      </c>
      <c r="H1674" s="12" t="inlineStr">
        <is>
          <t>HRSG 3 + SCR (3P reheat, horizontal)</t>
        </is>
      </c>
      <c r="I1674" s="12" t="inlineStr">
        <is>
          <t>LV 600 V</t>
        </is>
      </c>
      <c r="J1674" s="12" t="inlineStr">
        <is>
          <t>Type TC-ER 600 V 3/C Cu XHHW-2 + ground, PVC jacket</t>
        </is>
      </c>
      <c r="K1674" s="12" t="inlineStr">
        <is>
          <t>LV|3/C+G|10</t>
        </is>
      </c>
      <c r="L1674" s="12" t="inlineStr">
        <is>
          <t>3/C+G</t>
        </is>
      </c>
      <c r="M1674" s="12" t="inlineStr">
        <is>
          <t>10</t>
        </is>
      </c>
      <c r="N1674" s="12" t="n">
        <v>1</v>
      </c>
      <c r="O1674" s="12" t="n">
        <v>1</v>
      </c>
      <c r="P1674" s="12" t="n">
        <v>480</v>
      </c>
      <c r="Q1674" s="12" t="n">
        <v>2.5</v>
      </c>
      <c r="R1674" s="12" t="n">
        <v>3.5</v>
      </c>
      <c r="S1674" s="12" t="inlineStr">
        <is>
          <t>Tray</t>
        </is>
      </c>
      <c r="T1674" s="16" t="n">
        <v>0</v>
      </c>
      <c r="U1674" s="16" t="n">
        <v>87</v>
      </c>
      <c r="V1674" s="16">
        <f>ROUNDUP((T1674+U1674+2*'Read Me'!$B$13)*(1+'Read Me'!$B$12),-1)</f>
        <v/>
      </c>
      <c r="W1674" s="16">
        <f>V1674*N1674*O1674</f>
        <v/>
      </c>
      <c r="X1674" s="12">
        <f>IF(LEFT(I1674,2)="MV",2*N1674*IF(L1674="1/C",O1674,1),0)</f>
        <v/>
      </c>
      <c r="Y1674" s="12">
        <f>IF(OR(LEFT(K1674,4)="LVAX",LEFT(K1674,6)="MV15AX",LEFT(K1674,4)="CTAX",LEFT(K1674,2)="W|"),2*N1674*O1674,0)</f>
        <v/>
      </c>
      <c r="Z1674" s="12" t="inlineStr">
        <is>
          <t>VD 0.1 %</t>
        </is>
      </c>
      <c r="AA1674" s="12">
        <f>N1674*O1674</f>
        <v/>
      </c>
    </row>
    <row r="1675">
      <c r="A1675" s="12" t="inlineStr">
        <is>
          <t>A-P-0308</t>
        </is>
      </c>
      <c r="B1675" s="12" t="inlineStr">
        <is>
          <t>A</t>
        </is>
      </c>
      <c r="C1675" s="12" t="inlineStr">
        <is>
          <t>Power block</t>
        </is>
      </c>
      <c r="D1675" s="12" t="inlineStr">
        <is>
          <t>MOV 4: power</t>
        </is>
      </c>
      <c r="E1675" s="12" t="inlineStr">
        <is>
          <t>R2C</t>
        </is>
      </c>
      <c r="F1675" s="12" t="inlineStr">
        <is>
          <t>R2C: unit / HRSG electrical e-house (32 x 40 ft)</t>
        </is>
      </c>
      <c r="G1675" s="12" t="inlineStr">
        <is>
          <t>HRSG-3</t>
        </is>
      </c>
      <c r="H1675" s="12" t="inlineStr">
        <is>
          <t>HRSG 3 + SCR (3P reheat, horizontal)</t>
        </is>
      </c>
      <c r="I1675" s="12" t="inlineStr">
        <is>
          <t>LV 600 V</t>
        </is>
      </c>
      <c r="J1675" s="12" t="inlineStr">
        <is>
          <t>Type TC-ER 600 V 3/C Cu XHHW-2 + ground, PVC jacket</t>
        </is>
      </c>
      <c r="K1675" s="12" t="inlineStr">
        <is>
          <t>LV|3/C+G|10</t>
        </is>
      </c>
      <c r="L1675" s="12" t="inlineStr">
        <is>
          <t>3/C+G</t>
        </is>
      </c>
      <c r="M1675" s="12" t="inlineStr">
        <is>
          <t>10</t>
        </is>
      </c>
      <c r="N1675" s="12" t="n">
        <v>1</v>
      </c>
      <c r="O1675" s="12" t="n">
        <v>1</v>
      </c>
      <c r="P1675" s="12" t="n">
        <v>480</v>
      </c>
      <c r="Q1675" s="12" t="n">
        <v>2.5</v>
      </c>
      <c r="R1675" s="12" t="n">
        <v>3.5</v>
      </c>
      <c r="S1675" s="12" t="inlineStr">
        <is>
          <t>Tray</t>
        </is>
      </c>
      <c r="T1675" s="16" t="n">
        <v>0</v>
      </c>
      <c r="U1675" s="16" t="n">
        <v>87</v>
      </c>
      <c r="V1675" s="16">
        <f>ROUNDUP((T1675+U1675+2*'Read Me'!$B$13)*(1+'Read Me'!$B$12),-1)</f>
        <v/>
      </c>
      <c r="W1675" s="16">
        <f>V1675*N1675*O1675</f>
        <v/>
      </c>
      <c r="X1675" s="12">
        <f>IF(LEFT(I1675,2)="MV",2*N1675*IF(L1675="1/C",O1675,1),0)</f>
        <v/>
      </c>
      <c r="Y1675" s="12">
        <f>IF(OR(LEFT(K1675,4)="LVAX",LEFT(K1675,6)="MV15AX",LEFT(K1675,4)="CTAX",LEFT(K1675,2)="W|"),2*N1675*O1675,0)</f>
        <v/>
      </c>
      <c r="Z1675" s="12" t="inlineStr">
        <is>
          <t>VD 0.1 %</t>
        </is>
      </c>
      <c r="AA1675" s="12">
        <f>N1675*O1675</f>
        <v/>
      </c>
    </row>
    <row r="1676">
      <c r="A1676" s="12" t="inlineStr">
        <is>
          <t>A-P-0309</t>
        </is>
      </c>
      <c r="B1676" s="12" t="inlineStr">
        <is>
          <t>A</t>
        </is>
      </c>
      <c r="C1676" s="12" t="inlineStr">
        <is>
          <t>Power block</t>
        </is>
      </c>
      <c r="D1676" s="12" t="inlineStr">
        <is>
          <t>MOV 5: power</t>
        </is>
      </c>
      <c r="E1676" s="12" t="inlineStr">
        <is>
          <t>R2C</t>
        </is>
      </c>
      <c r="F1676" s="12" t="inlineStr">
        <is>
          <t>R2C: unit / HRSG electrical e-house (32 x 40 ft)</t>
        </is>
      </c>
      <c r="G1676" s="12" t="inlineStr">
        <is>
          <t>HRSG-3</t>
        </is>
      </c>
      <c r="H1676" s="12" t="inlineStr">
        <is>
          <t>HRSG 3 + SCR (3P reheat, horizontal)</t>
        </is>
      </c>
      <c r="I1676" s="12" t="inlineStr">
        <is>
          <t>LV 600 V</t>
        </is>
      </c>
      <c r="J1676" s="12" t="inlineStr">
        <is>
          <t>Type TC-ER 600 V 3/C Cu XHHW-2 + ground, PVC jacket</t>
        </is>
      </c>
      <c r="K1676" s="12" t="inlineStr">
        <is>
          <t>LV|3/C+G|10</t>
        </is>
      </c>
      <c r="L1676" s="12" t="inlineStr">
        <is>
          <t>3/C+G</t>
        </is>
      </c>
      <c r="M1676" s="12" t="inlineStr">
        <is>
          <t>10</t>
        </is>
      </c>
      <c r="N1676" s="12" t="n">
        <v>1</v>
      </c>
      <c r="O1676" s="12" t="n">
        <v>1</v>
      </c>
      <c r="P1676" s="12" t="n">
        <v>480</v>
      </c>
      <c r="Q1676" s="12" t="n">
        <v>2.5</v>
      </c>
      <c r="R1676" s="12" t="n">
        <v>3.5</v>
      </c>
      <c r="S1676" s="12" t="inlineStr">
        <is>
          <t>Tray</t>
        </is>
      </c>
      <c r="T1676" s="16" t="n">
        <v>0</v>
      </c>
      <c r="U1676" s="16" t="n">
        <v>87</v>
      </c>
      <c r="V1676" s="16">
        <f>ROUNDUP((T1676+U1676+2*'Read Me'!$B$13)*(1+'Read Me'!$B$12),-1)</f>
        <v/>
      </c>
      <c r="W1676" s="16">
        <f>V1676*N1676*O1676</f>
        <v/>
      </c>
      <c r="X1676" s="12">
        <f>IF(LEFT(I1676,2)="MV",2*N1676*IF(L1676="1/C",O1676,1),0)</f>
        <v/>
      </c>
      <c r="Y1676" s="12">
        <f>IF(OR(LEFT(K1676,4)="LVAX",LEFT(K1676,6)="MV15AX",LEFT(K1676,4)="CTAX",LEFT(K1676,2)="W|"),2*N1676*O1676,0)</f>
        <v/>
      </c>
      <c r="Z1676" s="12" t="inlineStr">
        <is>
          <t>VD 0.1 %</t>
        </is>
      </c>
      <c r="AA1676" s="12">
        <f>N1676*O1676</f>
        <v/>
      </c>
    </row>
    <row r="1677">
      <c r="A1677" s="12" t="inlineStr">
        <is>
          <t>A-P-0310</t>
        </is>
      </c>
      <c r="B1677" s="12" t="inlineStr">
        <is>
          <t>A</t>
        </is>
      </c>
      <c r="C1677" s="12" t="inlineStr">
        <is>
          <t>Power block</t>
        </is>
      </c>
      <c r="D1677" s="12" t="inlineStr">
        <is>
          <t>MOV 6: power</t>
        </is>
      </c>
      <c r="E1677" s="12" t="inlineStr">
        <is>
          <t>R2C</t>
        </is>
      </c>
      <c r="F1677" s="12" t="inlineStr">
        <is>
          <t>R2C: unit / HRSG electrical e-house (32 x 40 ft)</t>
        </is>
      </c>
      <c r="G1677" s="12" t="inlineStr">
        <is>
          <t>HRSG-3</t>
        </is>
      </c>
      <c r="H1677" s="12" t="inlineStr">
        <is>
          <t>HRSG 3 + SCR (3P reheat, horizontal)</t>
        </is>
      </c>
      <c r="I1677" s="12" t="inlineStr">
        <is>
          <t>LV 600 V</t>
        </is>
      </c>
      <c r="J1677" s="12" t="inlineStr">
        <is>
          <t>Type TC-ER 600 V 3/C Cu XHHW-2 + ground, PVC jacket</t>
        </is>
      </c>
      <c r="K1677" s="12" t="inlineStr">
        <is>
          <t>LV|3/C+G|10</t>
        </is>
      </c>
      <c r="L1677" s="12" t="inlineStr">
        <is>
          <t>3/C+G</t>
        </is>
      </c>
      <c r="M1677" s="12" t="inlineStr">
        <is>
          <t>10</t>
        </is>
      </c>
      <c r="N1677" s="12" t="n">
        <v>1</v>
      </c>
      <c r="O1677" s="12" t="n">
        <v>1</v>
      </c>
      <c r="P1677" s="12" t="n">
        <v>480</v>
      </c>
      <c r="Q1677" s="12" t="n">
        <v>2.5</v>
      </c>
      <c r="R1677" s="12" t="n">
        <v>3.5</v>
      </c>
      <c r="S1677" s="12" t="inlineStr">
        <is>
          <t>Tray</t>
        </is>
      </c>
      <c r="T1677" s="16" t="n">
        <v>0</v>
      </c>
      <c r="U1677" s="16" t="n">
        <v>87</v>
      </c>
      <c r="V1677" s="16">
        <f>ROUNDUP((T1677+U1677+2*'Read Me'!$B$13)*(1+'Read Me'!$B$12),-1)</f>
        <v/>
      </c>
      <c r="W1677" s="16">
        <f>V1677*N1677*O1677</f>
        <v/>
      </c>
      <c r="X1677" s="12">
        <f>IF(LEFT(I1677,2)="MV",2*N1677*IF(L1677="1/C",O1677,1),0)</f>
        <v/>
      </c>
      <c r="Y1677" s="12">
        <f>IF(OR(LEFT(K1677,4)="LVAX",LEFT(K1677,6)="MV15AX",LEFT(K1677,4)="CTAX",LEFT(K1677,2)="W|"),2*N1677*O1677,0)</f>
        <v/>
      </c>
      <c r="Z1677" s="12" t="inlineStr">
        <is>
          <t>VD 0.1 %</t>
        </is>
      </c>
      <c r="AA1677" s="12">
        <f>N1677*O1677</f>
        <v/>
      </c>
    </row>
    <row r="1678">
      <c r="A1678" s="12" t="inlineStr">
        <is>
          <t>A-P-0311</t>
        </is>
      </c>
      <c r="B1678" s="12" t="inlineStr">
        <is>
          <t>A</t>
        </is>
      </c>
      <c r="C1678" s="12" t="inlineStr">
        <is>
          <t>Power block</t>
        </is>
      </c>
      <c r="D1678" s="12" t="inlineStr">
        <is>
          <t>MOV 7: power</t>
        </is>
      </c>
      <c r="E1678" s="12" t="inlineStr">
        <is>
          <t>R2C</t>
        </is>
      </c>
      <c r="F1678" s="12" t="inlineStr">
        <is>
          <t>R2C: unit / HRSG electrical e-house (32 x 40 ft)</t>
        </is>
      </c>
      <c r="G1678" s="12" t="inlineStr">
        <is>
          <t>HRSG-3</t>
        </is>
      </c>
      <c r="H1678" s="12" t="inlineStr">
        <is>
          <t>HRSG 3 + SCR (3P reheat, horizontal)</t>
        </is>
      </c>
      <c r="I1678" s="12" t="inlineStr">
        <is>
          <t>LV 600 V</t>
        </is>
      </c>
      <c r="J1678" s="12" t="inlineStr">
        <is>
          <t>Type TC-ER 600 V 3/C Cu XHHW-2 + ground, PVC jacket</t>
        </is>
      </c>
      <c r="K1678" s="12" t="inlineStr">
        <is>
          <t>LV|3/C+G|10</t>
        </is>
      </c>
      <c r="L1678" s="12" t="inlineStr">
        <is>
          <t>3/C+G</t>
        </is>
      </c>
      <c r="M1678" s="12" t="inlineStr">
        <is>
          <t>10</t>
        </is>
      </c>
      <c r="N1678" s="12" t="n">
        <v>1</v>
      </c>
      <c r="O1678" s="12" t="n">
        <v>1</v>
      </c>
      <c r="P1678" s="12" t="n">
        <v>480</v>
      </c>
      <c r="Q1678" s="12" t="n">
        <v>2.5</v>
      </c>
      <c r="R1678" s="12" t="n">
        <v>3.5</v>
      </c>
      <c r="S1678" s="12" t="inlineStr">
        <is>
          <t>Tray</t>
        </is>
      </c>
      <c r="T1678" s="16" t="n">
        <v>0</v>
      </c>
      <c r="U1678" s="16" t="n">
        <v>87</v>
      </c>
      <c r="V1678" s="16">
        <f>ROUNDUP((T1678+U1678+2*'Read Me'!$B$13)*(1+'Read Me'!$B$12),-1)</f>
        <v/>
      </c>
      <c r="W1678" s="16">
        <f>V1678*N1678*O1678</f>
        <v/>
      </c>
      <c r="X1678" s="12">
        <f>IF(LEFT(I1678,2)="MV",2*N1678*IF(L1678="1/C",O1678,1),0)</f>
        <v/>
      </c>
      <c r="Y1678" s="12">
        <f>IF(OR(LEFT(K1678,4)="LVAX",LEFT(K1678,6)="MV15AX",LEFT(K1678,4)="CTAX",LEFT(K1678,2)="W|"),2*N1678*O1678,0)</f>
        <v/>
      </c>
      <c r="Z1678" s="12" t="inlineStr">
        <is>
          <t>VD 0.1 %</t>
        </is>
      </c>
      <c r="AA1678" s="12">
        <f>N1678*O1678</f>
        <v/>
      </c>
    </row>
    <row r="1679">
      <c r="A1679" s="12" t="inlineStr">
        <is>
          <t>A-P-0312</t>
        </is>
      </c>
      <c r="B1679" s="12" t="inlineStr">
        <is>
          <t>A</t>
        </is>
      </c>
      <c r="C1679" s="12" t="inlineStr">
        <is>
          <t>Power block</t>
        </is>
      </c>
      <c r="D1679" s="12" t="inlineStr">
        <is>
          <t>MOV 8: power</t>
        </is>
      </c>
      <c r="E1679" s="12" t="inlineStr">
        <is>
          <t>R2C</t>
        </is>
      </c>
      <c r="F1679" s="12" t="inlineStr">
        <is>
          <t>R2C: unit / HRSG electrical e-house (32 x 40 ft)</t>
        </is>
      </c>
      <c r="G1679" s="12" t="inlineStr">
        <is>
          <t>HRSG-3</t>
        </is>
      </c>
      <c r="H1679" s="12" t="inlineStr">
        <is>
          <t>HRSG 3 + SCR (3P reheat, horizontal)</t>
        </is>
      </c>
      <c r="I1679" s="12" t="inlineStr">
        <is>
          <t>LV 600 V</t>
        </is>
      </c>
      <c r="J1679" s="12" t="inlineStr">
        <is>
          <t>Type TC-ER 600 V 3/C Cu XHHW-2 + ground, PVC jacket</t>
        </is>
      </c>
      <c r="K1679" s="12" t="inlineStr">
        <is>
          <t>LV|3/C+G|10</t>
        </is>
      </c>
      <c r="L1679" s="12" t="inlineStr">
        <is>
          <t>3/C+G</t>
        </is>
      </c>
      <c r="M1679" s="12" t="inlineStr">
        <is>
          <t>10</t>
        </is>
      </c>
      <c r="N1679" s="12" t="n">
        <v>1</v>
      </c>
      <c r="O1679" s="12" t="n">
        <v>1</v>
      </c>
      <c r="P1679" s="12" t="n">
        <v>480</v>
      </c>
      <c r="Q1679" s="12" t="n">
        <v>2.5</v>
      </c>
      <c r="R1679" s="12" t="n">
        <v>3.5</v>
      </c>
      <c r="S1679" s="12" t="inlineStr">
        <is>
          <t>Tray</t>
        </is>
      </c>
      <c r="T1679" s="16" t="n">
        <v>0</v>
      </c>
      <c r="U1679" s="16" t="n">
        <v>87</v>
      </c>
      <c r="V1679" s="16">
        <f>ROUNDUP((T1679+U1679+2*'Read Me'!$B$13)*(1+'Read Me'!$B$12),-1)</f>
        <v/>
      </c>
      <c r="W1679" s="16">
        <f>V1679*N1679*O1679</f>
        <v/>
      </c>
      <c r="X1679" s="12">
        <f>IF(LEFT(I1679,2)="MV",2*N1679*IF(L1679="1/C",O1679,1),0)</f>
        <v/>
      </c>
      <c r="Y1679" s="12">
        <f>IF(OR(LEFT(K1679,4)="LVAX",LEFT(K1679,6)="MV15AX",LEFT(K1679,4)="CTAX",LEFT(K1679,2)="W|"),2*N1679*O1679,0)</f>
        <v/>
      </c>
      <c r="Z1679" s="12" t="inlineStr">
        <is>
          <t>VD 0.1 %</t>
        </is>
      </c>
      <c r="AA1679" s="12">
        <f>N1679*O1679</f>
        <v/>
      </c>
    </row>
    <row r="1680">
      <c r="A1680" s="12" t="inlineStr">
        <is>
          <t>A-P-0313</t>
        </is>
      </c>
      <c r="B1680" s="12" t="inlineStr">
        <is>
          <t>A</t>
        </is>
      </c>
      <c r="C1680" s="12" t="inlineStr">
        <is>
          <t>Power block</t>
        </is>
      </c>
      <c r="D1680" s="12" t="inlineStr">
        <is>
          <t>MOV 9: power</t>
        </is>
      </c>
      <c r="E1680" s="12" t="inlineStr">
        <is>
          <t>R2C</t>
        </is>
      </c>
      <c r="F1680" s="12" t="inlineStr">
        <is>
          <t>R2C: unit / HRSG electrical e-house (32 x 40 ft)</t>
        </is>
      </c>
      <c r="G1680" s="12" t="inlineStr">
        <is>
          <t>HRSG-3</t>
        </is>
      </c>
      <c r="H1680" s="12" t="inlineStr">
        <is>
          <t>HRSG 3 + SCR (3P reheat, horizontal)</t>
        </is>
      </c>
      <c r="I1680" s="12" t="inlineStr">
        <is>
          <t>LV 600 V</t>
        </is>
      </c>
      <c r="J1680" s="12" t="inlineStr">
        <is>
          <t>Type TC-ER 600 V 3/C Cu XHHW-2 + ground, PVC jacket</t>
        </is>
      </c>
      <c r="K1680" s="12" t="inlineStr">
        <is>
          <t>LV|3/C+G|10</t>
        </is>
      </c>
      <c r="L1680" s="12" t="inlineStr">
        <is>
          <t>3/C+G</t>
        </is>
      </c>
      <c r="M1680" s="12" t="inlineStr">
        <is>
          <t>10</t>
        </is>
      </c>
      <c r="N1680" s="12" t="n">
        <v>1</v>
      </c>
      <c r="O1680" s="12" t="n">
        <v>1</v>
      </c>
      <c r="P1680" s="12" t="n">
        <v>480</v>
      </c>
      <c r="Q1680" s="12" t="n">
        <v>2.5</v>
      </c>
      <c r="R1680" s="12" t="n">
        <v>3.5</v>
      </c>
      <c r="S1680" s="12" t="inlineStr">
        <is>
          <t>Tray</t>
        </is>
      </c>
      <c r="T1680" s="16" t="n">
        <v>0</v>
      </c>
      <c r="U1680" s="16" t="n">
        <v>87</v>
      </c>
      <c r="V1680" s="16">
        <f>ROUNDUP((T1680+U1680+2*'Read Me'!$B$13)*(1+'Read Me'!$B$12),-1)</f>
        <v/>
      </c>
      <c r="W1680" s="16">
        <f>V1680*N1680*O1680</f>
        <v/>
      </c>
      <c r="X1680" s="12">
        <f>IF(LEFT(I1680,2)="MV",2*N1680*IF(L1680="1/C",O1680,1),0)</f>
        <v/>
      </c>
      <c r="Y1680" s="12">
        <f>IF(OR(LEFT(K1680,4)="LVAX",LEFT(K1680,6)="MV15AX",LEFT(K1680,4)="CTAX",LEFT(K1680,2)="W|"),2*N1680*O1680,0)</f>
        <v/>
      </c>
      <c r="Z1680" s="12" t="inlineStr">
        <is>
          <t>VD 0.1 %</t>
        </is>
      </c>
      <c r="AA1680" s="12">
        <f>N1680*O1680</f>
        <v/>
      </c>
    </row>
    <row r="1681">
      <c r="A1681" s="12" t="inlineStr">
        <is>
          <t>A-P-0314</t>
        </is>
      </c>
      <c r="B1681" s="12" t="inlineStr">
        <is>
          <t>A</t>
        </is>
      </c>
      <c r="C1681" s="12" t="inlineStr">
        <is>
          <t>Power block</t>
        </is>
      </c>
      <c r="D1681" s="12" t="inlineStr">
        <is>
          <t>MOV 10: power</t>
        </is>
      </c>
      <c r="E1681" s="12" t="inlineStr">
        <is>
          <t>R2C</t>
        </is>
      </c>
      <c r="F1681" s="12" t="inlineStr">
        <is>
          <t>R2C: unit / HRSG electrical e-house (32 x 40 ft)</t>
        </is>
      </c>
      <c r="G1681" s="12" t="inlineStr">
        <is>
          <t>HRSG-3</t>
        </is>
      </c>
      <c r="H1681" s="12" t="inlineStr">
        <is>
          <t>HRSG 3 + SCR (3P reheat, horizontal)</t>
        </is>
      </c>
      <c r="I1681" s="12" t="inlineStr">
        <is>
          <t>LV 600 V</t>
        </is>
      </c>
      <c r="J1681" s="12" t="inlineStr">
        <is>
          <t>Type TC-ER 600 V 3/C Cu XHHW-2 + ground, PVC jacket</t>
        </is>
      </c>
      <c r="K1681" s="12" t="inlineStr">
        <is>
          <t>LV|3/C+G|10</t>
        </is>
      </c>
      <c r="L1681" s="12" t="inlineStr">
        <is>
          <t>3/C+G</t>
        </is>
      </c>
      <c r="M1681" s="12" t="inlineStr">
        <is>
          <t>10</t>
        </is>
      </c>
      <c r="N1681" s="12" t="n">
        <v>1</v>
      </c>
      <c r="O1681" s="12" t="n">
        <v>1</v>
      </c>
      <c r="P1681" s="12" t="n">
        <v>480</v>
      </c>
      <c r="Q1681" s="12" t="n">
        <v>2.5</v>
      </c>
      <c r="R1681" s="12" t="n">
        <v>3.5</v>
      </c>
      <c r="S1681" s="12" t="inlineStr">
        <is>
          <t>Tray</t>
        </is>
      </c>
      <c r="T1681" s="16" t="n">
        <v>0</v>
      </c>
      <c r="U1681" s="16" t="n">
        <v>87</v>
      </c>
      <c r="V1681" s="16">
        <f>ROUNDUP((T1681+U1681+2*'Read Me'!$B$13)*(1+'Read Me'!$B$12),-1)</f>
        <v/>
      </c>
      <c r="W1681" s="16">
        <f>V1681*N1681*O1681</f>
        <v/>
      </c>
      <c r="X1681" s="12">
        <f>IF(LEFT(I1681,2)="MV",2*N1681*IF(L1681="1/C",O1681,1),0)</f>
        <v/>
      </c>
      <c r="Y1681" s="12">
        <f>IF(OR(LEFT(K1681,4)="LVAX",LEFT(K1681,6)="MV15AX",LEFT(K1681,4)="CTAX",LEFT(K1681,2)="W|"),2*N1681*O1681,0)</f>
        <v/>
      </c>
      <c r="Z1681" s="12" t="inlineStr">
        <is>
          <t>VD 0.1 %</t>
        </is>
      </c>
      <c r="AA1681" s="12">
        <f>N1681*O1681</f>
        <v/>
      </c>
    </row>
    <row r="1682">
      <c r="A1682" s="12" t="inlineStr">
        <is>
          <t>A-P-0315</t>
        </is>
      </c>
      <c r="B1682" s="12" t="inlineStr">
        <is>
          <t>A</t>
        </is>
      </c>
      <c r="C1682" s="12" t="inlineStr">
        <is>
          <t>Power block</t>
        </is>
      </c>
      <c r="D1682" s="12" t="inlineStr">
        <is>
          <t>MOV 11: power</t>
        </is>
      </c>
      <c r="E1682" s="12" t="inlineStr">
        <is>
          <t>R2C</t>
        </is>
      </c>
      <c r="F1682" s="12" t="inlineStr">
        <is>
          <t>R2C: unit / HRSG electrical e-house (32 x 40 ft)</t>
        </is>
      </c>
      <c r="G1682" s="12" t="inlineStr">
        <is>
          <t>HRSG-3</t>
        </is>
      </c>
      <c r="H1682" s="12" t="inlineStr">
        <is>
          <t>HRSG 3 + SCR (3P reheat, horizontal)</t>
        </is>
      </c>
      <c r="I1682" s="12" t="inlineStr">
        <is>
          <t>LV 600 V</t>
        </is>
      </c>
      <c r="J1682" s="12" t="inlineStr">
        <is>
          <t>Type TC-ER 600 V 3/C Cu XHHW-2 + ground, PVC jacket</t>
        </is>
      </c>
      <c r="K1682" s="12" t="inlineStr">
        <is>
          <t>LV|3/C+G|10</t>
        </is>
      </c>
      <c r="L1682" s="12" t="inlineStr">
        <is>
          <t>3/C+G</t>
        </is>
      </c>
      <c r="M1682" s="12" t="inlineStr">
        <is>
          <t>10</t>
        </is>
      </c>
      <c r="N1682" s="12" t="n">
        <v>1</v>
      </c>
      <c r="O1682" s="12" t="n">
        <v>1</v>
      </c>
      <c r="P1682" s="12" t="n">
        <v>480</v>
      </c>
      <c r="Q1682" s="12" t="n">
        <v>2.5</v>
      </c>
      <c r="R1682" s="12" t="n">
        <v>3.5</v>
      </c>
      <c r="S1682" s="12" t="inlineStr">
        <is>
          <t>Tray</t>
        </is>
      </c>
      <c r="T1682" s="16" t="n">
        <v>0</v>
      </c>
      <c r="U1682" s="16" t="n">
        <v>87</v>
      </c>
      <c r="V1682" s="16">
        <f>ROUNDUP((T1682+U1682+2*'Read Me'!$B$13)*(1+'Read Me'!$B$12),-1)</f>
        <v/>
      </c>
      <c r="W1682" s="16">
        <f>V1682*N1682*O1682</f>
        <v/>
      </c>
      <c r="X1682" s="12">
        <f>IF(LEFT(I1682,2)="MV",2*N1682*IF(L1682="1/C",O1682,1),0)</f>
        <v/>
      </c>
      <c r="Y1682" s="12">
        <f>IF(OR(LEFT(K1682,4)="LVAX",LEFT(K1682,6)="MV15AX",LEFT(K1682,4)="CTAX",LEFT(K1682,2)="W|"),2*N1682*O1682,0)</f>
        <v/>
      </c>
      <c r="Z1682" s="12" t="inlineStr">
        <is>
          <t>VD 0.1 %</t>
        </is>
      </c>
      <c r="AA1682" s="12">
        <f>N1682*O1682</f>
        <v/>
      </c>
    </row>
    <row r="1683">
      <c r="A1683" s="12" t="inlineStr">
        <is>
          <t>A-P-0316</t>
        </is>
      </c>
      <c r="B1683" s="12" t="inlineStr">
        <is>
          <t>A</t>
        </is>
      </c>
      <c r="C1683" s="12" t="inlineStr">
        <is>
          <t>Power block</t>
        </is>
      </c>
      <c r="D1683" s="12" t="inlineStr">
        <is>
          <t>MOV 12: power</t>
        </is>
      </c>
      <c r="E1683" s="12" t="inlineStr">
        <is>
          <t>R2C</t>
        </is>
      </c>
      <c r="F1683" s="12" t="inlineStr">
        <is>
          <t>R2C: unit / HRSG electrical e-house (32 x 40 ft)</t>
        </is>
      </c>
      <c r="G1683" s="12" t="inlineStr">
        <is>
          <t>HRSG-3</t>
        </is>
      </c>
      <c r="H1683" s="12" t="inlineStr">
        <is>
          <t>HRSG 3 + SCR (3P reheat, horizontal)</t>
        </is>
      </c>
      <c r="I1683" s="12" t="inlineStr">
        <is>
          <t>LV 600 V</t>
        </is>
      </c>
      <c r="J1683" s="12" t="inlineStr">
        <is>
          <t>Type TC-ER 600 V 3/C Cu XHHW-2 + ground, PVC jacket</t>
        </is>
      </c>
      <c r="K1683" s="12" t="inlineStr">
        <is>
          <t>LV|3/C+G|10</t>
        </is>
      </c>
      <c r="L1683" s="12" t="inlineStr">
        <is>
          <t>3/C+G</t>
        </is>
      </c>
      <c r="M1683" s="12" t="inlineStr">
        <is>
          <t>10</t>
        </is>
      </c>
      <c r="N1683" s="12" t="n">
        <v>1</v>
      </c>
      <c r="O1683" s="12" t="n">
        <v>1</v>
      </c>
      <c r="P1683" s="12" t="n">
        <v>480</v>
      </c>
      <c r="Q1683" s="12" t="n">
        <v>2.5</v>
      </c>
      <c r="R1683" s="12" t="n">
        <v>3.5</v>
      </c>
      <c r="S1683" s="12" t="inlineStr">
        <is>
          <t>Tray</t>
        </is>
      </c>
      <c r="T1683" s="16" t="n">
        <v>0</v>
      </c>
      <c r="U1683" s="16" t="n">
        <v>87</v>
      </c>
      <c r="V1683" s="16">
        <f>ROUNDUP((T1683+U1683+2*'Read Me'!$B$13)*(1+'Read Me'!$B$12),-1)</f>
        <v/>
      </c>
      <c r="W1683" s="16">
        <f>V1683*N1683*O1683</f>
        <v/>
      </c>
      <c r="X1683" s="12">
        <f>IF(LEFT(I1683,2)="MV",2*N1683*IF(L1683="1/C",O1683,1),0)</f>
        <v/>
      </c>
      <c r="Y1683" s="12">
        <f>IF(OR(LEFT(K1683,4)="LVAX",LEFT(K1683,6)="MV15AX",LEFT(K1683,4)="CTAX",LEFT(K1683,2)="W|"),2*N1683*O1683,0)</f>
        <v/>
      </c>
      <c r="Z1683" s="12" t="inlineStr">
        <is>
          <t>VD 0.1 %</t>
        </is>
      </c>
      <c r="AA1683" s="12">
        <f>N1683*O1683</f>
        <v/>
      </c>
    </row>
    <row r="1684">
      <c r="A1684" s="12" t="inlineStr">
        <is>
          <t>A-P-0317</t>
        </is>
      </c>
      <c r="B1684" s="12" t="inlineStr">
        <is>
          <t>A</t>
        </is>
      </c>
      <c r="C1684" s="12" t="inlineStr">
        <is>
          <t>Power block</t>
        </is>
      </c>
      <c r="D1684" s="12" t="inlineStr">
        <is>
          <t>MOV 13: power</t>
        </is>
      </c>
      <c r="E1684" s="12" t="inlineStr">
        <is>
          <t>R2C</t>
        </is>
      </c>
      <c r="F1684" s="12" t="inlineStr">
        <is>
          <t>R2C: unit / HRSG electrical e-house (32 x 40 ft)</t>
        </is>
      </c>
      <c r="G1684" s="12" t="inlineStr">
        <is>
          <t>HRSG-3</t>
        </is>
      </c>
      <c r="H1684" s="12" t="inlineStr">
        <is>
          <t>HRSG 3 + SCR (3P reheat, horizontal)</t>
        </is>
      </c>
      <c r="I1684" s="12" t="inlineStr">
        <is>
          <t>LV 600 V</t>
        </is>
      </c>
      <c r="J1684" s="12" t="inlineStr">
        <is>
          <t>Type TC-ER 600 V 3/C Cu XHHW-2 + ground, PVC jacket</t>
        </is>
      </c>
      <c r="K1684" s="12" t="inlineStr">
        <is>
          <t>LV|3/C+G|10</t>
        </is>
      </c>
      <c r="L1684" s="12" t="inlineStr">
        <is>
          <t>3/C+G</t>
        </is>
      </c>
      <c r="M1684" s="12" t="inlineStr">
        <is>
          <t>10</t>
        </is>
      </c>
      <c r="N1684" s="12" t="n">
        <v>1</v>
      </c>
      <c r="O1684" s="12" t="n">
        <v>1</v>
      </c>
      <c r="P1684" s="12" t="n">
        <v>480</v>
      </c>
      <c r="Q1684" s="12" t="n">
        <v>2.5</v>
      </c>
      <c r="R1684" s="12" t="n">
        <v>3.5</v>
      </c>
      <c r="S1684" s="12" t="inlineStr">
        <is>
          <t>Tray</t>
        </is>
      </c>
      <c r="T1684" s="16" t="n">
        <v>0</v>
      </c>
      <c r="U1684" s="16" t="n">
        <v>87</v>
      </c>
      <c r="V1684" s="16">
        <f>ROUNDUP((T1684+U1684+2*'Read Me'!$B$13)*(1+'Read Me'!$B$12),-1)</f>
        <v/>
      </c>
      <c r="W1684" s="16">
        <f>V1684*N1684*O1684</f>
        <v/>
      </c>
      <c r="X1684" s="12">
        <f>IF(LEFT(I1684,2)="MV",2*N1684*IF(L1684="1/C",O1684,1),0)</f>
        <v/>
      </c>
      <c r="Y1684" s="12">
        <f>IF(OR(LEFT(K1684,4)="LVAX",LEFT(K1684,6)="MV15AX",LEFT(K1684,4)="CTAX",LEFT(K1684,2)="W|"),2*N1684*O1684,0)</f>
        <v/>
      </c>
      <c r="Z1684" s="12" t="inlineStr">
        <is>
          <t>VD 0.1 %</t>
        </is>
      </c>
      <c r="AA1684" s="12">
        <f>N1684*O1684</f>
        <v/>
      </c>
    </row>
    <row r="1685">
      <c r="A1685" s="12" t="inlineStr">
        <is>
          <t>A-P-0318</t>
        </is>
      </c>
      <c r="B1685" s="12" t="inlineStr">
        <is>
          <t>A</t>
        </is>
      </c>
      <c r="C1685" s="12" t="inlineStr">
        <is>
          <t>Power block</t>
        </is>
      </c>
      <c r="D1685" s="12" t="inlineStr">
        <is>
          <t>MOV 14: power</t>
        </is>
      </c>
      <c r="E1685" s="12" t="inlineStr">
        <is>
          <t>R2C</t>
        </is>
      </c>
      <c r="F1685" s="12" t="inlineStr">
        <is>
          <t>R2C: unit / HRSG electrical e-house (32 x 40 ft)</t>
        </is>
      </c>
      <c r="G1685" s="12" t="inlineStr">
        <is>
          <t>HRSG-3</t>
        </is>
      </c>
      <c r="H1685" s="12" t="inlineStr">
        <is>
          <t>HRSG 3 + SCR (3P reheat, horizontal)</t>
        </is>
      </c>
      <c r="I1685" s="12" t="inlineStr">
        <is>
          <t>LV 600 V</t>
        </is>
      </c>
      <c r="J1685" s="12" t="inlineStr">
        <is>
          <t>Type TC-ER 600 V 3/C Cu XHHW-2 + ground, PVC jacket</t>
        </is>
      </c>
      <c r="K1685" s="12" t="inlineStr">
        <is>
          <t>LV|3/C+G|10</t>
        </is>
      </c>
      <c r="L1685" s="12" t="inlineStr">
        <is>
          <t>3/C+G</t>
        </is>
      </c>
      <c r="M1685" s="12" t="inlineStr">
        <is>
          <t>10</t>
        </is>
      </c>
      <c r="N1685" s="12" t="n">
        <v>1</v>
      </c>
      <c r="O1685" s="12" t="n">
        <v>1</v>
      </c>
      <c r="P1685" s="12" t="n">
        <v>480</v>
      </c>
      <c r="Q1685" s="12" t="n">
        <v>2.5</v>
      </c>
      <c r="R1685" s="12" t="n">
        <v>3.5</v>
      </c>
      <c r="S1685" s="12" t="inlineStr">
        <is>
          <t>Tray</t>
        </is>
      </c>
      <c r="T1685" s="16" t="n">
        <v>0</v>
      </c>
      <c r="U1685" s="16" t="n">
        <v>87</v>
      </c>
      <c r="V1685" s="16">
        <f>ROUNDUP((T1685+U1685+2*'Read Me'!$B$13)*(1+'Read Me'!$B$12),-1)</f>
        <v/>
      </c>
      <c r="W1685" s="16">
        <f>V1685*N1685*O1685</f>
        <v/>
      </c>
      <c r="X1685" s="12">
        <f>IF(LEFT(I1685,2)="MV",2*N1685*IF(L1685="1/C",O1685,1),0)</f>
        <v/>
      </c>
      <c r="Y1685" s="12">
        <f>IF(OR(LEFT(K1685,4)="LVAX",LEFT(K1685,6)="MV15AX",LEFT(K1685,4)="CTAX",LEFT(K1685,2)="W|"),2*N1685*O1685,0)</f>
        <v/>
      </c>
      <c r="Z1685" s="12" t="inlineStr">
        <is>
          <t>VD 0.1 %</t>
        </is>
      </c>
      <c r="AA1685" s="12">
        <f>N1685*O1685</f>
        <v/>
      </c>
    </row>
    <row r="1686">
      <c r="A1686" s="12" t="inlineStr">
        <is>
          <t>A-P-0319</t>
        </is>
      </c>
      <c r="B1686" s="12" t="inlineStr">
        <is>
          <t>A</t>
        </is>
      </c>
      <c r="C1686" s="12" t="inlineStr">
        <is>
          <t>Power block</t>
        </is>
      </c>
      <c r="D1686" s="12" t="inlineStr">
        <is>
          <t>MOV 15: power</t>
        </is>
      </c>
      <c r="E1686" s="12" t="inlineStr">
        <is>
          <t>R2C</t>
        </is>
      </c>
      <c r="F1686" s="12" t="inlineStr">
        <is>
          <t>R2C: unit / HRSG electrical e-house (32 x 40 ft)</t>
        </is>
      </c>
      <c r="G1686" s="12" t="inlineStr">
        <is>
          <t>HRSG-3</t>
        </is>
      </c>
      <c r="H1686" s="12" t="inlineStr">
        <is>
          <t>HRSG 3 + SCR (3P reheat, horizontal)</t>
        </is>
      </c>
      <c r="I1686" s="12" t="inlineStr">
        <is>
          <t>LV 600 V</t>
        </is>
      </c>
      <c r="J1686" s="12" t="inlineStr">
        <is>
          <t>Type TC-ER 600 V 3/C Cu XHHW-2 + ground, PVC jacket</t>
        </is>
      </c>
      <c r="K1686" s="12" t="inlineStr">
        <is>
          <t>LV|3/C+G|10</t>
        </is>
      </c>
      <c r="L1686" s="12" t="inlineStr">
        <is>
          <t>3/C+G</t>
        </is>
      </c>
      <c r="M1686" s="12" t="inlineStr">
        <is>
          <t>10</t>
        </is>
      </c>
      <c r="N1686" s="12" t="n">
        <v>1</v>
      </c>
      <c r="O1686" s="12" t="n">
        <v>1</v>
      </c>
      <c r="P1686" s="12" t="n">
        <v>480</v>
      </c>
      <c r="Q1686" s="12" t="n">
        <v>2.5</v>
      </c>
      <c r="R1686" s="12" t="n">
        <v>3.5</v>
      </c>
      <c r="S1686" s="12" t="inlineStr">
        <is>
          <t>Tray</t>
        </is>
      </c>
      <c r="T1686" s="16" t="n">
        <v>0</v>
      </c>
      <c r="U1686" s="16" t="n">
        <v>87</v>
      </c>
      <c r="V1686" s="16">
        <f>ROUNDUP((T1686+U1686+2*'Read Me'!$B$13)*(1+'Read Me'!$B$12),-1)</f>
        <v/>
      </c>
      <c r="W1686" s="16">
        <f>V1686*N1686*O1686</f>
        <v/>
      </c>
      <c r="X1686" s="12">
        <f>IF(LEFT(I1686,2)="MV",2*N1686*IF(L1686="1/C",O1686,1),0)</f>
        <v/>
      </c>
      <c r="Y1686" s="12">
        <f>IF(OR(LEFT(K1686,4)="LVAX",LEFT(K1686,6)="MV15AX",LEFT(K1686,4)="CTAX",LEFT(K1686,2)="W|"),2*N1686*O1686,0)</f>
        <v/>
      </c>
      <c r="Z1686" s="12" t="inlineStr">
        <is>
          <t>VD 0.1 %</t>
        </is>
      </c>
      <c r="AA1686" s="12">
        <f>N1686*O1686</f>
        <v/>
      </c>
    </row>
    <row r="1687">
      <c r="A1687" s="12" t="inlineStr">
        <is>
          <t>A-P-0320</t>
        </is>
      </c>
      <c r="B1687" s="12" t="inlineStr">
        <is>
          <t>A</t>
        </is>
      </c>
      <c r="C1687" s="12" t="inlineStr">
        <is>
          <t>Power block</t>
        </is>
      </c>
      <c r="D1687" s="12" t="inlineStr">
        <is>
          <t>MOV 16: power</t>
        </is>
      </c>
      <c r="E1687" s="12" t="inlineStr">
        <is>
          <t>R2C</t>
        </is>
      </c>
      <c r="F1687" s="12" t="inlineStr">
        <is>
          <t>R2C: unit / HRSG electrical e-house (32 x 40 ft)</t>
        </is>
      </c>
      <c r="G1687" s="12" t="inlineStr">
        <is>
          <t>HRSG-3</t>
        </is>
      </c>
      <c r="H1687" s="12" t="inlineStr">
        <is>
          <t>HRSG 3 + SCR (3P reheat, horizontal)</t>
        </is>
      </c>
      <c r="I1687" s="12" t="inlineStr">
        <is>
          <t>LV 600 V</t>
        </is>
      </c>
      <c r="J1687" s="12" t="inlineStr">
        <is>
          <t>Type TC-ER 600 V 3/C Cu XHHW-2 + ground, PVC jacket</t>
        </is>
      </c>
      <c r="K1687" s="12" t="inlineStr">
        <is>
          <t>LV|3/C+G|10</t>
        </is>
      </c>
      <c r="L1687" s="12" t="inlineStr">
        <is>
          <t>3/C+G</t>
        </is>
      </c>
      <c r="M1687" s="12" t="inlineStr">
        <is>
          <t>10</t>
        </is>
      </c>
      <c r="N1687" s="12" t="n">
        <v>1</v>
      </c>
      <c r="O1687" s="12" t="n">
        <v>1</v>
      </c>
      <c r="P1687" s="12" t="n">
        <v>480</v>
      </c>
      <c r="Q1687" s="12" t="n">
        <v>2.5</v>
      </c>
      <c r="R1687" s="12" t="n">
        <v>3.5</v>
      </c>
      <c r="S1687" s="12" t="inlineStr">
        <is>
          <t>Tray</t>
        </is>
      </c>
      <c r="T1687" s="16" t="n">
        <v>0</v>
      </c>
      <c r="U1687" s="16" t="n">
        <v>87</v>
      </c>
      <c r="V1687" s="16">
        <f>ROUNDUP((T1687+U1687+2*'Read Me'!$B$13)*(1+'Read Me'!$B$12),-1)</f>
        <v/>
      </c>
      <c r="W1687" s="16">
        <f>V1687*N1687*O1687</f>
        <v/>
      </c>
      <c r="X1687" s="12">
        <f>IF(LEFT(I1687,2)="MV",2*N1687*IF(L1687="1/C",O1687,1),0)</f>
        <v/>
      </c>
      <c r="Y1687" s="12">
        <f>IF(OR(LEFT(K1687,4)="LVAX",LEFT(K1687,6)="MV15AX",LEFT(K1687,4)="CTAX",LEFT(K1687,2)="W|"),2*N1687*O1687,0)</f>
        <v/>
      </c>
      <c r="Z1687" s="12" t="inlineStr">
        <is>
          <t>VD 0.1 %</t>
        </is>
      </c>
      <c r="AA1687" s="12">
        <f>N1687*O1687</f>
        <v/>
      </c>
    </row>
    <row r="1688">
      <c r="A1688" s="12" t="inlineStr">
        <is>
          <t>A-P-0321</t>
        </is>
      </c>
      <c r="B1688" s="12" t="inlineStr">
        <is>
          <t>A</t>
        </is>
      </c>
      <c r="C1688" s="12" t="inlineStr">
        <is>
          <t>Power block</t>
        </is>
      </c>
      <c r="D1688" s="12" t="inlineStr">
        <is>
          <t>MOV 17: power</t>
        </is>
      </c>
      <c r="E1688" s="12" t="inlineStr">
        <is>
          <t>R2C</t>
        </is>
      </c>
      <c r="F1688" s="12" t="inlineStr">
        <is>
          <t>R2C: unit / HRSG electrical e-house (32 x 40 ft)</t>
        </is>
      </c>
      <c r="G1688" s="12" t="inlineStr">
        <is>
          <t>HRSG-3</t>
        </is>
      </c>
      <c r="H1688" s="12" t="inlineStr">
        <is>
          <t>HRSG 3 + SCR (3P reheat, horizontal)</t>
        </is>
      </c>
      <c r="I1688" s="12" t="inlineStr">
        <is>
          <t>LV 600 V</t>
        </is>
      </c>
      <c r="J1688" s="12" t="inlineStr">
        <is>
          <t>Type TC-ER 600 V 3/C Cu XHHW-2 + ground, PVC jacket</t>
        </is>
      </c>
      <c r="K1688" s="12" t="inlineStr">
        <is>
          <t>LV|3/C+G|10</t>
        </is>
      </c>
      <c r="L1688" s="12" t="inlineStr">
        <is>
          <t>3/C+G</t>
        </is>
      </c>
      <c r="M1688" s="12" t="inlineStr">
        <is>
          <t>10</t>
        </is>
      </c>
      <c r="N1688" s="12" t="n">
        <v>1</v>
      </c>
      <c r="O1688" s="12" t="n">
        <v>1</v>
      </c>
      <c r="P1688" s="12" t="n">
        <v>480</v>
      </c>
      <c r="Q1688" s="12" t="n">
        <v>2.5</v>
      </c>
      <c r="R1688" s="12" t="n">
        <v>3.5</v>
      </c>
      <c r="S1688" s="12" t="inlineStr">
        <is>
          <t>Tray</t>
        </is>
      </c>
      <c r="T1688" s="16" t="n">
        <v>0</v>
      </c>
      <c r="U1688" s="16" t="n">
        <v>87</v>
      </c>
      <c r="V1688" s="16">
        <f>ROUNDUP((T1688+U1688+2*'Read Me'!$B$13)*(1+'Read Me'!$B$12),-1)</f>
        <v/>
      </c>
      <c r="W1688" s="16">
        <f>V1688*N1688*O1688</f>
        <v/>
      </c>
      <c r="X1688" s="12">
        <f>IF(LEFT(I1688,2)="MV",2*N1688*IF(L1688="1/C",O1688,1),0)</f>
        <v/>
      </c>
      <c r="Y1688" s="12">
        <f>IF(OR(LEFT(K1688,4)="LVAX",LEFT(K1688,6)="MV15AX",LEFT(K1688,4)="CTAX",LEFT(K1688,2)="W|"),2*N1688*O1688,0)</f>
        <v/>
      </c>
      <c r="Z1688" s="12" t="inlineStr">
        <is>
          <t>VD 0.1 %</t>
        </is>
      </c>
      <c r="AA1688" s="12">
        <f>N1688*O1688</f>
        <v/>
      </c>
    </row>
    <row r="1689">
      <c r="A1689" s="12" t="inlineStr">
        <is>
          <t>A-P-0322</t>
        </is>
      </c>
      <c r="B1689" s="12" t="inlineStr">
        <is>
          <t>A</t>
        </is>
      </c>
      <c r="C1689" s="12" t="inlineStr">
        <is>
          <t>Power block</t>
        </is>
      </c>
      <c r="D1689" s="12" t="inlineStr">
        <is>
          <t>MOV 18: power</t>
        </is>
      </c>
      <c r="E1689" s="12" t="inlineStr">
        <is>
          <t>R2C</t>
        </is>
      </c>
      <c r="F1689" s="12" t="inlineStr">
        <is>
          <t>R2C: unit / HRSG electrical e-house (32 x 40 ft)</t>
        </is>
      </c>
      <c r="G1689" s="12" t="inlineStr">
        <is>
          <t>HRSG-3</t>
        </is>
      </c>
      <c r="H1689" s="12" t="inlineStr">
        <is>
          <t>HRSG 3 + SCR (3P reheat, horizontal)</t>
        </is>
      </c>
      <c r="I1689" s="12" t="inlineStr">
        <is>
          <t>LV 600 V</t>
        </is>
      </c>
      <c r="J1689" s="12" t="inlineStr">
        <is>
          <t>Type TC-ER 600 V 3/C Cu XHHW-2 + ground, PVC jacket</t>
        </is>
      </c>
      <c r="K1689" s="12" t="inlineStr">
        <is>
          <t>LV|3/C+G|10</t>
        </is>
      </c>
      <c r="L1689" s="12" t="inlineStr">
        <is>
          <t>3/C+G</t>
        </is>
      </c>
      <c r="M1689" s="12" t="inlineStr">
        <is>
          <t>10</t>
        </is>
      </c>
      <c r="N1689" s="12" t="n">
        <v>1</v>
      </c>
      <c r="O1689" s="12" t="n">
        <v>1</v>
      </c>
      <c r="P1689" s="12" t="n">
        <v>480</v>
      </c>
      <c r="Q1689" s="12" t="n">
        <v>2.5</v>
      </c>
      <c r="R1689" s="12" t="n">
        <v>3.5</v>
      </c>
      <c r="S1689" s="12" t="inlineStr">
        <is>
          <t>Tray</t>
        </is>
      </c>
      <c r="T1689" s="16" t="n">
        <v>0</v>
      </c>
      <c r="U1689" s="16" t="n">
        <v>87</v>
      </c>
      <c r="V1689" s="16">
        <f>ROUNDUP((T1689+U1689+2*'Read Me'!$B$13)*(1+'Read Me'!$B$12),-1)</f>
        <v/>
      </c>
      <c r="W1689" s="16">
        <f>V1689*N1689*O1689</f>
        <v/>
      </c>
      <c r="X1689" s="12">
        <f>IF(LEFT(I1689,2)="MV",2*N1689*IF(L1689="1/C",O1689,1),0)</f>
        <v/>
      </c>
      <c r="Y1689" s="12">
        <f>IF(OR(LEFT(K1689,4)="LVAX",LEFT(K1689,6)="MV15AX",LEFT(K1689,4)="CTAX",LEFT(K1689,2)="W|"),2*N1689*O1689,0)</f>
        <v/>
      </c>
      <c r="Z1689" s="12" t="inlineStr">
        <is>
          <t>VD 0.1 %</t>
        </is>
      </c>
      <c r="AA1689" s="12">
        <f>N1689*O1689</f>
        <v/>
      </c>
    </row>
    <row r="1690">
      <c r="A1690" s="12" t="inlineStr">
        <is>
          <t>A-P-0323</t>
        </is>
      </c>
      <c r="B1690" s="12" t="inlineStr">
        <is>
          <t>A</t>
        </is>
      </c>
      <c r="C1690" s="12" t="inlineStr">
        <is>
          <t>Power block</t>
        </is>
      </c>
      <c r="D1690" s="12" t="inlineStr">
        <is>
          <t>MOV 19: power</t>
        </is>
      </c>
      <c r="E1690" s="12" t="inlineStr">
        <is>
          <t>R2C</t>
        </is>
      </c>
      <c r="F1690" s="12" t="inlineStr">
        <is>
          <t>R2C: unit / HRSG electrical e-house (32 x 40 ft)</t>
        </is>
      </c>
      <c r="G1690" s="12" t="inlineStr">
        <is>
          <t>HRSG-3</t>
        </is>
      </c>
      <c r="H1690" s="12" t="inlineStr">
        <is>
          <t>HRSG 3 + SCR (3P reheat, horizontal)</t>
        </is>
      </c>
      <c r="I1690" s="12" t="inlineStr">
        <is>
          <t>LV 600 V</t>
        </is>
      </c>
      <c r="J1690" s="12" t="inlineStr">
        <is>
          <t>Type TC-ER 600 V 3/C Cu XHHW-2 + ground, PVC jacket</t>
        </is>
      </c>
      <c r="K1690" s="12" t="inlineStr">
        <is>
          <t>LV|3/C+G|10</t>
        </is>
      </c>
      <c r="L1690" s="12" t="inlineStr">
        <is>
          <t>3/C+G</t>
        </is>
      </c>
      <c r="M1690" s="12" t="inlineStr">
        <is>
          <t>10</t>
        </is>
      </c>
      <c r="N1690" s="12" t="n">
        <v>1</v>
      </c>
      <c r="O1690" s="12" t="n">
        <v>1</v>
      </c>
      <c r="P1690" s="12" t="n">
        <v>480</v>
      </c>
      <c r="Q1690" s="12" t="n">
        <v>2.5</v>
      </c>
      <c r="R1690" s="12" t="n">
        <v>3.5</v>
      </c>
      <c r="S1690" s="12" t="inlineStr">
        <is>
          <t>Tray</t>
        </is>
      </c>
      <c r="T1690" s="16" t="n">
        <v>0</v>
      </c>
      <c r="U1690" s="16" t="n">
        <v>87</v>
      </c>
      <c r="V1690" s="16">
        <f>ROUNDUP((T1690+U1690+2*'Read Me'!$B$13)*(1+'Read Me'!$B$12),-1)</f>
        <v/>
      </c>
      <c r="W1690" s="16">
        <f>V1690*N1690*O1690</f>
        <v/>
      </c>
      <c r="X1690" s="12">
        <f>IF(LEFT(I1690,2)="MV",2*N1690*IF(L1690="1/C",O1690,1),0)</f>
        <v/>
      </c>
      <c r="Y1690" s="12">
        <f>IF(OR(LEFT(K1690,4)="LVAX",LEFT(K1690,6)="MV15AX",LEFT(K1690,4)="CTAX",LEFT(K1690,2)="W|"),2*N1690*O1690,0)</f>
        <v/>
      </c>
      <c r="Z1690" s="12" t="inlineStr">
        <is>
          <t>VD 0.1 %</t>
        </is>
      </c>
      <c r="AA1690" s="12">
        <f>N1690*O1690</f>
        <v/>
      </c>
    </row>
    <row r="1691">
      <c r="A1691" s="12" t="inlineStr">
        <is>
          <t>A-P-0324</t>
        </is>
      </c>
      <c r="B1691" s="12" t="inlineStr">
        <is>
          <t>A</t>
        </is>
      </c>
      <c r="C1691" s="12" t="inlineStr">
        <is>
          <t>Power block</t>
        </is>
      </c>
      <c r="D1691" s="12" t="inlineStr">
        <is>
          <t>MOV 20: power</t>
        </is>
      </c>
      <c r="E1691" s="12" t="inlineStr">
        <is>
          <t>R2C</t>
        </is>
      </c>
      <c r="F1691" s="12" t="inlineStr">
        <is>
          <t>R2C: unit / HRSG electrical e-house (32 x 40 ft)</t>
        </is>
      </c>
      <c r="G1691" s="12" t="inlineStr">
        <is>
          <t>HRSG-3</t>
        </is>
      </c>
      <c r="H1691" s="12" t="inlineStr">
        <is>
          <t>HRSG 3 + SCR (3P reheat, horizontal)</t>
        </is>
      </c>
      <c r="I1691" s="12" t="inlineStr">
        <is>
          <t>LV 600 V</t>
        </is>
      </c>
      <c r="J1691" s="12" t="inlineStr">
        <is>
          <t>Type TC-ER 600 V 3/C Cu XHHW-2 + ground, PVC jacket</t>
        </is>
      </c>
      <c r="K1691" s="12" t="inlineStr">
        <is>
          <t>LV|3/C+G|10</t>
        </is>
      </c>
      <c r="L1691" s="12" t="inlineStr">
        <is>
          <t>3/C+G</t>
        </is>
      </c>
      <c r="M1691" s="12" t="inlineStr">
        <is>
          <t>10</t>
        </is>
      </c>
      <c r="N1691" s="12" t="n">
        <v>1</v>
      </c>
      <c r="O1691" s="12" t="n">
        <v>1</v>
      </c>
      <c r="P1691" s="12" t="n">
        <v>480</v>
      </c>
      <c r="Q1691" s="12" t="n">
        <v>2.5</v>
      </c>
      <c r="R1691" s="12" t="n">
        <v>3.5</v>
      </c>
      <c r="S1691" s="12" t="inlineStr">
        <is>
          <t>Tray</t>
        </is>
      </c>
      <c r="T1691" s="16" t="n">
        <v>0</v>
      </c>
      <c r="U1691" s="16" t="n">
        <v>87</v>
      </c>
      <c r="V1691" s="16">
        <f>ROUNDUP((T1691+U1691+2*'Read Me'!$B$13)*(1+'Read Me'!$B$12),-1)</f>
        <v/>
      </c>
      <c r="W1691" s="16">
        <f>V1691*N1691*O1691</f>
        <v/>
      </c>
      <c r="X1691" s="12">
        <f>IF(LEFT(I1691,2)="MV",2*N1691*IF(L1691="1/C",O1691,1),0)</f>
        <v/>
      </c>
      <c r="Y1691" s="12">
        <f>IF(OR(LEFT(K1691,4)="LVAX",LEFT(K1691,6)="MV15AX",LEFT(K1691,4)="CTAX",LEFT(K1691,2)="W|"),2*N1691*O1691,0)</f>
        <v/>
      </c>
      <c r="Z1691" s="12" t="inlineStr">
        <is>
          <t>VD 0.1 %</t>
        </is>
      </c>
      <c r="AA1691" s="12">
        <f>N1691*O1691</f>
        <v/>
      </c>
    </row>
    <row r="1692">
      <c r="A1692" s="12" t="inlineStr">
        <is>
          <t>A-P-0325</t>
        </is>
      </c>
      <c r="B1692" s="12" t="inlineStr">
        <is>
          <t>A</t>
        </is>
      </c>
      <c r="C1692" s="12" t="inlineStr">
        <is>
          <t>Power block</t>
        </is>
      </c>
      <c r="D1692" s="12" t="inlineStr">
        <is>
          <t>MOV 21: power</t>
        </is>
      </c>
      <c r="E1692" s="12" t="inlineStr">
        <is>
          <t>R2C</t>
        </is>
      </c>
      <c r="F1692" s="12" t="inlineStr">
        <is>
          <t>R2C: unit / HRSG electrical e-house (32 x 40 ft)</t>
        </is>
      </c>
      <c r="G1692" s="12" t="inlineStr">
        <is>
          <t>HRSG-3</t>
        </is>
      </c>
      <c r="H1692" s="12" t="inlineStr">
        <is>
          <t>HRSG 3 + SCR (3P reheat, horizontal)</t>
        </is>
      </c>
      <c r="I1692" s="12" t="inlineStr">
        <is>
          <t>LV 600 V</t>
        </is>
      </c>
      <c r="J1692" s="12" t="inlineStr">
        <is>
          <t>Type TC-ER 600 V 3/C Cu XHHW-2 + ground, PVC jacket</t>
        </is>
      </c>
      <c r="K1692" s="12" t="inlineStr">
        <is>
          <t>LV|3/C+G|10</t>
        </is>
      </c>
      <c r="L1692" s="12" t="inlineStr">
        <is>
          <t>3/C+G</t>
        </is>
      </c>
      <c r="M1692" s="12" t="inlineStr">
        <is>
          <t>10</t>
        </is>
      </c>
      <c r="N1692" s="12" t="n">
        <v>1</v>
      </c>
      <c r="O1692" s="12" t="n">
        <v>1</v>
      </c>
      <c r="P1692" s="12" t="n">
        <v>480</v>
      </c>
      <c r="Q1692" s="12" t="n">
        <v>2.5</v>
      </c>
      <c r="R1692" s="12" t="n">
        <v>3.5</v>
      </c>
      <c r="S1692" s="12" t="inlineStr">
        <is>
          <t>Tray</t>
        </is>
      </c>
      <c r="T1692" s="16" t="n">
        <v>0</v>
      </c>
      <c r="U1692" s="16" t="n">
        <v>87</v>
      </c>
      <c r="V1692" s="16">
        <f>ROUNDUP((T1692+U1692+2*'Read Me'!$B$13)*(1+'Read Me'!$B$12),-1)</f>
        <v/>
      </c>
      <c r="W1692" s="16">
        <f>V1692*N1692*O1692</f>
        <v/>
      </c>
      <c r="X1692" s="12">
        <f>IF(LEFT(I1692,2)="MV",2*N1692*IF(L1692="1/C",O1692,1),0)</f>
        <v/>
      </c>
      <c r="Y1692" s="12">
        <f>IF(OR(LEFT(K1692,4)="LVAX",LEFT(K1692,6)="MV15AX",LEFT(K1692,4)="CTAX",LEFT(K1692,2)="W|"),2*N1692*O1692,0)</f>
        <v/>
      </c>
      <c r="Z1692" s="12" t="inlineStr">
        <is>
          <t>VD 0.1 %</t>
        </is>
      </c>
      <c r="AA1692" s="12">
        <f>N1692*O1692</f>
        <v/>
      </c>
    </row>
    <row r="1693">
      <c r="A1693" s="12" t="inlineStr">
        <is>
          <t>A-P-0326</t>
        </is>
      </c>
      <c r="B1693" s="12" t="inlineStr">
        <is>
          <t>A</t>
        </is>
      </c>
      <c r="C1693" s="12" t="inlineStr">
        <is>
          <t>Power block</t>
        </is>
      </c>
      <c r="D1693" s="12" t="inlineStr">
        <is>
          <t>MOV 22: power</t>
        </is>
      </c>
      <c r="E1693" s="12" t="inlineStr">
        <is>
          <t>R2C</t>
        </is>
      </c>
      <c r="F1693" s="12" t="inlineStr">
        <is>
          <t>R2C: unit / HRSG electrical e-house (32 x 40 ft)</t>
        </is>
      </c>
      <c r="G1693" s="12" t="inlineStr">
        <is>
          <t>HRSG-3</t>
        </is>
      </c>
      <c r="H1693" s="12" t="inlineStr">
        <is>
          <t>HRSG 3 + SCR (3P reheat, horizontal)</t>
        </is>
      </c>
      <c r="I1693" s="12" t="inlineStr">
        <is>
          <t>LV 600 V</t>
        </is>
      </c>
      <c r="J1693" s="12" t="inlineStr">
        <is>
          <t>Type TC-ER 600 V 3/C Cu XHHW-2 + ground, PVC jacket</t>
        </is>
      </c>
      <c r="K1693" s="12" t="inlineStr">
        <is>
          <t>LV|3/C+G|10</t>
        </is>
      </c>
      <c r="L1693" s="12" t="inlineStr">
        <is>
          <t>3/C+G</t>
        </is>
      </c>
      <c r="M1693" s="12" t="inlineStr">
        <is>
          <t>10</t>
        </is>
      </c>
      <c r="N1693" s="12" t="n">
        <v>1</v>
      </c>
      <c r="O1693" s="12" t="n">
        <v>1</v>
      </c>
      <c r="P1693" s="12" t="n">
        <v>480</v>
      </c>
      <c r="Q1693" s="12" t="n">
        <v>2.5</v>
      </c>
      <c r="R1693" s="12" t="n">
        <v>3.5</v>
      </c>
      <c r="S1693" s="12" t="inlineStr">
        <is>
          <t>Tray</t>
        </is>
      </c>
      <c r="T1693" s="16" t="n">
        <v>0</v>
      </c>
      <c r="U1693" s="16" t="n">
        <v>87</v>
      </c>
      <c r="V1693" s="16">
        <f>ROUNDUP((T1693+U1693+2*'Read Me'!$B$13)*(1+'Read Me'!$B$12),-1)</f>
        <v/>
      </c>
      <c r="W1693" s="16">
        <f>V1693*N1693*O1693</f>
        <v/>
      </c>
      <c r="X1693" s="12">
        <f>IF(LEFT(I1693,2)="MV",2*N1693*IF(L1693="1/C",O1693,1),0)</f>
        <v/>
      </c>
      <c r="Y1693" s="12">
        <f>IF(OR(LEFT(K1693,4)="LVAX",LEFT(K1693,6)="MV15AX",LEFT(K1693,4)="CTAX",LEFT(K1693,2)="W|"),2*N1693*O1693,0)</f>
        <v/>
      </c>
      <c r="Z1693" s="12" t="inlineStr">
        <is>
          <t>VD 0.1 %</t>
        </is>
      </c>
      <c r="AA1693" s="12">
        <f>N1693*O1693</f>
        <v/>
      </c>
    </row>
    <row r="1694">
      <c r="A1694" s="12" t="inlineStr">
        <is>
          <t>A-P-0327</t>
        </is>
      </c>
      <c r="B1694" s="12" t="inlineStr">
        <is>
          <t>A</t>
        </is>
      </c>
      <c r="C1694" s="12" t="inlineStr">
        <is>
          <t>Power block</t>
        </is>
      </c>
      <c r="D1694" s="12" t="inlineStr">
        <is>
          <t>MOV 23: power</t>
        </is>
      </c>
      <c r="E1694" s="12" t="inlineStr">
        <is>
          <t>R2C</t>
        </is>
      </c>
      <c r="F1694" s="12" t="inlineStr">
        <is>
          <t>R2C: unit / HRSG electrical e-house (32 x 40 ft)</t>
        </is>
      </c>
      <c r="G1694" s="12" t="inlineStr">
        <is>
          <t>HRSG-3</t>
        </is>
      </c>
      <c r="H1694" s="12" t="inlineStr">
        <is>
          <t>HRSG 3 + SCR (3P reheat, horizontal)</t>
        </is>
      </c>
      <c r="I1694" s="12" t="inlineStr">
        <is>
          <t>LV 600 V</t>
        </is>
      </c>
      <c r="J1694" s="12" t="inlineStr">
        <is>
          <t>Type TC-ER 600 V 3/C Cu XHHW-2 + ground, PVC jacket</t>
        </is>
      </c>
      <c r="K1694" s="12" t="inlineStr">
        <is>
          <t>LV|3/C+G|10</t>
        </is>
      </c>
      <c r="L1694" s="12" t="inlineStr">
        <is>
          <t>3/C+G</t>
        </is>
      </c>
      <c r="M1694" s="12" t="inlineStr">
        <is>
          <t>10</t>
        </is>
      </c>
      <c r="N1694" s="12" t="n">
        <v>1</v>
      </c>
      <c r="O1694" s="12" t="n">
        <v>1</v>
      </c>
      <c r="P1694" s="12" t="n">
        <v>480</v>
      </c>
      <c r="Q1694" s="12" t="n">
        <v>2.5</v>
      </c>
      <c r="R1694" s="12" t="n">
        <v>3.5</v>
      </c>
      <c r="S1694" s="12" t="inlineStr">
        <is>
          <t>Tray</t>
        </is>
      </c>
      <c r="T1694" s="16" t="n">
        <v>0</v>
      </c>
      <c r="U1694" s="16" t="n">
        <v>87</v>
      </c>
      <c r="V1694" s="16">
        <f>ROUNDUP((T1694+U1694+2*'Read Me'!$B$13)*(1+'Read Me'!$B$12),-1)</f>
        <v/>
      </c>
      <c r="W1694" s="16">
        <f>V1694*N1694*O1694</f>
        <v/>
      </c>
      <c r="X1694" s="12">
        <f>IF(LEFT(I1694,2)="MV",2*N1694*IF(L1694="1/C",O1694,1),0)</f>
        <v/>
      </c>
      <c r="Y1694" s="12">
        <f>IF(OR(LEFT(K1694,4)="LVAX",LEFT(K1694,6)="MV15AX",LEFT(K1694,4)="CTAX",LEFT(K1694,2)="W|"),2*N1694*O1694,0)</f>
        <v/>
      </c>
      <c r="Z1694" s="12" t="inlineStr">
        <is>
          <t>VD 0.1 %</t>
        </is>
      </c>
      <c r="AA1694" s="12">
        <f>N1694*O1694</f>
        <v/>
      </c>
    </row>
    <row r="1695">
      <c r="A1695" s="12" t="inlineStr">
        <is>
          <t>A-P-0328</t>
        </is>
      </c>
      <c r="B1695" s="12" t="inlineStr">
        <is>
          <t>A</t>
        </is>
      </c>
      <c r="C1695" s="12" t="inlineStr">
        <is>
          <t>Power block</t>
        </is>
      </c>
      <c r="D1695" s="12" t="inlineStr">
        <is>
          <t>MOV 24: power</t>
        </is>
      </c>
      <c r="E1695" s="12" t="inlineStr">
        <is>
          <t>R2C</t>
        </is>
      </c>
      <c r="F1695" s="12" t="inlineStr">
        <is>
          <t>R2C: unit / HRSG electrical e-house (32 x 40 ft)</t>
        </is>
      </c>
      <c r="G1695" s="12" t="inlineStr">
        <is>
          <t>HRSG-3</t>
        </is>
      </c>
      <c r="H1695" s="12" t="inlineStr">
        <is>
          <t>HRSG 3 + SCR (3P reheat, horizontal)</t>
        </is>
      </c>
      <c r="I1695" s="12" t="inlineStr">
        <is>
          <t>LV 600 V</t>
        </is>
      </c>
      <c r="J1695" s="12" t="inlineStr">
        <is>
          <t>Type TC-ER 600 V 3/C Cu XHHW-2 + ground, PVC jacket</t>
        </is>
      </c>
      <c r="K1695" s="12" t="inlineStr">
        <is>
          <t>LV|3/C+G|10</t>
        </is>
      </c>
      <c r="L1695" s="12" t="inlineStr">
        <is>
          <t>3/C+G</t>
        </is>
      </c>
      <c r="M1695" s="12" t="inlineStr">
        <is>
          <t>10</t>
        </is>
      </c>
      <c r="N1695" s="12" t="n">
        <v>1</v>
      </c>
      <c r="O1695" s="12" t="n">
        <v>1</v>
      </c>
      <c r="P1695" s="12" t="n">
        <v>480</v>
      </c>
      <c r="Q1695" s="12" t="n">
        <v>2.5</v>
      </c>
      <c r="R1695" s="12" t="n">
        <v>3.5</v>
      </c>
      <c r="S1695" s="12" t="inlineStr">
        <is>
          <t>Tray</t>
        </is>
      </c>
      <c r="T1695" s="16" t="n">
        <v>0</v>
      </c>
      <c r="U1695" s="16" t="n">
        <v>87</v>
      </c>
      <c r="V1695" s="16">
        <f>ROUNDUP((T1695+U1695+2*'Read Me'!$B$13)*(1+'Read Me'!$B$12),-1)</f>
        <v/>
      </c>
      <c r="W1695" s="16">
        <f>V1695*N1695*O1695</f>
        <v/>
      </c>
      <c r="X1695" s="12">
        <f>IF(LEFT(I1695,2)="MV",2*N1695*IF(L1695="1/C",O1695,1),0)</f>
        <v/>
      </c>
      <c r="Y1695" s="12">
        <f>IF(OR(LEFT(K1695,4)="LVAX",LEFT(K1695,6)="MV15AX",LEFT(K1695,4)="CTAX",LEFT(K1695,2)="W|"),2*N1695*O1695,0)</f>
        <v/>
      </c>
      <c r="Z1695" s="12" t="inlineStr">
        <is>
          <t>VD 0.1 %</t>
        </is>
      </c>
      <c r="AA1695" s="12">
        <f>N1695*O1695</f>
        <v/>
      </c>
    </row>
    <row r="1696">
      <c r="A1696" s="12" t="inlineStr">
        <is>
          <t>A-P-0329</t>
        </is>
      </c>
      <c r="B1696" s="12" t="inlineStr">
        <is>
          <t>A</t>
        </is>
      </c>
      <c r="C1696" s="12" t="inlineStr">
        <is>
          <t>Power block</t>
        </is>
      </c>
      <c r="D1696" s="12" t="inlineStr">
        <is>
          <t>MOV 25: power</t>
        </is>
      </c>
      <c r="E1696" s="12" t="inlineStr">
        <is>
          <t>R2C</t>
        </is>
      </c>
      <c r="F1696" s="12" t="inlineStr">
        <is>
          <t>R2C: unit / HRSG electrical e-house (32 x 40 ft)</t>
        </is>
      </c>
      <c r="G1696" s="12" t="inlineStr">
        <is>
          <t>HRSG-3</t>
        </is>
      </c>
      <c r="H1696" s="12" t="inlineStr">
        <is>
          <t>HRSG 3 + SCR (3P reheat, horizontal)</t>
        </is>
      </c>
      <c r="I1696" s="12" t="inlineStr">
        <is>
          <t>LV 600 V</t>
        </is>
      </c>
      <c r="J1696" s="12" t="inlineStr">
        <is>
          <t>Type TC-ER 600 V 3/C Cu XHHW-2 + ground, PVC jacket</t>
        </is>
      </c>
      <c r="K1696" s="12" t="inlineStr">
        <is>
          <t>LV|3/C+G|10</t>
        </is>
      </c>
      <c r="L1696" s="12" t="inlineStr">
        <is>
          <t>3/C+G</t>
        </is>
      </c>
      <c r="M1696" s="12" t="inlineStr">
        <is>
          <t>10</t>
        </is>
      </c>
      <c r="N1696" s="12" t="n">
        <v>1</v>
      </c>
      <c r="O1696" s="12" t="n">
        <v>1</v>
      </c>
      <c r="P1696" s="12" t="n">
        <v>480</v>
      </c>
      <c r="Q1696" s="12" t="n">
        <v>2.5</v>
      </c>
      <c r="R1696" s="12" t="n">
        <v>3.5</v>
      </c>
      <c r="S1696" s="12" t="inlineStr">
        <is>
          <t>Tray</t>
        </is>
      </c>
      <c r="T1696" s="16" t="n">
        <v>0</v>
      </c>
      <c r="U1696" s="16" t="n">
        <v>87</v>
      </c>
      <c r="V1696" s="16">
        <f>ROUNDUP((T1696+U1696+2*'Read Me'!$B$13)*(1+'Read Me'!$B$12),-1)</f>
        <v/>
      </c>
      <c r="W1696" s="16">
        <f>V1696*N1696*O1696</f>
        <v/>
      </c>
      <c r="X1696" s="12">
        <f>IF(LEFT(I1696,2)="MV",2*N1696*IF(L1696="1/C",O1696,1),0)</f>
        <v/>
      </c>
      <c r="Y1696" s="12">
        <f>IF(OR(LEFT(K1696,4)="LVAX",LEFT(K1696,6)="MV15AX",LEFT(K1696,4)="CTAX",LEFT(K1696,2)="W|"),2*N1696*O1696,0)</f>
        <v/>
      </c>
      <c r="Z1696" s="12" t="inlineStr">
        <is>
          <t>VD 0.1 %</t>
        </is>
      </c>
      <c r="AA1696" s="12">
        <f>N1696*O1696</f>
        <v/>
      </c>
    </row>
    <row r="1697">
      <c r="A1697" s="12" t="inlineStr">
        <is>
          <t>A-P-0330</t>
        </is>
      </c>
      <c r="B1697" s="12" t="inlineStr">
        <is>
          <t>A</t>
        </is>
      </c>
      <c r="C1697" s="12" t="inlineStr">
        <is>
          <t>Power block</t>
        </is>
      </c>
      <c r="D1697" s="12" t="inlineStr">
        <is>
          <t>MOV 26: power</t>
        </is>
      </c>
      <c r="E1697" s="12" t="inlineStr">
        <is>
          <t>R2C</t>
        </is>
      </c>
      <c r="F1697" s="12" t="inlineStr">
        <is>
          <t>R2C: unit / HRSG electrical e-house (32 x 40 ft)</t>
        </is>
      </c>
      <c r="G1697" s="12" t="inlineStr">
        <is>
          <t>HRSG-3</t>
        </is>
      </c>
      <c r="H1697" s="12" t="inlineStr">
        <is>
          <t>HRSG 3 + SCR (3P reheat, horizontal)</t>
        </is>
      </c>
      <c r="I1697" s="12" t="inlineStr">
        <is>
          <t>LV 600 V</t>
        </is>
      </c>
      <c r="J1697" s="12" t="inlineStr">
        <is>
          <t>Type TC-ER 600 V 3/C Cu XHHW-2 + ground, PVC jacket</t>
        </is>
      </c>
      <c r="K1697" s="12" t="inlineStr">
        <is>
          <t>LV|3/C+G|10</t>
        </is>
      </c>
      <c r="L1697" s="12" t="inlineStr">
        <is>
          <t>3/C+G</t>
        </is>
      </c>
      <c r="M1697" s="12" t="inlineStr">
        <is>
          <t>10</t>
        </is>
      </c>
      <c r="N1697" s="12" t="n">
        <v>1</v>
      </c>
      <c r="O1697" s="12" t="n">
        <v>1</v>
      </c>
      <c r="P1697" s="12" t="n">
        <v>480</v>
      </c>
      <c r="Q1697" s="12" t="n">
        <v>2.5</v>
      </c>
      <c r="R1697" s="12" t="n">
        <v>3.5</v>
      </c>
      <c r="S1697" s="12" t="inlineStr">
        <is>
          <t>Tray</t>
        </is>
      </c>
      <c r="T1697" s="16" t="n">
        <v>0</v>
      </c>
      <c r="U1697" s="16" t="n">
        <v>87</v>
      </c>
      <c r="V1697" s="16">
        <f>ROUNDUP((T1697+U1697+2*'Read Me'!$B$13)*(1+'Read Me'!$B$12),-1)</f>
        <v/>
      </c>
      <c r="W1697" s="16">
        <f>V1697*N1697*O1697</f>
        <v/>
      </c>
      <c r="X1697" s="12">
        <f>IF(LEFT(I1697,2)="MV",2*N1697*IF(L1697="1/C",O1697,1),0)</f>
        <v/>
      </c>
      <c r="Y1697" s="12">
        <f>IF(OR(LEFT(K1697,4)="LVAX",LEFT(K1697,6)="MV15AX",LEFT(K1697,4)="CTAX",LEFT(K1697,2)="W|"),2*N1697*O1697,0)</f>
        <v/>
      </c>
      <c r="Z1697" s="12" t="inlineStr">
        <is>
          <t>VD 0.1 %</t>
        </is>
      </c>
      <c r="AA1697" s="12">
        <f>N1697*O1697</f>
        <v/>
      </c>
    </row>
    <row r="1698">
      <c r="A1698" s="12" t="inlineStr">
        <is>
          <t>A-P-0331</t>
        </is>
      </c>
      <c r="B1698" s="12" t="inlineStr">
        <is>
          <t>A</t>
        </is>
      </c>
      <c r="C1698" s="12" t="inlineStr">
        <is>
          <t>Power block</t>
        </is>
      </c>
      <c r="D1698" s="12" t="inlineStr">
        <is>
          <t>MOV 27: power</t>
        </is>
      </c>
      <c r="E1698" s="12" t="inlineStr">
        <is>
          <t>R2C</t>
        </is>
      </c>
      <c r="F1698" s="12" t="inlineStr">
        <is>
          <t>R2C: unit / HRSG electrical e-house (32 x 40 ft)</t>
        </is>
      </c>
      <c r="G1698" s="12" t="inlineStr">
        <is>
          <t>HRSG-3</t>
        </is>
      </c>
      <c r="H1698" s="12" t="inlineStr">
        <is>
          <t>HRSG 3 + SCR (3P reheat, horizontal)</t>
        </is>
      </c>
      <c r="I1698" s="12" t="inlineStr">
        <is>
          <t>LV 600 V</t>
        </is>
      </c>
      <c r="J1698" s="12" t="inlineStr">
        <is>
          <t>Type TC-ER 600 V 3/C Cu XHHW-2 + ground, PVC jacket</t>
        </is>
      </c>
      <c r="K1698" s="12" t="inlineStr">
        <is>
          <t>LV|3/C+G|10</t>
        </is>
      </c>
      <c r="L1698" s="12" t="inlineStr">
        <is>
          <t>3/C+G</t>
        </is>
      </c>
      <c r="M1698" s="12" t="inlineStr">
        <is>
          <t>10</t>
        </is>
      </c>
      <c r="N1698" s="12" t="n">
        <v>1</v>
      </c>
      <c r="O1698" s="12" t="n">
        <v>1</v>
      </c>
      <c r="P1698" s="12" t="n">
        <v>480</v>
      </c>
      <c r="Q1698" s="12" t="n">
        <v>2.5</v>
      </c>
      <c r="R1698" s="12" t="n">
        <v>3.5</v>
      </c>
      <c r="S1698" s="12" t="inlineStr">
        <is>
          <t>Tray</t>
        </is>
      </c>
      <c r="T1698" s="16" t="n">
        <v>0</v>
      </c>
      <c r="U1698" s="16" t="n">
        <v>87</v>
      </c>
      <c r="V1698" s="16">
        <f>ROUNDUP((T1698+U1698+2*'Read Me'!$B$13)*(1+'Read Me'!$B$12),-1)</f>
        <v/>
      </c>
      <c r="W1698" s="16">
        <f>V1698*N1698*O1698</f>
        <v/>
      </c>
      <c r="X1698" s="12">
        <f>IF(LEFT(I1698,2)="MV",2*N1698*IF(L1698="1/C",O1698,1),0)</f>
        <v/>
      </c>
      <c r="Y1698" s="12">
        <f>IF(OR(LEFT(K1698,4)="LVAX",LEFT(K1698,6)="MV15AX",LEFT(K1698,4)="CTAX",LEFT(K1698,2)="W|"),2*N1698*O1698,0)</f>
        <v/>
      </c>
      <c r="Z1698" s="12" t="inlineStr">
        <is>
          <t>VD 0.1 %</t>
        </is>
      </c>
      <c r="AA1698" s="12">
        <f>N1698*O1698</f>
        <v/>
      </c>
    </row>
    <row r="1699">
      <c r="A1699" s="12" t="inlineStr">
        <is>
          <t>A-P-0332</t>
        </is>
      </c>
      <c r="B1699" s="12" t="inlineStr">
        <is>
          <t>A</t>
        </is>
      </c>
      <c r="C1699" s="12" t="inlineStr">
        <is>
          <t>Power block</t>
        </is>
      </c>
      <c r="D1699" s="12" t="inlineStr">
        <is>
          <t>MOV 28: power</t>
        </is>
      </c>
      <c r="E1699" s="12" t="inlineStr">
        <is>
          <t>R2C</t>
        </is>
      </c>
      <c r="F1699" s="12" t="inlineStr">
        <is>
          <t>R2C: unit / HRSG electrical e-house (32 x 40 ft)</t>
        </is>
      </c>
      <c r="G1699" s="12" t="inlineStr">
        <is>
          <t>HRSG-3</t>
        </is>
      </c>
      <c r="H1699" s="12" t="inlineStr">
        <is>
          <t>HRSG 3 + SCR (3P reheat, horizontal)</t>
        </is>
      </c>
      <c r="I1699" s="12" t="inlineStr">
        <is>
          <t>LV 600 V</t>
        </is>
      </c>
      <c r="J1699" s="12" t="inlineStr">
        <is>
          <t>Type TC-ER 600 V 3/C Cu XHHW-2 + ground, PVC jacket</t>
        </is>
      </c>
      <c r="K1699" s="12" t="inlineStr">
        <is>
          <t>LV|3/C+G|10</t>
        </is>
      </c>
      <c r="L1699" s="12" t="inlineStr">
        <is>
          <t>3/C+G</t>
        </is>
      </c>
      <c r="M1699" s="12" t="inlineStr">
        <is>
          <t>10</t>
        </is>
      </c>
      <c r="N1699" s="12" t="n">
        <v>1</v>
      </c>
      <c r="O1699" s="12" t="n">
        <v>1</v>
      </c>
      <c r="P1699" s="12" t="n">
        <v>480</v>
      </c>
      <c r="Q1699" s="12" t="n">
        <v>2.5</v>
      </c>
      <c r="R1699" s="12" t="n">
        <v>3.5</v>
      </c>
      <c r="S1699" s="12" t="inlineStr">
        <is>
          <t>Tray</t>
        </is>
      </c>
      <c r="T1699" s="16" t="n">
        <v>0</v>
      </c>
      <c r="U1699" s="16" t="n">
        <v>87</v>
      </c>
      <c r="V1699" s="16">
        <f>ROUNDUP((T1699+U1699+2*'Read Me'!$B$13)*(1+'Read Me'!$B$12),-1)</f>
        <v/>
      </c>
      <c r="W1699" s="16">
        <f>V1699*N1699*O1699</f>
        <v/>
      </c>
      <c r="X1699" s="12">
        <f>IF(LEFT(I1699,2)="MV",2*N1699*IF(L1699="1/C",O1699,1),0)</f>
        <v/>
      </c>
      <c r="Y1699" s="12">
        <f>IF(OR(LEFT(K1699,4)="LVAX",LEFT(K1699,6)="MV15AX",LEFT(K1699,4)="CTAX",LEFT(K1699,2)="W|"),2*N1699*O1699,0)</f>
        <v/>
      </c>
      <c r="Z1699" s="12" t="inlineStr">
        <is>
          <t>VD 0.1 %</t>
        </is>
      </c>
      <c r="AA1699" s="12">
        <f>N1699*O1699</f>
        <v/>
      </c>
    </row>
    <row r="1700">
      <c r="A1700" s="12" t="inlineStr">
        <is>
          <t>A-P-0333</t>
        </is>
      </c>
      <c r="B1700" s="12" t="inlineStr">
        <is>
          <t>A</t>
        </is>
      </c>
      <c r="C1700" s="12" t="inlineStr">
        <is>
          <t>Power block</t>
        </is>
      </c>
      <c r="D1700" s="12" t="inlineStr">
        <is>
          <t>MOV 29: power</t>
        </is>
      </c>
      <c r="E1700" s="12" t="inlineStr">
        <is>
          <t>R2C</t>
        </is>
      </c>
      <c r="F1700" s="12" t="inlineStr">
        <is>
          <t>R2C: unit / HRSG electrical e-house (32 x 40 ft)</t>
        </is>
      </c>
      <c r="G1700" s="12" t="inlineStr">
        <is>
          <t>HRSG-3</t>
        </is>
      </c>
      <c r="H1700" s="12" t="inlineStr">
        <is>
          <t>HRSG 3 + SCR (3P reheat, horizontal)</t>
        </is>
      </c>
      <c r="I1700" s="12" t="inlineStr">
        <is>
          <t>LV 600 V</t>
        </is>
      </c>
      <c r="J1700" s="12" t="inlineStr">
        <is>
          <t>Type TC-ER 600 V 3/C Cu XHHW-2 + ground, PVC jacket</t>
        </is>
      </c>
      <c r="K1700" s="12" t="inlineStr">
        <is>
          <t>LV|3/C+G|10</t>
        </is>
      </c>
      <c r="L1700" s="12" t="inlineStr">
        <is>
          <t>3/C+G</t>
        </is>
      </c>
      <c r="M1700" s="12" t="inlineStr">
        <is>
          <t>10</t>
        </is>
      </c>
      <c r="N1700" s="12" t="n">
        <v>1</v>
      </c>
      <c r="O1700" s="12" t="n">
        <v>1</v>
      </c>
      <c r="P1700" s="12" t="n">
        <v>480</v>
      </c>
      <c r="Q1700" s="12" t="n">
        <v>2.5</v>
      </c>
      <c r="R1700" s="12" t="n">
        <v>3.5</v>
      </c>
      <c r="S1700" s="12" t="inlineStr">
        <is>
          <t>Tray</t>
        </is>
      </c>
      <c r="T1700" s="16" t="n">
        <v>0</v>
      </c>
      <c r="U1700" s="16" t="n">
        <v>87</v>
      </c>
      <c r="V1700" s="16">
        <f>ROUNDUP((T1700+U1700+2*'Read Me'!$B$13)*(1+'Read Me'!$B$12),-1)</f>
        <v/>
      </c>
      <c r="W1700" s="16">
        <f>V1700*N1700*O1700</f>
        <v/>
      </c>
      <c r="X1700" s="12">
        <f>IF(LEFT(I1700,2)="MV",2*N1700*IF(L1700="1/C",O1700,1),0)</f>
        <v/>
      </c>
      <c r="Y1700" s="12">
        <f>IF(OR(LEFT(K1700,4)="LVAX",LEFT(K1700,6)="MV15AX",LEFT(K1700,4)="CTAX",LEFT(K1700,2)="W|"),2*N1700*O1700,0)</f>
        <v/>
      </c>
      <c r="Z1700" s="12" t="inlineStr">
        <is>
          <t>VD 0.1 %</t>
        </is>
      </c>
      <c r="AA1700" s="12">
        <f>N1700*O1700</f>
        <v/>
      </c>
    </row>
    <row r="1701">
      <c r="A1701" s="12" t="inlineStr">
        <is>
          <t>A-P-0334</t>
        </is>
      </c>
      <c r="B1701" s="12" t="inlineStr">
        <is>
          <t>A</t>
        </is>
      </c>
      <c r="C1701" s="12" t="inlineStr">
        <is>
          <t>Power block</t>
        </is>
      </c>
      <c r="D1701" s="12" t="inlineStr">
        <is>
          <t>MOV 30: power</t>
        </is>
      </c>
      <c r="E1701" s="12" t="inlineStr">
        <is>
          <t>R2C</t>
        </is>
      </c>
      <c r="F1701" s="12" t="inlineStr">
        <is>
          <t>R2C: unit / HRSG electrical e-house (32 x 40 ft)</t>
        </is>
      </c>
      <c r="G1701" s="12" t="inlineStr">
        <is>
          <t>HRSG-3</t>
        </is>
      </c>
      <c r="H1701" s="12" t="inlineStr">
        <is>
          <t>HRSG 3 + SCR (3P reheat, horizontal)</t>
        </is>
      </c>
      <c r="I1701" s="12" t="inlineStr">
        <is>
          <t>LV 600 V</t>
        </is>
      </c>
      <c r="J1701" s="12" t="inlineStr">
        <is>
          <t>Type TC-ER 600 V 3/C Cu XHHW-2 + ground, PVC jacket</t>
        </is>
      </c>
      <c r="K1701" s="12" t="inlineStr">
        <is>
          <t>LV|3/C+G|10</t>
        </is>
      </c>
      <c r="L1701" s="12" t="inlineStr">
        <is>
          <t>3/C+G</t>
        </is>
      </c>
      <c r="M1701" s="12" t="inlineStr">
        <is>
          <t>10</t>
        </is>
      </c>
      <c r="N1701" s="12" t="n">
        <v>1</v>
      </c>
      <c r="O1701" s="12" t="n">
        <v>1</v>
      </c>
      <c r="P1701" s="12" t="n">
        <v>480</v>
      </c>
      <c r="Q1701" s="12" t="n">
        <v>2.5</v>
      </c>
      <c r="R1701" s="12" t="n">
        <v>3.5</v>
      </c>
      <c r="S1701" s="12" t="inlineStr">
        <is>
          <t>Tray</t>
        </is>
      </c>
      <c r="T1701" s="16" t="n">
        <v>0</v>
      </c>
      <c r="U1701" s="16" t="n">
        <v>87</v>
      </c>
      <c r="V1701" s="16">
        <f>ROUNDUP((T1701+U1701+2*'Read Me'!$B$13)*(1+'Read Me'!$B$12),-1)</f>
        <v/>
      </c>
      <c r="W1701" s="16">
        <f>V1701*N1701*O1701</f>
        <v/>
      </c>
      <c r="X1701" s="12">
        <f>IF(LEFT(I1701,2)="MV",2*N1701*IF(L1701="1/C",O1701,1),0)</f>
        <v/>
      </c>
      <c r="Y1701" s="12">
        <f>IF(OR(LEFT(K1701,4)="LVAX",LEFT(K1701,6)="MV15AX",LEFT(K1701,4)="CTAX",LEFT(K1701,2)="W|"),2*N1701*O1701,0)</f>
        <v/>
      </c>
      <c r="Z1701" s="12" t="inlineStr">
        <is>
          <t>VD 0.1 %</t>
        </is>
      </c>
      <c r="AA1701" s="12">
        <f>N1701*O1701</f>
        <v/>
      </c>
    </row>
    <row r="1702">
      <c r="A1702" s="12" t="inlineStr">
        <is>
          <t>A-P-0335</t>
        </is>
      </c>
      <c r="B1702" s="12" t="inlineStr">
        <is>
          <t>A</t>
        </is>
      </c>
      <c r="C1702" s="12" t="inlineStr">
        <is>
          <t>Power block</t>
        </is>
      </c>
      <c r="D1702" s="12" t="inlineStr">
        <is>
          <t>MOV 31: power</t>
        </is>
      </c>
      <c r="E1702" s="12" t="inlineStr">
        <is>
          <t>R2C</t>
        </is>
      </c>
      <c r="F1702" s="12" t="inlineStr">
        <is>
          <t>R2C: unit / HRSG electrical e-house (32 x 40 ft)</t>
        </is>
      </c>
      <c r="G1702" s="12" t="inlineStr">
        <is>
          <t>HRSG-3</t>
        </is>
      </c>
      <c r="H1702" s="12" t="inlineStr">
        <is>
          <t>HRSG 3 + SCR (3P reheat, horizontal)</t>
        </is>
      </c>
      <c r="I1702" s="12" t="inlineStr">
        <is>
          <t>LV 600 V</t>
        </is>
      </c>
      <c r="J1702" s="12" t="inlineStr">
        <is>
          <t>Type TC-ER 600 V 3/C Cu XHHW-2 + ground, PVC jacket</t>
        </is>
      </c>
      <c r="K1702" s="12" t="inlineStr">
        <is>
          <t>LV|3/C+G|10</t>
        </is>
      </c>
      <c r="L1702" s="12" t="inlineStr">
        <is>
          <t>3/C+G</t>
        </is>
      </c>
      <c r="M1702" s="12" t="inlineStr">
        <is>
          <t>10</t>
        </is>
      </c>
      <c r="N1702" s="12" t="n">
        <v>1</v>
      </c>
      <c r="O1702" s="12" t="n">
        <v>1</v>
      </c>
      <c r="P1702" s="12" t="n">
        <v>480</v>
      </c>
      <c r="Q1702" s="12" t="n">
        <v>2.5</v>
      </c>
      <c r="R1702" s="12" t="n">
        <v>3.5</v>
      </c>
      <c r="S1702" s="12" t="inlineStr">
        <is>
          <t>Tray</t>
        </is>
      </c>
      <c r="T1702" s="16" t="n">
        <v>0</v>
      </c>
      <c r="U1702" s="16" t="n">
        <v>87</v>
      </c>
      <c r="V1702" s="16">
        <f>ROUNDUP((T1702+U1702+2*'Read Me'!$B$13)*(1+'Read Me'!$B$12),-1)</f>
        <v/>
      </c>
      <c r="W1702" s="16">
        <f>V1702*N1702*O1702</f>
        <v/>
      </c>
      <c r="X1702" s="12">
        <f>IF(LEFT(I1702,2)="MV",2*N1702*IF(L1702="1/C",O1702,1),0)</f>
        <v/>
      </c>
      <c r="Y1702" s="12">
        <f>IF(OR(LEFT(K1702,4)="LVAX",LEFT(K1702,6)="MV15AX",LEFT(K1702,4)="CTAX",LEFT(K1702,2)="W|"),2*N1702*O1702,0)</f>
        <v/>
      </c>
      <c r="Z1702" s="12" t="inlineStr">
        <is>
          <t>VD 0.1 %</t>
        </is>
      </c>
      <c r="AA1702" s="12">
        <f>N1702*O1702</f>
        <v/>
      </c>
    </row>
    <row r="1703">
      <c r="A1703" s="12" t="inlineStr">
        <is>
          <t>A-P-0336</t>
        </is>
      </c>
      <c r="B1703" s="12" t="inlineStr">
        <is>
          <t>A</t>
        </is>
      </c>
      <c r="C1703" s="12" t="inlineStr">
        <is>
          <t>Power block</t>
        </is>
      </c>
      <c r="D1703" s="12" t="inlineStr">
        <is>
          <t>MOV 32: power</t>
        </is>
      </c>
      <c r="E1703" s="12" t="inlineStr">
        <is>
          <t>R2C</t>
        </is>
      </c>
      <c r="F1703" s="12" t="inlineStr">
        <is>
          <t>R2C: unit / HRSG electrical e-house (32 x 40 ft)</t>
        </is>
      </c>
      <c r="G1703" s="12" t="inlineStr">
        <is>
          <t>HRSG-3</t>
        </is>
      </c>
      <c r="H1703" s="12" t="inlineStr">
        <is>
          <t>HRSG 3 + SCR (3P reheat, horizontal)</t>
        </is>
      </c>
      <c r="I1703" s="12" t="inlineStr">
        <is>
          <t>LV 600 V</t>
        </is>
      </c>
      <c r="J1703" s="12" t="inlineStr">
        <is>
          <t>Type TC-ER 600 V 3/C Cu XHHW-2 + ground, PVC jacket</t>
        </is>
      </c>
      <c r="K1703" s="12" t="inlineStr">
        <is>
          <t>LV|3/C+G|10</t>
        </is>
      </c>
      <c r="L1703" s="12" t="inlineStr">
        <is>
          <t>3/C+G</t>
        </is>
      </c>
      <c r="M1703" s="12" t="inlineStr">
        <is>
          <t>10</t>
        </is>
      </c>
      <c r="N1703" s="12" t="n">
        <v>1</v>
      </c>
      <c r="O1703" s="12" t="n">
        <v>1</v>
      </c>
      <c r="P1703" s="12" t="n">
        <v>480</v>
      </c>
      <c r="Q1703" s="12" t="n">
        <v>2.5</v>
      </c>
      <c r="R1703" s="12" t="n">
        <v>3.5</v>
      </c>
      <c r="S1703" s="12" t="inlineStr">
        <is>
          <t>Tray</t>
        </is>
      </c>
      <c r="T1703" s="16" t="n">
        <v>0</v>
      </c>
      <c r="U1703" s="16" t="n">
        <v>87</v>
      </c>
      <c r="V1703" s="16">
        <f>ROUNDUP((T1703+U1703+2*'Read Me'!$B$13)*(1+'Read Me'!$B$12),-1)</f>
        <v/>
      </c>
      <c r="W1703" s="16">
        <f>V1703*N1703*O1703</f>
        <v/>
      </c>
      <c r="X1703" s="12">
        <f>IF(LEFT(I1703,2)="MV",2*N1703*IF(L1703="1/C",O1703,1),0)</f>
        <v/>
      </c>
      <c r="Y1703" s="12">
        <f>IF(OR(LEFT(K1703,4)="LVAX",LEFT(K1703,6)="MV15AX",LEFT(K1703,4)="CTAX",LEFT(K1703,2)="W|"),2*N1703*O1703,0)</f>
        <v/>
      </c>
      <c r="Z1703" s="12" t="inlineStr">
        <is>
          <t>VD 0.1 %</t>
        </is>
      </c>
      <c r="AA1703" s="12">
        <f>N1703*O1703</f>
        <v/>
      </c>
    </row>
    <row r="1704">
      <c r="A1704" s="12" t="inlineStr">
        <is>
          <t>A-P-0337</t>
        </is>
      </c>
      <c r="B1704" s="12" t="inlineStr">
        <is>
          <t>A</t>
        </is>
      </c>
      <c r="C1704" s="12" t="inlineStr">
        <is>
          <t>Power block</t>
        </is>
      </c>
      <c r="D1704" s="12" t="inlineStr">
        <is>
          <t>MOV 33: power</t>
        </is>
      </c>
      <c r="E1704" s="12" t="inlineStr">
        <is>
          <t>R2C</t>
        </is>
      </c>
      <c r="F1704" s="12" t="inlineStr">
        <is>
          <t>R2C: unit / HRSG electrical e-house (32 x 40 ft)</t>
        </is>
      </c>
      <c r="G1704" s="12" t="inlineStr">
        <is>
          <t>HRSG-3</t>
        </is>
      </c>
      <c r="H1704" s="12" t="inlineStr">
        <is>
          <t>HRSG 3 + SCR (3P reheat, horizontal)</t>
        </is>
      </c>
      <c r="I1704" s="12" t="inlineStr">
        <is>
          <t>LV 600 V</t>
        </is>
      </c>
      <c r="J1704" s="12" t="inlineStr">
        <is>
          <t>Type TC-ER 600 V 3/C Cu XHHW-2 + ground, PVC jacket</t>
        </is>
      </c>
      <c r="K1704" s="12" t="inlineStr">
        <is>
          <t>LV|3/C+G|10</t>
        </is>
      </c>
      <c r="L1704" s="12" t="inlineStr">
        <is>
          <t>3/C+G</t>
        </is>
      </c>
      <c r="M1704" s="12" t="inlineStr">
        <is>
          <t>10</t>
        </is>
      </c>
      <c r="N1704" s="12" t="n">
        <v>1</v>
      </c>
      <c r="O1704" s="12" t="n">
        <v>1</v>
      </c>
      <c r="P1704" s="12" t="n">
        <v>480</v>
      </c>
      <c r="Q1704" s="12" t="n">
        <v>2.5</v>
      </c>
      <c r="R1704" s="12" t="n">
        <v>3.5</v>
      </c>
      <c r="S1704" s="12" t="inlineStr">
        <is>
          <t>Tray</t>
        </is>
      </c>
      <c r="T1704" s="16" t="n">
        <v>0</v>
      </c>
      <c r="U1704" s="16" t="n">
        <v>87</v>
      </c>
      <c r="V1704" s="16">
        <f>ROUNDUP((T1704+U1704+2*'Read Me'!$B$13)*(1+'Read Me'!$B$12),-1)</f>
        <v/>
      </c>
      <c r="W1704" s="16">
        <f>V1704*N1704*O1704</f>
        <v/>
      </c>
      <c r="X1704" s="12">
        <f>IF(LEFT(I1704,2)="MV",2*N1704*IF(L1704="1/C",O1704,1),0)</f>
        <v/>
      </c>
      <c r="Y1704" s="12">
        <f>IF(OR(LEFT(K1704,4)="LVAX",LEFT(K1704,6)="MV15AX",LEFT(K1704,4)="CTAX",LEFT(K1704,2)="W|"),2*N1704*O1704,0)</f>
        <v/>
      </c>
      <c r="Z1704" s="12" t="inlineStr">
        <is>
          <t>VD 0.1 %</t>
        </is>
      </c>
      <c r="AA1704" s="12">
        <f>N1704*O1704</f>
        <v/>
      </c>
    </row>
    <row r="1705">
      <c r="A1705" s="12" t="inlineStr">
        <is>
          <t>A-P-0338</t>
        </is>
      </c>
      <c r="B1705" s="12" t="inlineStr">
        <is>
          <t>A</t>
        </is>
      </c>
      <c r="C1705" s="12" t="inlineStr">
        <is>
          <t>Power block</t>
        </is>
      </c>
      <c r="D1705" s="12" t="inlineStr">
        <is>
          <t>MOV 34: power</t>
        </is>
      </c>
      <c r="E1705" s="12" t="inlineStr">
        <is>
          <t>R2C</t>
        </is>
      </c>
      <c r="F1705" s="12" t="inlineStr">
        <is>
          <t>R2C: unit / HRSG electrical e-house (32 x 40 ft)</t>
        </is>
      </c>
      <c r="G1705" s="12" t="inlineStr">
        <is>
          <t>HRSG-3</t>
        </is>
      </c>
      <c r="H1705" s="12" t="inlineStr">
        <is>
          <t>HRSG 3 + SCR (3P reheat, horizontal)</t>
        </is>
      </c>
      <c r="I1705" s="12" t="inlineStr">
        <is>
          <t>LV 600 V</t>
        </is>
      </c>
      <c r="J1705" s="12" t="inlineStr">
        <is>
          <t>Type TC-ER 600 V 3/C Cu XHHW-2 + ground, PVC jacket</t>
        </is>
      </c>
      <c r="K1705" s="12" t="inlineStr">
        <is>
          <t>LV|3/C+G|10</t>
        </is>
      </c>
      <c r="L1705" s="12" t="inlineStr">
        <is>
          <t>3/C+G</t>
        </is>
      </c>
      <c r="M1705" s="12" t="inlineStr">
        <is>
          <t>10</t>
        </is>
      </c>
      <c r="N1705" s="12" t="n">
        <v>1</v>
      </c>
      <c r="O1705" s="12" t="n">
        <v>1</v>
      </c>
      <c r="P1705" s="12" t="n">
        <v>480</v>
      </c>
      <c r="Q1705" s="12" t="n">
        <v>2.5</v>
      </c>
      <c r="R1705" s="12" t="n">
        <v>3.5</v>
      </c>
      <c r="S1705" s="12" t="inlineStr">
        <is>
          <t>Tray</t>
        </is>
      </c>
      <c r="T1705" s="16" t="n">
        <v>0</v>
      </c>
      <c r="U1705" s="16" t="n">
        <v>87</v>
      </c>
      <c r="V1705" s="16">
        <f>ROUNDUP((T1705+U1705+2*'Read Me'!$B$13)*(1+'Read Me'!$B$12),-1)</f>
        <v/>
      </c>
      <c r="W1705" s="16">
        <f>V1705*N1705*O1705</f>
        <v/>
      </c>
      <c r="X1705" s="12">
        <f>IF(LEFT(I1705,2)="MV",2*N1705*IF(L1705="1/C",O1705,1),0)</f>
        <v/>
      </c>
      <c r="Y1705" s="12">
        <f>IF(OR(LEFT(K1705,4)="LVAX",LEFT(K1705,6)="MV15AX",LEFT(K1705,4)="CTAX",LEFT(K1705,2)="W|"),2*N1705*O1705,0)</f>
        <v/>
      </c>
      <c r="Z1705" s="12" t="inlineStr">
        <is>
          <t>VD 0.1 %</t>
        </is>
      </c>
      <c r="AA1705" s="12">
        <f>N1705*O1705</f>
        <v/>
      </c>
    </row>
    <row r="1706">
      <c r="A1706" s="12" t="inlineStr">
        <is>
          <t>A-P-0339</t>
        </is>
      </c>
      <c r="B1706" s="12" t="inlineStr">
        <is>
          <t>A</t>
        </is>
      </c>
      <c r="C1706" s="12" t="inlineStr">
        <is>
          <t>Power block</t>
        </is>
      </c>
      <c r="D1706" s="12" t="inlineStr">
        <is>
          <t>MOV 35: power</t>
        </is>
      </c>
      <c r="E1706" s="12" t="inlineStr">
        <is>
          <t>R2C</t>
        </is>
      </c>
      <c r="F1706" s="12" t="inlineStr">
        <is>
          <t>R2C: unit / HRSG electrical e-house (32 x 40 ft)</t>
        </is>
      </c>
      <c r="G1706" s="12" t="inlineStr">
        <is>
          <t>HRSG-3</t>
        </is>
      </c>
      <c r="H1706" s="12" t="inlineStr">
        <is>
          <t>HRSG 3 + SCR (3P reheat, horizontal)</t>
        </is>
      </c>
      <c r="I1706" s="12" t="inlineStr">
        <is>
          <t>LV 600 V</t>
        </is>
      </c>
      <c r="J1706" s="12" t="inlineStr">
        <is>
          <t>Type TC-ER 600 V 3/C Cu XHHW-2 + ground, PVC jacket</t>
        </is>
      </c>
      <c r="K1706" s="12" t="inlineStr">
        <is>
          <t>LV|3/C+G|10</t>
        </is>
      </c>
      <c r="L1706" s="12" t="inlineStr">
        <is>
          <t>3/C+G</t>
        </is>
      </c>
      <c r="M1706" s="12" t="inlineStr">
        <is>
          <t>10</t>
        </is>
      </c>
      <c r="N1706" s="12" t="n">
        <v>1</v>
      </c>
      <c r="O1706" s="12" t="n">
        <v>1</v>
      </c>
      <c r="P1706" s="12" t="n">
        <v>480</v>
      </c>
      <c r="Q1706" s="12" t="n">
        <v>2.5</v>
      </c>
      <c r="R1706" s="12" t="n">
        <v>3.5</v>
      </c>
      <c r="S1706" s="12" t="inlineStr">
        <is>
          <t>Tray</t>
        </is>
      </c>
      <c r="T1706" s="16" t="n">
        <v>0</v>
      </c>
      <c r="U1706" s="16" t="n">
        <v>87</v>
      </c>
      <c r="V1706" s="16">
        <f>ROUNDUP((T1706+U1706+2*'Read Me'!$B$13)*(1+'Read Me'!$B$12),-1)</f>
        <v/>
      </c>
      <c r="W1706" s="16">
        <f>V1706*N1706*O1706</f>
        <v/>
      </c>
      <c r="X1706" s="12">
        <f>IF(LEFT(I1706,2)="MV",2*N1706*IF(L1706="1/C",O1706,1),0)</f>
        <v/>
      </c>
      <c r="Y1706" s="12">
        <f>IF(OR(LEFT(K1706,4)="LVAX",LEFT(K1706,6)="MV15AX",LEFT(K1706,4)="CTAX",LEFT(K1706,2)="W|"),2*N1706*O1706,0)</f>
        <v/>
      </c>
      <c r="Z1706" s="12" t="inlineStr">
        <is>
          <t>VD 0.1 %</t>
        </is>
      </c>
      <c r="AA1706" s="12">
        <f>N1706*O1706</f>
        <v/>
      </c>
    </row>
    <row r="1707">
      <c r="A1707" s="12" t="inlineStr">
        <is>
          <t>A-P-0340</t>
        </is>
      </c>
      <c r="B1707" s="12" t="inlineStr">
        <is>
          <t>A</t>
        </is>
      </c>
      <c r="C1707" s="12" t="inlineStr">
        <is>
          <t>Power block</t>
        </is>
      </c>
      <c r="D1707" s="12" t="inlineStr">
        <is>
          <t>MOV 36: power</t>
        </is>
      </c>
      <c r="E1707" s="12" t="inlineStr">
        <is>
          <t>R2C</t>
        </is>
      </c>
      <c r="F1707" s="12" t="inlineStr">
        <is>
          <t>R2C: unit / HRSG electrical e-house (32 x 40 ft)</t>
        </is>
      </c>
      <c r="G1707" s="12" t="inlineStr">
        <is>
          <t>HRSG-3</t>
        </is>
      </c>
      <c r="H1707" s="12" t="inlineStr">
        <is>
          <t>HRSG 3 + SCR (3P reheat, horizontal)</t>
        </is>
      </c>
      <c r="I1707" s="12" t="inlineStr">
        <is>
          <t>LV 600 V</t>
        </is>
      </c>
      <c r="J1707" s="12" t="inlineStr">
        <is>
          <t>Type TC-ER 600 V 3/C Cu XHHW-2 + ground, PVC jacket</t>
        </is>
      </c>
      <c r="K1707" s="12" t="inlineStr">
        <is>
          <t>LV|3/C+G|10</t>
        </is>
      </c>
      <c r="L1707" s="12" t="inlineStr">
        <is>
          <t>3/C+G</t>
        </is>
      </c>
      <c r="M1707" s="12" t="inlineStr">
        <is>
          <t>10</t>
        </is>
      </c>
      <c r="N1707" s="12" t="n">
        <v>1</v>
      </c>
      <c r="O1707" s="12" t="n">
        <v>1</v>
      </c>
      <c r="P1707" s="12" t="n">
        <v>480</v>
      </c>
      <c r="Q1707" s="12" t="n">
        <v>2.5</v>
      </c>
      <c r="R1707" s="12" t="n">
        <v>3.5</v>
      </c>
      <c r="S1707" s="12" t="inlineStr">
        <is>
          <t>Tray</t>
        </is>
      </c>
      <c r="T1707" s="16" t="n">
        <v>0</v>
      </c>
      <c r="U1707" s="16" t="n">
        <v>87</v>
      </c>
      <c r="V1707" s="16">
        <f>ROUNDUP((T1707+U1707+2*'Read Me'!$B$13)*(1+'Read Me'!$B$12),-1)</f>
        <v/>
      </c>
      <c r="W1707" s="16">
        <f>V1707*N1707*O1707</f>
        <v/>
      </c>
      <c r="X1707" s="12">
        <f>IF(LEFT(I1707,2)="MV",2*N1707*IF(L1707="1/C",O1707,1),0)</f>
        <v/>
      </c>
      <c r="Y1707" s="12">
        <f>IF(OR(LEFT(K1707,4)="LVAX",LEFT(K1707,6)="MV15AX",LEFT(K1707,4)="CTAX",LEFT(K1707,2)="W|"),2*N1707*O1707,0)</f>
        <v/>
      </c>
      <c r="Z1707" s="12" t="inlineStr">
        <is>
          <t>VD 0.1 %</t>
        </is>
      </c>
      <c r="AA1707" s="12">
        <f>N1707*O1707</f>
        <v/>
      </c>
    </row>
    <row r="1708">
      <c r="A1708" s="12" t="inlineStr">
        <is>
          <t>A-P-0341</t>
        </is>
      </c>
      <c r="B1708" s="12" t="inlineStr">
        <is>
          <t>A</t>
        </is>
      </c>
      <c r="C1708" s="12" t="inlineStr">
        <is>
          <t>Power block</t>
        </is>
      </c>
      <c r="D1708" s="12" t="inlineStr">
        <is>
          <t>MOV 37: power</t>
        </is>
      </c>
      <c r="E1708" s="12" t="inlineStr">
        <is>
          <t>R2C</t>
        </is>
      </c>
      <c r="F1708" s="12" t="inlineStr">
        <is>
          <t>R2C: unit / HRSG electrical e-house (32 x 40 ft)</t>
        </is>
      </c>
      <c r="G1708" s="12" t="inlineStr">
        <is>
          <t>HRSG-3</t>
        </is>
      </c>
      <c r="H1708" s="12" t="inlineStr">
        <is>
          <t>HRSG 3 + SCR (3P reheat, horizontal)</t>
        </is>
      </c>
      <c r="I1708" s="12" t="inlineStr">
        <is>
          <t>LV 600 V</t>
        </is>
      </c>
      <c r="J1708" s="12" t="inlineStr">
        <is>
          <t>Type TC-ER 600 V 3/C Cu XHHW-2 + ground, PVC jacket</t>
        </is>
      </c>
      <c r="K1708" s="12" t="inlineStr">
        <is>
          <t>LV|3/C+G|10</t>
        </is>
      </c>
      <c r="L1708" s="12" t="inlineStr">
        <is>
          <t>3/C+G</t>
        </is>
      </c>
      <c r="M1708" s="12" t="inlineStr">
        <is>
          <t>10</t>
        </is>
      </c>
      <c r="N1708" s="12" t="n">
        <v>1</v>
      </c>
      <c r="O1708" s="12" t="n">
        <v>1</v>
      </c>
      <c r="P1708" s="12" t="n">
        <v>480</v>
      </c>
      <c r="Q1708" s="12" t="n">
        <v>2.5</v>
      </c>
      <c r="R1708" s="12" t="n">
        <v>3.5</v>
      </c>
      <c r="S1708" s="12" t="inlineStr">
        <is>
          <t>Tray</t>
        </is>
      </c>
      <c r="T1708" s="16" t="n">
        <v>0</v>
      </c>
      <c r="U1708" s="16" t="n">
        <v>87</v>
      </c>
      <c r="V1708" s="16">
        <f>ROUNDUP((T1708+U1708+2*'Read Me'!$B$13)*(1+'Read Me'!$B$12),-1)</f>
        <v/>
      </c>
      <c r="W1708" s="16">
        <f>V1708*N1708*O1708</f>
        <v/>
      </c>
      <c r="X1708" s="12">
        <f>IF(LEFT(I1708,2)="MV",2*N1708*IF(L1708="1/C",O1708,1),0)</f>
        <v/>
      </c>
      <c r="Y1708" s="12">
        <f>IF(OR(LEFT(K1708,4)="LVAX",LEFT(K1708,6)="MV15AX",LEFT(K1708,4)="CTAX",LEFT(K1708,2)="W|"),2*N1708*O1708,0)</f>
        <v/>
      </c>
      <c r="Z1708" s="12" t="inlineStr">
        <is>
          <t>VD 0.1 %</t>
        </is>
      </c>
      <c r="AA1708" s="12">
        <f>N1708*O1708</f>
        <v/>
      </c>
    </row>
    <row r="1709">
      <c r="A1709" s="12" t="inlineStr">
        <is>
          <t>A-P-0342</t>
        </is>
      </c>
      <c r="B1709" s="12" t="inlineStr">
        <is>
          <t>A</t>
        </is>
      </c>
      <c r="C1709" s="12" t="inlineStr">
        <is>
          <t>Power block</t>
        </is>
      </c>
      <c r="D1709" s="12" t="inlineStr">
        <is>
          <t>MOV 38: power</t>
        </is>
      </c>
      <c r="E1709" s="12" t="inlineStr">
        <is>
          <t>R2C</t>
        </is>
      </c>
      <c r="F1709" s="12" t="inlineStr">
        <is>
          <t>R2C: unit / HRSG electrical e-house (32 x 40 ft)</t>
        </is>
      </c>
      <c r="G1709" s="12" t="inlineStr">
        <is>
          <t>HRSG-3</t>
        </is>
      </c>
      <c r="H1709" s="12" t="inlineStr">
        <is>
          <t>HRSG 3 + SCR (3P reheat, horizontal)</t>
        </is>
      </c>
      <c r="I1709" s="12" t="inlineStr">
        <is>
          <t>LV 600 V</t>
        </is>
      </c>
      <c r="J1709" s="12" t="inlineStr">
        <is>
          <t>Type TC-ER 600 V 3/C Cu XHHW-2 + ground, PVC jacket</t>
        </is>
      </c>
      <c r="K1709" s="12" t="inlineStr">
        <is>
          <t>LV|3/C+G|10</t>
        </is>
      </c>
      <c r="L1709" s="12" t="inlineStr">
        <is>
          <t>3/C+G</t>
        </is>
      </c>
      <c r="M1709" s="12" t="inlineStr">
        <is>
          <t>10</t>
        </is>
      </c>
      <c r="N1709" s="12" t="n">
        <v>1</v>
      </c>
      <c r="O1709" s="12" t="n">
        <v>1</v>
      </c>
      <c r="P1709" s="12" t="n">
        <v>480</v>
      </c>
      <c r="Q1709" s="12" t="n">
        <v>2.5</v>
      </c>
      <c r="R1709" s="12" t="n">
        <v>3.5</v>
      </c>
      <c r="S1709" s="12" t="inlineStr">
        <is>
          <t>Tray</t>
        </is>
      </c>
      <c r="T1709" s="16" t="n">
        <v>0</v>
      </c>
      <c r="U1709" s="16" t="n">
        <v>87</v>
      </c>
      <c r="V1709" s="16">
        <f>ROUNDUP((T1709+U1709+2*'Read Me'!$B$13)*(1+'Read Me'!$B$12),-1)</f>
        <v/>
      </c>
      <c r="W1709" s="16">
        <f>V1709*N1709*O1709</f>
        <v/>
      </c>
      <c r="X1709" s="12">
        <f>IF(LEFT(I1709,2)="MV",2*N1709*IF(L1709="1/C",O1709,1),0)</f>
        <v/>
      </c>
      <c r="Y1709" s="12">
        <f>IF(OR(LEFT(K1709,4)="LVAX",LEFT(K1709,6)="MV15AX",LEFT(K1709,4)="CTAX",LEFT(K1709,2)="W|"),2*N1709*O1709,0)</f>
        <v/>
      </c>
      <c r="Z1709" s="12" t="inlineStr">
        <is>
          <t>VD 0.1 %</t>
        </is>
      </c>
      <c r="AA1709" s="12">
        <f>N1709*O1709</f>
        <v/>
      </c>
    </row>
    <row r="1710">
      <c r="A1710" s="12" t="inlineStr">
        <is>
          <t>A-P-0343</t>
        </is>
      </c>
      <c r="B1710" s="12" t="inlineStr">
        <is>
          <t>A</t>
        </is>
      </c>
      <c r="C1710" s="12" t="inlineStr">
        <is>
          <t>Power block</t>
        </is>
      </c>
      <c r="D1710" s="12" t="inlineStr">
        <is>
          <t>MOV 39: power</t>
        </is>
      </c>
      <c r="E1710" s="12" t="inlineStr">
        <is>
          <t>R2C</t>
        </is>
      </c>
      <c r="F1710" s="12" t="inlineStr">
        <is>
          <t>R2C: unit / HRSG electrical e-house (32 x 40 ft)</t>
        </is>
      </c>
      <c r="G1710" s="12" t="inlineStr">
        <is>
          <t>HRSG-3</t>
        </is>
      </c>
      <c r="H1710" s="12" t="inlineStr">
        <is>
          <t>HRSG 3 + SCR (3P reheat, horizontal)</t>
        </is>
      </c>
      <c r="I1710" s="12" t="inlineStr">
        <is>
          <t>LV 600 V</t>
        </is>
      </c>
      <c r="J1710" s="12" t="inlineStr">
        <is>
          <t>Type TC-ER 600 V 3/C Cu XHHW-2 + ground, PVC jacket</t>
        </is>
      </c>
      <c r="K1710" s="12" t="inlineStr">
        <is>
          <t>LV|3/C+G|10</t>
        </is>
      </c>
      <c r="L1710" s="12" t="inlineStr">
        <is>
          <t>3/C+G</t>
        </is>
      </c>
      <c r="M1710" s="12" t="inlineStr">
        <is>
          <t>10</t>
        </is>
      </c>
      <c r="N1710" s="12" t="n">
        <v>1</v>
      </c>
      <c r="O1710" s="12" t="n">
        <v>1</v>
      </c>
      <c r="P1710" s="12" t="n">
        <v>480</v>
      </c>
      <c r="Q1710" s="12" t="n">
        <v>2.5</v>
      </c>
      <c r="R1710" s="12" t="n">
        <v>3.5</v>
      </c>
      <c r="S1710" s="12" t="inlineStr">
        <is>
          <t>Tray</t>
        </is>
      </c>
      <c r="T1710" s="16" t="n">
        <v>0</v>
      </c>
      <c r="U1710" s="16" t="n">
        <v>87</v>
      </c>
      <c r="V1710" s="16">
        <f>ROUNDUP((T1710+U1710+2*'Read Me'!$B$13)*(1+'Read Me'!$B$12),-1)</f>
        <v/>
      </c>
      <c r="W1710" s="16">
        <f>V1710*N1710*O1710</f>
        <v/>
      </c>
      <c r="X1710" s="12">
        <f>IF(LEFT(I1710,2)="MV",2*N1710*IF(L1710="1/C",O1710,1),0)</f>
        <v/>
      </c>
      <c r="Y1710" s="12">
        <f>IF(OR(LEFT(K1710,4)="LVAX",LEFT(K1710,6)="MV15AX",LEFT(K1710,4)="CTAX",LEFT(K1710,2)="W|"),2*N1710*O1710,0)</f>
        <v/>
      </c>
      <c r="Z1710" s="12" t="inlineStr">
        <is>
          <t>VD 0.1 %</t>
        </is>
      </c>
      <c r="AA1710" s="12">
        <f>N1710*O1710</f>
        <v/>
      </c>
    </row>
    <row r="1711">
      <c r="A1711" s="12" t="inlineStr">
        <is>
          <t>A-P-0344</t>
        </is>
      </c>
      <c r="B1711" s="12" t="inlineStr">
        <is>
          <t>A</t>
        </is>
      </c>
      <c r="C1711" s="12" t="inlineStr">
        <is>
          <t>Power block</t>
        </is>
      </c>
      <c r="D1711" s="12" t="inlineStr">
        <is>
          <t>MOV 40: power</t>
        </is>
      </c>
      <c r="E1711" s="12" t="inlineStr">
        <is>
          <t>R2C</t>
        </is>
      </c>
      <c r="F1711" s="12" t="inlineStr">
        <is>
          <t>R2C: unit / HRSG electrical e-house (32 x 40 ft)</t>
        </is>
      </c>
      <c r="G1711" s="12" t="inlineStr">
        <is>
          <t>HRSG-3</t>
        </is>
      </c>
      <c r="H1711" s="12" t="inlineStr">
        <is>
          <t>HRSG 3 + SCR (3P reheat, horizontal)</t>
        </is>
      </c>
      <c r="I1711" s="12" t="inlineStr">
        <is>
          <t>LV 600 V</t>
        </is>
      </c>
      <c r="J1711" s="12" t="inlineStr">
        <is>
          <t>Type TC-ER 600 V 3/C Cu XHHW-2 + ground, PVC jacket</t>
        </is>
      </c>
      <c r="K1711" s="12" t="inlineStr">
        <is>
          <t>LV|3/C+G|10</t>
        </is>
      </c>
      <c r="L1711" s="12" t="inlineStr">
        <is>
          <t>3/C+G</t>
        </is>
      </c>
      <c r="M1711" s="12" t="inlineStr">
        <is>
          <t>10</t>
        </is>
      </c>
      <c r="N1711" s="12" t="n">
        <v>1</v>
      </c>
      <c r="O1711" s="12" t="n">
        <v>1</v>
      </c>
      <c r="P1711" s="12" t="n">
        <v>480</v>
      </c>
      <c r="Q1711" s="12" t="n">
        <v>2.5</v>
      </c>
      <c r="R1711" s="12" t="n">
        <v>3.5</v>
      </c>
      <c r="S1711" s="12" t="inlineStr">
        <is>
          <t>Tray</t>
        </is>
      </c>
      <c r="T1711" s="16" t="n">
        <v>0</v>
      </c>
      <c r="U1711" s="16" t="n">
        <v>87</v>
      </c>
      <c r="V1711" s="16">
        <f>ROUNDUP((T1711+U1711+2*'Read Me'!$B$13)*(1+'Read Me'!$B$12),-1)</f>
        <v/>
      </c>
      <c r="W1711" s="16">
        <f>V1711*N1711*O1711</f>
        <v/>
      </c>
      <c r="X1711" s="12">
        <f>IF(LEFT(I1711,2)="MV",2*N1711*IF(L1711="1/C",O1711,1),0)</f>
        <v/>
      </c>
      <c r="Y1711" s="12">
        <f>IF(OR(LEFT(K1711,4)="LVAX",LEFT(K1711,6)="MV15AX",LEFT(K1711,4)="CTAX",LEFT(K1711,2)="W|"),2*N1711*O1711,0)</f>
        <v/>
      </c>
      <c r="Z1711" s="12" t="inlineStr">
        <is>
          <t>VD 0.1 %</t>
        </is>
      </c>
      <c r="AA1711" s="12">
        <f>N1711*O1711</f>
        <v/>
      </c>
    </row>
    <row r="1712">
      <c r="A1712" s="12" t="inlineStr">
        <is>
          <t>A-P-0345</t>
        </is>
      </c>
      <c r="B1712" s="12" t="inlineStr">
        <is>
          <t>A</t>
        </is>
      </c>
      <c r="C1712" s="12" t="inlineStr">
        <is>
          <t>Power block</t>
        </is>
      </c>
      <c r="D1712" s="12" t="inlineStr">
        <is>
          <t>MOV 41: power</t>
        </is>
      </c>
      <c r="E1712" s="12" t="inlineStr">
        <is>
          <t>R2C</t>
        </is>
      </c>
      <c r="F1712" s="12" t="inlineStr">
        <is>
          <t>R2C: unit / HRSG electrical e-house (32 x 40 ft)</t>
        </is>
      </c>
      <c r="G1712" s="12" t="inlineStr">
        <is>
          <t>HRSG-3</t>
        </is>
      </c>
      <c r="H1712" s="12" t="inlineStr">
        <is>
          <t>HRSG 3 + SCR (3P reheat, horizontal)</t>
        </is>
      </c>
      <c r="I1712" s="12" t="inlineStr">
        <is>
          <t>LV 600 V</t>
        </is>
      </c>
      <c r="J1712" s="12" t="inlineStr">
        <is>
          <t>Type TC-ER 600 V 3/C Cu XHHW-2 + ground, PVC jacket</t>
        </is>
      </c>
      <c r="K1712" s="12" t="inlineStr">
        <is>
          <t>LV|3/C+G|10</t>
        </is>
      </c>
      <c r="L1712" s="12" t="inlineStr">
        <is>
          <t>3/C+G</t>
        </is>
      </c>
      <c r="M1712" s="12" t="inlineStr">
        <is>
          <t>10</t>
        </is>
      </c>
      <c r="N1712" s="12" t="n">
        <v>1</v>
      </c>
      <c r="O1712" s="12" t="n">
        <v>1</v>
      </c>
      <c r="P1712" s="12" t="n">
        <v>480</v>
      </c>
      <c r="Q1712" s="12" t="n">
        <v>2.5</v>
      </c>
      <c r="R1712" s="12" t="n">
        <v>3.5</v>
      </c>
      <c r="S1712" s="12" t="inlineStr">
        <is>
          <t>Tray</t>
        </is>
      </c>
      <c r="T1712" s="16" t="n">
        <v>0</v>
      </c>
      <c r="U1712" s="16" t="n">
        <v>87</v>
      </c>
      <c r="V1712" s="16">
        <f>ROUNDUP((T1712+U1712+2*'Read Me'!$B$13)*(1+'Read Me'!$B$12),-1)</f>
        <v/>
      </c>
      <c r="W1712" s="16">
        <f>V1712*N1712*O1712</f>
        <v/>
      </c>
      <c r="X1712" s="12">
        <f>IF(LEFT(I1712,2)="MV",2*N1712*IF(L1712="1/C",O1712,1),0)</f>
        <v/>
      </c>
      <c r="Y1712" s="12">
        <f>IF(OR(LEFT(K1712,4)="LVAX",LEFT(K1712,6)="MV15AX",LEFT(K1712,4)="CTAX",LEFT(K1712,2)="W|"),2*N1712*O1712,0)</f>
        <v/>
      </c>
      <c r="Z1712" s="12" t="inlineStr">
        <is>
          <t>VD 0.1 %</t>
        </is>
      </c>
      <c r="AA1712" s="12">
        <f>N1712*O1712</f>
        <v/>
      </c>
    </row>
    <row r="1713">
      <c r="A1713" s="12" t="inlineStr">
        <is>
          <t>A-P-0346</t>
        </is>
      </c>
      <c r="B1713" s="12" t="inlineStr">
        <is>
          <t>A</t>
        </is>
      </c>
      <c r="C1713" s="12" t="inlineStr">
        <is>
          <t>Power block</t>
        </is>
      </c>
      <c r="D1713" s="12" t="inlineStr">
        <is>
          <t>MOV 42: power</t>
        </is>
      </c>
      <c r="E1713" s="12" t="inlineStr">
        <is>
          <t>R2C</t>
        </is>
      </c>
      <c r="F1713" s="12" t="inlineStr">
        <is>
          <t>R2C: unit / HRSG electrical e-house (32 x 40 ft)</t>
        </is>
      </c>
      <c r="G1713" s="12" t="inlineStr">
        <is>
          <t>HRSG-3</t>
        </is>
      </c>
      <c r="H1713" s="12" t="inlineStr">
        <is>
          <t>HRSG 3 + SCR (3P reheat, horizontal)</t>
        </is>
      </c>
      <c r="I1713" s="12" t="inlineStr">
        <is>
          <t>LV 600 V</t>
        </is>
      </c>
      <c r="J1713" s="12" t="inlineStr">
        <is>
          <t>Type TC-ER 600 V 3/C Cu XHHW-2 + ground, PVC jacket</t>
        </is>
      </c>
      <c r="K1713" s="12" t="inlineStr">
        <is>
          <t>LV|3/C+G|10</t>
        </is>
      </c>
      <c r="L1713" s="12" t="inlineStr">
        <is>
          <t>3/C+G</t>
        </is>
      </c>
      <c r="M1713" s="12" t="inlineStr">
        <is>
          <t>10</t>
        </is>
      </c>
      <c r="N1713" s="12" t="n">
        <v>1</v>
      </c>
      <c r="O1713" s="12" t="n">
        <v>1</v>
      </c>
      <c r="P1713" s="12" t="n">
        <v>480</v>
      </c>
      <c r="Q1713" s="12" t="n">
        <v>2.5</v>
      </c>
      <c r="R1713" s="12" t="n">
        <v>3.5</v>
      </c>
      <c r="S1713" s="12" t="inlineStr">
        <is>
          <t>Tray</t>
        </is>
      </c>
      <c r="T1713" s="16" t="n">
        <v>0</v>
      </c>
      <c r="U1713" s="16" t="n">
        <v>87</v>
      </c>
      <c r="V1713" s="16">
        <f>ROUNDUP((T1713+U1713+2*'Read Me'!$B$13)*(1+'Read Me'!$B$12),-1)</f>
        <v/>
      </c>
      <c r="W1713" s="16">
        <f>V1713*N1713*O1713</f>
        <v/>
      </c>
      <c r="X1713" s="12">
        <f>IF(LEFT(I1713,2)="MV",2*N1713*IF(L1713="1/C",O1713,1),0)</f>
        <v/>
      </c>
      <c r="Y1713" s="12">
        <f>IF(OR(LEFT(K1713,4)="LVAX",LEFT(K1713,6)="MV15AX",LEFT(K1713,4)="CTAX",LEFT(K1713,2)="W|"),2*N1713*O1713,0)</f>
        <v/>
      </c>
      <c r="Z1713" s="12" t="inlineStr">
        <is>
          <t>VD 0.1 %</t>
        </is>
      </c>
      <c r="AA1713" s="12">
        <f>N1713*O1713</f>
        <v/>
      </c>
    </row>
    <row r="1714">
      <c r="A1714" s="12" t="inlineStr">
        <is>
          <t>A-P-0347</t>
        </is>
      </c>
      <c r="B1714" s="12" t="inlineStr">
        <is>
          <t>A</t>
        </is>
      </c>
      <c r="C1714" s="12" t="inlineStr">
        <is>
          <t>Power block</t>
        </is>
      </c>
      <c r="D1714" s="12" t="inlineStr">
        <is>
          <t>MOV 43: power</t>
        </is>
      </c>
      <c r="E1714" s="12" t="inlineStr">
        <is>
          <t>R2C</t>
        </is>
      </c>
      <c r="F1714" s="12" t="inlineStr">
        <is>
          <t>R2C: unit / HRSG electrical e-house (32 x 40 ft)</t>
        </is>
      </c>
      <c r="G1714" s="12" t="inlineStr">
        <is>
          <t>HRSG-3</t>
        </is>
      </c>
      <c r="H1714" s="12" t="inlineStr">
        <is>
          <t>HRSG 3 + SCR (3P reheat, horizontal)</t>
        </is>
      </c>
      <c r="I1714" s="12" t="inlineStr">
        <is>
          <t>LV 600 V</t>
        </is>
      </c>
      <c r="J1714" s="12" t="inlineStr">
        <is>
          <t>Type TC-ER 600 V 3/C Cu XHHW-2 + ground, PVC jacket</t>
        </is>
      </c>
      <c r="K1714" s="12" t="inlineStr">
        <is>
          <t>LV|3/C+G|10</t>
        </is>
      </c>
      <c r="L1714" s="12" t="inlineStr">
        <is>
          <t>3/C+G</t>
        </is>
      </c>
      <c r="M1714" s="12" t="inlineStr">
        <is>
          <t>10</t>
        </is>
      </c>
      <c r="N1714" s="12" t="n">
        <v>1</v>
      </c>
      <c r="O1714" s="12" t="n">
        <v>1</v>
      </c>
      <c r="P1714" s="12" t="n">
        <v>480</v>
      </c>
      <c r="Q1714" s="12" t="n">
        <v>2.5</v>
      </c>
      <c r="R1714" s="12" t="n">
        <v>3.5</v>
      </c>
      <c r="S1714" s="12" t="inlineStr">
        <is>
          <t>Tray</t>
        </is>
      </c>
      <c r="T1714" s="16" t="n">
        <v>0</v>
      </c>
      <c r="U1714" s="16" t="n">
        <v>87</v>
      </c>
      <c r="V1714" s="16">
        <f>ROUNDUP((T1714+U1714+2*'Read Me'!$B$13)*(1+'Read Me'!$B$12),-1)</f>
        <v/>
      </c>
      <c r="W1714" s="16">
        <f>V1714*N1714*O1714</f>
        <v/>
      </c>
      <c r="X1714" s="12">
        <f>IF(LEFT(I1714,2)="MV",2*N1714*IF(L1714="1/C",O1714,1),0)</f>
        <v/>
      </c>
      <c r="Y1714" s="12">
        <f>IF(OR(LEFT(K1714,4)="LVAX",LEFT(K1714,6)="MV15AX",LEFT(K1714,4)="CTAX",LEFT(K1714,2)="W|"),2*N1714*O1714,0)</f>
        <v/>
      </c>
      <c r="Z1714" s="12" t="inlineStr">
        <is>
          <t>VD 0.1 %</t>
        </is>
      </c>
      <c r="AA1714" s="12">
        <f>N1714*O1714</f>
        <v/>
      </c>
    </row>
    <row r="1715">
      <c r="A1715" s="12" t="inlineStr">
        <is>
          <t>A-P-0348</t>
        </is>
      </c>
      <c r="B1715" s="12" t="inlineStr">
        <is>
          <t>A</t>
        </is>
      </c>
      <c r="C1715" s="12" t="inlineStr">
        <is>
          <t>Power block</t>
        </is>
      </c>
      <c r="D1715" s="12" t="inlineStr">
        <is>
          <t>MOV 44: power</t>
        </is>
      </c>
      <c r="E1715" s="12" t="inlineStr">
        <is>
          <t>R2C</t>
        </is>
      </c>
      <c r="F1715" s="12" t="inlineStr">
        <is>
          <t>R2C: unit / HRSG electrical e-house (32 x 40 ft)</t>
        </is>
      </c>
      <c r="G1715" s="12" t="inlineStr">
        <is>
          <t>HRSG-3</t>
        </is>
      </c>
      <c r="H1715" s="12" t="inlineStr">
        <is>
          <t>HRSG 3 + SCR (3P reheat, horizontal)</t>
        </is>
      </c>
      <c r="I1715" s="12" t="inlineStr">
        <is>
          <t>LV 600 V</t>
        </is>
      </c>
      <c r="J1715" s="12" t="inlineStr">
        <is>
          <t>Type TC-ER 600 V 3/C Cu XHHW-2 + ground, PVC jacket</t>
        </is>
      </c>
      <c r="K1715" s="12" t="inlineStr">
        <is>
          <t>LV|3/C+G|10</t>
        </is>
      </c>
      <c r="L1715" s="12" t="inlineStr">
        <is>
          <t>3/C+G</t>
        </is>
      </c>
      <c r="M1715" s="12" t="inlineStr">
        <is>
          <t>10</t>
        </is>
      </c>
      <c r="N1715" s="12" t="n">
        <v>1</v>
      </c>
      <c r="O1715" s="12" t="n">
        <v>1</v>
      </c>
      <c r="P1715" s="12" t="n">
        <v>480</v>
      </c>
      <c r="Q1715" s="12" t="n">
        <v>2.5</v>
      </c>
      <c r="R1715" s="12" t="n">
        <v>3.5</v>
      </c>
      <c r="S1715" s="12" t="inlineStr">
        <is>
          <t>Tray</t>
        </is>
      </c>
      <c r="T1715" s="16" t="n">
        <v>0</v>
      </c>
      <c r="U1715" s="16" t="n">
        <v>87</v>
      </c>
      <c r="V1715" s="16">
        <f>ROUNDUP((T1715+U1715+2*'Read Me'!$B$13)*(1+'Read Me'!$B$12),-1)</f>
        <v/>
      </c>
      <c r="W1715" s="16">
        <f>V1715*N1715*O1715</f>
        <v/>
      </c>
      <c r="X1715" s="12">
        <f>IF(LEFT(I1715,2)="MV",2*N1715*IF(L1715="1/C",O1715,1),0)</f>
        <v/>
      </c>
      <c r="Y1715" s="12">
        <f>IF(OR(LEFT(K1715,4)="LVAX",LEFT(K1715,6)="MV15AX",LEFT(K1715,4)="CTAX",LEFT(K1715,2)="W|"),2*N1715*O1715,0)</f>
        <v/>
      </c>
      <c r="Z1715" s="12" t="inlineStr">
        <is>
          <t>VD 0.1 %</t>
        </is>
      </c>
      <c r="AA1715" s="12">
        <f>N1715*O1715</f>
        <v/>
      </c>
    </row>
    <row r="1716">
      <c r="A1716" s="12" t="inlineStr">
        <is>
          <t>A-P-0349</t>
        </is>
      </c>
      <c r="B1716" s="12" t="inlineStr">
        <is>
          <t>A</t>
        </is>
      </c>
      <c r="C1716" s="12" t="inlineStr">
        <is>
          <t>Power block</t>
        </is>
      </c>
      <c r="D1716" s="12" t="inlineStr">
        <is>
          <t>MOV 45: power</t>
        </is>
      </c>
      <c r="E1716" s="12" t="inlineStr">
        <is>
          <t>R2C</t>
        </is>
      </c>
      <c r="F1716" s="12" t="inlineStr">
        <is>
          <t>R2C: unit / HRSG electrical e-house (32 x 40 ft)</t>
        </is>
      </c>
      <c r="G1716" s="12" t="inlineStr">
        <is>
          <t>HRSG-3</t>
        </is>
      </c>
      <c r="H1716" s="12" t="inlineStr">
        <is>
          <t>HRSG 3 + SCR (3P reheat, horizontal)</t>
        </is>
      </c>
      <c r="I1716" s="12" t="inlineStr">
        <is>
          <t>LV 600 V</t>
        </is>
      </c>
      <c r="J1716" s="12" t="inlineStr">
        <is>
          <t>Type TC-ER 600 V 3/C Cu XHHW-2 + ground, PVC jacket</t>
        </is>
      </c>
      <c r="K1716" s="12" t="inlineStr">
        <is>
          <t>LV|3/C+G|10</t>
        </is>
      </c>
      <c r="L1716" s="12" t="inlineStr">
        <is>
          <t>3/C+G</t>
        </is>
      </c>
      <c r="M1716" s="12" t="inlineStr">
        <is>
          <t>10</t>
        </is>
      </c>
      <c r="N1716" s="12" t="n">
        <v>1</v>
      </c>
      <c r="O1716" s="12" t="n">
        <v>1</v>
      </c>
      <c r="P1716" s="12" t="n">
        <v>480</v>
      </c>
      <c r="Q1716" s="12" t="n">
        <v>2.5</v>
      </c>
      <c r="R1716" s="12" t="n">
        <v>3.5</v>
      </c>
      <c r="S1716" s="12" t="inlineStr">
        <is>
          <t>Tray</t>
        </is>
      </c>
      <c r="T1716" s="16" t="n">
        <v>0</v>
      </c>
      <c r="U1716" s="16" t="n">
        <v>87</v>
      </c>
      <c r="V1716" s="16">
        <f>ROUNDUP((T1716+U1716+2*'Read Me'!$B$13)*(1+'Read Me'!$B$12),-1)</f>
        <v/>
      </c>
      <c r="W1716" s="16">
        <f>V1716*N1716*O1716</f>
        <v/>
      </c>
      <c r="X1716" s="12">
        <f>IF(LEFT(I1716,2)="MV",2*N1716*IF(L1716="1/C",O1716,1),0)</f>
        <v/>
      </c>
      <c r="Y1716" s="12">
        <f>IF(OR(LEFT(K1716,4)="LVAX",LEFT(K1716,6)="MV15AX",LEFT(K1716,4)="CTAX",LEFT(K1716,2)="W|"),2*N1716*O1716,0)</f>
        <v/>
      </c>
      <c r="Z1716" s="12" t="inlineStr">
        <is>
          <t>VD 0.1 %</t>
        </is>
      </c>
      <c r="AA1716" s="12">
        <f>N1716*O1716</f>
        <v/>
      </c>
    </row>
    <row r="1717">
      <c r="A1717" s="12" t="inlineStr">
        <is>
          <t>A-P-0350</t>
        </is>
      </c>
      <c r="B1717" s="12" t="inlineStr">
        <is>
          <t>A</t>
        </is>
      </c>
      <c r="C1717" s="12" t="inlineStr">
        <is>
          <t>Power block</t>
        </is>
      </c>
      <c r="D1717" s="12" t="inlineStr">
        <is>
          <t>Area / platform lighting circuit 1 (12 fixtures)</t>
        </is>
      </c>
      <c r="E1717" s="12" t="inlineStr">
        <is>
          <t>R2C</t>
        </is>
      </c>
      <c r="F1717" s="12" t="inlineStr">
        <is>
          <t>R2C: unit / HRSG electrical e-house (32 x 40 ft)</t>
        </is>
      </c>
      <c r="G1717" s="12" t="inlineStr">
        <is>
          <t>HRSG-3</t>
        </is>
      </c>
      <c r="H1717" s="12" t="inlineStr">
        <is>
          <t>HRSG 3 + SCR (3P reheat, horizontal)</t>
        </is>
      </c>
      <c r="I1717" s="12" t="inlineStr">
        <is>
          <t>LV 600 V</t>
        </is>
      </c>
      <c r="J1717" s="12" t="inlineStr">
        <is>
          <t>Type TC-ER 600 V 3/C Cu XHHW-2 + ground, PVC jacket</t>
        </is>
      </c>
      <c r="K1717" s="12" t="inlineStr">
        <is>
          <t>LV|3/C+G|10</t>
        </is>
      </c>
      <c r="L1717" s="12" t="inlineStr">
        <is>
          <t>3/C+G</t>
        </is>
      </c>
      <c r="M1717" s="12" t="inlineStr">
        <is>
          <t>10</t>
        </is>
      </c>
      <c r="N1717" s="12" t="n">
        <v>1</v>
      </c>
      <c r="O1717" s="12" t="n">
        <v>1</v>
      </c>
      <c r="P1717" s="12" t="n">
        <v>480</v>
      </c>
      <c r="Q1717" s="12" t="n">
        <v>3</v>
      </c>
      <c r="R1717" s="12" t="n">
        <v>5</v>
      </c>
      <c r="S1717" s="12" t="inlineStr">
        <is>
          <t>Tray</t>
        </is>
      </c>
      <c r="T1717" s="16" t="n">
        <v>300</v>
      </c>
      <c r="U1717" s="16" t="n">
        <v>87</v>
      </c>
      <c r="V1717" s="16">
        <f>ROUNDUP((T1717+U1717+2*'Read Me'!$B$13)*(1+'Read Me'!$B$12),-1)</f>
        <v/>
      </c>
      <c r="W1717" s="16">
        <f>V1717*N1717*O1717</f>
        <v/>
      </c>
      <c r="X1717" s="12">
        <f>IF(LEFT(I1717,2)="MV",2*N1717*IF(L1717="1/C",O1717,1),0)</f>
        <v/>
      </c>
      <c r="Y1717" s="12">
        <f>IF(OR(LEFT(K1717,4)="LVAX",LEFT(K1717,6)="MV15AX",LEFT(K1717,4)="CTAX",LEFT(K1717,2)="W|"),2*N1717*O1717,0)</f>
        <v/>
      </c>
      <c r="Z1717" s="12" t="inlineStr">
        <is>
          <t>fixture-to-fixture run included</t>
        </is>
      </c>
      <c r="AA1717" s="12">
        <f>N1717*O1717</f>
        <v/>
      </c>
    </row>
    <row r="1718">
      <c r="A1718" s="12" t="inlineStr">
        <is>
          <t>A-P-0351</t>
        </is>
      </c>
      <c r="B1718" s="12" t="inlineStr">
        <is>
          <t>A</t>
        </is>
      </c>
      <c r="C1718" s="12" t="inlineStr">
        <is>
          <t>Power block</t>
        </is>
      </c>
      <c r="D1718" s="12" t="inlineStr">
        <is>
          <t>Area / platform lighting circuit 2 (12 fixtures)</t>
        </is>
      </c>
      <c r="E1718" s="12" t="inlineStr">
        <is>
          <t>R2C</t>
        </is>
      </c>
      <c r="F1718" s="12" t="inlineStr">
        <is>
          <t>R2C: unit / HRSG electrical e-house (32 x 40 ft)</t>
        </is>
      </c>
      <c r="G1718" s="12" t="inlineStr">
        <is>
          <t>HRSG-3</t>
        </is>
      </c>
      <c r="H1718" s="12" t="inlineStr">
        <is>
          <t>HRSG 3 + SCR (3P reheat, horizontal)</t>
        </is>
      </c>
      <c r="I1718" s="12" t="inlineStr">
        <is>
          <t>LV 600 V</t>
        </is>
      </c>
      <c r="J1718" s="12" t="inlineStr">
        <is>
          <t>Type TC-ER 600 V 3/C Cu XHHW-2 + ground, PVC jacket</t>
        </is>
      </c>
      <c r="K1718" s="12" t="inlineStr">
        <is>
          <t>LV|3/C+G|10</t>
        </is>
      </c>
      <c r="L1718" s="12" t="inlineStr">
        <is>
          <t>3/C+G</t>
        </is>
      </c>
      <c r="M1718" s="12" t="inlineStr">
        <is>
          <t>10</t>
        </is>
      </c>
      <c r="N1718" s="12" t="n">
        <v>1</v>
      </c>
      <c r="O1718" s="12" t="n">
        <v>1</v>
      </c>
      <c r="P1718" s="12" t="n">
        <v>480</v>
      </c>
      <c r="Q1718" s="12" t="n">
        <v>3</v>
      </c>
      <c r="R1718" s="12" t="n">
        <v>5</v>
      </c>
      <c r="S1718" s="12" t="inlineStr">
        <is>
          <t>Tray</t>
        </is>
      </c>
      <c r="T1718" s="16" t="n">
        <v>300</v>
      </c>
      <c r="U1718" s="16" t="n">
        <v>87</v>
      </c>
      <c r="V1718" s="16">
        <f>ROUNDUP((T1718+U1718+2*'Read Me'!$B$13)*(1+'Read Me'!$B$12),-1)</f>
        <v/>
      </c>
      <c r="W1718" s="16">
        <f>V1718*N1718*O1718</f>
        <v/>
      </c>
      <c r="X1718" s="12">
        <f>IF(LEFT(I1718,2)="MV",2*N1718*IF(L1718="1/C",O1718,1),0)</f>
        <v/>
      </c>
      <c r="Y1718" s="12">
        <f>IF(OR(LEFT(K1718,4)="LVAX",LEFT(K1718,6)="MV15AX",LEFT(K1718,4)="CTAX",LEFT(K1718,2)="W|"),2*N1718*O1718,0)</f>
        <v/>
      </c>
      <c r="Z1718" s="12" t="inlineStr">
        <is>
          <t>fixture-to-fixture run included</t>
        </is>
      </c>
      <c r="AA1718" s="12">
        <f>N1718*O1718</f>
        <v/>
      </c>
    </row>
    <row r="1719">
      <c r="A1719" s="12" t="inlineStr">
        <is>
          <t>A-P-0352</t>
        </is>
      </c>
      <c r="B1719" s="12" t="inlineStr">
        <is>
          <t>A</t>
        </is>
      </c>
      <c r="C1719" s="12" t="inlineStr">
        <is>
          <t>Power block</t>
        </is>
      </c>
      <c r="D1719" s="12" t="inlineStr">
        <is>
          <t>Area / platform lighting circuit 3 (12 fixtures)</t>
        </is>
      </c>
      <c r="E1719" s="12" t="inlineStr">
        <is>
          <t>R2C</t>
        </is>
      </c>
      <c r="F1719" s="12" t="inlineStr">
        <is>
          <t>R2C: unit / HRSG electrical e-house (32 x 40 ft)</t>
        </is>
      </c>
      <c r="G1719" s="12" t="inlineStr">
        <is>
          <t>HRSG-3</t>
        </is>
      </c>
      <c r="H1719" s="12" t="inlineStr">
        <is>
          <t>HRSG 3 + SCR (3P reheat, horizontal)</t>
        </is>
      </c>
      <c r="I1719" s="12" t="inlineStr">
        <is>
          <t>LV 600 V</t>
        </is>
      </c>
      <c r="J1719" s="12" t="inlineStr">
        <is>
          <t>Type TC-ER 600 V 3/C Cu XHHW-2 + ground, PVC jacket</t>
        </is>
      </c>
      <c r="K1719" s="12" t="inlineStr">
        <is>
          <t>LV|3/C+G|10</t>
        </is>
      </c>
      <c r="L1719" s="12" t="inlineStr">
        <is>
          <t>3/C+G</t>
        </is>
      </c>
      <c r="M1719" s="12" t="inlineStr">
        <is>
          <t>10</t>
        </is>
      </c>
      <c r="N1719" s="12" t="n">
        <v>1</v>
      </c>
      <c r="O1719" s="12" t="n">
        <v>1</v>
      </c>
      <c r="P1719" s="12" t="n">
        <v>480</v>
      </c>
      <c r="Q1719" s="12" t="n">
        <v>3</v>
      </c>
      <c r="R1719" s="12" t="n">
        <v>5</v>
      </c>
      <c r="S1719" s="12" t="inlineStr">
        <is>
          <t>Tray</t>
        </is>
      </c>
      <c r="T1719" s="16" t="n">
        <v>300</v>
      </c>
      <c r="U1719" s="16" t="n">
        <v>87</v>
      </c>
      <c r="V1719" s="16">
        <f>ROUNDUP((T1719+U1719+2*'Read Me'!$B$13)*(1+'Read Me'!$B$12),-1)</f>
        <v/>
      </c>
      <c r="W1719" s="16">
        <f>V1719*N1719*O1719</f>
        <v/>
      </c>
      <c r="X1719" s="12">
        <f>IF(LEFT(I1719,2)="MV",2*N1719*IF(L1719="1/C",O1719,1),0)</f>
        <v/>
      </c>
      <c r="Y1719" s="12">
        <f>IF(OR(LEFT(K1719,4)="LVAX",LEFT(K1719,6)="MV15AX",LEFT(K1719,4)="CTAX",LEFT(K1719,2)="W|"),2*N1719*O1719,0)</f>
        <v/>
      </c>
      <c r="Z1719" s="12" t="inlineStr">
        <is>
          <t>fixture-to-fixture run included</t>
        </is>
      </c>
      <c r="AA1719" s="12">
        <f>N1719*O1719</f>
        <v/>
      </c>
    </row>
    <row r="1720">
      <c r="A1720" s="12" t="inlineStr">
        <is>
          <t>A-P-0353</t>
        </is>
      </c>
      <c r="B1720" s="12" t="inlineStr">
        <is>
          <t>A</t>
        </is>
      </c>
      <c r="C1720" s="12" t="inlineStr">
        <is>
          <t>Power block</t>
        </is>
      </c>
      <c r="D1720" s="12" t="inlineStr">
        <is>
          <t>Area / platform lighting circuit 4 (4 fixtures)</t>
        </is>
      </c>
      <c r="E1720" s="12" t="inlineStr">
        <is>
          <t>R2C</t>
        </is>
      </c>
      <c r="F1720" s="12" t="inlineStr">
        <is>
          <t>R2C: unit / HRSG electrical e-house (32 x 40 ft)</t>
        </is>
      </c>
      <c r="G1720" s="12" t="inlineStr">
        <is>
          <t>HRSG-3</t>
        </is>
      </c>
      <c r="H1720" s="12" t="inlineStr">
        <is>
          <t>HRSG 3 + SCR (3P reheat, horizontal)</t>
        </is>
      </c>
      <c r="I1720" s="12" t="inlineStr">
        <is>
          <t>LV 600 V</t>
        </is>
      </c>
      <c r="J1720" s="12" t="inlineStr">
        <is>
          <t>Type TC-ER 600 V 3/C Cu XHHW-2 + ground, PVC jacket</t>
        </is>
      </c>
      <c r="K1720" s="12" t="inlineStr">
        <is>
          <t>LV|3/C+G|10</t>
        </is>
      </c>
      <c r="L1720" s="12" t="inlineStr">
        <is>
          <t>3/C+G</t>
        </is>
      </c>
      <c r="M1720" s="12" t="inlineStr">
        <is>
          <t>10</t>
        </is>
      </c>
      <c r="N1720" s="12" t="n">
        <v>1</v>
      </c>
      <c r="O1720" s="12" t="n">
        <v>1</v>
      </c>
      <c r="P1720" s="12" t="n">
        <v>480</v>
      </c>
      <c r="Q1720" s="12" t="n">
        <v>3</v>
      </c>
      <c r="R1720" s="12" t="n">
        <v>5</v>
      </c>
      <c r="S1720" s="12" t="inlineStr">
        <is>
          <t>Tray</t>
        </is>
      </c>
      <c r="T1720" s="16" t="n">
        <v>300</v>
      </c>
      <c r="U1720" s="16" t="n">
        <v>87</v>
      </c>
      <c r="V1720" s="16">
        <f>ROUNDUP((T1720+U1720+2*'Read Me'!$B$13)*(1+'Read Me'!$B$12),-1)</f>
        <v/>
      </c>
      <c r="W1720" s="16">
        <f>V1720*N1720*O1720</f>
        <v/>
      </c>
      <c r="X1720" s="12">
        <f>IF(LEFT(I1720,2)="MV",2*N1720*IF(L1720="1/C",O1720,1),0)</f>
        <v/>
      </c>
      <c r="Y1720" s="12">
        <f>IF(OR(LEFT(K1720,4)="LVAX",LEFT(K1720,6)="MV15AX",LEFT(K1720,4)="CTAX",LEFT(K1720,2)="W|"),2*N1720*O1720,0)</f>
        <v/>
      </c>
      <c r="Z1720" s="12" t="inlineStr">
        <is>
          <t>fixture-to-fixture run included</t>
        </is>
      </c>
      <c r="AA1720" s="12">
        <f>N1720*O1720</f>
        <v/>
      </c>
    </row>
    <row r="1721">
      <c r="A1721" s="12" t="inlineStr">
        <is>
          <t>A-P-0354</t>
        </is>
      </c>
      <c r="B1721" s="12" t="inlineStr">
        <is>
          <t>A</t>
        </is>
      </c>
      <c r="C1721" s="12" t="inlineStr">
        <is>
          <t>Power block</t>
        </is>
      </c>
      <c r="D1721" s="12" t="inlineStr">
        <is>
          <t>480 V welding receptacle 1</t>
        </is>
      </c>
      <c r="E1721" s="12" t="inlineStr">
        <is>
          <t>R2C</t>
        </is>
      </c>
      <c r="F1721" s="12" t="inlineStr">
        <is>
          <t>R2C: unit / HRSG electrical e-house (32 x 40 ft)</t>
        </is>
      </c>
      <c r="G1721" s="12" t="inlineStr">
        <is>
          <t>HRSG-3</t>
        </is>
      </c>
      <c r="H1721" s="12" t="inlineStr">
        <is>
          <t>HRSG 3 + SCR (3P reheat, horizontal)</t>
        </is>
      </c>
      <c r="I1721" s="12" t="inlineStr">
        <is>
          <t>LV 600 V</t>
        </is>
      </c>
      <c r="J1721" s="12" t="inlineStr">
        <is>
          <t>Type TC-ER 600 V 3/C Cu XHHW-2 + ground, PVC jacket</t>
        </is>
      </c>
      <c r="K1721" s="12" t="inlineStr">
        <is>
          <t>LV|3/C+G|2</t>
        </is>
      </c>
      <c r="L1721" s="12" t="inlineStr">
        <is>
          <t>3/C+G</t>
        </is>
      </c>
      <c r="M1721" s="12" t="inlineStr">
        <is>
          <t>2</t>
        </is>
      </c>
      <c r="N1721" s="12" t="n">
        <v>1</v>
      </c>
      <c r="O1721" s="12" t="n">
        <v>1</v>
      </c>
      <c r="P1721" s="12" t="n">
        <v>480</v>
      </c>
      <c r="Q1721" s="12" t="n">
        <v>60</v>
      </c>
      <c r="R1721" s="12" t="n">
        <v>76</v>
      </c>
      <c r="S1721" s="12" t="inlineStr">
        <is>
          <t>Tray</t>
        </is>
      </c>
      <c r="T1721" s="16" t="n">
        <v>0</v>
      </c>
      <c r="U1721" s="16" t="n">
        <v>87</v>
      </c>
      <c r="V1721" s="16">
        <f>ROUNDUP((T1721+U1721+2*'Read Me'!$B$13)*(1+'Read Me'!$B$12),-1)</f>
        <v/>
      </c>
      <c r="W1721" s="16">
        <f>V1721*N1721*O1721</f>
        <v/>
      </c>
      <c r="X1721" s="12">
        <f>IF(LEFT(I1721,2)="MV",2*N1721*IF(L1721="1/C",O1721,1),0)</f>
        <v/>
      </c>
      <c r="Y1721" s="12">
        <f>IF(OR(LEFT(K1721,4)="LVAX",LEFT(K1721,6)="MV15AX",LEFT(K1721,4)="CTAX",LEFT(K1721,2)="W|"),2*N1721*O1721,0)</f>
        <v/>
      </c>
      <c r="Z1721" s="12" t="inlineStr">
        <is>
          <t>VD 0.5 %</t>
        </is>
      </c>
      <c r="AA1721" s="12">
        <f>N1721*O1721</f>
        <v/>
      </c>
    </row>
    <row r="1722">
      <c r="A1722" s="12" t="inlineStr">
        <is>
          <t>A-P-0355</t>
        </is>
      </c>
      <c r="B1722" s="12" t="inlineStr">
        <is>
          <t>A</t>
        </is>
      </c>
      <c r="C1722" s="12" t="inlineStr">
        <is>
          <t>Power block</t>
        </is>
      </c>
      <c r="D1722" s="12" t="inlineStr">
        <is>
          <t>480 V welding receptacle 2</t>
        </is>
      </c>
      <c r="E1722" s="12" t="inlineStr">
        <is>
          <t>R2C</t>
        </is>
      </c>
      <c r="F1722" s="12" t="inlineStr">
        <is>
          <t>R2C: unit / HRSG electrical e-house (32 x 40 ft)</t>
        </is>
      </c>
      <c r="G1722" s="12" t="inlineStr">
        <is>
          <t>HRSG-3</t>
        </is>
      </c>
      <c r="H1722" s="12" t="inlineStr">
        <is>
          <t>HRSG 3 + SCR (3P reheat, horizontal)</t>
        </is>
      </c>
      <c r="I1722" s="12" t="inlineStr">
        <is>
          <t>LV 600 V</t>
        </is>
      </c>
      <c r="J1722" s="12" t="inlineStr">
        <is>
          <t>Type TC-ER 600 V 3/C Cu XHHW-2 + ground, PVC jacket</t>
        </is>
      </c>
      <c r="K1722" s="12" t="inlineStr">
        <is>
          <t>LV|3/C+G|2</t>
        </is>
      </c>
      <c r="L1722" s="12" t="inlineStr">
        <is>
          <t>3/C+G</t>
        </is>
      </c>
      <c r="M1722" s="12" t="inlineStr">
        <is>
          <t>2</t>
        </is>
      </c>
      <c r="N1722" s="12" t="n">
        <v>1</v>
      </c>
      <c r="O1722" s="12" t="n">
        <v>1</v>
      </c>
      <c r="P1722" s="12" t="n">
        <v>480</v>
      </c>
      <c r="Q1722" s="12" t="n">
        <v>60</v>
      </c>
      <c r="R1722" s="12" t="n">
        <v>76</v>
      </c>
      <c r="S1722" s="12" t="inlineStr">
        <is>
          <t>Tray</t>
        </is>
      </c>
      <c r="T1722" s="16" t="n">
        <v>0</v>
      </c>
      <c r="U1722" s="16" t="n">
        <v>87</v>
      </c>
      <c r="V1722" s="16">
        <f>ROUNDUP((T1722+U1722+2*'Read Me'!$B$13)*(1+'Read Me'!$B$12),-1)</f>
        <v/>
      </c>
      <c r="W1722" s="16">
        <f>V1722*N1722*O1722</f>
        <v/>
      </c>
      <c r="X1722" s="12">
        <f>IF(LEFT(I1722,2)="MV",2*N1722*IF(L1722="1/C",O1722,1),0)</f>
        <v/>
      </c>
      <c r="Y1722" s="12">
        <f>IF(OR(LEFT(K1722,4)="LVAX",LEFT(K1722,6)="MV15AX",LEFT(K1722,4)="CTAX",LEFT(K1722,2)="W|"),2*N1722*O1722,0)</f>
        <v/>
      </c>
      <c r="Z1722" s="12" t="inlineStr">
        <is>
          <t>VD 0.5 %</t>
        </is>
      </c>
      <c r="AA1722" s="12">
        <f>N1722*O1722</f>
        <v/>
      </c>
    </row>
    <row r="1723">
      <c r="A1723" s="12" t="inlineStr">
        <is>
          <t>A-P-0356</t>
        </is>
      </c>
      <c r="B1723" s="12" t="inlineStr">
        <is>
          <t>A</t>
        </is>
      </c>
      <c r="C1723" s="12" t="inlineStr">
        <is>
          <t>Power block</t>
        </is>
      </c>
      <c r="D1723" s="12" t="inlineStr">
        <is>
          <t>480 V welding receptacle 3</t>
        </is>
      </c>
      <c r="E1723" s="12" t="inlineStr">
        <is>
          <t>R2C</t>
        </is>
      </c>
      <c r="F1723" s="12" t="inlineStr">
        <is>
          <t>R2C: unit / HRSG electrical e-house (32 x 40 ft)</t>
        </is>
      </c>
      <c r="G1723" s="12" t="inlineStr">
        <is>
          <t>HRSG-3</t>
        </is>
      </c>
      <c r="H1723" s="12" t="inlineStr">
        <is>
          <t>HRSG 3 + SCR (3P reheat, horizontal)</t>
        </is>
      </c>
      <c r="I1723" s="12" t="inlineStr">
        <is>
          <t>LV 600 V</t>
        </is>
      </c>
      <c r="J1723" s="12" t="inlineStr">
        <is>
          <t>Type TC-ER 600 V 3/C Cu XHHW-2 + ground, PVC jacket</t>
        </is>
      </c>
      <c r="K1723" s="12" t="inlineStr">
        <is>
          <t>LV|3/C+G|2</t>
        </is>
      </c>
      <c r="L1723" s="12" t="inlineStr">
        <is>
          <t>3/C+G</t>
        </is>
      </c>
      <c r="M1723" s="12" t="inlineStr">
        <is>
          <t>2</t>
        </is>
      </c>
      <c r="N1723" s="12" t="n">
        <v>1</v>
      </c>
      <c r="O1723" s="12" t="n">
        <v>1</v>
      </c>
      <c r="P1723" s="12" t="n">
        <v>480</v>
      </c>
      <c r="Q1723" s="12" t="n">
        <v>60</v>
      </c>
      <c r="R1723" s="12" t="n">
        <v>76</v>
      </c>
      <c r="S1723" s="12" t="inlineStr">
        <is>
          <t>Tray</t>
        </is>
      </c>
      <c r="T1723" s="16" t="n">
        <v>0</v>
      </c>
      <c r="U1723" s="16" t="n">
        <v>87</v>
      </c>
      <c r="V1723" s="16">
        <f>ROUNDUP((T1723+U1723+2*'Read Me'!$B$13)*(1+'Read Me'!$B$12),-1)</f>
        <v/>
      </c>
      <c r="W1723" s="16">
        <f>V1723*N1723*O1723</f>
        <v/>
      </c>
      <c r="X1723" s="12">
        <f>IF(LEFT(I1723,2)="MV",2*N1723*IF(L1723="1/C",O1723,1),0)</f>
        <v/>
      </c>
      <c r="Y1723" s="12">
        <f>IF(OR(LEFT(K1723,4)="LVAX",LEFT(K1723,6)="MV15AX",LEFT(K1723,4)="CTAX",LEFT(K1723,2)="W|"),2*N1723*O1723,0)</f>
        <v/>
      </c>
      <c r="Z1723" s="12" t="inlineStr">
        <is>
          <t>VD 0.5 %</t>
        </is>
      </c>
      <c r="AA1723" s="12">
        <f>N1723*O1723</f>
        <v/>
      </c>
    </row>
    <row r="1724">
      <c r="A1724" s="12" t="inlineStr">
        <is>
          <t>A-P-0357</t>
        </is>
      </c>
      <c r="B1724" s="12" t="inlineStr">
        <is>
          <t>A</t>
        </is>
      </c>
      <c r="C1724" s="12" t="inlineStr">
        <is>
          <t>Power block</t>
        </is>
      </c>
      <c r="D1724" s="12" t="inlineStr">
        <is>
          <t>480 V welding receptacle 4</t>
        </is>
      </c>
      <c r="E1724" s="12" t="inlineStr">
        <is>
          <t>R2C</t>
        </is>
      </c>
      <c r="F1724" s="12" t="inlineStr">
        <is>
          <t>R2C: unit / HRSG electrical e-house (32 x 40 ft)</t>
        </is>
      </c>
      <c r="G1724" s="12" t="inlineStr">
        <is>
          <t>HRSG-3</t>
        </is>
      </c>
      <c r="H1724" s="12" t="inlineStr">
        <is>
          <t>HRSG 3 + SCR (3P reheat, horizontal)</t>
        </is>
      </c>
      <c r="I1724" s="12" t="inlineStr">
        <is>
          <t>LV 600 V</t>
        </is>
      </c>
      <c r="J1724" s="12" t="inlineStr">
        <is>
          <t>Type TC-ER 600 V 3/C Cu XHHW-2 + ground, PVC jacket</t>
        </is>
      </c>
      <c r="K1724" s="12" t="inlineStr">
        <is>
          <t>LV|3/C+G|2</t>
        </is>
      </c>
      <c r="L1724" s="12" t="inlineStr">
        <is>
          <t>3/C+G</t>
        </is>
      </c>
      <c r="M1724" s="12" t="inlineStr">
        <is>
          <t>2</t>
        </is>
      </c>
      <c r="N1724" s="12" t="n">
        <v>1</v>
      </c>
      <c r="O1724" s="12" t="n">
        <v>1</v>
      </c>
      <c r="P1724" s="12" t="n">
        <v>480</v>
      </c>
      <c r="Q1724" s="12" t="n">
        <v>60</v>
      </c>
      <c r="R1724" s="12" t="n">
        <v>76</v>
      </c>
      <c r="S1724" s="12" t="inlineStr">
        <is>
          <t>Tray</t>
        </is>
      </c>
      <c r="T1724" s="16" t="n">
        <v>0</v>
      </c>
      <c r="U1724" s="16" t="n">
        <v>87</v>
      </c>
      <c r="V1724" s="16">
        <f>ROUNDUP((T1724+U1724+2*'Read Me'!$B$13)*(1+'Read Me'!$B$12),-1)</f>
        <v/>
      </c>
      <c r="W1724" s="16">
        <f>V1724*N1724*O1724</f>
        <v/>
      </c>
      <c r="X1724" s="12">
        <f>IF(LEFT(I1724,2)="MV",2*N1724*IF(L1724="1/C",O1724,1),0)</f>
        <v/>
      </c>
      <c r="Y1724" s="12">
        <f>IF(OR(LEFT(K1724,4)="LVAX",LEFT(K1724,6)="MV15AX",LEFT(K1724,4)="CTAX",LEFT(K1724,2)="W|"),2*N1724*O1724,0)</f>
        <v/>
      </c>
      <c r="Z1724" s="12" t="inlineStr">
        <is>
          <t>VD 0.5 %</t>
        </is>
      </c>
      <c r="AA1724" s="12">
        <f>N1724*O1724</f>
        <v/>
      </c>
    </row>
    <row r="1725">
      <c r="A1725" s="12" t="inlineStr">
        <is>
          <t>A-P-0358</t>
        </is>
      </c>
      <c r="B1725" s="12" t="inlineStr">
        <is>
          <t>A</t>
        </is>
      </c>
      <c r="C1725" s="12" t="inlineStr">
        <is>
          <t>Power block</t>
        </is>
      </c>
      <c r="D1725" s="12" t="inlineStr">
        <is>
          <t>MOV 1: power</t>
        </is>
      </c>
      <c r="E1725" s="12" t="inlineStr">
        <is>
          <t>R2C</t>
        </is>
      </c>
      <c r="F1725" s="12" t="inlineStr">
        <is>
          <t>R2C: unit / HRSG electrical e-house (32 x 40 ft)</t>
        </is>
      </c>
      <c r="G1725" s="12" t="inlineStr"/>
      <c r="H1725" s="12" t="inlineStr">
        <is>
          <t>HRSG 3 blowdown tank (continuous / intermittent)</t>
        </is>
      </c>
      <c r="I1725" s="12" t="inlineStr">
        <is>
          <t>LV 600 V</t>
        </is>
      </c>
      <c r="J1725" s="12" t="inlineStr">
        <is>
          <t>Type TC-ER 600 V 3/C Cu XHHW-2 + ground, PVC jacket</t>
        </is>
      </c>
      <c r="K1725" s="12" t="inlineStr">
        <is>
          <t>LV|3/C+G|10</t>
        </is>
      </c>
      <c r="L1725" s="12" t="inlineStr">
        <is>
          <t>3/C+G</t>
        </is>
      </c>
      <c r="M1725" s="12" t="inlineStr">
        <is>
          <t>10</t>
        </is>
      </c>
      <c r="N1725" s="12" t="n">
        <v>1</v>
      </c>
      <c r="O1725" s="12" t="n">
        <v>1</v>
      </c>
      <c r="P1725" s="12" t="n">
        <v>480</v>
      </c>
      <c r="Q1725" s="12" t="n">
        <v>2.5</v>
      </c>
      <c r="R1725" s="12" t="n">
        <v>3.5</v>
      </c>
      <c r="S1725" s="12" t="inlineStr">
        <is>
          <t>Tray</t>
        </is>
      </c>
      <c r="T1725" s="16" t="n">
        <v>38</v>
      </c>
      <c r="U1725" s="16" t="n">
        <v>86</v>
      </c>
      <c r="V1725" s="16">
        <f>ROUNDUP((T1725+U1725+2*'Read Me'!$B$13)*(1+'Read Me'!$B$12),-1)</f>
        <v/>
      </c>
      <c r="W1725" s="16">
        <f>V1725*N1725*O1725</f>
        <v/>
      </c>
      <c r="X1725" s="12">
        <f>IF(LEFT(I1725,2)="MV",2*N1725*IF(L1725="1/C",O1725,1),0)</f>
        <v/>
      </c>
      <c r="Y1725" s="12">
        <f>IF(OR(LEFT(K1725,4)="LVAX",LEFT(K1725,6)="MV15AX",LEFT(K1725,4)="CTAX",LEFT(K1725,2)="W|"),2*N1725*O1725,0)</f>
        <v/>
      </c>
      <c r="Z1725" s="12" t="inlineStr">
        <is>
          <t>VD 0.2 %</t>
        </is>
      </c>
      <c r="AA1725" s="12">
        <f>N1725*O1725</f>
        <v/>
      </c>
    </row>
    <row r="1726">
      <c r="A1726" s="12" t="inlineStr">
        <is>
          <t>A-P-0359</t>
        </is>
      </c>
      <c r="B1726" s="12" t="inlineStr">
        <is>
          <t>A</t>
        </is>
      </c>
      <c r="C1726" s="12" t="inlineStr">
        <is>
          <t>Power block</t>
        </is>
      </c>
      <c r="D1726" s="12" t="inlineStr">
        <is>
          <t>MOV 2: power</t>
        </is>
      </c>
      <c r="E1726" s="12" t="inlineStr">
        <is>
          <t>R2C</t>
        </is>
      </c>
      <c r="F1726" s="12" t="inlineStr">
        <is>
          <t>R2C: unit / HRSG electrical e-house (32 x 40 ft)</t>
        </is>
      </c>
      <c r="G1726" s="12" t="inlineStr"/>
      <c r="H1726" s="12" t="inlineStr">
        <is>
          <t>HRSG 3 blowdown tank (continuous / intermittent)</t>
        </is>
      </c>
      <c r="I1726" s="12" t="inlineStr">
        <is>
          <t>LV 600 V</t>
        </is>
      </c>
      <c r="J1726" s="12" t="inlineStr">
        <is>
          <t>Type TC-ER 600 V 3/C Cu XHHW-2 + ground, PVC jacket</t>
        </is>
      </c>
      <c r="K1726" s="12" t="inlineStr">
        <is>
          <t>LV|3/C+G|10</t>
        </is>
      </c>
      <c r="L1726" s="12" t="inlineStr">
        <is>
          <t>3/C+G</t>
        </is>
      </c>
      <c r="M1726" s="12" t="inlineStr">
        <is>
          <t>10</t>
        </is>
      </c>
      <c r="N1726" s="12" t="n">
        <v>1</v>
      </c>
      <c r="O1726" s="12" t="n">
        <v>1</v>
      </c>
      <c r="P1726" s="12" t="n">
        <v>480</v>
      </c>
      <c r="Q1726" s="12" t="n">
        <v>2.5</v>
      </c>
      <c r="R1726" s="12" t="n">
        <v>3.5</v>
      </c>
      <c r="S1726" s="12" t="inlineStr">
        <is>
          <t>Tray</t>
        </is>
      </c>
      <c r="T1726" s="16" t="n">
        <v>38</v>
      </c>
      <c r="U1726" s="16" t="n">
        <v>86</v>
      </c>
      <c r="V1726" s="16">
        <f>ROUNDUP((T1726+U1726+2*'Read Me'!$B$13)*(1+'Read Me'!$B$12),-1)</f>
        <v/>
      </c>
      <c r="W1726" s="16">
        <f>V1726*N1726*O1726</f>
        <v/>
      </c>
      <c r="X1726" s="12">
        <f>IF(LEFT(I1726,2)="MV",2*N1726*IF(L1726="1/C",O1726,1),0)</f>
        <v/>
      </c>
      <c r="Y1726" s="12">
        <f>IF(OR(LEFT(K1726,4)="LVAX",LEFT(K1726,6)="MV15AX",LEFT(K1726,4)="CTAX",LEFT(K1726,2)="W|"),2*N1726*O1726,0)</f>
        <v/>
      </c>
      <c r="Z1726" s="12" t="inlineStr">
        <is>
          <t>VD 0.2 %</t>
        </is>
      </c>
      <c r="AA1726" s="12">
        <f>N1726*O1726</f>
        <v/>
      </c>
    </row>
    <row r="1727">
      <c r="A1727" s="12" t="inlineStr">
        <is>
          <t>A-P-0360</t>
        </is>
      </c>
      <c r="B1727" s="12" t="inlineStr">
        <is>
          <t>A</t>
        </is>
      </c>
      <c r="C1727" s="12" t="inlineStr">
        <is>
          <t>Power block</t>
        </is>
      </c>
      <c r="D1727" s="12" t="inlineStr">
        <is>
          <t>MOV 3: power</t>
        </is>
      </c>
      <c r="E1727" s="12" t="inlineStr">
        <is>
          <t>R2C</t>
        </is>
      </c>
      <c r="F1727" s="12" t="inlineStr">
        <is>
          <t>R2C: unit / HRSG electrical e-house (32 x 40 ft)</t>
        </is>
      </c>
      <c r="G1727" s="12" t="inlineStr"/>
      <c r="H1727" s="12" t="inlineStr">
        <is>
          <t>HRSG 3 blowdown tank (continuous / intermittent)</t>
        </is>
      </c>
      <c r="I1727" s="12" t="inlineStr">
        <is>
          <t>LV 600 V</t>
        </is>
      </c>
      <c r="J1727" s="12" t="inlineStr">
        <is>
          <t>Type TC-ER 600 V 3/C Cu XHHW-2 + ground, PVC jacket</t>
        </is>
      </c>
      <c r="K1727" s="12" t="inlineStr">
        <is>
          <t>LV|3/C+G|10</t>
        </is>
      </c>
      <c r="L1727" s="12" t="inlineStr">
        <is>
          <t>3/C+G</t>
        </is>
      </c>
      <c r="M1727" s="12" t="inlineStr">
        <is>
          <t>10</t>
        </is>
      </c>
      <c r="N1727" s="12" t="n">
        <v>1</v>
      </c>
      <c r="O1727" s="12" t="n">
        <v>1</v>
      </c>
      <c r="P1727" s="12" t="n">
        <v>480</v>
      </c>
      <c r="Q1727" s="12" t="n">
        <v>2.5</v>
      </c>
      <c r="R1727" s="12" t="n">
        <v>3.5</v>
      </c>
      <c r="S1727" s="12" t="inlineStr">
        <is>
          <t>Tray</t>
        </is>
      </c>
      <c r="T1727" s="16" t="n">
        <v>38</v>
      </c>
      <c r="U1727" s="16" t="n">
        <v>86</v>
      </c>
      <c r="V1727" s="16">
        <f>ROUNDUP((T1727+U1727+2*'Read Me'!$B$13)*(1+'Read Me'!$B$12),-1)</f>
        <v/>
      </c>
      <c r="W1727" s="16">
        <f>V1727*N1727*O1727</f>
        <v/>
      </c>
      <c r="X1727" s="12">
        <f>IF(LEFT(I1727,2)="MV",2*N1727*IF(L1727="1/C",O1727,1),0)</f>
        <v/>
      </c>
      <c r="Y1727" s="12">
        <f>IF(OR(LEFT(K1727,4)="LVAX",LEFT(K1727,6)="MV15AX",LEFT(K1727,4)="CTAX",LEFT(K1727,2)="W|"),2*N1727*O1727,0)</f>
        <v/>
      </c>
      <c r="Z1727" s="12" t="inlineStr">
        <is>
          <t>VD 0.2 %</t>
        </is>
      </c>
      <c r="AA1727" s="12">
        <f>N1727*O1727</f>
        <v/>
      </c>
    </row>
    <row r="1728">
      <c r="A1728" s="12" t="inlineStr">
        <is>
          <t>A-P-0361</t>
        </is>
      </c>
      <c r="B1728" s="12" t="inlineStr">
        <is>
          <t>A</t>
        </is>
      </c>
      <c r="C1728" s="12" t="inlineStr">
        <is>
          <t>Power block</t>
        </is>
      </c>
      <c r="D1728" s="12" t="inlineStr">
        <is>
          <t>MOV 4: power</t>
        </is>
      </c>
      <c r="E1728" s="12" t="inlineStr">
        <is>
          <t>R2C</t>
        </is>
      </c>
      <c r="F1728" s="12" t="inlineStr">
        <is>
          <t>R2C: unit / HRSG electrical e-house (32 x 40 ft)</t>
        </is>
      </c>
      <c r="G1728" s="12" t="inlineStr"/>
      <c r="H1728" s="12" t="inlineStr">
        <is>
          <t>HRSG 3 blowdown tank (continuous / intermittent)</t>
        </is>
      </c>
      <c r="I1728" s="12" t="inlineStr">
        <is>
          <t>LV 600 V</t>
        </is>
      </c>
      <c r="J1728" s="12" t="inlineStr">
        <is>
          <t>Type TC-ER 600 V 3/C Cu XHHW-2 + ground, PVC jacket</t>
        </is>
      </c>
      <c r="K1728" s="12" t="inlineStr">
        <is>
          <t>LV|3/C+G|10</t>
        </is>
      </c>
      <c r="L1728" s="12" t="inlineStr">
        <is>
          <t>3/C+G</t>
        </is>
      </c>
      <c r="M1728" s="12" t="inlineStr">
        <is>
          <t>10</t>
        </is>
      </c>
      <c r="N1728" s="12" t="n">
        <v>1</v>
      </c>
      <c r="O1728" s="12" t="n">
        <v>1</v>
      </c>
      <c r="P1728" s="12" t="n">
        <v>480</v>
      </c>
      <c r="Q1728" s="12" t="n">
        <v>2.5</v>
      </c>
      <c r="R1728" s="12" t="n">
        <v>3.5</v>
      </c>
      <c r="S1728" s="12" t="inlineStr">
        <is>
          <t>Tray</t>
        </is>
      </c>
      <c r="T1728" s="16" t="n">
        <v>38</v>
      </c>
      <c r="U1728" s="16" t="n">
        <v>86</v>
      </c>
      <c r="V1728" s="16">
        <f>ROUNDUP((T1728+U1728+2*'Read Me'!$B$13)*(1+'Read Me'!$B$12),-1)</f>
        <v/>
      </c>
      <c r="W1728" s="16">
        <f>V1728*N1728*O1728</f>
        <v/>
      </c>
      <c r="X1728" s="12">
        <f>IF(LEFT(I1728,2)="MV",2*N1728*IF(L1728="1/C",O1728,1),0)</f>
        <v/>
      </c>
      <c r="Y1728" s="12">
        <f>IF(OR(LEFT(K1728,4)="LVAX",LEFT(K1728,6)="MV15AX",LEFT(K1728,4)="CTAX",LEFT(K1728,2)="W|"),2*N1728*O1728,0)</f>
        <v/>
      </c>
      <c r="Z1728" s="12" t="inlineStr">
        <is>
          <t>VD 0.2 %</t>
        </is>
      </c>
      <c r="AA1728" s="12">
        <f>N1728*O1728</f>
        <v/>
      </c>
    </row>
    <row r="1729">
      <c r="A1729" s="12" t="inlineStr">
        <is>
          <t>A-P-0362</t>
        </is>
      </c>
      <c r="B1729" s="12" t="inlineStr">
        <is>
          <t>A</t>
        </is>
      </c>
      <c r="C1729" s="12" t="inlineStr">
        <is>
          <t>Power block</t>
        </is>
      </c>
      <c r="D1729" s="12" t="inlineStr">
        <is>
          <t>LV power feeder</t>
        </is>
      </c>
      <c r="E1729" s="12" t="inlineStr">
        <is>
          <t>R2C</t>
        </is>
      </c>
      <c r="F1729" s="12" t="inlineStr">
        <is>
          <t>R2C: unit / HRSG electrical e-house (32 x 40 ft)</t>
        </is>
      </c>
      <c r="G1729" s="12" t="inlineStr"/>
      <c r="H1729" s="12" t="inlineStr">
        <is>
          <t>HRSG 3 blowdown tank (continuous / intermittent)</t>
        </is>
      </c>
      <c r="I1729" s="12" t="inlineStr">
        <is>
          <t>LV 600 V</t>
        </is>
      </c>
      <c r="J1729" s="12" t="inlineStr">
        <is>
          <t>Type TC-ER 600 V 3/C Cu XHHW-2 + ground, PVC jacket</t>
        </is>
      </c>
      <c r="K1729" s="12" t="inlineStr">
        <is>
          <t>LV|3/C+G|10</t>
        </is>
      </c>
      <c r="L1729" s="12" t="inlineStr">
        <is>
          <t>3/C+G</t>
        </is>
      </c>
      <c r="M1729" s="12" t="inlineStr">
        <is>
          <t>10</t>
        </is>
      </c>
      <c r="N1729" s="12" t="n">
        <v>1</v>
      </c>
      <c r="O1729" s="12" t="n">
        <v>1</v>
      </c>
      <c r="P1729" s="12" t="n">
        <v>480</v>
      </c>
      <c r="Q1729" s="12" t="n">
        <v>10</v>
      </c>
      <c r="R1729" s="12" t="n">
        <v>14.2</v>
      </c>
      <c r="S1729" s="12" t="inlineStr">
        <is>
          <t>Tray</t>
        </is>
      </c>
      <c r="T1729" s="16" t="n">
        <v>38</v>
      </c>
      <c r="U1729" s="16" t="n">
        <v>86</v>
      </c>
      <c r="V1729" s="16">
        <f>ROUNDUP((T1729+U1729+2*'Read Me'!$B$13)*(1+'Read Me'!$B$12),-1)</f>
        <v/>
      </c>
      <c r="W1729" s="16">
        <f>V1729*N1729*O1729</f>
        <v/>
      </c>
      <c r="X1729" s="12">
        <f>IF(LEFT(I1729,2)="MV",2*N1729*IF(L1729="1/C",O1729,1),0)</f>
        <v/>
      </c>
      <c r="Y1729" s="12">
        <f>IF(OR(LEFT(K1729,4)="LVAX",LEFT(K1729,6)="MV15AX",LEFT(K1729,4)="CTAX",LEFT(K1729,2)="W|"),2*N1729*O1729,0)</f>
        <v/>
      </c>
      <c r="Z1729" s="12" t="inlineStr">
        <is>
          <t>VD 0.8 %</t>
        </is>
      </c>
      <c r="AA1729" s="12">
        <f>N1729*O1729</f>
        <v/>
      </c>
    </row>
    <row r="1730">
      <c r="A1730" s="12" t="inlineStr">
        <is>
          <t>A-P-0363</t>
        </is>
      </c>
      <c r="B1730" s="12" t="inlineStr">
        <is>
          <t>A</t>
        </is>
      </c>
      <c r="C1730" s="12" t="inlineStr">
        <is>
          <t>Power block</t>
        </is>
      </c>
      <c r="D1730" s="12" t="inlineStr">
        <is>
          <t>Motor 1 of 6, 2 kW</t>
        </is>
      </c>
      <c r="E1730" s="12" t="inlineStr">
        <is>
          <t>R2C</t>
        </is>
      </c>
      <c r="F1730" s="12" t="inlineStr">
        <is>
          <t>R2C: unit / HRSG electrical e-house (32 x 40 ft)</t>
        </is>
      </c>
      <c r="G1730" s="12" t="inlineStr"/>
      <c r="H1730" s="12" t="inlineStr">
        <is>
          <t>HRSG 3 chemical feed skid (phosphate / amine)</t>
        </is>
      </c>
      <c r="I1730" s="12" t="inlineStr">
        <is>
          <t>LV 600 V</t>
        </is>
      </c>
      <c r="J1730" s="12" t="inlineStr">
        <is>
          <t>Type TC-ER 600 V 3/C Cu XHHW-2 + ground, PVC jacket</t>
        </is>
      </c>
      <c r="K1730" s="12" t="inlineStr">
        <is>
          <t>LV|3/C+G|10</t>
        </is>
      </c>
      <c r="L1730" s="12" t="inlineStr">
        <is>
          <t>3/C+G</t>
        </is>
      </c>
      <c r="M1730" s="12" t="inlineStr">
        <is>
          <t>10</t>
        </is>
      </c>
      <c r="N1730" s="12" t="n">
        <v>1</v>
      </c>
      <c r="O1730" s="12" t="n">
        <v>1</v>
      </c>
      <c r="P1730" s="12" t="n">
        <v>480</v>
      </c>
      <c r="Q1730" s="12" t="n">
        <v>2</v>
      </c>
      <c r="R1730" s="12" t="n">
        <v>2.8</v>
      </c>
      <c r="S1730" s="12" t="inlineStr">
        <is>
          <t>Tray</t>
        </is>
      </c>
      <c r="T1730" s="16" t="n">
        <v>404</v>
      </c>
      <c r="U1730" s="16" t="n">
        <v>108</v>
      </c>
      <c r="V1730" s="16">
        <f>ROUNDUP((T1730+U1730+2*'Read Me'!$B$13)*(1+'Read Me'!$B$12),-1)</f>
        <v/>
      </c>
      <c r="W1730" s="16">
        <f>V1730*N1730*O1730</f>
        <v/>
      </c>
      <c r="X1730" s="12">
        <f>IF(LEFT(I1730,2)="MV",2*N1730*IF(L1730="1/C",O1730,1),0)</f>
        <v/>
      </c>
      <c r="Y1730" s="12">
        <f>IF(OR(LEFT(K1730,4)="LVAX",LEFT(K1730,6)="MV15AX",LEFT(K1730,4)="CTAX",LEFT(K1730,2)="W|"),2*N1730*O1730,0)</f>
        <v/>
      </c>
      <c r="Z1730" s="12" t="inlineStr">
        <is>
          <t>VD 0.7 %</t>
        </is>
      </c>
      <c r="AA1730" s="12">
        <f>N1730*O1730</f>
        <v/>
      </c>
    </row>
    <row r="1731">
      <c r="A1731" s="12" t="inlineStr">
        <is>
          <t>A-P-0364</t>
        </is>
      </c>
      <c r="B1731" s="12" t="inlineStr">
        <is>
          <t>A</t>
        </is>
      </c>
      <c r="C1731" s="12" t="inlineStr">
        <is>
          <t>Power block</t>
        </is>
      </c>
      <c r="D1731" s="12" t="inlineStr">
        <is>
          <t>Motor 2 of 6, 2 kW</t>
        </is>
      </c>
      <c r="E1731" s="12" t="inlineStr">
        <is>
          <t>R2C</t>
        </is>
      </c>
      <c r="F1731" s="12" t="inlineStr">
        <is>
          <t>R2C: unit / HRSG electrical e-house (32 x 40 ft)</t>
        </is>
      </c>
      <c r="G1731" s="12" t="inlineStr"/>
      <c r="H1731" s="12" t="inlineStr">
        <is>
          <t>HRSG 3 chemical feed skid (phosphate / amine)</t>
        </is>
      </c>
      <c r="I1731" s="12" t="inlineStr">
        <is>
          <t>LV 600 V</t>
        </is>
      </c>
      <c r="J1731" s="12" t="inlineStr">
        <is>
          <t>Type TC-ER 600 V 3/C Cu XHHW-2 + ground, PVC jacket</t>
        </is>
      </c>
      <c r="K1731" s="12" t="inlineStr">
        <is>
          <t>LV|3/C+G|10</t>
        </is>
      </c>
      <c r="L1731" s="12" t="inlineStr">
        <is>
          <t>3/C+G</t>
        </is>
      </c>
      <c r="M1731" s="12" t="inlineStr">
        <is>
          <t>10</t>
        </is>
      </c>
      <c r="N1731" s="12" t="n">
        <v>1</v>
      </c>
      <c r="O1731" s="12" t="n">
        <v>1</v>
      </c>
      <c r="P1731" s="12" t="n">
        <v>480</v>
      </c>
      <c r="Q1731" s="12" t="n">
        <v>2</v>
      </c>
      <c r="R1731" s="12" t="n">
        <v>2.8</v>
      </c>
      <c r="S1731" s="12" t="inlineStr">
        <is>
          <t>Tray</t>
        </is>
      </c>
      <c r="T1731" s="16" t="n">
        <v>404</v>
      </c>
      <c r="U1731" s="16" t="n">
        <v>108</v>
      </c>
      <c r="V1731" s="16">
        <f>ROUNDUP((T1731+U1731+2*'Read Me'!$B$13)*(1+'Read Me'!$B$12),-1)</f>
        <v/>
      </c>
      <c r="W1731" s="16">
        <f>V1731*N1731*O1731</f>
        <v/>
      </c>
      <c r="X1731" s="12">
        <f>IF(LEFT(I1731,2)="MV",2*N1731*IF(L1731="1/C",O1731,1),0)</f>
        <v/>
      </c>
      <c r="Y1731" s="12">
        <f>IF(OR(LEFT(K1731,4)="LVAX",LEFT(K1731,6)="MV15AX",LEFT(K1731,4)="CTAX",LEFT(K1731,2)="W|"),2*N1731*O1731,0)</f>
        <v/>
      </c>
      <c r="Z1731" s="12" t="inlineStr">
        <is>
          <t>VD 0.7 %</t>
        </is>
      </c>
      <c r="AA1731" s="12">
        <f>N1731*O1731</f>
        <v/>
      </c>
    </row>
    <row r="1732">
      <c r="A1732" s="12" t="inlineStr">
        <is>
          <t>A-P-0365</t>
        </is>
      </c>
      <c r="B1732" s="12" t="inlineStr">
        <is>
          <t>A</t>
        </is>
      </c>
      <c r="C1732" s="12" t="inlineStr">
        <is>
          <t>Power block</t>
        </is>
      </c>
      <c r="D1732" s="12" t="inlineStr">
        <is>
          <t>Motor 3 of 6, 2 kW</t>
        </is>
      </c>
      <c r="E1732" s="12" t="inlineStr">
        <is>
          <t>R2C</t>
        </is>
      </c>
      <c r="F1732" s="12" t="inlineStr">
        <is>
          <t>R2C: unit / HRSG electrical e-house (32 x 40 ft)</t>
        </is>
      </c>
      <c r="G1732" s="12" t="inlineStr"/>
      <c r="H1732" s="12" t="inlineStr">
        <is>
          <t>HRSG 3 chemical feed skid (phosphate / amine)</t>
        </is>
      </c>
      <c r="I1732" s="12" t="inlineStr">
        <is>
          <t>LV 600 V</t>
        </is>
      </c>
      <c r="J1732" s="12" t="inlineStr">
        <is>
          <t>Type TC-ER 600 V 3/C Cu XHHW-2 + ground, PVC jacket</t>
        </is>
      </c>
      <c r="K1732" s="12" t="inlineStr">
        <is>
          <t>LV|3/C+G|10</t>
        </is>
      </c>
      <c r="L1732" s="12" t="inlineStr">
        <is>
          <t>3/C+G</t>
        </is>
      </c>
      <c r="M1732" s="12" t="inlineStr">
        <is>
          <t>10</t>
        </is>
      </c>
      <c r="N1732" s="12" t="n">
        <v>1</v>
      </c>
      <c r="O1732" s="12" t="n">
        <v>1</v>
      </c>
      <c r="P1732" s="12" t="n">
        <v>480</v>
      </c>
      <c r="Q1732" s="12" t="n">
        <v>2</v>
      </c>
      <c r="R1732" s="12" t="n">
        <v>2.8</v>
      </c>
      <c r="S1732" s="12" t="inlineStr">
        <is>
          <t>Tray</t>
        </is>
      </c>
      <c r="T1732" s="16" t="n">
        <v>404</v>
      </c>
      <c r="U1732" s="16" t="n">
        <v>108</v>
      </c>
      <c r="V1732" s="16">
        <f>ROUNDUP((T1732+U1732+2*'Read Me'!$B$13)*(1+'Read Me'!$B$12),-1)</f>
        <v/>
      </c>
      <c r="W1732" s="16">
        <f>V1732*N1732*O1732</f>
        <v/>
      </c>
      <c r="X1732" s="12">
        <f>IF(LEFT(I1732,2)="MV",2*N1732*IF(L1732="1/C",O1732,1),0)</f>
        <v/>
      </c>
      <c r="Y1732" s="12">
        <f>IF(OR(LEFT(K1732,4)="LVAX",LEFT(K1732,6)="MV15AX",LEFT(K1732,4)="CTAX",LEFT(K1732,2)="W|"),2*N1732*O1732,0)</f>
        <v/>
      </c>
      <c r="Z1732" s="12" t="inlineStr">
        <is>
          <t>VD 0.7 %</t>
        </is>
      </c>
      <c r="AA1732" s="12">
        <f>N1732*O1732</f>
        <v/>
      </c>
    </row>
    <row r="1733">
      <c r="A1733" s="12" t="inlineStr">
        <is>
          <t>A-P-0366</t>
        </is>
      </c>
      <c r="B1733" s="12" t="inlineStr">
        <is>
          <t>A</t>
        </is>
      </c>
      <c r="C1733" s="12" t="inlineStr">
        <is>
          <t>Power block</t>
        </is>
      </c>
      <c r="D1733" s="12" t="inlineStr">
        <is>
          <t>Motor 4 of 6, 2 kW</t>
        </is>
      </c>
      <c r="E1733" s="12" t="inlineStr">
        <is>
          <t>R2C</t>
        </is>
      </c>
      <c r="F1733" s="12" t="inlineStr">
        <is>
          <t>R2C: unit / HRSG electrical e-house (32 x 40 ft)</t>
        </is>
      </c>
      <c r="G1733" s="12" t="inlineStr"/>
      <c r="H1733" s="12" t="inlineStr">
        <is>
          <t>HRSG 3 chemical feed skid (phosphate / amine)</t>
        </is>
      </c>
      <c r="I1733" s="12" t="inlineStr">
        <is>
          <t>LV 600 V</t>
        </is>
      </c>
      <c r="J1733" s="12" t="inlineStr">
        <is>
          <t>Type TC-ER 600 V 3/C Cu XHHW-2 + ground, PVC jacket</t>
        </is>
      </c>
      <c r="K1733" s="12" t="inlineStr">
        <is>
          <t>LV|3/C+G|10</t>
        </is>
      </c>
      <c r="L1733" s="12" t="inlineStr">
        <is>
          <t>3/C+G</t>
        </is>
      </c>
      <c r="M1733" s="12" t="inlineStr">
        <is>
          <t>10</t>
        </is>
      </c>
      <c r="N1733" s="12" t="n">
        <v>1</v>
      </c>
      <c r="O1733" s="12" t="n">
        <v>1</v>
      </c>
      <c r="P1733" s="12" t="n">
        <v>480</v>
      </c>
      <c r="Q1733" s="12" t="n">
        <v>2</v>
      </c>
      <c r="R1733" s="12" t="n">
        <v>2.8</v>
      </c>
      <c r="S1733" s="12" t="inlineStr">
        <is>
          <t>Tray</t>
        </is>
      </c>
      <c r="T1733" s="16" t="n">
        <v>404</v>
      </c>
      <c r="U1733" s="16" t="n">
        <v>108</v>
      </c>
      <c r="V1733" s="16">
        <f>ROUNDUP((T1733+U1733+2*'Read Me'!$B$13)*(1+'Read Me'!$B$12),-1)</f>
        <v/>
      </c>
      <c r="W1733" s="16">
        <f>V1733*N1733*O1733</f>
        <v/>
      </c>
      <c r="X1733" s="12">
        <f>IF(LEFT(I1733,2)="MV",2*N1733*IF(L1733="1/C",O1733,1),0)</f>
        <v/>
      </c>
      <c r="Y1733" s="12">
        <f>IF(OR(LEFT(K1733,4)="LVAX",LEFT(K1733,6)="MV15AX",LEFT(K1733,4)="CTAX",LEFT(K1733,2)="W|"),2*N1733*O1733,0)</f>
        <v/>
      </c>
      <c r="Z1733" s="12" t="inlineStr">
        <is>
          <t>VD 0.7 %</t>
        </is>
      </c>
      <c r="AA1733" s="12">
        <f>N1733*O1733</f>
        <v/>
      </c>
    </row>
    <row r="1734">
      <c r="A1734" s="12" t="inlineStr">
        <is>
          <t>A-P-0367</t>
        </is>
      </c>
      <c r="B1734" s="12" t="inlineStr">
        <is>
          <t>A</t>
        </is>
      </c>
      <c r="C1734" s="12" t="inlineStr">
        <is>
          <t>Power block</t>
        </is>
      </c>
      <c r="D1734" s="12" t="inlineStr">
        <is>
          <t>Motor 5 of 6, 2 kW</t>
        </is>
      </c>
      <c r="E1734" s="12" t="inlineStr">
        <is>
          <t>R2C</t>
        </is>
      </c>
      <c r="F1734" s="12" t="inlineStr">
        <is>
          <t>R2C: unit / HRSG electrical e-house (32 x 40 ft)</t>
        </is>
      </c>
      <c r="G1734" s="12" t="inlineStr"/>
      <c r="H1734" s="12" t="inlineStr">
        <is>
          <t>HRSG 3 chemical feed skid (phosphate / amine)</t>
        </is>
      </c>
      <c r="I1734" s="12" t="inlineStr">
        <is>
          <t>LV 600 V</t>
        </is>
      </c>
      <c r="J1734" s="12" t="inlineStr">
        <is>
          <t>Type TC-ER 600 V 3/C Cu XHHW-2 + ground, PVC jacket</t>
        </is>
      </c>
      <c r="K1734" s="12" t="inlineStr">
        <is>
          <t>LV|3/C+G|10</t>
        </is>
      </c>
      <c r="L1734" s="12" t="inlineStr">
        <is>
          <t>3/C+G</t>
        </is>
      </c>
      <c r="M1734" s="12" t="inlineStr">
        <is>
          <t>10</t>
        </is>
      </c>
      <c r="N1734" s="12" t="n">
        <v>1</v>
      </c>
      <c r="O1734" s="12" t="n">
        <v>1</v>
      </c>
      <c r="P1734" s="12" t="n">
        <v>480</v>
      </c>
      <c r="Q1734" s="12" t="n">
        <v>2</v>
      </c>
      <c r="R1734" s="12" t="n">
        <v>2.8</v>
      </c>
      <c r="S1734" s="12" t="inlineStr">
        <is>
          <t>Tray</t>
        </is>
      </c>
      <c r="T1734" s="16" t="n">
        <v>404</v>
      </c>
      <c r="U1734" s="16" t="n">
        <v>108</v>
      </c>
      <c r="V1734" s="16">
        <f>ROUNDUP((T1734+U1734+2*'Read Me'!$B$13)*(1+'Read Me'!$B$12),-1)</f>
        <v/>
      </c>
      <c r="W1734" s="16">
        <f>V1734*N1734*O1734</f>
        <v/>
      </c>
      <c r="X1734" s="12">
        <f>IF(LEFT(I1734,2)="MV",2*N1734*IF(L1734="1/C",O1734,1),0)</f>
        <v/>
      </c>
      <c r="Y1734" s="12">
        <f>IF(OR(LEFT(K1734,4)="LVAX",LEFT(K1734,6)="MV15AX",LEFT(K1734,4)="CTAX",LEFT(K1734,2)="W|"),2*N1734*O1734,0)</f>
        <v/>
      </c>
      <c r="Z1734" s="12" t="inlineStr">
        <is>
          <t>VD 0.7 %</t>
        </is>
      </c>
      <c r="AA1734" s="12">
        <f>N1734*O1734</f>
        <v/>
      </c>
    </row>
    <row r="1735">
      <c r="A1735" s="12" t="inlineStr">
        <is>
          <t>A-P-0368</t>
        </is>
      </c>
      <c r="B1735" s="12" t="inlineStr">
        <is>
          <t>A</t>
        </is>
      </c>
      <c r="C1735" s="12" t="inlineStr">
        <is>
          <t>Power block</t>
        </is>
      </c>
      <c r="D1735" s="12" t="inlineStr">
        <is>
          <t>Motor 6 of 6, 2 kW</t>
        </is>
      </c>
      <c r="E1735" s="12" t="inlineStr">
        <is>
          <t>R2C</t>
        </is>
      </c>
      <c r="F1735" s="12" t="inlineStr">
        <is>
          <t>R2C: unit / HRSG electrical e-house (32 x 40 ft)</t>
        </is>
      </c>
      <c r="G1735" s="12" t="inlineStr"/>
      <c r="H1735" s="12" t="inlineStr">
        <is>
          <t>HRSG 3 chemical feed skid (phosphate / amine)</t>
        </is>
      </c>
      <c r="I1735" s="12" t="inlineStr">
        <is>
          <t>LV 600 V</t>
        </is>
      </c>
      <c r="J1735" s="12" t="inlineStr">
        <is>
          <t>Type TC-ER 600 V 3/C Cu XHHW-2 + ground, PVC jacket</t>
        </is>
      </c>
      <c r="K1735" s="12" t="inlineStr">
        <is>
          <t>LV|3/C+G|10</t>
        </is>
      </c>
      <c r="L1735" s="12" t="inlineStr">
        <is>
          <t>3/C+G</t>
        </is>
      </c>
      <c r="M1735" s="12" t="inlineStr">
        <is>
          <t>10</t>
        </is>
      </c>
      <c r="N1735" s="12" t="n">
        <v>1</v>
      </c>
      <c r="O1735" s="12" t="n">
        <v>1</v>
      </c>
      <c r="P1735" s="12" t="n">
        <v>480</v>
      </c>
      <c r="Q1735" s="12" t="n">
        <v>2</v>
      </c>
      <c r="R1735" s="12" t="n">
        <v>2.8</v>
      </c>
      <c r="S1735" s="12" t="inlineStr">
        <is>
          <t>Tray</t>
        </is>
      </c>
      <c r="T1735" s="16" t="n">
        <v>404</v>
      </c>
      <c r="U1735" s="16" t="n">
        <v>108</v>
      </c>
      <c r="V1735" s="16">
        <f>ROUNDUP((T1735+U1735+2*'Read Me'!$B$13)*(1+'Read Me'!$B$12),-1)</f>
        <v/>
      </c>
      <c r="W1735" s="16">
        <f>V1735*N1735*O1735</f>
        <v/>
      </c>
      <c r="X1735" s="12">
        <f>IF(LEFT(I1735,2)="MV",2*N1735*IF(L1735="1/C",O1735,1),0)</f>
        <v/>
      </c>
      <c r="Y1735" s="12">
        <f>IF(OR(LEFT(K1735,4)="LVAX",LEFT(K1735,6)="MV15AX",LEFT(K1735,4)="CTAX",LEFT(K1735,2)="W|"),2*N1735*O1735,0)</f>
        <v/>
      </c>
      <c r="Z1735" s="12" t="inlineStr">
        <is>
          <t>VD 0.7 %</t>
        </is>
      </c>
      <c r="AA1735" s="12">
        <f>N1735*O1735</f>
        <v/>
      </c>
    </row>
    <row r="1736">
      <c r="A1736" s="12" t="inlineStr">
        <is>
          <t>A-P-0369</t>
        </is>
      </c>
      <c r="B1736" s="12" t="inlineStr">
        <is>
          <t>A</t>
        </is>
      </c>
      <c r="C1736" s="12" t="inlineStr">
        <is>
          <t>Power block</t>
        </is>
      </c>
      <c r="D1736" s="12" t="inlineStr">
        <is>
          <t>Area / platform lighting circuit 1 (6 fixtures)</t>
        </is>
      </c>
      <c r="E1736" s="12" t="inlineStr">
        <is>
          <t>R2C</t>
        </is>
      </c>
      <c r="F1736" s="12" t="inlineStr">
        <is>
          <t>R2C: unit / HRSG electrical e-house (32 x 40 ft)</t>
        </is>
      </c>
      <c r="G1736" s="12" t="inlineStr">
        <is>
          <t>STK-3</t>
        </is>
      </c>
      <c r="H1736" s="12" t="inlineStr">
        <is>
          <t>HRSG 3 stack</t>
        </is>
      </c>
      <c r="I1736" s="12" t="inlineStr">
        <is>
          <t>LV 600 V</t>
        </is>
      </c>
      <c r="J1736" s="12" t="inlineStr">
        <is>
          <t>Type TC-ER 600 V 3/C Cu XHHW-2 + ground, PVC jacket</t>
        </is>
      </c>
      <c r="K1736" s="12" t="inlineStr">
        <is>
          <t>LV|3/C+G|10</t>
        </is>
      </c>
      <c r="L1736" s="12" t="inlineStr">
        <is>
          <t>3/C+G</t>
        </is>
      </c>
      <c r="M1736" s="12" t="inlineStr">
        <is>
          <t>10</t>
        </is>
      </c>
      <c r="N1736" s="12" t="n">
        <v>1</v>
      </c>
      <c r="O1736" s="12" t="n">
        <v>1</v>
      </c>
      <c r="P1736" s="12" t="n">
        <v>480</v>
      </c>
      <c r="Q1736" s="12" t="n">
        <v>3</v>
      </c>
      <c r="R1736" s="12" t="n">
        <v>5</v>
      </c>
      <c r="S1736" s="12" t="inlineStr">
        <is>
          <t>Tray</t>
        </is>
      </c>
      <c r="T1736" s="16" t="n">
        <v>486</v>
      </c>
      <c r="U1736" s="16" t="n">
        <v>148</v>
      </c>
      <c r="V1736" s="16">
        <f>ROUNDUP((T1736+U1736+2*'Read Me'!$B$13)*(1+'Read Me'!$B$12),-1)</f>
        <v/>
      </c>
      <c r="W1736" s="16">
        <f>V1736*N1736*O1736</f>
        <v/>
      </c>
      <c r="X1736" s="12">
        <f>IF(LEFT(I1736,2)="MV",2*N1736*IF(L1736="1/C",O1736,1),0)</f>
        <v/>
      </c>
      <c r="Y1736" s="12">
        <f>IF(OR(LEFT(K1736,4)="LVAX",LEFT(K1736,6)="MV15AX",LEFT(K1736,4)="CTAX",LEFT(K1736,2)="W|"),2*N1736*O1736,0)</f>
        <v/>
      </c>
      <c r="Z1736" s="12" t="inlineStr">
        <is>
          <t>fixture-to-fixture run included</t>
        </is>
      </c>
      <c r="AA1736" s="12">
        <f>N1736*O1736</f>
        <v/>
      </c>
    </row>
    <row r="1737">
      <c r="A1737" s="12" t="inlineStr">
        <is>
          <t>A-P-0370</t>
        </is>
      </c>
      <c r="B1737" s="12" t="inlineStr">
        <is>
          <t>A</t>
        </is>
      </c>
      <c r="C1737" s="12" t="inlineStr">
        <is>
          <t>Power block</t>
        </is>
      </c>
      <c r="D1737" s="12" t="inlineStr">
        <is>
          <t>LV power feeder</t>
        </is>
      </c>
      <c r="E1737" s="12" t="inlineStr">
        <is>
          <t>LC-480-B</t>
        </is>
      </c>
      <c r="F1737" s="12" t="inlineStr">
        <is>
          <t>R1 LC-480-B (480 V switchgear)</t>
        </is>
      </c>
      <c r="G1737" s="12" t="inlineStr">
        <is>
          <t>HTP-1</t>
        </is>
      </c>
      <c r="H1737" s="12" t="inlineStr">
        <is>
          <t>HTP-1: heat-trace panel (rack)</t>
        </is>
      </c>
      <c r="I1737" s="12" t="inlineStr">
        <is>
          <t>LV 600 V</t>
        </is>
      </c>
      <c r="J1737" s="12" t="inlineStr">
        <is>
          <t>Type TC-ER 600 V 3/C Cu XHHW-2 + ground, PVC jacket</t>
        </is>
      </c>
      <c r="K1737" s="12" t="inlineStr">
        <is>
          <t>LV|3/C+G|4/0</t>
        </is>
      </c>
      <c r="L1737" s="12" t="inlineStr">
        <is>
          <t>3/C+G</t>
        </is>
      </c>
      <c r="M1737" s="12" t="inlineStr">
        <is>
          <t>4/0</t>
        </is>
      </c>
      <c r="N1737" s="12" t="n">
        <v>1</v>
      </c>
      <c r="O1737" s="12" t="n">
        <v>1</v>
      </c>
      <c r="P1737" s="12" t="n">
        <v>480</v>
      </c>
      <c r="Q1737" s="12" t="n">
        <v>120</v>
      </c>
      <c r="R1737" s="12" t="n">
        <v>169.8</v>
      </c>
      <c r="S1737" s="12" t="inlineStr">
        <is>
          <t>Tray</t>
        </is>
      </c>
      <c r="T1737" s="16" t="n">
        <v>208</v>
      </c>
      <c r="U1737" s="16" t="n">
        <v>135</v>
      </c>
      <c r="V1737" s="16">
        <f>ROUNDUP((T1737+U1737+2*'Read Me'!$B$13)*(1+'Read Me'!$B$12),-1)</f>
        <v/>
      </c>
      <c r="W1737" s="16">
        <f>V1737*N1737*O1737</f>
        <v/>
      </c>
      <c r="X1737" s="12">
        <f>IF(LEFT(I1737,2)="MV",2*N1737*IF(L1737="1/C",O1737,1),0)</f>
        <v/>
      </c>
      <c r="Y1737" s="12">
        <f>IF(OR(LEFT(K1737,4)="LVAX",LEFT(K1737,6)="MV15AX",LEFT(K1737,4)="CTAX",LEFT(K1737,2)="W|"),2*N1737*O1737,0)</f>
        <v/>
      </c>
      <c r="Z1737" s="12" t="inlineStr">
        <is>
          <t>VD 1.4 %</t>
        </is>
      </c>
      <c r="AA1737" s="12">
        <f>N1737*O1737</f>
        <v/>
      </c>
    </row>
    <row r="1738">
      <c r="A1738" s="12" t="inlineStr">
        <is>
          <t>A-P-0371</t>
        </is>
      </c>
      <c r="B1738" s="12" t="inlineStr">
        <is>
          <t>A</t>
        </is>
      </c>
      <c r="C1738" s="12" t="inlineStr">
        <is>
          <t>Power block</t>
        </is>
      </c>
      <c r="D1738" s="12" t="inlineStr">
        <is>
          <t>Heat-trace circuit 1 (power to the trace junction box)</t>
        </is>
      </c>
      <c r="E1738" s="12" t="inlineStr">
        <is>
          <t>HTP-1</t>
        </is>
      </c>
      <c r="F1738" s="12" t="inlineStr">
        <is>
          <t>HTP-1: heat-trace panel (rack)</t>
        </is>
      </c>
      <c r="G1738" s="12" t="inlineStr">
        <is>
          <t>HTP-1</t>
        </is>
      </c>
      <c r="H1738" s="12" t="inlineStr">
        <is>
          <t>HTP-1: heat-trace panel (rack)</t>
        </is>
      </c>
      <c r="I1738" s="12" t="inlineStr">
        <is>
          <t>LV 600 V</t>
        </is>
      </c>
      <c r="J1738" s="12" t="inlineStr">
        <is>
          <t>Type TC-ER 600 V 3/C Cu XHHW-2 + ground, PVC jacket</t>
        </is>
      </c>
      <c r="K1738" s="12" t="inlineStr">
        <is>
          <t>LV|3/C+G|10</t>
        </is>
      </c>
      <c r="L1738" s="12" t="inlineStr">
        <is>
          <t>3/C+G</t>
        </is>
      </c>
      <c r="M1738" s="12" t="inlineStr">
        <is>
          <t>10</t>
        </is>
      </c>
      <c r="N1738" s="12" t="n">
        <v>1</v>
      </c>
      <c r="O1738" s="12" t="n">
        <v>1</v>
      </c>
      <c r="P1738" s="12" t="n">
        <v>480</v>
      </c>
      <c r="Q1738" s="12" t="n">
        <v>4</v>
      </c>
      <c r="R1738" s="12" t="n">
        <v>6</v>
      </c>
      <c r="S1738" s="12" t="inlineStr">
        <is>
          <t>Tray</t>
        </is>
      </c>
      <c r="T1738" s="16" t="n">
        <v>180</v>
      </c>
      <c r="U1738" s="16" t="n">
        <v>20</v>
      </c>
      <c r="V1738" s="16">
        <f>ROUNDUP((T1738+U1738+2*'Read Me'!$B$13)*(1+'Read Me'!$B$12),-1)</f>
        <v/>
      </c>
      <c r="W1738" s="16">
        <f>V1738*N1738*O1738</f>
        <v/>
      </c>
      <c r="X1738" s="12">
        <f>IF(LEFT(I1738,2)="MV",2*N1738*IF(L1738="1/C",O1738,1),0)</f>
        <v/>
      </c>
      <c r="Y1738" s="12">
        <f>IF(OR(LEFT(K1738,4)="LVAX",LEFT(K1738,6)="MV15AX",LEFT(K1738,4)="CTAX",LEFT(K1738,2)="W|"),2*N1738*O1738,0)</f>
        <v/>
      </c>
      <c r="Z1738" s="12" t="inlineStr">
        <is>
          <t>heat-trace cable itself by others</t>
        </is>
      </c>
      <c r="AA1738" s="12">
        <f>N1738*O1738</f>
        <v/>
      </c>
    </row>
    <row r="1739">
      <c r="A1739" s="12" t="inlineStr">
        <is>
          <t>A-P-0372</t>
        </is>
      </c>
      <c r="B1739" s="12" t="inlineStr">
        <is>
          <t>A</t>
        </is>
      </c>
      <c r="C1739" s="12" t="inlineStr">
        <is>
          <t>Power block</t>
        </is>
      </c>
      <c r="D1739" s="12" t="inlineStr">
        <is>
          <t>Heat-trace circuit 2 (power to the trace junction box)</t>
        </is>
      </c>
      <c r="E1739" s="12" t="inlineStr">
        <is>
          <t>HTP-1</t>
        </is>
      </c>
      <c r="F1739" s="12" t="inlineStr">
        <is>
          <t>HTP-1: heat-trace panel (rack)</t>
        </is>
      </c>
      <c r="G1739" s="12" t="inlineStr">
        <is>
          <t>HTP-1</t>
        </is>
      </c>
      <c r="H1739" s="12" t="inlineStr">
        <is>
          <t>HTP-1: heat-trace panel (rack)</t>
        </is>
      </c>
      <c r="I1739" s="12" t="inlineStr">
        <is>
          <t>LV 600 V</t>
        </is>
      </c>
      <c r="J1739" s="12" t="inlineStr">
        <is>
          <t>Type TC-ER 600 V 3/C Cu XHHW-2 + ground, PVC jacket</t>
        </is>
      </c>
      <c r="K1739" s="12" t="inlineStr">
        <is>
          <t>LV|3/C+G|10</t>
        </is>
      </c>
      <c r="L1739" s="12" t="inlineStr">
        <is>
          <t>3/C+G</t>
        </is>
      </c>
      <c r="M1739" s="12" t="inlineStr">
        <is>
          <t>10</t>
        </is>
      </c>
      <c r="N1739" s="12" t="n">
        <v>1</v>
      </c>
      <c r="O1739" s="12" t="n">
        <v>1</v>
      </c>
      <c r="P1739" s="12" t="n">
        <v>480</v>
      </c>
      <c r="Q1739" s="12" t="n">
        <v>4</v>
      </c>
      <c r="R1739" s="12" t="n">
        <v>6</v>
      </c>
      <c r="S1739" s="12" t="inlineStr">
        <is>
          <t>Tray</t>
        </is>
      </c>
      <c r="T1739" s="16" t="n">
        <v>180</v>
      </c>
      <c r="U1739" s="16" t="n">
        <v>20</v>
      </c>
      <c r="V1739" s="16">
        <f>ROUNDUP((T1739+U1739+2*'Read Me'!$B$13)*(1+'Read Me'!$B$12),-1)</f>
        <v/>
      </c>
      <c r="W1739" s="16">
        <f>V1739*N1739*O1739</f>
        <v/>
      </c>
      <c r="X1739" s="12">
        <f>IF(LEFT(I1739,2)="MV",2*N1739*IF(L1739="1/C",O1739,1),0)</f>
        <v/>
      </c>
      <c r="Y1739" s="12">
        <f>IF(OR(LEFT(K1739,4)="LVAX",LEFT(K1739,6)="MV15AX",LEFT(K1739,4)="CTAX",LEFT(K1739,2)="W|"),2*N1739*O1739,0)</f>
        <v/>
      </c>
      <c r="Z1739" s="12" t="inlineStr">
        <is>
          <t>heat-trace cable itself by others</t>
        </is>
      </c>
      <c r="AA1739" s="12">
        <f>N1739*O1739</f>
        <v/>
      </c>
    </row>
    <row r="1740">
      <c r="A1740" s="12" t="inlineStr">
        <is>
          <t>A-P-0373</t>
        </is>
      </c>
      <c r="B1740" s="12" t="inlineStr">
        <is>
          <t>A</t>
        </is>
      </c>
      <c r="C1740" s="12" t="inlineStr">
        <is>
          <t>Power block</t>
        </is>
      </c>
      <c r="D1740" s="12" t="inlineStr">
        <is>
          <t>Heat-trace circuit 3 (power to the trace junction box)</t>
        </is>
      </c>
      <c r="E1740" s="12" t="inlineStr">
        <is>
          <t>HTP-1</t>
        </is>
      </c>
      <c r="F1740" s="12" t="inlineStr">
        <is>
          <t>HTP-1: heat-trace panel (rack)</t>
        </is>
      </c>
      <c r="G1740" s="12" t="inlineStr">
        <is>
          <t>HTP-1</t>
        </is>
      </c>
      <c r="H1740" s="12" t="inlineStr">
        <is>
          <t>HTP-1: heat-trace panel (rack)</t>
        </is>
      </c>
      <c r="I1740" s="12" t="inlineStr">
        <is>
          <t>LV 600 V</t>
        </is>
      </c>
      <c r="J1740" s="12" t="inlineStr">
        <is>
          <t>Type TC-ER 600 V 3/C Cu XHHW-2 + ground, PVC jacket</t>
        </is>
      </c>
      <c r="K1740" s="12" t="inlineStr">
        <is>
          <t>LV|3/C+G|10</t>
        </is>
      </c>
      <c r="L1740" s="12" t="inlineStr">
        <is>
          <t>3/C+G</t>
        </is>
      </c>
      <c r="M1740" s="12" t="inlineStr">
        <is>
          <t>10</t>
        </is>
      </c>
      <c r="N1740" s="12" t="n">
        <v>1</v>
      </c>
      <c r="O1740" s="12" t="n">
        <v>1</v>
      </c>
      <c r="P1740" s="12" t="n">
        <v>480</v>
      </c>
      <c r="Q1740" s="12" t="n">
        <v>4</v>
      </c>
      <c r="R1740" s="12" t="n">
        <v>6</v>
      </c>
      <c r="S1740" s="12" t="inlineStr">
        <is>
          <t>Tray</t>
        </is>
      </c>
      <c r="T1740" s="16" t="n">
        <v>180</v>
      </c>
      <c r="U1740" s="16" t="n">
        <v>20</v>
      </c>
      <c r="V1740" s="16">
        <f>ROUNDUP((T1740+U1740+2*'Read Me'!$B$13)*(1+'Read Me'!$B$12),-1)</f>
        <v/>
      </c>
      <c r="W1740" s="16">
        <f>V1740*N1740*O1740</f>
        <v/>
      </c>
      <c r="X1740" s="12">
        <f>IF(LEFT(I1740,2)="MV",2*N1740*IF(L1740="1/C",O1740,1),0)</f>
        <v/>
      </c>
      <c r="Y1740" s="12">
        <f>IF(OR(LEFT(K1740,4)="LVAX",LEFT(K1740,6)="MV15AX",LEFT(K1740,4)="CTAX",LEFT(K1740,2)="W|"),2*N1740*O1740,0)</f>
        <v/>
      </c>
      <c r="Z1740" s="12" t="inlineStr">
        <is>
          <t>heat-trace cable itself by others</t>
        </is>
      </c>
      <c r="AA1740" s="12">
        <f>N1740*O1740</f>
        <v/>
      </c>
    </row>
    <row r="1741">
      <c r="A1741" s="12" t="inlineStr">
        <is>
          <t>A-P-0374</t>
        </is>
      </c>
      <c r="B1741" s="12" t="inlineStr">
        <is>
          <t>A</t>
        </is>
      </c>
      <c r="C1741" s="12" t="inlineStr">
        <is>
          <t>Power block</t>
        </is>
      </c>
      <c r="D1741" s="12" t="inlineStr">
        <is>
          <t>Heat-trace circuit 4 (power to the trace junction box)</t>
        </is>
      </c>
      <c r="E1741" s="12" t="inlineStr">
        <is>
          <t>HTP-1</t>
        </is>
      </c>
      <c r="F1741" s="12" t="inlineStr">
        <is>
          <t>HTP-1: heat-trace panel (rack)</t>
        </is>
      </c>
      <c r="G1741" s="12" t="inlineStr">
        <is>
          <t>HTP-1</t>
        </is>
      </c>
      <c r="H1741" s="12" t="inlineStr">
        <is>
          <t>HTP-1: heat-trace panel (rack)</t>
        </is>
      </c>
      <c r="I1741" s="12" t="inlineStr">
        <is>
          <t>LV 600 V</t>
        </is>
      </c>
      <c r="J1741" s="12" t="inlineStr">
        <is>
          <t>Type TC-ER 600 V 3/C Cu XHHW-2 + ground, PVC jacket</t>
        </is>
      </c>
      <c r="K1741" s="12" t="inlineStr">
        <is>
          <t>LV|3/C+G|10</t>
        </is>
      </c>
      <c r="L1741" s="12" t="inlineStr">
        <is>
          <t>3/C+G</t>
        </is>
      </c>
      <c r="M1741" s="12" t="inlineStr">
        <is>
          <t>10</t>
        </is>
      </c>
      <c r="N1741" s="12" t="n">
        <v>1</v>
      </c>
      <c r="O1741" s="12" t="n">
        <v>1</v>
      </c>
      <c r="P1741" s="12" t="n">
        <v>480</v>
      </c>
      <c r="Q1741" s="12" t="n">
        <v>4</v>
      </c>
      <c r="R1741" s="12" t="n">
        <v>6</v>
      </c>
      <c r="S1741" s="12" t="inlineStr">
        <is>
          <t>Tray</t>
        </is>
      </c>
      <c r="T1741" s="16" t="n">
        <v>180</v>
      </c>
      <c r="U1741" s="16" t="n">
        <v>20</v>
      </c>
      <c r="V1741" s="16">
        <f>ROUNDUP((T1741+U1741+2*'Read Me'!$B$13)*(1+'Read Me'!$B$12),-1)</f>
        <v/>
      </c>
      <c r="W1741" s="16">
        <f>V1741*N1741*O1741</f>
        <v/>
      </c>
      <c r="X1741" s="12">
        <f>IF(LEFT(I1741,2)="MV",2*N1741*IF(L1741="1/C",O1741,1),0)</f>
        <v/>
      </c>
      <c r="Y1741" s="12">
        <f>IF(OR(LEFT(K1741,4)="LVAX",LEFT(K1741,6)="MV15AX",LEFT(K1741,4)="CTAX",LEFT(K1741,2)="W|"),2*N1741*O1741,0)</f>
        <v/>
      </c>
      <c r="Z1741" s="12" t="inlineStr">
        <is>
          <t>heat-trace cable itself by others</t>
        </is>
      </c>
      <c r="AA1741" s="12">
        <f>N1741*O1741</f>
        <v/>
      </c>
    </row>
    <row r="1742">
      <c r="A1742" s="12" t="inlineStr">
        <is>
          <t>A-P-0375</t>
        </is>
      </c>
      <c r="B1742" s="12" t="inlineStr">
        <is>
          <t>A</t>
        </is>
      </c>
      <c r="C1742" s="12" t="inlineStr">
        <is>
          <t>Power block</t>
        </is>
      </c>
      <c r="D1742" s="12" t="inlineStr">
        <is>
          <t>Heat-trace circuit 5 (power to the trace junction box)</t>
        </is>
      </c>
      <c r="E1742" s="12" t="inlineStr">
        <is>
          <t>HTP-1</t>
        </is>
      </c>
      <c r="F1742" s="12" t="inlineStr">
        <is>
          <t>HTP-1: heat-trace panel (rack)</t>
        </is>
      </c>
      <c r="G1742" s="12" t="inlineStr">
        <is>
          <t>HTP-1</t>
        </is>
      </c>
      <c r="H1742" s="12" t="inlineStr">
        <is>
          <t>HTP-1: heat-trace panel (rack)</t>
        </is>
      </c>
      <c r="I1742" s="12" t="inlineStr">
        <is>
          <t>LV 600 V</t>
        </is>
      </c>
      <c r="J1742" s="12" t="inlineStr">
        <is>
          <t>Type TC-ER 600 V 3/C Cu XHHW-2 + ground, PVC jacket</t>
        </is>
      </c>
      <c r="K1742" s="12" t="inlineStr">
        <is>
          <t>LV|3/C+G|10</t>
        </is>
      </c>
      <c r="L1742" s="12" t="inlineStr">
        <is>
          <t>3/C+G</t>
        </is>
      </c>
      <c r="M1742" s="12" t="inlineStr">
        <is>
          <t>10</t>
        </is>
      </c>
      <c r="N1742" s="12" t="n">
        <v>1</v>
      </c>
      <c r="O1742" s="12" t="n">
        <v>1</v>
      </c>
      <c r="P1742" s="12" t="n">
        <v>480</v>
      </c>
      <c r="Q1742" s="12" t="n">
        <v>4</v>
      </c>
      <c r="R1742" s="12" t="n">
        <v>6</v>
      </c>
      <c r="S1742" s="12" t="inlineStr">
        <is>
          <t>Tray</t>
        </is>
      </c>
      <c r="T1742" s="16" t="n">
        <v>180</v>
      </c>
      <c r="U1742" s="16" t="n">
        <v>20</v>
      </c>
      <c r="V1742" s="16">
        <f>ROUNDUP((T1742+U1742+2*'Read Me'!$B$13)*(1+'Read Me'!$B$12),-1)</f>
        <v/>
      </c>
      <c r="W1742" s="16">
        <f>V1742*N1742*O1742</f>
        <v/>
      </c>
      <c r="X1742" s="12">
        <f>IF(LEFT(I1742,2)="MV",2*N1742*IF(L1742="1/C",O1742,1),0)</f>
        <v/>
      </c>
      <c r="Y1742" s="12">
        <f>IF(OR(LEFT(K1742,4)="LVAX",LEFT(K1742,6)="MV15AX",LEFT(K1742,4)="CTAX",LEFT(K1742,2)="W|"),2*N1742*O1742,0)</f>
        <v/>
      </c>
      <c r="Z1742" s="12" t="inlineStr">
        <is>
          <t>heat-trace cable itself by others</t>
        </is>
      </c>
      <c r="AA1742" s="12">
        <f>N1742*O1742</f>
        <v/>
      </c>
    </row>
    <row r="1743">
      <c r="A1743" s="12" t="inlineStr">
        <is>
          <t>A-P-0376</t>
        </is>
      </c>
      <c r="B1743" s="12" t="inlineStr">
        <is>
          <t>A</t>
        </is>
      </c>
      <c r="C1743" s="12" t="inlineStr">
        <is>
          <t>Power block</t>
        </is>
      </c>
      <c r="D1743" s="12" t="inlineStr">
        <is>
          <t>Heat-trace circuit 6 (power to the trace junction box)</t>
        </is>
      </c>
      <c r="E1743" s="12" t="inlineStr">
        <is>
          <t>HTP-1</t>
        </is>
      </c>
      <c r="F1743" s="12" t="inlineStr">
        <is>
          <t>HTP-1: heat-trace panel (rack)</t>
        </is>
      </c>
      <c r="G1743" s="12" t="inlineStr">
        <is>
          <t>HTP-1</t>
        </is>
      </c>
      <c r="H1743" s="12" t="inlineStr">
        <is>
          <t>HTP-1: heat-trace panel (rack)</t>
        </is>
      </c>
      <c r="I1743" s="12" t="inlineStr">
        <is>
          <t>LV 600 V</t>
        </is>
      </c>
      <c r="J1743" s="12" t="inlineStr">
        <is>
          <t>Type TC-ER 600 V 3/C Cu XHHW-2 + ground, PVC jacket</t>
        </is>
      </c>
      <c r="K1743" s="12" t="inlineStr">
        <is>
          <t>LV|3/C+G|10</t>
        </is>
      </c>
      <c r="L1743" s="12" t="inlineStr">
        <is>
          <t>3/C+G</t>
        </is>
      </c>
      <c r="M1743" s="12" t="inlineStr">
        <is>
          <t>10</t>
        </is>
      </c>
      <c r="N1743" s="12" t="n">
        <v>1</v>
      </c>
      <c r="O1743" s="12" t="n">
        <v>1</v>
      </c>
      <c r="P1743" s="12" t="n">
        <v>480</v>
      </c>
      <c r="Q1743" s="12" t="n">
        <v>4</v>
      </c>
      <c r="R1743" s="12" t="n">
        <v>6</v>
      </c>
      <c r="S1743" s="12" t="inlineStr">
        <is>
          <t>Tray</t>
        </is>
      </c>
      <c r="T1743" s="16" t="n">
        <v>180</v>
      </c>
      <c r="U1743" s="16" t="n">
        <v>20</v>
      </c>
      <c r="V1743" s="16">
        <f>ROUNDUP((T1743+U1743+2*'Read Me'!$B$13)*(1+'Read Me'!$B$12),-1)</f>
        <v/>
      </c>
      <c r="W1743" s="16">
        <f>V1743*N1743*O1743</f>
        <v/>
      </c>
      <c r="X1743" s="12">
        <f>IF(LEFT(I1743,2)="MV",2*N1743*IF(L1743="1/C",O1743,1),0)</f>
        <v/>
      </c>
      <c r="Y1743" s="12">
        <f>IF(OR(LEFT(K1743,4)="LVAX",LEFT(K1743,6)="MV15AX",LEFT(K1743,4)="CTAX",LEFT(K1743,2)="W|"),2*N1743*O1743,0)</f>
        <v/>
      </c>
      <c r="Z1743" s="12" t="inlineStr">
        <is>
          <t>heat-trace cable itself by others</t>
        </is>
      </c>
      <c r="AA1743" s="12">
        <f>N1743*O1743</f>
        <v/>
      </c>
    </row>
    <row r="1744">
      <c r="A1744" s="12" t="inlineStr">
        <is>
          <t>A-P-0377</t>
        </is>
      </c>
      <c r="B1744" s="12" t="inlineStr">
        <is>
          <t>A</t>
        </is>
      </c>
      <c r="C1744" s="12" t="inlineStr">
        <is>
          <t>Power block</t>
        </is>
      </c>
      <c r="D1744" s="12" t="inlineStr">
        <is>
          <t>Heat-trace circuit 7 (power to the trace junction box)</t>
        </is>
      </c>
      <c r="E1744" s="12" t="inlineStr">
        <is>
          <t>HTP-1</t>
        </is>
      </c>
      <c r="F1744" s="12" t="inlineStr">
        <is>
          <t>HTP-1: heat-trace panel (rack)</t>
        </is>
      </c>
      <c r="G1744" s="12" t="inlineStr">
        <is>
          <t>HTP-1</t>
        </is>
      </c>
      <c r="H1744" s="12" t="inlineStr">
        <is>
          <t>HTP-1: heat-trace panel (rack)</t>
        </is>
      </c>
      <c r="I1744" s="12" t="inlineStr">
        <is>
          <t>LV 600 V</t>
        </is>
      </c>
      <c r="J1744" s="12" t="inlineStr">
        <is>
          <t>Type TC-ER 600 V 3/C Cu XHHW-2 + ground, PVC jacket</t>
        </is>
      </c>
      <c r="K1744" s="12" t="inlineStr">
        <is>
          <t>LV|3/C+G|10</t>
        </is>
      </c>
      <c r="L1744" s="12" t="inlineStr">
        <is>
          <t>3/C+G</t>
        </is>
      </c>
      <c r="M1744" s="12" t="inlineStr">
        <is>
          <t>10</t>
        </is>
      </c>
      <c r="N1744" s="12" t="n">
        <v>1</v>
      </c>
      <c r="O1744" s="12" t="n">
        <v>1</v>
      </c>
      <c r="P1744" s="12" t="n">
        <v>480</v>
      </c>
      <c r="Q1744" s="12" t="n">
        <v>4</v>
      </c>
      <c r="R1744" s="12" t="n">
        <v>6</v>
      </c>
      <c r="S1744" s="12" t="inlineStr">
        <is>
          <t>Tray</t>
        </is>
      </c>
      <c r="T1744" s="16" t="n">
        <v>180</v>
      </c>
      <c r="U1744" s="16" t="n">
        <v>20</v>
      </c>
      <c r="V1744" s="16">
        <f>ROUNDUP((T1744+U1744+2*'Read Me'!$B$13)*(1+'Read Me'!$B$12),-1)</f>
        <v/>
      </c>
      <c r="W1744" s="16">
        <f>V1744*N1744*O1744</f>
        <v/>
      </c>
      <c r="X1744" s="12">
        <f>IF(LEFT(I1744,2)="MV",2*N1744*IF(L1744="1/C",O1744,1),0)</f>
        <v/>
      </c>
      <c r="Y1744" s="12">
        <f>IF(OR(LEFT(K1744,4)="LVAX",LEFT(K1744,6)="MV15AX",LEFT(K1744,4)="CTAX",LEFT(K1744,2)="W|"),2*N1744*O1744,0)</f>
        <v/>
      </c>
      <c r="Z1744" s="12" t="inlineStr">
        <is>
          <t>heat-trace cable itself by others</t>
        </is>
      </c>
      <c r="AA1744" s="12">
        <f>N1744*O1744</f>
        <v/>
      </c>
    </row>
    <row r="1745">
      <c r="A1745" s="12" t="inlineStr">
        <is>
          <t>A-P-0378</t>
        </is>
      </c>
      <c r="B1745" s="12" t="inlineStr">
        <is>
          <t>A</t>
        </is>
      </c>
      <c r="C1745" s="12" t="inlineStr">
        <is>
          <t>Power block</t>
        </is>
      </c>
      <c r="D1745" s="12" t="inlineStr">
        <is>
          <t>Heat-trace circuit 8 (power to the trace junction box)</t>
        </is>
      </c>
      <c r="E1745" s="12" t="inlineStr">
        <is>
          <t>HTP-1</t>
        </is>
      </c>
      <c r="F1745" s="12" t="inlineStr">
        <is>
          <t>HTP-1: heat-trace panel (rack)</t>
        </is>
      </c>
      <c r="G1745" s="12" t="inlineStr">
        <is>
          <t>HTP-1</t>
        </is>
      </c>
      <c r="H1745" s="12" t="inlineStr">
        <is>
          <t>HTP-1: heat-trace panel (rack)</t>
        </is>
      </c>
      <c r="I1745" s="12" t="inlineStr">
        <is>
          <t>LV 600 V</t>
        </is>
      </c>
      <c r="J1745" s="12" t="inlineStr">
        <is>
          <t>Type TC-ER 600 V 3/C Cu XHHW-2 + ground, PVC jacket</t>
        </is>
      </c>
      <c r="K1745" s="12" t="inlineStr">
        <is>
          <t>LV|3/C+G|10</t>
        </is>
      </c>
      <c r="L1745" s="12" t="inlineStr">
        <is>
          <t>3/C+G</t>
        </is>
      </c>
      <c r="M1745" s="12" t="inlineStr">
        <is>
          <t>10</t>
        </is>
      </c>
      <c r="N1745" s="12" t="n">
        <v>1</v>
      </c>
      <c r="O1745" s="12" t="n">
        <v>1</v>
      </c>
      <c r="P1745" s="12" t="n">
        <v>480</v>
      </c>
      <c r="Q1745" s="12" t="n">
        <v>4</v>
      </c>
      <c r="R1745" s="12" t="n">
        <v>6</v>
      </c>
      <c r="S1745" s="12" t="inlineStr">
        <is>
          <t>Tray</t>
        </is>
      </c>
      <c r="T1745" s="16" t="n">
        <v>180</v>
      </c>
      <c r="U1745" s="16" t="n">
        <v>20</v>
      </c>
      <c r="V1745" s="16">
        <f>ROUNDUP((T1745+U1745+2*'Read Me'!$B$13)*(1+'Read Me'!$B$12),-1)</f>
        <v/>
      </c>
      <c r="W1745" s="16">
        <f>V1745*N1745*O1745</f>
        <v/>
      </c>
      <c r="X1745" s="12">
        <f>IF(LEFT(I1745,2)="MV",2*N1745*IF(L1745="1/C",O1745,1),0)</f>
        <v/>
      </c>
      <c r="Y1745" s="12">
        <f>IF(OR(LEFT(K1745,4)="LVAX",LEFT(K1745,6)="MV15AX",LEFT(K1745,4)="CTAX",LEFT(K1745,2)="W|"),2*N1745*O1745,0)</f>
        <v/>
      </c>
      <c r="Z1745" s="12" t="inlineStr">
        <is>
          <t>heat-trace cable itself by others</t>
        </is>
      </c>
      <c r="AA1745" s="12">
        <f>N1745*O1745</f>
        <v/>
      </c>
    </row>
    <row r="1746">
      <c r="A1746" s="12" t="inlineStr">
        <is>
          <t>A-P-0379</t>
        </is>
      </c>
      <c r="B1746" s="12" t="inlineStr">
        <is>
          <t>A</t>
        </is>
      </c>
      <c r="C1746" s="12" t="inlineStr">
        <is>
          <t>Power block</t>
        </is>
      </c>
      <c r="D1746" s="12" t="inlineStr">
        <is>
          <t>Heat-trace circuit 9 (power to the trace junction box)</t>
        </is>
      </c>
      <c r="E1746" s="12" t="inlineStr">
        <is>
          <t>HTP-1</t>
        </is>
      </c>
      <c r="F1746" s="12" t="inlineStr">
        <is>
          <t>HTP-1: heat-trace panel (rack)</t>
        </is>
      </c>
      <c r="G1746" s="12" t="inlineStr">
        <is>
          <t>HTP-1</t>
        </is>
      </c>
      <c r="H1746" s="12" t="inlineStr">
        <is>
          <t>HTP-1: heat-trace panel (rack)</t>
        </is>
      </c>
      <c r="I1746" s="12" t="inlineStr">
        <is>
          <t>LV 600 V</t>
        </is>
      </c>
      <c r="J1746" s="12" t="inlineStr">
        <is>
          <t>Type TC-ER 600 V 3/C Cu XHHW-2 + ground, PVC jacket</t>
        </is>
      </c>
      <c r="K1746" s="12" t="inlineStr">
        <is>
          <t>LV|3/C+G|10</t>
        </is>
      </c>
      <c r="L1746" s="12" t="inlineStr">
        <is>
          <t>3/C+G</t>
        </is>
      </c>
      <c r="M1746" s="12" t="inlineStr">
        <is>
          <t>10</t>
        </is>
      </c>
      <c r="N1746" s="12" t="n">
        <v>1</v>
      </c>
      <c r="O1746" s="12" t="n">
        <v>1</v>
      </c>
      <c r="P1746" s="12" t="n">
        <v>480</v>
      </c>
      <c r="Q1746" s="12" t="n">
        <v>4</v>
      </c>
      <c r="R1746" s="12" t="n">
        <v>6</v>
      </c>
      <c r="S1746" s="12" t="inlineStr">
        <is>
          <t>Tray</t>
        </is>
      </c>
      <c r="T1746" s="16" t="n">
        <v>180</v>
      </c>
      <c r="U1746" s="16" t="n">
        <v>20</v>
      </c>
      <c r="V1746" s="16">
        <f>ROUNDUP((T1746+U1746+2*'Read Me'!$B$13)*(1+'Read Me'!$B$12),-1)</f>
        <v/>
      </c>
      <c r="W1746" s="16">
        <f>V1746*N1746*O1746</f>
        <v/>
      </c>
      <c r="X1746" s="12">
        <f>IF(LEFT(I1746,2)="MV",2*N1746*IF(L1746="1/C",O1746,1),0)</f>
        <v/>
      </c>
      <c r="Y1746" s="12">
        <f>IF(OR(LEFT(K1746,4)="LVAX",LEFT(K1746,6)="MV15AX",LEFT(K1746,4)="CTAX",LEFT(K1746,2)="W|"),2*N1746*O1746,0)</f>
        <v/>
      </c>
      <c r="Z1746" s="12" t="inlineStr">
        <is>
          <t>heat-trace cable itself by others</t>
        </is>
      </c>
      <c r="AA1746" s="12">
        <f>N1746*O1746</f>
        <v/>
      </c>
    </row>
    <row r="1747">
      <c r="A1747" s="12" t="inlineStr">
        <is>
          <t>A-P-0380</t>
        </is>
      </c>
      <c r="B1747" s="12" t="inlineStr">
        <is>
          <t>A</t>
        </is>
      </c>
      <c r="C1747" s="12" t="inlineStr">
        <is>
          <t>Power block</t>
        </is>
      </c>
      <c r="D1747" s="12" t="inlineStr">
        <is>
          <t>Heat-trace circuit 10 (power to the trace junction box)</t>
        </is>
      </c>
      <c r="E1747" s="12" t="inlineStr">
        <is>
          <t>HTP-1</t>
        </is>
      </c>
      <c r="F1747" s="12" t="inlineStr">
        <is>
          <t>HTP-1: heat-trace panel (rack)</t>
        </is>
      </c>
      <c r="G1747" s="12" t="inlineStr">
        <is>
          <t>HTP-1</t>
        </is>
      </c>
      <c r="H1747" s="12" t="inlineStr">
        <is>
          <t>HTP-1: heat-trace panel (rack)</t>
        </is>
      </c>
      <c r="I1747" s="12" t="inlineStr">
        <is>
          <t>LV 600 V</t>
        </is>
      </c>
      <c r="J1747" s="12" t="inlineStr">
        <is>
          <t>Type TC-ER 600 V 3/C Cu XHHW-2 + ground, PVC jacket</t>
        </is>
      </c>
      <c r="K1747" s="12" t="inlineStr">
        <is>
          <t>LV|3/C+G|10</t>
        </is>
      </c>
      <c r="L1747" s="12" t="inlineStr">
        <is>
          <t>3/C+G</t>
        </is>
      </c>
      <c r="M1747" s="12" t="inlineStr">
        <is>
          <t>10</t>
        </is>
      </c>
      <c r="N1747" s="12" t="n">
        <v>1</v>
      </c>
      <c r="O1747" s="12" t="n">
        <v>1</v>
      </c>
      <c r="P1747" s="12" t="n">
        <v>480</v>
      </c>
      <c r="Q1747" s="12" t="n">
        <v>4</v>
      </c>
      <c r="R1747" s="12" t="n">
        <v>6</v>
      </c>
      <c r="S1747" s="12" t="inlineStr">
        <is>
          <t>Tray</t>
        </is>
      </c>
      <c r="T1747" s="16" t="n">
        <v>180</v>
      </c>
      <c r="U1747" s="16" t="n">
        <v>20</v>
      </c>
      <c r="V1747" s="16">
        <f>ROUNDUP((T1747+U1747+2*'Read Me'!$B$13)*(1+'Read Me'!$B$12),-1)</f>
        <v/>
      </c>
      <c r="W1747" s="16">
        <f>V1747*N1747*O1747</f>
        <v/>
      </c>
      <c r="X1747" s="12">
        <f>IF(LEFT(I1747,2)="MV",2*N1747*IF(L1747="1/C",O1747,1),0)</f>
        <v/>
      </c>
      <c r="Y1747" s="12">
        <f>IF(OR(LEFT(K1747,4)="LVAX",LEFT(K1747,6)="MV15AX",LEFT(K1747,4)="CTAX",LEFT(K1747,2)="W|"),2*N1747*O1747,0)</f>
        <v/>
      </c>
      <c r="Z1747" s="12" t="inlineStr">
        <is>
          <t>heat-trace cable itself by others</t>
        </is>
      </c>
      <c r="AA1747" s="12">
        <f>N1747*O1747</f>
        <v/>
      </c>
    </row>
    <row r="1748">
      <c r="A1748" s="12" t="inlineStr">
        <is>
          <t>A-P-0381</t>
        </is>
      </c>
      <c r="B1748" s="12" t="inlineStr">
        <is>
          <t>A</t>
        </is>
      </c>
      <c r="C1748" s="12" t="inlineStr">
        <is>
          <t>Power block</t>
        </is>
      </c>
      <c r="D1748" s="12" t="inlineStr">
        <is>
          <t>Heat-trace circuit 11 (power to the trace junction box)</t>
        </is>
      </c>
      <c r="E1748" s="12" t="inlineStr">
        <is>
          <t>HTP-1</t>
        </is>
      </c>
      <c r="F1748" s="12" t="inlineStr">
        <is>
          <t>HTP-1: heat-trace panel (rack)</t>
        </is>
      </c>
      <c r="G1748" s="12" t="inlineStr">
        <is>
          <t>HTP-1</t>
        </is>
      </c>
      <c r="H1748" s="12" t="inlineStr">
        <is>
          <t>HTP-1: heat-trace panel (rack)</t>
        </is>
      </c>
      <c r="I1748" s="12" t="inlineStr">
        <is>
          <t>LV 600 V</t>
        </is>
      </c>
      <c r="J1748" s="12" t="inlineStr">
        <is>
          <t>Type TC-ER 600 V 3/C Cu XHHW-2 + ground, PVC jacket</t>
        </is>
      </c>
      <c r="K1748" s="12" t="inlineStr">
        <is>
          <t>LV|3/C+G|10</t>
        </is>
      </c>
      <c r="L1748" s="12" t="inlineStr">
        <is>
          <t>3/C+G</t>
        </is>
      </c>
      <c r="M1748" s="12" t="inlineStr">
        <is>
          <t>10</t>
        </is>
      </c>
      <c r="N1748" s="12" t="n">
        <v>1</v>
      </c>
      <c r="O1748" s="12" t="n">
        <v>1</v>
      </c>
      <c r="P1748" s="12" t="n">
        <v>480</v>
      </c>
      <c r="Q1748" s="12" t="n">
        <v>4</v>
      </c>
      <c r="R1748" s="12" t="n">
        <v>6</v>
      </c>
      <c r="S1748" s="12" t="inlineStr">
        <is>
          <t>Tray</t>
        </is>
      </c>
      <c r="T1748" s="16" t="n">
        <v>180</v>
      </c>
      <c r="U1748" s="16" t="n">
        <v>20</v>
      </c>
      <c r="V1748" s="16">
        <f>ROUNDUP((T1748+U1748+2*'Read Me'!$B$13)*(1+'Read Me'!$B$12),-1)</f>
        <v/>
      </c>
      <c r="W1748" s="16">
        <f>V1748*N1748*O1748</f>
        <v/>
      </c>
      <c r="X1748" s="12">
        <f>IF(LEFT(I1748,2)="MV",2*N1748*IF(L1748="1/C",O1748,1),0)</f>
        <v/>
      </c>
      <c r="Y1748" s="12">
        <f>IF(OR(LEFT(K1748,4)="LVAX",LEFT(K1748,6)="MV15AX",LEFT(K1748,4)="CTAX",LEFT(K1748,2)="W|"),2*N1748*O1748,0)</f>
        <v/>
      </c>
      <c r="Z1748" s="12" t="inlineStr">
        <is>
          <t>heat-trace cable itself by others</t>
        </is>
      </c>
      <c r="AA1748" s="12">
        <f>N1748*O1748</f>
        <v/>
      </c>
    </row>
    <row r="1749">
      <c r="A1749" s="12" t="inlineStr">
        <is>
          <t>A-P-0382</t>
        </is>
      </c>
      <c r="B1749" s="12" t="inlineStr">
        <is>
          <t>A</t>
        </is>
      </c>
      <c r="C1749" s="12" t="inlineStr">
        <is>
          <t>Power block</t>
        </is>
      </c>
      <c r="D1749" s="12" t="inlineStr">
        <is>
          <t>Heat-trace circuit 12 (power to the trace junction box)</t>
        </is>
      </c>
      <c r="E1749" s="12" t="inlineStr">
        <is>
          <t>HTP-1</t>
        </is>
      </c>
      <c r="F1749" s="12" t="inlineStr">
        <is>
          <t>HTP-1: heat-trace panel (rack)</t>
        </is>
      </c>
      <c r="G1749" s="12" t="inlineStr">
        <is>
          <t>HTP-1</t>
        </is>
      </c>
      <c r="H1749" s="12" t="inlineStr">
        <is>
          <t>HTP-1: heat-trace panel (rack)</t>
        </is>
      </c>
      <c r="I1749" s="12" t="inlineStr">
        <is>
          <t>LV 600 V</t>
        </is>
      </c>
      <c r="J1749" s="12" t="inlineStr">
        <is>
          <t>Type TC-ER 600 V 3/C Cu XHHW-2 + ground, PVC jacket</t>
        </is>
      </c>
      <c r="K1749" s="12" t="inlineStr">
        <is>
          <t>LV|3/C+G|10</t>
        </is>
      </c>
      <c r="L1749" s="12" t="inlineStr">
        <is>
          <t>3/C+G</t>
        </is>
      </c>
      <c r="M1749" s="12" t="inlineStr">
        <is>
          <t>10</t>
        </is>
      </c>
      <c r="N1749" s="12" t="n">
        <v>1</v>
      </c>
      <c r="O1749" s="12" t="n">
        <v>1</v>
      </c>
      <c r="P1749" s="12" t="n">
        <v>480</v>
      </c>
      <c r="Q1749" s="12" t="n">
        <v>4</v>
      </c>
      <c r="R1749" s="12" t="n">
        <v>6</v>
      </c>
      <c r="S1749" s="12" t="inlineStr">
        <is>
          <t>Tray</t>
        </is>
      </c>
      <c r="T1749" s="16" t="n">
        <v>180</v>
      </c>
      <c r="U1749" s="16" t="n">
        <v>20</v>
      </c>
      <c r="V1749" s="16">
        <f>ROUNDUP((T1749+U1749+2*'Read Me'!$B$13)*(1+'Read Me'!$B$12),-1)</f>
        <v/>
      </c>
      <c r="W1749" s="16">
        <f>V1749*N1749*O1749</f>
        <v/>
      </c>
      <c r="X1749" s="12">
        <f>IF(LEFT(I1749,2)="MV",2*N1749*IF(L1749="1/C",O1749,1),0)</f>
        <v/>
      </c>
      <c r="Y1749" s="12">
        <f>IF(OR(LEFT(K1749,4)="LVAX",LEFT(K1749,6)="MV15AX",LEFT(K1749,4)="CTAX",LEFT(K1749,2)="W|"),2*N1749*O1749,0)</f>
        <v/>
      </c>
      <c r="Z1749" s="12" t="inlineStr">
        <is>
          <t>heat-trace cable itself by others</t>
        </is>
      </c>
      <c r="AA1749" s="12">
        <f>N1749*O1749</f>
        <v/>
      </c>
    </row>
    <row r="1750">
      <c r="A1750" s="12" t="inlineStr">
        <is>
          <t>A-P-0383</t>
        </is>
      </c>
      <c r="B1750" s="12" t="inlineStr">
        <is>
          <t>A</t>
        </is>
      </c>
      <c r="C1750" s="12" t="inlineStr">
        <is>
          <t>Power block</t>
        </is>
      </c>
      <c r="D1750" s="12" t="inlineStr">
        <is>
          <t>Heat-trace circuit 13 (power to the trace junction box)</t>
        </is>
      </c>
      <c r="E1750" s="12" t="inlineStr">
        <is>
          <t>HTP-1</t>
        </is>
      </c>
      <c r="F1750" s="12" t="inlineStr">
        <is>
          <t>HTP-1: heat-trace panel (rack)</t>
        </is>
      </c>
      <c r="G1750" s="12" t="inlineStr">
        <is>
          <t>HTP-1</t>
        </is>
      </c>
      <c r="H1750" s="12" t="inlineStr">
        <is>
          <t>HTP-1: heat-trace panel (rack)</t>
        </is>
      </c>
      <c r="I1750" s="12" t="inlineStr">
        <is>
          <t>LV 600 V</t>
        </is>
      </c>
      <c r="J1750" s="12" t="inlineStr">
        <is>
          <t>Type TC-ER 600 V 3/C Cu XHHW-2 + ground, PVC jacket</t>
        </is>
      </c>
      <c r="K1750" s="12" t="inlineStr">
        <is>
          <t>LV|3/C+G|10</t>
        </is>
      </c>
      <c r="L1750" s="12" t="inlineStr">
        <is>
          <t>3/C+G</t>
        </is>
      </c>
      <c r="M1750" s="12" t="inlineStr">
        <is>
          <t>10</t>
        </is>
      </c>
      <c r="N1750" s="12" t="n">
        <v>1</v>
      </c>
      <c r="O1750" s="12" t="n">
        <v>1</v>
      </c>
      <c r="P1750" s="12" t="n">
        <v>480</v>
      </c>
      <c r="Q1750" s="12" t="n">
        <v>4</v>
      </c>
      <c r="R1750" s="12" t="n">
        <v>6</v>
      </c>
      <c r="S1750" s="12" t="inlineStr">
        <is>
          <t>Tray</t>
        </is>
      </c>
      <c r="T1750" s="16" t="n">
        <v>180</v>
      </c>
      <c r="U1750" s="16" t="n">
        <v>20</v>
      </c>
      <c r="V1750" s="16">
        <f>ROUNDUP((T1750+U1750+2*'Read Me'!$B$13)*(1+'Read Me'!$B$12),-1)</f>
        <v/>
      </c>
      <c r="W1750" s="16">
        <f>V1750*N1750*O1750</f>
        <v/>
      </c>
      <c r="X1750" s="12">
        <f>IF(LEFT(I1750,2)="MV",2*N1750*IF(L1750="1/C",O1750,1),0)</f>
        <v/>
      </c>
      <c r="Y1750" s="12">
        <f>IF(OR(LEFT(K1750,4)="LVAX",LEFT(K1750,6)="MV15AX",LEFT(K1750,4)="CTAX",LEFT(K1750,2)="W|"),2*N1750*O1750,0)</f>
        <v/>
      </c>
      <c r="Z1750" s="12" t="inlineStr">
        <is>
          <t>heat-trace cable itself by others</t>
        </is>
      </c>
      <c r="AA1750" s="12">
        <f>N1750*O1750</f>
        <v/>
      </c>
    </row>
    <row r="1751">
      <c r="A1751" s="12" t="inlineStr">
        <is>
          <t>A-P-0384</t>
        </is>
      </c>
      <c r="B1751" s="12" t="inlineStr">
        <is>
          <t>A</t>
        </is>
      </c>
      <c r="C1751" s="12" t="inlineStr">
        <is>
          <t>Power block</t>
        </is>
      </c>
      <c r="D1751" s="12" t="inlineStr">
        <is>
          <t>Heat-trace circuit 14 (power to the trace junction box)</t>
        </is>
      </c>
      <c r="E1751" s="12" t="inlineStr">
        <is>
          <t>HTP-1</t>
        </is>
      </c>
      <c r="F1751" s="12" t="inlineStr">
        <is>
          <t>HTP-1: heat-trace panel (rack)</t>
        </is>
      </c>
      <c r="G1751" s="12" t="inlineStr">
        <is>
          <t>HTP-1</t>
        </is>
      </c>
      <c r="H1751" s="12" t="inlineStr">
        <is>
          <t>HTP-1: heat-trace panel (rack)</t>
        </is>
      </c>
      <c r="I1751" s="12" t="inlineStr">
        <is>
          <t>LV 600 V</t>
        </is>
      </c>
      <c r="J1751" s="12" t="inlineStr">
        <is>
          <t>Type TC-ER 600 V 3/C Cu XHHW-2 + ground, PVC jacket</t>
        </is>
      </c>
      <c r="K1751" s="12" t="inlineStr">
        <is>
          <t>LV|3/C+G|10</t>
        </is>
      </c>
      <c r="L1751" s="12" t="inlineStr">
        <is>
          <t>3/C+G</t>
        </is>
      </c>
      <c r="M1751" s="12" t="inlineStr">
        <is>
          <t>10</t>
        </is>
      </c>
      <c r="N1751" s="12" t="n">
        <v>1</v>
      </c>
      <c r="O1751" s="12" t="n">
        <v>1</v>
      </c>
      <c r="P1751" s="12" t="n">
        <v>480</v>
      </c>
      <c r="Q1751" s="12" t="n">
        <v>4</v>
      </c>
      <c r="R1751" s="12" t="n">
        <v>6</v>
      </c>
      <c r="S1751" s="12" t="inlineStr">
        <is>
          <t>Tray</t>
        </is>
      </c>
      <c r="T1751" s="16" t="n">
        <v>180</v>
      </c>
      <c r="U1751" s="16" t="n">
        <v>20</v>
      </c>
      <c r="V1751" s="16">
        <f>ROUNDUP((T1751+U1751+2*'Read Me'!$B$13)*(1+'Read Me'!$B$12),-1)</f>
        <v/>
      </c>
      <c r="W1751" s="16">
        <f>V1751*N1751*O1751</f>
        <v/>
      </c>
      <c r="X1751" s="12">
        <f>IF(LEFT(I1751,2)="MV",2*N1751*IF(L1751="1/C",O1751,1),0)</f>
        <v/>
      </c>
      <c r="Y1751" s="12">
        <f>IF(OR(LEFT(K1751,4)="LVAX",LEFT(K1751,6)="MV15AX",LEFT(K1751,4)="CTAX",LEFT(K1751,2)="W|"),2*N1751*O1751,0)</f>
        <v/>
      </c>
      <c r="Z1751" s="12" t="inlineStr">
        <is>
          <t>heat-trace cable itself by others</t>
        </is>
      </c>
      <c r="AA1751" s="12">
        <f>N1751*O1751</f>
        <v/>
      </c>
    </row>
    <row r="1752">
      <c r="A1752" s="12" t="inlineStr">
        <is>
          <t>A-P-0385</t>
        </is>
      </c>
      <c r="B1752" s="12" t="inlineStr">
        <is>
          <t>A</t>
        </is>
      </c>
      <c r="C1752" s="12" t="inlineStr">
        <is>
          <t>Power block</t>
        </is>
      </c>
      <c r="D1752" s="12" t="inlineStr">
        <is>
          <t>Heat-trace circuit 15 (power to the trace junction box)</t>
        </is>
      </c>
      <c r="E1752" s="12" t="inlineStr">
        <is>
          <t>HTP-1</t>
        </is>
      </c>
      <c r="F1752" s="12" t="inlineStr">
        <is>
          <t>HTP-1: heat-trace panel (rack)</t>
        </is>
      </c>
      <c r="G1752" s="12" t="inlineStr">
        <is>
          <t>HTP-1</t>
        </is>
      </c>
      <c r="H1752" s="12" t="inlineStr">
        <is>
          <t>HTP-1: heat-trace panel (rack)</t>
        </is>
      </c>
      <c r="I1752" s="12" t="inlineStr">
        <is>
          <t>LV 600 V</t>
        </is>
      </c>
      <c r="J1752" s="12" t="inlineStr">
        <is>
          <t>Type TC-ER 600 V 3/C Cu XHHW-2 + ground, PVC jacket</t>
        </is>
      </c>
      <c r="K1752" s="12" t="inlineStr">
        <is>
          <t>LV|3/C+G|10</t>
        </is>
      </c>
      <c r="L1752" s="12" t="inlineStr">
        <is>
          <t>3/C+G</t>
        </is>
      </c>
      <c r="M1752" s="12" t="inlineStr">
        <is>
          <t>10</t>
        </is>
      </c>
      <c r="N1752" s="12" t="n">
        <v>1</v>
      </c>
      <c r="O1752" s="12" t="n">
        <v>1</v>
      </c>
      <c r="P1752" s="12" t="n">
        <v>480</v>
      </c>
      <c r="Q1752" s="12" t="n">
        <v>4</v>
      </c>
      <c r="R1752" s="12" t="n">
        <v>6</v>
      </c>
      <c r="S1752" s="12" t="inlineStr">
        <is>
          <t>Tray</t>
        </is>
      </c>
      <c r="T1752" s="16" t="n">
        <v>180</v>
      </c>
      <c r="U1752" s="16" t="n">
        <v>20</v>
      </c>
      <c r="V1752" s="16">
        <f>ROUNDUP((T1752+U1752+2*'Read Me'!$B$13)*(1+'Read Me'!$B$12),-1)</f>
        <v/>
      </c>
      <c r="W1752" s="16">
        <f>V1752*N1752*O1752</f>
        <v/>
      </c>
      <c r="X1752" s="12">
        <f>IF(LEFT(I1752,2)="MV",2*N1752*IF(L1752="1/C",O1752,1),0)</f>
        <v/>
      </c>
      <c r="Y1752" s="12">
        <f>IF(OR(LEFT(K1752,4)="LVAX",LEFT(K1752,6)="MV15AX",LEFT(K1752,4)="CTAX",LEFT(K1752,2)="W|"),2*N1752*O1752,0)</f>
        <v/>
      </c>
      <c r="Z1752" s="12" t="inlineStr">
        <is>
          <t>heat-trace cable itself by others</t>
        </is>
      </c>
      <c r="AA1752" s="12">
        <f>N1752*O1752</f>
        <v/>
      </c>
    </row>
    <row r="1753">
      <c r="A1753" s="12" t="inlineStr">
        <is>
          <t>A-P-0386</t>
        </is>
      </c>
      <c r="B1753" s="12" t="inlineStr">
        <is>
          <t>A</t>
        </is>
      </c>
      <c r="C1753" s="12" t="inlineStr">
        <is>
          <t>Power block</t>
        </is>
      </c>
      <c r="D1753" s="12" t="inlineStr">
        <is>
          <t>Heat-trace circuit 16 (power to the trace junction box)</t>
        </is>
      </c>
      <c r="E1753" s="12" t="inlineStr">
        <is>
          <t>HTP-1</t>
        </is>
      </c>
      <c r="F1753" s="12" t="inlineStr">
        <is>
          <t>HTP-1: heat-trace panel (rack)</t>
        </is>
      </c>
      <c r="G1753" s="12" t="inlineStr">
        <is>
          <t>HTP-1</t>
        </is>
      </c>
      <c r="H1753" s="12" t="inlineStr">
        <is>
          <t>HTP-1: heat-trace panel (rack)</t>
        </is>
      </c>
      <c r="I1753" s="12" t="inlineStr">
        <is>
          <t>LV 600 V</t>
        </is>
      </c>
      <c r="J1753" s="12" t="inlineStr">
        <is>
          <t>Type TC-ER 600 V 3/C Cu XHHW-2 + ground, PVC jacket</t>
        </is>
      </c>
      <c r="K1753" s="12" t="inlineStr">
        <is>
          <t>LV|3/C+G|10</t>
        </is>
      </c>
      <c r="L1753" s="12" t="inlineStr">
        <is>
          <t>3/C+G</t>
        </is>
      </c>
      <c r="M1753" s="12" t="inlineStr">
        <is>
          <t>10</t>
        </is>
      </c>
      <c r="N1753" s="12" t="n">
        <v>1</v>
      </c>
      <c r="O1753" s="12" t="n">
        <v>1</v>
      </c>
      <c r="P1753" s="12" t="n">
        <v>480</v>
      </c>
      <c r="Q1753" s="12" t="n">
        <v>4</v>
      </c>
      <c r="R1753" s="12" t="n">
        <v>6</v>
      </c>
      <c r="S1753" s="12" t="inlineStr">
        <is>
          <t>Tray</t>
        </is>
      </c>
      <c r="T1753" s="16" t="n">
        <v>180</v>
      </c>
      <c r="U1753" s="16" t="n">
        <v>20</v>
      </c>
      <c r="V1753" s="16">
        <f>ROUNDUP((T1753+U1753+2*'Read Me'!$B$13)*(1+'Read Me'!$B$12),-1)</f>
        <v/>
      </c>
      <c r="W1753" s="16">
        <f>V1753*N1753*O1753</f>
        <v/>
      </c>
      <c r="X1753" s="12">
        <f>IF(LEFT(I1753,2)="MV",2*N1753*IF(L1753="1/C",O1753,1),0)</f>
        <v/>
      </c>
      <c r="Y1753" s="12">
        <f>IF(OR(LEFT(K1753,4)="LVAX",LEFT(K1753,6)="MV15AX",LEFT(K1753,4)="CTAX",LEFT(K1753,2)="W|"),2*N1753*O1753,0)</f>
        <v/>
      </c>
      <c r="Z1753" s="12" t="inlineStr">
        <is>
          <t>heat-trace cable itself by others</t>
        </is>
      </c>
      <c r="AA1753" s="12">
        <f>N1753*O1753</f>
        <v/>
      </c>
    </row>
    <row r="1754">
      <c r="A1754" s="12" t="inlineStr">
        <is>
          <t>A-P-0387</t>
        </is>
      </c>
      <c r="B1754" s="12" t="inlineStr">
        <is>
          <t>A</t>
        </is>
      </c>
      <c r="C1754" s="12" t="inlineStr">
        <is>
          <t>Power block</t>
        </is>
      </c>
      <c r="D1754" s="12" t="inlineStr">
        <is>
          <t>Heat-trace circuit 17 (power to the trace junction box)</t>
        </is>
      </c>
      <c r="E1754" s="12" t="inlineStr">
        <is>
          <t>HTP-1</t>
        </is>
      </c>
      <c r="F1754" s="12" t="inlineStr">
        <is>
          <t>HTP-1: heat-trace panel (rack)</t>
        </is>
      </c>
      <c r="G1754" s="12" t="inlineStr">
        <is>
          <t>HTP-1</t>
        </is>
      </c>
      <c r="H1754" s="12" t="inlineStr">
        <is>
          <t>HTP-1: heat-trace panel (rack)</t>
        </is>
      </c>
      <c r="I1754" s="12" t="inlineStr">
        <is>
          <t>LV 600 V</t>
        </is>
      </c>
      <c r="J1754" s="12" t="inlineStr">
        <is>
          <t>Type TC-ER 600 V 3/C Cu XHHW-2 + ground, PVC jacket</t>
        </is>
      </c>
      <c r="K1754" s="12" t="inlineStr">
        <is>
          <t>LV|3/C+G|10</t>
        </is>
      </c>
      <c r="L1754" s="12" t="inlineStr">
        <is>
          <t>3/C+G</t>
        </is>
      </c>
      <c r="M1754" s="12" t="inlineStr">
        <is>
          <t>10</t>
        </is>
      </c>
      <c r="N1754" s="12" t="n">
        <v>1</v>
      </c>
      <c r="O1754" s="12" t="n">
        <v>1</v>
      </c>
      <c r="P1754" s="12" t="n">
        <v>480</v>
      </c>
      <c r="Q1754" s="12" t="n">
        <v>4</v>
      </c>
      <c r="R1754" s="12" t="n">
        <v>6</v>
      </c>
      <c r="S1754" s="12" t="inlineStr">
        <is>
          <t>Tray</t>
        </is>
      </c>
      <c r="T1754" s="16" t="n">
        <v>180</v>
      </c>
      <c r="U1754" s="16" t="n">
        <v>20</v>
      </c>
      <c r="V1754" s="16">
        <f>ROUNDUP((T1754+U1754+2*'Read Me'!$B$13)*(1+'Read Me'!$B$12),-1)</f>
        <v/>
      </c>
      <c r="W1754" s="16">
        <f>V1754*N1754*O1754</f>
        <v/>
      </c>
      <c r="X1754" s="12">
        <f>IF(LEFT(I1754,2)="MV",2*N1754*IF(L1754="1/C",O1754,1),0)</f>
        <v/>
      </c>
      <c r="Y1754" s="12">
        <f>IF(OR(LEFT(K1754,4)="LVAX",LEFT(K1754,6)="MV15AX",LEFT(K1754,4)="CTAX",LEFT(K1754,2)="W|"),2*N1754*O1754,0)</f>
        <v/>
      </c>
      <c r="Z1754" s="12" t="inlineStr">
        <is>
          <t>heat-trace cable itself by others</t>
        </is>
      </c>
      <c r="AA1754" s="12">
        <f>N1754*O1754</f>
        <v/>
      </c>
    </row>
    <row r="1755">
      <c r="A1755" s="12" t="inlineStr">
        <is>
          <t>A-P-0388</t>
        </is>
      </c>
      <c r="B1755" s="12" t="inlineStr">
        <is>
          <t>A</t>
        </is>
      </c>
      <c r="C1755" s="12" t="inlineStr">
        <is>
          <t>Power block</t>
        </is>
      </c>
      <c r="D1755" s="12" t="inlineStr">
        <is>
          <t>Heat-trace circuit 18 (power to the trace junction box)</t>
        </is>
      </c>
      <c r="E1755" s="12" t="inlineStr">
        <is>
          <t>HTP-1</t>
        </is>
      </c>
      <c r="F1755" s="12" t="inlineStr">
        <is>
          <t>HTP-1: heat-trace panel (rack)</t>
        </is>
      </c>
      <c r="G1755" s="12" t="inlineStr">
        <is>
          <t>HTP-1</t>
        </is>
      </c>
      <c r="H1755" s="12" t="inlineStr">
        <is>
          <t>HTP-1: heat-trace panel (rack)</t>
        </is>
      </c>
      <c r="I1755" s="12" t="inlineStr">
        <is>
          <t>LV 600 V</t>
        </is>
      </c>
      <c r="J1755" s="12" t="inlineStr">
        <is>
          <t>Type TC-ER 600 V 3/C Cu XHHW-2 + ground, PVC jacket</t>
        </is>
      </c>
      <c r="K1755" s="12" t="inlineStr">
        <is>
          <t>LV|3/C+G|10</t>
        </is>
      </c>
      <c r="L1755" s="12" t="inlineStr">
        <is>
          <t>3/C+G</t>
        </is>
      </c>
      <c r="M1755" s="12" t="inlineStr">
        <is>
          <t>10</t>
        </is>
      </c>
      <c r="N1755" s="12" t="n">
        <v>1</v>
      </c>
      <c r="O1755" s="12" t="n">
        <v>1</v>
      </c>
      <c r="P1755" s="12" t="n">
        <v>480</v>
      </c>
      <c r="Q1755" s="12" t="n">
        <v>4</v>
      </c>
      <c r="R1755" s="12" t="n">
        <v>6</v>
      </c>
      <c r="S1755" s="12" t="inlineStr">
        <is>
          <t>Tray</t>
        </is>
      </c>
      <c r="T1755" s="16" t="n">
        <v>180</v>
      </c>
      <c r="U1755" s="16" t="n">
        <v>20</v>
      </c>
      <c r="V1755" s="16">
        <f>ROUNDUP((T1755+U1755+2*'Read Me'!$B$13)*(1+'Read Me'!$B$12),-1)</f>
        <v/>
      </c>
      <c r="W1755" s="16">
        <f>V1755*N1755*O1755</f>
        <v/>
      </c>
      <c r="X1755" s="12">
        <f>IF(LEFT(I1755,2)="MV",2*N1755*IF(L1755="1/C",O1755,1),0)</f>
        <v/>
      </c>
      <c r="Y1755" s="12">
        <f>IF(OR(LEFT(K1755,4)="LVAX",LEFT(K1755,6)="MV15AX",LEFT(K1755,4)="CTAX",LEFT(K1755,2)="W|"),2*N1755*O1755,0)</f>
        <v/>
      </c>
      <c r="Z1755" s="12" t="inlineStr">
        <is>
          <t>heat-trace cable itself by others</t>
        </is>
      </c>
      <c r="AA1755" s="12">
        <f>N1755*O1755</f>
        <v/>
      </c>
    </row>
    <row r="1756">
      <c r="A1756" s="12" t="inlineStr">
        <is>
          <t>A-P-0389</t>
        </is>
      </c>
      <c r="B1756" s="12" t="inlineStr">
        <is>
          <t>A</t>
        </is>
      </c>
      <c r="C1756" s="12" t="inlineStr">
        <is>
          <t>Power block</t>
        </is>
      </c>
      <c r="D1756" s="12" t="inlineStr">
        <is>
          <t>Heat-trace circuit 19 (power to the trace junction box)</t>
        </is>
      </c>
      <c r="E1756" s="12" t="inlineStr">
        <is>
          <t>HTP-1</t>
        </is>
      </c>
      <c r="F1756" s="12" t="inlineStr">
        <is>
          <t>HTP-1: heat-trace panel (rack)</t>
        </is>
      </c>
      <c r="G1756" s="12" t="inlineStr">
        <is>
          <t>HTP-1</t>
        </is>
      </c>
      <c r="H1756" s="12" t="inlineStr">
        <is>
          <t>HTP-1: heat-trace panel (rack)</t>
        </is>
      </c>
      <c r="I1756" s="12" t="inlineStr">
        <is>
          <t>LV 600 V</t>
        </is>
      </c>
      <c r="J1756" s="12" t="inlineStr">
        <is>
          <t>Type TC-ER 600 V 3/C Cu XHHW-2 + ground, PVC jacket</t>
        </is>
      </c>
      <c r="K1756" s="12" t="inlineStr">
        <is>
          <t>LV|3/C+G|10</t>
        </is>
      </c>
      <c r="L1756" s="12" t="inlineStr">
        <is>
          <t>3/C+G</t>
        </is>
      </c>
      <c r="M1756" s="12" t="inlineStr">
        <is>
          <t>10</t>
        </is>
      </c>
      <c r="N1756" s="12" t="n">
        <v>1</v>
      </c>
      <c r="O1756" s="12" t="n">
        <v>1</v>
      </c>
      <c r="P1756" s="12" t="n">
        <v>480</v>
      </c>
      <c r="Q1756" s="12" t="n">
        <v>4</v>
      </c>
      <c r="R1756" s="12" t="n">
        <v>6</v>
      </c>
      <c r="S1756" s="12" t="inlineStr">
        <is>
          <t>Tray</t>
        </is>
      </c>
      <c r="T1756" s="16" t="n">
        <v>180</v>
      </c>
      <c r="U1756" s="16" t="n">
        <v>20</v>
      </c>
      <c r="V1756" s="16">
        <f>ROUNDUP((T1756+U1756+2*'Read Me'!$B$13)*(1+'Read Me'!$B$12),-1)</f>
        <v/>
      </c>
      <c r="W1756" s="16">
        <f>V1756*N1756*O1756</f>
        <v/>
      </c>
      <c r="X1756" s="12">
        <f>IF(LEFT(I1756,2)="MV",2*N1756*IF(L1756="1/C",O1756,1),0)</f>
        <v/>
      </c>
      <c r="Y1756" s="12">
        <f>IF(OR(LEFT(K1756,4)="LVAX",LEFT(K1756,6)="MV15AX",LEFT(K1756,4)="CTAX",LEFT(K1756,2)="W|"),2*N1756*O1756,0)</f>
        <v/>
      </c>
      <c r="Z1756" s="12" t="inlineStr">
        <is>
          <t>heat-trace cable itself by others</t>
        </is>
      </c>
      <c r="AA1756" s="12">
        <f>N1756*O1756</f>
        <v/>
      </c>
    </row>
    <row r="1757">
      <c r="A1757" s="12" t="inlineStr">
        <is>
          <t>A-P-0390</t>
        </is>
      </c>
      <c r="B1757" s="12" t="inlineStr">
        <is>
          <t>A</t>
        </is>
      </c>
      <c r="C1757" s="12" t="inlineStr">
        <is>
          <t>Power block</t>
        </is>
      </c>
      <c r="D1757" s="12" t="inlineStr">
        <is>
          <t>Heat-trace circuit 20 (power to the trace junction box)</t>
        </is>
      </c>
      <c r="E1757" s="12" t="inlineStr">
        <is>
          <t>HTP-1</t>
        </is>
      </c>
      <c r="F1757" s="12" t="inlineStr">
        <is>
          <t>HTP-1: heat-trace panel (rack)</t>
        </is>
      </c>
      <c r="G1757" s="12" t="inlineStr">
        <is>
          <t>HTP-1</t>
        </is>
      </c>
      <c r="H1757" s="12" t="inlineStr">
        <is>
          <t>HTP-1: heat-trace panel (rack)</t>
        </is>
      </c>
      <c r="I1757" s="12" t="inlineStr">
        <is>
          <t>LV 600 V</t>
        </is>
      </c>
      <c r="J1757" s="12" t="inlineStr">
        <is>
          <t>Type TC-ER 600 V 3/C Cu XHHW-2 + ground, PVC jacket</t>
        </is>
      </c>
      <c r="K1757" s="12" t="inlineStr">
        <is>
          <t>LV|3/C+G|10</t>
        </is>
      </c>
      <c r="L1757" s="12" t="inlineStr">
        <is>
          <t>3/C+G</t>
        </is>
      </c>
      <c r="M1757" s="12" t="inlineStr">
        <is>
          <t>10</t>
        </is>
      </c>
      <c r="N1757" s="12" t="n">
        <v>1</v>
      </c>
      <c r="O1757" s="12" t="n">
        <v>1</v>
      </c>
      <c r="P1757" s="12" t="n">
        <v>480</v>
      </c>
      <c r="Q1757" s="12" t="n">
        <v>4</v>
      </c>
      <c r="R1757" s="12" t="n">
        <v>6</v>
      </c>
      <c r="S1757" s="12" t="inlineStr">
        <is>
          <t>Tray</t>
        </is>
      </c>
      <c r="T1757" s="16" t="n">
        <v>180</v>
      </c>
      <c r="U1757" s="16" t="n">
        <v>20</v>
      </c>
      <c r="V1757" s="16">
        <f>ROUNDUP((T1757+U1757+2*'Read Me'!$B$13)*(1+'Read Me'!$B$12),-1)</f>
        <v/>
      </c>
      <c r="W1757" s="16">
        <f>V1757*N1757*O1757</f>
        <v/>
      </c>
      <c r="X1757" s="12">
        <f>IF(LEFT(I1757,2)="MV",2*N1757*IF(L1757="1/C",O1757,1),0)</f>
        <v/>
      </c>
      <c r="Y1757" s="12">
        <f>IF(OR(LEFT(K1757,4)="LVAX",LEFT(K1757,6)="MV15AX",LEFT(K1757,4)="CTAX",LEFT(K1757,2)="W|"),2*N1757*O1757,0)</f>
        <v/>
      </c>
      <c r="Z1757" s="12" t="inlineStr">
        <is>
          <t>heat-trace cable itself by others</t>
        </is>
      </c>
      <c r="AA1757" s="12">
        <f>N1757*O1757</f>
        <v/>
      </c>
    </row>
    <row r="1758">
      <c r="A1758" s="12" t="inlineStr">
        <is>
          <t>A-P-0391</t>
        </is>
      </c>
      <c r="B1758" s="12" t="inlineStr">
        <is>
          <t>A</t>
        </is>
      </c>
      <c r="C1758" s="12" t="inlineStr">
        <is>
          <t>Power block</t>
        </is>
      </c>
      <c r="D1758" s="12" t="inlineStr">
        <is>
          <t>Heat-trace circuit 21 (power to the trace junction box)</t>
        </is>
      </c>
      <c r="E1758" s="12" t="inlineStr">
        <is>
          <t>HTP-1</t>
        </is>
      </c>
      <c r="F1758" s="12" t="inlineStr">
        <is>
          <t>HTP-1: heat-trace panel (rack)</t>
        </is>
      </c>
      <c r="G1758" s="12" t="inlineStr">
        <is>
          <t>HTP-1</t>
        </is>
      </c>
      <c r="H1758" s="12" t="inlineStr">
        <is>
          <t>HTP-1: heat-trace panel (rack)</t>
        </is>
      </c>
      <c r="I1758" s="12" t="inlineStr">
        <is>
          <t>LV 600 V</t>
        </is>
      </c>
      <c r="J1758" s="12" t="inlineStr">
        <is>
          <t>Type TC-ER 600 V 3/C Cu XHHW-2 + ground, PVC jacket</t>
        </is>
      </c>
      <c r="K1758" s="12" t="inlineStr">
        <is>
          <t>LV|3/C+G|10</t>
        </is>
      </c>
      <c r="L1758" s="12" t="inlineStr">
        <is>
          <t>3/C+G</t>
        </is>
      </c>
      <c r="M1758" s="12" t="inlineStr">
        <is>
          <t>10</t>
        </is>
      </c>
      <c r="N1758" s="12" t="n">
        <v>1</v>
      </c>
      <c r="O1758" s="12" t="n">
        <v>1</v>
      </c>
      <c r="P1758" s="12" t="n">
        <v>480</v>
      </c>
      <c r="Q1758" s="12" t="n">
        <v>4</v>
      </c>
      <c r="R1758" s="12" t="n">
        <v>6</v>
      </c>
      <c r="S1758" s="12" t="inlineStr">
        <is>
          <t>Tray</t>
        </is>
      </c>
      <c r="T1758" s="16" t="n">
        <v>180</v>
      </c>
      <c r="U1758" s="16" t="n">
        <v>20</v>
      </c>
      <c r="V1758" s="16">
        <f>ROUNDUP((T1758+U1758+2*'Read Me'!$B$13)*(1+'Read Me'!$B$12),-1)</f>
        <v/>
      </c>
      <c r="W1758" s="16">
        <f>V1758*N1758*O1758</f>
        <v/>
      </c>
      <c r="X1758" s="12">
        <f>IF(LEFT(I1758,2)="MV",2*N1758*IF(L1758="1/C",O1758,1),0)</f>
        <v/>
      </c>
      <c r="Y1758" s="12">
        <f>IF(OR(LEFT(K1758,4)="LVAX",LEFT(K1758,6)="MV15AX",LEFT(K1758,4)="CTAX",LEFT(K1758,2)="W|"),2*N1758*O1758,0)</f>
        <v/>
      </c>
      <c r="Z1758" s="12" t="inlineStr">
        <is>
          <t>heat-trace cable itself by others</t>
        </is>
      </c>
      <c r="AA1758" s="12">
        <f>N1758*O1758</f>
        <v/>
      </c>
    </row>
    <row r="1759">
      <c r="A1759" s="12" t="inlineStr">
        <is>
          <t>A-P-0392</t>
        </is>
      </c>
      <c r="B1759" s="12" t="inlineStr">
        <is>
          <t>A</t>
        </is>
      </c>
      <c r="C1759" s="12" t="inlineStr">
        <is>
          <t>Power block</t>
        </is>
      </c>
      <c r="D1759" s="12" t="inlineStr">
        <is>
          <t>Heat-trace circuit 22 (power to the trace junction box)</t>
        </is>
      </c>
      <c r="E1759" s="12" t="inlineStr">
        <is>
          <t>HTP-1</t>
        </is>
      </c>
      <c r="F1759" s="12" t="inlineStr">
        <is>
          <t>HTP-1: heat-trace panel (rack)</t>
        </is>
      </c>
      <c r="G1759" s="12" t="inlineStr">
        <is>
          <t>HTP-1</t>
        </is>
      </c>
      <c r="H1759" s="12" t="inlineStr">
        <is>
          <t>HTP-1: heat-trace panel (rack)</t>
        </is>
      </c>
      <c r="I1759" s="12" t="inlineStr">
        <is>
          <t>LV 600 V</t>
        </is>
      </c>
      <c r="J1759" s="12" t="inlineStr">
        <is>
          <t>Type TC-ER 600 V 3/C Cu XHHW-2 + ground, PVC jacket</t>
        </is>
      </c>
      <c r="K1759" s="12" t="inlineStr">
        <is>
          <t>LV|3/C+G|10</t>
        </is>
      </c>
      <c r="L1759" s="12" t="inlineStr">
        <is>
          <t>3/C+G</t>
        </is>
      </c>
      <c r="M1759" s="12" t="inlineStr">
        <is>
          <t>10</t>
        </is>
      </c>
      <c r="N1759" s="12" t="n">
        <v>1</v>
      </c>
      <c r="O1759" s="12" t="n">
        <v>1</v>
      </c>
      <c r="P1759" s="12" t="n">
        <v>480</v>
      </c>
      <c r="Q1759" s="12" t="n">
        <v>4</v>
      </c>
      <c r="R1759" s="12" t="n">
        <v>6</v>
      </c>
      <c r="S1759" s="12" t="inlineStr">
        <is>
          <t>Tray</t>
        </is>
      </c>
      <c r="T1759" s="16" t="n">
        <v>180</v>
      </c>
      <c r="U1759" s="16" t="n">
        <v>20</v>
      </c>
      <c r="V1759" s="16">
        <f>ROUNDUP((T1759+U1759+2*'Read Me'!$B$13)*(1+'Read Me'!$B$12),-1)</f>
        <v/>
      </c>
      <c r="W1759" s="16">
        <f>V1759*N1759*O1759</f>
        <v/>
      </c>
      <c r="X1759" s="12">
        <f>IF(LEFT(I1759,2)="MV",2*N1759*IF(L1759="1/C",O1759,1),0)</f>
        <v/>
      </c>
      <c r="Y1759" s="12">
        <f>IF(OR(LEFT(K1759,4)="LVAX",LEFT(K1759,6)="MV15AX",LEFT(K1759,4)="CTAX",LEFT(K1759,2)="W|"),2*N1759*O1759,0)</f>
        <v/>
      </c>
      <c r="Z1759" s="12" t="inlineStr">
        <is>
          <t>heat-trace cable itself by others</t>
        </is>
      </c>
      <c r="AA1759" s="12">
        <f>N1759*O1759</f>
        <v/>
      </c>
    </row>
    <row r="1760">
      <c r="A1760" s="12" t="inlineStr">
        <is>
          <t>A-P-0393</t>
        </is>
      </c>
      <c r="B1760" s="12" t="inlineStr">
        <is>
          <t>A</t>
        </is>
      </c>
      <c r="C1760" s="12" t="inlineStr">
        <is>
          <t>Power block</t>
        </is>
      </c>
      <c r="D1760" s="12" t="inlineStr">
        <is>
          <t>Heat-trace circuit 23 (power to the trace junction box)</t>
        </is>
      </c>
      <c r="E1760" s="12" t="inlineStr">
        <is>
          <t>HTP-1</t>
        </is>
      </c>
      <c r="F1760" s="12" t="inlineStr">
        <is>
          <t>HTP-1: heat-trace panel (rack)</t>
        </is>
      </c>
      <c r="G1760" s="12" t="inlineStr">
        <is>
          <t>HTP-1</t>
        </is>
      </c>
      <c r="H1760" s="12" t="inlineStr">
        <is>
          <t>HTP-1: heat-trace panel (rack)</t>
        </is>
      </c>
      <c r="I1760" s="12" t="inlineStr">
        <is>
          <t>LV 600 V</t>
        </is>
      </c>
      <c r="J1760" s="12" t="inlineStr">
        <is>
          <t>Type TC-ER 600 V 3/C Cu XHHW-2 + ground, PVC jacket</t>
        </is>
      </c>
      <c r="K1760" s="12" t="inlineStr">
        <is>
          <t>LV|3/C+G|10</t>
        </is>
      </c>
      <c r="L1760" s="12" t="inlineStr">
        <is>
          <t>3/C+G</t>
        </is>
      </c>
      <c r="M1760" s="12" t="inlineStr">
        <is>
          <t>10</t>
        </is>
      </c>
      <c r="N1760" s="12" t="n">
        <v>1</v>
      </c>
      <c r="O1760" s="12" t="n">
        <v>1</v>
      </c>
      <c r="P1760" s="12" t="n">
        <v>480</v>
      </c>
      <c r="Q1760" s="12" t="n">
        <v>4</v>
      </c>
      <c r="R1760" s="12" t="n">
        <v>6</v>
      </c>
      <c r="S1760" s="12" t="inlineStr">
        <is>
          <t>Tray</t>
        </is>
      </c>
      <c r="T1760" s="16" t="n">
        <v>180</v>
      </c>
      <c r="U1760" s="16" t="n">
        <v>20</v>
      </c>
      <c r="V1760" s="16">
        <f>ROUNDUP((T1760+U1760+2*'Read Me'!$B$13)*(1+'Read Me'!$B$12),-1)</f>
        <v/>
      </c>
      <c r="W1760" s="16">
        <f>V1760*N1760*O1760</f>
        <v/>
      </c>
      <c r="X1760" s="12">
        <f>IF(LEFT(I1760,2)="MV",2*N1760*IF(L1760="1/C",O1760,1),0)</f>
        <v/>
      </c>
      <c r="Y1760" s="12">
        <f>IF(OR(LEFT(K1760,4)="LVAX",LEFT(K1760,6)="MV15AX",LEFT(K1760,4)="CTAX",LEFT(K1760,2)="W|"),2*N1760*O1760,0)</f>
        <v/>
      </c>
      <c r="Z1760" s="12" t="inlineStr">
        <is>
          <t>heat-trace cable itself by others</t>
        </is>
      </c>
      <c r="AA1760" s="12">
        <f>N1760*O1760</f>
        <v/>
      </c>
    </row>
    <row r="1761">
      <c r="A1761" s="12" t="inlineStr">
        <is>
          <t>A-P-0394</t>
        </is>
      </c>
      <c r="B1761" s="12" t="inlineStr">
        <is>
          <t>A</t>
        </is>
      </c>
      <c r="C1761" s="12" t="inlineStr">
        <is>
          <t>Power block</t>
        </is>
      </c>
      <c r="D1761" s="12" t="inlineStr">
        <is>
          <t>Heat-trace circuit 24 (power to the trace junction box)</t>
        </is>
      </c>
      <c r="E1761" s="12" t="inlineStr">
        <is>
          <t>HTP-1</t>
        </is>
      </c>
      <c r="F1761" s="12" t="inlineStr">
        <is>
          <t>HTP-1: heat-trace panel (rack)</t>
        </is>
      </c>
      <c r="G1761" s="12" t="inlineStr">
        <is>
          <t>HTP-1</t>
        </is>
      </c>
      <c r="H1761" s="12" t="inlineStr">
        <is>
          <t>HTP-1: heat-trace panel (rack)</t>
        </is>
      </c>
      <c r="I1761" s="12" t="inlineStr">
        <is>
          <t>LV 600 V</t>
        </is>
      </c>
      <c r="J1761" s="12" t="inlineStr">
        <is>
          <t>Type TC-ER 600 V 3/C Cu XHHW-2 + ground, PVC jacket</t>
        </is>
      </c>
      <c r="K1761" s="12" t="inlineStr">
        <is>
          <t>LV|3/C+G|10</t>
        </is>
      </c>
      <c r="L1761" s="12" t="inlineStr">
        <is>
          <t>3/C+G</t>
        </is>
      </c>
      <c r="M1761" s="12" t="inlineStr">
        <is>
          <t>10</t>
        </is>
      </c>
      <c r="N1761" s="12" t="n">
        <v>1</v>
      </c>
      <c r="O1761" s="12" t="n">
        <v>1</v>
      </c>
      <c r="P1761" s="12" t="n">
        <v>480</v>
      </c>
      <c r="Q1761" s="12" t="n">
        <v>4</v>
      </c>
      <c r="R1761" s="12" t="n">
        <v>6</v>
      </c>
      <c r="S1761" s="12" t="inlineStr">
        <is>
          <t>Tray</t>
        </is>
      </c>
      <c r="T1761" s="16" t="n">
        <v>180</v>
      </c>
      <c r="U1761" s="16" t="n">
        <v>20</v>
      </c>
      <c r="V1761" s="16">
        <f>ROUNDUP((T1761+U1761+2*'Read Me'!$B$13)*(1+'Read Me'!$B$12),-1)</f>
        <v/>
      </c>
      <c r="W1761" s="16">
        <f>V1761*N1761*O1761</f>
        <v/>
      </c>
      <c r="X1761" s="12">
        <f>IF(LEFT(I1761,2)="MV",2*N1761*IF(L1761="1/C",O1761,1),0)</f>
        <v/>
      </c>
      <c r="Y1761" s="12">
        <f>IF(OR(LEFT(K1761,4)="LVAX",LEFT(K1761,6)="MV15AX",LEFT(K1761,4)="CTAX",LEFT(K1761,2)="W|"),2*N1761*O1761,0)</f>
        <v/>
      </c>
      <c r="Z1761" s="12" t="inlineStr">
        <is>
          <t>heat-trace cable itself by others</t>
        </is>
      </c>
      <c r="AA1761" s="12">
        <f>N1761*O1761</f>
        <v/>
      </c>
    </row>
    <row r="1762">
      <c r="A1762" s="12" t="inlineStr">
        <is>
          <t>A-P-0395</t>
        </is>
      </c>
      <c r="B1762" s="12" t="inlineStr">
        <is>
          <t>A</t>
        </is>
      </c>
      <c r="C1762" s="12" t="inlineStr">
        <is>
          <t>Power block</t>
        </is>
      </c>
      <c r="D1762" s="12" t="inlineStr">
        <is>
          <t>Motor 1 of 6, 2 kW</t>
        </is>
      </c>
      <c r="E1762" s="12" t="inlineStr">
        <is>
          <t>LC-480-B</t>
        </is>
      </c>
      <c r="F1762" s="12" t="inlineStr">
        <is>
          <t>R1 LC-480-B (480 V switchgear)</t>
        </is>
      </c>
      <c r="G1762" s="12" t="inlineStr">
        <is>
          <t>LCT-A</t>
        </is>
      </c>
      <c r="H1762" s="12" t="inlineStr">
        <is>
          <t>LCT-A: 13.8/0.48 kV load-centre transformer</t>
        </is>
      </c>
      <c r="I1762" s="12" t="inlineStr">
        <is>
          <t>LV 600 V</t>
        </is>
      </c>
      <c r="J1762" s="12" t="inlineStr">
        <is>
          <t>Type TC-ER 600 V 3/C Cu XHHW-2 + ground, PVC jacket</t>
        </is>
      </c>
      <c r="K1762" s="12" t="inlineStr">
        <is>
          <t>LV|3/C+G|10</t>
        </is>
      </c>
      <c r="L1762" s="12" t="inlineStr">
        <is>
          <t>3/C+G</t>
        </is>
      </c>
      <c r="M1762" s="12" t="inlineStr">
        <is>
          <t>10</t>
        </is>
      </c>
      <c r="N1762" s="12" t="n">
        <v>1</v>
      </c>
      <c r="O1762" s="12" t="n">
        <v>1</v>
      </c>
      <c r="P1762" s="12" t="n">
        <v>480</v>
      </c>
      <c r="Q1762" s="12" t="n">
        <v>2</v>
      </c>
      <c r="R1762" s="12" t="n">
        <v>2.8</v>
      </c>
      <c r="S1762" s="12" t="inlineStr">
        <is>
          <t>Duct bank</t>
        </is>
      </c>
      <c r="T1762" s="16" t="n">
        <v>51</v>
      </c>
      <c r="U1762" s="16" t="n">
        <v>41</v>
      </c>
      <c r="V1762" s="16">
        <f>ROUNDUP((T1762+U1762+2*'Read Me'!$B$13)*(1+'Read Me'!$B$12),-1)</f>
        <v/>
      </c>
      <c r="W1762" s="16">
        <f>V1762*N1762*O1762</f>
        <v/>
      </c>
      <c r="X1762" s="12">
        <f>IF(LEFT(I1762,2)="MV",2*N1762*IF(L1762="1/C",O1762,1),0)</f>
        <v/>
      </c>
      <c r="Y1762" s="12">
        <f>IF(OR(LEFT(K1762,4)="LVAX",LEFT(K1762,6)="MV15AX",LEFT(K1762,4)="CTAX",LEFT(K1762,2)="W|"),2*N1762*O1762,0)</f>
        <v/>
      </c>
      <c r="Z1762" s="12" t="inlineStr">
        <is>
          <t>VD 0.1 %</t>
        </is>
      </c>
      <c r="AA1762" s="12">
        <f>N1762*O1762</f>
        <v/>
      </c>
    </row>
    <row r="1763">
      <c r="A1763" s="12" t="inlineStr">
        <is>
          <t>A-P-0396</t>
        </is>
      </c>
      <c r="B1763" s="12" t="inlineStr">
        <is>
          <t>A</t>
        </is>
      </c>
      <c r="C1763" s="12" t="inlineStr">
        <is>
          <t>Power block</t>
        </is>
      </c>
      <c r="D1763" s="12" t="inlineStr">
        <is>
          <t>Motor 2 of 6, 2 kW</t>
        </is>
      </c>
      <c r="E1763" s="12" t="inlineStr">
        <is>
          <t>LC-480-B</t>
        </is>
      </c>
      <c r="F1763" s="12" t="inlineStr">
        <is>
          <t>R1 LC-480-B (480 V switchgear)</t>
        </is>
      </c>
      <c r="G1763" s="12" t="inlineStr">
        <is>
          <t>LCT-A</t>
        </is>
      </c>
      <c r="H1763" s="12" t="inlineStr">
        <is>
          <t>LCT-A: 13.8/0.48 kV load-centre transformer</t>
        </is>
      </c>
      <c r="I1763" s="12" t="inlineStr">
        <is>
          <t>LV 600 V</t>
        </is>
      </c>
      <c r="J1763" s="12" t="inlineStr">
        <is>
          <t>Type TC-ER 600 V 3/C Cu XHHW-2 + ground, PVC jacket</t>
        </is>
      </c>
      <c r="K1763" s="12" t="inlineStr">
        <is>
          <t>LV|3/C+G|10</t>
        </is>
      </c>
      <c r="L1763" s="12" t="inlineStr">
        <is>
          <t>3/C+G</t>
        </is>
      </c>
      <c r="M1763" s="12" t="inlineStr">
        <is>
          <t>10</t>
        </is>
      </c>
      <c r="N1763" s="12" t="n">
        <v>1</v>
      </c>
      <c r="O1763" s="12" t="n">
        <v>1</v>
      </c>
      <c r="P1763" s="12" t="n">
        <v>480</v>
      </c>
      <c r="Q1763" s="12" t="n">
        <v>2</v>
      </c>
      <c r="R1763" s="12" t="n">
        <v>2.8</v>
      </c>
      <c r="S1763" s="12" t="inlineStr">
        <is>
          <t>Duct bank</t>
        </is>
      </c>
      <c r="T1763" s="16" t="n">
        <v>51</v>
      </c>
      <c r="U1763" s="16" t="n">
        <v>41</v>
      </c>
      <c r="V1763" s="16">
        <f>ROUNDUP((T1763+U1763+2*'Read Me'!$B$13)*(1+'Read Me'!$B$12),-1)</f>
        <v/>
      </c>
      <c r="W1763" s="16">
        <f>V1763*N1763*O1763</f>
        <v/>
      </c>
      <c r="X1763" s="12">
        <f>IF(LEFT(I1763,2)="MV",2*N1763*IF(L1763="1/C",O1763,1),0)</f>
        <v/>
      </c>
      <c r="Y1763" s="12">
        <f>IF(OR(LEFT(K1763,4)="LVAX",LEFT(K1763,6)="MV15AX",LEFT(K1763,4)="CTAX",LEFT(K1763,2)="W|"),2*N1763*O1763,0)</f>
        <v/>
      </c>
      <c r="Z1763" s="12" t="inlineStr">
        <is>
          <t>VD 0.1 %</t>
        </is>
      </c>
      <c r="AA1763" s="12">
        <f>N1763*O1763</f>
        <v/>
      </c>
    </row>
    <row r="1764">
      <c r="A1764" s="12" t="inlineStr">
        <is>
          <t>A-P-0397</t>
        </is>
      </c>
      <c r="B1764" s="12" t="inlineStr">
        <is>
          <t>A</t>
        </is>
      </c>
      <c r="C1764" s="12" t="inlineStr">
        <is>
          <t>Power block</t>
        </is>
      </c>
      <c r="D1764" s="12" t="inlineStr">
        <is>
          <t>Motor 3 of 6, 2 kW</t>
        </is>
      </c>
      <c r="E1764" s="12" t="inlineStr">
        <is>
          <t>LC-480-B</t>
        </is>
      </c>
      <c r="F1764" s="12" t="inlineStr">
        <is>
          <t>R1 LC-480-B (480 V switchgear)</t>
        </is>
      </c>
      <c r="G1764" s="12" t="inlineStr">
        <is>
          <t>LCT-A</t>
        </is>
      </c>
      <c r="H1764" s="12" t="inlineStr">
        <is>
          <t>LCT-A: 13.8/0.48 kV load-centre transformer</t>
        </is>
      </c>
      <c r="I1764" s="12" t="inlineStr">
        <is>
          <t>LV 600 V</t>
        </is>
      </c>
      <c r="J1764" s="12" t="inlineStr">
        <is>
          <t>Type TC-ER 600 V 3/C Cu XHHW-2 + ground, PVC jacket</t>
        </is>
      </c>
      <c r="K1764" s="12" t="inlineStr">
        <is>
          <t>LV|3/C+G|10</t>
        </is>
      </c>
      <c r="L1764" s="12" t="inlineStr">
        <is>
          <t>3/C+G</t>
        </is>
      </c>
      <c r="M1764" s="12" t="inlineStr">
        <is>
          <t>10</t>
        </is>
      </c>
      <c r="N1764" s="12" t="n">
        <v>1</v>
      </c>
      <c r="O1764" s="12" t="n">
        <v>1</v>
      </c>
      <c r="P1764" s="12" t="n">
        <v>480</v>
      </c>
      <c r="Q1764" s="12" t="n">
        <v>2</v>
      </c>
      <c r="R1764" s="12" t="n">
        <v>2.8</v>
      </c>
      <c r="S1764" s="12" t="inlineStr">
        <is>
          <t>Duct bank</t>
        </is>
      </c>
      <c r="T1764" s="16" t="n">
        <v>51</v>
      </c>
      <c r="U1764" s="16" t="n">
        <v>41</v>
      </c>
      <c r="V1764" s="16">
        <f>ROUNDUP((T1764+U1764+2*'Read Me'!$B$13)*(1+'Read Me'!$B$12),-1)</f>
        <v/>
      </c>
      <c r="W1764" s="16">
        <f>V1764*N1764*O1764</f>
        <v/>
      </c>
      <c r="X1764" s="12">
        <f>IF(LEFT(I1764,2)="MV",2*N1764*IF(L1764="1/C",O1764,1),0)</f>
        <v/>
      </c>
      <c r="Y1764" s="12">
        <f>IF(OR(LEFT(K1764,4)="LVAX",LEFT(K1764,6)="MV15AX",LEFT(K1764,4)="CTAX",LEFT(K1764,2)="W|"),2*N1764*O1764,0)</f>
        <v/>
      </c>
      <c r="Z1764" s="12" t="inlineStr">
        <is>
          <t>VD 0.1 %</t>
        </is>
      </c>
      <c r="AA1764" s="12">
        <f>N1764*O1764</f>
        <v/>
      </c>
    </row>
    <row r="1765">
      <c r="A1765" s="12" t="inlineStr">
        <is>
          <t>A-P-0398</t>
        </is>
      </c>
      <c r="B1765" s="12" t="inlineStr">
        <is>
          <t>A</t>
        </is>
      </c>
      <c r="C1765" s="12" t="inlineStr">
        <is>
          <t>Power block</t>
        </is>
      </c>
      <c r="D1765" s="12" t="inlineStr">
        <is>
          <t>Motor 4 of 6, 2 kW</t>
        </is>
      </c>
      <c r="E1765" s="12" t="inlineStr">
        <is>
          <t>LC-480-B</t>
        </is>
      </c>
      <c r="F1765" s="12" t="inlineStr">
        <is>
          <t>R1 LC-480-B (480 V switchgear)</t>
        </is>
      </c>
      <c r="G1765" s="12" t="inlineStr">
        <is>
          <t>LCT-A</t>
        </is>
      </c>
      <c r="H1765" s="12" t="inlineStr">
        <is>
          <t>LCT-A: 13.8/0.48 kV load-centre transformer</t>
        </is>
      </c>
      <c r="I1765" s="12" t="inlineStr">
        <is>
          <t>LV 600 V</t>
        </is>
      </c>
      <c r="J1765" s="12" t="inlineStr">
        <is>
          <t>Type TC-ER 600 V 3/C Cu XHHW-2 + ground, PVC jacket</t>
        </is>
      </c>
      <c r="K1765" s="12" t="inlineStr">
        <is>
          <t>LV|3/C+G|10</t>
        </is>
      </c>
      <c r="L1765" s="12" t="inlineStr">
        <is>
          <t>3/C+G</t>
        </is>
      </c>
      <c r="M1765" s="12" t="inlineStr">
        <is>
          <t>10</t>
        </is>
      </c>
      <c r="N1765" s="12" t="n">
        <v>1</v>
      </c>
      <c r="O1765" s="12" t="n">
        <v>1</v>
      </c>
      <c r="P1765" s="12" t="n">
        <v>480</v>
      </c>
      <c r="Q1765" s="12" t="n">
        <v>2</v>
      </c>
      <c r="R1765" s="12" t="n">
        <v>2.8</v>
      </c>
      <c r="S1765" s="12" t="inlineStr">
        <is>
          <t>Duct bank</t>
        </is>
      </c>
      <c r="T1765" s="16" t="n">
        <v>51</v>
      </c>
      <c r="U1765" s="16" t="n">
        <v>41</v>
      </c>
      <c r="V1765" s="16">
        <f>ROUNDUP((T1765+U1765+2*'Read Me'!$B$13)*(1+'Read Me'!$B$12),-1)</f>
        <v/>
      </c>
      <c r="W1765" s="16">
        <f>V1765*N1765*O1765</f>
        <v/>
      </c>
      <c r="X1765" s="12">
        <f>IF(LEFT(I1765,2)="MV",2*N1765*IF(L1765="1/C",O1765,1),0)</f>
        <v/>
      </c>
      <c r="Y1765" s="12">
        <f>IF(OR(LEFT(K1765,4)="LVAX",LEFT(K1765,6)="MV15AX",LEFT(K1765,4)="CTAX",LEFT(K1765,2)="W|"),2*N1765*O1765,0)</f>
        <v/>
      </c>
      <c r="Z1765" s="12" t="inlineStr">
        <is>
          <t>VD 0.1 %</t>
        </is>
      </c>
      <c r="AA1765" s="12">
        <f>N1765*O1765</f>
        <v/>
      </c>
    </row>
    <row r="1766">
      <c r="A1766" s="12" t="inlineStr">
        <is>
          <t>A-P-0399</t>
        </is>
      </c>
      <c r="B1766" s="12" t="inlineStr">
        <is>
          <t>A</t>
        </is>
      </c>
      <c r="C1766" s="12" t="inlineStr">
        <is>
          <t>Power block</t>
        </is>
      </c>
      <c r="D1766" s="12" t="inlineStr">
        <is>
          <t>Motor 5 of 6, 2 kW</t>
        </is>
      </c>
      <c r="E1766" s="12" t="inlineStr">
        <is>
          <t>LC-480-B</t>
        </is>
      </c>
      <c r="F1766" s="12" t="inlineStr">
        <is>
          <t>R1 LC-480-B (480 V switchgear)</t>
        </is>
      </c>
      <c r="G1766" s="12" t="inlineStr">
        <is>
          <t>LCT-A</t>
        </is>
      </c>
      <c r="H1766" s="12" t="inlineStr">
        <is>
          <t>LCT-A: 13.8/0.48 kV load-centre transformer</t>
        </is>
      </c>
      <c r="I1766" s="12" t="inlineStr">
        <is>
          <t>LV 600 V</t>
        </is>
      </c>
      <c r="J1766" s="12" t="inlineStr">
        <is>
          <t>Type TC-ER 600 V 3/C Cu XHHW-2 + ground, PVC jacket</t>
        </is>
      </c>
      <c r="K1766" s="12" t="inlineStr">
        <is>
          <t>LV|3/C+G|10</t>
        </is>
      </c>
      <c r="L1766" s="12" t="inlineStr">
        <is>
          <t>3/C+G</t>
        </is>
      </c>
      <c r="M1766" s="12" t="inlineStr">
        <is>
          <t>10</t>
        </is>
      </c>
      <c r="N1766" s="12" t="n">
        <v>1</v>
      </c>
      <c r="O1766" s="12" t="n">
        <v>1</v>
      </c>
      <c r="P1766" s="12" t="n">
        <v>480</v>
      </c>
      <c r="Q1766" s="12" t="n">
        <v>2</v>
      </c>
      <c r="R1766" s="12" t="n">
        <v>2.8</v>
      </c>
      <c r="S1766" s="12" t="inlineStr">
        <is>
          <t>Duct bank</t>
        </is>
      </c>
      <c r="T1766" s="16" t="n">
        <v>51</v>
      </c>
      <c r="U1766" s="16" t="n">
        <v>41</v>
      </c>
      <c r="V1766" s="16">
        <f>ROUNDUP((T1766+U1766+2*'Read Me'!$B$13)*(1+'Read Me'!$B$12),-1)</f>
        <v/>
      </c>
      <c r="W1766" s="16">
        <f>V1766*N1766*O1766</f>
        <v/>
      </c>
      <c r="X1766" s="12">
        <f>IF(LEFT(I1766,2)="MV",2*N1766*IF(L1766="1/C",O1766,1),0)</f>
        <v/>
      </c>
      <c r="Y1766" s="12">
        <f>IF(OR(LEFT(K1766,4)="LVAX",LEFT(K1766,6)="MV15AX",LEFT(K1766,4)="CTAX",LEFT(K1766,2)="W|"),2*N1766*O1766,0)</f>
        <v/>
      </c>
      <c r="Z1766" s="12" t="inlineStr">
        <is>
          <t>VD 0.1 %</t>
        </is>
      </c>
      <c r="AA1766" s="12">
        <f>N1766*O1766</f>
        <v/>
      </c>
    </row>
    <row r="1767">
      <c r="A1767" s="12" t="inlineStr">
        <is>
          <t>A-P-0400</t>
        </is>
      </c>
      <c r="B1767" s="12" t="inlineStr">
        <is>
          <t>A</t>
        </is>
      </c>
      <c r="C1767" s="12" t="inlineStr">
        <is>
          <t>Power block</t>
        </is>
      </c>
      <c r="D1767" s="12" t="inlineStr">
        <is>
          <t>Motor 6 of 6, 2 kW</t>
        </is>
      </c>
      <c r="E1767" s="12" t="inlineStr">
        <is>
          <t>LC-480-B</t>
        </is>
      </c>
      <c r="F1767" s="12" t="inlineStr">
        <is>
          <t>R1 LC-480-B (480 V switchgear)</t>
        </is>
      </c>
      <c r="G1767" s="12" t="inlineStr">
        <is>
          <t>LCT-A</t>
        </is>
      </c>
      <c r="H1767" s="12" t="inlineStr">
        <is>
          <t>LCT-A: 13.8/0.48 kV load-centre transformer</t>
        </is>
      </c>
      <c r="I1767" s="12" t="inlineStr">
        <is>
          <t>LV 600 V</t>
        </is>
      </c>
      <c r="J1767" s="12" t="inlineStr">
        <is>
          <t>Type TC-ER 600 V 3/C Cu XHHW-2 + ground, PVC jacket</t>
        </is>
      </c>
      <c r="K1767" s="12" t="inlineStr">
        <is>
          <t>LV|3/C+G|10</t>
        </is>
      </c>
      <c r="L1767" s="12" t="inlineStr">
        <is>
          <t>3/C+G</t>
        </is>
      </c>
      <c r="M1767" s="12" t="inlineStr">
        <is>
          <t>10</t>
        </is>
      </c>
      <c r="N1767" s="12" t="n">
        <v>1</v>
      </c>
      <c r="O1767" s="12" t="n">
        <v>1</v>
      </c>
      <c r="P1767" s="12" t="n">
        <v>480</v>
      </c>
      <c r="Q1767" s="12" t="n">
        <v>2</v>
      </c>
      <c r="R1767" s="12" t="n">
        <v>2.8</v>
      </c>
      <c r="S1767" s="12" t="inlineStr">
        <is>
          <t>Duct bank</t>
        </is>
      </c>
      <c r="T1767" s="16" t="n">
        <v>51</v>
      </c>
      <c r="U1767" s="16" t="n">
        <v>41</v>
      </c>
      <c r="V1767" s="16">
        <f>ROUNDUP((T1767+U1767+2*'Read Me'!$B$13)*(1+'Read Me'!$B$12),-1)</f>
        <v/>
      </c>
      <c r="W1767" s="16">
        <f>V1767*N1767*O1767</f>
        <v/>
      </c>
      <c r="X1767" s="12">
        <f>IF(LEFT(I1767,2)="MV",2*N1767*IF(L1767="1/C",O1767,1),0)</f>
        <v/>
      </c>
      <c r="Y1767" s="12">
        <f>IF(OR(LEFT(K1767,4)="LVAX",LEFT(K1767,6)="MV15AX",LEFT(K1767,4)="CTAX",LEFT(K1767,2)="W|"),2*N1767*O1767,0)</f>
        <v/>
      </c>
      <c r="Z1767" s="12" t="inlineStr">
        <is>
          <t>VD 0.1 %</t>
        </is>
      </c>
      <c r="AA1767" s="12">
        <f>N1767*O1767</f>
        <v/>
      </c>
    </row>
    <row r="1768">
      <c r="A1768" s="12" t="inlineStr">
        <is>
          <t>A-P-0401</t>
        </is>
      </c>
      <c r="B1768" s="12" t="inlineStr">
        <is>
          <t>A</t>
        </is>
      </c>
      <c r="C1768" s="12" t="inlineStr">
        <is>
          <t>Power block</t>
        </is>
      </c>
      <c r="D1768" s="12" t="inlineStr">
        <is>
          <t>Motor 1 of 6, 2 kW</t>
        </is>
      </c>
      <c r="E1768" s="12" t="inlineStr">
        <is>
          <t>LC-480-B</t>
        </is>
      </c>
      <c r="F1768" s="12" t="inlineStr">
        <is>
          <t>R1 LC-480-B (480 V switchgear)</t>
        </is>
      </c>
      <c r="G1768" s="12" t="inlineStr">
        <is>
          <t>LCT-B</t>
        </is>
      </c>
      <c r="H1768" s="12" t="inlineStr">
        <is>
          <t>LCT-B: 13.8/0.48 kV load-centre transformer</t>
        </is>
      </c>
      <c r="I1768" s="12" t="inlineStr">
        <is>
          <t>LV 600 V</t>
        </is>
      </c>
      <c r="J1768" s="12" t="inlineStr">
        <is>
          <t>Type TC-ER 600 V 3/C Cu XHHW-2 + ground, PVC jacket</t>
        </is>
      </c>
      <c r="K1768" s="12" t="inlineStr">
        <is>
          <t>LV|3/C+G|10</t>
        </is>
      </c>
      <c r="L1768" s="12" t="inlineStr">
        <is>
          <t>3/C+G</t>
        </is>
      </c>
      <c r="M1768" s="12" t="inlineStr">
        <is>
          <t>10</t>
        </is>
      </c>
      <c r="N1768" s="12" t="n">
        <v>1</v>
      </c>
      <c r="O1768" s="12" t="n">
        <v>1</v>
      </c>
      <c r="P1768" s="12" t="n">
        <v>480</v>
      </c>
      <c r="Q1768" s="12" t="n">
        <v>2</v>
      </c>
      <c r="R1768" s="12" t="n">
        <v>2.8</v>
      </c>
      <c r="S1768" s="12" t="inlineStr">
        <is>
          <t>Duct bank</t>
        </is>
      </c>
      <c r="T1768" s="16" t="n">
        <v>51</v>
      </c>
      <c r="U1768" s="16" t="n">
        <v>63</v>
      </c>
      <c r="V1768" s="16">
        <f>ROUNDUP((T1768+U1768+2*'Read Me'!$B$13)*(1+'Read Me'!$B$12),-1)</f>
        <v/>
      </c>
      <c r="W1768" s="16">
        <f>V1768*N1768*O1768</f>
        <v/>
      </c>
      <c r="X1768" s="12">
        <f>IF(LEFT(I1768,2)="MV",2*N1768*IF(L1768="1/C",O1768,1),0)</f>
        <v/>
      </c>
      <c r="Y1768" s="12">
        <f>IF(OR(LEFT(K1768,4)="LVAX",LEFT(K1768,6)="MV15AX",LEFT(K1768,4)="CTAX",LEFT(K1768,2)="W|"),2*N1768*O1768,0)</f>
        <v/>
      </c>
      <c r="Z1768" s="12" t="inlineStr">
        <is>
          <t>VD 0.2 %</t>
        </is>
      </c>
      <c r="AA1768" s="12">
        <f>N1768*O1768</f>
        <v/>
      </c>
    </row>
    <row r="1769">
      <c r="A1769" s="12" t="inlineStr">
        <is>
          <t>A-P-0402</t>
        </is>
      </c>
      <c r="B1769" s="12" t="inlineStr">
        <is>
          <t>A</t>
        </is>
      </c>
      <c r="C1769" s="12" t="inlineStr">
        <is>
          <t>Power block</t>
        </is>
      </c>
      <c r="D1769" s="12" t="inlineStr">
        <is>
          <t>Motor 2 of 6, 2 kW</t>
        </is>
      </c>
      <c r="E1769" s="12" t="inlineStr">
        <is>
          <t>LC-480-B</t>
        </is>
      </c>
      <c r="F1769" s="12" t="inlineStr">
        <is>
          <t>R1 LC-480-B (480 V switchgear)</t>
        </is>
      </c>
      <c r="G1769" s="12" t="inlineStr">
        <is>
          <t>LCT-B</t>
        </is>
      </c>
      <c r="H1769" s="12" t="inlineStr">
        <is>
          <t>LCT-B: 13.8/0.48 kV load-centre transformer</t>
        </is>
      </c>
      <c r="I1769" s="12" t="inlineStr">
        <is>
          <t>LV 600 V</t>
        </is>
      </c>
      <c r="J1769" s="12" t="inlineStr">
        <is>
          <t>Type TC-ER 600 V 3/C Cu XHHW-2 + ground, PVC jacket</t>
        </is>
      </c>
      <c r="K1769" s="12" t="inlineStr">
        <is>
          <t>LV|3/C+G|10</t>
        </is>
      </c>
      <c r="L1769" s="12" t="inlineStr">
        <is>
          <t>3/C+G</t>
        </is>
      </c>
      <c r="M1769" s="12" t="inlineStr">
        <is>
          <t>10</t>
        </is>
      </c>
      <c r="N1769" s="12" t="n">
        <v>1</v>
      </c>
      <c r="O1769" s="12" t="n">
        <v>1</v>
      </c>
      <c r="P1769" s="12" t="n">
        <v>480</v>
      </c>
      <c r="Q1769" s="12" t="n">
        <v>2</v>
      </c>
      <c r="R1769" s="12" t="n">
        <v>2.8</v>
      </c>
      <c r="S1769" s="12" t="inlineStr">
        <is>
          <t>Duct bank</t>
        </is>
      </c>
      <c r="T1769" s="16" t="n">
        <v>51</v>
      </c>
      <c r="U1769" s="16" t="n">
        <v>63</v>
      </c>
      <c r="V1769" s="16">
        <f>ROUNDUP((T1769+U1769+2*'Read Me'!$B$13)*(1+'Read Me'!$B$12),-1)</f>
        <v/>
      </c>
      <c r="W1769" s="16">
        <f>V1769*N1769*O1769</f>
        <v/>
      </c>
      <c r="X1769" s="12">
        <f>IF(LEFT(I1769,2)="MV",2*N1769*IF(L1769="1/C",O1769,1),0)</f>
        <v/>
      </c>
      <c r="Y1769" s="12">
        <f>IF(OR(LEFT(K1769,4)="LVAX",LEFT(K1769,6)="MV15AX",LEFT(K1769,4)="CTAX",LEFT(K1769,2)="W|"),2*N1769*O1769,0)</f>
        <v/>
      </c>
      <c r="Z1769" s="12" t="inlineStr">
        <is>
          <t>VD 0.2 %</t>
        </is>
      </c>
      <c r="AA1769" s="12">
        <f>N1769*O1769</f>
        <v/>
      </c>
    </row>
    <row r="1770">
      <c r="A1770" s="12" t="inlineStr">
        <is>
          <t>A-P-0403</t>
        </is>
      </c>
      <c r="B1770" s="12" t="inlineStr">
        <is>
          <t>A</t>
        </is>
      </c>
      <c r="C1770" s="12" t="inlineStr">
        <is>
          <t>Power block</t>
        </is>
      </c>
      <c r="D1770" s="12" t="inlineStr">
        <is>
          <t>Motor 3 of 6, 2 kW</t>
        </is>
      </c>
      <c r="E1770" s="12" t="inlineStr">
        <is>
          <t>LC-480-B</t>
        </is>
      </c>
      <c r="F1770" s="12" t="inlineStr">
        <is>
          <t>R1 LC-480-B (480 V switchgear)</t>
        </is>
      </c>
      <c r="G1770" s="12" t="inlineStr">
        <is>
          <t>LCT-B</t>
        </is>
      </c>
      <c r="H1770" s="12" t="inlineStr">
        <is>
          <t>LCT-B: 13.8/0.48 kV load-centre transformer</t>
        </is>
      </c>
      <c r="I1770" s="12" t="inlineStr">
        <is>
          <t>LV 600 V</t>
        </is>
      </c>
      <c r="J1770" s="12" t="inlineStr">
        <is>
          <t>Type TC-ER 600 V 3/C Cu XHHW-2 + ground, PVC jacket</t>
        </is>
      </c>
      <c r="K1770" s="12" t="inlineStr">
        <is>
          <t>LV|3/C+G|10</t>
        </is>
      </c>
      <c r="L1770" s="12" t="inlineStr">
        <is>
          <t>3/C+G</t>
        </is>
      </c>
      <c r="M1770" s="12" t="inlineStr">
        <is>
          <t>10</t>
        </is>
      </c>
      <c r="N1770" s="12" t="n">
        <v>1</v>
      </c>
      <c r="O1770" s="12" t="n">
        <v>1</v>
      </c>
      <c r="P1770" s="12" t="n">
        <v>480</v>
      </c>
      <c r="Q1770" s="12" t="n">
        <v>2</v>
      </c>
      <c r="R1770" s="12" t="n">
        <v>2.8</v>
      </c>
      <c r="S1770" s="12" t="inlineStr">
        <is>
          <t>Duct bank</t>
        </is>
      </c>
      <c r="T1770" s="16" t="n">
        <v>51</v>
      </c>
      <c r="U1770" s="16" t="n">
        <v>63</v>
      </c>
      <c r="V1770" s="16">
        <f>ROUNDUP((T1770+U1770+2*'Read Me'!$B$13)*(1+'Read Me'!$B$12),-1)</f>
        <v/>
      </c>
      <c r="W1770" s="16">
        <f>V1770*N1770*O1770</f>
        <v/>
      </c>
      <c r="X1770" s="12">
        <f>IF(LEFT(I1770,2)="MV",2*N1770*IF(L1770="1/C",O1770,1),0)</f>
        <v/>
      </c>
      <c r="Y1770" s="12">
        <f>IF(OR(LEFT(K1770,4)="LVAX",LEFT(K1770,6)="MV15AX",LEFT(K1770,4)="CTAX",LEFT(K1770,2)="W|"),2*N1770*O1770,0)</f>
        <v/>
      </c>
      <c r="Z1770" s="12" t="inlineStr">
        <is>
          <t>VD 0.2 %</t>
        </is>
      </c>
      <c r="AA1770" s="12">
        <f>N1770*O1770</f>
        <v/>
      </c>
    </row>
    <row r="1771">
      <c r="A1771" s="12" t="inlineStr">
        <is>
          <t>A-P-0404</t>
        </is>
      </c>
      <c r="B1771" s="12" t="inlineStr">
        <is>
          <t>A</t>
        </is>
      </c>
      <c r="C1771" s="12" t="inlineStr">
        <is>
          <t>Power block</t>
        </is>
      </c>
      <c r="D1771" s="12" t="inlineStr">
        <is>
          <t>Motor 4 of 6, 2 kW</t>
        </is>
      </c>
      <c r="E1771" s="12" t="inlineStr">
        <is>
          <t>LC-480-B</t>
        </is>
      </c>
      <c r="F1771" s="12" t="inlineStr">
        <is>
          <t>R1 LC-480-B (480 V switchgear)</t>
        </is>
      </c>
      <c r="G1771" s="12" t="inlineStr">
        <is>
          <t>LCT-B</t>
        </is>
      </c>
      <c r="H1771" s="12" t="inlineStr">
        <is>
          <t>LCT-B: 13.8/0.48 kV load-centre transformer</t>
        </is>
      </c>
      <c r="I1771" s="12" t="inlineStr">
        <is>
          <t>LV 600 V</t>
        </is>
      </c>
      <c r="J1771" s="12" t="inlineStr">
        <is>
          <t>Type TC-ER 600 V 3/C Cu XHHW-2 + ground, PVC jacket</t>
        </is>
      </c>
      <c r="K1771" s="12" t="inlineStr">
        <is>
          <t>LV|3/C+G|10</t>
        </is>
      </c>
      <c r="L1771" s="12" t="inlineStr">
        <is>
          <t>3/C+G</t>
        </is>
      </c>
      <c r="M1771" s="12" t="inlineStr">
        <is>
          <t>10</t>
        </is>
      </c>
      <c r="N1771" s="12" t="n">
        <v>1</v>
      </c>
      <c r="O1771" s="12" t="n">
        <v>1</v>
      </c>
      <c r="P1771" s="12" t="n">
        <v>480</v>
      </c>
      <c r="Q1771" s="12" t="n">
        <v>2</v>
      </c>
      <c r="R1771" s="12" t="n">
        <v>2.8</v>
      </c>
      <c r="S1771" s="12" t="inlineStr">
        <is>
          <t>Duct bank</t>
        </is>
      </c>
      <c r="T1771" s="16" t="n">
        <v>51</v>
      </c>
      <c r="U1771" s="16" t="n">
        <v>63</v>
      </c>
      <c r="V1771" s="16">
        <f>ROUNDUP((T1771+U1771+2*'Read Me'!$B$13)*(1+'Read Me'!$B$12),-1)</f>
        <v/>
      </c>
      <c r="W1771" s="16">
        <f>V1771*N1771*O1771</f>
        <v/>
      </c>
      <c r="X1771" s="12">
        <f>IF(LEFT(I1771,2)="MV",2*N1771*IF(L1771="1/C",O1771,1),0)</f>
        <v/>
      </c>
      <c r="Y1771" s="12">
        <f>IF(OR(LEFT(K1771,4)="LVAX",LEFT(K1771,6)="MV15AX",LEFT(K1771,4)="CTAX",LEFT(K1771,2)="W|"),2*N1771*O1771,0)</f>
        <v/>
      </c>
      <c r="Z1771" s="12" t="inlineStr">
        <is>
          <t>VD 0.2 %</t>
        </is>
      </c>
      <c r="AA1771" s="12">
        <f>N1771*O1771</f>
        <v/>
      </c>
    </row>
    <row r="1772">
      <c r="A1772" s="12" t="inlineStr">
        <is>
          <t>A-P-0405</t>
        </is>
      </c>
      <c r="B1772" s="12" t="inlineStr">
        <is>
          <t>A</t>
        </is>
      </c>
      <c r="C1772" s="12" t="inlineStr">
        <is>
          <t>Power block</t>
        </is>
      </c>
      <c r="D1772" s="12" t="inlineStr">
        <is>
          <t>Motor 5 of 6, 2 kW</t>
        </is>
      </c>
      <c r="E1772" s="12" t="inlineStr">
        <is>
          <t>LC-480-B</t>
        </is>
      </c>
      <c r="F1772" s="12" t="inlineStr">
        <is>
          <t>R1 LC-480-B (480 V switchgear)</t>
        </is>
      </c>
      <c r="G1772" s="12" t="inlineStr">
        <is>
          <t>LCT-B</t>
        </is>
      </c>
      <c r="H1772" s="12" t="inlineStr">
        <is>
          <t>LCT-B: 13.8/0.48 kV load-centre transformer</t>
        </is>
      </c>
      <c r="I1772" s="12" t="inlineStr">
        <is>
          <t>LV 600 V</t>
        </is>
      </c>
      <c r="J1772" s="12" t="inlineStr">
        <is>
          <t>Type TC-ER 600 V 3/C Cu XHHW-2 + ground, PVC jacket</t>
        </is>
      </c>
      <c r="K1772" s="12" t="inlineStr">
        <is>
          <t>LV|3/C+G|10</t>
        </is>
      </c>
      <c r="L1772" s="12" t="inlineStr">
        <is>
          <t>3/C+G</t>
        </is>
      </c>
      <c r="M1772" s="12" t="inlineStr">
        <is>
          <t>10</t>
        </is>
      </c>
      <c r="N1772" s="12" t="n">
        <v>1</v>
      </c>
      <c r="O1772" s="12" t="n">
        <v>1</v>
      </c>
      <c r="P1772" s="12" t="n">
        <v>480</v>
      </c>
      <c r="Q1772" s="12" t="n">
        <v>2</v>
      </c>
      <c r="R1772" s="12" t="n">
        <v>2.8</v>
      </c>
      <c r="S1772" s="12" t="inlineStr">
        <is>
          <t>Duct bank</t>
        </is>
      </c>
      <c r="T1772" s="16" t="n">
        <v>51</v>
      </c>
      <c r="U1772" s="16" t="n">
        <v>63</v>
      </c>
      <c r="V1772" s="16">
        <f>ROUNDUP((T1772+U1772+2*'Read Me'!$B$13)*(1+'Read Me'!$B$12),-1)</f>
        <v/>
      </c>
      <c r="W1772" s="16">
        <f>V1772*N1772*O1772</f>
        <v/>
      </c>
      <c r="X1772" s="12">
        <f>IF(LEFT(I1772,2)="MV",2*N1772*IF(L1772="1/C",O1772,1),0)</f>
        <v/>
      </c>
      <c r="Y1772" s="12">
        <f>IF(OR(LEFT(K1772,4)="LVAX",LEFT(K1772,6)="MV15AX",LEFT(K1772,4)="CTAX",LEFT(K1772,2)="W|"),2*N1772*O1772,0)</f>
        <v/>
      </c>
      <c r="Z1772" s="12" t="inlineStr">
        <is>
          <t>VD 0.2 %</t>
        </is>
      </c>
      <c r="AA1772" s="12">
        <f>N1772*O1772</f>
        <v/>
      </c>
    </row>
    <row r="1773">
      <c r="A1773" s="12" t="inlineStr">
        <is>
          <t>A-P-0406</t>
        </is>
      </c>
      <c r="B1773" s="12" t="inlineStr">
        <is>
          <t>A</t>
        </is>
      </c>
      <c r="C1773" s="12" t="inlineStr">
        <is>
          <t>Power block</t>
        </is>
      </c>
      <c r="D1773" s="12" t="inlineStr">
        <is>
          <t>Motor 6 of 6, 2 kW</t>
        </is>
      </c>
      <c r="E1773" s="12" t="inlineStr">
        <is>
          <t>LC-480-B</t>
        </is>
      </c>
      <c r="F1773" s="12" t="inlineStr">
        <is>
          <t>R1 LC-480-B (480 V switchgear)</t>
        </is>
      </c>
      <c r="G1773" s="12" t="inlineStr">
        <is>
          <t>LCT-B</t>
        </is>
      </c>
      <c r="H1773" s="12" t="inlineStr">
        <is>
          <t>LCT-B: 13.8/0.48 kV load-centre transformer</t>
        </is>
      </c>
      <c r="I1773" s="12" t="inlineStr">
        <is>
          <t>LV 600 V</t>
        </is>
      </c>
      <c r="J1773" s="12" t="inlineStr">
        <is>
          <t>Type TC-ER 600 V 3/C Cu XHHW-2 + ground, PVC jacket</t>
        </is>
      </c>
      <c r="K1773" s="12" t="inlineStr">
        <is>
          <t>LV|3/C+G|10</t>
        </is>
      </c>
      <c r="L1773" s="12" t="inlineStr">
        <is>
          <t>3/C+G</t>
        </is>
      </c>
      <c r="M1773" s="12" t="inlineStr">
        <is>
          <t>10</t>
        </is>
      </c>
      <c r="N1773" s="12" t="n">
        <v>1</v>
      </c>
      <c r="O1773" s="12" t="n">
        <v>1</v>
      </c>
      <c r="P1773" s="12" t="n">
        <v>480</v>
      </c>
      <c r="Q1773" s="12" t="n">
        <v>2</v>
      </c>
      <c r="R1773" s="12" t="n">
        <v>2.8</v>
      </c>
      <c r="S1773" s="12" t="inlineStr">
        <is>
          <t>Duct bank</t>
        </is>
      </c>
      <c r="T1773" s="16" t="n">
        <v>51</v>
      </c>
      <c r="U1773" s="16" t="n">
        <v>63</v>
      </c>
      <c r="V1773" s="16">
        <f>ROUNDUP((T1773+U1773+2*'Read Me'!$B$13)*(1+'Read Me'!$B$12),-1)</f>
        <v/>
      </c>
      <c r="W1773" s="16">
        <f>V1773*N1773*O1773</f>
        <v/>
      </c>
      <c r="X1773" s="12">
        <f>IF(LEFT(I1773,2)="MV",2*N1773*IF(L1773="1/C",O1773,1),0)</f>
        <v/>
      </c>
      <c r="Y1773" s="12">
        <f>IF(OR(LEFT(K1773,4)="LVAX",LEFT(K1773,6)="MV15AX",LEFT(K1773,4)="CTAX",LEFT(K1773,2)="W|"),2*N1773*O1773,0)</f>
        <v/>
      </c>
      <c r="Z1773" s="12" t="inlineStr">
        <is>
          <t>VD 0.2 %</t>
        </is>
      </c>
      <c r="AA1773" s="12">
        <f>N1773*O1773</f>
        <v/>
      </c>
    </row>
    <row r="1774">
      <c r="A1774" s="12" t="inlineStr">
        <is>
          <t>A-P-0407</t>
        </is>
      </c>
      <c r="B1774" s="12" t="inlineStr">
        <is>
          <t>A</t>
        </is>
      </c>
      <c r="C1774" s="12" t="inlineStr">
        <is>
          <t>Power block</t>
        </is>
      </c>
      <c r="D1774" s="12" t="inlineStr">
        <is>
          <t>EDG-1 480 V output to EMCC</t>
        </is>
      </c>
      <c r="E1774" s="12" t="inlineStr">
        <is>
          <t>EDG-1</t>
        </is>
      </c>
      <c r="F1774" s="12" t="inlineStr">
        <is>
          <t>EDG-1: 3 MW emergency diesel generator (480 V)</t>
        </is>
      </c>
      <c r="G1774" s="12" t="inlineStr">
        <is>
          <t>EMCC</t>
        </is>
      </c>
      <c r="H1774" s="12" t="inlineStr">
        <is>
          <t>R1 EMCC (emergency MCC)</t>
        </is>
      </c>
      <c r="I1774" s="12" t="inlineStr">
        <is>
          <t>LV 600 V</t>
        </is>
      </c>
      <c r="J1774" s="12" t="inlineStr">
        <is>
          <t>XHHW-2 600 V 1/C Cu (feeder sets in tray / duct)</t>
        </is>
      </c>
      <c r="K1774" s="12" t="inlineStr">
        <is>
          <t>LV1C|1/C|500</t>
        </is>
      </c>
      <c r="L1774" s="12" t="inlineStr">
        <is>
          <t>1/C</t>
        </is>
      </c>
      <c r="M1774" s="12" t="inlineStr">
        <is>
          <t>500 kcmil</t>
        </is>
      </c>
      <c r="N1774" s="12" t="n">
        <v>13</v>
      </c>
      <c r="O1774" s="12" t="n">
        <v>4</v>
      </c>
      <c r="P1774" s="12" t="n">
        <v>480</v>
      </c>
      <c r="Q1774" s="12" t="n">
        <v>3000</v>
      </c>
      <c r="R1774" s="12" t="n">
        <v>3609</v>
      </c>
      <c r="S1774" s="12" t="inlineStr">
        <is>
          <t>Tray</t>
        </is>
      </c>
      <c r="T1774" s="16" t="n">
        <v>890</v>
      </c>
      <c r="U1774" s="16" t="n">
        <v>194</v>
      </c>
      <c r="V1774" s="16">
        <f>ROUNDUP((T1774+U1774+2*'Read Me'!$B$13)*(1+'Read Me'!$B$12),-1)</f>
        <v/>
      </c>
      <c r="W1774" s="16">
        <f>V1774*N1774*O1774</f>
        <v/>
      </c>
      <c r="X1774" s="12">
        <f>IF(LEFT(I1774,2)="MV",2*N1774*IF(L1774="1/C",O1774,1),0)</f>
        <v/>
      </c>
      <c r="Y1774" s="12">
        <f>IF(OR(LEFT(K1774,4)="LVAX",LEFT(K1774,6)="MV15AX",LEFT(K1774,4)="CTAX",LEFT(K1774,2)="W|"),2*N1774*O1774,0)</f>
        <v/>
      </c>
      <c r="Z1774" s="12" t="inlineStr">
        <is>
          <t>13 sets of 4 x 1/C 500 kcmil for 3 % VD (or bus duct)</t>
        </is>
      </c>
      <c r="AA1774" s="12">
        <f>N1774*O1774</f>
        <v/>
      </c>
    </row>
    <row r="1775">
      <c r="A1775" s="12" t="inlineStr">
        <is>
          <t>A-P-0408</t>
        </is>
      </c>
      <c r="B1775" s="12" t="inlineStr">
        <is>
          <t>A</t>
        </is>
      </c>
      <c r="C1775" s="12" t="inlineStr">
        <is>
          <t>Power block</t>
        </is>
      </c>
      <c r="D1775" s="12" t="inlineStr">
        <is>
          <t>EDG-2 480 V output to EMCC</t>
        </is>
      </c>
      <c r="E1775" s="12" t="inlineStr">
        <is>
          <t>EDG-2</t>
        </is>
      </c>
      <c r="F1775" s="12" t="inlineStr">
        <is>
          <t>EDG-2: 3 MW emergency diesel generator (480 V)</t>
        </is>
      </c>
      <c r="G1775" s="12" t="inlineStr">
        <is>
          <t>EMCC</t>
        </is>
      </c>
      <c r="H1775" s="12" t="inlineStr">
        <is>
          <t>R1 EMCC (emergency MCC)</t>
        </is>
      </c>
      <c r="I1775" s="12" t="inlineStr">
        <is>
          <t>LV 600 V</t>
        </is>
      </c>
      <c r="J1775" s="12" t="inlineStr">
        <is>
          <t>XHHW-2 600 V 1/C Cu (feeder sets in tray / duct)</t>
        </is>
      </c>
      <c r="K1775" s="12" t="inlineStr">
        <is>
          <t>LV1C|1/C|500</t>
        </is>
      </c>
      <c r="L1775" s="12" t="inlineStr">
        <is>
          <t>1/C</t>
        </is>
      </c>
      <c r="M1775" s="12" t="inlineStr">
        <is>
          <t>500 kcmil</t>
        </is>
      </c>
      <c r="N1775" s="12" t="n">
        <v>13</v>
      </c>
      <c r="O1775" s="12" t="n">
        <v>4</v>
      </c>
      <c r="P1775" s="12" t="n">
        <v>480</v>
      </c>
      <c r="Q1775" s="12" t="n">
        <v>3000</v>
      </c>
      <c r="R1775" s="12" t="n">
        <v>3609</v>
      </c>
      <c r="S1775" s="12" t="inlineStr">
        <is>
          <t>Tray</t>
        </is>
      </c>
      <c r="T1775" s="16" t="n">
        <v>972</v>
      </c>
      <c r="U1775" s="16" t="n">
        <v>192</v>
      </c>
      <c r="V1775" s="16">
        <f>ROUNDUP((T1775+U1775+2*'Read Me'!$B$13)*(1+'Read Me'!$B$12),-1)</f>
        <v/>
      </c>
      <c r="W1775" s="16">
        <f>V1775*N1775*O1775</f>
        <v/>
      </c>
      <c r="X1775" s="12">
        <f>IF(LEFT(I1775,2)="MV",2*N1775*IF(L1775="1/C",O1775,1),0)</f>
        <v/>
      </c>
      <c r="Y1775" s="12">
        <f>IF(OR(LEFT(K1775,4)="LVAX",LEFT(K1775,6)="MV15AX",LEFT(K1775,4)="CTAX",LEFT(K1775,2)="W|"),2*N1775*O1775,0)</f>
        <v/>
      </c>
      <c r="Z1775" s="12" t="inlineStr">
        <is>
          <t>13 sets of 4 x 1/C 500 kcmil for 3 % VD (or bus duct)</t>
        </is>
      </c>
      <c r="AA1775" s="12">
        <f>N1775*O1775</f>
        <v/>
      </c>
    </row>
    <row r="1776">
      <c r="A1776" s="12" t="inlineStr">
        <is>
          <t>A-P-0409</t>
        </is>
      </c>
      <c r="B1776" s="12" t="inlineStr">
        <is>
          <t>A</t>
        </is>
      </c>
      <c r="C1776" s="12" t="inlineStr">
        <is>
          <t>Power block</t>
        </is>
      </c>
      <c r="D1776" s="12" t="inlineStr">
        <is>
          <t>EMCC normal supply from LC-480-A</t>
        </is>
      </c>
      <c r="E1776" s="12" t="inlineStr">
        <is>
          <t>LC-480-A</t>
        </is>
      </c>
      <c r="F1776" s="12" t="inlineStr">
        <is>
          <t>R1 LC-480-A (480 V switchgear)</t>
        </is>
      </c>
      <c r="G1776" s="12" t="inlineStr">
        <is>
          <t>EMCC</t>
        </is>
      </c>
      <c r="H1776" s="12" t="inlineStr">
        <is>
          <t>R1 EMCC (emergency MCC)</t>
        </is>
      </c>
      <c r="I1776" s="12" t="inlineStr">
        <is>
          <t>LV 600 V</t>
        </is>
      </c>
      <c r="J1776" s="12" t="inlineStr">
        <is>
          <t>Type TC-ER 600 V 3/C Cu XHHW-2 + ground, PVC jacket</t>
        </is>
      </c>
      <c r="K1776" s="12" t="inlineStr">
        <is>
          <t>LV|3/C+G|500</t>
        </is>
      </c>
      <c r="L1776" s="12" t="inlineStr">
        <is>
          <t>3/C+G</t>
        </is>
      </c>
      <c r="M1776" s="12" t="inlineStr">
        <is>
          <t>500 kcmil</t>
        </is>
      </c>
      <c r="N1776" s="12" t="n">
        <v>2</v>
      </c>
      <c r="O1776" s="12" t="n">
        <v>1</v>
      </c>
      <c r="P1776" s="12" t="n">
        <v>480</v>
      </c>
      <c r="Q1776" s="12" t="n">
        <v>400</v>
      </c>
      <c r="R1776" s="12" t="n">
        <v>506.5</v>
      </c>
      <c r="S1776" s="12" t="inlineStr">
        <is>
          <t>Tray</t>
        </is>
      </c>
      <c r="T1776" s="16" t="n">
        <v>0</v>
      </c>
      <c r="U1776" s="16" t="n">
        <v>70</v>
      </c>
      <c r="V1776" s="16">
        <f>ROUNDUP((T1776+U1776+2*'Read Me'!$B$13)*(1+'Read Me'!$B$12),-1)</f>
        <v/>
      </c>
      <c r="W1776" s="16">
        <f>V1776*N1776*O1776</f>
        <v/>
      </c>
      <c r="X1776" s="12">
        <f>IF(LEFT(I1776,2)="MV",2*N1776*IF(L1776="1/C",O1776,1),0)</f>
        <v/>
      </c>
      <c r="Y1776" s="12">
        <f>IF(OR(LEFT(K1776,4)="LVAX",LEFT(K1776,6)="MV15AX",LEFT(K1776,4)="CTAX",LEFT(K1776,2)="W|"),2*N1776*O1776,0)</f>
        <v/>
      </c>
      <c r="Z1776" s="12" t="inlineStr">
        <is>
          <t>VD 0.2 %</t>
        </is>
      </c>
      <c r="AA1776" s="12">
        <f>N1776*O1776</f>
        <v/>
      </c>
    </row>
    <row r="1777">
      <c r="A1777" s="12" t="inlineStr">
        <is>
          <t>A-P-0410</t>
        </is>
      </c>
      <c r="B1777" s="12" t="inlineStr">
        <is>
          <t>A</t>
        </is>
      </c>
      <c r="C1777" s="12" t="inlineStr">
        <is>
          <t>Power block</t>
        </is>
      </c>
      <c r="D1777" s="12" t="inlineStr">
        <is>
          <t>LV panel / distribution feeder</t>
        </is>
      </c>
      <c r="E1777" s="12" t="inlineStr">
        <is>
          <t>LC-480-A</t>
        </is>
      </c>
      <c r="F1777" s="12" t="inlineStr">
        <is>
          <t>R1 LC-480-A (480 V switchgear)</t>
        </is>
      </c>
      <c r="G1777" s="12" t="inlineStr">
        <is>
          <t>R1</t>
        </is>
      </c>
      <c r="H1777" s="12" t="inlineStr">
        <is>
          <t>R1: main electrical building (64 x 180 ft)</t>
        </is>
      </c>
      <c r="I1777" s="12" t="inlineStr">
        <is>
          <t>LV 600 V</t>
        </is>
      </c>
      <c r="J1777" s="12" t="inlineStr">
        <is>
          <t>Type TC-ER 600 V 3/C Cu XHHW-2 + ground, PVC jacket</t>
        </is>
      </c>
      <c r="K1777" s="12" t="inlineStr">
        <is>
          <t>LV|3/C+G|350</t>
        </is>
      </c>
      <c r="L1777" s="12" t="inlineStr">
        <is>
          <t>3/C+G</t>
        </is>
      </c>
      <c r="M1777" s="12" t="inlineStr">
        <is>
          <t>350 kcmil</t>
        </is>
      </c>
      <c r="N1777" s="12" t="n">
        <v>1</v>
      </c>
      <c r="O1777" s="12" t="n">
        <v>1</v>
      </c>
      <c r="P1777" s="12" t="n">
        <v>480</v>
      </c>
      <c r="Q1777" s="12" t="n">
        <v>138</v>
      </c>
      <c r="R1777" s="12" t="n">
        <v>195.3</v>
      </c>
      <c r="S1777" s="12" t="inlineStr">
        <is>
          <t>Tray</t>
        </is>
      </c>
      <c r="T1777" s="16" t="n">
        <v>627</v>
      </c>
      <c r="U1777" s="16" t="n">
        <v>152</v>
      </c>
      <c r="V1777" s="16">
        <f>ROUNDUP((T1777+U1777+2*'Read Me'!$B$13)*(1+'Read Me'!$B$12),-1)</f>
        <v/>
      </c>
      <c r="W1777" s="16">
        <f>V1777*N1777*O1777</f>
        <v/>
      </c>
      <c r="X1777" s="12">
        <f>IF(LEFT(I1777,2)="MV",2*N1777*IF(L1777="1/C",O1777,1),0)</f>
        <v/>
      </c>
      <c r="Y1777" s="12">
        <f>IF(OR(LEFT(K1777,4)="LVAX",LEFT(K1777,6)="MV15AX",LEFT(K1777,4)="CTAX",LEFT(K1777,2)="W|"),2*N1777*O1777,0)</f>
        <v/>
      </c>
      <c r="Z1777" s="12" t="inlineStr">
        <is>
          <t>VD 2.2 %</t>
        </is>
      </c>
      <c r="AA1777" s="12">
        <f>N1777*O1777</f>
        <v/>
      </c>
    </row>
    <row r="1778">
      <c r="A1778" s="12" t="inlineStr">
        <is>
          <t>A-P-0411</t>
        </is>
      </c>
      <c r="B1778" s="12" t="inlineStr">
        <is>
          <t>A</t>
        </is>
      </c>
      <c r="C1778" s="12" t="inlineStr">
        <is>
          <t>Power block</t>
        </is>
      </c>
      <c r="D1778" s="12" t="inlineStr">
        <is>
          <t>LV panel / distribution feeder</t>
        </is>
      </c>
      <c r="E1778" s="12" t="inlineStr">
        <is>
          <t>R2A</t>
        </is>
      </c>
      <c r="F1778" s="12" t="inlineStr">
        <is>
          <t>R2A: unit / HRSG electrical e-house (32 x 40 ft)</t>
        </is>
      </c>
      <c r="G1778" s="12" t="inlineStr">
        <is>
          <t>R2A</t>
        </is>
      </c>
      <c r="H1778" s="12" t="inlineStr">
        <is>
          <t>R2A: unit / HRSG electrical e-house (32 x 40 ft)</t>
        </is>
      </c>
      <c r="I1778" s="12" t="inlineStr">
        <is>
          <t>LV 600 V</t>
        </is>
      </c>
      <c r="J1778" s="12" t="inlineStr">
        <is>
          <t>Type TC-ER 600 V 3/C Cu XHHW-2 + ground, PVC jacket</t>
        </is>
      </c>
      <c r="K1778" s="12" t="inlineStr">
        <is>
          <t>LV|3/C+G|6</t>
        </is>
      </c>
      <c r="L1778" s="12" t="inlineStr">
        <is>
          <t>3/C+G</t>
        </is>
      </c>
      <c r="M1778" s="12" t="inlineStr">
        <is>
          <t>6</t>
        </is>
      </c>
      <c r="N1778" s="12" t="n">
        <v>1</v>
      </c>
      <c r="O1778" s="12" t="n">
        <v>1</v>
      </c>
      <c r="P1778" s="12" t="n">
        <v>480</v>
      </c>
      <c r="Q1778" s="12" t="n">
        <v>30</v>
      </c>
      <c r="R1778" s="12" t="n">
        <v>42.5</v>
      </c>
      <c r="S1778" s="12" t="inlineStr">
        <is>
          <t>Tray</t>
        </is>
      </c>
      <c r="T1778" s="16" t="n">
        <v>0</v>
      </c>
      <c r="U1778" s="16" t="n">
        <v>72</v>
      </c>
      <c r="V1778" s="16">
        <f>ROUNDUP((T1778+U1778+2*'Read Me'!$B$13)*(1+'Read Me'!$B$12),-1)</f>
        <v/>
      </c>
      <c r="W1778" s="16">
        <f>V1778*N1778*O1778</f>
        <v/>
      </c>
      <c r="X1778" s="12">
        <f>IF(LEFT(I1778,2)="MV",2*N1778*IF(L1778="1/C",O1778,1),0)</f>
        <v/>
      </c>
      <c r="Y1778" s="12">
        <f>IF(OR(LEFT(K1778,4)="LVAX",LEFT(K1778,6)="MV15AX",LEFT(K1778,4)="CTAX",LEFT(K1778,2)="W|"),2*N1778*O1778,0)</f>
        <v/>
      </c>
      <c r="Z1778" s="12" t="inlineStr">
        <is>
          <t>VD 0.6 %</t>
        </is>
      </c>
      <c r="AA1778" s="12">
        <f>N1778*O1778</f>
        <v/>
      </c>
    </row>
    <row r="1779">
      <c r="A1779" s="12" t="inlineStr">
        <is>
          <t>A-P-0412</t>
        </is>
      </c>
      <c r="B1779" s="12" t="inlineStr">
        <is>
          <t>A</t>
        </is>
      </c>
      <c r="C1779" s="12" t="inlineStr">
        <is>
          <t>Power block</t>
        </is>
      </c>
      <c r="D1779" s="12" t="inlineStr">
        <is>
          <t>LV panel / distribution feeder</t>
        </is>
      </c>
      <c r="E1779" s="12" t="inlineStr">
        <is>
          <t>R2B</t>
        </is>
      </c>
      <c r="F1779" s="12" t="inlineStr">
        <is>
          <t>R2B: unit / HRSG electrical e-house (32 x 40 ft)</t>
        </is>
      </c>
      <c r="G1779" s="12" t="inlineStr">
        <is>
          <t>R2B</t>
        </is>
      </c>
      <c r="H1779" s="12" t="inlineStr">
        <is>
          <t>R2B: unit / HRSG electrical e-house (32 x 40 ft)</t>
        </is>
      </c>
      <c r="I1779" s="12" t="inlineStr">
        <is>
          <t>LV 600 V</t>
        </is>
      </c>
      <c r="J1779" s="12" t="inlineStr">
        <is>
          <t>Type TC-ER 600 V 3/C Cu XHHW-2 + ground, PVC jacket</t>
        </is>
      </c>
      <c r="K1779" s="12" t="inlineStr">
        <is>
          <t>LV|3/C+G|6</t>
        </is>
      </c>
      <c r="L1779" s="12" t="inlineStr">
        <is>
          <t>3/C+G</t>
        </is>
      </c>
      <c r="M1779" s="12" t="inlineStr">
        <is>
          <t>6</t>
        </is>
      </c>
      <c r="N1779" s="12" t="n">
        <v>1</v>
      </c>
      <c r="O1779" s="12" t="n">
        <v>1</v>
      </c>
      <c r="P1779" s="12" t="n">
        <v>480</v>
      </c>
      <c r="Q1779" s="12" t="n">
        <v>30</v>
      </c>
      <c r="R1779" s="12" t="n">
        <v>42.5</v>
      </c>
      <c r="S1779" s="12" t="inlineStr">
        <is>
          <t>Tray</t>
        </is>
      </c>
      <c r="T1779" s="16" t="n">
        <v>0</v>
      </c>
      <c r="U1779" s="16" t="n">
        <v>72</v>
      </c>
      <c r="V1779" s="16">
        <f>ROUNDUP((T1779+U1779+2*'Read Me'!$B$13)*(1+'Read Me'!$B$12),-1)</f>
        <v/>
      </c>
      <c r="W1779" s="16">
        <f>V1779*N1779*O1779</f>
        <v/>
      </c>
      <c r="X1779" s="12">
        <f>IF(LEFT(I1779,2)="MV",2*N1779*IF(L1779="1/C",O1779,1),0)</f>
        <v/>
      </c>
      <c r="Y1779" s="12">
        <f>IF(OR(LEFT(K1779,4)="LVAX",LEFT(K1779,6)="MV15AX",LEFT(K1779,4)="CTAX",LEFT(K1779,2)="W|"),2*N1779*O1779,0)</f>
        <v/>
      </c>
      <c r="Z1779" s="12" t="inlineStr">
        <is>
          <t>VD 0.6 %</t>
        </is>
      </c>
      <c r="AA1779" s="12">
        <f>N1779*O1779</f>
        <v/>
      </c>
    </row>
    <row r="1780">
      <c r="A1780" s="12" t="inlineStr">
        <is>
          <t>A-P-0413</t>
        </is>
      </c>
      <c r="B1780" s="12" t="inlineStr">
        <is>
          <t>A</t>
        </is>
      </c>
      <c r="C1780" s="12" t="inlineStr">
        <is>
          <t>Power block</t>
        </is>
      </c>
      <c r="D1780" s="12" t="inlineStr">
        <is>
          <t>LV panel / distribution feeder</t>
        </is>
      </c>
      <c r="E1780" s="12" t="inlineStr">
        <is>
          <t>R2C</t>
        </is>
      </c>
      <c r="F1780" s="12" t="inlineStr">
        <is>
          <t>R2C: unit / HRSG electrical e-house (32 x 40 ft)</t>
        </is>
      </c>
      <c r="G1780" s="12" t="inlineStr">
        <is>
          <t>R2C</t>
        </is>
      </c>
      <c r="H1780" s="12" t="inlineStr">
        <is>
          <t>R2C: unit / HRSG electrical e-house (32 x 40 ft)</t>
        </is>
      </c>
      <c r="I1780" s="12" t="inlineStr">
        <is>
          <t>LV 600 V</t>
        </is>
      </c>
      <c r="J1780" s="12" t="inlineStr">
        <is>
          <t>Type TC-ER 600 V 3/C Cu XHHW-2 + ground, PVC jacket</t>
        </is>
      </c>
      <c r="K1780" s="12" t="inlineStr">
        <is>
          <t>LV|3/C+G|6</t>
        </is>
      </c>
      <c r="L1780" s="12" t="inlineStr">
        <is>
          <t>3/C+G</t>
        </is>
      </c>
      <c r="M1780" s="12" t="inlineStr">
        <is>
          <t>6</t>
        </is>
      </c>
      <c r="N1780" s="12" t="n">
        <v>1</v>
      </c>
      <c r="O1780" s="12" t="n">
        <v>1</v>
      </c>
      <c r="P1780" s="12" t="n">
        <v>480</v>
      </c>
      <c r="Q1780" s="12" t="n">
        <v>30</v>
      </c>
      <c r="R1780" s="12" t="n">
        <v>42.5</v>
      </c>
      <c r="S1780" s="12" t="inlineStr">
        <is>
          <t>Tray</t>
        </is>
      </c>
      <c r="T1780" s="16" t="n">
        <v>0</v>
      </c>
      <c r="U1780" s="16" t="n">
        <v>72</v>
      </c>
      <c r="V1780" s="16">
        <f>ROUNDUP((T1780+U1780+2*'Read Me'!$B$13)*(1+'Read Me'!$B$12),-1)</f>
        <v/>
      </c>
      <c r="W1780" s="16">
        <f>V1780*N1780*O1780</f>
        <v/>
      </c>
      <c r="X1780" s="12">
        <f>IF(LEFT(I1780,2)="MV",2*N1780*IF(L1780="1/C",O1780,1),0)</f>
        <v/>
      </c>
      <c r="Y1780" s="12">
        <f>IF(OR(LEFT(K1780,4)="LVAX",LEFT(K1780,6)="MV15AX",LEFT(K1780,4)="CTAX",LEFT(K1780,2)="W|"),2*N1780*O1780,0)</f>
        <v/>
      </c>
      <c r="Z1780" s="12" t="inlineStr">
        <is>
          <t>VD 0.6 %</t>
        </is>
      </c>
      <c r="AA1780" s="12">
        <f>N1780*O1780</f>
        <v/>
      </c>
    </row>
    <row r="1781">
      <c r="A1781" s="12" t="inlineStr">
        <is>
          <t>A-P-0414</t>
        </is>
      </c>
      <c r="B1781" s="12" t="inlineStr">
        <is>
          <t>A</t>
        </is>
      </c>
      <c r="C1781" s="12" t="inlineStr">
        <is>
          <t>Power block</t>
        </is>
      </c>
      <c r="D1781" s="12" t="inlineStr">
        <is>
          <t>LV panel / distribution feeder</t>
        </is>
      </c>
      <c r="E1781" s="12" t="inlineStr">
        <is>
          <t>R3</t>
        </is>
      </c>
      <c r="F1781" s="12" t="inlineStr">
        <is>
          <t>R3: ST auxiliary electrical e-house (40 x 65 ft)</t>
        </is>
      </c>
      <c r="G1781" s="12" t="inlineStr">
        <is>
          <t>R3</t>
        </is>
      </c>
      <c r="H1781" s="12" t="inlineStr">
        <is>
          <t>R3: ST auxiliary electrical e-house (40 x 65 ft)</t>
        </is>
      </c>
      <c r="I1781" s="12" t="inlineStr">
        <is>
          <t>LV 600 V</t>
        </is>
      </c>
      <c r="J1781" s="12" t="inlineStr">
        <is>
          <t>Type TC-ER 600 V 3/C Cu XHHW-2 + ground, PVC jacket</t>
        </is>
      </c>
      <c r="K1781" s="12" t="inlineStr">
        <is>
          <t>LV|3/C+G|4/0</t>
        </is>
      </c>
      <c r="L1781" s="12" t="inlineStr">
        <is>
          <t>3/C+G</t>
        </is>
      </c>
      <c r="M1781" s="12" t="inlineStr">
        <is>
          <t>4/0</t>
        </is>
      </c>
      <c r="N1781" s="12" t="n">
        <v>2</v>
      </c>
      <c r="O1781" s="12" t="n">
        <v>1</v>
      </c>
      <c r="P1781" s="12" t="n">
        <v>480</v>
      </c>
      <c r="Q1781" s="12" t="n">
        <v>250</v>
      </c>
      <c r="R1781" s="12" t="n">
        <v>353.8</v>
      </c>
      <c r="S1781" s="12" t="inlineStr">
        <is>
          <t>Tray</t>
        </is>
      </c>
      <c r="T1781" s="16" t="n">
        <v>0</v>
      </c>
      <c r="U1781" s="16" t="n">
        <v>32</v>
      </c>
      <c r="V1781" s="16">
        <f>ROUNDUP((T1781+U1781+2*'Read Me'!$B$13)*(1+'Read Me'!$B$12),-1)</f>
        <v/>
      </c>
      <c r="W1781" s="16">
        <f>V1781*N1781*O1781</f>
        <v/>
      </c>
      <c r="X1781" s="12">
        <f>IF(LEFT(I1781,2)="MV",2*N1781*IF(L1781="1/C",O1781,1),0)</f>
        <v/>
      </c>
      <c r="Y1781" s="12">
        <f>IF(OR(LEFT(K1781,4)="LVAX",LEFT(K1781,6)="MV15AX",LEFT(K1781,4)="CTAX",LEFT(K1781,2)="W|"),2*N1781*O1781,0)</f>
        <v/>
      </c>
      <c r="Z1781" s="12" t="inlineStr">
        <is>
          <t>VD 0.1 %</t>
        </is>
      </c>
      <c r="AA1781" s="12">
        <f>N1781*O1781</f>
        <v/>
      </c>
    </row>
    <row r="1782">
      <c r="A1782" s="12" t="inlineStr">
        <is>
          <t>A-P-0415</t>
        </is>
      </c>
      <c r="B1782" s="12" t="inlineStr">
        <is>
          <t>A</t>
        </is>
      </c>
      <c r="C1782" s="12" t="inlineStr">
        <is>
          <t>Power block</t>
        </is>
      </c>
      <c r="D1782" s="12" t="inlineStr">
        <is>
          <t>Motor 1 of 2, 110 kW</t>
        </is>
      </c>
      <c r="E1782" s="12" t="inlineStr">
        <is>
          <t>R2A</t>
        </is>
      </c>
      <c r="F1782" s="12" t="inlineStr">
        <is>
          <t>R2A: unit / HRSG electrical e-house (32 x 40 ft)</t>
        </is>
      </c>
      <c r="G1782" s="12" t="inlineStr">
        <is>
          <t>SCRB-1</t>
        </is>
      </c>
      <c r="H1782" s="12" t="inlineStr">
        <is>
          <t>SCRB-1A/B: SCR dilution-air blowers</t>
        </is>
      </c>
      <c r="I1782" s="12" t="inlineStr">
        <is>
          <t>LV 600 V</t>
        </is>
      </c>
      <c r="J1782" s="12" t="inlineStr">
        <is>
          <t>Type TC-ER 600 V 3/C Cu XHHW-2 + ground, PVC jacket</t>
        </is>
      </c>
      <c r="K1782" s="12" t="inlineStr">
        <is>
          <t>LV|3/C+G|3/0</t>
        </is>
      </c>
      <c r="L1782" s="12" t="inlineStr">
        <is>
          <t>3/C+G</t>
        </is>
      </c>
      <c r="M1782" s="12" t="inlineStr">
        <is>
          <t>3/0</t>
        </is>
      </c>
      <c r="N1782" s="12" t="n">
        <v>1</v>
      </c>
      <c r="O1782" s="12" t="n">
        <v>1</v>
      </c>
      <c r="P1782" s="12" t="n">
        <v>480</v>
      </c>
      <c r="Q1782" s="12" t="n">
        <v>110</v>
      </c>
      <c r="R1782" s="12" t="n">
        <v>155.7</v>
      </c>
      <c r="S1782" s="12" t="inlineStr">
        <is>
          <t>Tray</t>
        </is>
      </c>
      <c r="T1782" s="16" t="n">
        <v>404</v>
      </c>
      <c r="U1782" s="16" t="n">
        <v>72</v>
      </c>
      <c r="V1782" s="16">
        <f>ROUNDUP((T1782+U1782+2*'Read Me'!$B$13)*(1+'Read Me'!$B$12),-1)</f>
        <v/>
      </c>
      <c r="W1782" s="16">
        <f>V1782*N1782*O1782</f>
        <v/>
      </c>
      <c r="X1782" s="12">
        <f>IF(LEFT(I1782,2)="MV",2*N1782*IF(L1782="1/C",O1782,1),0)</f>
        <v/>
      </c>
      <c r="Y1782" s="12">
        <f>IF(OR(LEFT(K1782,4)="LVAX",LEFT(K1782,6)="MV15AX",LEFT(K1782,4)="CTAX",LEFT(K1782,2)="W|"),2*N1782*O1782,0)</f>
        <v/>
      </c>
      <c r="Z1782" s="12" t="inlineStr">
        <is>
          <t>VD 2.3 %</t>
        </is>
      </c>
      <c r="AA1782" s="12">
        <f>N1782*O1782</f>
        <v/>
      </c>
    </row>
    <row r="1783">
      <c r="A1783" s="12" t="inlineStr">
        <is>
          <t>A-P-0416</t>
        </is>
      </c>
      <c r="B1783" s="12" t="inlineStr">
        <is>
          <t>A</t>
        </is>
      </c>
      <c r="C1783" s="12" t="inlineStr">
        <is>
          <t>Power block</t>
        </is>
      </c>
      <c r="D1783" s="12" t="inlineStr">
        <is>
          <t>Motor 2 of 2, 110 kW</t>
        </is>
      </c>
      <c r="E1783" s="12" t="inlineStr">
        <is>
          <t>R2A</t>
        </is>
      </c>
      <c r="F1783" s="12" t="inlineStr">
        <is>
          <t>R2A: unit / HRSG electrical e-house (32 x 40 ft)</t>
        </is>
      </c>
      <c r="G1783" s="12" t="inlineStr">
        <is>
          <t>SCRB-1</t>
        </is>
      </c>
      <c r="H1783" s="12" t="inlineStr">
        <is>
          <t>SCRB-1A/B: SCR dilution-air blowers</t>
        </is>
      </c>
      <c r="I1783" s="12" t="inlineStr">
        <is>
          <t>LV 600 V</t>
        </is>
      </c>
      <c r="J1783" s="12" t="inlineStr">
        <is>
          <t>Type TC-ER 600 V 3/C Cu XHHW-2 + ground, PVC jacket</t>
        </is>
      </c>
      <c r="K1783" s="12" t="inlineStr">
        <is>
          <t>LV|3/C+G|3/0</t>
        </is>
      </c>
      <c r="L1783" s="12" t="inlineStr">
        <is>
          <t>3/C+G</t>
        </is>
      </c>
      <c r="M1783" s="12" t="inlineStr">
        <is>
          <t>3/0</t>
        </is>
      </c>
      <c r="N1783" s="12" t="n">
        <v>1</v>
      </c>
      <c r="O1783" s="12" t="n">
        <v>1</v>
      </c>
      <c r="P1783" s="12" t="n">
        <v>480</v>
      </c>
      <c r="Q1783" s="12" t="n">
        <v>110</v>
      </c>
      <c r="R1783" s="12" t="n">
        <v>155.7</v>
      </c>
      <c r="S1783" s="12" t="inlineStr">
        <is>
          <t>Tray</t>
        </is>
      </c>
      <c r="T1783" s="16" t="n">
        <v>404</v>
      </c>
      <c r="U1783" s="16" t="n">
        <v>72</v>
      </c>
      <c r="V1783" s="16">
        <f>ROUNDUP((T1783+U1783+2*'Read Me'!$B$13)*(1+'Read Me'!$B$12),-1)</f>
        <v/>
      </c>
      <c r="W1783" s="16">
        <f>V1783*N1783*O1783</f>
        <v/>
      </c>
      <c r="X1783" s="12">
        <f>IF(LEFT(I1783,2)="MV",2*N1783*IF(L1783="1/C",O1783,1),0)</f>
        <v/>
      </c>
      <c r="Y1783" s="12">
        <f>IF(OR(LEFT(K1783,4)="LVAX",LEFT(K1783,6)="MV15AX",LEFT(K1783,4)="CTAX",LEFT(K1783,2)="W|"),2*N1783*O1783,0)</f>
        <v/>
      </c>
      <c r="Z1783" s="12" t="inlineStr">
        <is>
          <t>VD 2.3 %</t>
        </is>
      </c>
      <c r="AA1783" s="12">
        <f>N1783*O1783</f>
        <v/>
      </c>
    </row>
    <row r="1784">
      <c r="A1784" s="12" t="inlineStr">
        <is>
          <t>A-P-0417</t>
        </is>
      </c>
      <c r="B1784" s="12" t="inlineStr">
        <is>
          <t>A</t>
        </is>
      </c>
      <c r="C1784" s="12" t="inlineStr">
        <is>
          <t>Power block</t>
        </is>
      </c>
      <c r="D1784" s="12" t="inlineStr">
        <is>
          <t>Motor 1 of 2, 110 kW</t>
        </is>
      </c>
      <c r="E1784" s="12" t="inlineStr">
        <is>
          <t>R2B</t>
        </is>
      </c>
      <c r="F1784" s="12" t="inlineStr">
        <is>
          <t>R2B: unit / HRSG electrical e-house (32 x 40 ft)</t>
        </is>
      </c>
      <c r="G1784" s="12" t="inlineStr">
        <is>
          <t>SCRB-2</t>
        </is>
      </c>
      <c r="H1784" s="12" t="inlineStr">
        <is>
          <t>SCRB-2A/B: SCR dilution-air blowers</t>
        </is>
      </c>
      <c r="I1784" s="12" t="inlineStr">
        <is>
          <t>LV 600 V</t>
        </is>
      </c>
      <c r="J1784" s="12" t="inlineStr">
        <is>
          <t>Type TC-ER 600 V 3/C Cu XHHW-2 + ground, PVC jacket</t>
        </is>
      </c>
      <c r="K1784" s="12" t="inlineStr">
        <is>
          <t>LV|3/C+G|3/0</t>
        </is>
      </c>
      <c r="L1784" s="12" t="inlineStr">
        <is>
          <t>3/C+G</t>
        </is>
      </c>
      <c r="M1784" s="12" t="inlineStr">
        <is>
          <t>3/0</t>
        </is>
      </c>
      <c r="N1784" s="12" t="n">
        <v>1</v>
      </c>
      <c r="O1784" s="12" t="n">
        <v>1</v>
      </c>
      <c r="P1784" s="12" t="n">
        <v>480</v>
      </c>
      <c r="Q1784" s="12" t="n">
        <v>110</v>
      </c>
      <c r="R1784" s="12" t="n">
        <v>155.7</v>
      </c>
      <c r="S1784" s="12" t="inlineStr">
        <is>
          <t>Tray</t>
        </is>
      </c>
      <c r="T1784" s="16" t="n">
        <v>404</v>
      </c>
      <c r="U1784" s="16" t="n">
        <v>72</v>
      </c>
      <c r="V1784" s="16">
        <f>ROUNDUP((T1784+U1784+2*'Read Me'!$B$13)*(1+'Read Me'!$B$12),-1)</f>
        <v/>
      </c>
      <c r="W1784" s="16">
        <f>V1784*N1784*O1784</f>
        <v/>
      </c>
      <c r="X1784" s="12">
        <f>IF(LEFT(I1784,2)="MV",2*N1784*IF(L1784="1/C",O1784,1),0)</f>
        <v/>
      </c>
      <c r="Y1784" s="12">
        <f>IF(OR(LEFT(K1784,4)="LVAX",LEFT(K1784,6)="MV15AX",LEFT(K1784,4)="CTAX",LEFT(K1784,2)="W|"),2*N1784*O1784,0)</f>
        <v/>
      </c>
      <c r="Z1784" s="12" t="inlineStr">
        <is>
          <t>VD 2.3 %</t>
        </is>
      </c>
      <c r="AA1784" s="12">
        <f>N1784*O1784</f>
        <v/>
      </c>
    </row>
    <row r="1785">
      <c r="A1785" s="12" t="inlineStr">
        <is>
          <t>A-P-0418</t>
        </is>
      </c>
      <c r="B1785" s="12" t="inlineStr">
        <is>
          <t>A</t>
        </is>
      </c>
      <c r="C1785" s="12" t="inlineStr">
        <is>
          <t>Power block</t>
        </is>
      </c>
      <c r="D1785" s="12" t="inlineStr">
        <is>
          <t>Motor 2 of 2, 110 kW</t>
        </is>
      </c>
      <c r="E1785" s="12" t="inlineStr">
        <is>
          <t>R2B</t>
        </is>
      </c>
      <c r="F1785" s="12" t="inlineStr">
        <is>
          <t>R2B: unit / HRSG electrical e-house (32 x 40 ft)</t>
        </is>
      </c>
      <c r="G1785" s="12" t="inlineStr">
        <is>
          <t>SCRB-2</t>
        </is>
      </c>
      <c r="H1785" s="12" t="inlineStr">
        <is>
          <t>SCRB-2A/B: SCR dilution-air blowers</t>
        </is>
      </c>
      <c r="I1785" s="12" t="inlineStr">
        <is>
          <t>LV 600 V</t>
        </is>
      </c>
      <c r="J1785" s="12" t="inlineStr">
        <is>
          <t>Type TC-ER 600 V 3/C Cu XHHW-2 + ground, PVC jacket</t>
        </is>
      </c>
      <c r="K1785" s="12" t="inlineStr">
        <is>
          <t>LV|3/C+G|3/0</t>
        </is>
      </c>
      <c r="L1785" s="12" t="inlineStr">
        <is>
          <t>3/C+G</t>
        </is>
      </c>
      <c r="M1785" s="12" t="inlineStr">
        <is>
          <t>3/0</t>
        </is>
      </c>
      <c r="N1785" s="12" t="n">
        <v>1</v>
      </c>
      <c r="O1785" s="12" t="n">
        <v>1</v>
      </c>
      <c r="P1785" s="12" t="n">
        <v>480</v>
      </c>
      <c r="Q1785" s="12" t="n">
        <v>110</v>
      </c>
      <c r="R1785" s="12" t="n">
        <v>155.7</v>
      </c>
      <c r="S1785" s="12" t="inlineStr">
        <is>
          <t>Tray</t>
        </is>
      </c>
      <c r="T1785" s="16" t="n">
        <v>404</v>
      </c>
      <c r="U1785" s="16" t="n">
        <v>72</v>
      </c>
      <c r="V1785" s="16">
        <f>ROUNDUP((T1785+U1785+2*'Read Me'!$B$13)*(1+'Read Me'!$B$12),-1)</f>
        <v/>
      </c>
      <c r="W1785" s="16">
        <f>V1785*N1785*O1785</f>
        <v/>
      </c>
      <c r="X1785" s="12">
        <f>IF(LEFT(I1785,2)="MV",2*N1785*IF(L1785="1/C",O1785,1),0)</f>
        <v/>
      </c>
      <c r="Y1785" s="12">
        <f>IF(OR(LEFT(K1785,4)="LVAX",LEFT(K1785,6)="MV15AX",LEFT(K1785,4)="CTAX",LEFT(K1785,2)="W|"),2*N1785*O1785,0)</f>
        <v/>
      </c>
      <c r="Z1785" s="12" t="inlineStr">
        <is>
          <t>VD 2.3 %</t>
        </is>
      </c>
      <c r="AA1785" s="12">
        <f>N1785*O1785</f>
        <v/>
      </c>
    </row>
    <row r="1786">
      <c r="A1786" s="12" t="inlineStr">
        <is>
          <t>A-P-0419</t>
        </is>
      </c>
      <c r="B1786" s="12" t="inlineStr">
        <is>
          <t>A</t>
        </is>
      </c>
      <c r="C1786" s="12" t="inlineStr">
        <is>
          <t>Power block</t>
        </is>
      </c>
      <c r="D1786" s="12" t="inlineStr">
        <is>
          <t>Motor 1 of 2, 110 kW</t>
        </is>
      </c>
      <c r="E1786" s="12" t="inlineStr">
        <is>
          <t>R2C</t>
        </is>
      </c>
      <c r="F1786" s="12" t="inlineStr">
        <is>
          <t>R2C: unit / HRSG electrical e-house (32 x 40 ft)</t>
        </is>
      </c>
      <c r="G1786" s="12" t="inlineStr">
        <is>
          <t>SCRB-3</t>
        </is>
      </c>
      <c r="H1786" s="12" t="inlineStr">
        <is>
          <t>SCRB-3A/B: SCR dilution-air blowers</t>
        </is>
      </c>
      <c r="I1786" s="12" t="inlineStr">
        <is>
          <t>LV 600 V</t>
        </is>
      </c>
      <c r="J1786" s="12" t="inlineStr">
        <is>
          <t>Type TC-ER 600 V 3/C Cu XHHW-2 + ground, PVC jacket</t>
        </is>
      </c>
      <c r="K1786" s="12" t="inlineStr">
        <is>
          <t>LV|3/C+G|3/0</t>
        </is>
      </c>
      <c r="L1786" s="12" t="inlineStr">
        <is>
          <t>3/C+G</t>
        </is>
      </c>
      <c r="M1786" s="12" t="inlineStr">
        <is>
          <t>3/0</t>
        </is>
      </c>
      <c r="N1786" s="12" t="n">
        <v>1</v>
      </c>
      <c r="O1786" s="12" t="n">
        <v>1</v>
      </c>
      <c r="P1786" s="12" t="n">
        <v>480</v>
      </c>
      <c r="Q1786" s="12" t="n">
        <v>110</v>
      </c>
      <c r="R1786" s="12" t="n">
        <v>155.7</v>
      </c>
      <c r="S1786" s="12" t="inlineStr">
        <is>
          <t>Tray</t>
        </is>
      </c>
      <c r="T1786" s="16" t="n">
        <v>404</v>
      </c>
      <c r="U1786" s="16" t="n">
        <v>72</v>
      </c>
      <c r="V1786" s="16">
        <f>ROUNDUP((T1786+U1786+2*'Read Me'!$B$13)*(1+'Read Me'!$B$12),-1)</f>
        <v/>
      </c>
      <c r="W1786" s="16">
        <f>V1786*N1786*O1786</f>
        <v/>
      </c>
      <c r="X1786" s="12">
        <f>IF(LEFT(I1786,2)="MV",2*N1786*IF(L1786="1/C",O1786,1),0)</f>
        <v/>
      </c>
      <c r="Y1786" s="12">
        <f>IF(OR(LEFT(K1786,4)="LVAX",LEFT(K1786,6)="MV15AX",LEFT(K1786,4)="CTAX",LEFT(K1786,2)="W|"),2*N1786*O1786,0)</f>
        <v/>
      </c>
      <c r="Z1786" s="12" t="inlineStr">
        <is>
          <t>VD 2.3 %</t>
        </is>
      </c>
      <c r="AA1786" s="12">
        <f>N1786*O1786</f>
        <v/>
      </c>
    </row>
    <row r="1787">
      <c r="A1787" s="12" t="inlineStr">
        <is>
          <t>A-P-0420</t>
        </is>
      </c>
      <c r="B1787" s="12" t="inlineStr">
        <is>
          <t>A</t>
        </is>
      </c>
      <c r="C1787" s="12" t="inlineStr">
        <is>
          <t>Power block</t>
        </is>
      </c>
      <c r="D1787" s="12" t="inlineStr">
        <is>
          <t>Motor 2 of 2, 110 kW</t>
        </is>
      </c>
      <c r="E1787" s="12" t="inlineStr">
        <is>
          <t>R2C</t>
        </is>
      </c>
      <c r="F1787" s="12" t="inlineStr">
        <is>
          <t>R2C: unit / HRSG electrical e-house (32 x 40 ft)</t>
        </is>
      </c>
      <c r="G1787" s="12" t="inlineStr">
        <is>
          <t>SCRB-3</t>
        </is>
      </c>
      <c r="H1787" s="12" t="inlineStr">
        <is>
          <t>SCRB-3A/B: SCR dilution-air blowers</t>
        </is>
      </c>
      <c r="I1787" s="12" t="inlineStr">
        <is>
          <t>LV 600 V</t>
        </is>
      </c>
      <c r="J1787" s="12" t="inlineStr">
        <is>
          <t>Type TC-ER 600 V 3/C Cu XHHW-2 + ground, PVC jacket</t>
        </is>
      </c>
      <c r="K1787" s="12" t="inlineStr">
        <is>
          <t>LV|3/C+G|3/0</t>
        </is>
      </c>
      <c r="L1787" s="12" t="inlineStr">
        <is>
          <t>3/C+G</t>
        </is>
      </c>
      <c r="M1787" s="12" t="inlineStr">
        <is>
          <t>3/0</t>
        </is>
      </c>
      <c r="N1787" s="12" t="n">
        <v>1</v>
      </c>
      <c r="O1787" s="12" t="n">
        <v>1</v>
      </c>
      <c r="P1787" s="12" t="n">
        <v>480</v>
      </c>
      <c r="Q1787" s="12" t="n">
        <v>110</v>
      </c>
      <c r="R1787" s="12" t="n">
        <v>155.7</v>
      </c>
      <c r="S1787" s="12" t="inlineStr">
        <is>
          <t>Tray</t>
        </is>
      </c>
      <c r="T1787" s="16" t="n">
        <v>404</v>
      </c>
      <c r="U1787" s="16" t="n">
        <v>72</v>
      </c>
      <c r="V1787" s="16">
        <f>ROUNDUP((T1787+U1787+2*'Read Me'!$B$13)*(1+'Read Me'!$B$12),-1)</f>
        <v/>
      </c>
      <c r="W1787" s="16">
        <f>V1787*N1787*O1787</f>
        <v/>
      </c>
      <c r="X1787" s="12">
        <f>IF(LEFT(I1787,2)="MV",2*N1787*IF(L1787="1/C",O1787,1),0)</f>
        <v/>
      </c>
      <c r="Y1787" s="12">
        <f>IF(OR(LEFT(K1787,4)="LVAX",LEFT(K1787,6)="MV15AX",LEFT(K1787,4)="CTAX",LEFT(K1787,2)="W|"),2*N1787*O1787,0)</f>
        <v/>
      </c>
      <c r="Z1787" s="12" t="inlineStr">
        <is>
          <t>VD 2.3 %</t>
        </is>
      </c>
      <c r="AA1787" s="12">
        <f>N1787*O1787</f>
        <v/>
      </c>
    </row>
    <row r="1788">
      <c r="A1788" s="12" t="inlineStr">
        <is>
          <t>A-P-0421</t>
        </is>
      </c>
      <c r="B1788" s="12" t="inlineStr">
        <is>
          <t>A</t>
        </is>
      </c>
      <c r="C1788" s="12" t="inlineStr">
        <is>
          <t>Power block</t>
        </is>
      </c>
      <c r="D1788" s="12" t="inlineStr">
        <is>
          <t>Motor 1 of 3, 15 kW</t>
        </is>
      </c>
      <c r="E1788" s="12" t="inlineStr">
        <is>
          <t>MCC-GT1</t>
        </is>
      </c>
      <c r="F1788" s="12" t="inlineStr">
        <is>
          <t>R1 MCC-GT1</t>
        </is>
      </c>
      <c r="G1788" s="12" t="inlineStr">
        <is>
          <t>SOS-1</t>
        </is>
      </c>
      <c r="H1788" s="12" t="inlineStr">
        <is>
          <t>SOS-1: GTG-1 seal-oil and H2 / CO2 gas-control skid</t>
        </is>
      </c>
      <c r="I1788" s="12" t="inlineStr">
        <is>
          <t>LV 600 V</t>
        </is>
      </c>
      <c r="J1788" s="12" t="inlineStr">
        <is>
          <t>ARMOR-X MC-HL 600 V 3/C Cu XHHW-2 + ground, CWA, black PVC (Class I Div 2)</t>
        </is>
      </c>
      <c r="K1788" s="12" t="inlineStr">
        <is>
          <t>LVAX|3/C+G|6</t>
        </is>
      </c>
      <c r="L1788" s="12" t="inlineStr">
        <is>
          <t>3/C+G</t>
        </is>
      </c>
      <c r="M1788" s="12" t="inlineStr">
        <is>
          <t>6</t>
        </is>
      </c>
      <c r="N1788" s="12" t="n">
        <v>1</v>
      </c>
      <c r="O1788" s="12" t="n">
        <v>1</v>
      </c>
      <c r="P1788" s="12" t="n">
        <v>480</v>
      </c>
      <c r="Q1788" s="12" t="n">
        <v>15</v>
      </c>
      <c r="R1788" s="12" t="n">
        <v>21.2</v>
      </c>
      <c r="S1788" s="12" t="inlineStr">
        <is>
          <t>Tray</t>
        </is>
      </c>
      <c r="T1788" s="16" t="n">
        <v>481</v>
      </c>
      <c r="U1788" s="16" t="n">
        <v>189</v>
      </c>
      <c r="V1788" s="16">
        <f>ROUNDUP((T1788+U1788+2*'Read Me'!$B$13)*(1+'Read Me'!$B$12),-1)</f>
        <v/>
      </c>
      <c r="W1788" s="16">
        <f>V1788*N1788*O1788</f>
        <v/>
      </c>
      <c r="X1788" s="12">
        <f>IF(LEFT(I1788,2)="MV",2*N1788*IF(L1788="1/C",O1788,1),0)</f>
        <v/>
      </c>
      <c r="Y1788" s="12">
        <f>IF(OR(LEFT(K1788,4)="LVAX",LEFT(K1788,6)="MV15AX",LEFT(K1788,4)="CTAX",LEFT(K1788,2)="W|"),2*N1788*O1788,0)</f>
        <v/>
      </c>
      <c r="Z1788" s="12" t="inlineStr">
        <is>
          <t>VD 2.8 %</t>
        </is>
      </c>
      <c r="AA1788" s="12">
        <f>N1788*O1788</f>
        <v/>
      </c>
    </row>
    <row r="1789">
      <c r="A1789" s="12" t="inlineStr">
        <is>
          <t>A-P-0422</t>
        </is>
      </c>
      <c r="B1789" s="12" t="inlineStr">
        <is>
          <t>A</t>
        </is>
      </c>
      <c r="C1789" s="12" t="inlineStr">
        <is>
          <t>Power block</t>
        </is>
      </c>
      <c r="D1789" s="12" t="inlineStr">
        <is>
          <t>Motor 2 of 3, 15 kW</t>
        </is>
      </c>
      <c r="E1789" s="12" t="inlineStr">
        <is>
          <t>MCC-GT1</t>
        </is>
      </c>
      <c r="F1789" s="12" t="inlineStr">
        <is>
          <t>R1 MCC-GT1</t>
        </is>
      </c>
      <c r="G1789" s="12" t="inlineStr">
        <is>
          <t>SOS-1</t>
        </is>
      </c>
      <c r="H1789" s="12" t="inlineStr">
        <is>
          <t>SOS-1: GTG-1 seal-oil and H2 / CO2 gas-control skid</t>
        </is>
      </c>
      <c r="I1789" s="12" t="inlineStr">
        <is>
          <t>LV 600 V</t>
        </is>
      </c>
      <c r="J1789" s="12" t="inlineStr">
        <is>
          <t>ARMOR-X MC-HL 600 V 3/C Cu XHHW-2 + ground, CWA, black PVC (Class I Div 2)</t>
        </is>
      </c>
      <c r="K1789" s="12" t="inlineStr">
        <is>
          <t>LVAX|3/C+G|6</t>
        </is>
      </c>
      <c r="L1789" s="12" t="inlineStr">
        <is>
          <t>3/C+G</t>
        </is>
      </c>
      <c r="M1789" s="12" t="inlineStr">
        <is>
          <t>6</t>
        </is>
      </c>
      <c r="N1789" s="12" t="n">
        <v>1</v>
      </c>
      <c r="O1789" s="12" t="n">
        <v>1</v>
      </c>
      <c r="P1789" s="12" t="n">
        <v>480</v>
      </c>
      <c r="Q1789" s="12" t="n">
        <v>15</v>
      </c>
      <c r="R1789" s="12" t="n">
        <v>21.2</v>
      </c>
      <c r="S1789" s="12" t="inlineStr">
        <is>
          <t>Tray</t>
        </is>
      </c>
      <c r="T1789" s="16" t="n">
        <v>481</v>
      </c>
      <c r="U1789" s="16" t="n">
        <v>189</v>
      </c>
      <c r="V1789" s="16">
        <f>ROUNDUP((T1789+U1789+2*'Read Me'!$B$13)*(1+'Read Me'!$B$12),-1)</f>
        <v/>
      </c>
      <c r="W1789" s="16">
        <f>V1789*N1789*O1789</f>
        <v/>
      </c>
      <c r="X1789" s="12">
        <f>IF(LEFT(I1789,2)="MV",2*N1789*IF(L1789="1/C",O1789,1),0)</f>
        <v/>
      </c>
      <c r="Y1789" s="12">
        <f>IF(OR(LEFT(K1789,4)="LVAX",LEFT(K1789,6)="MV15AX",LEFT(K1789,4)="CTAX",LEFT(K1789,2)="W|"),2*N1789*O1789,0)</f>
        <v/>
      </c>
      <c r="Z1789" s="12" t="inlineStr">
        <is>
          <t>VD 2.8 %</t>
        </is>
      </c>
      <c r="AA1789" s="12">
        <f>N1789*O1789</f>
        <v/>
      </c>
    </row>
    <row r="1790">
      <c r="A1790" s="12" t="inlineStr">
        <is>
          <t>A-P-0423</t>
        </is>
      </c>
      <c r="B1790" s="12" t="inlineStr">
        <is>
          <t>A</t>
        </is>
      </c>
      <c r="C1790" s="12" t="inlineStr">
        <is>
          <t>Power block</t>
        </is>
      </c>
      <c r="D1790" s="12" t="inlineStr">
        <is>
          <t>Motor 3 of 3, 15 kW</t>
        </is>
      </c>
      <c r="E1790" s="12" t="inlineStr">
        <is>
          <t>MCC-GT1</t>
        </is>
      </c>
      <c r="F1790" s="12" t="inlineStr">
        <is>
          <t>R1 MCC-GT1</t>
        </is>
      </c>
      <c r="G1790" s="12" t="inlineStr">
        <is>
          <t>SOS-1</t>
        </is>
      </c>
      <c r="H1790" s="12" t="inlineStr">
        <is>
          <t>SOS-1: GTG-1 seal-oil and H2 / CO2 gas-control skid</t>
        </is>
      </c>
      <c r="I1790" s="12" t="inlineStr">
        <is>
          <t>LV 600 V</t>
        </is>
      </c>
      <c r="J1790" s="12" t="inlineStr">
        <is>
          <t>ARMOR-X MC-HL 600 V 3/C Cu XHHW-2 + ground, CWA, black PVC (Class I Div 2)</t>
        </is>
      </c>
      <c r="K1790" s="12" t="inlineStr">
        <is>
          <t>LVAX|3/C+G|6</t>
        </is>
      </c>
      <c r="L1790" s="12" t="inlineStr">
        <is>
          <t>3/C+G</t>
        </is>
      </c>
      <c r="M1790" s="12" t="inlineStr">
        <is>
          <t>6</t>
        </is>
      </c>
      <c r="N1790" s="12" t="n">
        <v>1</v>
      </c>
      <c r="O1790" s="12" t="n">
        <v>1</v>
      </c>
      <c r="P1790" s="12" t="n">
        <v>480</v>
      </c>
      <c r="Q1790" s="12" t="n">
        <v>15</v>
      </c>
      <c r="R1790" s="12" t="n">
        <v>21.2</v>
      </c>
      <c r="S1790" s="12" t="inlineStr">
        <is>
          <t>Tray</t>
        </is>
      </c>
      <c r="T1790" s="16" t="n">
        <v>481</v>
      </c>
      <c r="U1790" s="16" t="n">
        <v>189</v>
      </c>
      <c r="V1790" s="16">
        <f>ROUNDUP((T1790+U1790+2*'Read Me'!$B$13)*(1+'Read Me'!$B$12),-1)</f>
        <v/>
      </c>
      <c r="W1790" s="16">
        <f>V1790*N1790*O1790</f>
        <v/>
      </c>
      <c r="X1790" s="12">
        <f>IF(LEFT(I1790,2)="MV",2*N1790*IF(L1790="1/C",O1790,1),0)</f>
        <v/>
      </c>
      <c r="Y1790" s="12">
        <f>IF(OR(LEFT(K1790,4)="LVAX",LEFT(K1790,6)="MV15AX",LEFT(K1790,4)="CTAX",LEFT(K1790,2)="W|"),2*N1790*O1790,0)</f>
        <v/>
      </c>
      <c r="Z1790" s="12" t="inlineStr">
        <is>
          <t>VD 2.8 %</t>
        </is>
      </c>
      <c r="AA1790" s="12">
        <f>N1790*O1790</f>
        <v/>
      </c>
    </row>
    <row r="1791">
      <c r="A1791" s="12" t="inlineStr">
        <is>
          <t>A-P-0424</t>
        </is>
      </c>
      <c r="B1791" s="12" t="inlineStr">
        <is>
          <t>A</t>
        </is>
      </c>
      <c r="C1791" s="12" t="inlineStr">
        <is>
          <t>Power block</t>
        </is>
      </c>
      <c r="D1791" s="12" t="inlineStr">
        <is>
          <t>Motor 1 of 3, 15 kW</t>
        </is>
      </c>
      <c r="E1791" s="12" t="inlineStr">
        <is>
          <t>MCC-GT2</t>
        </is>
      </c>
      <c r="F1791" s="12" t="inlineStr">
        <is>
          <t>R1 MCC-GT2</t>
        </is>
      </c>
      <c r="G1791" s="12" t="inlineStr">
        <is>
          <t>SOS-2</t>
        </is>
      </c>
      <c r="H1791" s="12" t="inlineStr">
        <is>
          <t>SOS-2: GTG-2 seal-oil and H2 / CO2 gas-control skid</t>
        </is>
      </c>
      <c r="I1791" s="12" t="inlineStr">
        <is>
          <t>LV 600 V</t>
        </is>
      </c>
      <c r="J1791" s="12" t="inlineStr">
        <is>
          <t>ARMOR-X MC-HL 600 V 3/C Cu XHHW-2 + ground, CWA, black PVC (Class I Div 2)</t>
        </is>
      </c>
      <c r="K1791" s="12" t="inlineStr">
        <is>
          <t>LVAX|3/C+G|4</t>
        </is>
      </c>
      <c r="L1791" s="12" t="inlineStr">
        <is>
          <t>3/C+G</t>
        </is>
      </c>
      <c r="M1791" s="12" t="inlineStr">
        <is>
          <t>4</t>
        </is>
      </c>
      <c r="N1791" s="12" t="n">
        <v>1</v>
      </c>
      <c r="O1791" s="12" t="n">
        <v>1</v>
      </c>
      <c r="P1791" s="12" t="n">
        <v>480</v>
      </c>
      <c r="Q1791" s="12" t="n">
        <v>15</v>
      </c>
      <c r="R1791" s="12" t="n">
        <v>21.2</v>
      </c>
      <c r="S1791" s="12" t="inlineStr">
        <is>
          <t>Tray</t>
        </is>
      </c>
      <c r="T1791" s="16" t="n">
        <v>661</v>
      </c>
      <c r="U1791" s="16" t="n">
        <v>169</v>
      </c>
      <c r="V1791" s="16">
        <f>ROUNDUP((T1791+U1791+2*'Read Me'!$B$13)*(1+'Read Me'!$B$12),-1)</f>
        <v/>
      </c>
      <c r="W1791" s="16">
        <f>V1791*N1791*O1791</f>
        <v/>
      </c>
      <c r="X1791" s="12">
        <f>IF(LEFT(I1791,2)="MV",2*N1791*IF(L1791="1/C",O1791,1),0)</f>
        <v/>
      </c>
      <c r="Y1791" s="12">
        <f>IF(OR(LEFT(K1791,4)="LVAX",LEFT(K1791,6)="MV15AX",LEFT(K1791,4)="CTAX",LEFT(K1791,2)="W|"),2*N1791*O1791,0)</f>
        <v/>
      </c>
      <c r="Z1791" s="12" t="inlineStr">
        <is>
          <t>VD 2.2 %</t>
        </is>
      </c>
      <c r="AA1791" s="12">
        <f>N1791*O1791</f>
        <v/>
      </c>
    </row>
    <row r="1792">
      <c r="A1792" s="12" t="inlineStr">
        <is>
          <t>A-P-0425</t>
        </is>
      </c>
      <c r="B1792" s="12" t="inlineStr">
        <is>
          <t>A</t>
        </is>
      </c>
      <c r="C1792" s="12" t="inlineStr">
        <is>
          <t>Power block</t>
        </is>
      </c>
      <c r="D1792" s="12" t="inlineStr">
        <is>
          <t>Motor 2 of 3, 15 kW</t>
        </is>
      </c>
      <c r="E1792" s="12" t="inlineStr">
        <is>
          <t>MCC-GT2</t>
        </is>
      </c>
      <c r="F1792" s="12" t="inlineStr">
        <is>
          <t>R1 MCC-GT2</t>
        </is>
      </c>
      <c r="G1792" s="12" t="inlineStr">
        <is>
          <t>SOS-2</t>
        </is>
      </c>
      <c r="H1792" s="12" t="inlineStr">
        <is>
          <t>SOS-2: GTG-2 seal-oil and H2 / CO2 gas-control skid</t>
        </is>
      </c>
      <c r="I1792" s="12" t="inlineStr">
        <is>
          <t>LV 600 V</t>
        </is>
      </c>
      <c r="J1792" s="12" t="inlineStr">
        <is>
          <t>ARMOR-X MC-HL 600 V 3/C Cu XHHW-2 + ground, CWA, black PVC (Class I Div 2)</t>
        </is>
      </c>
      <c r="K1792" s="12" t="inlineStr">
        <is>
          <t>LVAX|3/C+G|4</t>
        </is>
      </c>
      <c r="L1792" s="12" t="inlineStr">
        <is>
          <t>3/C+G</t>
        </is>
      </c>
      <c r="M1792" s="12" t="inlineStr">
        <is>
          <t>4</t>
        </is>
      </c>
      <c r="N1792" s="12" t="n">
        <v>1</v>
      </c>
      <c r="O1792" s="12" t="n">
        <v>1</v>
      </c>
      <c r="P1792" s="12" t="n">
        <v>480</v>
      </c>
      <c r="Q1792" s="12" t="n">
        <v>15</v>
      </c>
      <c r="R1792" s="12" t="n">
        <v>21.2</v>
      </c>
      <c r="S1792" s="12" t="inlineStr">
        <is>
          <t>Tray</t>
        </is>
      </c>
      <c r="T1792" s="16" t="n">
        <v>661</v>
      </c>
      <c r="U1792" s="16" t="n">
        <v>169</v>
      </c>
      <c r="V1792" s="16">
        <f>ROUNDUP((T1792+U1792+2*'Read Me'!$B$13)*(1+'Read Me'!$B$12),-1)</f>
        <v/>
      </c>
      <c r="W1792" s="16">
        <f>V1792*N1792*O1792</f>
        <v/>
      </c>
      <c r="X1792" s="12">
        <f>IF(LEFT(I1792,2)="MV",2*N1792*IF(L1792="1/C",O1792,1),0)</f>
        <v/>
      </c>
      <c r="Y1792" s="12">
        <f>IF(OR(LEFT(K1792,4)="LVAX",LEFT(K1792,6)="MV15AX",LEFT(K1792,4)="CTAX",LEFT(K1792,2)="W|"),2*N1792*O1792,0)</f>
        <v/>
      </c>
      <c r="Z1792" s="12" t="inlineStr">
        <is>
          <t>VD 2.2 %</t>
        </is>
      </c>
      <c r="AA1792" s="12">
        <f>N1792*O1792</f>
        <v/>
      </c>
    </row>
    <row r="1793">
      <c r="A1793" s="12" t="inlineStr">
        <is>
          <t>A-P-0426</t>
        </is>
      </c>
      <c r="B1793" s="12" t="inlineStr">
        <is>
          <t>A</t>
        </is>
      </c>
      <c r="C1793" s="12" t="inlineStr">
        <is>
          <t>Power block</t>
        </is>
      </c>
      <c r="D1793" s="12" t="inlineStr">
        <is>
          <t>Motor 3 of 3, 15 kW</t>
        </is>
      </c>
      <c r="E1793" s="12" t="inlineStr">
        <is>
          <t>MCC-GT2</t>
        </is>
      </c>
      <c r="F1793" s="12" t="inlineStr">
        <is>
          <t>R1 MCC-GT2</t>
        </is>
      </c>
      <c r="G1793" s="12" t="inlineStr">
        <is>
          <t>SOS-2</t>
        </is>
      </c>
      <c r="H1793" s="12" t="inlineStr">
        <is>
          <t>SOS-2: GTG-2 seal-oil and H2 / CO2 gas-control skid</t>
        </is>
      </c>
      <c r="I1793" s="12" t="inlineStr">
        <is>
          <t>LV 600 V</t>
        </is>
      </c>
      <c r="J1793" s="12" t="inlineStr">
        <is>
          <t>ARMOR-X MC-HL 600 V 3/C Cu XHHW-2 + ground, CWA, black PVC (Class I Div 2)</t>
        </is>
      </c>
      <c r="K1793" s="12" t="inlineStr">
        <is>
          <t>LVAX|3/C+G|4</t>
        </is>
      </c>
      <c r="L1793" s="12" t="inlineStr">
        <is>
          <t>3/C+G</t>
        </is>
      </c>
      <c r="M1793" s="12" t="inlineStr">
        <is>
          <t>4</t>
        </is>
      </c>
      <c r="N1793" s="12" t="n">
        <v>1</v>
      </c>
      <c r="O1793" s="12" t="n">
        <v>1</v>
      </c>
      <c r="P1793" s="12" t="n">
        <v>480</v>
      </c>
      <c r="Q1793" s="12" t="n">
        <v>15</v>
      </c>
      <c r="R1793" s="12" t="n">
        <v>21.2</v>
      </c>
      <c r="S1793" s="12" t="inlineStr">
        <is>
          <t>Tray</t>
        </is>
      </c>
      <c r="T1793" s="16" t="n">
        <v>661</v>
      </c>
      <c r="U1793" s="16" t="n">
        <v>169</v>
      </c>
      <c r="V1793" s="16">
        <f>ROUNDUP((T1793+U1793+2*'Read Me'!$B$13)*(1+'Read Me'!$B$12),-1)</f>
        <v/>
      </c>
      <c r="W1793" s="16">
        <f>V1793*N1793*O1793</f>
        <v/>
      </c>
      <c r="X1793" s="12">
        <f>IF(LEFT(I1793,2)="MV",2*N1793*IF(L1793="1/C",O1793,1),0)</f>
        <v/>
      </c>
      <c r="Y1793" s="12">
        <f>IF(OR(LEFT(K1793,4)="LVAX",LEFT(K1793,6)="MV15AX",LEFT(K1793,4)="CTAX",LEFT(K1793,2)="W|"),2*N1793*O1793,0)</f>
        <v/>
      </c>
      <c r="Z1793" s="12" t="inlineStr">
        <is>
          <t>VD 2.2 %</t>
        </is>
      </c>
      <c r="AA1793" s="12">
        <f>N1793*O1793</f>
        <v/>
      </c>
    </row>
    <row r="1794">
      <c r="A1794" s="12" t="inlineStr">
        <is>
          <t>A-P-0427</t>
        </is>
      </c>
      <c r="B1794" s="12" t="inlineStr">
        <is>
          <t>A</t>
        </is>
      </c>
      <c r="C1794" s="12" t="inlineStr">
        <is>
          <t>Power block</t>
        </is>
      </c>
      <c r="D1794" s="12" t="inlineStr">
        <is>
          <t>Motor 1 of 3, 15 kW</t>
        </is>
      </c>
      <c r="E1794" s="12" t="inlineStr">
        <is>
          <t>MCC-GT3</t>
        </is>
      </c>
      <c r="F1794" s="12" t="inlineStr">
        <is>
          <t>R1 MCC-GT3</t>
        </is>
      </c>
      <c r="G1794" s="12" t="inlineStr">
        <is>
          <t>SOS-3</t>
        </is>
      </c>
      <c r="H1794" s="12" t="inlineStr">
        <is>
          <t>SOS-3: GTG-3 seal-oil and H2 / CO2 gas-control skid</t>
        </is>
      </c>
      <c r="I1794" s="12" t="inlineStr">
        <is>
          <t>LV 600 V</t>
        </is>
      </c>
      <c r="J1794" s="12" t="inlineStr">
        <is>
          <t>ARMOR-X MC-HL 600 V 3/C Cu XHHW-2 + ground, CWA, black PVC (Class I Div 2)</t>
        </is>
      </c>
      <c r="K1794" s="12" t="inlineStr">
        <is>
          <t>LVAX|3/C+G|4</t>
        </is>
      </c>
      <c r="L1794" s="12" t="inlineStr">
        <is>
          <t>3/C+G</t>
        </is>
      </c>
      <c r="M1794" s="12" t="inlineStr">
        <is>
          <t>4</t>
        </is>
      </c>
      <c r="N1794" s="12" t="n">
        <v>1</v>
      </c>
      <c r="O1794" s="12" t="n">
        <v>1</v>
      </c>
      <c r="P1794" s="12" t="n">
        <v>480</v>
      </c>
      <c r="Q1794" s="12" t="n">
        <v>15</v>
      </c>
      <c r="R1794" s="12" t="n">
        <v>21.2</v>
      </c>
      <c r="S1794" s="12" t="inlineStr">
        <is>
          <t>Tray</t>
        </is>
      </c>
      <c r="T1794" s="16" t="n">
        <v>829</v>
      </c>
      <c r="U1794" s="16" t="n">
        <v>177</v>
      </c>
      <c r="V1794" s="16">
        <f>ROUNDUP((T1794+U1794+2*'Read Me'!$B$13)*(1+'Read Me'!$B$12),-1)</f>
        <v/>
      </c>
      <c r="W1794" s="16">
        <f>V1794*N1794*O1794</f>
        <v/>
      </c>
      <c r="X1794" s="12">
        <f>IF(LEFT(I1794,2)="MV",2*N1794*IF(L1794="1/C",O1794,1),0)</f>
        <v/>
      </c>
      <c r="Y1794" s="12">
        <f>IF(OR(LEFT(K1794,4)="LVAX",LEFT(K1794,6)="MV15AX",LEFT(K1794,4)="CTAX",LEFT(K1794,2)="W|"),2*N1794*O1794,0)</f>
        <v/>
      </c>
      <c r="Z1794" s="12" t="inlineStr">
        <is>
          <t>VD 2.6 %</t>
        </is>
      </c>
      <c r="AA1794" s="12">
        <f>N1794*O1794</f>
        <v/>
      </c>
    </row>
    <row r="1795">
      <c r="A1795" s="12" t="inlineStr">
        <is>
          <t>A-P-0428</t>
        </is>
      </c>
      <c r="B1795" s="12" t="inlineStr">
        <is>
          <t>A</t>
        </is>
      </c>
      <c r="C1795" s="12" t="inlineStr">
        <is>
          <t>Power block</t>
        </is>
      </c>
      <c r="D1795" s="12" t="inlineStr">
        <is>
          <t>Motor 2 of 3, 15 kW</t>
        </is>
      </c>
      <c r="E1795" s="12" t="inlineStr">
        <is>
          <t>MCC-GT3</t>
        </is>
      </c>
      <c r="F1795" s="12" t="inlineStr">
        <is>
          <t>R1 MCC-GT3</t>
        </is>
      </c>
      <c r="G1795" s="12" t="inlineStr">
        <is>
          <t>SOS-3</t>
        </is>
      </c>
      <c r="H1795" s="12" t="inlineStr">
        <is>
          <t>SOS-3: GTG-3 seal-oil and H2 / CO2 gas-control skid</t>
        </is>
      </c>
      <c r="I1795" s="12" t="inlineStr">
        <is>
          <t>LV 600 V</t>
        </is>
      </c>
      <c r="J1795" s="12" t="inlineStr">
        <is>
          <t>ARMOR-X MC-HL 600 V 3/C Cu XHHW-2 + ground, CWA, black PVC (Class I Div 2)</t>
        </is>
      </c>
      <c r="K1795" s="12" t="inlineStr">
        <is>
          <t>LVAX|3/C+G|4</t>
        </is>
      </c>
      <c r="L1795" s="12" t="inlineStr">
        <is>
          <t>3/C+G</t>
        </is>
      </c>
      <c r="M1795" s="12" t="inlineStr">
        <is>
          <t>4</t>
        </is>
      </c>
      <c r="N1795" s="12" t="n">
        <v>1</v>
      </c>
      <c r="O1795" s="12" t="n">
        <v>1</v>
      </c>
      <c r="P1795" s="12" t="n">
        <v>480</v>
      </c>
      <c r="Q1795" s="12" t="n">
        <v>15</v>
      </c>
      <c r="R1795" s="12" t="n">
        <v>21.2</v>
      </c>
      <c r="S1795" s="12" t="inlineStr">
        <is>
          <t>Tray</t>
        </is>
      </c>
      <c r="T1795" s="16" t="n">
        <v>829</v>
      </c>
      <c r="U1795" s="16" t="n">
        <v>177</v>
      </c>
      <c r="V1795" s="16">
        <f>ROUNDUP((T1795+U1795+2*'Read Me'!$B$13)*(1+'Read Me'!$B$12),-1)</f>
        <v/>
      </c>
      <c r="W1795" s="16">
        <f>V1795*N1795*O1795</f>
        <v/>
      </c>
      <c r="X1795" s="12">
        <f>IF(LEFT(I1795,2)="MV",2*N1795*IF(L1795="1/C",O1795,1),0)</f>
        <v/>
      </c>
      <c r="Y1795" s="12">
        <f>IF(OR(LEFT(K1795,4)="LVAX",LEFT(K1795,6)="MV15AX",LEFT(K1795,4)="CTAX",LEFT(K1795,2)="W|"),2*N1795*O1795,0)</f>
        <v/>
      </c>
      <c r="Z1795" s="12" t="inlineStr">
        <is>
          <t>VD 2.6 %</t>
        </is>
      </c>
      <c r="AA1795" s="12">
        <f>N1795*O1795</f>
        <v/>
      </c>
    </row>
    <row r="1796">
      <c r="A1796" s="12" t="inlineStr">
        <is>
          <t>A-P-0429</t>
        </is>
      </c>
      <c r="B1796" s="12" t="inlineStr">
        <is>
          <t>A</t>
        </is>
      </c>
      <c r="C1796" s="12" t="inlineStr">
        <is>
          <t>Power block</t>
        </is>
      </c>
      <c r="D1796" s="12" t="inlineStr">
        <is>
          <t>Motor 3 of 3, 15 kW</t>
        </is>
      </c>
      <c r="E1796" s="12" t="inlineStr">
        <is>
          <t>MCC-GT3</t>
        </is>
      </c>
      <c r="F1796" s="12" t="inlineStr">
        <is>
          <t>R1 MCC-GT3</t>
        </is>
      </c>
      <c r="G1796" s="12" t="inlineStr">
        <is>
          <t>SOS-3</t>
        </is>
      </c>
      <c r="H1796" s="12" t="inlineStr">
        <is>
          <t>SOS-3: GTG-3 seal-oil and H2 / CO2 gas-control skid</t>
        </is>
      </c>
      <c r="I1796" s="12" t="inlineStr">
        <is>
          <t>LV 600 V</t>
        </is>
      </c>
      <c r="J1796" s="12" t="inlineStr">
        <is>
          <t>ARMOR-X MC-HL 600 V 3/C Cu XHHW-2 + ground, CWA, black PVC (Class I Div 2)</t>
        </is>
      </c>
      <c r="K1796" s="12" t="inlineStr">
        <is>
          <t>LVAX|3/C+G|4</t>
        </is>
      </c>
      <c r="L1796" s="12" t="inlineStr">
        <is>
          <t>3/C+G</t>
        </is>
      </c>
      <c r="M1796" s="12" t="inlineStr">
        <is>
          <t>4</t>
        </is>
      </c>
      <c r="N1796" s="12" t="n">
        <v>1</v>
      </c>
      <c r="O1796" s="12" t="n">
        <v>1</v>
      </c>
      <c r="P1796" s="12" t="n">
        <v>480</v>
      </c>
      <c r="Q1796" s="12" t="n">
        <v>15</v>
      </c>
      <c r="R1796" s="12" t="n">
        <v>21.2</v>
      </c>
      <c r="S1796" s="12" t="inlineStr">
        <is>
          <t>Tray</t>
        </is>
      </c>
      <c r="T1796" s="16" t="n">
        <v>829</v>
      </c>
      <c r="U1796" s="16" t="n">
        <v>177</v>
      </c>
      <c r="V1796" s="16">
        <f>ROUNDUP((T1796+U1796+2*'Read Me'!$B$13)*(1+'Read Me'!$B$12),-1)</f>
        <v/>
      </c>
      <c r="W1796" s="16">
        <f>V1796*N1796*O1796</f>
        <v/>
      </c>
      <c r="X1796" s="12">
        <f>IF(LEFT(I1796,2)="MV",2*N1796*IF(L1796="1/C",O1796,1),0)</f>
        <v/>
      </c>
      <c r="Y1796" s="12">
        <f>IF(OR(LEFT(K1796,4)="LVAX",LEFT(K1796,6)="MV15AX",LEFT(K1796,4)="CTAX",LEFT(K1796,2)="W|"),2*N1796*O1796,0)</f>
        <v/>
      </c>
      <c r="Z1796" s="12" t="inlineStr">
        <is>
          <t>VD 2.6 %</t>
        </is>
      </c>
      <c r="AA1796" s="12">
        <f>N1796*O1796</f>
        <v/>
      </c>
    </row>
    <row r="1797">
      <c r="A1797" s="12" t="inlineStr">
        <is>
          <t>A-P-0430</t>
        </is>
      </c>
      <c r="B1797" s="12" t="inlineStr">
        <is>
          <t>A</t>
        </is>
      </c>
      <c r="C1797" s="12" t="inlineStr">
        <is>
          <t>Power block</t>
        </is>
      </c>
      <c r="D1797" s="12" t="inlineStr">
        <is>
          <t>Motor 1 of 10, 40 kW</t>
        </is>
      </c>
      <c r="E1797" s="12" t="inlineStr">
        <is>
          <t>R3</t>
        </is>
      </c>
      <c r="F1797" s="12" t="inlineStr">
        <is>
          <t>R3: ST auxiliary electrical e-house (40 x 65 ft)</t>
        </is>
      </c>
      <c r="G1797" s="12" t="inlineStr">
        <is>
          <t>ST aux</t>
        </is>
      </c>
      <c r="H1797" s="12" t="inlineStr">
        <is>
          <t>ST aux: lube oil, turning gear, EHC</t>
        </is>
      </c>
      <c r="I1797" s="12" t="inlineStr">
        <is>
          <t>LV 600 V</t>
        </is>
      </c>
      <c r="J1797" s="12" t="inlineStr">
        <is>
          <t>Type TC-ER 600 V 3/C Cu XHHW-2 + ground, PVC jacket</t>
        </is>
      </c>
      <c r="K1797" s="12" t="inlineStr">
        <is>
          <t>LV|3/C+G|4</t>
        </is>
      </c>
      <c r="L1797" s="12" t="inlineStr">
        <is>
          <t>3/C+G</t>
        </is>
      </c>
      <c r="M1797" s="12" t="inlineStr">
        <is>
          <t>4</t>
        </is>
      </c>
      <c r="N1797" s="12" t="n">
        <v>1</v>
      </c>
      <c r="O1797" s="12" t="n">
        <v>1</v>
      </c>
      <c r="P1797" s="12" t="n">
        <v>480</v>
      </c>
      <c r="Q1797" s="12" t="n">
        <v>40</v>
      </c>
      <c r="R1797" s="12" t="n">
        <v>56.6</v>
      </c>
      <c r="S1797" s="12" t="inlineStr">
        <is>
          <t>Tray</t>
        </is>
      </c>
      <c r="T1797" s="16" t="n">
        <v>67</v>
      </c>
      <c r="U1797" s="16" t="n">
        <v>84</v>
      </c>
      <c r="V1797" s="16">
        <f>ROUNDUP((T1797+U1797+2*'Read Me'!$B$13)*(1+'Read Me'!$B$12),-1)</f>
        <v/>
      </c>
      <c r="W1797" s="16">
        <f>V1797*N1797*O1797</f>
        <v/>
      </c>
      <c r="X1797" s="12">
        <f>IF(LEFT(I1797,2)="MV",2*N1797*IF(L1797="1/C",O1797,1),0)</f>
        <v/>
      </c>
      <c r="Y1797" s="12">
        <f>IF(OR(LEFT(K1797,4)="LVAX",LEFT(K1797,6)="MV15AX",LEFT(K1797,4)="CTAX",LEFT(K1797,2)="W|"),2*N1797*O1797,0)</f>
        <v/>
      </c>
      <c r="Z1797" s="12" t="inlineStr">
        <is>
          <t>VD 1.0 %</t>
        </is>
      </c>
      <c r="AA1797" s="12">
        <f>N1797*O1797</f>
        <v/>
      </c>
    </row>
    <row r="1798">
      <c r="A1798" s="12" t="inlineStr">
        <is>
          <t>A-P-0431</t>
        </is>
      </c>
      <c r="B1798" s="12" t="inlineStr">
        <is>
          <t>A</t>
        </is>
      </c>
      <c r="C1798" s="12" t="inlineStr">
        <is>
          <t>Power block</t>
        </is>
      </c>
      <c r="D1798" s="12" t="inlineStr">
        <is>
          <t>Motor 2 of 10, 40 kW</t>
        </is>
      </c>
      <c r="E1798" s="12" t="inlineStr">
        <is>
          <t>R3</t>
        </is>
      </c>
      <c r="F1798" s="12" t="inlineStr">
        <is>
          <t>R3: ST auxiliary electrical e-house (40 x 65 ft)</t>
        </is>
      </c>
      <c r="G1798" s="12" t="inlineStr">
        <is>
          <t>ST aux</t>
        </is>
      </c>
      <c r="H1798" s="12" t="inlineStr">
        <is>
          <t>ST aux: lube oil, turning gear, EHC</t>
        </is>
      </c>
      <c r="I1798" s="12" t="inlineStr">
        <is>
          <t>LV 600 V</t>
        </is>
      </c>
      <c r="J1798" s="12" t="inlineStr">
        <is>
          <t>Type TC-ER 600 V 3/C Cu XHHW-2 + ground, PVC jacket</t>
        </is>
      </c>
      <c r="K1798" s="12" t="inlineStr">
        <is>
          <t>LV|3/C+G|4</t>
        </is>
      </c>
      <c r="L1798" s="12" t="inlineStr">
        <is>
          <t>3/C+G</t>
        </is>
      </c>
      <c r="M1798" s="12" t="inlineStr">
        <is>
          <t>4</t>
        </is>
      </c>
      <c r="N1798" s="12" t="n">
        <v>1</v>
      </c>
      <c r="O1798" s="12" t="n">
        <v>1</v>
      </c>
      <c r="P1798" s="12" t="n">
        <v>480</v>
      </c>
      <c r="Q1798" s="12" t="n">
        <v>40</v>
      </c>
      <c r="R1798" s="12" t="n">
        <v>56.6</v>
      </c>
      <c r="S1798" s="12" t="inlineStr">
        <is>
          <t>Tray</t>
        </is>
      </c>
      <c r="T1798" s="16" t="n">
        <v>67</v>
      </c>
      <c r="U1798" s="16" t="n">
        <v>84</v>
      </c>
      <c r="V1798" s="16">
        <f>ROUNDUP((T1798+U1798+2*'Read Me'!$B$13)*(1+'Read Me'!$B$12),-1)</f>
        <v/>
      </c>
      <c r="W1798" s="16">
        <f>V1798*N1798*O1798</f>
        <v/>
      </c>
      <c r="X1798" s="12">
        <f>IF(LEFT(I1798,2)="MV",2*N1798*IF(L1798="1/C",O1798,1),0)</f>
        <v/>
      </c>
      <c r="Y1798" s="12">
        <f>IF(OR(LEFT(K1798,4)="LVAX",LEFT(K1798,6)="MV15AX",LEFT(K1798,4)="CTAX",LEFT(K1798,2)="W|"),2*N1798*O1798,0)</f>
        <v/>
      </c>
      <c r="Z1798" s="12" t="inlineStr">
        <is>
          <t>VD 1.0 %</t>
        </is>
      </c>
      <c r="AA1798" s="12">
        <f>N1798*O1798</f>
        <v/>
      </c>
    </row>
    <row r="1799">
      <c r="A1799" s="12" t="inlineStr">
        <is>
          <t>A-P-0432</t>
        </is>
      </c>
      <c r="B1799" s="12" t="inlineStr">
        <is>
          <t>A</t>
        </is>
      </c>
      <c r="C1799" s="12" t="inlineStr">
        <is>
          <t>Power block</t>
        </is>
      </c>
      <c r="D1799" s="12" t="inlineStr">
        <is>
          <t>Motor 3 of 10, 40 kW</t>
        </is>
      </c>
      <c r="E1799" s="12" t="inlineStr">
        <is>
          <t>R3</t>
        </is>
      </c>
      <c r="F1799" s="12" t="inlineStr">
        <is>
          <t>R3: ST auxiliary electrical e-house (40 x 65 ft)</t>
        </is>
      </c>
      <c r="G1799" s="12" t="inlineStr">
        <is>
          <t>ST aux</t>
        </is>
      </c>
      <c r="H1799" s="12" t="inlineStr">
        <is>
          <t>ST aux: lube oil, turning gear, EHC</t>
        </is>
      </c>
      <c r="I1799" s="12" t="inlineStr">
        <is>
          <t>LV 600 V</t>
        </is>
      </c>
      <c r="J1799" s="12" t="inlineStr">
        <is>
          <t>Type TC-ER 600 V 3/C Cu XHHW-2 + ground, PVC jacket</t>
        </is>
      </c>
      <c r="K1799" s="12" t="inlineStr">
        <is>
          <t>LV|3/C+G|4</t>
        </is>
      </c>
      <c r="L1799" s="12" t="inlineStr">
        <is>
          <t>3/C+G</t>
        </is>
      </c>
      <c r="M1799" s="12" t="inlineStr">
        <is>
          <t>4</t>
        </is>
      </c>
      <c r="N1799" s="12" t="n">
        <v>1</v>
      </c>
      <c r="O1799" s="12" t="n">
        <v>1</v>
      </c>
      <c r="P1799" s="12" t="n">
        <v>480</v>
      </c>
      <c r="Q1799" s="12" t="n">
        <v>40</v>
      </c>
      <c r="R1799" s="12" t="n">
        <v>56.6</v>
      </c>
      <c r="S1799" s="12" t="inlineStr">
        <is>
          <t>Tray</t>
        </is>
      </c>
      <c r="T1799" s="16" t="n">
        <v>67</v>
      </c>
      <c r="U1799" s="16" t="n">
        <v>84</v>
      </c>
      <c r="V1799" s="16">
        <f>ROUNDUP((T1799+U1799+2*'Read Me'!$B$13)*(1+'Read Me'!$B$12),-1)</f>
        <v/>
      </c>
      <c r="W1799" s="16">
        <f>V1799*N1799*O1799</f>
        <v/>
      </c>
      <c r="X1799" s="12">
        <f>IF(LEFT(I1799,2)="MV",2*N1799*IF(L1799="1/C",O1799,1),0)</f>
        <v/>
      </c>
      <c r="Y1799" s="12">
        <f>IF(OR(LEFT(K1799,4)="LVAX",LEFT(K1799,6)="MV15AX",LEFT(K1799,4)="CTAX",LEFT(K1799,2)="W|"),2*N1799*O1799,0)</f>
        <v/>
      </c>
      <c r="Z1799" s="12" t="inlineStr">
        <is>
          <t>VD 1.0 %</t>
        </is>
      </c>
      <c r="AA1799" s="12">
        <f>N1799*O1799</f>
        <v/>
      </c>
    </row>
    <row r="1800">
      <c r="A1800" s="12" t="inlineStr">
        <is>
          <t>A-P-0433</t>
        </is>
      </c>
      <c r="B1800" s="12" t="inlineStr">
        <is>
          <t>A</t>
        </is>
      </c>
      <c r="C1800" s="12" t="inlineStr">
        <is>
          <t>Power block</t>
        </is>
      </c>
      <c r="D1800" s="12" t="inlineStr">
        <is>
          <t>Motor 4 of 10, 40 kW</t>
        </is>
      </c>
      <c r="E1800" s="12" t="inlineStr">
        <is>
          <t>R3</t>
        </is>
      </c>
      <c r="F1800" s="12" t="inlineStr">
        <is>
          <t>R3: ST auxiliary electrical e-house (40 x 65 ft)</t>
        </is>
      </c>
      <c r="G1800" s="12" t="inlineStr">
        <is>
          <t>ST aux</t>
        </is>
      </c>
      <c r="H1800" s="12" t="inlineStr">
        <is>
          <t>ST aux: lube oil, turning gear, EHC</t>
        </is>
      </c>
      <c r="I1800" s="12" t="inlineStr">
        <is>
          <t>LV 600 V</t>
        </is>
      </c>
      <c r="J1800" s="12" t="inlineStr">
        <is>
          <t>Type TC-ER 600 V 3/C Cu XHHW-2 + ground, PVC jacket</t>
        </is>
      </c>
      <c r="K1800" s="12" t="inlineStr">
        <is>
          <t>LV|3/C+G|4</t>
        </is>
      </c>
      <c r="L1800" s="12" t="inlineStr">
        <is>
          <t>3/C+G</t>
        </is>
      </c>
      <c r="M1800" s="12" t="inlineStr">
        <is>
          <t>4</t>
        </is>
      </c>
      <c r="N1800" s="12" t="n">
        <v>1</v>
      </c>
      <c r="O1800" s="12" t="n">
        <v>1</v>
      </c>
      <c r="P1800" s="12" t="n">
        <v>480</v>
      </c>
      <c r="Q1800" s="12" t="n">
        <v>40</v>
      </c>
      <c r="R1800" s="12" t="n">
        <v>56.6</v>
      </c>
      <c r="S1800" s="12" t="inlineStr">
        <is>
          <t>Tray</t>
        </is>
      </c>
      <c r="T1800" s="16" t="n">
        <v>67</v>
      </c>
      <c r="U1800" s="16" t="n">
        <v>84</v>
      </c>
      <c r="V1800" s="16">
        <f>ROUNDUP((T1800+U1800+2*'Read Me'!$B$13)*(1+'Read Me'!$B$12),-1)</f>
        <v/>
      </c>
      <c r="W1800" s="16">
        <f>V1800*N1800*O1800</f>
        <v/>
      </c>
      <c r="X1800" s="12">
        <f>IF(LEFT(I1800,2)="MV",2*N1800*IF(L1800="1/C",O1800,1),0)</f>
        <v/>
      </c>
      <c r="Y1800" s="12">
        <f>IF(OR(LEFT(K1800,4)="LVAX",LEFT(K1800,6)="MV15AX",LEFT(K1800,4)="CTAX",LEFT(K1800,2)="W|"),2*N1800*O1800,0)</f>
        <v/>
      </c>
      <c r="Z1800" s="12" t="inlineStr">
        <is>
          <t>VD 1.0 %</t>
        </is>
      </c>
      <c r="AA1800" s="12">
        <f>N1800*O1800</f>
        <v/>
      </c>
    </row>
    <row r="1801">
      <c r="A1801" s="12" t="inlineStr">
        <is>
          <t>A-P-0434</t>
        </is>
      </c>
      <c r="B1801" s="12" t="inlineStr">
        <is>
          <t>A</t>
        </is>
      </c>
      <c r="C1801" s="12" t="inlineStr">
        <is>
          <t>Power block</t>
        </is>
      </c>
      <c r="D1801" s="12" t="inlineStr">
        <is>
          <t>Motor 5 of 10, 40 kW</t>
        </is>
      </c>
      <c r="E1801" s="12" t="inlineStr">
        <is>
          <t>R3</t>
        </is>
      </c>
      <c r="F1801" s="12" t="inlineStr">
        <is>
          <t>R3: ST auxiliary electrical e-house (40 x 65 ft)</t>
        </is>
      </c>
      <c r="G1801" s="12" t="inlineStr">
        <is>
          <t>ST aux</t>
        </is>
      </c>
      <c r="H1801" s="12" t="inlineStr">
        <is>
          <t>ST aux: lube oil, turning gear, EHC</t>
        </is>
      </c>
      <c r="I1801" s="12" t="inlineStr">
        <is>
          <t>LV 600 V</t>
        </is>
      </c>
      <c r="J1801" s="12" t="inlineStr">
        <is>
          <t>Type TC-ER 600 V 3/C Cu XHHW-2 + ground, PVC jacket</t>
        </is>
      </c>
      <c r="K1801" s="12" t="inlineStr">
        <is>
          <t>LV|3/C+G|4</t>
        </is>
      </c>
      <c r="L1801" s="12" t="inlineStr">
        <is>
          <t>3/C+G</t>
        </is>
      </c>
      <c r="M1801" s="12" t="inlineStr">
        <is>
          <t>4</t>
        </is>
      </c>
      <c r="N1801" s="12" t="n">
        <v>1</v>
      </c>
      <c r="O1801" s="12" t="n">
        <v>1</v>
      </c>
      <c r="P1801" s="12" t="n">
        <v>480</v>
      </c>
      <c r="Q1801" s="12" t="n">
        <v>40</v>
      </c>
      <c r="R1801" s="12" t="n">
        <v>56.6</v>
      </c>
      <c r="S1801" s="12" t="inlineStr">
        <is>
          <t>Tray</t>
        </is>
      </c>
      <c r="T1801" s="16" t="n">
        <v>67</v>
      </c>
      <c r="U1801" s="16" t="n">
        <v>84</v>
      </c>
      <c r="V1801" s="16">
        <f>ROUNDUP((T1801+U1801+2*'Read Me'!$B$13)*(1+'Read Me'!$B$12),-1)</f>
        <v/>
      </c>
      <c r="W1801" s="16">
        <f>V1801*N1801*O1801</f>
        <v/>
      </c>
      <c r="X1801" s="12">
        <f>IF(LEFT(I1801,2)="MV",2*N1801*IF(L1801="1/C",O1801,1),0)</f>
        <v/>
      </c>
      <c r="Y1801" s="12">
        <f>IF(OR(LEFT(K1801,4)="LVAX",LEFT(K1801,6)="MV15AX",LEFT(K1801,4)="CTAX",LEFT(K1801,2)="W|"),2*N1801*O1801,0)</f>
        <v/>
      </c>
      <c r="Z1801" s="12" t="inlineStr">
        <is>
          <t>VD 1.0 %</t>
        </is>
      </c>
      <c r="AA1801" s="12">
        <f>N1801*O1801</f>
        <v/>
      </c>
    </row>
    <row r="1802">
      <c r="A1802" s="12" t="inlineStr">
        <is>
          <t>A-P-0435</t>
        </is>
      </c>
      <c r="B1802" s="12" t="inlineStr">
        <is>
          <t>A</t>
        </is>
      </c>
      <c r="C1802" s="12" t="inlineStr">
        <is>
          <t>Power block</t>
        </is>
      </c>
      <c r="D1802" s="12" t="inlineStr">
        <is>
          <t>Motor 6 of 10, 40 kW</t>
        </is>
      </c>
      <c r="E1802" s="12" t="inlineStr">
        <is>
          <t>R3</t>
        </is>
      </c>
      <c r="F1802" s="12" t="inlineStr">
        <is>
          <t>R3: ST auxiliary electrical e-house (40 x 65 ft)</t>
        </is>
      </c>
      <c r="G1802" s="12" t="inlineStr">
        <is>
          <t>ST aux</t>
        </is>
      </c>
      <c r="H1802" s="12" t="inlineStr">
        <is>
          <t>ST aux: lube oil, turning gear, EHC</t>
        </is>
      </c>
      <c r="I1802" s="12" t="inlineStr">
        <is>
          <t>LV 600 V</t>
        </is>
      </c>
      <c r="J1802" s="12" t="inlineStr">
        <is>
          <t>Type TC-ER 600 V 3/C Cu XHHW-2 + ground, PVC jacket</t>
        </is>
      </c>
      <c r="K1802" s="12" t="inlineStr">
        <is>
          <t>LV|3/C+G|4</t>
        </is>
      </c>
      <c r="L1802" s="12" t="inlineStr">
        <is>
          <t>3/C+G</t>
        </is>
      </c>
      <c r="M1802" s="12" t="inlineStr">
        <is>
          <t>4</t>
        </is>
      </c>
      <c r="N1802" s="12" t="n">
        <v>1</v>
      </c>
      <c r="O1802" s="12" t="n">
        <v>1</v>
      </c>
      <c r="P1802" s="12" t="n">
        <v>480</v>
      </c>
      <c r="Q1802" s="12" t="n">
        <v>40</v>
      </c>
      <c r="R1802" s="12" t="n">
        <v>56.6</v>
      </c>
      <c r="S1802" s="12" t="inlineStr">
        <is>
          <t>Tray</t>
        </is>
      </c>
      <c r="T1802" s="16" t="n">
        <v>67</v>
      </c>
      <c r="U1802" s="16" t="n">
        <v>84</v>
      </c>
      <c r="V1802" s="16">
        <f>ROUNDUP((T1802+U1802+2*'Read Me'!$B$13)*(1+'Read Me'!$B$12),-1)</f>
        <v/>
      </c>
      <c r="W1802" s="16">
        <f>V1802*N1802*O1802</f>
        <v/>
      </c>
      <c r="X1802" s="12">
        <f>IF(LEFT(I1802,2)="MV",2*N1802*IF(L1802="1/C",O1802,1),0)</f>
        <v/>
      </c>
      <c r="Y1802" s="12">
        <f>IF(OR(LEFT(K1802,4)="LVAX",LEFT(K1802,6)="MV15AX",LEFT(K1802,4)="CTAX",LEFT(K1802,2)="W|"),2*N1802*O1802,0)</f>
        <v/>
      </c>
      <c r="Z1802" s="12" t="inlineStr">
        <is>
          <t>VD 1.0 %</t>
        </is>
      </c>
      <c r="AA1802" s="12">
        <f>N1802*O1802</f>
        <v/>
      </c>
    </row>
    <row r="1803">
      <c r="A1803" s="12" t="inlineStr">
        <is>
          <t>A-P-0436</t>
        </is>
      </c>
      <c r="B1803" s="12" t="inlineStr">
        <is>
          <t>A</t>
        </is>
      </c>
      <c r="C1803" s="12" t="inlineStr">
        <is>
          <t>Power block</t>
        </is>
      </c>
      <c r="D1803" s="12" t="inlineStr">
        <is>
          <t>Motor 7 of 10, 40 kW</t>
        </is>
      </c>
      <c r="E1803" s="12" t="inlineStr">
        <is>
          <t>R3</t>
        </is>
      </c>
      <c r="F1803" s="12" t="inlineStr">
        <is>
          <t>R3: ST auxiliary electrical e-house (40 x 65 ft)</t>
        </is>
      </c>
      <c r="G1803" s="12" t="inlineStr">
        <is>
          <t>ST aux</t>
        </is>
      </c>
      <c r="H1803" s="12" t="inlineStr">
        <is>
          <t>ST aux: lube oil, turning gear, EHC</t>
        </is>
      </c>
      <c r="I1803" s="12" t="inlineStr">
        <is>
          <t>LV 600 V</t>
        </is>
      </c>
      <c r="J1803" s="12" t="inlineStr">
        <is>
          <t>Type TC-ER 600 V 3/C Cu XHHW-2 + ground, PVC jacket</t>
        </is>
      </c>
      <c r="K1803" s="12" t="inlineStr">
        <is>
          <t>LV|3/C+G|4</t>
        </is>
      </c>
      <c r="L1803" s="12" t="inlineStr">
        <is>
          <t>3/C+G</t>
        </is>
      </c>
      <c r="M1803" s="12" t="inlineStr">
        <is>
          <t>4</t>
        </is>
      </c>
      <c r="N1803" s="12" t="n">
        <v>1</v>
      </c>
      <c r="O1803" s="12" t="n">
        <v>1</v>
      </c>
      <c r="P1803" s="12" t="n">
        <v>480</v>
      </c>
      <c r="Q1803" s="12" t="n">
        <v>40</v>
      </c>
      <c r="R1803" s="12" t="n">
        <v>56.6</v>
      </c>
      <c r="S1803" s="12" t="inlineStr">
        <is>
          <t>Tray</t>
        </is>
      </c>
      <c r="T1803" s="16" t="n">
        <v>67</v>
      </c>
      <c r="U1803" s="16" t="n">
        <v>84</v>
      </c>
      <c r="V1803" s="16">
        <f>ROUNDUP((T1803+U1803+2*'Read Me'!$B$13)*(1+'Read Me'!$B$12),-1)</f>
        <v/>
      </c>
      <c r="W1803" s="16">
        <f>V1803*N1803*O1803</f>
        <v/>
      </c>
      <c r="X1803" s="12">
        <f>IF(LEFT(I1803,2)="MV",2*N1803*IF(L1803="1/C",O1803,1),0)</f>
        <v/>
      </c>
      <c r="Y1803" s="12">
        <f>IF(OR(LEFT(K1803,4)="LVAX",LEFT(K1803,6)="MV15AX",LEFT(K1803,4)="CTAX",LEFT(K1803,2)="W|"),2*N1803*O1803,0)</f>
        <v/>
      </c>
      <c r="Z1803" s="12" t="inlineStr">
        <is>
          <t>VD 1.0 %</t>
        </is>
      </c>
      <c r="AA1803" s="12">
        <f>N1803*O1803</f>
        <v/>
      </c>
    </row>
    <row r="1804">
      <c r="A1804" s="12" t="inlineStr">
        <is>
          <t>A-P-0437</t>
        </is>
      </c>
      <c r="B1804" s="12" t="inlineStr">
        <is>
          <t>A</t>
        </is>
      </c>
      <c r="C1804" s="12" t="inlineStr">
        <is>
          <t>Power block</t>
        </is>
      </c>
      <c r="D1804" s="12" t="inlineStr">
        <is>
          <t>Motor 8 of 10, 40 kW</t>
        </is>
      </c>
      <c r="E1804" s="12" t="inlineStr">
        <is>
          <t>R3</t>
        </is>
      </c>
      <c r="F1804" s="12" t="inlineStr">
        <is>
          <t>R3: ST auxiliary electrical e-house (40 x 65 ft)</t>
        </is>
      </c>
      <c r="G1804" s="12" t="inlineStr">
        <is>
          <t>ST aux</t>
        </is>
      </c>
      <c r="H1804" s="12" t="inlineStr">
        <is>
          <t>ST aux: lube oil, turning gear, EHC</t>
        </is>
      </c>
      <c r="I1804" s="12" t="inlineStr">
        <is>
          <t>LV 600 V</t>
        </is>
      </c>
      <c r="J1804" s="12" t="inlineStr">
        <is>
          <t>Type TC-ER 600 V 3/C Cu XHHW-2 + ground, PVC jacket</t>
        </is>
      </c>
      <c r="K1804" s="12" t="inlineStr">
        <is>
          <t>LV|3/C+G|4</t>
        </is>
      </c>
      <c r="L1804" s="12" t="inlineStr">
        <is>
          <t>3/C+G</t>
        </is>
      </c>
      <c r="M1804" s="12" t="inlineStr">
        <is>
          <t>4</t>
        </is>
      </c>
      <c r="N1804" s="12" t="n">
        <v>1</v>
      </c>
      <c r="O1804" s="12" t="n">
        <v>1</v>
      </c>
      <c r="P1804" s="12" t="n">
        <v>480</v>
      </c>
      <c r="Q1804" s="12" t="n">
        <v>40</v>
      </c>
      <c r="R1804" s="12" t="n">
        <v>56.6</v>
      </c>
      <c r="S1804" s="12" t="inlineStr">
        <is>
          <t>Tray</t>
        </is>
      </c>
      <c r="T1804" s="16" t="n">
        <v>67</v>
      </c>
      <c r="U1804" s="16" t="n">
        <v>84</v>
      </c>
      <c r="V1804" s="16">
        <f>ROUNDUP((T1804+U1804+2*'Read Me'!$B$13)*(1+'Read Me'!$B$12),-1)</f>
        <v/>
      </c>
      <c r="W1804" s="16">
        <f>V1804*N1804*O1804</f>
        <v/>
      </c>
      <c r="X1804" s="12">
        <f>IF(LEFT(I1804,2)="MV",2*N1804*IF(L1804="1/C",O1804,1),0)</f>
        <v/>
      </c>
      <c r="Y1804" s="12">
        <f>IF(OR(LEFT(K1804,4)="LVAX",LEFT(K1804,6)="MV15AX",LEFT(K1804,4)="CTAX",LEFT(K1804,2)="W|"),2*N1804*O1804,0)</f>
        <v/>
      </c>
      <c r="Z1804" s="12" t="inlineStr">
        <is>
          <t>VD 1.0 %</t>
        </is>
      </c>
      <c r="AA1804" s="12">
        <f>N1804*O1804</f>
        <v/>
      </c>
    </row>
    <row r="1805">
      <c r="A1805" s="12" t="inlineStr">
        <is>
          <t>A-P-0438</t>
        </is>
      </c>
      <c r="B1805" s="12" t="inlineStr">
        <is>
          <t>A</t>
        </is>
      </c>
      <c r="C1805" s="12" t="inlineStr">
        <is>
          <t>Power block</t>
        </is>
      </c>
      <c r="D1805" s="12" t="inlineStr">
        <is>
          <t>Motor 9 of 10, 40 kW</t>
        </is>
      </c>
      <c r="E1805" s="12" t="inlineStr">
        <is>
          <t>R3</t>
        </is>
      </c>
      <c r="F1805" s="12" t="inlineStr">
        <is>
          <t>R3: ST auxiliary electrical e-house (40 x 65 ft)</t>
        </is>
      </c>
      <c r="G1805" s="12" t="inlineStr">
        <is>
          <t>ST aux</t>
        </is>
      </c>
      <c r="H1805" s="12" t="inlineStr">
        <is>
          <t>ST aux: lube oil, turning gear, EHC</t>
        </is>
      </c>
      <c r="I1805" s="12" t="inlineStr">
        <is>
          <t>LV 600 V</t>
        </is>
      </c>
      <c r="J1805" s="12" t="inlineStr">
        <is>
          <t>Type TC-ER 600 V 3/C Cu XHHW-2 + ground, PVC jacket</t>
        </is>
      </c>
      <c r="K1805" s="12" t="inlineStr">
        <is>
          <t>LV|3/C+G|4</t>
        </is>
      </c>
      <c r="L1805" s="12" t="inlineStr">
        <is>
          <t>3/C+G</t>
        </is>
      </c>
      <c r="M1805" s="12" t="inlineStr">
        <is>
          <t>4</t>
        </is>
      </c>
      <c r="N1805" s="12" t="n">
        <v>1</v>
      </c>
      <c r="O1805" s="12" t="n">
        <v>1</v>
      </c>
      <c r="P1805" s="12" t="n">
        <v>480</v>
      </c>
      <c r="Q1805" s="12" t="n">
        <v>40</v>
      </c>
      <c r="R1805" s="12" t="n">
        <v>56.6</v>
      </c>
      <c r="S1805" s="12" t="inlineStr">
        <is>
          <t>Tray</t>
        </is>
      </c>
      <c r="T1805" s="16" t="n">
        <v>67</v>
      </c>
      <c r="U1805" s="16" t="n">
        <v>84</v>
      </c>
      <c r="V1805" s="16">
        <f>ROUNDUP((T1805+U1805+2*'Read Me'!$B$13)*(1+'Read Me'!$B$12),-1)</f>
        <v/>
      </c>
      <c r="W1805" s="16">
        <f>V1805*N1805*O1805</f>
        <v/>
      </c>
      <c r="X1805" s="12">
        <f>IF(LEFT(I1805,2)="MV",2*N1805*IF(L1805="1/C",O1805,1),0)</f>
        <v/>
      </c>
      <c r="Y1805" s="12">
        <f>IF(OR(LEFT(K1805,4)="LVAX",LEFT(K1805,6)="MV15AX",LEFT(K1805,4)="CTAX",LEFT(K1805,2)="W|"),2*N1805*O1805,0)</f>
        <v/>
      </c>
      <c r="Z1805" s="12" t="inlineStr">
        <is>
          <t>VD 1.0 %</t>
        </is>
      </c>
      <c r="AA1805" s="12">
        <f>N1805*O1805</f>
        <v/>
      </c>
    </row>
    <row r="1806">
      <c r="A1806" s="12" t="inlineStr">
        <is>
          <t>A-P-0439</t>
        </is>
      </c>
      <c r="B1806" s="12" t="inlineStr">
        <is>
          <t>A</t>
        </is>
      </c>
      <c r="C1806" s="12" t="inlineStr">
        <is>
          <t>Power block</t>
        </is>
      </c>
      <c r="D1806" s="12" t="inlineStr">
        <is>
          <t>Motor 10 of 10, 40 kW</t>
        </is>
      </c>
      <c r="E1806" s="12" t="inlineStr">
        <is>
          <t>R3</t>
        </is>
      </c>
      <c r="F1806" s="12" t="inlineStr">
        <is>
          <t>R3: ST auxiliary electrical e-house (40 x 65 ft)</t>
        </is>
      </c>
      <c r="G1806" s="12" t="inlineStr">
        <is>
          <t>ST aux</t>
        </is>
      </c>
      <c r="H1806" s="12" t="inlineStr">
        <is>
          <t>ST aux: lube oil, turning gear, EHC</t>
        </is>
      </c>
      <c r="I1806" s="12" t="inlineStr">
        <is>
          <t>LV 600 V</t>
        </is>
      </c>
      <c r="J1806" s="12" t="inlineStr">
        <is>
          <t>Type TC-ER 600 V 3/C Cu XHHW-2 + ground, PVC jacket</t>
        </is>
      </c>
      <c r="K1806" s="12" t="inlineStr">
        <is>
          <t>LV|3/C+G|4</t>
        </is>
      </c>
      <c r="L1806" s="12" t="inlineStr">
        <is>
          <t>3/C+G</t>
        </is>
      </c>
      <c r="M1806" s="12" t="inlineStr">
        <is>
          <t>4</t>
        </is>
      </c>
      <c r="N1806" s="12" t="n">
        <v>1</v>
      </c>
      <c r="O1806" s="12" t="n">
        <v>1</v>
      </c>
      <c r="P1806" s="12" t="n">
        <v>480</v>
      </c>
      <c r="Q1806" s="12" t="n">
        <v>40</v>
      </c>
      <c r="R1806" s="12" t="n">
        <v>56.6</v>
      </c>
      <c r="S1806" s="12" t="inlineStr">
        <is>
          <t>Tray</t>
        </is>
      </c>
      <c r="T1806" s="16" t="n">
        <v>67</v>
      </c>
      <c r="U1806" s="16" t="n">
        <v>84</v>
      </c>
      <c r="V1806" s="16">
        <f>ROUNDUP((T1806+U1806+2*'Read Me'!$B$13)*(1+'Read Me'!$B$12),-1)</f>
        <v/>
      </c>
      <c r="W1806" s="16">
        <f>V1806*N1806*O1806</f>
        <v/>
      </c>
      <c r="X1806" s="12">
        <f>IF(LEFT(I1806,2)="MV",2*N1806*IF(L1806="1/C",O1806,1),0)</f>
        <v/>
      </c>
      <c r="Y1806" s="12">
        <f>IF(OR(LEFT(K1806,4)="LVAX",LEFT(K1806,6)="MV15AX",LEFT(K1806,4)="CTAX",LEFT(K1806,2)="W|"),2*N1806*O1806,0)</f>
        <v/>
      </c>
      <c r="Z1806" s="12" t="inlineStr">
        <is>
          <t>VD 1.0 %</t>
        </is>
      </c>
      <c r="AA1806" s="12">
        <f>N1806*O1806</f>
        <v/>
      </c>
    </row>
    <row r="1807">
      <c r="A1807" s="12" t="inlineStr">
        <is>
          <t>A-P-0440</t>
        </is>
      </c>
      <c r="B1807" s="12" t="inlineStr">
        <is>
          <t>A</t>
        </is>
      </c>
      <c r="C1807" s="12" t="inlineStr">
        <is>
          <t>Power block</t>
        </is>
      </c>
      <c r="D1807" s="12" t="inlineStr">
        <is>
          <t>MOV 1: power</t>
        </is>
      </c>
      <c r="E1807" s="12" t="inlineStr">
        <is>
          <t>R3</t>
        </is>
      </c>
      <c r="F1807" s="12" t="inlineStr">
        <is>
          <t>R3: ST auxiliary electrical e-house (40 x 65 ft)</t>
        </is>
      </c>
      <c r="G1807" s="12" t="inlineStr">
        <is>
          <t>ST</t>
        </is>
      </c>
      <c r="H1807" s="12" t="inlineStr">
        <is>
          <t>ST: steam turbine (HP/IP + LP), ACC plant</t>
        </is>
      </c>
      <c r="I1807" s="12" t="inlineStr">
        <is>
          <t>LV 600 V</t>
        </is>
      </c>
      <c r="J1807" s="12" t="inlineStr">
        <is>
          <t>Type TC-ER 600 V 3/C Cu XHHW-2 + ground, PVC jacket</t>
        </is>
      </c>
      <c r="K1807" s="12" t="inlineStr">
        <is>
          <t>LV|3/C+G|10</t>
        </is>
      </c>
      <c r="L1807" s="12" t="inlineStr">
        <is>
          <t>3/C+G</t>
        </is>
      </c>
      <c r="M1807" s="12" t="inlineStr">
        <is>
          <t>10</t>
        </is>
      </c>
      <c r="N1807" s="12" t="n">
        <v>1</v>
      </c>
      <c r="O1807" s="12" t="n">
        <v>1</v>
      </c>
      <c r="P1807" s="12" t="n">
        <v>480</v>
      </c>
      <c r="Q1807" s="12" t="n">
        <v>2.5</v>
      </c>
      <c r="R1807" s="12" t="n">
        <v>3.5</v>
      </c>
      <c r="S1807" s="12" t="inlineStr">
        <is>
          <t>Duct bank</t>
        </is>
      </c>
      <c r="T1807" s="16" t="n">
        <v>12</v>
      </c>
      <c r="U1807" s="16" t="n">
        <v>50</v>
      </c>
      <c r="V1807" s="16">
        <f>ROUNDUP((T1807+U1807+2*'Read Me'!$B$13)*(1+'Read Me'!$B$12),-1)</f>
        <v/>
      </c>
      <c r="W1807" s="16">
        <f>V1807*N1807*O1807</f>
        <v/>
      </c>
      <c r="X1807" s="12">
        <f>IF(LEFT(I1807,2)="MV",2*N1807*IF(L1807="1/C",O1807,1),0)</f>
        <v/>
      </c>
      <c r="Y1807" s="12">
        <f>IF(OR(LEFT(K1807,4)="LVAX",LEFT(K1807,6)="MV15AX",LEFT(K1807,4)="CTAX",LEFT(K1807,2)="W|"),2*N1807*O1807,0)</f>
        <v/>
      </c>
      <c r="Z1807" s="12" t="inlineStr">
        <is>
          <t>VD 0.1 %</t>
        </is>
      </c>
      <c r="AA1807" s="12">
        <f>N1807*O1807</f>
        <v/>
      </c>
    </row>
    <row r="1808">
      <c r="A1808" s="12" t="inlineStr">
        <is>
          <t>A-P-0441</t>
        </is>
      </c>
      <c r="B1808" s="12" t="inlineStr">
        <is>
          <t>A</t>
        </is>
      </c>
      <c r="C1808" s="12" t="inlineStr">
        <is>
          <t>Power block</t>
        </is>
      </c>
      <c r="D1808" s="12" t="inlineStr">
        <is>
          <t>MOV 2: power</t>
        </is>
      </c>
      <c r="E1808" s="12" t="inlineStr">
        <is>
          <t>R3</t>
        </is>
      </c>
      <c r="F1808" s="12" t="inlineStr">
        <is>
          <t>R3: ST auxiliary electrical e-house (40 x 65 ft)</t>
        </is>
      </c>
      <c r="G1808" s="12" t="inlineStr">
        <is>
          <t>ST</t>
        </is>
      </c>
      <c r="H1808" s="12" t="inlineStr">
        <is>
          <t>ST: steam turbine (HP/IP + LP), ACC plant</t>
        </is>
      </c>
      <c r="I1808" s="12" t="inlineStr">
        <is>
          <t>LV 600 V</t>
        </is>
      </c>
      <c r="J1808" s="12" t="inlineStr">
        <is>
          <t>Type TC-ER 600 V 3/C Cu XHHW-2 + ground, PVC jacket</t>
        </is>
      </c>
      <c r="K1808" s="12" t="inlineStr">
        <is>
          <t>LV|3/C+G|10</t>
        </is>
      </c>
      <c r="L1808" s="12" t="inlineStr">
        <is>
          <t>3/C+G</t>
        </is>
      </c>
      <c r="M1808" s="12" t="inlineStr">
        <is>
          <t>10</t>
        </is>
      </c>
      <c r="N1808" s="12" t="n">
        <v>1</v>
      </c>
      <c r="O1808" s="12" t="n">
        <v>1</v>
      </c>
      <c r="P1808" s="12" t="n">
        <v>480</v>
      </c>
      <c r="Q1808" s="12" t="n">
        <v>2.5</v>
      </c>
      <c r="R1808" s="12" t="n">
        <v>3.5</v>
      </c>
      <c r="S1808" s="12" t="inlineStr">
        <is>
          <t>Duct bank</t>
        </is>
      </c>
      <c r="T1808" s="16" t="n">
        <v>12</v>
      </c>
      <c r="U1808" s="16" t="n">
        <v>50</v>
      </c>
      <c r="V1808" s="16">
        <f>ROUNDUP((T1808+U1808+2*'Read Me'!$B$13)*(1+'Read Me'!$B$12),-1)</f>
        <v/>
      </c>
      <c r="W1808" s="16">
        <f>V1808*N1808*O1808</f>
        <v/>
      </c>
      <c r="X1808" s="12">
        <f>IF(LEFT(I1808,2)="MV",2*N1808*IF(L1808="1/C",O1808,1),0)</f>
        <v/>
      </c>
      <c r="Y1808" s="12">
        <f>IF(OR(LEFT(K1808,4)="LVAX",LEFT(K1808,6)="MV15AX",LEFT(K1808,4)="CTAX",LEFT(K1808,2)="W|"),2*N1808*O1808,0)</f>
        <v/>
      </c>
      <c r="Z1808" s="12" t="inlineStr">
        <is>
          <t>VD 0.1 %</t>
        </is>
      </c>
      <c r="AA1808" s="12">
        <f>N1808*O1808</f>
        <v/>
      </c>
    </row>
    <row r="1809">
      <c r="A1809" s="12" t="inlineStr">
        <is>
          <t>A-P-0442</t>
        </is>
      </c>
      <c r="B1809" s="12" t="inlineStr">
        <is>
          <t>A</t>
        </is>
      </c>
      <c r="C1809" s="12" t="inlineStr">
        <is>
          <t>Power block</t>
        </is>
      </c>
      <c r="D1809" s="12" t="inlineStr">
        <is>
          <t>MOV 3: power</t>
        </is>
      </c>
      <c r="E1809" s="12" t="inlineStr">
        <is>
          <t>R3</t>
        </is>
      </c>
      <c r="F1809" s="12" t="inlineStr">
        <is>
          <t>R3: ST auxiliary electrical e-house (40 x 65 ft)</t>
        </is>
      </c>
      <c r="G1809" s="12" t="inlineStr">
        <is>
          <t>ST</t>
        </is>
      </c>
      <c r="H1809" s="12" t="inlineStr">
        <is>
          <t>ST: steam turbine (HP/IP + LP), ACC plant</t>
        </is>
      </c>
      <c r="I1809" s="12" t="inlineStr">
        <is>
          <t>LV 600 V</t>
        </is>
      </c>
      <c r="J1809" s="12" t="inlineStr">
        <is>
          <t>Type TC-ER 600 V 3/C Cu XHHW-2 + ground, PVC jacket</t>
        </is>
      </c>
      <c r="K1809" s="12" t="inlineStr">
        <is>
          <t>LV|3/C+G|10</t>
        </is>
      </c>
      <c r="L1809" s="12" t="inlineStr">
        <is>
          <t>3/C+G</t>
        </is>
      </c>
      <c r="M1809" s="12" t="inlineStr">
        <is>
          <t>10</t>
        </is>
      </c>
      <c r="N1809" s="12" t="n">
        <v>1</v>
      </c>
      <c r="O1809" s="12" t="n">
        <v>1</v>
      </c>
      <c r="P1809" s="12" t="n">
        <v>480</v>
      </c>
      <c r="Q1809" s="12" t="n">
        <v>2.5</v>
      </c>
      <c r="R1809" s="12" t="n">
        <v>3.5</v>
      </c>
      <c r="S1809" s="12" t="inlineStr">
        <is>
          <t>Duct bank</t>
        </is>
      </c>
      <c r="T1809" s="16" t="n">
        <v>12</v>
      </c>
      <c r="U1809" s="16" t="n">
        <v>50</v>
      </c>
      <c r="V1809" s="16">
        <f>ROUNDUP((T1809+U1809+2*'Read Me'!$B$13)*(1+'Read Me'!$B$12),-1)</f>
        <v/>
      </c>
      <c r="W1809" s="16">
        <f>V1809*N1809*O1809</f>
        <v/>
      </c>
      <c r="X1809" s="12">
        <f>IF(LEFT(I1809,2)="MV",2*N1809*IF(L1809="1/C",O1809,1),0)</f>
        <v/>
      </c>
      <c r="Y1809" s="12">
        <f>IF(OR(LEFT(K1809,4)="LVAX",LEFT(K1809,6)="MV15AX",LEFT(K1809,4)="CTAX",LEFT(K1809,2)="W|"),2*N1809*O1809,0)</f>
        <v/>
      </c>
      <c r="Z1809" s="12" t="inlineStr">
        <is>
          <t>VD 0.1 %</t>
        </is>
      </c>
      <c r="AA1809" s="12">
        <f>N1809*O1809</f>
        <v/>
      </c>
    </row>
    <row r="1810">
      <c r="A1810" s="12" t="inlineStr">
        <is>
          <t>A-P-0443</t>
        </is>
      </c>
      <c r="B1810" s="12" t="inlineStr">
        <is>
          <t>A</t>
        </is>
      </c>
      <c r="C1810" s="12" t="inlineStr">
        <is>
          <t>Power block</t>
        </is>
      </c>
      <c r="D1810" s="12" t="inlineStr">
        <is>
          <t>MOV 4: power</t>
        </is>
      </c>
      <c r="E1810" s="12" t="inlineStr">
        <is>
          <t>R3</t>
        </is>
      </c>
      <c r="F1810" s="12" t="inlineStr">
        <is>
          <t>R3: ST auxiliary electrical e-house (40 x 65 ft)</t>
        </is>
      </c>
      <c r="G1810" s="12" t="inlineStr">
        <is>
          <t>ST</t>
        </is>
      </c>
      <c r="H1810" s="12" t="inlineStr">
        <is>
          <t>ST: steam turbine (HP/IP + LP), ACC plant</t>
        </is>
      </c>
      <c r="I1810" s="12" t="inlineStr">
        <is>
          <t>LV 600 V</t>
        </is>
      </c>
      <c r="J1810" s="12" t="inlineStr">
        <is>
          <t>Type TC-ER 600 V 3/C Cu XHHW-2 + ground, PVC jacket</t>
        </is>
      </c>
      <c r="K1810" s="12" t="inlineStr">
        <is>
          <t>LV|3/C+G|10</t>
        </is>
      </c>
      <c r="L1810" s="12" t="inlineStr">
        <is>
          <t>3/C+G</t>
        </is>
      </c>
      <c r="M1810" s="12" t="inlineStr">
        <is>
          <t>10</t>
        </is>
      </c>
      <c r="N1810" s="12" t="n">
        <v>1</v>
      </c>
      <c r="O1810" s="12" t="n">
        <v>1</v>
      </c>
      <c r="P1810" s="12" t="n">
        <v>480</v>
      </c>
      <c r="Q1810" s="12" t="n">
        <v>2.5</v>
      </c>
      <c r="R1810" s="12" t="n">
        <v>3.5</v>
      </c>
      <c r="S1810" s="12" t="inlineStr">
        <is>
          <t>Duct bank</t>
        </is>
      </c>
      <c r="T1810" s="16" t="n">
        <v>12</v>
      </c>
      <c r="U1810" s="16" t="n">
        <v>50</v>
      </c>
      <c r="V1810" s="16">
        <f>ROUNDUP((T1810+U1810+2*'Read Me'!$B$13)*(1+'Read Me'!$B$12),-1)</f>
        <v/>
      </c>
      <c r="W1810" s="16">
        <f>V1810*N1810*O1810</f>
        <v/>
      </c>
      <c r="X1810" s="12">
        <f>IF(LEFT(I1810,2)="MV",2*N1810*IF(L1810="1/C",O1810,1),0)</f>
        <v/>
      </c>
      <c r="Y1810" s="12">
        <f>IF(OR(LEFT(K1810,4)="LVAX",LEFT(K1810,6)="MV15AX",LEFT(K1810,4)="CTAX",LEFT(K1810,2)="W|"),2*N1810*O1810,0)</f>
        <v/>
      </c>
      <c r="Z1810" s="12" t="inlineStr">
        <is>
          <t>VD 0.1 %</t>
        </is>
      </c>
      <c r="AA1810" s="12">
        <f>N1810*O1810</f>
        <v/>
      </c>
    </row>
    <row r="1811">
      <c r="A1811" s="12" t="inlineStr">
        <is>
          <t>A-P-0444</t>
        </is>
      </c>
      <c r="B1811" s="12" t="inlineStr">
        <is>
          <t>A</t>
        </is>
      </c>
      <c r="C1811" s="12" t="inlineStr">
        <is>
          <t>Power block</t>
        </is>
      </c>
      <c r="D1811" s="12" t="inlineStr">
        <is>
          <t>MOV 5: power</t>
        </is>
      </c>
      <c r="E1811" s="12" t="inlineStr">
        <is>
          <t>R3</t>
        </is>
      </c>
      <c r="F1811" s="12" t="inlineStr">
        <is>
          <t>R3: ST auxiliary electrical e-house (40 x 65 ft)</t>
        </is>
      </c>
      <c r="G1811" s="12" t="inlineStr">
        <is>
          <t>ST</t>
        </is>
      </c>
      <c r="H1811" s="12" t="inlineStr">
        <is>
          <t>ST: steam turbine (HP/IP + LP), ACC plant</t>
        </is>
      </c>
      <c r="I1811" s="12" t="inlineStr">
        <is>
          <t>LV 600 V</t>
        </is>
      </c>
      <c r="J1811" s="12" t="inlineStr">
        <is>
          <t>Type TC-ER 600 V 3/C Cu XHHW-2 + ground, PVC jacket</t>
        </is>
      </c>
      <c r="K1811" s="12" t="inlineStr">
        <is>
          <t>LV|3/C+G|10</t>
        </is>
      </c>
      <c r="L1811" s="12" t="inlineStr">
        <is>
          <t>3/C+G</t>
        </is>
      </c>
      <c r="M1811" s="12" t="inlineStr">
        <is>
          <t>10</t>
        </is>
      </c>
      <c r="N1811" s="12" t="n">
        <v>1</v>
      </c>
      <c r="O1811" s="12" t="n">
        <v>1</v>
      </c>
      <c r="P1811" s="12" t="n">
        <v>480</v>
      </c>
      <c r="Q1811" s="12" t="n">
        <v>2.5</v>
      </c>
      <c r="R1811" s="12" t="n">
        <v>3.5</v>
      </c>
      <c r="S1811" s="12" t="inlineStr">
        <is>
          <t>Duct bank</t>
        </is>
      </c>
      <c r="T1811" s="16" t="n">
        <v>12</v>
      </c>
      <c r="U1811" s="16" t="n">
        <v>50</v>
      </c>
      <c r="V1811" s="16">
        <f>ROUNDUP((T1811+U1811+2*'Read Me'!$B$13)*(1+'Read Me'!$B$12),-1)</f>
        <v/>
      </c>
      <c r="W1811" s="16">
        <f>V1811*N1811*O1811</f>
        <v/>
      </c>
      <c r="X1811" s="12">
        <f>IF(LEFT(I1811,2)="MV",2*N1811*IF(L1811="1/C",O1811,1),0)</f>
        <v/>
      </c>
      <c r="Y1811" s="12">
        <f>IF(OR(LEFT(K1811,4)="LVAX",LEFT(K1811,6)="MV15AX",LEFT(K1811,4)="CTAX",LEFT(K1811,2)="W|"),2*N1811*O1811,0)</f>
        <v/>
      </c>
      <c r="Z1811" s="12" t="inlineStr">
        <is>
          <t>VD 0.1 %</t>
        </is>
      </c>
      <c r="AA1811" s="12">
        <f>N1811*O1811</f>
        <v/>
      </c>
    </row>
    <row r="1812">
      <c r="A1812" s="12" t="inlineStr">
        <is>
          <t>A-P-0445</t>
        </is>
      </c>
      <c r="B1812" s="12" t="inlineStr">
        <is>
          <t>A</t>
        </is>
      </c>
      <c r="C1812" s="12" t="inlineStr">
        <is>
          <t>Power block</t>
        </is>
      </c>
      <c r="D1812" s="12" t="inlineStr">
        <is>
          <t>MOV 6: power</t>
        </is>
      </c>
      <c r="E1812" s="12" t="inlineStr">
        <is>
          <t>R3</t>
        </is>
      </c>
      <c r="F1812" s="12" t="inlineStr">
        <is>
          <t>R3: ST auxiliary electrical e-house (40 x 65 ft)</t>
        </is>
      </c>
      <c r="G1812" s="12" t="inlineStr">
        <is>
          <t>ST</t>
        </is>
      </c>
      <c r="H1812" s="12" t="inlineStr">
        <is>
          <t>ST: steam turbine (HP/IP + LP), ACC plant</t>
        </is>
      </c>
      <c r="I1812" s="12" t="inlineStr">
        <is>
          <t>LV 600 V</t>
        </is>
      </c>
      <c r="J1812" s="12" t="inlineStr">
        <is>
          <t>Type TC-ER 600 V 3/C Cu XHHW-2 + ground, PVC jacket</t>
        </is>
      </c>
      <c r="K1812" s="12" t="inlineStr">
        <is>
          <t>LV|3/C+G|10</t>
        </is>
      </c>
      <c r="L1812" s="12" t="inlineStr">
        <is>
          <t>3/C+G</t>
        </is>
      </c>
      <c r="M1812" s="12" t="inlineStr">
        <is>
          <t>10</t>
        </is>
      </c>
      <c r="N1812" s="12" t="n">
        <v>1</v>
      </c>
      <c r="O1812" s="12" t="n">
        <v>1</v>
      </c>
      <c r="P1812" s="12" t="n">
        <v>480</v>
      </c>
      <c r="Q1812" s="12" t="n">
        <v>2.5</v>
      </c>
      <c r="R1812" s="12" t="n">
        <v>3.5</v>
      </c>
      <c r="S1812" s="12" t="inlineStr">
        <is>
          <t>Duct bank</t>
        </is>
      </c>
      <c r="T1812" s="16" t="n">
        <v>12</v>
      </c>
      <c r="U1812" s="16" t="n">
        <v>50</v>
      </c>
      <c r="V1812" s="16">
        <f>ROUNDUP((T1812+U1812+2*'Read Me'!$B$13)*(1+'Read Me'!$B$12),-1)</f>
        <v/>
      </c>
      <c r="W1812" s="16">
        <f>V1812*N1812*O1812</f>
        <v/>
      </c>
      <c r="X1812" s="12">
        <f>IF(LEFT(I1812,2)="MV",2*N1812*IF(L1812="1/C",O1812,1),0)</f>
        <v/>
      </c>
      <c r="Y1812" s="12">
        <f>IF(OR(LEFT(K1812,4)="LVAX",LEFT(K1812,6)="MV15AX",LEFT(K1812,4)="CTAX",LEFT(K1812,2)="W|"),2*N1812*O1812,0)</f>
        <v/>
      </c>
      <c r="Z1812" s="12" t="inlineStr">
        <is>
          <t>VD 0.1 %</t>
        </is>
      </c>
      <c r="AA1812" s="12">
        <f>N1812*O1812</f>
        <v/>
      </c>
    </row>
    <row r="1813">
      <c r="A1813" s="12" t="inlineStr">
        <is>
          <t>A-P-0446</t>
        </is>
      </c>
      <c r="B1813" s="12" t="inlineStr">
        <is>
          <t>A</t>
        </is>
      </c>
      <c r="C1813" s="12" t="inlineStr">
        <is>
          <t>Power block</t>
        </is>
      </c>
      <c r="D1813" s="12" t="inlineStr">
        <is>
          <t>MOV 7: power</t>
        </is>
      </c>
      <c r="E1813" s="12" t="inlineStr">
        <is>
          <t>R3</t>
        </is>
      </c>
      <c r="F1813" s="12" t="inlineStr">
        <is>
          <t>R3: ST auxiliary electrical e-house (40 x 65 ft)</t>
        </is>
      </c>
      <c r="G1813" s="12" t="inlineStr">
        <is>
          <t>ST</t>
        </is>
      </c>
      <c r="H1813" s="12" t="inlineStr">
        <is>
          <t>ST: steam turbine (HP/IP + LP), ACC plant</t>
        </is>
      </c>
      <c r="I1813" s="12" t="inlineStr">
        <is>
          <t>LV 600 V</t>
        </is>
      </c>
      <c r="J1813" s="12" t="inlineStr">
        <is>
          <t>Type TC-ER 600 V 3/C Cu XHHW-2 + ground, PVC jacket</t>
        </is>
      </c>
      <c r="K1813" s="12" t="inlineStr">
        <is>
          <t>LV|3/C+G|10</t>
        </is>
      </c>
      <c r="L1813" s="12" t="inlineStr">
        <is>
          <t>3/C+G</t>
        </is>
      </c>
      <c r="M1813" s="12" t="inlineStr">
        <is>
          <t>10</t>
        </is>
      </c>
      <c r="N1813" s="12" t="n">
        <v>1</v>
      </c>
      <c r="O1813" s="12" t="n">
        <v>1</v>
      </c>
      <c r="P1813" s="12" t="n">
        <v>480</v>
      </c>
      <c r="Q1813" s="12" t="n">
        <v>2.5</v>
      </c>
      <c r="R1813" s="12" t="n">
        <v>3.5</v>
      </c>
      <c r="S1813" s="12" t="inlineStr">
        <is>
          <t>Duct bank</t>
        </is>
      </c>
      <c r="T1813" s="16" t="n">
        <v>12</v>
      </c>
      <c r="U1813" s="16" t="n">
        <v>50</v>
      </c>
      <c r="V1813" s="16">
        <f>ROUNDUP((T1813+U1813+2*'Read Me'!$B$13)*(1+'Read Me'!$B$12),-1)</f>
        <v/>
      </c>
      <c r="W1813" s="16">
        <f>V1813*N1813*O1813</f>
        <v/>
      </c>
      <c r="X1813" s="12">
        <f>IF(LEFT(I1813,2)="MV",2*N1813*IF(L1813="1/C",O1813,1),0)</f>
        <v/>
      </c>
      <c r="Y1813" s="12">
        <f>IF(OR(LEFT(K1813,4)="LVAX",LEFT(K1813,6)="MV15AX",LEFT(K1813,4)="CTAX",LEFT(K1813,2)="W|"),2*N1813*O1813,0)</f>
        <v/>
      </c>
      <c r="Z1813" s="12" t="inlineStr">
        <is>
          <t>VD 0.1 %</t>
        </is>
      </c>
      <c r="AA1813" s="12">
        <f>N1813*O1813</f>
        <v/>
      </c>
    </row>
    <row r="1814">
      <c r="A1814" s="12" t="inlineStr">
        <is>
          <t>A-P-0447</t>
        </is>
      </c>
      <c r="B1814" s="12" t="inlineStr">
        <is>
          <t>A</t>
        </is>
      </c>
      <c r="C1814" s="12" t="inlineStr">
        <is>
          <t>Power block</t>
        </is>
      </c>
      <c r="D1814" s="12" t="inlineStr">
        <is>
          <t>MOV 8: power</t>
        </is>
      </c>
      <c r="E1814" s="12" t="inlineStr">
        <is>
          <t>R3</t>
        </is>
      </c>
      <c r="F1814" s="12" t="inlineStr">
        <is>
          <t>R3: ST auxiliary electrical e-house (40 x 65 ft)</t>
        </is>
      </c>
      <c r="G1814" s="12" t="inlineStr">
        <is>
          <t>ST</t>
        </is>
      </c>
      <c r="H1814" s="12" t="inlineStr">
        <is>
          <t>ST: steam turbine (HP/IP + LP), ACC plant</t>
        </is>
      </c>
      <c r="I1814" s="12" t="inlineStr">
        <is>
          <t>LV 600 V</t>
        </is>
      </c>
      <c r="J1814" s="12" t="inlineStr">
        <is>
          <t>Type TC-ER 600 V 3/C Cu XHHW-2 + ground, PVC jacket</t>
        </is>
      </c>
      <c r="K1814" s="12" t="inlineStr">
        <is>
          <t>LV|3/C+G|10</t>
        </is>
      </c>
      <c r="L1814" s="12" t="inlineStr">
        <is>
          <t>3/C+G</t>
        </is>
      </c>
      <c r="M1814" s="12" t="inlineStr">
        <is>
          <t>10</t>
        </is>
      </c>
      <c r="N1814" s="12" t="n">
        <v>1</v>
      </c>
      <c r="O1814" s="12" t="n">
        <v>1</v>
      </c>
      <c r="P1814" s="12" t="n">
        <v>480</v>
      </c>
      <c r="Q1814" s="12" t="n">
        <v>2.5</v>
      </c>
      <c r="R1814" s="12" t="n">
        <v>3.5</v>
      </c>
      <c r="S1814" s="12" t="inlineStr">
        <is>
          <t>Duct bank</t>
        </is>
      </c>
      <c r="T1814" s="16" t="n">
        <v>12</v>
      </c>
      <c r="U1814" s="16" t="n">
        <v>50</v>
      </c>
      <c r="V1814" s="16">
        <f>ROUNDUP((T1814+U1814+2*'Read Me'!$B$13)*(1+'Read Me'!$B$12),-1)</f>
        <v/>
      </c>
      <c r="W1814" s="16">
        <f>V1814*N1814*O1814</f>
        <v/>
      </c>
      <c r="X1814" s="12">
        <f>IF(LEFT(I1814,2)="MV",2*N1814*IF(L1814="1/C",O1814,1),0)</f>
        <v/>
      </c>
      <c r="Y1814" s="12">
        <f>IF(OR(LEFT(K1814,4)="LVAX",LEFT(K1814,6)="MV15AX",LEFT(K1814,4)="CTAX",LEFT(K1814,2)="W|"),2*N1814*O1814,0)</f>
        <v/>
      </c>
      <c r="Z1814" s="12" t="inlineStr">
        <is>
          <t>VD 0.1 %</t>
        </is>
      </c>
      <c r="AA1814" s="12">
        <f>N1814*O1814</f>
        <v/>
      </c>
    </row>
    <row r="1815">
      <c r="A1815" s="12" t="inlineStr">
        <is>
          <t>A-P-0448</t>
        </is>
      </c>
      <c r="B1815" s="12" t="inlineStr">
        <is>
          <t>A</t>
        </is>
      </c>
      <c r="C1815" s="12" t="inlineStr">
        <is>
          <t>Power block</t>
        </is>
      </c>
      <c r="D1815" s="12" t="inlineStr">
        <is>
          <t>MOV 9: power</t>
        </is>
      </c>
      <c r="E1815" s="12" t="inlineStr">
        <is>
          <t>R3</t>
        </is>
      </c>
      <c r="F1815" s="12" t="inlineStr">
        <is>
          <t>R3: ST auxiliary electrical e-house (40 x 65 ft)</t>
        </is>
      </c>
      <c r="G1815" s="12" t="inlineStr">
        <is>
          <t>ST</t>
        </is>
      </c>
      <c r="H1815" s="12" t="inlineStr">
        <is>
          <t>ST: steam turbine (HP/IP + LP), ACC plant</t>
        </is>
      </c>
      <c r="I1815" s="12" t="inlineStr">
        <is>
          <t>LV 600 V</t>
        </is>
      </c>
      <c r="J1815" s="12" t="inlineStr">
        <is>
          <t>Type TC-ER 600 V 3/C Cu XHHW-2 + ground, PVC jacket</t>
        </is>
      </c>
      <c r="K1815" s="12" t="inlineStr">
        <is>
          <t>LV|3/C+G|10</t>
        </is>
      </c>
      <c r="L1815" s="12" t="inlineStr">
        <is>
          <t>3/C+G</t>
        </is>
      </c>
      <c r="M1815" s="12" t="inlineStr">
        <is>
          <t>10</t>
        </is>
      </c>
      <c r="N1815" s="12" t="n">
        <v>1</v>
      </c>
      <c r="O1815" s="12" t="n">
        <v>1</v>
      </c>
      <c r="P1815" s="12" t="n">
        <v>480</v>
      </c>
      <c r="Q1815" s="12" t="n">
        <v>2.5</v>
      </c>
      <c r="R1815" s="12" t="n">
        <v>3.5</v>
      </c>
      <c r="S1815" s="12" t="inlineStr">
        <is>
          <t>Duct bank</t>
        </is>
      </c>
      <c r="T1815" s="16" t="n">
        <v>12</v>
      </c>
      <c r="U1815" s="16" t="n">
        <v>50</v>
      </c>
      <c r="V1815" s="16">
        <f>ROUNDUP((T1815+U1815+2*'Read Me'!$B$13)*(1+'Read Me'!$B$12),-1)</f>
        <v/>
      </c>
      <c r="W1815" s="16">
        <f>V1815*N1815*O1815</f>
        <v/>
      </c>
      <c r="X1815" s="12">
        <f>IF(LEFT(I1815,2)="MV",2*N1815*IF(L1815="1/C",O1815,1),0)</f>
        <v/>
      </c>
      <c r="Y1815" s="12">
        <f>IF(OR(LEFT(K1815,4)="LVAX",LEFT(K1815,6)="MV15AX",LEFT(K1815,4)="CTAX",LEFT(K1815,2)="W|"),2*N1815*O1815,0)</f>
        <v/>
      </c>
      <c r="Z1815" s="12" t="inlineStr">
        <is>
          <t>VD 0.1 %</t>
        </is>
      </c>
      <c r="AA1815" s="12">
        <f>N1815*O1815</f>
        <v/>
      </c>
    </row>
    <row r="1816">
      <c r="A1816" s="12" t="inlineStr">
        <is>
          <t>A-P-0449</t>
        </is>
      </c>
      <c r="B1816" s="12" t="inlineStr">
        <is>
          <t>A</t>
        </is>
      </c>
      <c r="C1816" s="12" t="inlineStr">
        <is>
          <t>Power block</t>
        </is>
      </c>
      <c r="D1816" s="12" t="inlineStr">
        <is>
          <t>MOV 10: power</t>
        </is>
      </c>
      <c r="E1816" s="12" t="inlineStr">
        <is>
          <t>R3</t>
        </is>
      </c>
      <c r="F1816" s="12" t="inlineStr">
        <is>
          <t>R3: ST auxiliary electrical e-house (40 x 65 ft)</t>
        </is>
      </c>
      <c r="G1816" s="12" t="inlineStr">
        <is>
          <t>ST</t>
        </is>
      </c>
      <c r="H1816" s="12" t="inlineStr">
        <is>
          <t>ST: steam turbine (HP/IP + LP), ACC plant</t>
        </is>
      </c>
      <c r="I1816" s="12" t="inlineStr">
        <is>
          <t>LV 600 V</t>
        </is>
      </c>
      <c r="J1816" s="12" t="inlineStr">
        <is>
          <t>Type TC-ER 600 V 3/C Cu XHHW-2 + ground, PVC jacket</t>
        </is>
      </c>
      <c r="K1816" s="12" t="inlineStr">
        <is>
          <t>LV|3/C+G|10</t>
        </is>
      </c>
      <c r="L1816" s="12" t="inlineStr">
        <is>
          <t>3/C+G</t>
        </is>
      </c>
      <c r="M1816" s="12" t="inlineStr">
        <is>
          <t>10</t>
        </is>
      </c>
      <c r="N1816" s="12" t="n">
        <v>1</v>
      </c>
      <c r="O1816" s="12" t="n">
        <v>1</v>
      </c>
      <c r="P1816" s="12" t="n">
        <v>480</v>
      </c>
      <c r="Q1816" s="12" t="n">
        <v>2.5</v>
      </c>
      <c r="R1816" s="12" t="n">
        <v>3.5</v>
      </c>
      <c r="S1816" s="12" t="inlineStr">
        <is>
          <t>Duct bank</t>
        </is>
      </c>
      <c r="T1816" s="16" t="n">
        <v>12</v>
      </c>
      <c r="U1816" s="16" t="n">
        <v>50</v>
      </c>
      <c r="V1816" s="16">
        <f>ROUNDUP((T1816+U1816+2*'Read Me'!$B$13)*(1+'Read Me'!$B$12),-1)</f>
        <v/>
      </c>
      <c r="W1816" s="16">
        <f>V1816*N1816*O1816</f>
        <v/>
      </c>
      <c r="X1816" s="12">
        <f>IF(LEFT(I1816,2)="MV",2*N1816*IF(L1816="1/C",O1816,1),0)</f>
        <v/>
      </c>
      <c r="Y1816" s="12">
        <f>IF(OR(LEFT(K1816,4)="LVAX",LEFT(K1816,6)="MV15AX",LEFT(K1816,4)="CTAX",LEFT(K1816,2)="W|"),2*N1816*O1816,0)</f>
        <v/>
      </c>
      <c r="Z1816" s="12" t="inlineStr">
        <is>
          <t>VD 0.1 %</t>
        </is>
      </c>
      <c r="AA1816" s="12">
        <f>N1816*O1816</f>
        <v/>
      </c>
    </row>
    <row r="1817">
      <c r="A1817" s="12" t="inlineStr">
        <is>
          <t>A-P-0450</t>
        </is>
      </c>
      <c r="B1817" s="12" t="inlineStr">
        <is>
          <t>A</t>
        </is>
      </c>
      <c r="C1817" s="12" t="inlineStr">
        <is>
          <t>Power block</t>
        </is>
      </c>
      <c r="D1817" s="12" t="inlineStr">
        <is>
          <t>MOV 11: power</t>
        </is>
      </c>
      <c r="E1817" s="12" t="inlineStr">
        <is>
          <t>R3</t>
        </is>
      </c>
      <c r="F1817" s="12" t="inlineStr">
        <is>
          <t>R3: ST auxiliary electrical e-house (40 x 65 ft)</t>
        </is>
      </c>
      <c r="G1817" s="12" t="inlineStr">
        <is>
          <t>ST</t>
        </is>
      </c>
      <c r="H1817" s="12" t="inlineStr">
        <is>
          <t>ST: steam turbine (HP/IP + LP), ACC plant</t>
        </is>
      </c>
      <c r="I1817" s="12" t="inlineStr">
        <is>
          <t>LV 600 V</t>
        </is>
      </c>
      <c r="J1817" s="12" t="inlineStr">
        <is>
          <t>Type TC-ER 600 V 3/C Cu XHHW-2 + ground, PVC jacket</t>
        </is>
      </c>
      <c r="K1817" s="12" t="inlineStr">
        <is>
          <t>LV|3/C+G|10</t>
        </is>
      </c>
      <c r="L1817" s="12" t="inlineStr">
        <is>
          <t>3/C+G</t>
        </is>
      </c>
      <c r="M1817" s="12" t="inlineStr">
        <is>
          <t>10</t>
        </is>
      </c>
      <c r="N1817" s="12" t="n">
        <v>1</v>
      </c>
      <c r="O1817" s="12" t="n">
        <v>1</v>
      </c>
      <c r="P1817" s="12" t="n">
        <v>480</v>
      </c>
      <c r="Q1817" s="12" t="n">
        <v>2.5</v>
      </c>
      <c r="R1817" s="12" t="n">
        <v>3.5</v>
      </c>
      <c r="S1817" s="12" t="inlineStr">
        <is>
          <t>Duct bank</t>
        </is>
      </c>
      <c r="T1817" s="16" t="n">
        <v>12</v>
      </c>
      <c r="U1817" s="16" t="n">
        <v>50</v>
      </c>
      <c r="V1817" s="16">
        <f>ROUNDUP((T1817+U1817+2*'Read Me'!$B$13)*(1+'Read Me'!$B$12),-1)</f>
        <v/>
      </c>
      <c r="W1817" s="16">
        <f>V1817*N1817*O1817</f>
        <v/>
      </c>
      <c r="X1817" s="12">
        <f>IF(LEFT(I1817,2)="MV",2*N1817*IF(L1817="1/C",O1817,1),0)</f>
        <v/>
      </c>
      <c r="Y1817" s="12">
        <f>IF(OR(LEFT(K1817,4)="LVAX",LEFT(K1817,6)="MV15AX",LEFT(K1817,4)="CTAX",LEFT(K1817,2)="W|"),2*N1817*O1817,0)</f>
        <v/>
      </c>
      <c r="Z1817" s="12" t="inlineStr">
        <is>
          <t>VD 0.1 %</t>
        </is>
      </c>
      <c r="AA1817" s="12">
        <f>N1817*O1817</f>
        <v/>
      </c>
    </row>
    <row r="1818">
      <c r="A1818" s="12" t="inlineStr">
        <is>
          <t>A-P-0451</t>
        </is>
      </c>
      <c r="B1818" s="12" t="inlineStr">
        <is>
          <t>A</t>
        </is>
      </c>
      <c r="C1818" s="12" t="inlineStr">
        <is>
          <t>Power block</t>
        </is>
      </c>
      <c r="D1818" s="12" t="inlineStr">
        <is>
          <t>MOV 12: power</t>
        </is>
      </c>
      <c r="E1818" s="12" t="inlineStr">
        <is>
          <t>R3</t>
        </is>
      </c>
      <c r="F1818" s="12" t="inlineStr">
        <is>
          <t>R3: ST auxiliary electrical e-house (40 x 65 ft)</t>
        </is>
      </c>
      <c r="G1818" s="12" t="inlineStr">
        <is>
          <t>ST</t>
        </is>
      </c>
      <c r="H1818" s="12" t="inlineStr">
        <is>
          <t>ST: steam turbine (HP/IP + LP), ACC plant</t>
        </is>
      </c>
      <c r="I1818" s="12" t="inlineStr">
        <is>
          <t>LV 600 V</t>
        </is>
      </c>
      <c r="J1818" s="12" t="inlineStr">
        <is>
          <t>Type TC-ER 600 V 3/C Cu XHHW-2 + ground, PVC jacket</t>
        </is>
      </c>
      <c r="K1818" s="12" t="inlineStr">
        <is>
          <t>LV|3/C+G|10</t>
        </is>
      </c>
      <c r="L1818" s="12" t="inlineStr">
        <is>
          <t>3/C+G</t>
        </is>
      </c>
      <c r="M1818" s="12" t="inlineStr">
        <is>
          <t>10</t>
        </is>
      </c>
      <c r="N1818" s="12" t="n">
        <v>1</v>
      </c>
      <c r="O1818" s="12" t="n">
        <v>1</v>
      </c>
      <c r="P1818" s="12" t="n">
        <v>480</v>
      </c>
      <c r="Q1818" s="12" t="n">
        <v>2.5</v>
      </c>
      <c r="R1818" s="12" t="n">
        <v>3.5</v>
      </c>
      <c r="S1818" s="12" t="inlineStr">
        <is>
          <t>Duct bank</t>
        </is>
      </c>
      <c r="T1818" s="16" t="n">
        <v>12</v>
      </c>
      <c r="U1818" s="16" t="n">
        <v>50</v>
      </c>
      <c r="V1818" s="16">
        <f>ROUNDUP((T1818+U1818+2*'Read Me'!$B$13)*(1+'Read Me'!$B$12),-1)</f>
        <v/>
      </c>
      <c r="W1818" s="16">
        <f>V1818*N1818*O1818</f>
        <v/>
      </c>
      <c r="X1818" s="12">
        <f>IF(LEFT(I1818,2)="MV",2*N1818*IF(L1818="1/C",O1818,1),0)</f>
        <v/>
      </c>
      <c r="Y1818" s="12">
        <f>IF(OR(LEFT(K1818,4)="LVAX",LEFT(K1818,6)="MV15AX",LEFT(K1818,4)="CTAX",LEFT(K1818,2)="W|"),2*N1818*O1818,0)</f>
        <v/>
      </c>
      <c r="Z1818" s="12" t="inlineStr">
        <is>
          <t>VD 0.1 %</t>
        </is>
      </c>
      <c r="AA1818" s="12">
        <f>N1818*O1818</f>
        <v/>
      </c>
    </row>
    <row r="1819">
      <c r="A1819" s="12" t="inlineStr">
        <is>
          <t>A-P-0452</t>
        </is>
      </c>
      <c r="B1819" s="12" t="inlineStr">
        <is>
          <t>A</t>
        </is>
      </c>
      <c r="C1819" s="12" t="inlineStr">
        <is>
          <t>Power block</t>
        </is>
      </c>
      <c r="D1819" s="12" t="inlineStr">
        <is>
          <t>MOV 13: power</t>
        </is>
      </c>
      <c r="E1819" s="12" t="inlineStr">
        <is>
          <t>R3</t>
        </is>
      </c>
      <c r="F1819" s="12" t="inlineStr">
        <is>
          <t>R3: ST auxiliary electrical e-house (40 x 65 ft)</t>
        </is>
      </c>
      <c r="G1819" s="12" t="inlineStr">
        <is>
          <t>ST</t>
        </is>
      </c>
      <c r="H1819" s="12" t="inlineStr">
        <is>
          <t>ST: steam turbine (HP/IP + LP), ACC plant</t>
        </is>
      </c>
      <c r="I1819" s="12" t="inlineStr">
        <is>
          <t>LV 600 V</t>
        </is>
      </c>
      <c r="J1819" s="12" t="inlineStr">
        <is>
          <t>Type TC-ER 600 V 3/C Cu XHHW-2 + ground, PVC jacket</t>
        </is>
      </c>
      <c r="K1819" s="12" t="inlineStr">
        <is>
          <t>LV|3/C+G|10</t>
        </is>
      </c>
      <c r="L1819" s="12" t="inlineStr">
        <is>
          <t>3/C+G</t>
        </is>
      </c>
      <c r="M1819" s="12" t="inlineStr">
        <is>
          <t>10</t>
        </is>
      </c>
      <c r="N1819" s="12" t="n">
        <v>1</v>
      </c>
      <c r="O1819" s="12" t="n">
        <v>1</v>
      </c>
      <c r="P1819" s="12" t="n">
        <v>480</v>
      </c>
      <c r="Q1819" s="12" t="n">
        <v>2.5</v>
      </c>
      <c r="R1819" s="12" t="n">
        <v>3.5</v>
      </c>
      <c r="S1819" s="12" t="inlineStr">
        <is>
          <t>Duct bank</t>
        </is>
      </c>
      <c r="T1819" s="16" t="n">
        <v>12</v>
      </c>
      <c r="U1819" s="16" t="n">
        <v>50</v>
      </c>
      <c r="V1819" s="16">
        <f>ROUNDUP((T1819+U1819+2*'Read Me'!$B$13)*(1+'Read Me'!$B$12),-1)</f>
        <v/>
      </c>
      <c r="W1819" s="16">
        <f>V1819*N1819*O1819</f>
        <v/>
      </c>
      <c r="X1819" s="12">
        <f>IF(LEFT(I1819,2)="MV",2*N1819*IF(L1819="1/C",O1819,1),0)</f>
        <v/>
      </c>
      <c r="Y1819" s="12">
        <f>IF(OR(LEFT(K1819,4)="LVAX",LEFT(K1819,6)="MV15AX",LEFT(K1819,4)="CTAX",LEFT(K1819,2)="W|"),2*N1819*O1819,0)</f>
        <v/>
      </c>
      <c r="Z1819" s="12" t="inlineStr">
        <is>
          <t>VD 0.1 %</t>
        </is>
      </c>
      <c r="AA1819" s="12">
        <f>N1819*O1819</f>
        <v/>
      </c>
    </row>
    <row r="1820">
      <c r="A1820" s="12" t="inlineStr">
        <is>
          <t>A-P-0453</t>
        </is>
      </c>
      <c r="B1820" s="12" t="inlineStr">
        <is>
          <t>A</t>
        </is>
      </c>
      <c r="C1820" s="12" t="inlineStr">
        <is>
          <t>Power block</t>
        </is>
      </c>
      <c r="D1820" s="12" t="inlineStr">
        <is>
          <t>MOV 14: power</t>
        </is>
      </c>
      <c r="E1820" s="12" t="inlineStr">
        <is>
          <t>R3</t>
        </is>
      </c>
      <c r="F1820" s="12" t="inlineStr">
        <is>
          <t>R3: ST auxiliary electrical e-house (40 x 65 ft)</t>
        </is>
      </c>
      <c r="G1820" s="12" t="inlineStr">
        <is>
          <t>ST</t>
        </is>
      </c>
      <c r="H1820" s="12" t="inlineStr">
        <is>
          <t>ST: steam turbine (HP/IP + LP), ACC plant</t>
        </is>
      </c>
      <c r="I1820" s="12" t="inlineStr">
        <is>
          <t>LV 600 V</t>
        </is>
      </c>
      <c r="J1820" s="12" t="inlineStr">
        <is>
          <t>Type TC-ER 600 V 3/C Cu XHHW-2 + ground, PVC jacket</t>
        </is>
      </c>
      <c r="K1820" s="12" t="inlineStr">
        <is>
          <t>LV|3/C+G|10</t>
        </is>
      </c>
      <c r="L1820" s="12" t="inlineStr">
        <is>
          <t>3/C+G</t>
        </is>
      </c>
      <c r="M1820" s="12" t="inlineStr">
        <is>
          <t>10</t>
        </is>
      </c>
      <c r="N1820" s="12" t="n">
        <v>1</v>
      </c>
      <c r="O1820" s="12" t="n">
        <v>1</v>
      </c>
      <c r="P1820" s="12" t="n">
        <v>480</v>
      </c>
      <c r="Q1820" s="12" t="n">
        <v>2.5</v>
      </c>
      <c r="R1820" s="12" t="n">
        <v>3.5</v>
      </c>
      <c r="S1820" s="12" t="inlineStr">
        <is>
          <t>Duct bank</t>
        </is>
      </c>
      <c r="T1820" s="16" t="n">
        <v>12</v>
      </c>
      <c r="U1820" s="16" t="n">
        <v>50</v>
      </c>
      <c r="V1820" s="16">
        <f>ROUNDUP((T1820+U1820+2*'Read Me'!$B$13)*(1+'Read Me'!$B$12),-1)</f>
        <v/>
      </c>
      <c r="W1820" s="16">
        <f>V1820*N1820*O1820</f>
        <v/>
      </c>
      <c r="X1820" s="12">
        <f>IF(LEFT(I1820,2)="MV",2*N1820*IF(L1820="1/C",O1820,1),0)</f>
        <v/>
      </c>
      <c r="Y1820" s="12">
        <f>IF(OR(LEFT(K1820,4)="LVAX",LEFT(K1820,6)="MV15AX",LEFT(K1820,4)="CTAX",LEFT(K1820,2)="W|"),2*N1820*O1820,0)</f>
        <v/>
      </c>
      <c r="Z1820" s="12" t="inlineStr">
        <is>
          <t>VD 0.1 %</t>
        </is>
      </c>
      <c r="AA1820" s="12">
        <f>N1820*O1820</f>
        <v/>
      </c>
    </row>
    <row r="1821">
      <c r="A1821" s="12" t="inlineStr">
        <is>
          <t>A-P-0454</t>
        </is>
      </c>
      <c r="B1821" s="12" t="inlineStr">
        <is>
          <t>A</t>
        </is>
      </c>
      <c r="C1821" s="12" t="inlineStr">
        <is>
          <t>Power block</t>
        </is>
      </c>
      <c r="D1821" s="12" t="inlineStr">
        <is>
          <t>MOV 15: power</t>
        </is>
      </c>
      <c r="E1821" s="12" t="inlineStr">
        <is>
          <t>R3</t>
        </is>
      </c>
      <c r="F1821" s="12" t="inlineStr">
        <is>
          <t>R3: ST auxiliary electrical e-house (40 x 65 ft)</t>
        </is>
      </c>
      <c r="G1821" s="12" t="inlineStr">
        <is>
          <t>ST</t>
        </is>
      </c>
      <c r="H1821" s="12" t="inlineStr">
        <is>
          <t>ST: steam turbine (HP/IP + LP), ACC plant</t>
        </is>
      </c>
      <c r="I1821" s="12" t="inlineStr">
        <is>
          <t>LV 600 V</t>
        </is>
      </c>
      <c r="J1821" s="12" t="inlineStr">
        <is>
          <t>Type TC-ER 600 V 3/C Cu XHHW-2 + ground, PVC jacket</t>
        </is>
      </c>
      <c r="K1821" s="12" t="inlineStr">
        <is>
          <t>LV|3/C+G|10</t>
        </is>
      </c>
      <c r="L1821" s="12" t="inlineStr">
        <is>
          <t>3/C+G</t>
        </is>
      </c>
      <c r="M1821" s="12" t="inlineStr">
        <is>
          <t>10</t>
        </is>
      </c>
      <c r="N1821" s="12" t="n">
        <v>1</v>
      </c>
      <c r="O1821" s="12" t="n">
        <v>1</v>
      </c>
      <c r="P1821" s="12" t="n">
        <v>480</v>
      </c>
      <c r="Q1821" s="12" t="n">
        <v>2.5</v>
      </c>
      <c r="R1821" s="12" t="n">
        <v>3.5</v>
      </c>
      <c r="S1821" s="12" t="inlineStr">
        <is>
          <t>Duct bank</t>
        </is>
      </c>
      <c r="T1821" s="16" t="n">
        <v>12</v>
      </c>
      <c r="U1821" s="16" t="n">
        <v>50</v>
      </c>
      <c r="V1821" s="16">
        <f>ROUNDUP((T1821+U1821+2*'Read Me'!$B$13)*(1+'Read Me'!$B$12),-1)</f>
        <v/>
      </c>
      <c r="W1821" s="16">
        <f>V1821*N1821*O1821</f>
        <v/>
      </c>
      <c r="X1821" s="12">
        <f>IF(LEFT(I1821,2)="MV",2*N1821*IF(L1821="1/C",O1821,1),0)</f>
        <v/>
      </c>
      <c r="Y1821" s="12">
        <f>IF(OR(LEFT(K1821,4)="LVAX",LEFT(K1821,6)="MV15AX",LEFT(K1821,4)="CTAX",LEFT(K1821,2)="W|"),2*N1821*O1821,0)</f>
        <v/>
      </c>
      <c r="Z1821" s="12" t="inlineStr">
        <is>
          <t>VD 0.1 %</t>
        </is>
      </c>
      <c r="AA1821" s="12">
        <f>N1821*O1821</f>
        <v/>
      </c>
    </row>
    <row r="1822">
      <c r="A1822" s="12" t="inlineStr">
        <is>
          <t>A-P-0455</t>
        </is>
      </c>
      <c r="B1822" s="12" t="inlineStr">
        <is>
          <t>A</t>
        </is>
      </c>
      <c r="C1822" s="12" t="inlineStr">
        <is>
          <t>Power block</t>
        </is>
      </c>
      <c r="D1822" s="12" t="inlineStr">
        <is>
          <t>MOV 16: power</t>
        </is>
      </c>
      <c r="E1822" s="12" t="inlineStr">
        <is>
          <t>R3</t>
        </is>
      </c>
      <c r="F1822" s="12" t="inlineStr">
        <is>
          <t>R3: ST auxiliary electrical e-house (40 x 65 ft)</t>
        </is>
      </c>
      <c r="G1822" s="12" t="inlineStr">
        <is>
          <t>ST</t>
        </is>
      </c>
      <c r="H1822" s="12" t="inlineStr">
        <is>
          <t>ST: steam turbine (HP/IP + LP), ACC plant</t>
        </is>
      </c>
      <c r="I1822" s="12" t="inlineStr">
        <is>
          <t>LV 600 V</t>
        </is>
      </c>
      <c r="J1822" s="12" t="inlineStr">
        <is>
          <t>Type TC-ER 600 V 3/C Cu XHHW-2 + ground, PVC jacket</t>
        </is>
      </c>
      <c r="K1822" s="12" t="inlineStr">
        <is>
          <t>LV|3/C+G|10</t>
        </is>
      </c>
      <c r="L1822" s="12" t="inlineStr">
        <is>
          <t>3/C+G</t>
        </is>
      </c>
      <c r="M1822" s="12" t="inlineStr">
        <is>
          <t>10</t>
        </is>
      </c>
      <c r="N1822" s="12" t="n">
        <v>1</v>
      </c>
      <c r="O1822" s="12" t="n">
        <v>1</v>
      </c>
      <c r="P1822" s="12" t="n">
        <v>480</v>
      </c>
      <c r="Q1822" s="12" t="n">
        <v>2.5</v>
      </c>
      <c r="R1822" s="12" t="n">
        <v>3.5</v>
      </c>
      <c r="S1822" s="12" t="inlineStr">
        <is>
          <t>Duct bank</t>
        </is>
      </c>
      <c r="T1822" s="16" t="n">
        <v>12</v>
      </c>
      <c r="U1822" s="16" t="n">
        <v>50</v>
      </c>
      <c r="V1822" s="16">
        <f>ROUNDUP((T1822+U1822+2*'Read Me'!$B$13)*(1+'Read Me'!$B$12),-1)</f>
        <v/>
      </c>
      <c r="W1822" s="16">
        <f>V1822*N1822*O1822</f>
        <v/>
      </c>
      <c r="X1822" s="12">
        <f>IF(LEFT(I1822,2)="MV",2*N1822*IF(L1822="1/C",O1822,1),0)</f>
        <v/>
      </c>
      <c r="Y1822" s="12">
        <f>IF(OR(LEFT(K1822,4)="LVAX",LEFT(K1822,6)="MV15AX",LEFT(K1822,4)="CTAX",LEFT(K1822,2)="W|"),2*N1822*O1822,0)</f>
        <v/>
      </c>
      <c r="Z1822" s="12" t="inlineStr">
        <is>
          <t>VD 0.1 %</t>
        </is>
      </c>
      <c r="AA1822" s="12">
        <f>N1822*O1822</f>
        <v/>
      </c>
    </row>
    <row r="1823">
      <c r="A1823" s="12" t="inlineStr">
        <is>
          <t>A-P-0456</t>
        </is>
      </c>
      <c r="B1823" s="12" t="inlineStr">
        <is>
          <t>A</t>
        </is>
      </c>
      <c r="C1823" s="12" t="inlineStr">
        <is>
          <t>Power block</t>
        </is>
      </c>
      <c r="D1823" s="12" t="inlineStr">
        <is>
          <t>MOV 17: power</t>
        </is>
      </c>
      <c r="E1823" s="12" t="inlineStr">
        <is>
          <t>R3</t>
        </is>
      </c>
      <c r="F1823" s="12" t="inlineStr">
        <is>
          <t>R3: ST auxiliary electrical e-house (40 x 65 ft)</t>
        </is>
      </c>
      <c r="G1823" s="12" t="inlineStr">
        <is>
          <t>ST</t>
        </is>
      </c>
      <c r="H1823" s="12" t="inlineStr">
        <is>
          <t>ST: steam turbine (HP/IP + LP), ACC plant</t>
        </is>
      </c>
      <c r="I1823" s="12" t="inlineStr">
        <is>
          <t>LV 600 V</t>
        </is>
      </c>
      <c r="J1823" s="12" t="inlineStr">
        <is>
          <t>Type TC-ER 600 V 3/C Cu XHHW-2 + ground, PVC jacket</t>
        </is>
      </c>
      <c r="K1823" s="12" t="inlineStr">
        <is>
          <t>LV|3/C+G|10</t>
        </is>
      </c>
      <c r="L1823" s="12" t="inlineStr">
        <is>
          <t>3/C+G</t>
        </is>
      </c>
      <c r="M1823" s="12" t="inlineStr">
        <is>
          <t>10</t>
        </is>
      </c>
      <c r="N1823" s="12" t="n">
        <v>1</v>
      </c>
      <c r="O1823" s="12" t="n">
        <v>1</v>
      </c>
      <c r="P1823" s="12" t="n">
        <v>480</v>
      </c>
      <c r="Q1823" s="12" t="n">
        <v>2.5</v>
      </c>
      <c r="R1823" s="12" t="n">
        <v>3.5</v>
      </c>
      <c r="S1823" s="12" t="inlineStr">
        <is>
          <t>Duct bank</t>
        </is>
      </c>
      <c r="T1823" s="16" t="n">
        <v>12</v>
      </c>
      <c r="U1823" s="16" t="n">
        <v>50</v>
      </c>
      <c r="V1823" s="16">
        <f>ROUNDUP((T1823+U1823+2*'Read Me'!$B$13)*(1+'Read Me'!$B$12),-1)</f>
        <v/>
      </c>
      <c r="W1823" s="16">
        <f>V1823*N1823*O1823</f>
        <v/>
      </c>
      <c r="X1823" s="12">
        <f>IF(LEFT(I1823,2)="MV",2*N1823*IF(L1823="1/C",O1823,1),0)</f>
        <v/>
      </c>
      <c r="Y1823" s="12">
        <f>IF(OR(LEFT(K1823,4)="LVAX",LEFT(K1823,6)="MV15AX",LEFT(K1823,4)="CTAX",LEFT(K1823,2)="W|"),2*N1823*O1823,0)</f>
        <v/>
      </c>
      <c r="Z1823" s="12" t="inlineStr">
        <is>
          <t>VD 0.1 %</t>
        </is>
      </c>
      <c r="AA1823" s="12">
        <f>N1823*O1823</f>
        <v/>
      </c>
    </row>
    <row r="1824">
      <c r="A1824" s="12" t="inlineStr">
        <is>
          <t>A-P-0457</t>
        </is>
      </c>
      <c r="B1824" s="12" t="inlineStr">
        <is>
          <t>A</t>
        </is>
      </c>
      <c r="C1824" s="12" t="inlineStr">
        <is>
          <t>Power block</t>
        </is>
      </c>
      <c r="D1824" s="12" t="inlineStr">
        <is>
          <t>MOV 18: power</t>
        </is>
      </c>
      <c r="E1824" s="12" t="inlineStr">
        <is>
          <t>R3</t>
        </is>
      </c>
      <c r="F1824" s="12" t="inlineStr">
        <is>
          <t>R3: ST auxiliary electrical e-house (40 x 65 ft)</t>
        </is>
      </c>
      <c r="G1824" s="12" t="inlineStr">
        <is>
          <t>ST</t>
        </is>
      </c>
      <c r="H1824" s="12" t="inlineStr">
        <is>
          <t>ST: steam turbine (HP/IP + LP), ACC plant</t>
        </is>
      </c>
      <c r="I1824" s="12" t="inlineStr">
        <is>
          <t>LV 600 V</t>
        </is>
      </c>
      <c r="J1824" s="12" t="inlineStr">
        <is>
          <t>Type TC-ER 600 V 3/C Cu XHHW-2 + ground, PVC jacket</t>
        </is>
      </c>
      <c r="K1824" s="12" t="inlineStr">
        <is>
          <t>LV|3/C+G|10</t>
        </is>
      </c>
      <c r="L1824" s="12" t="inlineStr">
        <is>
          <t>3/C+G</t>
        </is>
      </c>
      <c r="M1824" s="12" t="inlineStr">
        <is>
          <t>10</t>
        </is>
      </c>
      <c r="N1824" s="12" t="n">
        <v>1</v>
      </c>
      <c r="O1824" s="12" t="n">
        <v>1</v>
      </c>
      <c r="P1824" s="12" t="n">
        <v>480</v>
      </c>
      <c r="Q1824" s="12" t="n">
        <v>2.5</v>
      </c>
      <c r="R1824" s="12" t="n">
        <v>3.5</v>
      </c>
      <c r="S1824" s="12" t="inlineStr">
        <is>
          <t>Duct bank</t>
        </is>
      </c>
      <c r="T1824" s="16" t="n">
        <v>12</v>
      </c>
      <c r="U1824" s="16" t="n">
        <v>50</v>
      </c>
      <c r="V1824" s="16">
        <f>ROUNDUP((T1824+U1824+2*'Read Me'!$B$13)*(1+'Read Me'!$B$12),-1)</f>
        <v/>
      </c>
      <c r="W1824" s="16">
        <f>V1824*N1824*O1824</f>
        <v/>
      </c>
      <c r="X1824" s="12">
        <f>IF(LEFT(I1824,2)="MV",2*N1824*IF(L1824="1/C",O1824,1),0)</f>
        <v/>
      </c>
      <c r="Y1824" s="12">
        <f>IF(OR(LEFT(K1824,4)="LVAX",LEFT(K1824,6)="MV15AX",LEFT(K1824,4)="CTAX",LEFT(K1824,2)="W|"),2*N1824*O1824,0)</f>
        <v/>
      </c>
      <c r="Z1824" s="12" t="inlineStr">
        <is>
          <t>VD 0.1 %</t>
        </is>
      </c>
      <c r="AA1824" s="12">
        <f>N1824*O1824</f>
        <v/>
      </c>
    </row>
    <row r="1825">
      <c r="A1825" s="12" t="inlineStr">
        <is>
          <t>A-P-0458</t>
        </is>
      </c>
      <c r="B1825" s="12" t="inlineStr">
        <is>
          <t>A</t>
        </is>
      </c>
      <c r="C1825" s="12" t="inlineStr">
        <is>
          <t>Power block</t>
        </is>
      </c>
      <c r="D1825" s="12" t="inlineStr">
        <is>
          <t>MOV 19: power</t>
        </is>
      </c>
      <c r="E1825" s="12" t="inlineStr">
        <is>
          <t>R3</t>
        </is>
      </c>
      <c r="F1825" s="12" t="inlineStr">
        <is>
          <t>R3: ST auxiliary electrical e-house (40 x 65 ft)</t>
        </is>
      </c>
      <c r="G1825" s="12" t="inlineStr">
        <is>
          <t>ST</t>
        </is>
      </c>
      <c r="H1825" s="12" t="inlineStr">
        <is>
          <t>ST: steam turbine (HP/IP + LP), ACC plant</t>
        </is>
      </c>
      <c r="I1825" s="12" t="inlineStr">
        <is>
          <t>LV 600 V</t>
        </is>
      </c>
      <c r="J1825" s="12" t="inlineStr">
        <is>
          <t>Type TC-ER 600 V 3/C Cu XHHW-2 + ground, PVC jacket</t>
        </is>
      </c>
      <c r="K1825" s="12" t="inlineStr">
        <is>
          <t>LV|3/C+G|10</t>
        </is>
      </c>
      <c r="L1825" s="12" t="inlineStr">
        <is>
          <t>3/C+G</t>
        </is>
      </c>
      <c r="M1825" s="12" t="inlineStr">
        <is>
          <t>10</t>
        </is>
      </c>
      <c r="N1825" s="12" t="n">
        <v>1</v>
      </c>
      <c r="O1825" s="12" t="n">
        <v>1</v>
      </c>
      <c r="P1825" s="12" t="n">
        <v>480</v>
      </c>
      <c r="Q1825" s="12" t="n">
        <v>2.5</v>
      </c>
      <c r="R1825" s="12" t="n">
        <v>3.5</v>
      </c>
      <c r="S1825" s="12" t="inlineStr">
        <is>
          <t>Duct bank</t>
        </is>
      </c>
      <c r="T1825" s="16" t="n">
        <v>12</v>
      </c>
      <c r="U1825" s="16" t="n">
        <v>50</v>
      </c>
      <c r="V1825" s="16">
        <f>ROUNDUP((T1825+U1825+2*'Read Me'!$B$13)*(1+'Read Me'!$B$12),-1)</f>
        <v/>
      </c>
      <c r="W1825" s="16">
        <f>V1825*N1825*O1825</f>
        <v/>
      </c>
      <c r="X1825" s="12">
        <f>IF(LEFT(I1825,2)="MV",2*N1825*IF(L1825="1/C",O1825,1),0)</f>
        <v/>
      </c>
      <c r="Y1825" s="12">
        <f>IF(OR(LEFT(K1825,4)="LVAX",LEFT(K1825,6)="MV15AX",LEFT(K1825,4)="CTAX",LEFT(K1825,2)="W|"),2*N1825*O1825,0)</f>
        <v/>
      </c>
      <c r="Z1825" s="12" t="inlineStr">
        <is>
          <t>VD 0.1 %</t>
        </is>
      </c>
      <c r="AA1825" s="12">
        <f>N1825*O1825</f>
        <v/>
      </c>
    </row>
    <row r="1826">
      <c r="A1826" s="12" t="inlineStr">
        <is>
          <t>A-P-0459</t>
        </is>
      </c>
      <c r="B1826" s="12" t="inlineStr">
        <is>
          <t>A</t>
        </is>
      </c>
      <c r="C1826" s="12" t="inlineStr">
        <is>
          <t>Power block</t>
        </is>
      </c>
      <c r="D1826" s="12" t="inlineStr">
        <is>
          <t>MOV 20: power</t>
        </is>
      </c>
      <c r="E1826" s="12" t="inlineStr">
        <is>
          <t>R3</t>
        </is>
      </c>
      <c r="F1826" s="12" t="inlineStr">
        <is>
          <t>R3: ST auxiliary electrical e-house (40 x 65 ft)</t>
        </is>
      </c>
      <c r="G1826" s="12" t="inlineStr">
        <is>
          <t>ST</t>
        </is>
      </c>
      <c r="H1826" s="12" t="inlineStr">
        <is>
          <t>ST: steam turbine (HP/IP + LP), ACC plant</t>
        </is>
      </c>
      <c r="I1826" s="12" t="inlineStr">
        <is>
          <t>LV 600 V</t>
        </is>
      </c>
      <c r="J1826" s="12" t="inlineStr">
        <is>
          <t>Type TC-ER 600 V 3/C Cu XHHW-2 + ground, PVC jacket</t>
        </is>
      </c>
      <c r="K1826" s="12" t="inlineStr">
        <is>
          <t>LV|3/C+G|10</t>
        </is>
      </c>
      <c r="L1826" s="12" t="inlineStr">
        <is>
          <t>3/C+G</t>
        </is>
      </c>
      <c r="M1826" s="12" t="inlineStr">
        <is>
          <t>10</t>
        </is>
      </c>
      <c r="N1826" s="12" t="n">
        <v>1</v>
      </c>
      <c r="O1826" s="12" t="n">
        <v>1</v>
      </c>
      <c r="P1826" s="12" t="n">
        <v>480</v>
      </c>
      <c r="Q1826" s="12" t="n">
        <v>2.5</v>
      </c>
      <c r="R1826" s="12" t="n">
        <v>3.5</v>
      </c>
      <c r="S1826" s="12" t="inlineStr">
        <is>
          <t>Duct bank</t>
        </is>
      </c>
      <c r="T1826" s="16" t="n">
        <v>12</v>
      </c>
      <c r="U1826" s="16" t="n">
        <v>50</v>
      </c>
      <c r="V1826" s="16">
        <f>ROUNDUP((T1826+U1826+2*'Read Me'!$B$13)*(1+'Read Me'!$B$12),-1)</f>
        <v/>
      </c>
      <c r="W1826" s="16">
        <f>V1826*N1826*O1826</f>
        <v/>
      </c>
      <c r="X1826" s="12">
        <f>IF(LEFT(I1826,2)="MV",2*N1826*IF(L1826="1/C",O1826,1),0)</f>
        <v/>
      </c>
      <c r="Y1826" s="12">
        <f>IF(OR(LEFT(K1826,4)="LVAX",LEFT(K1826,6)="MV15AX",LEFT(K1826,4)="CTAX",LEFT(K1826,2)="W|"),2*N1826*O1826,0)</f>
        <v/>
      </c>
      <c r="Z1826" s="12" t="inlineStr">
        <is>
          <t>VD 0.1 %</t>
        </is>
      </c>
      <c r="AA1826" s="12">
        <f>N1826*O1826</f>
        <v/>
      </c>
    </row>
    <row r="1827">
      <c r="A1827" s="12" t="inlineStr">
        <is>
          <t>A-P-0460</t>
        </is>
      </c>
      <c r="B1827" s="12" t="inlineStr">
        <is>
          <t>A</t>
        </is>
      </c>
      <c r="C1827" s="12" t="inlineStr">
        <is>
          <t>Power block</t>
        </is>
      </c>
      <c r="D1827" s="12" t="inlineStr">
        <is>
          <t>LV power feeder</t>
        </is>
      </c>
      <c r="E1827" s="12" t="inlineStr">
        <is>
          <t>R3</t>
        </is>
      </c>
      <c r="F1827" s="12" t="inlineStr">
        <is>
          <t>R3: ST auxiliary electrical e-house (40 x 65 ft)</t>
        </is>
      </c>
      <c r="G1827" s="12" t="inlineStr">
        <is>
          <t>ST</t>
        </is>
      </c>
      <c r="H1827" s="12" t="inlineStr">
        <is>
          <t>ST: steam turbine (HP/IP + LP), ACC plant</t>
        </is>
      </c>
      <c r="I1827" s="12" t="inlineStr">
        <is>
          <t>LV 600 V</t>
        </is>
      </c>
      <c r="J1827" s="12" t="inlineStr">
        <is>
          <t>Type TC-ER 600 V 3/C Cu XHHW-2 + ground, PVC jacket</t>
        </is>
      </c>
      <c r="K1827" s="12" t="inlineStr">
        <is>
          <t>LV|3/C+G|10</t>
        </is>
      </c>
      <c r="L1827" s="12" t="inlineStr">
        <is>
          <t>3/C+G</t>
        </is>
      </c>
      <c r="M1827" s="12" t="inlineStr">
        <is>
          <t>10</t>
        </is>
      </c>
      <c r="N1827" s="12" t="n">
        <v>1</v>
      </c>
      <c r="O1827" s="12" t="n">
        <v>1</v>
      </c>
      <c r="P1827" s="12" t="n">
        <v>480</v>
      </c>
      <c r="Q1827" s="12" t="n">
        <v>15</v>
      </c>
      <c r="R1827" s="12" t="n">
        <v>21.2</v>
      </c>
      <c r="S1827" s="12" t="inlineStr">
        <is>
          <t>Duct bank</t>
        </is>
      </c>
      <c r="T1827" s="16" t="n">
        <v>12</v>
      </c>
      <c r="U1827" s="16" t="n">
        <v>50</v>
      </c>
      <c r="V1827" s="16">
        <f>ROUNDUP((T1827+U1827+2*'Read Me'!$B$13)*(1+'Read Me'!$B$12),-1)</f>
        <v/>
      </c>
      <c r="W1827" s="16">
        <f>V1827*N1827*O1827</f>
        <v/>
      </c>
      <c r="X1827" s="12">
        <f>IF(LEFT(I1827,2)="MV",2*N1827*IF(L1827="1/C",O1827,1),0)</f>
        <v/>
      </c>
      <c r="Y1827" s="12">
        <f>IF(OR(LEFT(K1827,4)="LVAX",LEFT(K1827,6)="MV15AX",LEFT(K1827,4)="CTAX",LEFT(K1827,2)="W|"),2*N1827*O1827,0)</f>
        <v/>
      </c>
      <c r="Z1827" s="12" t="inlineStr">
        <is>
          <t>VD 0.6 %</t>
        </is>
      </c>
      <c r="AA1827" s="12">
        <f>N1827*O1827</f>
        <v/>
      </c>
    </row>
    <row r="1828">
      <c r="A1828" s="12" t="inlineStr">
        <is>
          <t>A-P-0461</t>
        </is>
      </c>
      <c r="B1828" s="12" t="inlineStr">
        <is>
          <t>A</t>
        </is>
      </c>
      <c r="C1828" s="12" t="inlineStr">
        <is>
          <t>Power block</t>
        </is>
      </c>
      <c r="D1828" s="12" t="inlineStr">
        <is>
          <t>480 V welding receptacle 1</t>
        </is>
      </c>
      <c r="E1828" s="12" t="inlineStr">
        <is>
          <t>R3</t>
        </is>
      </c>
      <c r="F1828" s="12" t="inlineStr">
        <is>
          <t>R3: ST auxiliary electrical e-house (40 x 65 ft)</t>
        </is>
      </c>
      <c r="G1828" s="12" t="inlineStr">
        <is>
          <t>ST</t>
        </is>
      </c>
      <c r="H1828" s="12" t="inlineStr">
        <is>
          <t>ST: steam turbine (HP/IP + LP), ACC plant</t>
        </is>
      </c>
      <c r="I1828" s="12" t="inlineStr">
        <is>
          <t>LV 600 V</t>
        </is>
      </c>
      <c r="J1828" s="12" t="inlineStr">
        <is>
          <t>Type TC-ER 600 V 3/C Cu XHHW-2 + ground, PVC jacket</t>
        </is>
      </c>
      <c r="K1828" s="12" t="inlineStr">
        <is>
          <t>LV|3/C+G|2</t>
        </is>
      </c>
      <c r="L1828" s="12" t="inlineStr">
        <is>
          <t>3/C+G</t>
        </is>
      </c>
      <c r="M1828" s="12" t="inlineStr">
        <is>
          <t>2</t>
        </is>
      </c>
      <c r="N1828" s="12" t="n">
        <v>1</v>
      </c>
      <c r="O1828" s="12" t="n">
        <v>1</v>
      </c>
      <c r="P1828" s="12" t="n">
        <v>480</v>
      </c>
      <c r="Q1828" s="12" t="n">
        <v>60</v>
      </c>
      <c r="R1828" s="12" t="n">
        <v>76</v>
      </c>
      <c r="S1828" s="12" t="inlineStr">
        <is>
          <t>Duct bank</t>
        </is>
      </c>
      <c r="T1828" s="16" t="n">
        <v>12</v>
      </c>
      <c r="U1828" s="16" t="n">
        <v>50</v>
      </c>
      <c r="V1828" s="16">
        <f>ROUNDUP((T1828+U1828+2*'Read Me'!$B$13)*(1+'Read Me'!$B$12),-1)</f>
        <v/>
      </c>
      <c r="W1828" s="16">
        <f>V1828*N1828*O1828</f>
        <v/>
      </c>
      <c r="X1828" s="12">
        <f>IF(LEFT(I1828,2)="MV",2*N1828*IF(L1828="1/C",O1828,1),0)</f>
        <v/>
      </c>
      <c r="Y1828" s="12">
        <f>IF(OR(LEFT(K1828,4)="LVAX",LEFT(K1828,6)="MV15AX",LEFT(K1828,4)="CTAX",LEFT(K1828,2)="W|"),2*N1828*O1828,0)</f>
        <v/>
      </c>
      <c r="Z1828" s="12" t="inlineStr">
        <is>
          <t>VD 0.4 %</t>
        </is>
      </c>
      <c r="AA1828" s="12">
        <f>N1828*O1828</f>
        <v/>
      </c>
    </row>
    <row r="1829">
      <c r="A1829" s="12" t="inlineStr">
        <is>
          <t>A-P-0462</t>
        </is>
      </c>
      <c r="B1829" s="12" t="inlineStr">
        <is>
          <t>A</t>
        </is>
      </c>
      <c r="C1829" s="12" t="inlineStr">
        <is>
          <t>Power block</t>
        </is>
      </c>
      <c r="D1829" s="12" t="inlineStr">
        <is>
          <t>480 V welding receptacle 2</t>
        </is>
      </c>
      <c r="E1829" s="12" t="inlineStr">
        <is>
          <t>R3</t>
        </is>
      </c>
      <c r="F1829" s="12" t="inlineStr">
        <is>
          <t>R3: ST auxiliary electrical e-house (40 x 65 ft)</t>
        </is>
      </c>
      <c r="G1829" s="12" t="inlineStr">
        <is>
          <t>ST</t>
        </is>
      </c>
      <c r="H1829" s="12" t="inlineStr">
        <is>
          <t>ST: steam turbine (HP/IP + LP), ACC plant</t>
        </is>
      </c>
      <c r="I1829" s="12" t="inlineStr">
        <is>
          <t>LV 600 V</t>
        </is>
      </c>
      <c r="J1829" s="12" t="inlineStr">
        <is>
          <t>Type TC-ER 600 V 3/C Cu XHHW-2 + ground, PVC jacket</t>
        </is>
      </c>
      <c r="K1829" s="12" t="inlineStr">
        <is>
          <t>LV|3/C+G|2</t>
        </is>
      </c>
      <c r="L1829" s="12" t="inlineStr">
        <is>
          <t>3/C+G</t>
        </is>
      </c>
      <c r="M1829" s="12" t="inlineStr">
        <is>
          <t>2</t>
        </is>
      </c>
      <c r="N1829" s="12" t="n">
        <v>1</v>
      </c>
      <c r="O1829" s="12" t="n">
        <v>1</v>
      </c>
      <c r="P1829" s="12" t="n">
        <v>480</v>
      </c>
      <c r="Q1829" s="12" t="n">
        <v>60</v>
      </c>
      <c r="R1829" s="12" t="n">
        <v>76</v>
      </c>
      <c r="S1829" s="12" t="inlineStr">
        <is>
          <t>Duct bank</t>
        </is>
      </c>
      <c r="T1829" s="16" t="n">
        <v>12</v>
      </c>
      <c r="U1829" s="16" t="n">
        <v>50</v>
      </c>
      <c r="V1829" s="16">
        <f>ROUNDUP((T1829+U1829+2*'Read Me'!$B$13)*(1+'Read Me'!$B$12),-1)</f>
        <v/>
      </c>
      <c r="W1829" s="16">
        <f>V1829*N1829*O1829</f>
        <v/>
      </c>
      <c r="X1829" s="12">
        <f>IF(LEFT(I1829,2)="MV",2*N1829*IF(L1829="1/C",O1829,1),0)</f>
        <v/>
      </c>
      <c r="Y1829" s="12">
        <f>IF(OR(LEFT(K1829,4)="LVAX",LEFT(K1829,6)="MV15AX",LEFT(K1829,4)="CTAX",LEFT(K1829,2)="W|"),2*N1829*O1829,0)</f>
        <v/>
      </c>
      <c r="Z1829" s="12" t="inlineStr">
        <is>
          <t>VD 0.4 %</t>
        </is>
      </c>
      <c r="AA1829" s="12">
        <f>N1829*O1829</f>
        <v/>
      </c>
    </row>
    <row r="1830">
      <c r="A1830" s="12" t="inlineStr">
        <is>
          <t>A-P-0463</t>
        </is>
      </c>
      <c r="B1830" s="12" t="inlineStr">
        <is>
          <t>A</t>
        </is>
      </c>
      <c r="C1830" s="12" t="inlineStr">
        <is>
          <t>Power block</t>
        </is>
      </c>
      <c r="D1830" s="12" t="inlineStr">
        <is>
          <t>480 V welding receptacle 3</t>
        </is>
      </c>
      <c r="E1830" s="12" t="inlineStr">
        <is>
          <t>R3</t>
        </is>
      </c>
      <c r="F1830" s="12" t="inlineStr">
        <is>
          <t>R3: ST auxiliary electrical e-house (40 x 65 ft)</t>
        </is>
      </c>
      <c r="G1830" s="12" t="inlineStr">
        <is>
          <t>ST</t>
        </is>
      </c>
      <c r="H1830" s="12" t="inlineStr">
        <is>
          <t>ST: steam turbine (HP/IP + LP), ACC plant</t>
        </is>
      </c>
      <c r="I1830" s="12" t="inlineStr">
        <is>
          <t>LV 600 V</t>
        </is>
      </c>
      <c r="J1830" s="12" t="inlineStr">
        <is>
          <t>Type TC-ER 600 V 3/C Cu XHHW-2 + ground, PVC jacket</t>
        </is>
      </c>
      <c r="K1830" s="12" t="inlineStr">
        <is>
          <t>LV|3/C+G|2</t>
        </is>
      </c>
      <c r="L1830" s="12" t="inlineStr">
        <is>
          <t>3/C+G</t>
        </is>
      </c>
      <c r="M1830" s="12" t="inlineStr">
        <is>
          <t>2</t>
        </is>
      </c>
      <c r="N1830" s="12" t="n">
        <v>1</v>
      </c>
      <c r="O1830" s="12" t="n">
        <v>1</v>
      </c>
      <c r="P1830" s="12" t="n">
        <v>480</v>
      </c>
      <c r="Q1830" s="12" t="n">
        <v>60</v>
      </c>
      <c r="R1830" s="12" t="n">
        <v>76</v>
      </c>
      <c r="S1830" s="12" t="inlineStr">
        <is>
          <t>Duct bank</t>
        </is>
      </c>
      <c r="T1830" s="16" t="n">
        <v>12</v>
      </c>
      <c r="U1830" s="16" t="n">
        <v>50</v>
      </c>
      <c r="V1830" s="16">
        <f>ROUNDUP((T1830+U1830+2*'Read Me'!$B$13)*(1+'Read Me'!$B$12),-1)</f>
        <v/>
      </c>
      <c r="W1830" s="16">
        <f>V1830*N1830*O1830</f>
        <v/>
      </c>
      <c r="X1830" s="12">
        <f>IF(LEFT(I1830,2)="MV",2*N1830*IF(L1830="1/C",O1830,1),0)</f>
        <v/>
      </c>
      <c r="Y1830" s="12">
        <f>IF(OR(LEFT(K1830,4)="LVAX",LEFT(K1830,6)="MV15AX",LEFT(K1830,4)="CTAX",LEFT(K1830,2)="W|"),2*N1830*O1830,0)</f>
        <v/>
      </c>
      <c r="Z1830" s="12" t="inlineStr">
        <is>
          <t>VD 0.4 %</t>
        </is>
      </c>
      <c r="AA1830" s="12">
        <f>N1830*O1830</f>
        <v/>
      </c>
    </row>
    <row r="1831">
      <c r="A1831" s="12" t="inlineStr">
        <is>
          <t>A-P-0464</t>
        </is>
      </c>
      <c r="B1831" s="12" t="inlineStr">
        <is>
          <t>A</t>
        </is>
      </c>
      <c r="C1831" s="12" t="inlineStr">
        <is>
          <t>Power block</t>
        </is>
      </c>
      <c r="D1831" s="12" t="inlineStr">
        <is>
          <t>480 V welding receptacle 4</t>
        </is>
      </c>
      <c r="E1831" s="12" t="inlineStr">
        <is>
          <t>R3</t>
        </is>
      </c>
      <c r="F1831" s="12" t="inlineStr">
        <is>
          <t>R3: ST auxiliary electrical e-house (40 x 65 ft)</t>
        </is>
      </c>
      <c r="G1831" s="12" t="inlineStr">
        <is>
          <t>ST</t>
        </is>
      </c>
      <c r="H1831" s="12" t="inlineStr">
        <is>
          <t>ST: steam turbine (HP/IP + LP), ACC plant</t>
        </is>
      </c>
      <c r="I1831" s="12" t="inlineStr">
        <is>
          <t>LV 600 V</t>
        </is>
      </c>
      <c r="J1831" s="12" t="inlineStr">
        <is>
          <t>Type TC-ER 600 V 3/C Cu XHHW-2 + ground, PVC jacket</t>
        </is>
      </c>
      <c r="K1831" s="12" t="inlineStr">
        <is>
          <t>LV|3/C+G|2</t>
        </is>
      </c>
      <c r="L1831" s="12" t="inlineStr">
        <is>
          <t>3/C+G</t>
        </is>
      </c>
      <c r="M1831" s="12" t="inlineStr">
        <is>
          <t>2</t>
        </is>
      </c>
      <c r="N1831" s="12" t="n">
        <v>1</v>
      </c>
      <c r="O1831" s="12" t="n">
        <v>1</v>
      </c>
      <c r="P1831" s="12" t="n">
        <v>480</v>
      </c>
      <c r="Q1831" s="12" t="n">
        <v>60</v>
      </c>
      <c r="R1831" s="12" t="n">
        <v>76</v>
      </c>
      <c r="S1831" s="12" t="inlineStr">
        <is>
          <t>Duct bank</t>
        </is>
      </c>
      <c r="T1831" s="16" t="n">
        <v>12</v>
      </c>
      <c r="U1831" s="16" t="n">
        <v>50</v>
      </c>
      <c r="V1831" s="16">
        <f>ROUNDUP((T1831+U1831+2*'Read Me'!$B$13)*(1+'Read Me'!$B$12),-1)</f>
        <v/>
      </c>
      <c r="W1831" s="16">
        <f>V1831*N1831*O1831</f>
        <v/>
      </c>
      <c r="X1831" s="12">
        <f>IF(LEFT(I1831,2)="MV",2*N1831*IF(L1831="1/C",O1831,1),0)</f>
        <v/>
      </c>
      <c r="Y1831" s="12">
        <f>IF(OR(LEFT(K1831,4)="LVAX",LEFT(K1831,6)="MV15AX",LEFT(K1831,4)="CTAX",LEFT(K1831,2)="W|"),2*N1831*O1831,0)</f>
        <v/>
      </c>
      <c r="Z1831" s="12" t="inlineStr">
        <is>
          <t>VD 0.4 %</t>
        </is>
      </c>
      <c r="AA1831" s="12">
        <f>N1831*O1831</f>
        <v/>
      </c>
    </row>
    <row r="1832">
      <c r="A1832" s="12" t="inlineStr">
        <is>
          <t>A-P-0465</t>
        </is>
      </c>
      <c r="B1832" s="12" t="inlineStr">
        <is>
          <t>A</t>
        </is>
      </c>
      <c r="C1832" s="12" t="inlineStr">
        <is>
          <t>Power block</t>
        </is>
      </c>
      <c r="D1832" s="12" t="inlineStr">
        <is>
          <t>Motor 1 of 4, 2 kW</t>
        </is>
      </c>
      <c r="E1832" s="12" t="inlineStr">
        <is>
          <t>R3</t>
        </is>
      </c>
      <c r="F1832" s="12" t="inlineStr">
        <is>
          <t>R3: ST auxiliary electrical e-house (40 x 65 ft)</t>
        </is>
      </c>
      <c r="G1832" s="12" t="inlineStr">
        <is>
          <t>STG</t>
        </is>
      </c>
      <c r="H1832" s="12" t="inlineStr">
        <is>
          <t>STG: steam-turbine generator</t>
        </is>
      </c>
      <c r="I1832" s="12" t="inlineStr">
        <is>
          <t>LV 600 V</t>
        </is>
      </c>
      <c r="J1832" s="12" t="inlineStr">
        <is>
          <t>Type TC-ER 600 V 3/C Cu XHHW-2 + ground, PVC jacket</t>
        </is>
      </c>
      <c r="K1832" s="12" t="inlineStr">
        <is>
          <t>LV|3/C+G|10</t>
        </is>
      </c>
      <c r="L1832" s="12" t="inlineStr">
        <is>
          <t>3/C+G</t>
        </is>
      </c>
      <c r="M1832" s="12" t="inlineStr">
        <is>
          <t>10</t>
        </is>
      </c>
      <c r="N1832" s="12" t="n">
        <v>1</v>
      </c>
      <c r="O1832" s="12" t="n">
        <v>1</v>
      </c>
      <c r="P1832" s="12" t="n">
        <v>480</v>
      </c>
      <c r="Q1832" s="12" t="n">
        <v>2</v>
      </c>
      <c r="R1832" s="12" t="n">
        <v>2.8</v>
      </c>
      <c r="S1832" s="12" t="inlineStr">
        <is>
          <t>Duct bank</t>
        </is>
      </c>
      <c r="T1832" s="16" t="n">
        <v>517</v>
      </c>
      <c r="U1832" s="16" t="n">
        <v>35</v>
      </c>
      <c r="V1832" s="16">
        <f>ROUNDUP((T1832+U1832+2*'Read Me'!$B$13)*(1+'Read Me'!$B$12),-1)</f>
        <v/>
      </c>
      <c r="W1832" s="16">
        <f>V1832*N1832*O1832</f>
        <v/>
      </c>
      <c r="X1832" s="12">
        <f>IF(LEFT(I1832,2)="MV",2*N1832*IF(L1832="1/C",O1832,1),0)</f>
        <v/>
      </c>
      <c r="Y1832" s="12">
        <f>IF(OR(LEFT(K1832,4)="LVAX",LEFT(K1832,6)="MV15AX",LEFT(K1832,4)="CTAX",LEFT(K1832,2)="W|"),2*N1832*O1832,0)</f>
        <v/>
      </c>
      <c r="Z1832" s="12" t="inlineStr">
        <is>
          <t>VD 0.8 %</t>
        </is>
      </c>
      <c r="AA1832" s="12">
        <f>N1832*O1832</f>
        <v/>
      </c>
    </row>
    <row r="1833">
      <c r="A1833" s="12" t="inlineStr">
        <is>
          <t>A-P-0466</t>
        </is>
      </c>
      <c r="B1833" s="12" t="inlineStr">
        <is>
          <t>A</t>
        </is>
      </c>
      <c r="C1833" s="12" t="inlineStr">
        <is>
          <t>Power block</t>
        </is>
      </c>
      <c r="D1833" s="12" t="inlineStr">
        <is>
          <t>Motor 2 of 4, 2 kW</t>
        </is>
      </c>
      <c r="E1833" s="12" t="inlineStr">
        <is>
          <t>R3</t>
        </is>
      </c>
      <c r="F1833" s="12" t="inlineStr">
        <is>
          <t>R3: ST auxiliary electrical e-house (40 x 65 ft)</t>
        </is>
      </c>
      <c r="G1833" s="12" t="inlineStr">
        <is>
          <t>STG</t>
        </is>
      </c>
      <c r="H1833" s="12" t="inlineStr">
        <is>
          <t>STG: steam-turbine generator</t>
        </is>
      </c>
      <c r="I1833" s="12" t="inlineStr">
        <is>
          <t>LV 600 V</t>
        </is>
      </c>
      <c r="J1833" s="12" t="inlineStr">
        <is>
          <t>Type TC-ER 600 V 3/C Cu XHHW-2 + ground, PVC jacket</t>
        </is>
      </c>
      <c r="K1833" s="12" t="inlineStr">
        <is>
          <t>LV|3/C+G|10</t>
        </is>
      </c>
      <c r="L1833" s="12" t="inlineStr">
        <is>
          <t>3/C+G</t>
        </is>
      </c>
      <c r="M1833" s="12" t="inlineStr">
        <is>
          <t>10</t>
        </is>
      </c>
      <c r="N1833" s="12" t="n">
        <v>1</v>
      </c>
      <c r="O1833" s="12" t="n">
        <v>1</v>
      </c>
      <c r="P1833" s="12" t="n">
        <v>480</v>
      </c>
      <c r="Q1833" s="12" t="n">
        <v>2</v>
      </c>
      <c r="R1833" s="12" t="n">
        <v>2.8</v>
      </c>
      <c r="S1833" s="12" t="inlineStr">
        <is>
          <t>Duct bank</t>
        </is>
      </c>
      <c r="T1833" s="16" t="n">
        <v>517</v>
      </c>
      <c r="U1833" s="16" t="n">
        <v>35</v>
      </c>
      <c r="V1833" s="16">
        <f>ROUNDUP((T1833+U1833+2*'Read Me'!$B$13)*(1+'Read Me'!$B$12),-1)</f>
        <v/>
      </c>
      <c r="W1833" s="16">
        <f>V1833*N1833*O1833</f>
        <v/>
      </c>
      <c r="X1833" s="12">
        <f>IF(LEFT(I1833,2)="MV",2*N1833*IF(L1833="1/C",O1833,1),0)</f>
        <v/>
      </c>
      <c r="Y1833" s="12">
        <f>IF(OR(LEFT(K1833,4)="LVAX",LEFT(K1833,6)="MV15AX",LEFT(K1833,4)="CTAX",LEFT(K1833,2)="W|"),2*N1833*O1833,0)</f>
        <v/>
      </c>
      <c r="Z1833" s="12" t="inlineStr">
        <is>
          <t>VD 0.8 %</t>
        </is>
      </c>
      <c r="AA1833" s="12">
        <f>N1833*O1833</f>
        <v/>
      </c>
    </row>
    <row r="1834">
      <c r="A1834" s="12" t="inlineStr">
        <is>
          <t>A-P-0467</t>
        </is>
      </c>
      <c r="B1834" s="12" t="inlineStr">
        <is>
          <t>A</t>
        </is>
      </c>
      <c r="C1834" s="12" t="inlineStr">
        <is>
          <t>Power block</t>
        </is>
      </c>
      <c r="D1834" s="12" t="inlineStr">
        <is>
          <t>Motor 3 of 4, 2 kW</t>
        </is>
      </c>
      <c r="E1834" s="12" t="inlineStr">
        <is>
          <t>R3</t>
        </is>
      </c>
      <c r="F1834" s="12" t="inlineStr">
        <is>
          <t>R3: ST auxiliary electrical e-house (40 x 65 ft)</t>
        </is>
      </c>
      <c r="G1834" s="12" t="inlineStr">
        <is>
          <t>STG</t>
        </is>
      </c>
      <c r="H1834" s="12" t="inlineStr">
        <is>
          <t>STG: steam-turbine generator</t>
        </is>
      </c>
      <c r="I1834" s="12" t="inlineStr">
        <is>
          <t>LV 600 V</t>
        </is>
      </c>
      <c r="J1834" s="12" t="inlineStr">
        <is>
          <t>Type TC-ER 600 V 3/C Cu XHHW-2 + ground, PVC jacket</t>
        </is>
      </c>
      <c r="K1834" s="12" t="inlineStr">
        <is>
          <t>LV|3/C+G|10</t>
        </is>
      </c>
      <c r="L1834" s="12" t="inlineStr">
        <is>
          <t>3/C+G</t>
        </is>
      </c>
      <c r="M1834" s="12" t="inlineStr">
        <is>
          <t>10</t>
        </is>
      </c>
      <c r="N1834" s="12" t="n">
        <v>1</v>
      </c>
      <c r="O1834" s="12" t="n">
        <v>1</v>
      </c>
      <c r="P1834" s="12" t="n">
        <v>480</v>
      </c>
      <c r="Q1834" s="12" t="n">
        <v>2</v>
      </c>
      <c r="R1834" s="12" t="n">
        <v>2.8</v>
      </c>
      <c r="S1834" s="12" t="inlineStr">
        <is>
          <t>Duct bank</t>
        </is>
      </c>
      <c r="T1834" s="16" t="n">
        <v>517</v>
      </c>
      <c r="U1834" s="16" t="n">
        <v>35</v>
      </c>
      <c r="V1834" s="16">
        <f>ROUNDUP((T1834+U1834+2*'Read Me'!$B$13)*(1+'Read Me'!$B$12),-1)</f>
        <v/>
      </c>
      <c r="W1834" s="16">
        <f>V1834*N1834*O1834</f>
        <v/>
      </c>
      <c r="X1834" s="12">
        <f>IF(LEFT(I1834,2)="MV",2*N1834*IF(L1834="1/C",O1834,1),0)</f>
        <v/>
      </c>
      <c r="Y1834" s="12">
        <f>IF(OR(LEFT(K1834,4)="LVAX",LEFT(K1834,6)="MV15AX",LEFT(K1834,4)="CTAX",LEFT(K1834,2)="W|"),2*N1834*O1834,0)</f>
        <v/>
      </c>
      <c r="Z1834" s="12" t="inlineStr">
        <is>
          <t>VD 0.8 %</t>
        </is>
      </c>
      <c r="AA1834" s="12">
        <f>N1834*O1834</f>
        <v/>
      </c>
    </row>
    <row r="1835">
      <c r="A1835" s="12" t="inlineStr">
        <is>
          <t>A-P-0468</t>
        </is>
      </c>
      <c r="B1835" s="12" t="inlineStr">
        <is>
          <t>A</t>
        </is>
      </c>
      <c r="C1835" s="12" t="inlineStr">
        <is>
          <t>Power block</t>
        </is>
      </c>
      <c r="D1835" s="12" t="inlineStr">
        <is>
          <t>Motor 4 of 4, 2 kW</t>
        </is>
      </c>
      <c r="E1835" s="12" t="inlineStr">
        <is>
          <t>R3</t>
        </is>
      </c>
      <c r="F1835" s="12" t="inlineStr">
        <is>
          <t>R3: ST auxiliary electrical e-house (40 x 65 ft)</t>
        </is>
      </c>
      <c r="G1835" s="12" t="inlineStr">
        <is>
          <t>STG</t>
        </is>
      </c>
      <c r="H1835" s="12" t="inlineStr">
        <is>
          <t>STG: steam-turbine generator</t>
        </is>
      </c>
      <c r="I1835" s="12" t="inlineStr">
        <is>
          <t>LV 600 V</t>
        </is>
      </c>
      <c r="J1835" s="12" t="inlineStr">
        <is>
          <t>Type TC-ER 600 V 3/C Cu XHHW-2 + ground, PVC jacket</t>
        </is>
      </c>
      <c r="K1835" s="12" t="inlineStr">
        <is>
          <t>LV|3/C+G|10</t>
        </is>
      </c>
      <c r="L1835" s="12" t="inlineStr">
        <is>
          <t>3/C+G</t>
        </is>
      </c>
      <c r="M1835" s="12" t="inlineStr">
        <is>
          <t>10</t>
        </is>
      </c>
      <c r="N1835" s="12" t="n">
        <v>1</v>
      </c>
      <c r="O1835" s="12" t="n">
        <v>1</v>
      </c>
      <c r="P1835" s="12" t="n">
        <v>480</v>
      </c>
      <c r="Q1835" s="12" t="n">
        <v>2</v>
      </c>
      <c r="R1835" s="12" t="n">
        <v>2.8</v>
      </c>
      <c r="S1835" s="12" t="inlineStr">
        <is>
          <t>Duct bank</t>
        </is>
      </c>
      <c r="T1835" s="16" t="n">
        <v>517</v>
      </c>
      <c r="U1835" s="16" t="n">
        <v>35</v>
      </c>
      <c r="V1835" s="16">
        <f>ROUNDUP((T1835+U1835+2*'Read Me'!$B$13)*(1+'Read Me'!$B$12),-1)</f>
        <v/>
      </c>
      <c r="W1835" s="16">
        <f>V1835*N1835*O1835</f>
        <v/>
      </c>
      <c r="X1835" s="12">
        <f>IF(LEFT(I1835,2)="MV",2*N1835*IF(L1835="1/C",O1835,1),0)</f>
        <v/>
      </c>
      <c r="Y1835" s="12">
        <f>IF(OR(LEFT(K1835,4)="LVAX",LEFT(K1835,6)="MV15AX",LEFT(K1835,4)="CTAX",LEFT(K1835,2)="W|"),2*N1835*O1835,0)</f>
        <v/>
      </c>
      <c r="Z1835" s="12" t="inlineStr">
        <is>
          <t>VD 0.8 %</t>
        </is>
      </c>
      <c r="AA1835" s="12">
        <f>N1835*O1835</f>
        <v/>
      </c>
    </row>
    <row r="1836">
      <c r="A1836" s="12" t="inlineStr">
        <is>
          <t>A-P-0469</t>
        </is>
      </c>
      <c r="B1836" s="12" t="inlineStr">
        <is>
          <t>A</t>
        </is>
      </c>
      <c r="C1836" s="12" t="inlineStr">
        <is>
          <t>Power block</t>
        </is>
      </c>
      <c r="D1836" s="12" t="inlineStr">
        <is>
          <t>LV power feeder</t>
        </is>
      </c>
      <c r="E1836" s="12" t="inlineStr">
        <is>
          <t>R3</t>
        </is>
      </c>
      <c r="F1836" s="12" t="inlineStr">
        <is>
          <t>R3: ST auxiliary electrical e-house (40 x 65 ft)</t>
        </is>
      </c>
      <c r="G1836" s="12" t="inlineStr">
        <is>
          <t>SWAS</t>
        </is>
      </c>
      <c r="H1836" s="12" t="inlineStr">
        <is>
          <t>SWAS: steam and water analysis</t>
        </is>
      </c>
      <c r="I1836" s="12" t="inlineStr">
        <is>
          <t>LV 600 V</t>
        </is>
      </c>
      <c r="J1836" s="12" t="inlineStr">
        <is>
          <t>Type TC-ER 600 V 3/C Cu XHHW-2 + ground, PVC jacket</t>
        </is>
      </c>
      <c r="K1836" s="12" t="inlineStr">
        <is>
          <t>LV|3/C+G|10</t>
        </is>
      </c>
      <c r="L1836" s="12" t="inlineStr">
        <is>
          <t>3/C+G</t>
        </is>
      </c>
      <c r="M1836" s="12" t="inlineStr">
        <is>
          <t>10</t>
        </is>
      </c>
      <c r="N1836" s="12" t="n">
        <v>1</v>
      </c>
      <c r="O1836" s="12" t="n">
        <v>1</v>
      </c>
      <c r="P1836" s="12" t="n">
        <v>480</v>
      </c>
      <c r="Q1836" s="12" t="n">
        <v>15</v>
      </c>
      <c r="R1836" s="12" t="n">
        <v>21.2</v>
      </c>
      <c r="S1836" s="12" t="inlineStr">
        <is>
          <t>Duct bank</t>
        </is>
      </c>
      <c r="T1836" s="16" t="n">
        <v>258</v>
      </c>
      <c r="U1836" s="16" t="n">
        <v>32</v>
      </c>
      <c r="V1836" s="16">
        <f>ROUNDUP((T1836+U1836+2*'Read Me'!$B$13)*(1+'Read Me'!$B$12),-1)</f>
        <v/>
      </c>
      <c r="W1836" s="16">
        <f>V1836*N1836*O1836</f>
        <v/>
      </c>
      <c r="X1836" s="12">
        <f>IF(LEFT(I1836,2)="MV",2*N1836*IF(L1836="1/C",O1836,1),0)</f>
        <v/>
      </c>
      <c r="Y1836" s="12">
        <f>IF(OR(LEFT(K1836,4)="LVAX",LEFT(K1836,6)="MV15AX",LEFT(K1836,4)="CTAX",LEFT(K1836,2)="W|"),2*N1836*O1836,0)</f>
        <v/>
      </c>
      <c r="Z1836" s="12" t="inlineStr">
        <is>
          <t>VD 3.0 %</t>
        </is>
      </c>
      <c r="AA1836" s="12">
        <f>N1836*O1836</f>
        <v/>
      </c>
    </row>
    <row r="1837">
      <c r="A1837" s="12" t="inlineStr">
        <is>
          <t>A-P-0470</t>
        </is>
      </c>
      <c r="B1837" s="12" t="inlineStr">
        <is>
          <t>A</t>
        </is>
      </c>
      <c r="C1837" s="12" t="inlineStr">
        <is>
          <t>Power block</t>
        </is>
      </c>
      <c r="D1837" s="12" t="inlineStr">
        <is>
          <t>Motor 1 of 6, 2 kW</t>
        </is>
      </c>
      <c r="E1837" s="12" t="inlineStr">
        <is>
          <t>R2A</t>
        </is>
      </c>
      <c r="F1837" s="12" t="inlineStr">
        <is>
          <t>R2A: unit / HRSG electrical e-house (32 x 40 ft)</t>
        </is>
      </c>
      <c r="G1837" s="12" t="inlineStr"/>
      <c r="H1837" s="12" t="inlineStr">
        <is>
          <t>T-R2A: 13.8/0.48 kV</t>
        </is>
      </c>
      <c r="I1837" s="12" t="inlineStr">
        <is>
          <t>LV 600 V</t>
        </is>
      </c>
      <c r="J1837" s="12" t="inlineStr">
        <is>
          <t>Type TC-ER 600 V 3/C Cu XHHW-2 + ground, PVC jacket</t>
        </is>
      </c>
      <c r="K1837" s="12" t="inlineStr">
        <is>
          <t>LV|3/C+G|10</t>
        </is>
      </c>
      <c r="L1837" s="12" t="inlineStr">
        <is>
          <t>3/C+G</t>
        </is>
      </c>
      <c r="M1837" s="12" t="inlineStr">
        <is>
          <t>10</t>
        </is>
      </c>
      <c r="N1837" s="12" t="n">
        <v>1</v>
      </c>
      <c r="O1837" s="12" t="n">
        <v>1</v>
      </c>
      <c r="P1837" s="12" t="n">
        <v>480</v>
      </c>
      <c r="Q1837" s="12" t="n">
        <v>2</v>
      </c>
      <c r="R1837" s="12" t="n">
        <v>2.8</v>
      </c>
      <c r="S1837" s="12" t="inlineStr">
        <is>
          <t>Tray</t>
        </is>
      </c>
      <c r="T1837" s="16" t="n">
        <v>0</v>
      </c>
      <c r="U1837" s="16" t="n">
        <v>86</v>
      </c>
      <c r="V1837" s="16">
        <f>ROUNDUP((T1837+U1837+2*'Read Me'!$B$13)*(1+'Read Me'!$B$12),-1)</f>
        <v/>
      </c>
      <c r="W1837" s="16">
        <f>V1837*N1837*O1837</f>
        <v/>
      </c>
      <c r="X1837" s="12">
        <f>IF(LEFT(I1837,2)="MV",2*N1837*IF(L1837="1/C",O1837,1),0)</f>
        <v/>
      </c>
      <c r="Y1837" s="12">
        <f>IF(OR(LEFT(K1837,4)="LVAX",LEFT(K1837,6)="MV15AX",LEFT(K1837,4)="CTAX",LEFT(K1837,2)="W|"),2*N1837*O1837,0)</f>
        <v/>
      </c>
      <c r="Z1837" s="12" t="inlineStr">
        <is>
          <t>VD 0.1 %</t>
        </is>
      </c>
      <c r="AA1837" s="12">
        <f>N1837*O1837</f>
        <v/>
      </c>
    </row>
    <row r="1838">
      <c r="A1838" s="12" t="inlineStr">
        <is>
          <t>A-P-0471</t>
        </is>
      </c>
      <c r="B1838" s="12" t="inlineStr">
        <is>
          <t>A</t>
        </is>
      </c>
      <c r="C1838" s="12" t="inlineStr">
        <is>
          <t>Power block</t>
        </is>
      </c>
      <c r="D1838" s="12" t="inlineStr">
        <is>
          <t>Motor 2 of 6, 2 kW</t>
        </is>
      </c>
      <c r="E1838" s="12" t="inlineStr">
        <is>
          <t>R2A</t>
        </is>
      </c>
      <c r="F1838" s="12" t="inlineStr">
        <is>
          <t>R2A: unit / HRSG electrical e-house (32 x 40 ft)</t>
        </is>
      </c>
      <c r="G1838" s="12" t="inlineStr"/>
      <c r="H1838" s="12" t="inlineStr">
        <is>
          <t>T-R2A: 13.8/0.48 kV</t>
        </is>
      </c>
      <c r="I1838" s="12" t="inlineStr">
        <is>
          <t>LV 600 V</t>
        </is>
      </c>
      <c r="J1838" s="12" t="inlineStr">
        <is>
          <t>Type TC-ER 600 V 3/C Cu XHHW-2 + ground, PVC jacket</t>
        </is>
      </c>
      <c r="K1838" s="12" t="inlineStr">
        <is>
          <t>LV|3/C+G|10</t>
        </is>
      </c>
      <c r="L1838" s="12" t="inlineStr">
        <is>
          <t>3/C+G</t>
        </is>
      </c>
      <c r="M1838" s="12" t="inlineStr">
        <is>
          <t>10</t>
        </is>
      </c>
      <c r="N1838" s="12" t="n">
        <v>1</v>
      </c>
      <c r="O1838" s="12" t="n">
        <v>1</v>
      </c>
      <c r="P1838" s="12" t="n">
        <v>480</v>
      </c>
      <c r="Q1838" s="12" t="n">
        <v>2</v>
      </c>
      <c r="R1838" s="12" t="n">
        <v>2.8</v>
      </c>
      <c r="S1838" s="12" t="inlineStr">
        <is>
          <t>Tray</t>
        </is>
      </c>
      <c r="T1838" s="16" t="n">
        <v>0</v>
      </c>
      <c r="U1838" s="16" t="n">
        <v>86</v>
      </c>
      <c r="V1838" s="16">
        <f>ROUNDUP((T1838+U1838+2*'Read Me'!$B$13)*(1+'Read Me'!$B$12),-1)</f>
        <v/>
      </c>
      <c r="W1838" s="16">
        <f>V1838*N1838*O1838</f>
        <v/>
      </c>
      <c r="X1838" s="12">
        <f>IF(LEFT(I1838,2)="MV",2*N1838*IF(L1838="1/C",O1838,1),0)</f>
        <v/>
      </c>
      <c r="Y1838" s="12">
        <f>IF(OR(LEFT(K1838,4)="LVAX",LEFT(K1838,6)="MV15AX",LEFT(K1838,4)="CTAX",LEFT(K1838,2)="W|"),2*N1838*O1838,0)</f>
        <v/>
      </c>
      <c r="Z1838" s="12" t="inlineStr">
        <is>
          <t>VD 0.1 %</t>
        </is>
      </c>
      <c r="AA1838" s="12">
        <f>N1838*O1838</f>
        <v/>
      </c>
    </row>
    <row r="1839">
      <c r="A1839" s="12" t="inlineStr">
        <is>
          <t>A-P-0472</t>
        </is>
      </c>
      <c r="B1839" s="12" t="inlineStr">
        <is>
          <t>A</t>
        </is>
      </c>
      <c r="C1839" s="12" t="inlineStr">
        <is>
          <t>Power block</t>
        </is>
      </c>
      <c r="D1839" s="12" t="inlineStr">
        <is>
          <t>Motor 3 of 6, 2 kW</t>
        </is>
      </c>
      <c r="E1839" s="12" t="inlineStr">
        <is>
          <t>R2A</t>
        </is>
      </c>
      <c r="F1839" s="12" t="inlineStr">
        <is>
          <t>R2A: unit / HRSG electrical e-house (32 x 40 ft)</t>
        </is>
      </c>
      <c r="G1839" s="12" t="inlineStr"/>
      <c r="H1839" s="12" t="inlineStr">
        <is>
          <t>T-R2A: 13.8/0.48 kV</t>
        </is>
      </c>
      <c r="I1839" s="12" t="inlineStr">
        <is>
          <t>LV 600 V</t>
        </is>
      </c>
      <c r="J1839" s="12" t="inlineStr">
        <is>
          <t>Type TC-ER 600 V 3/C Cu XHHW-2 + ground, PVC jacket</t>
        </is>
      </c>
      <c r="K1839" s="12" t="inlineStr">
        <is>
          <t>LV|3/C+G|10</t>
        </is>
      </c>
      <c r="L1839" s="12" t="inlineStr">
        <is>
          <t>3/C+G</t>
        </is>
      </c>
      <c r="M1839" s="12" t="inlineStr">
        <is>
          <t>10</t>
        </is>
      </c>
      <c r="N1839" s="12" t="n">
        <v>1</v>
      </c>
      <c r="O1839" s="12" t="n">
        <v>1</v>
      </c>
      <c r="P1839" s="12" t="n">
        <v>480</v>
      </c>
      <c r="Q1839" s="12" t="n">
        <v>2</v>
      </c>
      <c r="R1839" s="12" t="n">
        <v>2.8</v>
      </c>
      <c r="S1839" s="12" t="inlineStr">
        <is>
          <t>Tray</t>
        </is>
      </c>
      <c r="T1839" s="16" t="n">
        <v>0</v>
      </c>
      <c r="U1839" s="16" t="n">
        <v>86</v>
      </c>
      <c r="V1839" s="16">
        <f>ROUNDUP((T1839+U1839+2*'Read Me'!$B$13)*(1+'Read Me'!$B$12),-1)</f>
        <v/>
      </c>
      <c r="W1839" s="16">
        <f>V1839*N1839*O1839</f>
        <v/>
      </c>
      <c r="X1839" s="12">
        <f>IF(LEFT(I1839,2)="MV",2*N1839*IF(L1839="1/C",O1839,1),0)</f>
        <v/>
      </c>
      <c r="Y1839" s="12">
        <f>IF(OR(LEFT(K1839,4)="LVAX",LEFT(K1839,6)="MV15AX",LEFT(K1839,4)="CTAX",LEFT(K1839,2)="W|"),2*N1839*O1839,0)</f>
        <v/>
      </c>
      <c r="Z1839" s="12" t="inlineStr">
        <is>
          <t>VD 0.1 %</t>
        </is>
      </c>
      <c r="AA1839" s="12">
        <f>N1839*O1839</f>
        <v/>
      </c>
    </row>
    <row r="1840">
      <c r="A1840" s="12" t="inlineStr">
        <is>
          <t>A-P-0473</t>
        </is>
      </c>
      <c r="B1840" s="12" t="inlineStr">
        <is>
          <t>A</t>
        </is>
      </c>
      <c r="C1840" s="12" t="inlineStr">
        <is>
          <t>Power block</t>
        </is>
      </c>
      <c r="D1840" s="12" t="inlineStr">
        <is>
          <t>Motor 4 of 6, 2 kW</t>
        </is>
      </c>
      <c r="E1840" s="12" t="inlineStr">
        <is>
          <t>R2A</t>
        </is>
      </c>
      <c r="F1840" s="12" t="inlineStr">
        <is>
          <t>R2A: unit / HRSG electrical e-house (32 x 40 ft)</t>
        </is>
      </c>
      <c r="G1840" s="12" t="inlineStr"/>
      <c r="H1840" s="12" t="inlineStr">
        <is>
          <t>T-R2A: 13.8/0.48 kV</t>
        </is>
      </c>
      <c r="I1840" s="12" t="inlineStr">
        <is>
          <t>LV 600 V</t>
        </is>
      </c>
      <c r="J1840" s="12" t="inlineStr">
        <is>
          <t>Type TC-ER 600 V 3/C Cu XHHW-2 + ground, PVC jacket</t>
        </is>
      </c>
      <c r="K1840" s="12" t="inlineStr">
        <is>
          <t>LV|3/C+G|10</t>
        </is>
      </c>
      <c r="L1840" s="12" t="inlineStr">
        <is>
          <t>3/C+G</t>
        </is>
      </c>
      <c r="M1840" s="12" t="inlineStr">
        <is>
          <t>10</t>
        </is>
      </c>
      <c r="N1840" s="12" t="n">
        <v>1</v>
      </c>
      <c r="O1840" s="12" t="n">
        <v>1</v>
      </c>
      <c r="P1840" s="12" t="n">
        <v>480</v>
      </c>
      <c r="Q1840" s="12" t="n">
        <v>2</v>
      </c>
      <c r="R1840" s="12" t="n">
        <v>2.8</v>
      </c>
      <c r="S1840" s="12" t="inlineStr">
        <is>
          <t>Tray</t>
        </is>
      </c>
      <c r="T1840" s="16" t="n">
        <v>0</v>
      </c>
      <c r="U1840" s="16" t="n">
        <v>86</v>
      </c>
      <c r="V1840" s="16">
        <f>ROUNDUP((T1840+U1840+2*'Read Me'!$B$13)*(1+'Read Me'!$B$12),-1)</f>
        <v/>
      </c>
      <c r="W1840" s="16">
        <f>V1840*N1840*O1840</f>
        <v/>
      </c>
      <c r="X1840" s="12">
        <f>IF(LEFT(I1840,2)="MV",2*N1840*IF(L1840="1/C",O1840,1),0)</f>
        <v/>
      </c>
      <c r="Y1840" s="12">
        <f>IF(OR(LEFT(K1840,4)="LVAX",LEFT(K1840,6)="MV15AX",LEFT(K1840,4)="CTAX",LEFT(K1840,2)="W|"),2*N1840*O1840,0)</f>
        <v/>
      </c>
      <c r="Z1840" s="12" t="inlineStr">
        <is>
          <t>VD 0.1 %</t>
        </is>
      </c>
      <c r="AA1840" s="12">
        <f>N1840*O1840</f>
        <v/>
      </c>
    </row>
    <row r="1841">
      <c r="A1841" s="12" t="inlineStr">
        <is>
          <t>A-P-0474</t>
        </is>
      </c>
      <c r="B1841" s="12" t="inlineStr">
        <is>
          <t>A</t>
        </is>
      </c>
      <c r="C1841" s="12" t="inlineStr">
        <is>
          <t>Power block</t>
        </is>
      </c>
      <c r="D1841" s="12" t="inlineStr">
        <is>
          <t>Motor 5 of 6, 2 kW</t>
        </is>
      </c>
      <c r="E1841" s="12" t="inlineStr">
        <is>
          <t>R2A</t>
        </is>
      </c>
      <c r="F1841" s="12" t="inlineStr">
        <is>
          <t>R2A: unit / HRSG electrical e-house (32 x 40 ft)</t>
        </is>
      </c>
      <c r="G1841" s="12" t="inlineStr"/>
      <c r="H1841" s="12" t="inlineStr">
        <is>
          <t>T-R2A: 13.8/0.48 kV</t>
        </is>
      </c>
      <c r="I1841" s="12" t="inlineStr">
        <is>
          <t>LV 600 V</t>
        </is>
      </c>
      <c r="J1841" s="12" t="inlineStr">
        <is>
          <t>Type TC-ER 600 V 3/C Cu XHHW-2 + ground, PVC jacket</t>
        </is>
      </c>
      <c r="K1841" s="12" t="inlineStr">
        <is>
          <t>LV|3/C+G|10</t>
        </is>
      </c>
      <c r="L1841" s="12" t="inlineStr">
        <is>
          <t>3/C+G</t>
        </is>
      </c>
      <c r="M1841" s="12" t="inlineStr">
        <is>
          <t>10</t>
        </is>
      </c>
      <c r="N1841" s="12" t="n">
        <v>1</v>
      </c>
      <c r="O1841" s="12" t="n">
        <v>1</v>
      </c>
      <c r="P1841" s="12" t="n">
        <v>480</v>
      </c>
      <c r="Q1841" s="12" t="n">
        <v>2</v>
      </c>
      <c r="R1841" s="12" t="n">
        <v>2.8</v>
      </c>
      <c r="S1841" s="12" t="inlineStr">
        <is>
          <t>Tray</t>
        </is>
      </c>
      <c r="T1841" s="16" t="n">
        <v>0</v>
      </c>
      <c r="U1841" s="16" t="n">
        <v>86</v>
      </c>
      <c r="V1841" s="16">
        <f>ROUNDUP((T1841+U1841+2*'Read Me'!$B$13)*(1+'Read Me'!$B$12),-1)</f>
        <v/>
      </c>
      <c r="W1841" s="16">
        <f>V1841*N1841*O1841</f>
        <v/>
      </c>
      <c r="X1841" s="12">
        <f>IF(LEFT(I1841,2)="MV",2*N1841*IF(L1841="1/C",O1841,1),0)</f>
        <v/>
      </c>
      <c r="Y1841" s="12">
        <f>IF(OR(LEFT(K1841,4)="LVAX",LEFT(K1841,6)="MV15AX",LEFT(K1841,4)="CTAX",LEFT(K1841,2)="W|"),2*N1841*O1841,0)</f>
        <v/>
      </c>
      <c r="Z1841" s="12" t="inlineStr">
        <is>
          <t>VD 0.1 %</t>
        </is>
      </c>
      <c r="AA1841" s="12">
        <f>N1841*O1841</f>
        <v/>
      </c>
    </row>
    <row r="1842">
      <c r="A1842" s="12" t="inlineStr">
        <is>
          <t>A-P-0475</t>
        </is>
      </c>
      <c r="B1842" s="12" t="inlineStr">
        <is>
          <t>A</t>
        </is>
      </c>
      <c r="C1842" s="12" t="inlineStr">
        <is>
          <t>Power block</t>
        </is>
      </c>
      <c r="D1842" s="12" t="inlineStr">
        <is>
          <t>Motor 6 of 6, 2 kW</t>
        </is>
      </c>
      <c r="E1842" s="12" t="inlineStr">
        <is>
          <t>R2A</t>
        </is>
      </c>
      <c r="F1842" s="12" t="inlineStr">
        <is>
          <t>R2A: unit / HRSG electrical e-house (32 x 40 ft)</t>
        </is>
      </c>
      <c r="G1842" s="12" t="inlineStr"/>
      <c r="H1842" s="12" t="inlineStr">
        <is>
          <t>T-R2A: 13.8/0.48 kV</t>
        </is>
      </c>
      <c r="I1842" s="12" t="inlineStr">
        <is>
          <t>LV 600 V</t>
        </is>
      </c>
      <c r="J1842" s="12" t="inlineStr">
        <is>
          <t>Type TC-ER 600 V 3/C Cu XHHW-2 + ground, PVC jacket</t>
        </is>
      </c>
      <c r="K1842" s="12" t="inlineStr">
        <is>
          <t>LV|3/C+G|10</t>
        </is>
      </c>
      <c r="L1842" s="12" t="inlineStr">
        <is>
          <t>3/C+G</t>
        </is>
      </c>
      <c r="M1842" s="12" t="inlineStr">
        <is>
          <t>10</t>
        </is>
      </c>
      <c r="N1842" s="12" t="n">
        <v>1</v>
      </c>
      <c r="O1842" s="12" t="n">
        <v>1</v>
      </c>
      <c r="P1842" s="12" t="n">
        <v>480</v>
      </c>
      <c r="Q1842" s="12" t="n">
        <v>2</v>
      </c>
      <c r="R1842" s="12" t="n">
        <v>2.8</v>
      </c>
      <c r="S1842" s="12" t="inlineStr">
        <is>
          <t>Tray</t>
        </is>
      </c>
      <c r="T1842" s="16" t="n">
        <v>0</v>
      </c>
      <c r="U1842" s="16" t="n">
        <v>86</v>
      </c>
      <c r="V1842" s="16">
        <f>ROUNDUP((T1842+U1842+2*'Read Me'!$B$13)*(1+'Read Me'!$B$12),-1)</f>
        <v/>
      </c>
      <c r="W1842" s="16">
        <f>V1842*N1842*O1842</f>
        <v/>
      </c>
      <c r="X1842" s="12">
        <f>IF(LEFT(I1842,2)="MV",2*N1842*IF(L1842="1/C",O1842,1),0)</f>
        <v/>
      </c>
      <c r="Y1842" s="12">
        <f>IF(OR(LEFT(K1842,4)="LVAX",LEFT(K1842,6)="MV15AX",LEFT(K1842,4)="CTAX",LEFT(K1842,2)="W|"),2*N1842*O1842,0)</f>
        <v/>
      </c>
      <c r="Z1842" s="12" t="inlineStr">
        <is>
          <t>VD 0.1 %</t>
        </is>
      </c>
      <c r="AA1842" s="12">
        <f>N1842*O1842</f>
        <v/>
      </c>
    </row>
    <row r="1843">
      <c r="A1843" s="12" t="inlineStr">
        <is>
          <t>A-P-0476</t>
        </is>
      </c>
      <c r="B1843" s="12" t="inlineStr">
        <is>
          <t>A</t>
        </is>
      </c>
      <c r="C1843" s="12" t="inlineStr">
        <is>
          <t>Power block</t>
        </is>
      </c>
      <c r="D1843" s="12" t="inlineStr">
        <is>
          <t>Motor 1 of 6, 2 kW</t>
        </is>
      </c>
      <c r="E1843" s="12" t="inlineStr">
        <is>
          <t>R2B</t>
        </is>
      </c>
      <c r="F1843" s="12" t="inlineStr">
        <is>
          <t>R2B: unit / HRSG electrical e-house (32 x 40 ft)</t>
        </is>
      </c>
      <c r="G1843" s="12" t="inlineStr"/>
      <c r="H1843" s="12" t="inlineStr">
        <is>
          <t>T-R2B: 13.8/0.48 kV</t>
        </is>
      </c>
      <c r="I1843" s="12" t="inlineStr">
        <is>
          <t>LV 600 V</t>
        </is>
      </c>
      <c r="J1843" s="12" t="inlineStr">
        <is>
          <t>Type TC-ER 600 V 3/C Cu XHHW-2 + ground, PVC jacket</t>
        </is>
      </c>
      <c r="K1843" s="12" t="inlineStr">
        <is>
          <t>LV|3/C+G|10</t>
        </is>
      </c>
      <c r="L1843" s="12" t="inlineStr">
        <is>
          <t>3/C+G</t>
        </is>
      </c>
      <c r="M1843" s="12" t="inlineStr">
        <is>
          <t>10</t>
        </is>
      </c>
      <c r="N1843" s="12" t="n">
        <v>1</v>
      </c>
      <c r="O1843" s="12" t="n">
        <v>1</v>
      </c>
      <c r="P1843" s="12" t="n">
        <v>480</v>
      </c>
      <c r="Q1843" s="12" t="n">
        <v>2</v>
      </c>
      <c r="R1843" s="12" t="n">
        <v>2.8</v>
      </c>
      <c r="S1843" s="12" t="inlineStr">
        <is>
          <t>Tray</t>
        </is>
      </c>
      <c r="T1843" s="16" t="n">
        <v>0</v>
      </c>
      <c r="U1843" s="16" t="n">
        <v>97</v>
      </c>
      <c r="V1843" s="16">
        <f>ROUNDUP((T1843+U1843+2*'Read Me'!$B$13)*(1+'Read Me'!$B$12),-1)</f>
        <v/>
      </c>
      <c r="W1843" s="16">
        <f>V1843*N1843*O1843</f>
        <v/>
      </c>
      <c r="X1843" s="12">
        <f>IF(LEFT(I1843,2)="MV",2*N1843*IF(L1843="1/C",O1843,1),0)</f>
        <v/>
      </c>
      <c r="Y1843" s="12">
        <f>IF(OR(LEFT(K1843,4)="LVAX",LEFT(K1843,6)="MV15AX",LEFT(K1843,4)="CTAX",LEFT(K1843,2)="W|"),2*N1843*O1843,0)</f>
        <v/>
      </c>
      <c r="Z1843" s="12" t="inlineStr">
        <is>
          <t>VD 0.1 %</t>
        </is>
      </c>
      <c r="AA1843" s="12">
        <f>N1843*O1843</f>
        <v/>
      </c>
    </row>
    <row r="1844">
      <c r="A1844" s="12" t="inlineStr">
        <is>
          <t>A-P-0477</t>
        </is>
      </c>
      <c r="B1844" s="12" t="inlineStr">
        <is>
          <t>A</t>
        </is>
      </c>
      <c r="C1844" s="12" t="inlineStr">
        <is>
          <t>Power block</t>
        </is>
      </c>
      <c r="D1844" s="12" t="inlineStr">
        <is>
          <t>Motor 2 of 6, 2 kW</t>
        </is>
      </c>
      <c r="E1844" s="12" t="inlineStr">
        <is>
          <t>R2B</t>
        </is>
      </c>
      <c r="F1844" s="12" t="inlineStr">
        <is>
          <t>R2B: unit / HRSG electrical e-house (32 x 40 ft)</t>
        </is>
      </c>
      <c r="G1844" s="12" t="inlineStr"/>
      <c r="H1844" s="12" t="inlineStr">
        <is>
          <t>T-R2B: 13.8/0.48 kV</t>
        </is>
      </c>
      <c r="I1844" s="12" t="inlineStr">
        <is>
          <t>LV 600 V</t>
        </is>
      </c>
      <c r="J1844" s="12" t="inlineStr">
        <is>
          <t>Type TC-ER 600 V 3/C Cu XHHW-2 + ground, PVC jacket</t>
        </is>
      </c>
      <c r="K1844" s="12" t="inlineStr">
        <is>
          <t>LV|3/C+G|10</t>
        </is>
      </c>
      <c r="L1844" s="12" t="inlineStr">
        <is>
          <t>3/C+G</t>
        </is>
      </c>
      <c r="M1844" s="12" t="inlineStr">
        <is>
          <t>10</t>
        </is>
      </c>
      <c r="N1844" s="12" t="n">
        <v>1</v>
      </c>
      <c r="O1844" s="12" t="n">
        <v>1</v>
      </c>
      <c r="P1844" s="12" t="n">
        <v>480</v>
      </c>
      <c r="Q1844" s="12" t="n">
        <v>2</v>
      </c>
      <c r="R1844" s="12" t="n">
        <v>2.8</v>
      </c>
      <c r="S1844" s="12" t="inlineStr">
        <is>
          <t>Tray</t>
        </is>
      </c>
      <c r="T1844" s="16" t="n">
        <v>0</v>
      </c>
      <c r="U1844" s="16" t="n">
        <v>97</v>
      </c>
      <c r="V1844" s="16">
        <f>ROUNDUP((T1844+U1844+2*'Read Me'!$B$13)*(1+'Read Me'!$B$12),-1)</f>
        <v/>
      </c>
      <c r="W1844" s="16">
        <f>V1844*N1844*O1844</f>
        <v/>
      </c>
      <c r="X1844" s="12">
        <f>IF(LEFT(I1844,2)="MV",2*N1844*IF(L1844="1/C",O1844,1),0)</f>
        <v/>
      </c>
      <c r="Y1844" s="12">
        <f>IF(OR(LEFT(K1844,4)="LVAX",LEFT(K1844,6)="MV15AX",LEFT(K1844,4)="CTAX",LEFT(K1844,2)="W|"),2*N1844*O1844,0)</f>
        <v/>
      </c>
      <c r="Z1844" s="12" t="inlineStr">
        <is>
          <t>VD 0.1 %</t>
        </is>
      </c>
      <c r="AA1844" s="12">
        <f>N1844*O1844</f>
        <v/>
      </c>
    </row>
    <row r="1845">
      <c r="A1845" s="12" t="inlineStr">
        <is>
          <t>A-P-0478</t>
        </is>
      </c>
      <c r="B1845" s="12" t="inlineStr">
        <is>
          <t>A</t>
        </is>
      </c>
      <c r="C1845" s="12" t="inlineStr">
        <is>
          <t>Power block</t>
        </is>
      </c>
      <c r="D1845" s="12" t="inlineStr">
        <is>
          <t>Motor 3 of 6, 2 kW</t>
        </is>
      </c>
      <c r="E1845" s="12" t="inlineStr">
        <is>
          <t>R2B</t>
        </is>
      </c>
      <c r="F1845" s="12" t="inlineStr">
        <is>
          <t>R2B: unit / HRSG electrical e-house (32 x 40 ft)</t>
        </is>
      </c>
      <c r="G1845" s="12" t="inlineStr"/>
      <c r="H1845" s="12" t="inlineStr">
        <is>
          <t>T-R2B: 13.8/0.48 kV</t>
        </is>
      </c>
      <c r="I1845" s="12" t="inlineStr">
        <is>
          <t>LV 600 V</t>
        </is>
      </c>
      <c r="J1845" s="12" t="inlineStr">
        <is>
          <t>Type TC-ER 600 V 3/C Cu XHHW-2 + ground, PVC jacket</t>
        </is>
      </c>
      <c r="K1845" s="12" t="inlineStr">
        <is>
          <t>LV|3/C+G|10</t>
        </is>
      </c>
      <c r="L1845" s="12" t="inlineStr">
        <is>
          <t>3/C+G</t>
        </is>
      </c>
      <c r="M1845" s="12" t="inlineStr">
        <is>
          <t>10</t>
        </is>
      </c>
      <c r="N1845" s="12" t="n">
        <v>1</v>
      </c>
      <c r="O1845" s="12" t="n">
        <v>1</v>
      </c>
      <c r="P1845" s="12" t="n">
        <v>480</v>
      </c>
      <c r="Q1845" s="12" t="n">
        <v>2</v>
      </c>
      <c r="R1845" s="12" t="n">
        <v>2.8</v>
      </c>
      <c r="S1845" s="12" t="inlineStr">
        <is>
          <t>Tray</t>
        </is>
      </c>
      <c r="T1845" s="16" t="n">
        <v>0</v>
      </c>
      <c r="U1845" s="16" t="n">
        <v>97</v>
      </c>
      <c r="V1845" s="16">
        <f>ROUNDUP((T1845+U1845+2*'Read Me'!$B$13)*(1+'Read Me'!$B$12),-1)</f>
        <v/>
      </c>
      <c r="W1845" s="16">
        <f>V1845*N1845*O1845</f>
        <v/>
      </c>
      <c r="X1845" s="12">
        <f>IF(LEFT(I1845,2)="MV",2*N1845*IF(L1845="1/C",O1845,1),0)</f>
        <v/>
      </c>
      <c r="Y1845" s="12">
        <f>IF(OR(LEFT(K1845,4)="LVAX",LEFT(K1845,6)="MV15AX",LEFT(K1845,4)="CTAX",LEFT(K1845,2)="W|"),2*N1845*O1845,0)</f>
        <v/>
      </c>
      <c r="Z1845" s="12" t="inlineStr">
        <is>
          <t>VD 0.1 %</t>
        </is>
      </c>
      <c r="AA1845" s="12">
        <f>N1845*O1845</f>
        <v/>
      </c>
    </row>
    <row r="1846">
      <c r="A1846" s="12" t="inlineStr">
        <is>
          <t>A-P-0479</t>
        </is>
      </c>
      <c r="B1846" s="12" t="inlineStr">
        <is>
          <t>A</t>
        </is>
      </c>
      <c r="C1846" s="12" t="inlineStr">
        <is>
          <t>Power block</t>
        </is>
      </c>
      <c r="D1846" s="12" t="inlineStr">
        <is>
          <t>Motor 4 of 6, 2 kW</t>
        </is>
      </c>
      <c r="E1846" s="12" t="inlineStr">
        <is>
          <t>R2B</t>
        </is>
      </c>
      <c r="F1846" s="12" t="inlineStr">
        <is>
          <t>R2B: unit / HRSG electrical e-house (32 x 40 ft)</t>
        </is>
      </c>
      <c r="G1846" s="12" t="inlineStr"/>
      <c r="H1846" s="12" t="inlineStr">
        <is>
          <t>T-R2B: 13.8/0.48 kV</t>
        </is>
      </c>
      <c r="I1846" s="12" t="inlineStr">
        <is>
          <t>LV 600 V</t>
        </is>
      </c>
      <c r="J1846" s="12" t="inlineStr">
        <is>
          <t>Type TC-ER 600 V 3/C Cu XHHW-2 + ground, PVC jacket</t>
        </is>
      </c>
      <c r="K1846" s="12" t="inlineStr">
        <is>
          <t>LV|3/C+G|10</t>
        </is>
      </c>
      <c r="L1846" s="12" t="inlineStr">
        <is>
          <t>3/C+G</t>
        </is>
      </c>
      <c r="M1846" s="12" t="inlineStr">
        <is>
          <t>10</t>
        </is>
      </c>
      <c r="N1846" s="12" t="n">
        <v>1</v>
      </c>
      <c r="O1846" s="12" t="n">
        <v>1</v>
      </c>
      <c r="P1846" s="12" t="n">
        <v>480</v>
      </c>
      <c r="Q1846" s="12" t="n">
        <v>2</v>
      </c>
      <c r="R1846" s="12" t="n">
        <v>2.8</v>
      </c>
      <c r="S1846" s="12" t="inlineStr">
        <is>
          <t>Tray</t>
        </is>
      </c>
      <c r="T1846" s="16" t="n">
        <v>0</v>
      </c>
      <c r="U1846" s="16" t="n">
        <v>97</v>
      </c>
      <c r="V1846" s="16">
        <f>ROUNDUP((T1846+U1846+2*'Read Me'!$B$13)*(1+'Read Me'!$B$12),-1)</f>
        <v/>
      </c>
      <c r="W1846" s="16">
        <f>V1846*N1846*O1846</f>
        <v/>
      </c>
      <c r="X1846" s="12">
        <f>IF(LEFT(I1846,2)="MV",2*N1846*IF(L1846="1/C",O1846,1),0)</f>
        <v/>
      </c>
      <c r="Y1846" s="12">
        <f>IF(OR(LEFT(K1846,4)="LVAX",LEFT(K1846,6)="MV15AX",LEFT(K1846,4)="CTAX",LEFT(K1846,2)="W|"),2*N1846*O1846,0)</f>
        <v/>
      </c>
      <c r="Z1846" s="12" t="inlineStr">
        <is>
          <t>VD 0.1 %</t>
        </is>
      </c>
      <c r="AA1846" s="12">
        <f>N1846*O1846</f>
        <v/>
      </c>
    </row>
    <row r="1847">
      <c r="A1847" s="12" t="inlineStr">
        <is>
          <t>A-P-0480</t>
        </is>
      </c>
      <c r="B1847" s="12" t="inlineStr">
        <is>
          <t>A</t>
        </is>
      </c>
      <c r="C1847" s="12" t="inlineStr">
        <is>
          <t>Power block</t>
        </is>
      </c>
      <c r="D1847" s="12" t="inlineStr">
        <is>
          <t>Motor 5 of 6, 2 kW</t>
        </is>
      </c>
      <c r="E1847" s="12" t="inlineStr">
        <is>
          <t>R2B</t>
        </is>
      </c>
      <c r="F1847" s="12" t="inlineStr">
        <is>
          <t>R2B: unit / HRSG electrical e-house (32 x 40 ft)</t>
        </is>
      </c>
      <c r="G1847" s="12" t="inlineStr"/>
      <c r="H1847" s="12" t="inlineStr">
        <is>
          <t>T-R2B: 13.8/0.48 kV</t>
        </is>
      </c>
      <c r="I1847" s="12" t="inlineStr">
        <is>
          <t>LV 600 V</t>
        </is>
      </c>
      <c r="J1847" s="12" t="inlineStr">
        <is>
          <t>Type TC-ER 600 V 3/C Cu XHHW-2 + ground, PVC jacket</t>
        </is>
      </c>
      <c r="K1847" s="12" t="inlineStr">
        <is>
          <t>LV|3/C+G|10</t>
        </is>
      </c>
      <c r="L1847" s="12" t="inlineStr">
        <is>
          <t>3/C+G</t>
        </is>
      </c>
      <c r="M1847" s="12" t="inlineStr">
        <is>
          <t>10</t>
        </is>
      </c>
      <c r="N1847" s="12" t="n">
        <v>1</v>
      </c>
      <c r="O1847" s="12" t="n">
        <v>1</v>
      </c>
      <c r="P1847" s="12" t="n">
        <v>480</v>
      </c>
      <c r="Q1847" s="12" t="n">
        <v>2</v>
      </c>
      <c r="R1847" s="12" t="n">
        <v>2.8</v>
      </c>
      <c r="S1847" s="12" t="inlineStr">
        <is>
          <t>Tray</t>
        </is>
      </c>
      <c r="T1847" s="16" t="n">
        <v>0</v>
      </c>
      <c r="U1847" s="16" t="n">
        <v>97</v>
      </c>
      <c r="V1847" s="16">
        <f>ROUNDUP((T1847+U1847+2*'Read Me'!$B$13)*(1+'Read Me'!$B$12),-1)</f>
        <v/>
      </c>
      <c r="W1847" s="16">
        <f>V1847*N1847*O1847</f>
        <v/>
      </c>
      <c r="X1847" s="12">
        <f>IF(LEFT(I1847,2)="MV",2*N1847*IF(L1847="1/C",O1847,1),0)</f>
        <v/>
      </c>
      <c r="Y1847" s="12">
        <f>IF(OR(LEFT(K1847,4)="LVAX",LEFT(K1847,6)="MV15AX",LEFT(K1847,4)="CTAX",LEFT(K1847,2)="W|"),2*N1847*O1847,0)</f>
        <v/>
      </c>
      <c r="Z1847" s="12" t="inlineStr">
        <is>
          <t>VD 0.1 %</t>
        </is>
      </c>
      <c r="AA1847" s="12">
        <f>N1847*O1847</f>
        <v/>
      </c>
    </row>
    <row r="1848">
      <c r="A1848" s="12" t="inlineStr">
        <is>
          <t>A-P-0481</t>
        </is>
      </c>
      <c r="B1848" s="12" t="inlineStr">
        <is>
          <t>A</t>
        </is>
      </c>
      <c r="C1848" s="12" t="inlineStr">
        <is>
          <t>Power block</t>
        </is>
      </c>
      <c r="D1848" s="12" t="inlineStr">
        <is>
          <t>Motor 6 of 6, 2 kW</t>
        </is>
      </c>
      <c r="E1848" s="12" t="inlineStr">
        <is>
          <t>R2B</t>
        </is>
      </c>
      <c r="F1848" s="12" t="inlineStr">
        <is>
          <t>R2B: unit / HRSG electrical e-house (32 x 40 ft)</t>
        </is>
      </c>
      <c r="G1848" s="12" t="inlineStr"/>
      <c r="H1848" s="12" t="inlineStr">
        <is>
          <t>T-R2B: 13.8/0.48 kV</t>
        </is>
      </c>
      <c r="I1848" s="12" t="inlineStr">
        <is>
          <t>LV 600 V</t>
        </is>
      </c>
      <c r="J1848" s="12" t="inlineStr">
        <is>
          <t>Type TC-ER 600 V 3/C Cu XHHW-2 + ground, PVC jacket</t>
        </is>
      </c>
      <c r="K1848" s="12" t="inlineStr">
        <is>
          <t>LV|3/C+G|10</t>
        </is>
      </c>
      <c r="L1848" s="12" t="inlineStr">
        <is>
          <t>3/C+G</t>
        </is>
      </c>
      <c r="M1848" s="12" t="inlineStr">
        <is>
          <t>10</t>
        </is>
      </c>
      <c r="N1848" s="12" t="n">
        <v>1</v>
      </c>
      <c r="O1848" s="12" t="n">
        <v>1</v>
      </c>
      <c r="P1848" s="12" t="n">
        <v>480</v>
      </c>
      <c r="Q1848" s="12" t="n">
        <v>2</v>
      </c>
      <c r="R1848" s="12" t="n">
        <v>2.8</v>
      </c>
      <c r="S1848" s="12" t="inlineStr">
        <is>
          <t>Tray</t>
        </is>
      </c>
      <c r="T1848" s="16" t="n">
        <v>0</v>
      </c>
      <c r="U1848" s="16" t="n">
        <v>97</v>
      </c>
      <c r="V1848" s="16">
        <f>ROUNDUP((T1848+U1848+2*'Read Me'!$B$13)*(1+'Read Me'!$B$12),-1)</f>
        <v/>
      </c>
      <c r="W1848" s="16">
        <f>V1848*N1848*O1848</f>
        <v/>
      </c>
      <c r="X1848" s="12">
        <f>IF(LEFT(I1848,2)="MV",2*N1848*IF(L1848="1/C",O1848,1),0)</f>
        <v/>
      </c>
      <c r="Y1848" s="12">
        <f>IF(OR(LEFT(K1848,4)="LVAX",LEFT(K1848,6)="MV15AX",LEFT(K1848,4)="CTAX",LEFT(K1848,2)="W|"),2*N1848*O1848,0)</f>
        <v/>
      </c>
      <c r="Z1848" s="12" t="inlineStr">
        <is>
          <t>VD 0.1 %</t>
        </is>
      </c>
      <c r="AA1848" s="12">
        <f>N1848*O1848</f>
        <v/>
      </c>
    </row>
    <row r="1849">
      <c r="A1849" s="12" t="inlineStr">
        <is>
          <t>A-P-0482</t>
        </is>
      </c>
      <c r="B1849" s="12" t="inlineStr">
        <is>
          <t>A</t>
        </is>
      </c>
      <c r="C1849" s="12" t="inlineStr">
        <is>
          <t>Power block</t>
        </is>
      </c>
      <c r="D1849" s="12" t="inlineStr">
        <is>
          <t>Motor 1 of 6, 2 kW</t>
        </is>
      </c>
      <c r="E1849" s="12" t="inlineStr">
        <is>
          <t>R2C</t>
        </is>
      </c>
      <c r="F1849" s="12" t="inlineStr">
        <is>
          <t>R2C: unit / HRSG electrical e-house (32 x 40 ft)</t>
        </is>
      </c>
      <c r="G1849" s="12" t="inlineStr"/>
      <c r="H1849" s="12" t="inlineStr">
        <is>
          <t>T-R2C: 13.8/0.48 kV</t>
        </is>
      </c>
      <c r="I1849" s="12" t="inlineStr">
        <is>
          <t>LV 600 V</t>
        </is>
      </c>
      <c r="J1849" s="12" t="inlineStr">
        <is>
          <t>Type TC-ER 600 V 3/C Cu XHHW-2 + ground, PVC jacket</t>
        </is>
      </c>
      <c r="K1849" s="12" t="inlineStr">
        <is>
          <t>LV|3/C+G|10</t>
        </is>
      </c>
      <c r="L1849" s="12" t="inlineStr">
        <is>
          <t>3/C+G</t>
        </is>
      </c>
      <c r="M1849" s="12" t="inlineStr">
        <is>
          <t>10</t>
        </is>
      </c>
      <c r="N1849" s="12" t="n">
        <v>1</v>
      </c>
      <c r="O1849" s="12" t="n">
        <v>1</v>
      </c>
      <c r="P1849" s="12" t="n">
        <v>480</v>
      </c>
      <c r="Q1849" s="12" t="n">
        <v>2</v>
      </c>
      <c r="R1849" s="12" t="n">
        <v>2.8</v>
      </c>
      <c r="S1849" s="12" t="inlineStr">
        <is>
          <t>Tray</t>
        </is>
      </c>
      <c r="T1849" s="16" t="n">
        <v>0</v>
      </c>
      <c r="U1849" s="16" t="n">
        <v>97</v>
      </c>
      <c r="V1849" s="16">
        <f>ROUNDUP((T1849+U1849+2*'Read Me'!$B$13)*(1+'Read Me'!$B$12),-1)</f>
        <v/>
      </c>
      <c r="W1849" s="16">
        <f>V1849*N1849*O1849</f>
        <v/>
      </c>
      <c r="X1849" s="12">
        <f>IF(LEFT(I1849,2)="MV",2*N1849*IF(L1849="1/C",O1849,1),0)</f>
        <v/>
      </c>
      <c r="Y1849" s="12">
        <f>IF(OR(LEFT(K1849,4)="LVAX",LEFT(K1849,6)="MV15AX",LEFT(K1849,4)="CTAX",LEFT(K1849,2)="W|"),2*N1849*O1849,0)</f>
        <v/>
      </c>
      <c r="Z1849" s="12" t="inlineStr">
        <is>
          <t>VD 0.1 %</t>
        </is>
      </c>
      <c r="AA1849" s="12">
        <f>N1849*O1849</f>
        <v/>
      </c>
    </row>
    <row r="1850">
      <c r="A1850" s="12" t="inlineStr">
        <is>
          <t>A-P-0483</t>
        </is>
      </c>
      <c r="B1850" s="12" t="inlineStr">
        <is>
          <t>A</t>
        </is>
      </c>
      <c r="C1850" s="12" t="inlineStr">
        <is>
          <t>Power block</t>
        </is>
      </c>
      <c r="D1850" s="12" t="inlineStr">
        <is>
          <t>Motor 2 of 6, 2 kW</t>
        </is>
      </c>
      <c r="E1850" s="12" t="inlineStr">
        <is>
          <t>R2C</t>
        </is>
      </c>
      <c r="F1850" s="12" t="inlineStr">
        <is>
          <t>R2C: unit / HRSG electrical e-house (32 x 40 ft)</t>
        </is>
      </c>
      <c r="G1850" s="12" t="inlineStr"/>
      <c r="H1850" s="12" t="inlineStr">
        <is>
          <t>T-R2C: 13.8/0.48 kV</t>
        </is>
      </c>
      <c r="I1850" s="12" t="inlineStr">
        <is>
          <t>LV 600 V</t>
        </is>
      </c>
      <c r="J1850" s="12" t="inlineStr">
        <is>
          <t>Type TC-ER 600 V 3/C Cu XHHW-2 + ground, PVC jacket</t>
        </is>
      </c>
      <c r="K1850" s="12" t="inlineStr">
        <is>
          <t>LV|3/C+G|10</t>
        </is>
      </c>
      <c r="L1850" s="12" t="inlineStr">
        <is>
          <t>3/C+G</t>
        </is>
      </c>
      <c r="M1850" s="12" t="inlineStr">
        <is>
          <t>10</t>
        </is>
      </c>
      <c r="N1850" s="12" t="n">
        <v>1</v>
      </c>
      <c r="O1850" s="12" t="n">
        <v>1</v>
      </c>
      <c r="P1850" s="12" t="n">
        <v>480</v>
      </c>
      <c r="Q1850" s="12" t="n">
        <v>2</v>
      </c>
      <c r="R1850" s="12" t="n">
        <v>2.8</v>
      </c>
      <c r="S1850" s="12" t="inlineStr">
        <is>
          <t>Tray</t>
        </is>
      </c>
      <c r="T1850" s="16" t="n">
        <v>0</v>
      </c>
      <c r="U1850" s="16" t="n">
        <v>97</v>
      </c>
      <c r="V1850" s="16">
        <f>ROUNDUP((T1850+U1850+2*'Read Me'!$B$13)*(1+'Read Me'!$B$12),-1)</f>
        <v/>
      </c>
      <c r="W1850" s="16">
        <f>V1850*N1850*O1850</f>
        <v/>
      </c>
      <c r="X1850" s="12">
        <f>IF(LEFT(I1850,2)="MV",2*N1850*IF(L1850="1/C",O1850,1),0)</f>
        <v/>
      </c>
      <c r="Y1850" s="12">
        <f>IF(OR(LEFT(K1850,4)="LVAX",LEFT(K1850,6)="MV15AX",LEFT(K1850,4)="CTAX",LEFT(K1850,2)="W|"),2*N1850*O1850,0)</f>
        <v/>
      </c>
      <c r="Z1850" s="12" t="inlineStr">
        <is>
          <t>VD 0.1 %</t>
        </is>
      </c>
      <c r="AA1850" s="12">
        <f>N1850*O1850</f>
        <v/>
      </c>
    </row>
    <row r="1851">
      <c r="A1851" s="12" t="inlineStr">
        <is>
          <t>A-P-0484</t>
        </is>
      </c>
      <c r="B1851" s="12" t="inlineStr">
        <is>
          <t>A</t>
        </is>
      </c>
      <c r="C1851" s="12" t="inlineStr">
        <is>
          <t>Power block</t>
        </is>
      </c>
      <c r="D1851" s="12" t="inlineStr">
        <is>
          <t>Motor 3 of 6, 2 kW</t>
        </is>
      </c>
      <c r="E1851" s="12" t="inlineStr">
        <is>
          <t>R2C</t>
        </is>
      </c>
      <c r="F1851" s="12" t="inlineStr">
        <is>
          <t>R2C: unit / HRSG electrical e-house (32 x 40 ft)</t>
        </is>
      </c>
      <c r="G1851" s="12" t="inlineStr"/>
      <c r="H1851" s="12" t="inlineStr">
        <is>
          <t>T-R2C: 13.8/0.48 kV</t>
        </is>
      </c>
      <c r="I1851" s="12" t="inlineStr">
        <is>
          <t>LV 600 V</t>
        </is>
      </c>
      <c r="J1851" s="12" t="inlineStr">
        <is>
          <t>Type TC-ER 600 V 3/C Cu XHHW-2 + ground, PVC jacket</t>
        </is>
      </c>
      <c r="K1851" s="12" t="inlineStr">
        <is>
          <t>LV|3/C+G|10</t>
        </is>
      </c>
      <c r="L1851" s="12" t="inlineStr">
        <is>
          <t>3/C+G</t>
        </is>
      </c>
      <c r="M1851" s="12" t="inlineStr">
        <is>
          <t>10</t>
        </is>
      </c>
      <c r="N1851" s="12" t="n">
        <v>1</v>
      </c>
      <c r="O1851" s="12" t="n">
        <v>1</v>
      </c>
      <c r="P1851" s="12" t="n">
        <v>480</v>
      </c>
      <c r="Q1851" s="12" t="n">
        <v>2</v>
      </c>
      <c r="R1851" s="12" t="n">
        <v>2.8</v>
      </c>
      <c r="S1851" s="12" t="inlineStr">
        <is>
          <t>Tray</t>
        </is>
      </c>
      <c r="T1851" s="16" t="n">
        <v>0</v>
      </c>
      <c r="U1851" s="16" t="n">
        <v>97</v>
      </c>
      <c r="V1851" s="16">
        <f>ROUNDUP((T1851+U1851+2*'Read Me'!$B$13)*(1+'Read Me'!$B$12),-1)</f>
        <v/>
      </c>
      <c r="W1851" s="16">
        <f>V1851*N1851*O1851</f>
        <v/>
      </c>
      <c r="X1851" s="12">
        <f>IF(LEFT(I1851,2)="MV",2*N1851*IF(L1851="1/C",O1851,1),0)</f>
        <v/>
      </c>
      <c r="Y1851" s="12">
        <f>IF(OR(LEFT(K1851,4)="LVAX",LEFT(K1851,6)="MV15AX",LEFT(K1851,4)="CTAX",LEFT(K1851,2)="W|"),2*N1851*O1851,0)</f>
        <v/>
      </c>
      <c r="Z1851" s="12" t="inlineStr">
        <is>
          <t>VD 0.1 %</t>
        </is>
      </c>
      <c r="AA1851" s="12">
        <f>N1851*O1851</f>
        <v/>
      </c>
    </row>
    <row r="1852">
      <c r="A1852" s="12" t="inlineStr">
        <is>
          <t>A-P-0485</t>
        </is>
      </c>
      <c r="B1852" s="12" t="inlineStr">
        <is>
          <t>A</t>
        </is>
      </c>
      <c r="C1852" s="12" t="inlineStr">
        <is>
          <t>Power block</t>
        </is>
      </c>
      <c r="D1852" s="12" t="inlineStr">
        <is>
          <t>Motor 4 of 6, 2 kW</t>
        </is>
      </c>
      <c r="E1852" s="12" t="inlineStr">
        <is>
          <t>R2C</t>
        </is>
      </c>
      <c r="F1852" s="12" t="inlineStr">
        <is>
          <t>R2C: unit / HRSG electrical e-house (32 x 40 ft)</t>
        </is>
      </c>
      <c r="G1852" s="12" t="inlineStr"/>
      <c r="H1852" s="12" t="inlineStr">
        <is>
          <t>T-R2C: 13.8/0.48 kV</t>
        </is>
      </c>
      <c r="I1852" s="12" t="inlineStr">
        <is>
          <t>LV 600 V</t>
        </is>
      </c>
      <c r="J1852" s="12" t="inlineStr">
        <is>
          <t>Type TC-ER 600 V 3/C Cu XHHW-2 + ground, PVC jacket</t>
        </is>
      </c>
      <c r="K1852" s="12" t="inlineStr">
        <is>
          <t>LV|3/C+G|10</t>
        </is>
      </c>
      <c r="L1852" s="12" t="inlineStr">
        <is>
          <t>3/C+G</t>
        </is>
      </c>
      <c r="M1852" s="12" t="inlineStr">
        <is>
          <t>10</t>
        </is>
      </c>
      <c r="N1852" s="12" t="n">
        <v>1</v>
      </c>
      <c r="O1852" s="12" t="n">
        <v>1</v>
      </c>
      <c r="P1852" s="12" t="n">
        <v>480</v>
      </c>
      <c r="Q1852" s="12" t="n">
        <v>2</v>
      </c>
      <c r="R1852" s="12" t="n">
        <v>2.8</v>
      </c>
      <c r="S1852" s="12" t="inlineStr">
        <is>
          <t>Tray</t>
        </is>
      </c>
      <c r="T1852" s="16" t="n">
        <v>0</v>
      </c>
      <c r="U1852" s="16" t="n">
        <v>97</v>
      </c>
      <c r="V1852" s="16">
        <f>ROUNDUP((T1852+U1852+2*'Read Me'!$B$13)*(1+'Read Me'!$B$12),-1)</f>
        <v/>
      </c>
      <c r="W1852" s="16">
        <f>V1852*N1852*O1852</f>
        <v/>
      </c>
      <c r="X1852" s="12">
        <f>IF(LEFT(I1852,2)="MV",2*N1852*IF(L1852="1/C",O1852,1),0)</f>
        <v/>
      </c>
      <c r="Y1852" s="12">
        <f>IF(OR(LEFT(K1852,4)="LVAX",LEFT(K1852,6)="MV15AX",LEFT(K1852,4)="CTAX",LEFT(K1852,2)="W|"),2*N1852*O1852,0)</f>
        <v/>
      </c>
      <c r="Z1852" s="12" t="inlineStr">
        <is>
          <t>VD 0.1 %</t>
        </is>
      </c>
      <c r="AA1852" s="12">
        <f>N1852*O1852</f>
        <v/>
      </c>
    </row>
    <row r="1853">
      <c r="A1853" s="12" t="inlineStr">
        <is>
          <t>A-P-0486</t>
        </is>
      </c>
      <c r="B1853" s="12" t="inlineStr">
        <is>
          <t>A</t>
        </is>
      </c>
      <c r="C1853" s="12" t="inlineStr">
        <is>
          <t>Power block</t>
        </is>
      </c>
      <c r="D1853" s="12" t="inlineStr">
        <is>
          <t>Motor 5 of 6, 2 kW</t>
        </is>
      </c>
      <c r="E1853" s="12" t="inlineStr">
        <is>
          <t>R2C</t>
        </is>
      </c>
      <c r="F1853" s="12" t="inlineStr">
        <is>
          <t>R2C: unit / HRSG electrical e-house (32 x 40 ft)</t>
        </is>
      </c>
      <c r="G1853" s="12" t="inlineStr"/>
      <c r="H1853" s="12" t="inlineStr">
        <is>
          <t>T-R2C: 13.8/0.48 kV</t>
        </is>
      </c>
      <c r="I1853" s="12" t="inlineStr">
        <is>
          <t>LV 600 V</t>
        </is>
      </c>
      <c r="J1853" s="12" t="inlineStr">
        <is>
          <t>Type TC-ER 600 V 3/C Cu XHHW-2 + ground, PVC jacket</t>
        </is>
      </c>
      <c r="K1853" s="12" t="inlineStr">
        <is>
          <t>LV|3/C+G|10</t>
        </is>
      </c>
      <c r="L1853" s="12" t="inlineStr">
        <is>
          <t>3/C+G</t>
        </is>
      </c>
      <c r="M1853" s="12" t="inlineStr">
        <is>
          <t>10</t>
        </is>
      </c>
      <c r="N1853" s="12" t="n">
        <v>1</v>
      </c>
      <c r="O1853" s="12" t="n">
        <v>1</v>
      </c>
      <c r="P1853" s="12" t="n">
        <v>480</v>
      </c>
      <c r="Q1853" s="12" t="n">
        <v>2</v>
      </c>
      <c r="R1853" s="12" t="n">
        <v>2.8</v>
      </c>
      <c r="S1853" s="12" t="inlineStr">
        <is>
          <t>Tray</t>
        </is>
      </c>
      <c r="T1853" s="16" t="n">
        <v>0</v>
      </c>
      <c r="U1853" s="16" t="n">
        <v>97</v>
      </c>
      <c r="V1853" s="16">
        <f>ROUNDUP((T1853+U1853+2*'Read Me'!$B$13)*(1+'Read Me'!$B$12),-1)</f>
        <v/>
      </c>
      <c r="W1853" s="16">
        <f>V1853*N1853*O1853</f>
        <v/>
      </c>
      <c r="X1853" s="12">
        <f>IF(LEFT(I1853,2)="MV",2*N1853*IF(L1853="1/C",O1853,1),0)</f>
        <v/>
      </c>
      <c r="Y1853" s="12">
        <f>IF(OR(LEFT(K1853,4)="LVAX",LEFT(K1853,6)="MV15AX",LEFT(K1853,4)="CTAX",LEFT(K1853,2)="W|"),2*N1853*O1853,0)</f>
        <v/>
      </c>
      <c r="Z1853" s="12" t="inlineStr">
        <is>
          <t>VD 0.1 %</t>
        </is>
      </c>
      <c r="AA1853" s="12">
        <f>N1853*O1853</f>
        <v/>
      </c>
    </row>
    <row r="1854">
      <c r="A1854" s="12" t="inlineStr">
        <is>
          <t>A-P-0487</t>
        </is>
      </c>
      <c r="B1854" s="12" t="inlineStr">
        <is>
          <t>A</t>
        </is>
      </c>
      <c r="C1854" s="12" t="inlineStr">
        <is>
          <t>Power block</t>
        </is>
      </c>
      <c r="D1854" s="12" t="inlineStr">
        <is>
          <t>Motor 6 of 6, 2 kW</t>
        </is>
      </c>
      <c r="E1854" s="12" t="inlineStr">
        <is>
          <t>R2C</t>
        </is>
      </c>
      <c r="F1854" s="12" t="inlineStr">
        <is>
          <t>R2C: unit / HRSG electrical e-house (32 x 40 ft)</t>
        </is>
      </c>
      <c r="G1854" s="12" t="inlineStr"/>
      <c r="H1854" s="12" t="inlineStr">
        <is>
          <t>T-R2C: 13.8/0.48 kV</t>
        </is>
      </c>
      <c r="I1854" s="12" t="inlineStr">
        <is>
          <t>LV 600 V</t>
        </is>
      </c>
      <c r="J1854" s="12" t="inlineStr">
        <is>
          <t>Type TC-ER 600 V 3/C Cu XHHW-2 + ground, PVC jacket</t>
        </is>
      </c>
      <c r="K1854" s="12" t="inlineStr">
        <is>
          <t>LV|3/C+G|10</t>
        </is>
      </c>
      <c r="L1854" s="12" t="inlineStr">
        <is>
          <t>3/C+G</t>
        </is>
      </c>
      <c r="M1854" s="12" t="inlineStr">
        <is>
          <t>10</t>
        </is>
      </c>
      <c r="N1854" s="12" t="n">
        <v>1</v>
      </c>
      <c r="O1854" s="12" t="n">
        <v>1</v>
      </c>
      <c r="P1854" s="12" t="n">
        <v>480</v>
      </c>
      <c r="Q1854" s="12" t="n">
        <v>2</v>
      </c>
      <c r="R1854" s="12" t="n">
        <v>2.8</v>
      </c>
      <c r="S1854" s="12" t="inlineStr">
        <is>
          <t>Tray</t>
        </is>
      </c>
      <c r="T1854" s="16" t="n">
        <v>0</v>
      </c>
      <c r="U1854" s="16" t="n">
        <v>97</v>
      </c>
      <c r="V1854" s="16">
        <f>ROUNDUP((T1854+U1854+2*'Read Me'!$B$13)*(1+'Read Me'!$B$12),-1)</f>
        <v/>
      </c>
      <c r="W1854" s="16">
        <f>V1854*N1854*O1854</f>
        <v/>
      </c>
      <c r="X1854" s="12">
        <f>IF(LEFT(I1854,2)="MV",2*N1854*IF(L1854="1/C",O1854,1),0)</f>
        <v/>
      </c>
      <c r="Y1854" s="12">
        <f>IF(OR(LEFT(K1854,4)="LVAX",LEFT(K1854,6)="MV15AX",LEFT(K1854,4)="CTAX",LEFT(K1854,2)="W|"),2*N1854*O1854,0)</f>
        <v/>
      </c>
      <c r="Z1854" s="12" t="inlineStr">
        <is>
          <t>VD 0.1 %</t>
        </is>
      </c>
      <c r="AA1854" s="12">
        <f>N1854*O1854</f>
        <v/>
      </c>
    </row>
    <row r="1855">
      <c r="A1855" s="12" t="inlineStr">
        <is>
          <t>A-P-0488</t>
        </is>
      </c>
      <c r="B1855" s="12" t="inlineStr">
        <is>
          <t>A</t>
        </is>
      </c>
      <c r="C1855" s="12" t="inlineStr">
        <is>
          <t>Power block</t>
        </is>
      </c>
      <c r="D1855" s="12" t="inlineStr">
        <is>
          <t>Motor 1 of 6, 2 kW</t>
        </is>
      </c>
      <c r="E1855" s="12" t="inlineStr">
        <is>
          <t>R3</t>
        </is>
      </c>
      <c r="F1855" s="12" t="inlineStr">
        <is>
          <t>R3: ST auxiliary electrical e-house (40 x 65 ft)</t>
        </is>
      </c>
      <c r="G1855" s="12" t="inlineStr"/>
      <c r="H1855" s="12" t="inlineStr">
        <is>
          <t>T-R3: 13.8/0.48 kV</t>
        </is>
      </c>
      <c r="I1855" s="12" t="inlineStr">
        <is>
          <t>LV 600 V</t>
        </is>
      </c>
      <c r="J1855" s="12" t="inlineStr">
        <is>
          <t>Type TC-ER 600 V 3/C Cu XHHW-2 + ground, PVC jacket</t>
        </is>
      </c>
      <c r="K1855" s="12" t="inlineStr">
        <is>
          <t>LV|3/C+G|10</t>
        </is>
      </c>
      <c r="L1855" s="12" t="inlineStr">
        <is>
          <t>3/C+G</t>
        </is>
      </c>
      <c r="M1855" s="12" t="inlineStr">
        <is>
          <t>10</t>
        </is>
      </c>
      <c r="N1855" s="12" t="n">
        <v>1</v>
      </c>
      <c r="O1855" s="12" t="n">
        <v>1</v>
      </c>
      <c r="P1855" s="12" t="n">
        <v>480</v>
      </c>
      <c r="Q1855" s="12" t="n">
        <v>2</v>
      </c>
      <c r="R1855" s="12" t="n">
        <v>2.8</v>
      </c>
      <c r="S1855" s="12" t="inlineStr">
        <is>
          <t>Duct bank</t>
        </is>
      </c>
      <c r="T1855" s="16" t="n">
        <v>0</v>
      </c>
      <c r="U1855" s="16" t="n">
        <v>71</v>
      </c>
      <c r="V1855" s="16">
        <f>ROUNDUP((T1855+U1855+2*'Read Me'!$B$13)*(1+'Read Me'!$B$12),-1)</f>
        <v/>
      </c>
      <c r="W1855" s="16">
        <f>V1855*N1855*O1855</f>
        <v/>
      </c>
      <c r="X1855" s="12">
        <f>IF(LEFT(I1855,2)="MV",2*N1855*IF(L1855="1/C",O1855,1),0)</f>
        <v/>
      </c>
      <c r="Y1855" s="12">
        <f>IF(OR(LEFT(K1855,4)="LVAX",LEFT(K1855,6)="MV15AX",LEFT(K1855,4)="CTAX",LEFT(K1855,2)="W|"),2*N1855*O1855,0)</f>
        <v/>
      </c>
      <c r="Z1855" s="12" t="inlineStr">
        <is>
          <t>VD 0.1 %</t>
        </is>
      </c>
      <c r="AA1855" s="12">
        <f>N1855*O1855</f>
        <v/>
      </c>
    </row>
    <row r="1856">
      <c r="A1856" s="12" t="inlineStr">
        <is>
          <t>A-P-0489</t>
        </is>
      </c>
      <c r="B1856" s="12" t="inlineStr">
        <is>
          <t>A</t>
        </is>
      </c>
      <c r="C1856" s="12" t="inlineStr">
        <is>
          <t>Power block</t>
        </is>
      </c>
      <c r="D1856" s="12" t="inlineStr">
        <is>
          <t>Motor 2 of 6, 2 kW</t>
        </is>
      </c>
      <c r="E1856" s="12" t="inlineStr">
        <is>
          <t>R3</t>
        </is>
      </c>
      <c r="F1856" s="12" t="inlineStr">
        <is>
          <t>R3: ST auxiliary electrical e-house (40 x 65 ft)</t>
        </is>
      </c>
      <c r="G1856" s="12" t="inlineStr"/>
      <c r="H1856" s="12" t="inlineStr">
        <is>
          <t>T-R3: 13.8/0.48 kV</t>
        </is>
      </c>
      <c r="I1856" s="12" t="inlineStr">
        <is>
          <t>LV 600 V</t>
        </is>
      </c>
      <c r="J1856" s="12" t="inlineStr">
        <is>
          <t>Type TC-ER 600 V 3/C Cu XHHW-2 + ground, PVC jacket</t>
        </is>
      </c>
      <c r="K1856" s="12" t="inlineStr">
        <is>
          <t>LV|3/C+G|10</t>
        </is>
      </c>
      <c r="L1856" s="12" t="inlineStr">
        <is>
          <t>3/C+G</t>
        </is>
      </c>
      <c r="M1856" s="12" t="inlineStr">
        <is>
          <t>10</t>
        </is>
      </c>
      <c r="N1856" s="12" t="n">
        <v>1</v>
      </c>
      <c r="O1856" s="12" t="n">
        <v>1</v>
      </c>
      <c r="P1856" s="12" t="n">
        <v>480</v>
      </c>
      <c r="Q1856" s="12" t="n">
        <v>2</v>
      </c>
      <c r="R1856" s="12" t="n">
        <v>2.8</v>
      </c>
      <c r="S1856" s="12" t="inlineStr">
        <is>
          <t>Duct bank</t>
        </is>
      </c>
      <c r="T1856" s="16" t="n">
        <v>0</v>
      </c>
      <c r="U1856" s="16" t="n">
        <v>71</v>
      </c>
      <c r="V1856" s="16">
        <f>ROUNDUP((T1856+U1856+2*'Read Me'!$B$13)*(1+'Read Me'!$B$12),-1)</f>
        <v/>
      </c>
      <c r="W1856" s="16">
        <f>V1856*N1856*O1856</f>
        <v/>
      </c>
      <c r="X1856" s="12">
        <f>IF(LEFT(I1856,2)="MV",2*N1856*IF(L1856="1/C",O1856,1),0)</f>
        <v/>
      </c>
      <c r="Y1856" s="12">
        <f>IF(OR(LEFT(K1856,4)="LVAX",LEFT(K1856,6)="MV15AX",LEFT(K1856,4)="CTAX",LEFT(K1856,2)="W|"),2*N1856*O1856,0)</f>
        <v/>
      </c>
      <c r="Z1856" s="12" t="inlineStr">
        <is>
          <t>VD 0.1 %</t>
        </is>
      </c>
      <c r="AA1856" s="12">
        <f>N1856*O1856</f>
        <v/>
      </c>
    </row>
    <row r="1857">
      <c r="A1857" s="12" t="inlineStr">
        <is>
          <t>A-P-0490</t>
        </is>
      </c>
      <c r="B1857" s="12" t="inlineStr">
        <is>
          <t>A</t>
        </is>
      </c>
      <c r="C1857" s="12" t="inlineStr">
        <is>
          <t>Power block</t>
        </is>
      </c>
      <c r="D1857" s="12" t="inlineStr">
        <is>
          <t>Motor 3 of 6, 2 kW</t>
        </is>
      </c>
      <c r="E1857" s="12" t="inlineStr">
        <is>
          <t>R3</t>
        </is>
      </c>
      <c r="F1857" s="12" t="inlineStr">
        <is>
          <t>R3: ST auxiliary electrical e-house (40 x 65 ft)</t>
        </is>
      </c>
      <c r="G1857" s="12" t="inlineStr"/>
      <c r="H1857" s="12" t="inlineStr">
        <is>
          <t>T-R3: 13.8/0.48 kV</t>
        </is>
      </c>
      <c r="I1857" s="12" t="inlineStr">
        <is>
          <t>LV 600 V</t>
        </is>
      </c>
      <c r="J1857" s="12" t="inlineStr">
        <is>
          <t>Type TC-ER 600 V 3/C Cu XHHW-2 + ground, PVC jacket</t>
        </is>
      </c>
      <c r="K1857" s="12" t="inlineStr">
        <is>
          <t>LV|3/C+G|10</t>
        </is>
      </c>
      <c r="L1857" s="12" t="inlineStr">
        <is>
          <t>3/C+G</t>
        </is>
      </c>
      <c r="M1857" s="12" t="inlineStr">
        <is>
          <t>10</t>
        </is>
      </c>
      <c r="N1857" s="12" t="n">
        <v>1</v>
      </c>
      <c r="O1857" s="12" t="n">
        <v>1</v>
      </c>
      <c r="P1857" s="12" t="n">
        <v>480</v>
      </c>
      <c r="Q1857" s="12" t="n">
        <v>2</v>
      </c>
      <c r="R1857" s="12" t="n">
        <v>2.8</v>
      </c>
      <c r="S1857" s="12" t="inlineStr">
        <is>
          <t>Duct bank</t>
        </is>
      </c>
      <c r="T1857" s="16" t="n">
        <v>0</v>
      </c>
      <c r="U1857" s="16" t="n">
        <v>71</v>
      </c>
      <c r="V1857" s="16">
        <f>ROUNDUP((T1857+U1857+2*'Read Me'!$B$13)*(1+'Read Me'!$B$12),-1)</f>
        <v/>
      </c>
      <c r="W1857" s="16">
        <f>V1857*N1857*O1857</f>
        <v/>
      </c>
      <c r="X1857" s="12">
        <f>IF(LEFT(I1857,2)="MV",2*N1857*IF(L1857="1/C",O1857,1),0)</f>
        <v/>
      </c>
      <c r="Y1857" s="12">
        <f>IF(OR(LEFT(K1857,4)="LVAX",LEFT(K1857,6)="MV15AX",LEFT(K1857,4)="CTAX",LEFT(K1857,2)="W|"),2*N1857*O1857,0)</f>
        <v/>
      </c>
      <c r="Z1857" s="12" t="inlineStr">
        <is>
          <t>VD 0.1 %</t>
        </is>
      </c>
      <c r="AA1857" s="12">
        <f>N1857*O1857</f>
        <v/>
      </c>
    </row>
    <row r="1858">
      <c r="A1858" s="12" t="inlineStr">
        <is>
          <t>A-P-0491</t>
        </is>
      </c>
      <c r="B1858" s="12" t="inlineStr">
        <is>
          <t>A</t>
        </is>
      </c>
      <c r="C1858" s="12" t="inlineStr">
        <is>
          <t>Power block</t>
        </is>
      </c>
      <c r="D1858" s="12" t="inlineStr">
        <is>
          <t>Motor 4 of 6, 2 kW</t>
        </is>
      </c>
      <c r="E1858" s="12" t="inlineStr">
        <is>
          <t>R3</t>
        </is>
      </c>
      <c r="F1858" s="12" t="inlineStr">
        <is>
          <t>R3: ST auxiliary electrical e-house (40 x 65 ft)</t>
        </is>
      </c>
      <c r="G1858" s="12" t="inlineStr"/>
      <c r="H1858" s="12" t="inlineStr">
        <is>
          <t>T-R3: 13.8/0.48 kV</t>
        </is>
      </c>
      <c r="I1858" s="12" t="inlineStr">
        <is>
          <t>LV 600 V</t>
        </is>
      </c>
      <c r="J1858" s="12" t="inlineStr">
        <is>
          <t>Type TC-ER 600 V 3/C Cu XHHW-2 + ground, PVC jacket</t>
        </is>
      </c>
      <c r="K1858" s="12" t="inlineStr">
        <is>
          <t>LV|3/C+G|10</t>
        </is>
      </c>
      <c r="L1858" s="12" t="inlineStr">
        <is>
          <t>3/C+G</t>
        </is>
      </c>
      <c r="M1858" s="12" t="inlineStr">
        <is>
          <t>10</t>
        </is>
      </c>
      <c r="N1858" s="12" t="n">
        <v>1</v>
      </c>
      <c r="O1858" s="12" t="n">
        <v>1</v>
      </c>
      <c r="P1858" s="12" t="n">
        <v>480</v>
      </c>
      <c r="Q1858" s="12" t="n">
        <v>2</v>
      </c>
      <c r="R1858" s="12" t="n">
        <v>2.8</v>
      </c>
      <c r="S1858" s="12" t="inlineStr">
        <is>
          <t>Duct bank</t>
        </is>
      </c>
      <c r="T1858" s="16" t="n">
        <v>0</v>
      </c>
      <c r="U1858" s="16" t="n">
        <v>71</v>
      </c>
      <c r="V1858" s="16">
        <f>ROUNDUP((T1858+U1858+2*'Read Me'!$B$13)*(1+'Read Me'!$B$12),-1)</f>
        <v/>
      </c>
      <c r="W1858" s="16">
        <f>V1858*N1858*O1858</f>
        <v/>
      </c>
      <c r="X1858" s="12">
        <f>IF(LEFT(I1858,2)="MV",2*N1858*IF(L1858="1/C",O1858,1),0)</f>
        <v/>
      </c>
      <c r="Y1858" s="12">
        <f>IF(OR(LEFT(K1858,4)="LVAX",LEFT(K1858,6)="MV15AX",LEFT(K1858,4)="CTAX",LEFT(K1858,2)="W|"),2*N1858*O1858,0)</f>
        <v/>
      </c>
      <c r="Z1858" s="12" t="inlineStr">
        <is>
          <t>VD 0.1 %</t>
        </is>
      </c>
      <c r="AA1858" s="12">
        <f>N1858*O1858</f>
        <v/>
      </c>
    </row>
    <row r="1859">
      <c r="A1859" s="12" t="inlineStr">
        <is>
          <t>A-P-0492</t>
        </is>
      </c>
      <c r="B1859" s="12" t="inlineStr">
        <is>
          <t>A</t>
        </is>
      </c>
      <c r="C1859" s="12" t="inlineStr">
        <is>
          <t>Power block</t>
        </is>
      </c>
      <c r="D1859" s="12" t="inlineStr">
        <is>
          <t>Motor 5 of 6, 2 kW</t>
        </is>
      </c>
      <c r="E1859" s="12" t="inlineStr">
        <is>
          <t>R3</t>
        </is>
      </c>
      <c r="F1859" s="12" t="inlineStr">
        <is>
          <t>R3: ST auxiliary electrical e-house (40 x 65 ft)</t>
        </is>
      </c>
      <c r="G1859" s="12" t="inlineStr"/>
      <c r="H1859" s="12" t="inlineStr">
        <is>
          <t>T-R3: 13.8/0.48 kV</t>
        </is>
      </c>
      <c r="I1859" s="12" t="inlineStr">
        <is>
          <t>LV 600 V</t>
        </is>
      </c>
      <c r="J1859" s="12" t="inlineStr">
        <is>
          <t>Type TC-ER 600 V 3/C Cu XHHW-2 + ground, PVC jacket</t>
        </is>
      </c>
      <c r="K1859" s="12" t="inlineStr">
        <is>
          <t>LV|3/C+G|10</t>
        </is>
      </c>
      <c r="L1859" s="12" t="inlineStr">
        <is>
          <t>3/C+G</t>
        </is>
      </c>
      <c r="M1859" s="12" t="inlineStr">
        <is>
          <t>10</t>
        </is>
      </c>
      <c r="N1859" s="12" t="n">
        <v>1</v>
      </c>
      <c r="O1859" s="12" t="n">
        <v>1</v>
      </c>
      <c r="P1859" s="12" t="n">
        <v>480</v>
      </c>
      <c r="Q1859" s="12" t="n">
        <v>2</v>
      </c>
      <c r="R1859" s="12" t="n">
        <v>2.8</v>
      </c>
      <c r="S1859" s="12" t="inlineStr">
        <is>
          <t>Duct bank</t>
        </is>
      </c>
      <c r="T1859" s="16" t="n">
        <v>0</v>
      </c>
      <c r="U1859" s="16" t="n">
        <v>71</v>
      </c>
      <c r="V1859" s="16">
        <f>ROUNDUP((T1859+U1859+2*'Read Me'!$B$13)*(1+'Read Me'!$B$12),-1)</f>
        <v/>
      </c>
      <c r="W1859" s="16">
        <f>V1859*N1859*O1859</f>
        <v/>
      </c>
      <c r="X1859" s="12">
        <f>IF(LEFT(I1859,2)="MV",2*N1859*IF(L1859="1/C",O1859,1),0)</f>
        <v/>
      </c>
      <c r="Y1859" s="12">
        <f>IF(OR(LEFT(K1859,4)="LVAX",LEFT(K1859,6)="MV15AX",LEFT(K1859,4)="CTAX",LEFT(K1859,2)="W|"),2*N1859*O1859,0)</f>
        <v/>
      </c>
      <c r="Z1859" s="12" t="inlineStr">
        <is>
          <t>VD 0.1 %</t>
        </is>
      </c>
      <c r="AA1859" s="12">
        <f>N1859*O1859</f>
        <v/>
      </c>
    </row>
    <row r="1860">
      <c r="A1860" s="12" t="inlineStr">
        <is>
          <t>A-P-0493</t>
        </is>
      </c>
      <c r="B1860" s="12" t="inlineStr">
        <is>
          <t>A</t>
        </is>
      </c>
      <c r="C1860" s="12" t="inlineStr">
        <is>
          <t>Power block</t>
        </is>
      </c>
      <c r="D1860" s="12" t="inlineStr">
        <is>
          <t>Motor 6 of 6, 2 kW</t>
        </is>
      </c>
      <c r="E1860" s="12" t="inlineStr">
        <is>
          <t>R3</t>
        </is>
      </c>
      <c r="F1860" s="12" t="inlineStr">
        <is>
          <t>R3: ST auxiliary electrical e-house (40 x 65 ft)</t>
        </is>
      </c>
      <c r="G1860" s="12" t="inlineStr"/>
      <c r="H1860" s="12" t="inlineStr">
        <is>
          <t>T-R3: 13.8/0.48 kV</t>
        </is>
      </c>
      <c r="I1860" s="12" t="inlineStr">
        <is>
          <t>LV 600 V</t>
        </is>
      </c>
      <c r="J1860" s="12" t="inlineStr">
        <is>
          <t>Type TC-ER 600 V 3/C Cu XHHW-2 + ground, PVC jacket</t>
        </is>
      </c>
      <c r="K1860" s="12" t="inlineStr">
        <is>
          <t>LV|3/C+G|10</t>
        </is>
      </c>
      <c r="L1860" s="12" t="inlineStr">
        <is>
          <t>3/C+G</t>
        </is>
      </c>
      <c r="M1860" s="12" t="inlineStr">
        <is>
          <t>10</t>
        </is>
      </c>
      <c r="N1860" s="12" t="n">
        <v>1</v>
      </c>
      <c r="O1860" s="12" t="n">
        <v>1</v>
      </c>
      <c r="P1860" s="12" t="n">
        <v>480</v>
      </c>
      <c r="Q1860" s="12" t="n">
        <v>2</v>
      </c>
      <c r="R1860" s="12" t="n">
        <v>2.8</v>
      </c>
      <c r="S1860" s="12" t="inlineStr">
        <is>
          <t>Duct bank</t>
        </is>
      </c>
      <c r="T1860" s="16" t="n">
        <v>0</v>
      </c>
      <c r="U1860" s="16" t="n">
        <v>71</v>
      </c>
      <c r="V1860" s="16">
        <f>ROUNDUP((T1860+U1860+2*'Read Me'!$B$13)*(1+'Read Me'!$B$12),-1)</f>
        <v/>
      </c>
      <c r="W1860" s="16">
        <f>V1860*N1860*O1860</f>
        <v/>
      </c>
      <c r="X1860" s="12">
        <f>IF(LEFT(I1860,2)="MV",2*N1860*IF(L1860="1/C",O1860,1),0)</f>
        <v/>
      </c>
      <c r="Y1860" s="12">
        <f>IF(OR(LEFT(K1860,4)="LVAX",LEFT(K1860,6)="MV15AX",LEFT(K1860,4)="CTAX",LEFT(K1860,2)="W|"),2*N1860*O1860,0)</f>
        <v/>
      </c>
      <c r="Z1860" s="12" t="inlineStr">
        <is>
          <t>VD 0.1 %</t>
        </is>
      </c>
      <c r="AA1860" s="12">
        <f>N1860*O1860</f>
        <v/>
      </c>
    </row>
    <row r="1861">
      <c r="A1861" s="12" t="inlineStr">
        <is>
          <t>A-P-0494</t>
        </is>
      </c>
      <c r="B1861" s="12" t="inlineStr">
        <is>
          <t>A</t>
        </is>
      </c>
      <c r="C1861" s="12" t="inlineStr">
        <is>
          <t>Power block</t>
        </is>
      </c>
      <c r="D1861" s="12" t="inlineStr">
        <is>
          <t>Motor 1 of 6, 2 kW</t>
        </is>
      </c>
      <c r="E1861" s="12" t="inlineStr">
        <is>
          <t>LC-480-B</t>
        </is>
      </c>
      <c r="F1861" s="12" t="inlineStr">
        <is>
          <t>R1 LC-480-B (480 V switchgear)</t>
        </is>
      </c>
      <c r="G1861" s="12" t="inlineStr">
        <is>
          <t>T4-A</t>
        </is>
      </c>
      <c r="H1861" s="12" t="inlineStr">
        <is>
          <t>T4-A: 13.8/4.16 kV station transformer</t>
        </is>
      </c>
      <c r="I1861" s="12" t="inlineStr">
        <is>
          <t>LV 600 V</t>
        </is>
      </c>
      <c r="J1861" s="12" t="inlineStr">
        <is>
          <t>Type TC-ER 600 V 3/C Cu XHHW-2 + ground, PVC jacket</t>
        </is>
      </c>
      <c r="K1861" s="12" t="inlineStr">
        <is>
          <t>LV|3/C+G|10</t>
        </is>
      </c>
      <c r="L1861" s="12" t="inlineStr">
        <is>
          <t>3/C+G</t>
        </is>
      </c>
      <c r="M1861" s="12" t="inlineStr">
        <is>
          <t>10</t>
        </is>
      </c>
      <c r="N1861" s="12" t="n">
        <v>1</v>
      </c>
      <c r="O1861" s="12" t="n">
        <v>1</v>
      </c>
      <c r="P1861" s="12" t="n">
        <v>480</v>
      </c>
      <c r="Q1861" s="12" t="n">
        <v>2</v>
      </c>
      <c r="R1861" s="12" t="n">
        <v>2.8</v>
      </c>
      <c r="S1861" s="12" t="inlineStr">
        <is>
          <t>Duct bank</t>
        </is>
      </c>
      <c r="T1861" s="16" t="n">
        <v>63</v>
      </c>
      <c r="U1861" s="16" t="n">
        <v>41</v>
      </c>
      <c r="V1861" s="16">
        <f>ROUNDUP((T1861+U1861+2*'Read Me'!$B$13)*(1+'Read Me'!$B$12),-1)</f>
        <v/>
      </c>
      <c r="W1861" s="16">
        <f>V1861*N1861*O1861</f>
        <v/>
      </c>
      <c r="X1861" s="12">
        <f>IF(LEFT(I1861,2)="MV",2*N1861*IF(L1861="1/C",O1861,1),0)</f>
        <v/>
      </c>
      <c r="Y1861" s="12">
        <f>IF(OR(LEFT(K1861,4)="LVAX",LEFT(K1861,6)="MV15AX",LEFT(K1861,4)="CTAX",LEFT(K1861,2)="W|"),2*N1861*O1861,0)</f>
        <v/>
      </c>
      <c r="Z1861" s="12" t="inlineStr">
        <is>
          <t>VD 0.1 %</t>
        </is>
      </c>
      <c r="AA1861" s="12">
        <f>N1861*O1861</f>
        <v/>
      </c>
    </row>
    <row r="1862">
      <c r="A1862" s="12" t="inlineStr">
        <is>
          <t>A-P-0495</t>
        </is>
      </c>
      <c r="B1862" s="12" t="inlineStr">
        <is>
          <t>A</t>
        </is>
      </c>
      <c r="C1862" s="12" t="inlineStr">
        <is>
          <t>Power block</t>
        </is>
      </c>
      <c r="D1862" s="12" t="inlineStr">
        <is>
          <t>Motor 2 of 6, 2 kW</t>
        </is>
      </c>
      <c r="E1862" s="12" t="inlineStr">
        <is>
          <t>LC-480-B</t>
        </is>
      </c>
      <c r="F1862" s="12" t="inlineStr">
        <is>
          <t>R1 LC-480-B (480 V switchgear)</t>
        </is>
      </c>
      <c r="G1862" s="12" t="inlineStr">
        <is>
          <t>T4-A</t>
        </is>
      </c>
      <c r="H1862" s="12" t="inlineStr">
        <is>
          <t>T4-A: 13.8/4.16 kV station transformer</t>
        </is>
      </c>
      <c r="I1862" s="12" t="inlineStr">
        <is>
          <t>LV 600 V</t>
        </is>
      </c>
      <c r="J1862" s="12" t="inlineStr">
        <is>
          <t>Type TC-ER 600 V 3/C Cu XHHW-2 + ground, PVC jacket</t>
        </is>
      </c>
      <c r="K1862" s="12" t="inlineStr">
        <is>
          <t>LV|3/C+G|10</t>
        </is>
      </c>
      <c r="L1862" s="12" t="inlineStr">
        <is>
          <t>3/C+G</t>
        </is>
      </c>
      <c r="M1862" s="12" t="inlineStr">
        <is>
          <t>10</t>
        </is>
      </c>
      <c r="N1862" s="12" t="n">
        <v>1</v>
      </c>
      <c r="O1862" s="12" t="n">
        <v>1</v>
      </c>
      <c r="P1862" s="12" t="n">
        <v>480</v>
      </c>
      <c r="Q1862" s="12" t="n">
        <v>2</v>
      </c>
      <c r="R1862" s="12" t="n">
        <v>2.8</v>
      </c>
      <c r="S1862" s="12" t="inlineStr">
        <is>
          <t>Duct bank</t>
        </is>
      </c>
      <c r="T1862" s="16" t="n">
        <v>63</v>
      </c>
      <c r="U1862" s="16" t="n">
        <v>41</v>
      </c>
      <c r="V1862" s="16">
        <f>ROUNDUP((T1862+U1862+2*'Read Me'!$B$13)*(1+'Read Me'!$B$12),-1)</f>
        <v/>
      </c>
      <c r="W1862" s="16">
        <f>V1862*N1862*O1862</f>
        <v/>
      </c>
      <c r="X1862" s="12">
        <f>IF(LEFT(I1862,2)="MV",2*N1862*IF(L1862="1/C",O1862,1),0)</f>
        <v/>
      </c>
      <c r="Y1862" s="12">
        <f>IF(OR(LEFT(K1862,4)="LVAX",LEFT(K1862,6)="MV15AX",LEFT(K1862,4)="CTAX",LEFT(K1862,2)="W|"),2*N1862*O1862,0)</f>
        <v/>
      </c>
      <c r="Z1862" s="12" t="inlineStr">
        <is>
          <t>VD 0.1 %</t>
        </is>
      </c>
      <c r="AA1862" s="12">
        <f>N1862*O1862</f>
        <v/>
      </c>
    </row>
    <row r="1863">
      <c r="A1863" s="12" t="inlineStr">
        <is>
          <t>A-P-0496</t>
        </is>
      </c>
      <c r="B1863" s="12" t="inlineStr">
        <is>
          <t>A</t>
        </is>
      </c>
      <c r="C1863" s="12" t="inlineStr">
        <is>
          <t>Power block</t>
        </is>
      </c>
      <c r="D1863" s="12" t="inlineStr">
        <is>
          <t>Motor 3 of 6, 2 kW</t>
        </is>
      </c>
      <c r="E1863" s="12" t="inlineStr">
        <is>
          <t>LC-480-B</t>
        </is>
      </c>
      <c r="F1863" s="12" t="inlineStr">
        <is>
          <t>R1 LC-480-B (480 V switchgear)</t>
        </is>
      </c>
      <c r="G1863" s="12" t="inlineStr">
        <is>
          <t>T4-A</t>
        </is>
      </c>
      <c r="H1863" s="12" t="inlineStr">
        <is>
          <t>T4-A: 13.8/4.16 kV station transformer</t>
        </is>
      </c>
      <c r="I1863" s="12" t="inlineStr">
        <is>
          <t>LV 600 V</t>
        </is>
      </c>
      <c r="J1863" s="12" t="inlineStr">
        <is>
          <t>Type TC-ER 600 V 3/C Cu XHHW-2 + ground, PVC jacket</t>
        </is>
      </c>
      <c r="K1863" s="12" t="inlineStr">
        <is>
          <t>LV|3/C+G|10</t>
        </is>
      </c>
      <c r="L1863" s="12" t="inlineStr">
        <is>
          <t>3/C+G</t>
        </is>
      </c>
      <c r="M1863" s="12" t="inlineStr">
        <is>
          <t>10</t>
        </is>
      </c>
      <c r="N1863" s="12" t="n">
        <v>1</v>
      </c>
      <c r="O1863" s="12" t="n">
        <v>1</v>
      </c>
      <c r="P1863" s="12" t="n">
        <v>480</v>
      </c>
      <c r="Q1863" s="12" t="n">
        <v>2</v>
      </c>
      <c r="R1863" s="12" t="n">
        <v>2.8</v>
      </c>
      <c r="S1863" s="12" t="inlineStr">
        <is>
          <t>Duct bank</t>
        </is>
      </c>
      <c r="T1863" s="16" t="n">
        <v>63</v>
      </c>
      <c r="U1863" s="16" t="n">
        <v>41</v>
      </c>
      <c r="V1863" s="16">
        <f>ROUNDUP((T1863+U1863+2*'Read Me'!$B$13)*(1+'Read Me'!$B$12),-1)</f>
        <v/>
      </c>
      <c r="W1863" s="16">
        <f>V1863*N1863*O1863</f>
        <v/>
      </c>
      <c r="X1863" s="12">
        <f>IF(LEFT(I1863,2)="MV",2*N1863*IF(L1863="1/C",O1863,1),0)</f>
        <v/>
      </c>
      <c r="Y1863" s="12">
        <f>IF(OR(LEFT(K1863,4)="LVAX",LEFT(K1863,6)="MV15AX",LEFT(K1863,4)="CTAX",LEFT(K1863,2)="W|"),2*N1863*O1863,0)</f>
        <v/>
      </c>
      <c r="Z1863" s="12" t="inlineStr">
        <is>
          <t>VD 0.1 %</t>
        </is>
      </c>
      <c r="AA1863" s="12">
        <f>N1863*O1863</f>
        <v/>
      </c>
    </row>
    <row r="1864">
      <c r="A1864" s="12" t="inlineStr">
        <is>
          <t>A-P-0497</t>
        </is>
      </c>
      <c r="B1864" s="12" t="inlineStr">
        <is>
          <t>A</t>
        </is>
      </c>
      <c r="C1864" s="12" t="inlineStr">
        <is>
          <t>Power block</t>
        </is>
      </c>
      <c r="D1864" s="12" t="inlineStr">
        <is>
          <t>Motor 4 of 6, 2 kW</t>
        </is>
      </c>
      <c r="E1864" s="12" t="inlineStr">
        <is>
          <t>LC-480-B</t>
        </is>
      </c>
      <c r="F1864" s="12" t="inlineStr">
        <is>
          <t>R1 LC-480-B (480 V switchgear)</t>
        </is>
      </c>
      <c r="G1864" s="12" t="inlineStr">
        <is>
          <t>T4-A</t>
        </is>
      </c>
      <c r="H1864" s="12" t="inlineStr">
        <is>
          <t>T4-A: 13.8/4.16 kV station transformer</t>
        </is>
      </c>
      <c r="I1864" s="12" t="inlineStr">
        <is>
          <t>LV 600 V</t>
        </is>
      </c>
      <c r="J1864" s="12" t="inlineStr">
        <is>
          <t>Type TC-ER 600 V 3/C Cu XHHW-2 + ground, PVC jacket</t>
        </is>
      </c>
      <c r="K1864" s="12" t="inlineStr">
        <is>
          <t>LV|3/C+G|10</t>
        </is>
      </c>
      <c r="L1864" s="12" t="inlineStr">
        <is>
          <t>3/C+G</t>
        </is>
      </c>
      <c r="M1864" s="12" t="inlineStr">
        <is>
          <t>10</t>
        </is>
      </c>
      <c r="N1864" s="12" t="n">
        <v>1</v>
      </c>
      <c r="O1864" s="12" t="n">
        <v>1</v>
      </c>
      <c r="P1864" s="12" t="n">
        <v>480</v>
      </c>
      <c r="Q1864" s="12" t="n">
        <v>2</v>
      </c>
      <c r="R1864" s="12" t="n">
        <v>2.8</v>
      </c>
      <c r="S1864" s="12" t="inlineStr">
        <is>
          <t>Duct bank</t>
        </is>
      </c>
      <c r="T1864" s="16" t="n">
        <v>63</v>
      </c>
      <c r="U1864" s="16" t="n">
        <v>41</v>
      </c>
      <c r="V1864" s="16">
        <f>ROUNDUP((T1864+U1864+2*'Read Me'!$B$13)*(1+'Read Me'!$B$12),-1)</f>
        <v/>
      </c>
      <c r="W1864" s="16">
        <f>V1864*N1864*O1864</f>
        <v/>
      </c>
      <c r="X1864" s="12">
        <f>IF(LEFT(I1864,2)="MV",2*N1864*IF(L1864="1/C",O1864,1),0)</f>
        <v/>
      </c>
      <c r="Y1864" s="12">
        <f>IF(OR(LEFT(K1864,4)="LVAX",LEFT(K1864,6)="MV15AX",LEFT(K1864,4)="CTAX",LEFT(K1864,2)="W|"),2*N1864*O1864,0)</f>
        <v/>
      </c>
      <c r="Z1864" s="12" t="inlineStr">
        <is>
          <t>VD 0.1 %</t>
        </is>
      </c>
      <c r="AA1864" s="12">
        <f>N1864*O1864</f>
        <v/>
      </c>
    </row>
    <row r="1865">
      <c r="A1865" s="12" t="inlineStr">
        <is>
          <t>A-P-0498</t>
        </is>
      </c>
      <c r="B1865" s="12" t="inlineStr">
        <is>
          <t>A</t>
        </is>
      </c>
      <c r="C1865" s="12" t="inlineStr">
        <is>
          <t>Power block</t>
        </is>
      </c>
      <c r="D1865" s="12" t="inlineStr">
        <is>
          <t>Motor 5 of 6, 2 kW</t>
        </is>
      </c>
      <c r="E1865" s="12" t="inlineStr">
        <is>
          <t>LC-480-B</t>
        </is>
      </c>
      <c r="F1865" s="12" t="inlineStr">
        <is>
          <t>R1 LC-480-B (480 V switchgear)</t>
        </is>
      </c>
      <c r="G1865" s="12" t="inlineStr">
        <is>
          <t>T4-A</t>
        </is>
      </c>
      <c r="H1865" s="12" t="inlineStr">
        <is>
          <t>T4-A: 13.8/4.16 kV station transformer</t>
        </is>
      </c>
      <c r="I1865" s="12" t="inlineStr">
        <is>
          <t>LV 600 V</t>
        </is>
      </c>
      <c r="J1865" s="12" t="inlineStr">
        <is>
          <t>Type TC-ER 600 V 3/C Cu XHHW-2 + ground, PVC jacket</t>
        </is>
      </c>
      <c r="K1865" s="12" t="inlineStr">
        <is>
          <t>LV|3/C+G|10</t>
        </is>
      </c>
      <c r="L1865" s="12" t="inlineStr">
        <is>
          <t>3/C+G</t>
        </is>
      </c>
      <c r="M1865" s="12" t="inlineStr">
        <is>
          <t>10</t>
        </is>
      </c>
      <c r="N1865" s="12" t="n">
        <v>1</v>
      </c>
      <c r="O1865" s="12" t="n">
        <v>1</v>
      </c>
      <c r="P1865" s="12" t="n">
        <v>480</v>
      </c>
      <c r="Q1865" s="12" t="n">
        <v>2</v>
      </c>
      <c r="R1865" s="12" t="n">
        <v>2.8</v>
      </c>
      <c r="S1865" s="12" t="inlineStr">
        <is>
          <t>Duct bank</t>
        </is>
      </c>
      <c r="T1865" s="16" t="n">
        <v>63</v>
      </c>
      <c r="U1865" s="16" t="n">
        <v>41</v>
      </c>
      <c r="V1865" s="16">
        <f>ROUNDUP((T1865+U1865+2*'Read Me'!$B$13)*(1+'Read Me'!$B$12),-1)</f>
        <v/>
      </c>
      <c r="W1865" s="16">
        <f>V1865*N1865*O1865</f>
        <v/>
      </c>
      <c r="X1865" s="12">
        <f>IF(LEFT(I1865,2)="MV",2*N1865*IF(L1865="1/C",O1865,1),0)</f>
        <v/>
      </c>
      <c r="Y1865" s="12">
        <f>IF(OR(LEFT(K1865,4)="LVAX",LEFT(K1865,6)="MV15AX",LEFT(K1865,4)="CTAX",LEFT(K1865,2)="W|"),2*N1865*O1865,0)</f>
        <v/>
      </c>
      <c r="Z1865" s="12" t="inlineStr">
        <is>
          <t>VD 0.1 %</t>
        </is>
      </c>
      <c r="AA1865" s="12">
        <f>N1865*O1865</f>
        <v/>
      </c>
    </row>
    <row r="1866">
      <c r="A1866" s="12" t="inlineStr">
        <is>
          <t>A-P-0499</t>
        </is>
      </c>
      <c r="B1866" s="12" t="inlineStr">
        <is>
          <t>A</t>
        </is>
      </c>
      <c r="C1866" s="12" t="inlineStr">
        <is>
          <t>Power block</t>
        </is>
      </c>
      <c r="D1866" s="12" t="inlineStr">
        <is>
          <t>Motor 6 of 6, 2 kW</t>
        </is>
      </c>
      <c r="E1866" s="12" t="inlineStr">
        <is>
          <t>LC-480-B</t>
        </is>
      </c>
      <c r="F1866" s="12" t="inlineStr">
        <is>
          <t>R1 LC-480-B (480 V switchgear)</t>
        </is>
      </c>
      <c r="G1866" s="12" t="inlineStr">
        <is>
          <t>T4-A</t>
        </is>
      </c>
      <c r="H1866" s="12" t="inlineStr">
        <is>
          <t>T4-A: 13.8/4.16 kV station transformer</t>
        </is>
      </c>
      <c r="I1866" s="12" t="inlineStr">
        <is>
          <t>LV 600 V</t>
        </is>
      </c>
      <c r="J1866" s="12" t="inlineStr">
        <is>
          <t>Type TC-ER 600 V 3/C Cu XHHW-2 + ground, PVC jacket</t>
        </is>
      </c>
      <c r="K1866" s="12" t="inlineStr">
        <is>
          <t>LV|3/C+G|10</t>
        </is>
      </c>
      <c r="L1866" s="12" t="inlineStr">
        <is>
          <t>3/C+G</t>
        </is>
      </c>
      <c r="M1866" s="12" t="inlineStr">
        <is>
          <t>10</t>
        </is>
      </c>
      <c r="N1866" s="12" t="n">
        <v>1</v>
      </c>
      <c r="O1866" s="12" t="n">
        <v>1</v>
      </c>
      <c r="P1866" s="12" t="n">
        <v>480</v>
      </c>
      <c r="Q1866" s="12" t="n">
        <v>2</v>
      </c>
      <c r="R1866" s="12" t="n">
        <v>2.8</v>
      </c>
      <c r="S1866" s="12" t="inlineStr">
        <is>
          <t>Duct bank</t>
        </is>
      </c>
      <c r="T1866" s="16" t="n">
        <v>63</v>
      </c>
      <c r="U1866" s="16" t="n">
        <v>41</v>
      </c>
      <c r="V1866" s="16">
        <f>ROUNDUP((T1866+U1866+2*'Read Me'!$B$13)*(1+'Read Me'!$B$12),-1)</f>
        <v/>
      </c>
      <c r="W1866" s="16">
        <f>V1866*N1866*O1866</f>
        <v/>
      </c>
      <c r="X1866" s="12">
        <f>IF(LEFT(I1866,2)="MV",2*N1866*IF(L1866="1/C",O1866,1),0)</f>
        <v/>
      </c>
      <c r="Y1866" s="12">
        <f>IF(OR(LEFT(K1866,4)="LVAX",LEFT(K1866,6)="MV15AX",LEFT(K1866,4)="CTAX",LEFT(K1866,2)="W|"),2*N1866*O1866,0)</f>
        <v/>
      </c>
      <c r="Z1866" s="12" t="inlineStr">
        <is>
          <t>VD 0.1 %</t>
        </is>
      </c>
      <c r="AA1866" s="12">
        <f>N1866*O1866</f>
        <v/>
      </c>
    </row>
    <row r="1867">
      <c r="A1867" s="12" t="inlineStr">
        <is>
          <t>A-P-0500</t>
        </is>
      </c>
      <c r="B1867" s="12" t="inlineStr">
        <is>
          <t>A</t>
        </is>
      </c>
      <c r="C1867" s="12" t="inlineStr">
        <is>
          <t>Power block</t>
        </is>
      </c>
      <c r="D1867" s="12" t="inlineStr">
        <is>
          <t>Motor 1 of 6, 2 kW</t>
        </is>
      </c>
      <c r="E1867" s="12" t="inlineStr">
        <is>
          <t>LC-480-B</t>
        </is>
      </c>
      <c r="F1867" s="12" t="inlineStr">
        <is>
          <t>R1 LC-480-B (480 V switchgear)</t>
        </is>
      </c>
      <c r="G1867" s="12" t="inlineStr">
        <is>
          <t>T4-B</t>
        </is>
      </c>
      <c r="H1867" s="12" t="inlineStr">
        <is>
          <t>T4-B: 13.8/4.16 kV station transformer</t>
        </is>
      </c>
      <c r="I1867" s="12" t="inlineStr">
        <is>
          <t>LV 600 V</t>
        </is>
      </c>
      <c r="J1867" s="12" t="inlineStr">
        <is>
          <t>Type TC-ER 600 V 3/C Cu XHHW-2 + ground, PVC jacket</t>
        </is>
      </c>
      <c r="K1867" s="12" t="inlineStr">
        <is>
          <t>LV|3/C+G|10</t>
        </is>
      </c>
      <c r="L1867" s="12" t="inlineStr">
        <is>
          <t>3/C+G</t>
        </is>
      </c>
      <c r="M1867" s="12" t="inlineStr">
        <is>
          <t>10</t>
        </is>
      </c>
      <c r="N1867" s="12" t="n">
        <v>1</v>
      </c>
      <c r="O1867" s="12" t="n">
        <v>1</v>
      </c>
      <c r="P1867" s="12" t="n">
        <v>480</v>
      </c>
      <c r="Q1867" s="12" t="n">
        <v>2</v>
      </c>
      <c r="R1867" s="12" t="n">
        <v>2.8</v>
      </c>
      <c r="S1867" s="12" t="inlineStr">
        <is>
          <t>Duct bank</t>
        </is>
      </c>
      <c r="T1867" s="16" t="n">
        <v>85</v>
      </c>
      <c r="U1867" s="16" t="n">
        <v>41</v>
      </c>
      <c r="V1867" s="16">
        <f>ROUNDUP((T1867+U1867+2*'Read Me'!$B$13)*(1+'Read Me'!$B$12),-1)</f>
        <v/>
      </c>
      <c r="W1867" s="16">
        <f>V1867*N1867*O1867</f>
        <v/>
      </c>
      <c r="X1867" s="12">
        <f>IF(LEFT(I1867,2)="MV",2*N1867*IF(L1867="1/C",O1867,1),0)</f>
        <v/>
      </c>
      <c r="Y1867" s="12">
        <f>IF(OR(LEFT(K1867,4)="LVAX",LEFT(K1867,6)="MV15AX",LEFT(K1867,4)="CTAX",LEFT(K1867,2)="W|"),2*N1867*O1867,0)</f>
        <v/>
      </c>
      <c r="Z1867" s="12" t="inlineStr">
        <is>
          <t>VD 0.2 %</t>
        </is>
      </c>
      <c r="AA1867" s="12">
        <f>N1867*O1867</f>
        <v/>
      </c>
    </row>
    <row r="1868">
      <c r="A1868" s="12" t="inlineStr">
        <is>
          <t>A-P-0501</t>
        </is>
      </c>
      <c r="B1868" s="12" t="inlineStr">
        <is>
          <t>A</t>
        </is>
      </c>
      <c r="C1868" s="12" t="inlineStr">
        <is>
          <t>Power block</t>
        </is>
      </c>
      <c r="D1868" s="12" t="inlineStr">
        <is>
          <t>Motor 2 of 6, 2 kW</t>
        </is>
      </c>
      <c r="E1868" s="12" t="inlineStr">
        <is>
          <t>LC-480-B</t>
        </is>
      </c>
      <c r="F1868" s="12" t="inlineStr">
        <is>
          <t>R1 LC-480-B (480 V switchgear)</t>
        </is>
      </c>
      <c r="G1868" s="12" t="inlineStr">
        <is>
          <t>T4-B</t>
        </is>
      </c>
      <c r="H1868" s="12" t="inlineStr">
        <is>
          <t>T4-B: 13.8/4.16 kV station transformer</t>
        </is>
      </c>
      <c r="I1868" s="12" t="inlineStr">
        <is>
          <t>LV 600 V</t>
        </is>
      </c>
      <c r="J1868" s="12" t="inlineStr">
        <is>
          <t>Type TC-ER 600 V 3/C Cu XHHW-2 + ground, PVC jacket</t>
        </is>
      </c>
      <c r="K1868" s="12" t="inlineStr">
        <is>
          <t>LV|3/C+G|10</t>
        </is>
      </c>
      <c r="L1868" s="12" t="inlineStr">
        <is>
          <t>3/C+G</t>
        </is>
      </c>
      <c r="M1868" s="12" t="inlineStr">
        <is>
          <t>10</t>
        </is>
      </c>
      <c r="N1868" s="12" t="n">
        <v>1</v>
      </c>
      <c r="O1868" s="12" t="n">
        <v>1</v>
      </c>
      <c r="P1868" s="12" t="n">
        <v>480</v>
      </c>
      <c r="Q1868" s="12" t="n">
        <v>2</v>
      </c>
      <c r="R1868" s="12" t="n">
        <v>2.8</v>
      </c>
      <c r="S1868" s="12" t="inlineStr">
        <is>
          <t>Duct bank</t>
        </is>
      </c>
      <c r="T1868" s="16" t="n">
        <v>85</v>
      </c>
      <c r="U1868" s="16" t="n">
        <v>41</v>
      </c>
      <c r="V1868" s="16">
        <f>ROUNDUP((T1868+U1868+2*'Read Me'!$B$13)*(1+'Read Me'!$B$12),-1)</f>
        <v/>
      </c>
      <c r="W1868" s="16">
        <f>V1868*N1868*O1868</f>
        <v/>
      </c>
      <c r="X1868" s="12">
        <f>IF(LEFT(I1868,2)="MV",2*N1868*IF(L1868="1/C",O1868,1),0)</f>
        <v/>
      </c>
      <c r="Y1868" s="12">
        <f>IF(OR(LEFT(K1868,4)="LVAX",LEFT(K1868,6)="MV15AX",LEFT(K1868,4)="CTAX",LEFT(K1868,2)="W|"),2*N1868*O1868,0)</f>
        <v/>
      </c>
      <c r="Z1868" s="12" t="inlineStr">
        <is>
          <t>VD 0.2 %</t>
        </is>
      </c>
      <c r="AA1868" s="12">
        <f>N1868*O1868</f>
        <v/>
      </c>
    </row>
    <row r="1869">
      <c r="A1869" s="12" t="inlineStr">
        <is>
          <t>A-P-0502</t>
        </is>
      </c>
      <c r="B1869" s="12" t="inlineStr">
        <is>
          <t>A</t>
        </is>
      </c>
      <c r="C1869" s="12" t="inlineStr">
        <is>
          <t>Power block</t>
        </is>
      </c>
      <c r="D1869" s="12" t="inlineStr">
        <is>
          <t>Motor 3 of 6, 2 kW</t>
        </is>
      </c>
      <c r="E1869" s="12" t="inlineStr">
        <is>
          <t>LC-480-B</t>
        </is>
      </c>
      <c r="F1869" s="12" t="inlineStr">
        <is>
          <t>R1 LC-480-B (480 V switchgear)</t>
        </is>
      </c>
      <c r="G1869" s="12" t="inlineStr">
        <is>
          <t>T4-B</t>
        </is>
      </c>
      <c r="H1869" s="12" t="inlineStr">
        <is>
          <t>T4-B: 13.8/4.16 kV station transformer</t>
        </is>
      </c>
      <c r="I1869" s="12" t="inlineStr">
        <is>
          <t>LV 600 V</t>
        </is>
      </c>
      <c r="J1869" s="12" t="inlineStr">
        <is>
          <t>Type TC-ER 600 V 3/C Cu XHHW-2 + ground, PVC jacket</t>
        </is>
      </c>
      <c r="K1869" s="12" t="inlineStr">
        <is>
          <t>LV|3/C+G|10</t>
        </is>
      </c>
      <c r="L1869" s="12" t="inlineStr">
        <is>
          <t>3/C+G</t>
        </is>
      </c>
      <c r="M1869" s="12" t="inlineStr">
        <is>
          <t>10</t>
        </is>
      </c>
      <c r="N1869" s="12" t="n">
        <v>1</v>
      </c>
      <c r="O1869" s="12" t="n">
        <v>1</v>
      </c>
      <c r="P1869" s="12" t="n">
        <v>480</v>
      </c>
      <c r="Q1869" s="12" t="n">
        <v>2</v>
      </c>
      <c r="R1869" s="12" t="n">
        <v>2.8</v>
      </c>
      <c r="S1869" s="12" t="inlineStr">
        <is>
          <t>Duct bank</t>
        </is>
      </c>
      <c r="T1869" s="16" t="n">
        <v>85</v>
      </c>
      <c r="U1869" s="16" t="n">
        <v>41</v>
      </c>
      <c r="V1869" s="16">
        <f>ROUNDUP((T1869+U1869+2*'Read Me'!$B$13)*(1+'Read Me'!$B$12),-1)</f>
        <v/>
      </c>
      <c r="W1869" s="16">
        <f>V1869*N1869*O1869</f>
        <v/>
      </c>
      <c r="X1869" s="12">
        <f>IF(LEFT(I1869,2)="MV",2*N1869*IF(L1869="1/C",O1869,1),0)</f>
        <v/>
      </c>
      <c r="Y1869" s="12">
        <f>IF(OR(LEFT(K1869,4)="LVAX",LEFT(K1869,6)="MV15AX",LEFT(K1869,4)="CTAX",LEFT(K1869,2)="W|"),2*N1869*O1869,0)</f>
        <v/>
      </c>
      <c r="Z1869" s="12" t="inlineStr">
        <is>
          <t>VD 0.2 %</t>
        </is>
      </c>
      <c r="AA1869" s="12">
        <f>N1869*O1869</f>
        <v/>
      </c>
    </row>
    <row r="1870">
      <c r="A1870" s="12" t="inlineStr">
        <is>
          <t>A-P-0503</t>
        </is>
      </c>
      <c r="B1870" s="12" t="inlineStr">
        <is>
          <t>A</t>
        </is>
      </c>
      <c r="C1870" s="12" t="inlineStr">
        <is>
          <t>Power block</t>
        </is>
      </c>
      <c r="D1870" s="12" t="inlineStr">
        <is>
          <t>Motor 4 of 6, 2 kW</t>
        </is>
      </c>
      <c r="E1870" s="12" t="inlineStr">
        <is>
          <t>LC-480-B</t>
        </is>
      </c>
      <c r="F1870" s="12" t="inlineStr">
        <is>
          <t>R1 LC-480-B (480 V switchgear)</t>
        </is>
      </c>
      <c r="G1870" s="12" t="inlineStr">
        <is>
          <t>T4-B</t>
        </is>
      </c>
      <c r="H1870" s="12" t="inlineStr">
        <is>
          <t>T4-B: 13.8/4.16 kV station transformer</t>
        </is>
      </c>
      <c r="I1870" s="12" t="inlineStr">
        <is>
          <t>LV 600 V</t>
        </is>
      </c>
      <c r="J1870" s="12" t="inlineStr">
        <is>
          <t>Type TC-ER 600 V 3/C Cu XHHW-2 + ground, PVC jacket</t>
        </is>
      </c>
      <c r="K1870" s="12" t="inlineStr">
        <is>
          <t>LV|3/C+G|10</t>
        </is>
      </c>
      <c r="L1870" s="12" t="inlineStr">
        <is>
          <t>3/C+G</t>
        </is>
      </c>
      <c r="M1870" s="12" t="inlineStr">
        <is>
          <t>10</t>
        </is>
      </c>
      <c r="N1870" s="12" t="n">
        <v>1</v>
      </c>
      <c r="O1870" s="12" t="n">
        <v>1</v>
      </c>
      <c r="P1870" s="12" t="n">
        <v>480</v>
      </c>
      <c r="Q1870" s="12" t="n">
        <v>2</v>
      </c>
      <c r="R1870" s="12" t="n">
        <v>2.8</v>
      </c>
      <c r="S1870" s="12" t="inlineStr">
        <is>
          <t>Duct bank</t>
        </is>
      </c>
      <c r="T1870" s="16" t="n">
        <v>85</v>
      </c>
      <c r="U1870" s="16" t="n">
        <v>41</v>
      </c>
      <c r="V1870" s="16">
        <f>ROUNDUP((T1870+U1870+2*'Read Me'!$B$13)*(1+'Read Me'!$B$12),-1)</f>
        <v/>
      </c>
      <c r="W1870" s="16">
        <f>V1870*N1870*O1870</f>
        <v/>
      </c>
      <c r="X1870" s="12">
        <f>IF(LEFT(I1870,2)="MV",2*N1870*IF(L1870="1/C",O1870,1),0)</f>
        <v/>
      </c>
      <c r="Y1870" s="12">
        <f>IF(OR(LEFT(K1870,4)="LVAX",LEFT(K1870,6)="MV15AX",LEFT(K1870,4)="CTAX",LEFT(K1870,2)="W|"),2*N1870*O1870,0)</f>
        <v/>
      </c>
      <c r="Z1870" s="12" t="inlineStr">
        <is>
          <t>VD 0.2 %</t>
        </is>
      </c>
      <c r="AA1870" s="12">
        <f>N1870*O1870</f>
        <v/>
      </c>
    </row>
    <row r="1871">
      <c r="A1871" s="12" t="inlineStr">
        <is>
          <t>A-P-0504</t>
        </is>
      </c>
      <c r="B1871" s="12" t="inlineStr">
        <is>
          <t>A</t>
        </is>
      </c>
      <c r="C1871" s="12" t="inlineStr">
        <is>
          <t>Power block</t>
        </is>
      </c>
      <c r="D1871" s="12" t="inlineStr">
        <is>
          <t>Motor 5 of 6, 2 kW</t>
        </is>
      </c>
      <c r="E1871" s="12" t="inlineStr">
        <is>
          <t>LC-480-B</t>
        </is>
      </c>
      <c r="F1871" s="12" t="inlineStr">
        <is>
          <t>R1 LC-480-B (480 V switchgear)</t>
        </is>
      </c>
      <c r="G1871" s="12" t="inlineStr">
        <is>
          <t>T4-B</t>
        </is>
      </c>
      <c r="H1871" s="12" t="inlineStr">
        <is>
          <t>T4-B: 13.8/4.16 kV station transformer</t>
        </is>
      </c>
      <c r="I1871" s="12" t="inlineStr">
        <is>
          <t>LV 600 V</t>
        </is>
      </c>
      <c r="J1871" s="12" t="inlineStr">
        <is>
          <t>Type TC-ER 600 V 3/C Cu XHHW-2 + ground, PVC jacket</t>
        </is>
      </c>
      <c r="K1871" s="12" t="inlineStr">
        <is>
          <t>LV|3/C+G|10</t>
        </is>
      </c>
      <c r="L1871" s="12" t="inlineStr">
        <is>
          <t>3/C+G</t>
        </is>
      </c>
      <c r="M1871" s="12" t="inlineStr">
        <is>
          <t>10</t>
        </is>
      </c>
      <c r="N1871" s="12" t="n">
        <v>1</v>
      </c>
      <c r="O1871" s="12" t="n">
        <v>1</v>
      </c>
      <c r="P1871" s="12" t="n">
        <v>480</v>
      </c>
      <c r="Q1871" s="12" t="n">
        <v>2</v>
      </c>
      <c r="R1871" s="12" t="n">
        <v>2.8</v>
      </c>
      <c r="S1871" s="12" t="inlineStr">
        <is>
          <t>Duct bank</t>
        </is>
      </c>
      <c r="T1871" s="16" t="n">
        <v>85</v>
      </c>
      <c r="U1871" s="16" t="n">
        <v>41</v>
      </c>
      <c r="V1871" s="16">
        <f>ROUNDUP((T1871+U1871+2*'Read Me'!$B$13)*(1+'Read Me'!$B$12),-1)</f>
        <v/>
      </c>
      <c r="W1871" s="16">
        <f>V1871*N1871*O1871</f>
        <v/>
      </c>
      <c r="X1871" s="12">
        <f>IF(LEFT(I1871,2)="MV",2*N1871*IF(L1871="1/C",O1871,1),0)</f>
        <v/>
      </c>
      <c r="Y1871" s="12">
        <f>IF(OR(LEFT(K1871,4)="LVAX",LEFT(K1871,6)="MV15AX",LEFT(K1871,4)="CTAX",LEFT(K1871,2)="W|"),2*N1871*O1871,0)</f>
        <v/>
      </c>
      <c r="Z1871" s="12" t="inlineStr">
        <is>
          <t>VD 0.2 %</t>
        </is>
      </c>
      <c r="AA1871" s="12">
        <f>N1871*O1871</f>
        <v/>
      </c>
    </row>
    <row r="1872">
      <c r="A1872" s="12" t="inlineStr">
        <is>
          <t>A-P-0505</t>
        </is>
      </c>
      <c r="B1872" s="12" t="inlineStr">
        <is>
          <t>A</t>
        </is>
      </c>
      <c r="C1872" s="12" t="inlineStr">
        <is>
          <t>Power block</t>
        </is>
      </c>
      <c r="D1872" s="12" t="inlineStr">
        <is>
          <t>Motor 6 of 6, 2 kW</t>
        </is>
      </c>
      <c r="E1872" s="12" t="inlineStr">
        <is>
          <t>LC-480-B</t>
        </is>
      </c>
      <c r="F1872" s="12" t="inlineStr">
        <is>
          <t>R1 LC-480-B (480 V switchgear)</t>
        </is>
      </c>
      <c r="G1872" s="12" t="inlineStr">
        <is>
          <t>T4-B</t>
        </is>
      </c>
      <c r="H1872" s="12" t="inlineStr">
        <is>
          <t>T4-B: 13.8/4.16 kV station transformer</t>
        </is>
      </c>
      <c r="I1872" s="12" t="inlineStr">
        <is>
          <t>LV 600 V</t>
        </is>
      </c>
      <c r="J1872" s="12" t="inlineStr">
        <is>
          <t>Type TC-ER 600 V 3/C Cu XHHW-2 + ground, PVC jacket</t>
        </is>
      </c>
      <c r="K1872" s="12" t="inlineStr">
        <is>
          <t>LV|3/C+G|10</t>
        </is>
      </c>
      <c r="L1872" s="12" t="inlineStr">
        <is>
          <t>3/C+G</t>
        </is>
      </c>
      <c r="M1872" s="12" t="inlineStr">
        <is>
          <t>10</t>
        </is>
      </c>
      <c r="N1872" s="12" t="n">
        <v>1</v>
      </c>
      <c r="O1872" s="12" t="n">
        <v>1</v>
      </c>
      <c r="P1872" s="12" t="n">
        <v>480</v>
      </c>
      <c r="Q1872" s="12" t="n">
        <v>2</v>
      </c>
      <c r="R1872" s="12" t="n">
        <v>2.8</v>
      </c>
      <c r="S1872" s="12" t="inlineStr">
        <is>
          <t>Duct bank</t>
        </is>
      </c>
      <c r="T1872" s="16" t="n">
        <v>85</v>
      </c>
      <c r="U1872" s="16" t="n">
        <v>41</v>
      </c>
      <c r="V1872" s="16">
        <f>ROUNDUP((T1872+U1872+2*'Read Me'!$B$13)*(1+'Read Me'!$B$12),-1)</f>
        <v/>
      </c>
      <c r="W1872" s="16">
        <f>V1872*N1872*O1872</f>
        <v/>
      </c>
      <c r="X1872" s="12">
        <f>IF(LEFT(I1872,2)="MV",2*N1872*IF(L1872="1/C",O1872,1),0)</f>
        <v/>
      </c>
      <c r="Y1872" s="12">
        <f>IF(OR(LEFT(K1872,4)="LVAX",LEFT(K1872,6)="MV15AX",LEFT(K1872,4)="CTAX",LEFT(K1872,2)="W|"),2*N1872*O1872,0)</f>
        <v/>
      </c>
      <c r="Z1872" s="12" t="inlineStr">
        <is>
          <t>VD 0.2 %</t>
        </is>
      </c>
      <c r="AA1872" s="12">
        <f>N1872*O1872</f>
        <v/>
      </c>
    </row>
    <row r="1873">
      <c r="A1873" s="12" t="inlineStr">
        <is>
          <t>A-P-0506</t>
        </is>
      </c>
      <c r="B1873" s="12" t="inlineStr">
        <is>
          <t>A</t>
        </is>
      </c>
      <c r="C1873" s="12" t="inlineStr">
        <is>
          <t>Power block</t>
        </is>
      </c>
      <c r="D1873" s="12" t="inlineStr">
        <is>
          <t>LV power feeder</t>
        </is>
      </c>
      <c r="E1873" s="12" t="inlineStr">
        <is>
          <t>MCC-GT1</t>
        </is>
      </c>
      <c r="F1873" s="12" t="inlineStr">
        <is>
          <t>R1 MCC-GT1</t>
        </is>
      </c>
      <c r="G1873" s="12" t="inlineStr">
        <is>
          <t>TCP-1</t>
        </is>
      </c>
      <c r="H1873" s="12" t="inlineStr">
        <is>
          <t>TCP-1: GT1 turbine control and protection cabinets</t>
        </is>
      </c>
      <c r="I1873" s="12" t="inlineStr">
        <is>
          <t>LV 600 V</t>
        </is>
      </c>
      <c r="J1873" s="12" t="inlineStr">
        <is>
          <t>Type TC-ER 600 V 3/C Cu XHHW-2 + ground, PVC jacket</t>
        </is>
      </c>
      <c r="K1873" s="12" t="inlineStr">
        <is>
          <t>LV|3/C+G|8</t>
        </is>
      </c>
      <c r="L1873" s="12" t="inlineStr">
        <is>
          <t>3/C+G</t>
        </is>
      </c>
      <c r="M1873" s="12" t="inlineStr">
        <is>
          <t>8</t>
        </is>
      </c>
      <c r="N1873" s="12" t="n">
        <v>1</v>
      </c>
      <c r="O1873" s="12" t="n">
        <v>1</v>
      </c>
      <c r="P1873" s="12" t="n">
        <v>480</v>
      </c>
      <c r="Q1873" s="12" t="n">
        <v>15</v>
      </c>
      <c r="R1873" s="12" t="n">
        <v>21.2</v>
      </c>
      <c r="S1873" s="12" t="inlineStr">
        <is>
          <t>Tray</t>
        </is>
      </c>
      <c r="T1873" s="16" t="n">
        <v>256</v>
      </c>
      <c r="U1873" s="16" t="n">
        <v>145</v>
      </c>
      <c r="V1873" s="16">
        <f>ROUNDUP((T1873+U1873+2*'Read Me'!$B$13)*(1+'Read Me'!$B$12),-1)</f>
        <v/>
      </c>
      <c r="W1873" s="16">
        <f>V1873*N1873*O1873</f>
        <v/>
      </c>
      <c r="X1873" s="12">
        <f>IF(LEFT(I1873,2)="MV",2*N1873*IF(L1873="1/C",O1873,1),0)</f>
        <v/>
      </c>
      <c r="Y1873" s="12">
        <f>IF(OR(LEFT(K1873,4)="LVAX",LEFT(K1873,6)="MV15AX",LEFT(K1873,4)="CTAX",LEFT(K1873,2)="W|"),2*N1873*O1873,0)</f>
        <v/>
      </c>
      <c r="Z1873" s="12" t="inlineStr">
        <is>
          <t>VD 2.6 %</t>
        </is>
      </c>
      <c r="AA1873" s="12">
        <f>N1873*O1873</f>
        <v/>
      </c>
    </row>
    <row r="1874">
      <c r="A1874" s="12" t="inlineStr">
        <is>
          <t>A-P-0507</t>
        </is>
      </c>
      <c r="B1874" s="12" t="inlineStr">
        <is>
          <t>A</t>
        </is>
      </c>
      <c r="C1874" s="12" t="inlineStr">
        <is>
          <t>Power block</t>
        </is>
      </c>
      <c r="D1874" s="12" t="inlineStr">
        <is>
          <t>LV power feeder</t>
        </is>
      </c>
      <c r="E1874" s="12" t="inlineStr">
        <is>
          <t>MCC-GT2</t>
        </is>
      </c>
      <c r="F1874" s="12" t="inlineStr">
        <is>
          <t>R1 MCC-GT2</t>
        </is>
      </c>
      <c r="G1874" s="12" t="inlineStr">
        <is>
          <t>TCP-2</t>
        </is>
      </c>
      <c r="H1874" s="12" t="inlineStr">
        <is>
          <t>TCP-2: GT2 turbine control and protection cabinets</t>
        </is>
      </c>
      <c r="I1874" s="12" t="inlineStr">
        <is>
          <t>LV 600 V</t>
        </is>
      </c>
      <c r="J1874" s="12" t="inlineStr">
        <is>
          <t>Type TC-ER 600 V 3/C Cu XHHW-2 + ground, PVC jacket</t>
        </is>
      </c>
      <c r="K1874" s="12" t="inlineStr">
        <is>
          <t>LV|3/C+G|6</t>
        </is>
      </c>
      <c r="L1874" s="12" t="inlineStr">
        <is>
          <t>3/C+G</t>
        </is>
      </c>
      <c r="M1874" s="12" t="inlineStr">
        <is>
          <t>6</t>
        </is>
      </c>
      <c r="N1874" s="12" t="n">
        <v>1</v>
      </c>
      <c r="O1874" s="12" t="n">
        <v>1</v>
      </c>
      <c r="P1874" s="12" t="n">
        <v>480</v>
      </c>
      <c r="Q1874" s="12" t="n">
        <v>15</v>
      </c>
      <c r="R1874" s="12" t="n">
        <v>21.2</v>
      </c>
      <c r="S1874" s="12" t="inlineStr">
        <is>
          <t>Tray</t>
        </is>
      </c>
      <c r="T1874" s="16" t="n">
        <v>436</v>
      </c>
      <c r="U1874" s="16" t="n">
        <v>125</v>
      </c>
      <c r="V1874" s="16">
        <f>ROUNDUP((T1874+U1874+2*'Read Me'!$B$13)*(1+'Read Me'!$B$12),-1)</f>
        <v/>
      </c>
      <c r="W1874" s="16">
        <f>V1874*N1874*O1874</f>
        <v/>
      </c>
      <c r="X1874" s="12">
        <f>IF(LEFT(I1874,2)="MV",2*N1874*IF(L1874="1/C",O1874,1),0)</f>
        <v/>
      </c>
      <c r="Y1874" s="12">
        <f>IF(OR(LEFT(K1874,4)="LVAX",LEFT(K1874,6)="MV15AX",LEFT(K1874,4)="CTAX",LEFT(K1874,2)="W|"),2*N1874*O1874,0)</f>
        <v/>
      </c>
      <c r="Z1874" s="12" t="inlineStr">
        <is>
          <t>VD 2.3 %</t>
        </is>
      </c>
      <c r="AA1874" s="12">
        <f>N1874*O1874</f>
        <v/>
      </c>
    </row>
    <row r="1875">
      <c r="A1875" s="12" t="inlineStr">
        <is>
          <t>A-P-0508</t>
        </is>
      </c>
      <c r="B1875" s="12" t="inlineStr">
        <is>
          <t>A</t>
        </is>
      </c>
      <c r="C1875" s="12" t="inlineStr">
        <is>
          <t>Power block</t>
        </is>
      </c>
      <c r="D1875" s="12" t="inlineStr">
        <is>
          <t>LV power feeder</t>
        </is>
      </c>
      <c r="E1875" s="12" t="inlineStr">
        <is>
          <t>MCC-GT3</t>
        </is>
      </c>
      <c r="F1875" s="12" t="inlineStr">
        <is>
          <t>R1 MCC-GT3</t>
        </is>
      </c>
      <c r="G1875" s="12" t="inlineStr">
        <is>
          <t>TCP-3</t>
        </is>
      </c>
      <c r="H1875" s="12" t="inlineStr">
        <is>
          <t>TCP-3: GT3 turbine control and protection cabinets</t>
        </is>
      </c>
      <c r="I1875" s="12" t="inlineStr">
        <is>
          <t>LV 600 V</t>
        </is>
      </c>
      <c r="J1875" s="12" t="inlineStr">
        <is>
          <t>Type TC-ER 600 V 3/C Cu XHHW-2 + ground, PVC jacket</t>
        </is>
      </c>
      <c r="K1875" s="12" t="inlineStr">
        <is>
          <t>LV|3/C+G|4</t>
        </is>
      </c>
      <c r="L1875" s="12" t="inlineStr">
        <is>
          <t>3/C+G</t>
        </is>
      </c>
      <c r="M1875" s="12" t="inlineStr">
        <is>
          <t>4</t>
        </is>
      </c>
      <c r="N1875" s="12" t="n">
        <v>1</v>
      </c>
      <c r="O1875" s="12" t="n">
        <v>1</v>
      </c>
      <c r="P1875" s="12" t="n">
        <v>480</v>
      </c>
      <c r="Q1875" s="12" t="n">
        <v>15</v>
      </c>
      <c r="R1875" s="12" t="n">
        <v>21.2</v>
      </c>
      <c r="S1875" s="12" t="inlineStr">
        <is>
          <t>Tray</t>
        </is>
      </c>
      <c r="T1875" s="16" t="n">
        <v>604</v>
      </c>
      <c r="U1875" s="16" t="n">
        <v>133</v>
      </c>
      <c r="V1875" s="16">
        <f>ROUNDUP((T1875+U1875+2*'Read Me'!$B$13)*(1+'Read Me'!$B$12),-1)</f>
        <v/>
      </c>
      <c r="W1875" s="16">
        <f>V1875*N1875*O1875</f>
        <v/>
      </c>
      <c r="X1875" s="12">
        <f>IF(LEFT(I1875,2)="MV",2*N1875*IF(L1875="1/C",O1875,1),0)</f>
        <v/>
      </c>
      <c r="Y1875" s="12">
        <f>IF(OR(LEFT(K1875,4)="LVAX",LEFT(K1875,6)="MV15AX",LEFT(K1875,4)="CTAX",LEFT(K1875,2)="W|"),2*N1875*O1875,0)</f>
        <v/>
      </c>
      <c r="Z1875" s="12" t="inlineStr">
        <is>
          <t>VD 1.9 %</t>
        </is>
      </c>
      <c r="AA1875" s="12">
        <f>N1875*O1875</f>
        <v/>
      </c>
    </row>
    <row r="1876">
      <c r="A1876" s="12" t="inlineStr">
        <is>
          <t>A-P-0509</t>
        </is>
      </c>
      <c r="B1876" s="12" t="inlineStr">
        <is>
          <t>A</t>
        </is>
      </c>
      <c r="C1876" s="12" t="inlineStr">
        <is>
          <t>Power block</t>
        </is>
      </c>
      <c r="D1876" s="12" t="inlineStr">
        <is>
          <t>LV power feeder</t>
        </is>
      </c>
      <c r="E1876" s="12" t="inlineStr">
        <is>
          <t>R3</t>
        </is>
      </c>
      <c r="F1876" s="12" t="inlineStr">
        <is>
          <t>R3: ST auxiliary electrical e-house (40 x 65 ft)</t>
        </is>
      </c>
      <c r="G1876" s="12" t="inlineStr">
        <is>
          <t>TCP-ST</t>
        </is>
      </c>
      <c r="H1876" s="12" t="inlineStr">
        <is>
          <t>TCP-ST: ST turbine control and protection cabinets</t>
        </is>
      </c>
      <c r="I1876" s="12" t="inlineStr">
        <is>
          <t>LV 600 V</t>
        </is>
      </c>
      <c r="J1876" s="12" t="inlineStr">
        <is>
          <t>Type TC-ER 600 V 3/C Cu XHHW-2 + ground, PVC jacket</t>
        </is>
      </c>
      <c r="K1876" s="12" t="inlineStr">
        <is>
          <t>LV|3/C+G|6</t>
        </is>
      </c>
      <c r="L1876" s="12" t="inlineStr">
        <is>
          <t>3/C+G</t>
        </is>
      </c>
      <c r="M1876" s="12" t="inlineStr">
        <is>
          <t>6</t>
        </is>
      </c>
      <c r="N1876" s="12" t="n">
        <v>1</v>
      </c>
      <c r="O1876" s="12" t="n">
        <v>1</v>
      </c>
      <c r="P1876" s="12" t="n">
        <v>480</v>
      </c>
      <c r="Q1876" s="12" t="n">
        <v>15</v>
      </c>
      <c r="R1876" s="12" t="n">
        <v>21.2</v>
      </c>
      <c r="S1876" s="12" t="inlineStr">
        <is>
          <t>Tray</t>
        </is>
      </c>
      <c r="T1876" s="16" t="n">
        <v>408</v>
      </c>
      <c r="U1876" s="16" t="n">
        <v>183</v>
      </c>
      <c r="V1876" s="16">
        <f>ROUNDUP((T1876+U1876+2*'Read Me'!$B$13)*(1+'Read Me'!$B$12),-1)</f>
        <v/>
      </c>
      <c r="W1876" s="16">
        <f>V1876*N1876*O1876</f>
        <v/>
      </c>
      <c r="X1876" s="12">
        <f>IF(LEFT(I1876,2)="MV",2*N1876*IF(L1876="1/C",O1876,1),0)</f>
        <v/>
      </c>
      <c r="Y1876" s="12">
        <f>IF(OR(LEFT(K1876,4)="LVAX",LEFT(K1876,6)="MV15AX",LEFT(K1876,4)="CTAX",LEFT(K1876,2)="W|"),2*N1876*O1876,0)</f>
        <v/>
      </c>
      <c r="Z1876" s="12" t="inlineStr">
        <is>
          <t>VD 2.4 %</t>
        </is>
      </c>
      <c r="AA1876" s="12">
        <f>N1876*O1876</f>
        <v/>
      </c>
    </row>
    <row r="1877">
      <c r="A1877" s="12" t="inlineStr">
        <is>
          <t>A-P-0510</t>
        </is>
      </c>
      <c r="B1877" s="12" t="inlineStr">
        <is>
          <t>A</t>
        </is>
      </c>
      <c r="C1877" s="12" t="inlineStr">
        <is>
          <t>Power block</t>
        </is>
      </c>
      <c r="D1877" s="12" t="inlineStr">
        <is>
          <t>Turbine hall roof exhausters / louvres / exterior lighting panel</t>
        </is>
      </c>
      <c r="E1877" s="12" t="inlineStr">
        <is>
          <t>LC-480-A</t>
        </is>
      </c>
      <c r="F1877" s="12" t="inlineStr">
        <is>
          <t>R1 LC-480-A (480 V switchgear)</t>
        </is>
      </c>
      <c r="G1877" s="12" t="inlineStr"/>
      <c r="H1877" s="12" t="inlineStr">
        <is>
          <t>Turbine hall exterior electrical: MC-cable risers, roof exhausters, wa</t>
        </is>
      </c>
      <c r="I1877" s="12" t="inlineStr">
        <is>
          <t>LV 600 V</t>
        </is>
      </c>
      <c r="J1877" s="12" t="inlineStr">
        <is>
          <t>Type TC-ER 600 V 3/C Cu XHHW-2 + ground, PVC jacket</t>
        </is>
      </c>
      <c r="K1877" s="12" t="inlineStr">
        <is>
          <t>LV|3/C+G|3/0</t>
        </is>
      </c>
      <c r="L1877" s="12" t="inlineStr">
        <is>
          <t>3/C+G</t>
        </is>
      </c>
      <c r="M1877" s="12" t="inlineStr">
        <is>
          <t>3/0</t>
        </is>
      </c>
      <c r="N1877" s="12" t="n">
        <v>1</v>
      </c>
      <c r="O1877" s="12" t="n">
        <v>1</v>
      </c>
      <c r="P1877" s="12" t="n">
        <v>480</v>
      </c>
      <c r="Q1877" s="12" t="n">
        <v>120</v>
      </c>
      <c r="R1877" s="12" t="n">
        <v>151.9</v>
      </c>
      <c r="S1877" s="12" t="inlineStr">
        <is>
          <t>Tray</t>
        </is>
      </c>
      <c r="T1877" s="16" t="n">
        <v>506</v>
      </c>
      <c r="U1877" s="16" t="n">
        <v>136</v>
      </c>
      <c r="V1877" s="16">
        <f>ROUNDUP((T1877+U1877+2*'Read Me'!$B$13)*(1+'Read Me'!$B$12),-1)</f>
        <v/>
      </c>
      <c r="W1877" s="16">
        <f>V1877*N1877*O1877</f>
        <v/>
      </c>
      <c r="X1877" s="12">
        <f>IF(LEFT(I1877,2)="MV",2*N1877*IF(L1877="1/C",O1877,1),0)</f>
        <v/>
      </c>
      <c r="Y1877" s="12">
        <f>IF(OR(LEFT(K1877,4)="LVAX",LEFT(K1877,6)="MV15AX",LEFT(K1877,4)="CTAX",LEFT(K1877,2)="W|"),2*N1877*O1877,0)</f>
        <v/>
      </c>
      <c r="Z1877" s="12" t="inlineStr">
        <is>
          <t>VD 3.0 %</t>
        </is>
      </c>
      <c r="AA1877" s="12">
        <f>N1877*O1877</f>
        <v/>
      </c>
    </row>
    <row r="1878">
      <c r="A1878" s="12" t="inlineStr">
        <is>
          <t>A-P-0511</t>
        </is>
      </c>
      <c r="B1878" s="12" t="inlineStr">
        <is>
          <t>A</t>
        </is>
      </c>
      <c r="C1878" s="12" t="inlineStr">
        <is>
          <t>Power block</t>
        </is>
      </c>
      <c r="D1878" s="12" t="inlineStr">
        <is>
          <t>Motor 1 of 6, 2 kW</t>
        </is>
      </c>
      <c r="E1878" s="12" t="inlineStr">
        <is>
          <t>R2A</t>
        </is>
      </c>
      <c r="F1878" s="12" t="inlineStr">
        <is>
          <t>R2A: unit / HRSG electrical e-house (32 x 40 ft)</t>
        </is>
      </c>
      <c r="G1878" s="12" t="inlineStr">
        <is>
          <t>UAT-1</t>
        </is>
      </c>
      <c r="H1878" s="12" t="inlineStr">
        <is>
          <t>UAT-1: 21/13.8 kV unit auxiliary transformer</t>
        </is>
      </c>
      <c r="I1878" s="12" t="inlineStr">
        <is>
          <t>LV 600 V</t>
        </is>
      </c>
      <c r="J1878" s="12" t="inlineStr">
        <is>
          <t>Type TC-ER 600 V 3/C Cu XHHW-2 + ground, PVC jacket</t>
        </is>
      </c>
      <c r="K1878" s="12" t="inlineStr">
        <is>
          <t>LV|3/C+G|10</t>
        </is>
      </c>
      <c r="L1878" s="12" t="inlineStr">
        <is>
          <t>3/C+G</t>
        </is>
      </c>
      <c r="M1878" s="12" t="inlineStr">
        <is>
          <t>10</t>
        </is>
      </c>
      <c r="N1878" s="12" t="n">
        <v>1</v>
      </c>
      <c r="O1878" s="12" t="n">
        <v>1</v>
      </c>
      <c r="P1878" s="12" t="n">
        <v>480</v>
      </c>
      <c r="Q1878" s="12" t="n">
        <v>2</v>
      </c>
      <c r="R1878" s="12" t="n">
        <v>2.8</v>
      </c>
      <c r="S1878" s="12" t="inlineStr">
        <is>
          <t>Tray</t>
        </is>
      </c>
      <c r="T1878" s="16" t="n">
        <v>566</v>
      </c>
      <c r="U1878" s="16" t="n">
        <v>158</v>
      </c>
      <c r="V1878" s="16">
        <f>ROUNDUP((T1878+U1878+2*'Read Me'!$B$13)*(1+'Read Me'!$B$12),-1)</f>
        <v/>
      </c>
      <c r="W1878" s="16">
        <f>V1878*N1878*O1878</f>
        <v/>
      </c>
      <c r="X1878" s="12">
        <f>IF(LEFT(I1878,2)="MV",2*N1878*IF(L1878="1/C",O1878,1),0)</f>
        <v/>
      </c>
      <c r="Y1878" s="12">
        <f>IF(OR(LEFT(K1878,4)="LVAX",LEFT(K1878,6)="MV15AX",LEFT(K1878,4)="CTAX",LEFT(K1878,2)="W|"),2*N1878*O1878,0)</f>
        <v/>
      </c>
      <c r="Z1878" s="12" t="inlineStr">
        <is>
          <t>VD 1.0 %</t>
        </is>
      </c>
      <c r="AA1878" s="12">
        <f>N1878*O1878</f>
        <v/>
      </c>
    </row>
    <row r="1879">
      <c r="A1879" s="12" t="inlineStr">
        <is>
          <t>A-P-0512</t>
        </is>
      </c>
      <c r="B1879" s="12" t="inlineStr">
        <is>
          <t>A</t>
        </is>
      </c>
      <c r="C1879" s="12" t="inlineStr">
        <is>
          <t>Power block</t>
        </is>
      </c>
      <c r="D1879" s="12" t="inlineStr">
        <is>
          <t>Motor 2 of 6, 2 kW</t>
        </is>
      </c>
      <c r="E1879" s="12" t="inlineStr">
        <is>
          <t>R2A</t>
        </is>
      </c>
      <c r="F1879" s="12" t="inlineStr">
        <is>
          <t>R2A: unit / HRSG electrical e-house (32 x 40 ft)</t>
        </is>
      </c>
      <c r="G1879" s="12" t="inlineStr">
        <is>
          <t>UAT-1</t>
        </is>
      </c>
      <c r="H1879" s="12" t="inlineStr">
        <is>
          <t>UAT-1: 21/13.8 kV unit auxiliary transformer</t>
        </is>
      </c>
      <c r="I1879" s="12" t="inlineStr">
        <is>
          <t>LV 600 V</t>
        </is>
      </c>
      <c r="J1879" s="12" t="inlineStr">
        <is>
          <t>Type TC-ER 600 V 3/C Cu XHHW-2 + ground, PVC jacket</t>
        </is>
      </c>
      <c r="K1879" s="12" t="inlineStr">
        <is>
          <t>LV|3/C+G|10</t>
        </is>
      </c>
      <c r="L1879" s="12" t="inlineStr">
        <is>
          <t>3/C+G</t>
        </is>
      </c>
      <c r="M1879" s="12" t="inlineStr">
        <is>
          <t>10</t>
        </is>
      </c>
      <c r="N1879" s="12" t="n">
        <v>1</v>
      </c>
      <c r="O1879" s="12" t="n">
        <v>1</v>
      </c>
      <c r="P1879" s="12" t="n">
        <v>480</v>
      </c>
      <c r="Q1879" s="12" t="n">
        <v>2</v>
      </c>
      <c r="R1879" s="12" t="n">
        <v>2.8</v>
      </c>
      <c r="S1879" s="12" t="inlineStr">
        <is>
          <t>Tray</t>
        </is>
      </c>
      <c r="T1879" s="16" t="n">
        <v>566</v>
      </c>
      <c r="U1879" s="16" t="n">
        <v>158</v>
      </c>
      <c r="V1879" s="16">
        <f>ROUNDUP((T1879+U1879+2*'Read Me'!$B$13)*(1+'Read Me'!$B$12),-1)</f>
        <v/>
      </c>
      <c r="W1879" s="16">
        <f>V1879*N1879*O1879</f>
        <v/>
      </c>
      <c r="X1879" s="12">
        <f>IF(LEFT(I1879,2)="MV",2*N1879*IF(L1879="1/C",O1879,1),0)</f>
        <v/>
      </c>
      <c r="Y1879" s="12">
        <f>IF(OR(LEFT(K1879,4)="LVAX",LEFT(K1879,6)="MV15AX",LEFT(K1879,4)="CTAX",LEFT(K1879,2)="W|"),2*N1879*O1879,0)</f>
        <v/>
      </c>
      <c r="Z1879" s="12" t="inlineStr">
        <is>
          <t>VD 1.0 %</t>
        </is>
      </c>
      <c r="AA1879" s="12">
        <f>N1879*O1879</f>
        <v/>
      </c>
    </row>
    <row r="1880">
      <c r="A1880" s="12" t="inlineStr">
        <is>
          <t>A-P-0513</t>
        </is>
      </c>
      <c r="B1880" s="12" t="inlineStr">
        <is>
          <t>A</t>
        </is>
      </c>
      <c r="C1880" s="12" t="inlineStr">
        <is>
          <t>Power block</t>
        </is>
      </c>
      <c r="D1880" s="12" t="inlineStr">
        <is>
          <t>Motor 3 of 6, 2 kW</t>
        </is>
      </c>
      <c r="E1880" s="12" t="inlineStr">
        <is>
          <t>R2A</t>
        </is>
      </c>
      <c r="F1880" s="12" t="inlineStr">
        <is>
          <t>R2A: unit / HRSG electrical e-house (32 x 40 ft)</t>
        </is>
      </c>
      <c r="G1880" s="12" t="inlineStr">
        <is>
          <t>UAT-1</t>
        </is>
      </c>
      <c r="H1880" s="12" t="inlineStr">
        <is>
          <t>UAT-1: 21/13.8 kV unit auxiliary transformer</t>
        </is>
      </c>
      <c r="I1880" s="12" t="inlineStr">
        <is>
          <t>LV 600 V</t>
        </is>
      </c>
      <c r="J1880" s="12" t="inlineStr">
        <is>
          <t>Type TC-ER 600 V 3/C Cu XHHW-2 + ground, PVC jacket</t>
        </is>
      </c>
      <c r="K1880" s="12" t="inlineStr">
        <is>
          <t>LV|3/C+G|10</t>
        </is>
      </c>
      <c r="L1880" s="12" t="inlineStr">
        <is>
          <t>3/C+G</t>
        </is>
      </c>
      <c r="M1880" s="12" t="inlineStr">
        <is>
          <t>10</t>
        </is>
      </c>
      <c r="N1880" s="12" t="n">
        <v>1</v>
      </c>
      <c r="O1880" s="12" t="n">
        <v>1</v>
      </c>
      <c r="P1880" s="12" t="n">
        <v>480</v>
      </c>
      <c r="Q1880" s="12" t="n">
        <v>2</v>
      </c>
      <c r="R1880" s="12" t="n">
        <v>2.8</v>
      </c>
      <c r="S1880" s="12" t="inlineStr">
        <is>
          <t>Tray</t>
        </is>
      </c>
      <c r="T1880" s="16" t="n">
        <v>566</v>
      </c>
      <c r="U1880" s="16" t="n">
        <v>158</v>
      </c>
      <c r="V1880" s="16">
        <f>ROUNDUP((T1880+U1880+2*'Read Me'!$B$13)*(1+'Read Me'!$B$12),-1)</f>
        <v/>
      </c>
      <c r="W1880" s="16">
        <f>V1880*N1880*O1880</f>
        <v/>
      </c>
      <c r="X1880" s="12">
        <f>IF(LEFT(I1880,2)="MV",2*N1880*IF(L1880="1/C",O1880,1),0)</f>
        <v/>
      </c>
      <c r="Y1880" s="12">
        <f>IF(OR(LEFT(K1880,4)="LVAX",LEFT(K1880,6)="MV15AX",LEFT(K1880,4)="CTAX",LEFT(K1880,2)="W|"),2*N1880*O1880,0)</f>
        <v/>
      </c>
      <c r="Z1880" s="12" t="inlineStr">
        <is>
          <t>VD 1.0 %</t>
        </is>
      </c>
      <c r="AA1880" s="12">
        <f>N1880*O1880</f>
        <v/>
      </c>
    </row>
    <row r="1881">
      <c r="A1881" s="12" t="inlineStr">
        <is>
          <t>A-P-0514</t>
        </is>
      </c>
      <c r="B1881" s="12" t="inlineStr">
        <is>
          <t>A</t>
        </is>
      </c>
      <c r="C1881" s="12" t="inlineStr">
        <is>
          <t>Power block</t>
        </is>
      </c>
      <c r="D1881" s="12" t="inlineStr">
        <is>
          <t>Motor 4 of 6, 2 kW</t>
        </is>
      </c>
      <c r="E1881" s="12" t="inlineStr">
        <is>
          <t>R2A</t>
        </is>
      </c>
      <c r="F1881" s="12" t="inlineStr">
        <is>
          <t>R2A: unit / HRSG electrical e-house (32 x 40 ft)</t>
        </is>
      </c>
      <c r="G1881" s="12" t="inlineStr">
        <is>
          <t>UAT-1</t>
        </is>
      </c>
      <c r="H1881" s="12" t="inlineStr">
        <is>
          <t>UAT-1: 21/13.8 kV unit auxiliary transformer</t>
        </is>
      </c>
      <c r="I1881" s="12" t="inlineStr">
        <is>
          <t>LV 600 V</t>
        </is>
      </c>
      <c r="J1881" s="12" t="inlineStr">
        <is>
          <t>Type TC-ER 600 V 3/C Cu XHHW-2 + ground, PVC jacket</t>
        </is>
      </c>
      <c r="K1881" s="12" t="inlineStr">
        <is>
          <t>LV|3/C+G|10</t>
        </is>
      </c>
      <c r="L1881" s="12" t="inlineStr">
        <is>
          <t>3/C+G</t>
        </is>
      </c>
      <c r="M1881" s="12" t="inlineStr">
        <is>
          <t>10</t>
        </is>
      </c>
      <c r="N1881" s="12" t="n">
        <v>1</v>
      </c>
      <c r="O1881" s="12" t="n">
        <v>1</v>
      </c>
      <c r="P1881" s="12" t="n">
        <v>480</v>
      </c>
      <c r="Q1881" s="12" t="n">
        <v>2</v>
      </c>
      <c r="R1881" s="12" t="n">
        <v>2.8</v>
      </c>
      <c r="S1881" s="12" t="inlineStr">
        <is>
          <t>Tray</t>
        </is>
      </c>
      <c r="T1881" s="16" t="n">
        <v>566</v>
      </c>
      <c r="U1881" s="16" t="n">
        <v>158</v>
      </c>
      <c r="V1881" s="16">
        <f>ROUNDUP((T1881+U1881+2*'Read Me'!$B$13)*(1+'Read Me'!$B$12),-1)</f>
        <v/>
      </c>
      <c r="W1881" s="16">
        <f>V1881*N1881*O1881</f>
        <v/>
      </c>
      <c r="X1881" s="12">
        <f>IF(LEFT(I1881,2)="MV",2*N1881*IF(L1881="1/C",O1881,1),0)</f>
        <v/>
      </c>
      <c r="Y1881" s="12">
        <f>IF(OR(LEFT(K1881,4)="LVAX",LEFT(K1881,6)="MV15AX",LEFT(K1881,4)="CTAX",LEFT(K1881,2)="W|"),2*N1881*O1881,0)</f>
        <v/>
      </c>
      <c r="Z1881" s="12" t="inlineStr">
        <is>
          <t>VD 1.0 %</t>
        </is>
      </c>
      <c r="AA1881" s="12">
        <f>N1881*O1881</f>
        <v/>
      </c>
    </row>
    <row r="1882">
      <c r="A1882" s="12" t="inlineStr">
        <is>
          <t>A-P-0515</t>
        </is>
      </c>
      <c r="B1882" s="12" t="inlineStr">
        <is>
          <t>A</t>
        </is>
      </c>
      <c r="C1882" s="12" t="inlineStr">
        <is>
          <t>Power block</t>
        </is>
      </c>
      <c r="D1882" s="12" t="inlineStr">
        <is>
          <t>Motor 5 of 6, 2 kW</t>
        </is>
      </c>
      <c r="E1882" s="12" t="inlineStr">
        <is>
          <t>R2A</t>
        </is>
      </c>
      <c r="F1882" s="12" t="inlineStr">
        <is>
          <t>R2A: unit / HRSG electrical e-house (32 x 40 ft)</t>
        </is>
      </c>
      <c r="G1882" s="12" t="inlineStr">
        <is>
          <t>UAT-1</t>
        </is>
      </c>
      <c r="H1882" s="12" t="inlineStr">
        <is>
          <t>UAT-1: 21/13.8 kV unit auxiliary transformer</t>
        </is>
      </c>
      <c r="I1882" s="12" t="inlineStr">
        <is>
          <t>LV 600 V</t>
        </is>
      </c>
      <c r="J1882" s="12" t="inlineStr">
        <is>
          <t>Type TC-ER 600 V 3/C Cu XHHW-2 + ground, PVC jacket</t>
        </is>
      </c>
      <c r="K1882" s="12" t="inlineStr">
        <is>
          <t>LV|3/C+G|10</t>
        </is>
      </c>
      <c r="L1882" s="12" t="inlineStr">
        <is>
          <t>3/C+G</t>
        </is>
      </c>
      <c r="M1882" s="12" t="inlineStr">
        <is>
          <t>10</t>
        </is>
      </c>
      <c r="N1882" s="12" t="n">
        <v>1</v>
      </c>
      <c r="O1882" s="12" t="n">
        <v>1</v>
      </c>
      <c r="P1882" s="12" t="n">
        <v>480</v>
      </c>
      <c r="Q1882" s="12" t="n">
        <v>2</v>
      </c>
      <c r="R1882" s="12" t="n">
        <v>2.8</v>
      </c>
      <c r="S1882" s="12" t="inlineStr">
        <is>
          <t>Tray</t>
        </is>
      </c>
      <c r="T1882" s="16" t="n">
        <v>566</v>
      </c>
      <c r="U1882" s="16" t="n">
        <v>158</v>
      </c>
      <c r="V1882" s="16">
        <f>ROUNDUP((T1882+U1882+2*'Read Me'!$B$13)*(1+'Read Me'!$B$12),-1)</f>
        <v/>
      </c>
      <c r="W1882" s="16">
        <f>V1882*N1882*O1882</f>
        <v/>
      </c>
      <c r="X1882" s="12">
        <f>IF(LEFT(I1882,2)="MV",2*N1882*IF(L1882="1/C",O1882,1),0)</f>
        <v/>
      </c>
      <c r="Y1882" s="12">
        <f>IF(OR(LEFT(K1882,4)="LVAX",LEFT(K1882,6)="MV15AX",LEFT(K1882,4)="CTAX",LEFT(K1882,2)="W|"),2*N1882*O1882,0)</f>
        <v/>
      </c>
      <c r="Z1882" s="12" t="inlineStr">
        <is>
          <t>VD 1.0 %</t>
        </is>
      </c>
      <c r="AA1882" s="12">
        <f>N1882*O1882</f>
        <v/>
      </c>
    </row>
    <row r="1883">
      <c r="A1883" s="12" t="inlineStr">
        <is>
          <t>A-P-0516</t>
        </is>
      </c>
      <c r="B1883" s="12" t="inlineStr">
        <is>
          <t>A</t>
        </is>
      </c>
      <c r="C1883" s="12" t="inlineStr">
        <is>
          <t>Power block</t>
        </is>
      </c>
      <c r="D1883" s="12" t="inlineStr">
        <is>
          <t>Motor 6 of 6, 2 kW</t>
        </is>
      </c>
      <c r="E1883" s="12" t="inlineStr">
        <is>
          <t>R2A</t>
        </is>
      </c>
      <c r="F1883" s="12" t="inlineStr">
        <is>
          <t>R2A: unit / HRSG electrical e-house (32 x 40 ft)</t>
        </is>
      </c>
      <c r="G1883" s="12" t="inlineStr">
        <is>
          <t>UAT-1</t>
        </is>
      </c>
      <c r="H1883" s="12" t="inlineStr">
        <is>
          <t>UAT-1: 21/13.8 kV unit auxiliary transformer</t>
        </is>
      </c>
      <c r="I1883" s="12" t="inlineStr">
        <is>
          <t>LV 600 V</t>
        </is>
      </c>
      <c r="J1883" s="12" t="inlineStr">
        <is>
          <t>Type TC-ER 600 V 3/C Cu XHHW-2 + ground, PVC jacket</t>
        </is>
      </c>
      <c r="K1883" s="12" t="inlineStr">
        <is>
          <t>LV|3/C+G|10</t>
        </is>
      </c>
      <c r="L1883" s="12" t="inlineStr">
        <is>
          <t>3/C+G</t>
        </is>
      </c>
      <c r="M1883" s="12" t="inlineStr">
        <is>
          <t>10</t>
        </is>
      </c>
      <c r="N1883" s="12" t="n">
        <v>1</v>
      </c>
      <c r="O1883" s="12" t="n">
        <v>1</v>
      </c>
      <c r="P1883" s="12" t="n">
        <v>480</v>
      </c>
      <c r="Q1883" s="12" t="n">
        <v>2</v>
      </c>
      <c r="R1883" s="12" t="n">
        <v>2.8</v>
      </c>
      <c r="S1883" s="12" t="inlineStr">
        <is>
          <t>Tray</t>
        </is>
      </c>
      <c r="T1883" s="16" t="n">
        <v>566</v>
      </c>
      <c r="U1883" s="16" t="n">
        <v>158</v>
      </c>
      <c r="V1883" s="16">
        <f>ROUNDUP((T1883+U1883+2*'Read Me'!$B$13)*(1+'Read Me'!$B$12),-1)</f>
        <v/>
      </c>
      <c r="W1883" s="16">
        <f>V1883*N1883*O1883</f>
        <v/>
      </c>
      <c r="X1883" s="12">
        <f>IF(LEFT(I1883,2)="MV",2*N1883*IF(L1883="1/C",O1883,1),0)</f>
        <v/>
      </c>
      <c r="Y1883" s="12">
        <f>IF(OR(LEFT(K1883,4)="LVAX",LEFT(K1883,6)="MV15AX",LEFT(K1883,4)="CTAX",LEFT(K1883,2)="W|"),2*N1883*O1883,0)</f>
        <v/>
      </c>
      <c r="Z1883" s="12" t="inlineStr">
        <is>
          <t>VD 1.0 %</t>
        </is>
      </c>
      <c r="AA1883" s="12">
        <f>N1883*O1883</f>
        <v/>
      </c>
    </row>
    <row r="1884">
      <c r="A1884" s="12" t="inlineStr">
        <is>
          <t>A-P-0517</t>
        </is>
      </c>
      <c r="B1884" s="12" t="inlineStr">
        <is>
          <t>A</t>
        </is>
      </c>
      <c r="C1884" s="12" t="inlineStr">
        <is>
          <t>Power block</t>
        </is>
      </c>
      <c r="D1884" s="12" t="inlineStr">
        <is>
          <t>Motor 1 of 6, 2 kW</t>
        </is>
      </c>
      <c r="E1884" s="12" t="inlineStr">
        <is>
          <t>R2B</t>
        </is>
      </c>
      <c r="F1884" s="12" t="inlineStr">
        <is>
          <t>R2B: unit / HRSG electrical e-house (32 x 40 ft)</t>
        </is>
      </c>
      <c r="G1884" s="12" t="inlineStr">
        <is>
          <t>UAT-2</t>
        </is>
      </c>
      <c r="H1884" s="12" t="inlineStr">
        <is>
          <t>UAT-2: 21/13.8 kV unit auxiliary transformer</t>
        </is>
      </c>
      <c r="I1884" s="12" t="inlineStr">
        <is>
          <t>LV 600 V</t>
        </is>
      </c>
      <c r="J1884" s="12" t="inlineStr">
        <is>
          <t>Type TC-ER 600 V 3/C Cu XHHW-2 + ground, PVC jacket</t>
        </is>
      </c>
      <c r="K1884" s="12" t="inlineStr">
        <is>
          <t>LV|3/C+G|10</t>
        </is>
      </c>
      <c r="L1884" s="12" t="inlineStr">
        <is>
          <t>3/C+G</t>
        </is>
      </c>
      <c r="M1884" s="12" t="inlineStr">
        <is>
          <t>10</t>
        </is>
      </c>
      <c r="N1884" s="12" t="n">
        <v>1</v>
      </c>
      <c r="O1884" s="12" t="n">
        <v>1</v>
      </c>
      <c r="P1884" s="12" t="n">
        <v>480</v>
      </c>
      <c r="Q1884" s="12" t="n">
        <v>2</v>
      </c>
      <c r="R1884" s="12" t="n">
        <v>2.8</v>
      </c>
      <c r="S1884" s="12" t="inlineStr">
        <is>
          <t>Duct bank</t>
        </is>
      </c>
      <c r="T1884" s="16" t="n">
        <v>1423</v>
      </c>
      <c r="U1884" s="16" t="n">
        <v>96</v>
      </c>
      <c r="V1884" s="16">
        <f>ROUNDUP((T1884+U1884+2*'Read Me'!$B$13)*(1+'Read Me'!$B$12),-1)</f>
        <v/>
      </c>
      <c r="W1884" s="16">
        <f>V1884*N1884*O1884</f>
        <v/>
      </c>
      <c r="X1884" s="12">
        <f>IF(LEFT(I1884,2)="MV",2*N1884*IF(L1884="1/C",O1884,1),0)</f>
        <v/>
      </c>
      <c r="Y1884" s="12">
        <f>IF(OR(LEFT(K1884,4)="LVAX",LEFT(K1884,6)="MV15AX",LEFT(K1884,4)="CTAX",LEFT(K1884,2)="W|"),2*N1884*O1884,0)</f>
        <v/>
      </c>
      <c r="Z1884" s="12" t="inlineStr">
        <is>
          <t>VD 2.1 %</t>
        </is>
      </c>
      <c r="AA1884" s="12">
        <f>N1884*O1884</f>
        <v/>
      </c>
    </row>
    <row r="1885">
      <c r="A1885" s="12" t="inlineStr">
        <is>
          <t>A-P-0518</t>
        </is>
      </c>
      <c r="B1885" s="12" t="inlineStr">
        <is>
          <t>A</t>
        </is>
      </c>
      <c r="C1885" s="12" t="inlineStr">
        <is>
          <t>Power block</t>
        </is>
      </c>
      <c r="D1885" s="12" t="inlineStr">
        <is>
          <t>Motor 2 of 6, 2 kW</t>
        </is>
      </c>
      <c r="E1885" s="12" t="inlineStr">
        <is>
          <t>R2B</t>
        </is>
      </c>
      <c r="F1885" s="12" t="inlineStr">
        <is>
          <t>R2B: unit / HRSG electrical e-house (32 x 40 ft)</t>
        </is>
      </c>
      <c r="G1885" s="12" t="inlineStr">
        <is>
          <t>UAT-2</t>
        </is>
      </c>
      <c r="H1885" s="12" t="inlineStr">
        <is>
          <t>UAT-2: 21/13.8 kV unit auxiliary transformer</t>
        </is>
      </c>
      <c r="I1885" s="12" t="inlineStr">
        <is>
          <t>LV 600 V</t>
        </is>
      </c>
      <c r="J1885" s="12" t="inlineStr">
        <is>
          <t>Type TC-ER 600 V 3/C Cu XHHW-2 + ground, PVC jacket</t>
        </is>
      </c>
      <c r="K1885" s="12" t="inlineStr">
        <is>
          <t>LV|3/C+G|10</t>
        </is>
      </c>
      <c r="L1885" s="12" t="inlineStr">
        <is>
          <t>3/C+G</t>
        </is>
      </c>
      <c r="M1885" s="12" t="inlineStr">
        <is>
          <t>10</t>
        </is>
      </c>
      <c r="N1885" s="12" t="n">
        <v>1</v>
      </c>
      <c r="O1885" s="12" t="n">
        <v>1</v>
      </c>
      <c r="P1885" s="12" t="n">
        <v>480</v>
      </c>
      <c r="Q1885" s="12" t="n">
        <v>2</v>
      </c>
      <c r="R1885" s="12" t="n">
        <v>2.8</v>
      </c>
      <c r="S1885" s="12" t="inlineStr">
        <is>
          <t>Duct bank</t>
        </is>
      </c>
      <c r="T1885" s="16" t="n">
        <v>1423</v>
      </c>
      <c r="U1885" s="16" t="n">
        <v>96</v>
      </c>
      <c r="V1885" s="16">
        <f>ROUNDUP((T1885+U1885+2*'Read Me'!$B$13)*(1+'Read Me'!$B$12),-1)</f>
        <v/>
      </c>
      <c r="W1885" s="16">
        <f>V1885*N1885*O1885</f>
        <v/>
      </c>
      <c r="X1885" s="12">
        <f>IF(LEFT(I1885,2)="MV",2*N1885*IF(L1885="1/C",O1885,1),0)</f>
        <v/>
      </c>
      <c r="Y1885" s="12">
        <f>IF(OR(LEFT(K1885,4)="LVAX",LEFT(K1885,6)="MV15AX",LEFT(K1885,4)="CTAX",LEFT(K1885,2)="W|"),2*N1885*O1885,0)</f>
        <v/>
      </c>
      <c r="Z1885" s="12" t="inlineStr">
        <is>
          <t>VD 2.1 %</t>
        </is>
      </c>
      <c r="AA1885" s="12">
        <f>N1885*O1885</f>
        <v/>
      </c>
    </row>
    <row r="1886">
      <c r="A1886" s="12" t="inlineStr">
        <is>
          <t>A-P-0519</t>
        </is>
      </c>
      <c r="B1886" s="12" t="inlineStr">
        <is>
          <t>A</t>
        </is>
      </c>
      <c r="C1886" s="12" t="inlineStr">
        <is>
          <t>Power block</t>
        </is>
      </c>
      <c r="D1886" s="12" t="inlineStr">
        <is>
          <t>Motor 3 of 6, 2 kW</t>
        </is>
      </c>
      <c r="E1886" s="12" t="inlineStr">
        <is>
          <t>R2B</t>
        </is>
      </c>
      <c r="F1886" s="12" t="inlineStr">
        <is>
          <t>R2B: unit / HRSG electrical e-house (32 x 40 ft)</t>
        </is>
      </c>
      <c r="G1886" s="12" t="inlineStr">
        <is>
          <t>UAT-2</t>
        </is>
      </c>
      <c r="H1886" s="12" t="inlineStr">
        <is>
          <t>UAT-2: 21/13.8 kV unit auxiliary transformer</t>
        </is>
      </c>
      <c r="I1886" s="12" t="inlineStr">
        <is>
          <t>LV 600 V</t>
        </is>
      </c>
      <c r="J1886" s="12" t="inlineStr">
        <is>
          <t>Type TC-ER 600 V 3/C Cu XHHW-2 + ground, PVC jacket</t>
        </is>
      </c>
      <c r="K1886" s="12" t="inlineStr">
        <is>
          <t>LV|3/C+G|10</t>
        </is>
      </c>
      <c r="L1886" s="12" t="inlineStr">
        <is>
          <t>3/C+G</t>
        </is>
      </c>
      <c r="M1886" s="12" t="inlineStr">
        <is>
          <t>10</t>
        </is>
      </c>
      <c r="N1886" s="12" t="n">
        <v>1</v>
      </c>
      <c r="O1886" s="12" t="n">
        <v>1</v>
      </c>
      <c r="P1886" s="12" t="n">
        <v>480</v>
      </c>
      <c r="Q1886" s="12" t="n">
        <v>2</v>
      </c>
      <c r="R1886" s="12" t="n">
        <v>2.8</v>
      </c>
      <c r="S1886" s="12" t="inlineStr">
        <is>
          <t>Duct bank</t>
        </is>
      </c>
      <c r="T1886" s="16" t="n">
        <v>1423</v>
      </c>
      <c r="U1886" s="16" t="n">
        <v>96</v>
      </c>
      <c r="V1886" s="16">
        <f>ROUNDUP((T1886+U1886+2*'Read Me'!$B$13)*(1+'Read Me'!$B$12),-1)</f>
        <v/>
      </c>
      <c r="W1886" s="16">
        <f>V1886*N1886*O1886</f>
        <v/>
      </c>
      <c r="X1886" s="12">
        <f>IF(LEFT(I1886,2)="MV",2*N1886*IF(L1886="1/C",O1886,1),0)</f>
        <v/>
      </c>
      <c r="Y1886" s="12">
        <f>IF(OR(LEFT(K1886,4)="LVAX",LEFT(K1886,6)="MV15AX",LEFT(K1886,4)="CTAX",LEFT(K1886,2)="W|"),2*N1886*O1886,0)</f>
        <v/>
      </c>
      <c r="Z1886" s="12" t="inlineStr">
        <is>
          <t>VD 2.1 %</t>
        </is>
      </c>
      <c r="AA1886" s="12">
        <f>N1886*O1886</f>
        <v/>
      </c>
    </row>
    <row r="1887">
      <c r="A1887" s="12" t="inlineStr">
        <is>
          <t>A-P-0520</t>
        </is>
      </c>
      <c r="B1887" s="12" t="inlineStr">
        <is>
          <t>A</t>
        </is>
      </c>
      <c r="C1887" s="12" t="inlineStr">
        <is>
          <t>Power block</t>
        </is>
      </c>
      <c r="D1887" s="12" t="inlineStr">
        <is>
          <t>Motor 4 of 6, 2 kW</t>
        </is>
      </c>
      <c r="E1887" s="12" t="inlineStr">
        <is>
          <t>R2B</t>
        </is>
      </c>
      <c r="F1887" s="12" t="inlineStr">
        <is>
          <t>R2B: unit / HRSG electrical e-house (32 x 40 ft)</t>
        </is>
      </c>
      <c r="G1887" s="12" t="inlineStr">
        <is>
          <t>UAT-2</t>
        </is>
      </c>
      <c r="H1887" s="12" t="inlineStr">
        <is>
          <t>UAT-2: 21/13.8 kV unit auxiliary transformer</t>
        </is>
      </c>
      <c r="I1887" s="12" t="inlineStr">
        <is>
          <t>LV 600 V</t>
        </is>
      </c>
      <c r="J1887" s="12" t="inlineStr">
        <is>
          <t>Type TC-ER 600 V 3/C Cu XHHW-2 + ground, PVC jacket</t>
        </is>
      </c>
      <c r="K1887" s="12" t="inlineStr">
        <is>
          <t>LV|3/C+G|10</t>
        </is>
      </c>
      <c r="L1887" s="12" t="inlineStr">
        <is>
          <t>3/C+G</t>
        </is>
      </c>
      <c r="M1887" s="12" t="inlineStr">
        <is>
          <t>10</t>
        </is>
      </c>
      <c r="N1887" s="12" t="n">
        <v>1</v>
      </c>
      <c r="O1887" s="12" t="n">
        <v>1</v>
      </c>
      <c r="P1887" s="12" t="n">
        <v>480</v>
      </c>
      <c r="Q1887" s="12" t="n">
        <v>2</v>
      </c>
      <c r="R1887" s="12" t="n">
        <v>2.8</v>
      </c>
      <c r="S1887" s="12" t="inlineStr">
        <is>
          <t>Duct bank</t>
        </is>
      </c>
      <c r="T1887" s="16" t="n">
        <v>1423</v>
      </c>
      <c r="U1887" s="16" t="n">
        <v>96</v>
      </c>
      <c r="V1887" s="16">
        <f>ROUNDUP((T1887+U1887+2*'Read Me'!$B$13)*(1+'Read Me'!$B$12),-1)</f>
        <v/>
      </c>
      <c r="W1887" s="16">
        <f>V1887*N1887*O1887</f>
        <v/>
      </c>
      <c r="X1887" s="12">
        <f>IF(LEFT(I1887,2)="MV",2*N1887*IF(L1887="1/C",O1887,1),0)</f>
        <v/>
      </c>
      <c r="Y1887" s="12">
        <f>IF(OR(LEFT(K1887,4)="LVAX",LEFT(K1887,6)="MV15AX",LEFT(K1887,4)="CTAX",LEFT(K1887,2)="W|"),2*N1887*O1887,0)</f>
        <v/>
      </c>
      <c r="Z1887" s="12" t="inlineStr">
        <is>
          <t>VD 2.1 %</t>
        </is>
      </c>
      <c r="AA1887" s="12">
        <f>N1887*O1887</f>
        <v/>
      </c>
    </row>
    <row r="1888">
      <c r="A1888" s="12" t="inlineStr">
        <is>
          <t>A-P-0521</t>
        </is>
      </c>
      <c r="B1888" s="12" t="inlineStr">
        <is>
          <t>A</t>
        </is>
      </c>
      <c r="C1888" s="12" t="inlineStr">
        <is>
          <t>Power block</t>
        </is>
      </c>
      <c r="D1888" s="12" t="inlineStr">
        <is>
          <t>Motor 5 of 6, 2 kW</t>
        </is>
      </c>
      <c r="E1888" s="12" t="inlineStr">
        <is>
          <t>R2B</t>
        </is>
      </c>
      <c r="F1888" s="12" t="inlineStr">
        <is>
          <t>R2B: unit / HRSG electrical e-house (32 x 40 ft)</t>
        </is>
      </c>
      <c r="G1888" s="12" t="inlineStr">
        <is>
          <t>UAT-2</t>
        </is>
      </c>
      <c r="H1888" s="12" t="inlineStr">
        <is>
          <t>UAT-2: 21/13.8 kV unit auxiliary transformer</t>
        </is>
      </c>
      <c r="I1888" s="12" t="inlineStr">
        <is>
          <t>LV 600 V</t>
        </is>
      </c>
      <c r="J1888" s="12" t="inlineStr">
        <is>
          <t>Type TC-ER 600 V 3/C Cu XHHW-2 + ground, PVC jacket</t>
        </is>
      </c>
      <c r="K1888" s="12" t="inlineStr">
        <is>
          <t>LV|3/C+G|10</t>
        </is>
      </c>
      <c r="L1888" s="12" t="inlineStr">
        <is>
          <t>3/C+G</t>
        </is>
      </c>
      <c r="M1888" s="12" t="inlineStr">
        <is>
          <t>10</t>
        </is>
      </c>
      <c r="N1888" s="12" t="n">
        <v>1</v>
      </c>
      <c r="O1888" s="12" t="n">
        <v>1</v>
      </c>
      <c r="P1888" s="12" t="n">
        <v>480</v>
      </c>
      <c r="Q1888" s="12" t="n">
        <v>2</v>
      </c>
      <c r="R1888" s="12" t="n">
        <v>2.8</v>
      </c>
      <c r="S1888" s="12" t="inlineStr">
        <is>
          <t>Duct bank</t>
        </is>
      </c>
      <c r="T1888" s="16" t="n">
        <v>1423</v>
      </c>
      <c r="U1888" s="16" t="n">
        <v>96</v>
      </c>
      <c r="V1888" s="16">
        <f>ROUNDUP((T1888+U1888+2*'Read Me'!$B$13)*(1+'Read Me'!$B$12),-1)</f>
        <v/>
      </c>
      <c r="W1888" s="16">
        <f>V1888*N1888*O1888</f>
        <v/>
      </c>
      <c r="X1888" s="12">
        <f>IF(LEFT(I1888,2)="MV",2*N1888*IF(L1888="1/C",O1888,1),0)</f>
        <v/>
      </c>
      <c r="Y1888" s="12">
        <f>IF(OR(LEFT(K1888,4)="LVAX",LEFT(K1888,6)="MV15AX",LEFT(K1888,4)="CTAX",LEFT(K1888,2)="W|"),2*N1888*O1888,0)</f>
        <v/>
      </c>
      <c r="Z1888" s="12" t="inlineStr">
        <is>
          <t>VD 2.1 %</t>
        </is>
      </c>
      <c r="AA1888" s="12">
        <f>N1888*O1888</f>
        <v/>
      </c>
    </row>
    <row r="1889">
      <c r="A1889" s="12" t="inlineStr">
        <is>
          <t>A-P-0522</t>
        </is>
      </c>
      <c r="B1889" s="12" t="inlineStr">
        <is>
          <t>A</t>
        </is>
      </c>
      <c r="C1889" s="12" t="inlineStr">
        <is>
          <t>Power block</t>
        </is>
      </c>
      <c r="D1889" s="12" t="inlineStr">
        <is>
          <t>Motor 6 of 6, 2 kW</t>
        </is>
      </c>
      <c r="E1889" s="12" t="inlineStr">
        <is>
          <t>R2B</t>
        </is>
      </c>
      <c r="F1889" s="12" t="inlineStr">
        <is>
          <t>R2B: unit / HRSG electrical e-house (32 x 40 ft)</t>
        </is>
      </c>
      <c r="G1889" s="12" t="inlineStr">
        <is>
          <t>UAT-2</t>
        </is>
      </c>
      <c r="H1889" s="12" t="inlineStr">
        <is>
          <t>UAT-2: 21/13.8 kV unit auxiliary transformer</t>
        </is>
      </c>
      <c r="I1889" s="12" t="inlineStr">
        <is>
          <t>LV 600 V</t>
        </is>
      </c>
      <c r="J1889" s="12" t="inlineStr">
        <is>
          <t>Type TC-ER 600 V 3/C Cu XHHW-2 + ground, PVC jacket</t>
        </is>
      </c>
      <c r="K1889" s="12" t="inlineStr">
        <is>
          <t>LV|3/C+G|10</t>
        </is>
      </c>
      <c r="L1889" s="12" t="inlineStr">
        <is>
          <t>3/C+G</t>
        </is>
      </c>
      <c r="M1889" s="12" t="inlineStr">
        <is>
          <t>10</t>
        </is>
      </c>
      <c r="N1889" s="12" t="n">
        <v>1</v>
      </c>
      <c r="O1889" s="12" t="n">
        <v>1</v>
      </c>
      <c r="P1889" s="12" t="n">
        <v>480</v>
      </c>
      <c r="Q1889" s="12" t="n">
        <v>2</v>
      </c>
      <c r="R1889" s="12" t="n">
        <v>2.8</v>
      </c>
      <c r="S1889" s="12" t="inlineStr">
        <is>
          <t>Duct bank</t>
        </is>
      </c>
      <c r="T1889" s="16" t="n">
        <v>1423</v>
      </c>
      <c r="U1889" s="16" t="n">
        <v>96</v>
      </c>
      <c r="V1889" s="16">
        <f>ROUNDUP((T1889+U1889+2*'Read Me'!$B$13)*(1+'Read Me'!$B$12),-1)</f>
        <v/>
      </c>
      <c r="W1889" s="16">
        <f>V1889*N1889*O1889</f>
        <v/>
      </c>
      <c r="X1889" s="12">
        <f>IF(LEFT(I1889,2)="MV",2*N1889*IF(L1889="1/C",O1889,1),0)</f>
        <v/>
      </c>
      <c r="Y1889" s="12">
        <f>IF(OR(LEFT(K1889,4)="LVAX",LEFT(K1889,6)="MV15AX",LEFT(K1889,4)="CTAX",LEFT(K1889,2)="W|"),2*N1889*O1889,0)</f>
        <v/>
      </c>
      <c r="Z1889" s="12" t="inlineStr">
        <is>
          <t>VD 2.1 %</t>
        </is>
      </c>
      <c r="AA1889" s="12">
        <f>N1889*O1889</f>
        <v/>
      </c>
    </row>
    <row r="1890">
      <c r="A1890" s="12" t="inlineStr">
        <is>
          <t>A-P-0523</t>
        </is>
      </c>
      <c r="B1890" s="12" t="inlineStr">
        <is>
          <t>A</t>
        </is>
      </c>
      <c r="C1890" s="12" t="inlineStr">
        <is>
          <t>Power block</t>
        </is>
      </c>
      <c r="D1890" s="12" t="inlineStr">
        <is>
          <t>Motor 1 of 6, 2 kW</t>
        </is>
      </c>
      <c r="E1890" s="12" t="inlineStr">
        <is>
          <t>R2C</t>
        </is>
      </c>
      <c r="F1890" s="12" t="inlineStr">
        <is>
          <t>R2C: unit / HRSG electrical e-house (32 x 40 ft)</t>
        </is>
      </c>
      <c r="G1890" s="12" t="inlineStr">
        <is>
          <t>UAT-3</t>
        </is>
      </c>
      <c r="H1890" s="12" t="inlineStr">
        <is>
          <t>UAT-3: 21/13.8 kV unit auxiliary transformer</t>
        </is>
      </c>
      <c r="I1890" s="12" t="inlineStr">
        <is>
          <t>LV 600 V</t>
        </is>
      </c>
      <c r="J1890" s="12" t="inlineStr">
        <is>
          <t>Type TC-ER 600 V 3/C Cu XHHW-2 + ground, PVC jacket</t>
        </is>
      </c>
      <c r="K1890" s="12" t="inlineStr">
        <is>
          <t>LV|3/C+G|10</t>
        </is>
      </c>
      <c r="L1890" s="12" t="inlineStr">
        <is>
          <t>3/C+G</t>
        </is>
      </c>
      <c r="M1890" s="12" t="inlineStr">
        <is>
          <t>10</t>
        </is>
      </c>
      <c r="N1890" s="12" t="n">
        <v>1</v>
      </c>
      <c r="O1890" s="12" t="n">
        <v>1</v>
      </c>
      <c r="P1890" s="12" t="n">
        <v>480</v>
      </c>
      <c r="Q1890" s="12" t="n">
        <v>2</v>
      </c>
      <c r="R1890" s="12" t="n">
        <v>2.8</v>
      </c>
      <c r="S1890" s="12" t="inlineStr">
        <is>
          <t>Duct bank</t>
        </is>
      </c>
      <c r="T1890" s="16" t="n">
        <v>1103</v>
      </c>
      <c r="U1890" s="16" t="n">
        <v>96</v>
      </c>
      <c r="V1890" s="16">
        <f>ROUNDUP((T1890+U1890+2*'Read Me'!$B$13)*(1+'Read Me'!$B$12),-1)</f>
        <v/>
      </c>
      <c r="W1890" s="16">
        <f>V1890*N1890*O1890</f>
        <v/>
      </c>
      <c r="X1890" s="12">
        <f>IF(LEFT(I1890,2)="MV",2*N1890*IF(L1890="1/C",O1890,1),0)</f>
        <v/>
      </c>
      <c r="Y1890" s="12">
        <f>IF(OR(LEFT(K1890,4)="LVAX",LEFT(K1890,6)="MV15AX",LEFT(K1890,4)="CTAX",LEFT(K1890,2)="W|"),2*N1890*O1890,0)</f>
        <v/>
      </c>
      <c r="Z1890" s="12" t="inlineStr">
        <is>
          <t>VD 1.6 %</t>
        </is>
      </c>
      <c r="AA1890" s="12">
        <f>N1890*O1890</f>
        <v/>
      </c>
    </row>
    <row r="1891">
      <c r="A1891" s="12" t="inlineStr">
        <is>
          <t>A-P-0524</t>
        </is>
      </c>
      <c r="B1891" s="12" t="inlineStr">
        <is>
          <t>A</t>
        </is>
      </c>
      <c r="C1891" s="12" t="inlineStr">
        <is>
          <t>Power block</t>
        </is>
      </c>
      <c r="D1891" s="12" t="inlineStr">
        <is>
          <t>Motor 2 of 6, 2 kW</t>
        </is>
      </c>
      <c r="E1891" s="12" t="inlineStr">
        <is>
          <t>R2C</t>
        </is>
      </c>
      <c r="F1891" s="12" t="inlineStr">
        <is>
          <t>R2C: unit / HRSG electrical e-house (32 x 40 ft)</t>
        </is>
      </c>
      <c r="G1891" s="12" t="inlineStr">
        <is>
          <t>UAT-3</t>
        </is>
      </c>
      <c r="H1891" s="12" t="inlineStr">
        <is>
          <t>UAT-3: 21/13.8 kV unit auxiliary transformer</t>
        </is>
      </c>
      <c r="I1891" s="12" t="inlineStr">
        <is>
          <t>LV 600 V</t>
        </is>
      </c>
      <c r="J1891" s="12" t="inlineStr">
        <is>
          <t>Type TC-ER 600 V 3/C Cu XHHW-2 + ground, PVC jacket</t>
        </is>
      </c>
      <c r="K1891" s="12" t="inlineStr">
        <is>
          <t>LV|3/C+G|10</t>
        </is>
      </c>
      <c r="L1891" s="12" t="inlineStr">
        <is>
          <t>3/C+G</t>
        </is>
      </c>
      <c r="M1891" s="12" t="inlineStr">
        <is>
          <t>10</t>
        </is>
      </c>
      <c r="N1891" s="12" t="n">
        <v>1</v>
      </c>
      <c r="O1891" s="12" t="n">
        <v>1</v>
      </c>
      <c r="P1891" s="12" t="n">
        <v>480</v>
      </c>
      <c r="Q1891" s="12" t="n">
        <v>2</v>
      </c>
      <c r="R1891" s="12" t="n">
        <v>2.8</v>
      </c>
      <c r="S1891" s="12" t="inlineStr">
        <is>
          <t>Duct bank</t>
        </is>
      </c>
      <c r="T1891" s="16" t="n">
        <v>1103</v>
      </c>
      <c r="U1891" s="16" t="n">
        <v>96</v>
      </c>
      <c r="V1891" s="16">
        <f>ROUNDUP((T1891+U1891+2*'Read Me'!$B$13)*(1+'Read Me'!$B$12),-1)</f>
        <v/>
      </c>
      <c r="W1891" s="16">
        <f>V1891*N1891*O1891</f>
        <v/>
      </c>
      <c r="X1891" s="12">
        <f>IF(LEFT(I1891,2)="MV",2*N1891*IF(L1891="1/C",O1891,1),0)</f>
        <v/>
      </c>
      <c r="Y1891" s="12">
        <f>IF(OR(LEFT(K1891,4)="LVAX",LEFT(K1891,6)="MV15AX",LEFT(K1891,4)="CTAX",LEFT(K1891,2)="W|"),2*N1891*O1891,0)</f>
        <v/>
      </c>
      <c r="Z1891" s="12" t="inlineStr">
        <is>
          <t>VD 1.6 %</t>
        </is>
      </c>
      <c r="AA1891" s="12">
        <f>N1891*O1891</f>
        <v/>
      </c>
    </row>
    <row r="1892">
      <c r="A1892" s="12" t="inlineStr">
        <is>
          <t>A-P-0525</t>
        </is>
      </c>
      <c r="B1892" s="12" t="inlineStr">
        <is>
          <t>A</t>
        </is>
      </c>
      <c r="C1892" s="12" t="inlineStr">
        <is>
          <t>Power block</t>
        </is>
      </c>
      <c r="D1892" s="12" t="inlineStr">
        <is>
          <t>Motor 3 of 6, 2 kW</t>
        </is>
      </c>
      <c r="E1892" s="12" t="inlineStr">
        <is>
          <t>R2C</t>
        </is>
      </c>
      <c r="F1892" s="12" t="inlineStr">
        <is>
          <t>R2C: unit / HRSG electrical e-house (32 x 40 ft)</t>
        </is>
      </c>
      <c r="G1892" s="12" t="inlineStr">
        <is>
          <t>UAT-3</t>
        </is>
      </c>
      <c r="H1892" s="12" t="inlineStr">
        <is>
          <t>UAT-3: 21/13.8 kV unit auxiliary transformer</t>
        </is>
      </c>
      <c r="I1892" s="12" t="inlineStr">
        <is>
          <t>LV 600 V</t>
        </is>
      </c>
      <c r="J1892" s="12" t="inlineStr">
        <is>
          <t>Type TC-ER 600 V 3/C Cu XHHW-2 + ground, PVC jacket</t>
        </is>
      </c>
      <c r="K1892" s="12" t="inlineStr">
        <is>
          <t>LV|3/C+G|10</t>
        </is>
      </c>
      <c r="L1892" s="12" t="inlineStr">
        <is>
          <t>3/C+G</t>
        </is>
      </c>
      <c r="M1892" s="12" t="inlineStr">
        <is>
          <t>10</t>
        </is>
      </c>
      <c r="N1892" s="12" t="n">
        <v>1</v>
      </c>
      <c r="O1892" s="12" t="n">
        <v>1</v>
      </c>
      <c r="P1892" s="12" t="n">
        <v>480</v>
      </c>
      <c r="Q1892" s="12" t="n">
        <v>2</v>
      </c>
      <c r="R1892" s="12" t="n">
        <v>2.8</v>
      </c>
      <c r="S1892" s="12" t="inlineStr">
        <is>
          <t>Duct bank</t>
        </is>
      </c>
      <c r="T1892" s="16" t="n">
        <v>1103</v>
      </c>
      <c r="U1892" s="16" t="n">
        <v>96</v>
      </c>
      <c r="V1892" s="16">
        <f>ROUNDUP((T1892+U1892+2*'Read Me'!$B$13)*(1+'Read Me'!$B$12),-1)</f>
        <v/>
      </c>
      <c r="W1892" s="16">
        <f>V1892*N1892*O1892</f>
        <v/>
      </c>
      <c r="X1892" s="12">
        <f>IF(LEFT(I1892,2)="MV",2*N1892*IF(L1892="1/C",O1892,1),0)</f>
        <v/>
      </c>
      <c r="Y1892" s="12">
        <f>IF(OR(LEFT(K1892,4)="LVAX",LEFT(K1892,6)="MV15AX",LEFT(K1892,4)="CTAX",LEFT(K1892,2)="W|"),2*N1892*O1892,0)</f>
        <v/>
      </c>
      <c r="Z1892" s="12" t="inlineStr">
        <is>
          <t>VD 1.6 %</t>
        </is>
      </c>
      <c r="AA1892" s="12">
        <f>N1892*O1892</f>
        <v/>
      </c>
    </row>
    <row r="1893">
      <c r="A1893" s="12" t="inlineStr">
        <is>
          <t>A-P-0526</t>
        </is>
      </c>
      <c r="B1893" s="12" t="inlineStr">
        <is>
          <t>A</t>
        </is>
      </c>
      <c r="C1893" s="12" t="inlineStr">
        <is>
          <t>Power block</t>
        </is>
      </c>
      <c r="D1893" s="12" t="inlineStr">
        <is>
          <t>Motor 4 of 6, 2 kW</t>
        </is>
      </c>
      <c r="E1893" s="12" t="inlineStr">
        <is>
          <t>R2C</t>
        </is>
      </c>
      <c r="F1893" s="12" t="inlineStr">
        <is>
          <t>R2C: unit / HRSG electrical e-house (32 x 40 ft)</t>
        </is>
      </c>
      <c r="G1893" s="12" t="inlineStr">
        <is>
          <t>UAT-3</t>
        </is>
      </c>
      <c r="H1893" s="12" t="inlineStr">
        <is>
          <t>UAT-3: 21/13.8 kV unit auxiliary transformer</t>
        </is>
      </c>
      <c r="I1893" s="12" t="inlineStr">
        <is>
          <t>LV 600 V</t>
        </is>
      </c>
      <c r="J1893" s="12" t="inlineStr">
        <is>
          <t>Type TC-ER 600 V 3/C Cu XHHW-2 + ground, PVC jacket</t>
        </is>
      </c>
      <c r="K1893" s="12" t="inlineStr">
        <is>
          <t>LV|3/C+G|10</t>
        </is>
      </c>
      <c r="L1893" s="12" t="inlineStr">
        <is>
          <t>3/C+G</t>
        </is>
      </c>
      <c r="M1893" s="12" t="inlineStr">
        <is>
          <t>10</t>
        </is>
      </c>
      <c r="N1893" s="12" t="n">
        <v>1</v>
      </c>
      <c r="O1893" s="12" t="n">
        <v>1</v>
      </c>
      <c r="P1893" s="12" t="n">
        <v>480</v>
      </c>
      <c r="Q1893" s="12" t="n">
        <v>2</v>
      </c>
      <c r="R1893" s="12" t="n">
        <v>2.8</v>
      </c>
      <c r="S1893" s="12" t="inlineStr">
        <is>
          <t>Duct bank</t>
        </is>
      </c>
      <c r="T1893" s="16" t="n">
        <v>1103</v>
      </c>
      <c r="U1893" s="16" t="n">
        <v>96</v>
      </c>
      <c r="V1893" s="16">
        <f>ROUNDUP((T1893+U1893+2*'Read Me'!$B$13)*(1+'Read Me'!$B$12),-1)</f>
        <v/>
      </c>
      <c r="W1893" s="16">
        <f>V1893*N1893*O1893</f>
        <v/>
      </c>
      <c r="X1893" s="12">
        <f>IF(LEFT(I1893,2)="MV",2*N1893*IF(L1893="1/C",O1893,1),0)</f>
        <v/>
      </c>
      <c r="Y1893" s="12">
        <f>IF(OR(LEFT(K1893,4)="LVAX",LEFT(K1893,6)="MV15AX",LEFT(K1893,4)="CTAX",LEFT(K1893,2)="W|"),2*N1893*O1893,0)</f>
        <v/>
      </c>
      <c r="Z1893" s="12" t="inlineStr">
        <is>
          <t>VD 1.6 %</t>
        </is>
      </c>
      <c r="AA1893" s="12">
        <f>N1893*O1893</f>
        <v/>
      </c>
    </row>
    <row r="1894">
      <c r="A1894" s="12" t="inlineStr">
        <is>
          <t>A-P-0527</t>
        </is>
      </c>
      <c r="B1894" s="12" t="inlineStr">
        <is>
          <t>A</t>
        </is>
      </c>
      <c r="C1894" s="12" t="inlineStr">
        <is>
          <t>Power block</t>
        </is>
      </c>
      <c r="D1894" s="12" t="inlineStr">
        <is>
          <t>Motor 5 of 6, 2 kW</t>
        </is>
      </c>
      <c r="E1894" s="12" t="inlineStr">
        <is>
          <t>R2C</t>
        </is>
      </c>
      <c r="F1894" s="12" t="inlineStr">
        <is>
          <t>R2C: unit / HRSG electrical e-house (32 x 40 ft)</t>
        </is>
      </c>
      <c r="G1894" s="12" t="inlineStr">
        <is>
          <t>UAT-3</t>
        </is>
      </c>
      <c r="H1894" s="12" t="inlineStr">
        <is>
          <t>UAT-3: 21/13.8 kV unit auxiliary transformer</t>
        </is>
      </c>
      <c r="I1894" s="12" t="inlineStr">
        <is>
          <t>LV 600 V</t>
        </is>
      </c>
      <c r="J1894" s="12" t="inlineStr">
        <is>
          <t>Type TC-ER 600 V 3/C Cu XHHW-2 + ground, PVC jacket</t>
        </is>
      </c>
      <c r="K1894" s="12" t="inlineStr">
        <is>
          <t>LV|3/C+G|10</t>
        </is>
      </c>
      <c r="L1894" s="12" t="inlineStr">
        <is>
          <t>3/C+G</t>
        </is>
      </c>
      <c r="M1894" s="12" t="inlineStr">
        <is>
          <t>10</t>
        </is>
      </c>
      <c r="N1894" s="12" t="n">
        <v>1</v>
      </c>
      <c r="O1894" s="12" t="n">
        <v>1</v>
      </c>
      <c r="P1894" s="12" t="n">
        <v>480</v>
      </c>
      <c r="Q1894" s="12" t="n">
        <v>2</v>
      </c>
      <c r="R1894" s="12" t="n">
        <v>2.8</v>
      </c>
      <c r="S1894" s="12" t="inlineStr">
        <is>
          <t>Duct bank</t>
        </is>
      </c>
      <c r="T1894" s="16" t="n">
        <v>1103</v>
      </c>
      <c r="U1894" s="16" t="n">
        <v>96</v>
      </c>
      <c r="V1894" s="16">
        <f>ROUNDUP((T1894+U1894+2*'Read Me'!$B$13)*(1+'Read Me'!$B$12),-1)</f>
        <v/>
      </c>
      <c r="W1894" s="16">
        <f>V1894*N1894*O1894</f>
        <v/>
      </c>
      <c r="X1894" s="12">
        <f>IF(LEFT(I1894,2)="MV",2*N1894*IF(L1894="1/C",O1894,1),0)</f>
        <v/>
      </c>
      <c r="Y1894" s="12">
        <f>IF(OR(LEFT(K1894,4)="LVAX",LEFT(K1894,6)="MV15AX",LEFT(K1894,4)="CTAX",LEFT(K1894,2)="W|"),2*N1894*O1894,0)</f>
        <v/>
      </c>
      <c r="Z1894" s="12" t="inlineStr">
        <is>
          <t>VD 1.6 %</t>
        </is>
      </c>
      <c r="AA1894" s="12">
        <f>N1894*O1894</f>
        <v/>
      </c>
    </row>
    <row r="1895">
      <c r="A1895" s="12" t="inlineStr">
        <is>
          <t>A-P-0528</t>
        </is>
      </c>
      <c r="B1895" s="12" t="inlineStr">
        <is>
          <t>A</t>
        </is>
      </c>
      <c r="C1895" s="12" t="inlineStr">
        <is>
          <t>Power block</t>
        </is>
      </c>
      <c r="D1895" s="12" t="inlineStr">
        <is>
          <t>Motor 6 of 6, 2 kW</t>
        </is>
      </c>
      <c r="E1895" s="12" t="inlineStr">
        <is>
          <t>R2C</t>
        </is>
      </c>
      <c r="F1895" s="12" t="inlineStr">
        <is>
          <t>R2C: unit / HRSG electrical e-house (32 x 40 ft)</t>
        </is>
      </c>
      <c r="G1895" s="12" t="inlineStr">
        <is>
          <t>UAT-3</t>
        </is>
      </c>
      <c r="H1895" s="12" t="inlineStr">
        <is>
          <t>UAT-3: 21/13.8 kV unit auxiliary transformer</t>
        </is>
      </c>
      <c r="I1895" s="12" t="inlineStr">
        <is>
          <t>LV 600 V</t>
        </is>
      </c>
      <c r="J1895" s="12" t="inlineStr">
        <is>
          <t>Type TC-ER 600 V 3/C Cu XHHW-2 + ground, PVC jacket</t>
        </is>
      </c>
      <c r="K1895" s="12" t="inlineStr">
        <is>
          <t>LV|3/C+G|10</t>
        </is>
      </c>
      <c r="L1895" s="12" t="inlineStr">
        <is>
          <t>3/C+G</t>
        </is>
      </c>
      <c r="M1895" s="12" t="inlineStr">
        <is>
          <t>10</t>
        </is>
      </c>
      <c r="N1895" s="12" t="n">
        <v>1</v>
      </c>
      <c r="O1895" s="12" t="n">
        <v>1</v>
      </c>
      <c r="P1895" s="12" t="n">
        <v>480</v>
      </c>
      <c r="Q1895" s="12" t="n">
        <v>2</v>
      </c>
      <c r="R1895" s="12" t="n">
        <v>2.8</v>
      </c>
      <c r="S1895" s="12" t="inlineStr">
        <is>
          <t>Duct bank</t>
        </is>
      </c>
      <c r="T1895" s="16" t="n">
        <v>1103</v>
      </c>
      <c r="U1895" s="16" t="n">
        <v>96</v>
      </c>
      <c r="V1895" s="16">
        <f>ROUNDUP((T1895+U1895+2*'Read Me'!$B$13)*(1+'Read Me'!$B$12),-1)</f>
        <v/>
      </c>
      <c r="W1895" s="16">
        <f>V1895*N1895*O1895</f>
        <v/>
      </c>
      <c r="X1895" s="12">
        <f>IF(LEFT(I1895,2)="MV",2*N1895*IF(L1895="1/C",O1895,1),0)</f>
        <v/>
      </c>
      <c r="Y1895" s="12">
        <f>IF(OR(LEFT(K1895,4)="LVAX",LEFT(K1895,6)="MV15AX",LEFT(K1895,4)="CTAX",LEFT(K1895,2)="W|"),2*N1895*O1895,0)</f>
        <v/>
      </c>
      <c r="Z1895" s="12" t="inlineStr">
        <is>
          <t>VD 1.6 %</t>
        </is>
      </c>
      <c r="AA1895" s="12">
        <f>N1895*O1895</f>
        <v/>
      </c>
    </row>
    <row r="1896">
      <c r="A1896" s="12" t="inlineStr">
        <is>
          <t>A-P-0529</t>
        </is>
      </c>
      <c r="B1896" s="12" t="inlineStr">
        <is>
          <t>A</t>
        </is>
      </c>
      <c r="C1896" s="12" t="inlineStr">
        <is>
          <t>Power block</t>
        </is>
      </c>
      <c r="D1896" s="12" t="inlineStr">
        <is>
          <t>Motor 1 of 2, 22 kW</t>
        </is>
      </c>
      <c r="E1896" s="12" t="inlineStr">
        <is>
          <t>MCC-GT1</t>
        </is>
      </c>
      <c r="F1896" s="12" t="inlineStr">
        <is>
          <t>R1 MCC-GT1</t>
        </is>
      </c>
      <c r="G1896" s="12" t="inlineStr">
        <is>
          <t>WASH-GT1</t>
        </is>
      </c>
      <c r="H1896" s="12" t="inlineStr">
        <is>
          <t>WASH-GT1: compressor water-wash skid</t>
        </is>
      </c>
      <c r="I1896" s="12" t="inlineStr">
        <is>
          <t>LV 600 V</t>
        </is>
      </c>
      <c r="J1896" s="12" t="inlineStr">
        <is>
          <t>ARMOR-X MC-HL 600 V 3/C Cu XHHW-2 + ground, CWA, black PVC (Class I Div 2)</t>
        </is>
      </c>
      <c r="K1896" s="12" t="inlineStr">
        <is>
          <t>LVAX|3/C+G|6</t>
        </is>
      </c>
      <c r="L1896" s="12" t="inlineStr">
        <is>
          <t>3/C+G</t>
        </is>
      </c>
      <c r="M1896" s="12" t="inlineStr">
        <is>
          <t>6</t>
        </is>
      </c>
      <c r="N1896" s="12" t="n">
        <v>1</v>
      </c>
      <c r="O1896" s="12" t="n">
        <v>1</v>
      </c>
      <c r="P1896" s="12" t="n">
        <v>480</v>
      </c>
      <c r="Q1896" s="12" t="n">
        <v>22</v>
      </c>
      <c r="R1896" s="12" t="n">
        <v>31.1</v>
      </c>
      <c r="S1896" s="12" t="inlineStr">
        <is>
          <t>Tray</t>
        </is>
      </c>
      <c r="T1896" s="16" t="n">
        <v>261</v>
      </c>
      <c r="U1896" s="16" t="n">
        <v>145</v>
      </c>
      <c r="V1896" s="16">
        <f>ROUNDUP((T1896+U1896+2*'Read Me'!$B$13)*(1+'Read Me'!$B$12),-1)</f>
        <v/>
      </c>
      <c r="W1896" s="16">
        <f>V1896*N1896*O1896</f>
        <v/>
      </c>
      <c r="X1896" s="12">
        <f>IF(LEFT(I1896,2)="MV",2*N1896*IF(L1896="1/C",O1896,1),0)</f>
        <v/>
      </c>
      <c r="Y1896" s="12">
        <f>IF(OR(LEFT(K1896,4)="LVAX",LEFT(K1896,6)="MV15AX",LEFT(K1896,4)="CTAX",LEFT(K1896,2)="W|"),2*N1896*O1896,0)</f>
        <v/>
      </c>
      <c r="Z1896" s="12" t="inlineStr">
        <is>
          <t>VD 2.5 %</t>
        </is>
      </c>
      <c r="AA1896" s="12">
        <f>N1896*O1896</f>
        <v/>
      </c>
    </row>
    <row r="1897">
      <c r="A1897" s="12" t="inlineStr">
        <is>
          <t>A-P-0530</t>
        </is>
      </c>
      <c r="B1897" s="12" t="inlineStr">
        <is>
          <t>A</t>
        </is>
      </c>
      <c r="C1897" s="12" t="inlineStr">
        <is>
          <t>Power block</t>
        </is>
      </c>
      <c r="D1897" s="12" t="inlineStr">
        <is>
          <t>Motor 2 of 2, 22 kW</t>
        </is>
      </c>
      <c r="E1897" s="12" t="inlineStr">
        <is>
          <t>MCC-GT1</t>
        </is>
      </c>
      <c r="F1897" s="12" t="inlineStr">
        <is>
          <t>R1 MCC-GT1</t>
        </is>
      </c>
      <c r="G1897" s="12" t="inlineStr">
        <is>
          <t>WASH-GT1</t>
        </is>
      </c>
      <c r="H1897" s="12" t="inlineStr">
        <is>
          <t>WASH-GT1: compressor water-wash skid</t>
        </is>
      </c>
      <c r="I1897" s="12" t="inlineStr">
        <is>
          <t>LV 600 V</t>
        </is>
      </c>
      <c r="J1897" s="12" t="inlineStr">
        <is>
          <t>ARMOR-X MC-HL 600 V 3/C Cu XHHW-2 + ground, CWA, black PVC (Class I Div 2)</t>
        </is>
      </c>
      <c r="K1897" s="12" t="inlineStr">
        <is>
          <t>LVAX|3/C+G|6</t>
        </is>
      </c>
      <c r="L1897" s="12" t="inlineStr">
        <is>
          <t>3/C+G</t>
        </is>
      </c>
      <c r="M1897" s="12" t="inlineStr">
        <is>
          <t>6</t>
        </is>
      </c>
      <c r="N1897" s="12" t="n">
        <v>1</v>
      </c>
      <c r="O1897" s="12" t="n">
        <v>1</v>
      </c>
      <c r="P1897" s="12" t="n">
        <v>480</v>
      </c>
      <c r="Q1897" s="12" t="n">
        <v>22</v>
      </c>
      <c r="R1897" s="12" t="n">
        <v>31.1</v>
      </c>
      <c r="S1897" s="12" t="inlineStr">
        <is>
          <t>Tray</t>
        </is>
      </c>
      <c r="T1897" s="16" t="n">
        <v>261</v>
      </c>
      <c r="U1897" s="16" t="n">
        <v>145</v>
      </c>
      <c r="V1897" s="16">
        <f>ROUNDUP((T1897+U1897+2*'Read Me'!$B$13)*(1+'Read Me'!$B$12),-1)</f>
        <v/>
      </c>
      <c r="W1897" s="16">
        <f>V1897*N1897*O1897</f>
        <v/>
      </c>
      <c r="X1897" s="12">
        <f>IF(LEFT(I1897,2)="MV",2*N1897*IF(L1897="1/C",O1897,1),0)</f>
        <v/>
      </c>
      <c r="Y1897" s="12">
        <f>IF(OR(LEFT(K1897,4)="LVAX",LEFT(K1897,6)="MV15AX",LEFT(K1897,4)="CTAX",LEFT(K1897,2)="W|"),2*N1897*O1897,0)</f>
        <v/>
      </c>
      <c r="Z1897" s="12" t="inlineStr">
        <is>
          <t>VD 2.5 %</t>
        </is>
      </c>
      <c r="AA1897" s="12">
        <f>N1897*O1897</f>
        <v/>
      </c>
    </row>
    <row r="1898">
      <c r="A1898" s="12" t="inlineStr">
        <is>
          <t>A-P-0531</t>
        </is>
      </c>
      <c r="B1898" s="12" t="inlineStr">
        <is>
          <t>A</t>
        </is>
      </c>
      <c r="C1898" s="12" t="inlineStr">
        <is>
          <t>Power block</t>
        </is>
      </c>
      <c r="D1898" s="12" t="inlineStr">
        <is>
          <t>Motor 1 of 2, 22 kW</t>
        </is>
      </c>
      <c r="E1898" s="12" t="inlineStr">
        <is>
          <t>MCC-GT2</t>
        </is>
      </c>
      <c r="F1898" s="12" t="inlineStr">
        <is>
          <t>R1 MCC-GT2</t>
        </is>
      </c>
      <c r="G1898" s="12" t="inlineStr">
        <is>
          <t>WASH-GT2</t>
        </is>
      </c>
      <c r="H1898" s="12" t="inlineStr">
        <is>
          <t>WASH-GT2: compressor water-wash skid</t>
        </is>
      </c>
      <c r="I1898" s="12" t="inlineStr">
        <is>
          <t>LV 600 V</t>
        </is>
      </c>
      <c r="J1898" s="12" t="inlineStr">
        <is>
          <t>ARMOR-X MC-HL 600 V 3/C Cu XHHW-2 + ground, CWA, black PVC (Class I Div 2)</t>
        </is>
      </c>
      <c r="K1898" s="12" t="inlineStr">
        <is>
          <t>LVAX|3/C+G|4</t>
        </is>
      </c>
      <c r="L1898" s="12" t="inlineStr">
        <is>
          <t>3/C+G</t>
        </is>
      </c>
      <c r="M1898" s="12" t="inlineStr">
        <is>
          <t>4</t>
        </is>
      </c>
      <c r="N1898" s="12" t="n">
        <v>1</v>
      </c>
      <c r="O1898" s="12" t="n">
        <v>1</v>
      </c>
      <c r="P1898" s="12" t="n">
        <v>480</v>
      </c>
      <c r="Q1898" s="12" t="n">
        <v>22</v>
      </c>
      <c r="R1898" s="12" t="n">
        <v>31.1</v>
      </c>
      <c r="S1898" s="12" t="inlineStr">
        <is>
          <t>Tray</t>
        </is>
      </c>
      <c r="T1898" s="16" t="n">
        <v>441</v>
      </c>
      <c r="U1898" s="16" t="n">
        <v>125</v>
      </c>
      <c r="V1898" s="16">
        <f>ROUNDUP((T1898+U1898+2*'Read Me'!$B$13)*(1+'Read Me'!$B$12),-1)</f>
        <v/>
      </c>
      <c r="W1898" s="16">
        <f>V1898*N1898*O1898</f>
        <v/>
      </c>
      <c r="X1898" s="12">
        <f>IF(LEFT(I1898,2)="MV",2*N1898*IF(L1898="1/C",O1898,1),0)</f>
        <v/>
      </c>
      <c r="Y1898" s="12">
        <f>IF(OR(LEFT(K1898,4)="LVAX",LEFT(K1898,6)="MV15AX",LEFT(K1898,4)="CTAX",LEFT(K1898,2)="W|"),2*N1898*O1898,0)</f>
        <v/>
      </c>
      <c r="Z1898" s="12" t="inlineStr">
        <is>
          <t>VD 2.2 %</t>
        </is>
      </c>
      <c r="AA1898" s="12">
        <f>N1898*O1898</f>
        <v/>
      </c>
    </row>
    <row r="1899">
      <c r="A1899" s="12" t="inlineStr">
        <is>
          <t>A-P-0532</t>
        </is>
      </c>
      <c r="B1899" s="12" t="inlineStr">
        <is>
          <t>A</t>
        </is>
      </c>
      <c r="C1899" s="12" t="inlineStr">
        <is>
          <t>Power block</t>
        </is>
      </c>
      <c r="D1899" s="12" t="inlineStr">
        <is>
          <t>Motor 2 of 2, 22 kW</t>
        </is>
      </c>
      <c r="E1899" s="12" t="inlineStr">
        <is>
          <t>MCC-GT2</t>
        </is>
      </c>
      <c r="F1899" s="12" t="inlineStr">
        <is>
          <t>R1 MCC-GT2</t>
        </is>
      </c>
      <c r="G1899" s="12" t="inlineStr">
        <is>
          <t>WASH-GT2</t>
        </is>
      </c>
      <c r="H1899" s="12" t="inlineStr">
        <is>
          <t>WASH-GT2: compressor water-wash skid</t>
        </is>
      </c>
      <c r="I1899" s="12" t="inlineStr">
        <is>
          <t>LV 600 V</t>
        </is>
      </c>
      <c r="J1899" s="12" t="inlineStr">
        <is>
          <t>ARMOR-X MC-HL 600 V 3/C Cu XHHW-2 + ground, CWA, black PVC (Class I Div 2)</t>
        </is>
      </c>
      <c r="K1899" s="12" t="inlineStr">
        <is>
          <t>LVAX|3/C+G|4</t>
        </is>
      </c>
      <c r="L1899" s="12" t="inlineStr">
        <is>
          <t>3/C+G</t>
        </is>
      </c>
      <c r="M1899" s="12" t="inlineStr">
        <is>
          <t>4</t>
        </is>
      </c>
      <c r="N1899" s="12" t="n">
        <v>1</v>
      </c>
      <c r="O1899" s="12" t="n">
        <v>1</v>
      </c>
      <c r="P1899" s="12" t="n">
        <v>480</v>
      </c>
      <c r="Q1899" s="12" t="n">
        <v>22</v>
      </c>
      <c r="R1899" s="12" t="n">
        <v>31.1</v>
      </c>
      <c r="S1899" s="12" t="inlineStr">
        <is>
          <t>Tray</t>
        </is>
      </c>
      <c r="T1899" s="16" t="n">
        <v>441</v>
      </c>
      <c r="U1899" s="16" t="n">
        <v>125</v>
      </c>
      <c r="V1899" s="16">
        <f>ROUNDUP((T1899+U1899+2*'Read Me'!$B$13)*(1+'Read Me'!$B$12),-1)</f>
        <v/>
      </c>
      <c r="W1899" s="16">
        <f>V1899*N1899*O1899</f>
        <v/>
      </c>
      <c r="X1899" s="12">
        <f>IF(LEFT(I1899,2)="MV",2*N1899*IF(L1899="1/C",O1899,1),0)</f>
        <v/>
      </c>
      <c r="Y1899" s="12">
        <f>IF(OR(LEFT(K1899,4)="LVAX",LEFT(K1899,6)="MV15AX",LEFT(K1899,4)="CTAX",LEFT(K1899,2)="W|"),2*N1899*O1899,0)</f>
        <v/>
      </c>
      <c r="Z1899" s="12" t="inlineStr">
        <is>
          <t>VD 2.2 %</t>
        </is>
      </c>
      <c r="AA1899" s="12">
        <f>N1899*O1899</f>
        <v/>
      </c>
    </row>
    <row r="1900">
      <c r="A1900" s="12" t="inlineStr">
        <is>
          <t>A-P-0533</t>
        </is>
      </c>
      <c r="B1900" s="12" t="inlineStr">
        <is>
          <t>A</t>
        </is>
      </c>
      <c r="C1900" s="12" t="inlineStr">
        <is>
          <t>Power block</t>
        </is>
      </c>
      <c r="D1900" s="12" t="inlineStr">
        <is>
          <t>Motor 1 of 2, 22 kW</t>
        </is>
      </c>
      <c r="E1900" s="12" t="inlineStr">
        <is>
          <t>MCC-GT3</t>
        </is>
      </c>
      <c r="F1900" s="12" t="inlineStr">
        <is>
          <t>R1 MCC-GT3</t>
        </is>
      </c>
      <c r="G1900" s="12" t="inlineStr">
        <is>
          <t>WASH-GT3</t>
        </is>
      </c>
      <c r="H1900" s="12" t="inlineStr">
        <is>
          <t>WASH-GT3: compressor water-wash skid</t>
        </is>
      </c>
      <c r="I1900" s="12" t="inlineStr">
        <is>
          <t>LV 600 V</t>
        </is>
      </c>
      <c r="J1900" s="12" t="inlineStr">
        <is>
          <t>ARMOR-X MC-HL 600 V 3/C Cu XHHW-2 + ground, CWA, black PVC (Class I Div 2)</t>
        </is>
      </c>
      <c r="K1900" s="12" t="inlineStr">
        <is>
          <t>LVAX|3/C+G|4</t>
        </is>
      </c>
      <c r="L1900" s="12" t="inlineStr">
        <is>
          <t>3/C+G</t>
        </is>
      </c>
      <c r="M1900" s="12" t="inlineStr">
        <is>
          <t>4</t>
        </is>
      </c>
      <c r="N1900" s="12" t="n">
        <v>1</v>
      </c>
      <c r="O1900" s="12" t="n">
        <v>1</v>
      </c>
      <c r="P1900" s="12" t="n">
        <v>480</v>
      </c>
      <c r="Q1900" s="12" t="n">
        <v>22</v>
      </c>
      <c r="R1900" s="12" t="n">
        <v>31.1</v>
      </c>
      <c r="S1900" s="12" t="inlineStr">
        <is>
          <t>Tray</t>
        </is>
      </c>
      <c r="T1900" s="16" t="n">
        <v>609</v>
      </c>
      <c r="U1900" s="16" t="n">
        <v>133</v>
      </c>
      <c r="V1900" s="16">
        <f>ROUNDUP((T1900+U1900+2*'Read Me'!$B$13)*(1+'Read Me'!$B$12),-1)</f>
        <v/>
      </c>
      <c r="W1900" s="16">
        <f>V1900*N1900*O1900</f>
        <v/>
      </c>
      <c r="X1900" s="12">
        <f>IF(LEFT(I1900,2)="MV",2*N1900*IF(L1900="1/C",O1900,1),0)</f>
        <v/>
      </c>
      <c r="Y1900" s="12">
        <f>IF(OR(LEFT(K1900,4)="LVAX",LEFT(K1900,6)="MV15AX",LEFT(K1900,4)="CTAX",LEFT(K1900,2)="W|"),2*N1900*O1900,0)</f>
        <v/>
      </c>
      <c r="Z1900" s="12" t="inlineStr">
        <is>
          <t>VD 2.8 %</t>
        </is>
      </c>
      <c r="AA1900" s="12">
        <f>N1900*O1900</f>
        <v/>
      </c>
    </row>
    <row r="1901">
      <c r="A1901" s="12" t="inlineStr">
        <is>
          <t>A-P-0534</t>
        </is>
      </c>
      <c r="B1901" s="12" t="inlineStr">
        <is>
          <t>A</t>
        </is>
      </c>
      <c r="C1901" s="12" t="inlineStr">
        <is>
          <t>Power block</t>
        </is>
      </c>
      <c r="D1901" s="12" t="inlineStr">
        <is>
          <t>Motor 2 of 2, 22 kW</t>
        </is>
      </c>
      <c r="E1901" s="12" t="inlineStr">
        <is>
          <t>MCC-GT3</t>
        </is>
      </c>
      <c r="F1901" s="12" t="inlineStr">
        <is>
          <t>R1 MCC-GT3</t>
        </is>
      </c>
      <c r="G1901" s="12" t="inlineStr">
        <is>
          <t>WASH-GT3</t>
        </is>
      </c>
      <c r="H1901" s="12" t="inlineStr">
        <is>
          <t>WASH-GT3: compressor water-wash skid</t>
        </is>
      </c>
      <c r="I1901" s="12" t="inlineStr">
        <is>
          <t>LV 600 V</t>
        </is>
      </c>
      <c r="J1901" s="12" t="inlineStr">
        <is>
          <t>ARMOR-X MC-HL 600 V 3/C Cu XHHW-2 + ground, CWA, black PVC (Class I Div 2)</t>
        </is>
      </c>
      <c r="K1901" s="12" t="inlineStr">
        <is>
          <t>LVAX|3/C+G|4</t>
        </is>
      </c>
      <c r="L1901" s="12" t="inlineStr">
        <is>
          <t>3/C+G</t>
        </is>
      </c>
      <c r="M1901" s="12" t="inlineStr">
        <is>
          <t>4</t>
        </is>
      </c>
      <c r="N1901" s="12" t="n">
        <v>1</v>
      </c>
      <c r="O1901" s="12" t="n">
        <v>1</v>
      </c>
      <c r="P1901" s="12" t="n">
        <v>480</v>
      </c>
      <c r="Q1901" s="12" t="n">
        <v>22</v>
      </c>
      <c r="R1901" s="12" t="n">
        <v>31.1</v>
      </c>
      <c r="S1901" s="12" t="inlineStr">
        <is>
          <t>Tray</t>
        </is>
      </c>
      <c r="T1901" s="16" t="n">
        <v>609</v>
      </c>
      <c r="U1901" s="16" t="n">
        <v>133</v>
      </c>
      <c r="V1901" s="16">
        <f>ROUNDUP((T1901+U1901+2*'Read Me'!$B$13)*(1+'Read Me'!$B$12),-1)</f>
        <v/>
      </c>
      <c r="W1901" s="16">
        <f>V1901*N1901*O1901</f>
        <v/>
      </c>
      <c r="X1901" s="12">
        <f>IF(LEFT(I1901,2)="MV",2*N1901*IF(L1901="1/C",O1901,1),0)</f>
        <v/>
      </c>
      <c r="Y1901" s="12">
        <f>IF(OR(LEFT(K1901,4)="LVAX",LEFT(K1901,6)="MV15AX",LEFT(K1901,4)="CTAX",LEFT(K1901,2)="W|"),2*N1901*O1901,0)</f>
        <v/>
      </c>
      <c r="Z1901" s="12" t="inlineStr">
        <is>
          <t>VD 2.8 %</t>
        </is>
      </c>
      <c r="AA1901" s="12">
        <f>N1901*O1901</f>
        <v/>
      </c>
    </row>
    <row r="1902">
      <c r="A1902" s="12" t="inlineStr">
        <is>
          <t>A-MV-0001</t>
        </is>
      </c>
      <c r="B1902" s="12" t="inlineStr">
        <is>
          <t>A</t>
        </is>
      </c>
      <c r="C1902" s="12" t="inlineStr">
        <is>
          <t>Power block</t>
        </is>
      </c>
      <c r="D1902" s="12" t="inlineStr">
        <is>
          <t>Boiler feed pump BFP-1A / 1B</t>
        </is>
      </c>
      <c r="E1902" s="12" t="inlineStr">
        <is>
          <t>SWGR-13.8-1</t>
        </is>
      </c>
      <c r="F1902" s="12" t="inlineStr">
        <is>
          <t>R1 SWGR-13.8-1 (11 x 36 in cubicles, 15 kV metal-clad)</t>
        </is>
      </c>
      <c r="G1902" s="12" t="inlineStr">
        <is>
          <t>BFP-1</t>
        </is>
      </c>
      <c r="H1902" s="12" t="inlineStr">
        <is>
          <t>BFP-1A/B: boiler feed pumps (13.8 kV DOL)</t>
        </is>
      </c>
      <c r="I1902" s="12" t="inlineStr">
        <is>
          <t>MV 15 kV</t>
        </is>
      </c>
      <c r="J1902" s="12" t="inlineStr">
        <is>
          <t>MV-105 15 kV 1/C Cu, EPR 133%, Cu tape shield, PVC jacket (triplexed)</t>
        </is>
      </c>
      <c r="K1902" s="12" t="inlineStr">
        <is>
          <t>MV15|1/C|250</t>
        </is>
      </c>
      <c r="L1902" s="12" t="inlineStr">
        <is>
          <t>1/C</t>
        </is>
      </c>
      <c r="M1902" s="12" t="inlineStr">
        <is>
          <t>250 kcmil</t>
        </is>
      </c>
      <c r="N1902" s="12" t="n">
        <v>1</v>
      </c>
      <c r="O1902" s="12" t="n">
        <v>3</v>
      </c>
      <c r="P1902" s="12" t="n">
        <v>13800</v>
      </c>
      <c r="Q1902" s="12" t="n">
        <v>5000</v>
      </c>
      <c r="R1902" s="12" t="n">
        <v>232</v>
      </c>
      <c r="S1902" s="12" t="inlineStr">
        <is>
          <t>Tray</t>
        </is>
      </c>
      <c r="T1902" s="16" t="n">
        <v>1041</v>
      </c>
      <c r="U1902" s="16" t="n">
        <v>206</v>
      </c>
      <c r="V1902" s="16">
        <f>ROUNDUP((T1902+U1902+2*'Read Me'!$B$13)*(1+'Read Me'!$B$12),-1)</f>
        <v/>
      </c>
      <c r="W1902" s="16">
        <f>V1902*N1902*O1902</f>
        <v/>
      </c>
      <c r="X1902" s="12">
        <f>IF(LEFT(I1902,2)="MV",2*N1902*IF(L1902="1/C",O1902,1),0)</f>
        <v/>
      </c>
      <c r="Y1902" s="12">
        <f>IF(OR(LEFT(K1902,4)="LVAX",LEFT(K1902,6)="MV15AX",LEFT(K1902,4)="CTAX",LEFT(K1902,2)="W|"),2*N1902*O1902,0)</f>
        <v/>
      </c>
      <c r="Z1902" s="12" t="inlineStr">
        <is>
          <t>2 x 100 %, ~5 MW each (typ.)</t>
        </is>
      </c>
      <c r="AA1902" s="12">
        <f>N1902*O1902</f>
        <v/>
      </c>
    </row>
    <row r="1903">
      <c r="A1903" s="12" t="inlineStr">
        <is>
          <t>A-MV-0002</t>
        </is>
      </c>
      <c r="B1903" s="12" t="inlineStr">
        <is>
          <t>A</t>
        </is>
      </c>
      <c r="C1903" s="12" t="inlineStr">
        <is>
          <t>Power block</t>
        </is>
      </c>
      <c r="D1903" s="12" t="inlineStr">
        <is>
          <t>Boiler feed pump BFP-1A / 1B</t>
        </is>
      </c>
      <c r="E1903" s="12" t="inlineStr">
        <is>
          <t>SWGR-13.8-1</t>
        </is>
      </c>
      <c r="F1903" s="12" t="inlineStr">
        <is>
          <t>R1 SWGR-13.8-1 (11 x 36 in cubicles, 15 kV metal-clad)</t>
        </is>
      </c>
      <c r="G1903" s="12" t="inlineStr">
        <is>
          <t>BFP-1</t>
        </is>
      </c>
      <c r="H1903" s="12" t="inlineStr">
        <is>
          <t>BFP-1A/B: boiler feed pumps (13.8 kV DOL)</t>
        </is>
      </c>
      <c r="I1903" s="12" t="inlineStr">
        <is>
          <t>MV 15 kV</t>
        </is>
      </c>
      <c r="J1903" s="12" t="inlineStr">
        <is>
          <t>MV-105 15 kV 1/C Cu, EPR 133%, Cu tape shield, PVC jacket (triplexed)</t>
        </is>
      </c>
      <c r="K1903" s="12" t="inlineStr">
        <is>
          <t>MV15|1/C|250</t>
        </is>
      </c>
      <c r="L1903" s="12" t="inlineStr">
        <is>
          <t>1/C</t>
        </is>
      </c>
      <c r="M1903" s="12" t="inlineStr">
        <is>
          <t>250 kcmil</t>
        </is>
      </c>
      <c r="N1903" s="12" t="n">
        <v>1</v>
      </c>
      <c r="O1903" s="12" t="n">
        <v>3</v>
      </c>
      <c r="P1903" s="12" t="n">
        <v>13800</v>
      </c>
      <c r="Q1903" s="12" t="n">
        <v>5000</v>
      </c>
      <c r="R1903" s="12" t="n">
        <v>232</v>
      </c>
      <c r="S1903" s="12" t="inlineStr">
        <is>
          <t>Tray</t>
        </is>
      </c>
      <c r="T1903" s="16" t="n">
        <v>1041</v>
      </c>
      <c r="U1903" s="16" t="n">
        <v>206</v>
      </c>
      <c r="V1903" s="16">
        <f>ROUNDUP((T1903+U1903+2*'Read Me'!$B$13)*(1+'Read Me'!$B$12),-1)</f>
        <v/>
      </c>
      <c r="W1903" s="16">
        <f>V1903*N1903*O1903</f>
        <v/>
      </c>
      <c r="X1903" s="12">
        <f>IF(LEFT(I1903,2)="MV",2*N1903*IF(L1903="1/C",O1903,1),0)</f>
        <v/>
      </c>
      <c r="Y1903" s="12">
        <f>IF(OR(LEFT(K1903,4)="LVAX",LEFT(K1903,6)="MV15AX",LEFT(K1903,4)="CTAX",LEFT(K1903,2)="W|"),2*N1903*O1903,0)</f>
        <v/>
      </c>
      <c r="Z1903" s="12" t="inlineStr">
        <is>
          <t>2 x 100 %, ~5 MW each (typ.)</t>
        </is>
      </c>
      <c r="AA1903" s="12">
        <f>N1903*O1903</f>
        <v/>
      </c>
    </row>
    <row r="1904">
      <c r="A1904" s="12" t="inlineStr">
        <is>
          <t>A-MV-0003</t>
        </is>
      </c>
      <c r="B1904" s="12" t="inlineStr">
        <is>
          <t>A</t>
        </is>
      </c>
      <c r="C1904" s="12" t="inlineStr">
        <is>
          <t>Power block</t>
        </is>
      </c>
      <c r="D1904" s="12" t="inlineStr">
        <is>
          <t>Boiler feed pump BFP-2A / 2B</t>
        </is>
      </c>
      <c r="E1904" s="12" t="inlineStr">
        <is>
          <t>SWGR-13.8-2</t>
        </is>
      </c>
      <c r="F1904" s="12" t="inlineStr">
        <is>
          <t>R1 SWGR-13.8-2 (11 x 36 in cubicles, 15 kV metal-clad)</t>
        </is>
      </c>
      <c r="G1904" s="12" t="inlineStr">
        <is>
          <t>BFP-2</t>
        </is>
      </c>
      <c r="H1904" s="12" t="inlineStr">
        <is>
          <t>BFP-2A/B: boiler feed pumps (13.8 kV DOL)</t>
        </is>
      </c>
      <c r="I1904" s="12" t="inlineStr">
        <is>
          <t>MV 15 kV</t>
        </is>
      </c>
      <c r="J1904" s="12" t="inlineStr">
        <is>
          <t>MV-105 15 kV 1/C Cu, EPR 133%, Cu tape shield, PVC jacket (triplexed)</t>
        </is>
      </c>
      <c r="K1904" s="12" t="inlineStr">
        <is>
          <t>MV15|1/C|250</t>
        </is>
      </c>
      <c r="L1904" s="12" t="inlineStr">
        <is>
          <t>1/C</t>
        </is>
      </c>
      <c r="M1904" s="12" t="inlineStr">
        <is>
          <t>250 kcmil</t>
        </is>
      </c>
      <c r="N1904" s="12" t="n">
        <v>1</v>
      </c>
      <c r="O1904" s="12" t="n">
        <v>3</v>
      </c>
      <c r="P1904" s="12" t="n">
        <v>13800</v>
      </c>
      <c r="Q1904" s="12" t="n">
        <v>5000</v>
      </c>
      <c r="R1904" s="12" t="n">
        <v>232</v>
      </c>
      <c r="S1904" s="12" t="inlineStr">
        <is>
          <t>Tray</t>
        </is>
      </c>
      <c r="T1904" s="16" t="n">
        <v>673</v>
      </c>
      <c r="U1904" s="16" t="n">
        <v>130</v>
      </c>
      <c r="V1904" s="16">
        <f>ROUNDUP((T1904+U1904+2*'Read Me'!$B$13)*(1+'Read Me'!$B$12),-1)</f>
        <v/>
      </c>
      <c r="W1904" s="16">
        <f>V1904*N1904*O1904</f>
        <v/>
      </c>
      <c r="X1904" s="12">
        <f>IF(LEFT(I1904,2)="MV",2*N1904*IF(L1904="1/C",O1904,1),0)</f>
        <v/>
      </c>
      <c r="Y1904" s="12">
        <f>IF(OR(LEFT(K1904,4)="LVAX",LEFT(K1904,6)="MV15AX",LEFT(K1904,4)="CTAX",LEFT(K1904,2)="W|"),2*N1904*O1904,0)</f>
        <v/>
      </c>
      <c r="Z1904" s="12" t="inlineStr">
        <is>
          <t>2 x 100 %, ~5 MW each (typ.)</t>
        </is>
      </c>
      <c r="AA1904" s="12">
        <f>N1904*O1904</f>
        <v/>
      </c>
    </row>
    <row r="1905">
      <c r="A1905" s="12" t="inlineStr">
        <is>
          <t>A-MV-0004</t>
        </is>
      </c>
      <c r="B1905" s="12" t="inlineStr">
        <is>
          <t>A</t>
        </is>
      </c>
      <c r="C1905" s="12" t="inlineStr">
        <is>
          <t>Power block</t>
        </is>
      </c>
      <c r="D1905" s="12" t="inlineStr">
        <is>
          <t>Boiler feed pump BFP-2A / 2B</t>
        </is>
      </c>
      <c r="E1905" s="12" t="inlineStr">
        <is>
          <t>SWGR-13.8-2</t>
        </is>
      </c>
      <c r="F1905" s="12" t="inlineStr">
        <is>
          <t>R1 SWGR-13.8-2 (11 x 36 in cubicles, 15 kV metal-clad)</t>
        </is>
      </c>
      <c r="G1905" s="12" t="inlineStr">
        <is>
          <t>BFP-2</t>
        </is>
      </c>
      <c r="H1905" s="12" t="inlineStr">
        <is>
          <t>BFP-2A/B: boiler feed pumps (13.8 kV DOL)</t>
        </is>
      </c>
      <c r="I1905" s="12" t="inlineStr">
        <is>
          <t>MV 15 kV</t>
        </is>
      </c>
      <c r="J1905" s="12" t="inlineStr">
        <is>
          <t>MV-105 15 kV 1/C Cu, EPR 133%, Cu tape shield, PVC jacket (triplexed)</t>
        </is>
      </c>
      <c r="K1905" s="12" t="inlineStr">
        <is>
          <t>MV15|1/C|250</t>
        </is>
      </c>
      <c r="L1905" s="12" t="inlineStr">
        <is>
          <t>1/C</t>
        </is>
      </c>
      <c r="M1905" s="12" t="inlineStr">
        <is>
          <t>250 kcmil</t>
        </is>
      </c>
      <c r="N1905" s="12" t="n">
        <v>1</v>
      </c>
      <c r="O1905" s="12" t="n">
        <v>3</v>
      </c>
      <c r="P1905" s="12" t="n">
        <v>13800</v>
      </c>
      <c r="Q1905" s="12" t="n">
        <v>5000</v>
      </c>
      <c r="R1905" s="12" t="n">
        <v>232</v>
      </c>
      <c r="S1905" s="12" t="inlineStr">
        <is>
          <t>Tray</t>
        </is>
      </c>
      <c r="T1905" s="16" t="n">
        <v>673</v>
      </c>
      <c r="U1905" s="16" t="n">
        <v>130</v>
      </c>
      <c r="V1905" s="16">
        <f>ROUNDUP((T1905+U1905+2*'Read Me'!$B$13)*(1+'Read Me'!$B$12),-1)</f>
        <v/>
      </c>
      <c r="W1905" s="16">
        <f>V1905*N1905*O1905</f>
        <v/>
      </c>
      <c r="X1905" s="12">
        <f>IF(LEFT(I1905,2)="MV",2*N1905*IF(L1905="1/C",O1905,1),0)</f>
        <v/>
      </c>
      <c r="Y1905" s="12">
        <f>IF(OR(LEFT(K1905,4)="LVAX",LEFT(K1905,6)="MV15AX",LEFT(K1905,4)="CTAX",LEFT(K1905,2)="W|"),2*N1905*O1905,0)</f>
        <v/>
      </c>
      <c r="Z1905" s="12" t="inlineStr">
        <is>
          <t>2 x 100 %, ~5 MW each (typ.)</t>
        </is>
      </c>
      <c r="AA1905" s="12">
        <f>N1905*O1905</f>
        <v/>
      </c>
    </row>
    <row r="1906">
      <c r="A1906" s="12" t="inlineStr">
        <is>
          <t>A-MV-0005</t>
        </is>
      </c>
      <c r="B1906" s="12" t="inlineStr">
        <is>
          <t>A</t>
        </is>
      </c>
      <c r="C1906" s="12" t="inlineStr">
        <is>
          <t>Power block</t>
        </is>
      </c>
      <c r="D1906" s="12" t="inlineStr">
        <is>
          <t>Boiler feed pump BFP-3A / 3B</t>
        </is>
      </c>
      <c r="E1906" s="12" t="inlineStr">
        <is>
          <t>SWGR-13.8-3</t>
        </is>
      </c>
      <c r="F1906" s="12" t="inlineStr">
        <is>
          <t>R1 SWGR-13.8-3 (11 x 36 in cubicles, 15 kV metal-clad)</t>
        </is>
      </c>
      <c r="G1906" s="12" t="inlineStr">
        <is>
          <t>BFP-3</t>
        </is>
      </c>
      <c r="H1906" s="12" t="inlineStr">
        <is>
          <t>BFP-3A/B: boiler feed pumps (13.8 kV DOL)</t>
        </is>
      </c>
      <c r="I1906" s="12" t="inlineStr">
        <is>
          <t>MV 15 kV</t>
        </is>
      </c>
      <c r="J1906" s="12" t="inlineStr">
        <is>
          <t>MV-105 15 kV 1/C Cu, EPR 133%, Cu tape shield, PVC jacket (triplexed)</t>
        </is>
      </c>
      <c r="K1906" s="12" t="inlineStr">
        <is>
          <t>MV15|1/C|250</t>
        </is>
      </c>
      <c r="L1906" s="12" t="inlineStr">
        <is>
          <t>1/C</t>
        </is>
      </c>
      <c r="M1906" s="12" t="inlineStr">
        <is>
          <t>250 kcmil</t>
        </is>
      </c>
      <c r="N1906" s="12" t="n">
        <v>1</v>
      </c>
      <c r="O1906" s="12" t="n">
        <v>3</v>
      </c>
      <c r="P1906" s="12" t="n">
        <v>13800</v>
      </c>
      <c r="Q1906" s="12" t="n">
        <v>5000</v>
      </c>
      <c r="R1906" s="12" t="n">
        <v>232</v>
      </c>
      <c r="S1906" s="12" t="inlineStr">
        <is>
          <t>Tray</t>
        </is>
      </c>
      <c r="T1906" s="16" t="n">
        <v>823</v>
      </c>
      <c r="U1906" s="16" t="n">
        <v>112</v>
      </c>
      <c r="V1906" s="16">
        <f>ROUNDUP((T1906+U1906+2*'Read Me'!$B$13)*(1+'Read Me'!$B$12),-1)</f>
        <v/>
      </c>
      <c r="W1906" s="16">
        <f>V1906*N1906*O1906</f>
        <v/>
      </c>
      <c r="X1906" s="12">
        <f>IF(LEFT(I1906,2)="MV",2*N1906*IF(L1906="1/C",O1906,1),0)</f>
        <v/>
      </c>
      <c r="Y1906" s="12">
        <f>IF(OR(LEFT(K1906,4)="LVAX",LEFT(K1906,6)="MV15AX",LEFT(K1906,4)="CTAX",LEFT(K1906,2)="W|"),2*N1906*O1906,0)</f>
        <v/>
      </c>
      <c r="Z1906" s="12" t="inlineStr">
        <is>
          <t>2 x 100 %, ~5 MW each (typ.)</t>
        </is>
      </c>
      <c r="AA1906" s="12">
        <f>N1906*O1906</f>
        <v/>
      </c>
    </row>
    <row r="1907">
      <c r="A1907" s="12" t="inlineStr">
        <is>
          <t>A-MV-0006</t>
        </is>
      </c>
      <c r="B1907" s="12" t="inlineStr">
        <is>
          <t>A</t>
        </is>
      </c>
      <c r="C1907" s="12" t="inlineStr">
        <is>
          <t>Power block</t>
        </is>
      </c>
      <c r="D1907" s="12" t="inlineStr">
        <is>
          <t>Boiler feed pump BFP-3A / 3B</t>
        </is>
      </c>
      <c r="E1907" s="12" t="inlineStr">
        <is>
          <t>SWGR-13.8-3</t>
        </is>
      </c>
      <c r="F1907" s="12" t="inlineStr">
        <is>
          <t>R1 SWGR-13.8-3 (11 x 36 in cubicles, 15 kV metal-clad)</t>
        </is>
      </c>
      <c r="G1907" s="12" t="inlineStr">
        <is>
          <t>BFP-3</t>
        </is>
      </c>
      <c r="H1907" s="12" t="inlineStr">
        <is>
          <t>BFP-3A/B: boiler feed pumps (13.8 kV DOL)</t>
        </is>
      </c>
      <c r="I1907" s="12" t="inlineStr">
        <is>
          <t>MV 15 kV</t>
        </is>
      </c>
      <c r="J1907" s="12" t="inlineStr">
        <is>
          <t>MV-105 15 kV 1/C Cu, EPR 133%, Cu tape shield, PVC jacket (triplexed)</t>
        </is>
      </c>
      <c r="K1907" s="12" t="inlineStr">
        <is>
          <t>MV15|1/C|250</t>
        </is>
      </c>
      <c r="L1907" s="12" t="inlineStr">
        <is>
          <t>1/C</t>
        </is>
      </c>
      <c r="M1907" s="12" t="inlineStr">
        <is>
          <t>250 kcmil</t>
        </is>
      </c>
      <c r="N1907" s="12" t="n">
        <v>1</v>
      </c>
      <c r="O1907" s="12" t="n">
        <v>3</v>
      </c>
      <c r="P1907" s="12" t="n">
        <v>13800</v>
      </c>
      <c r="Q1907" s="12" t="n">
        <v>5000</v>
      </c>
      <c r="R1907" s="12" t="n">
        <v>232</v>
      </c>
      <c r="S1907" s="12" t="inlineStr">
        <is>
          <t>Tray</t>
        </is>
      </c>
      <c r="T1907" s="16" t="n">
        <v>823</v>
      </c>
      <c r="U1907" s="16" t="n">
        <v>112</v>
      </c>
      <c r="V1907" s="16">
        <f>ROUNDUP((T1907+U1907+2*'Read Me'!$B$13)*(1+'Read Me'!$B$12),-1)</f>
        <v/>
      </c>
      <c r="W1907" s="16">
        <f>V1907*N1907*O1907</f>
        <v/>
      </c>
      <c r="X1907" s="12">
        <f>IF(LEFT(I1907,2)="MV",2*N1907*IF(L1907="1/C",O1907,1),0)</f>
        <v/>
      </c>
      <c r="Y1907" s="12">
        <f>IF(OR(LEFT(K1907,4)="LVAX",LEFT(K1907,6)="MV15AX",LEFT(K1907,4)="CTAX",LEFT(K1907,2)="W|"),2*N1907*O1907,0)</f>
        <v/>
      </c>
      <c r="Z1907" s="12" t="inlineStr">
        <is>
          <t>2 x 100 %, ~5 MW each (typ.)</t>
        </is>
      </c>
      <c r="AA1907" s="12">
        <f>N1907*O1907</f>
        <v/>
      </c>
    </row>
    <row r="1908">
      <c r="A1908" s="12" t="inlineStr">
        <is>
          <t>A-MV-0007</t>
        </is>
      </c>
      <c r="B1908" s="12" t="inlineStr">
        <is>
          <t>A</t>
        </is>
      </c>
      <c r="C1908" s="12" t="inlineStr">
        <is>
          <t>Power block</t>
        </is>
      </c>
      <c r="D1908" s="12" t="inlineStr">
        <is>
          <t>LCT-A unit / load-centre transformer primary</t>
        </is>
      </c>
      <c r="E1908" s="12" t="inlineStr">
        <is>
          <t>SWGR-13.8-1</t>
        </is>
      </c>
      <c r="F1908" s="12" t="inlineStr">
        <is>
          <t>R1 SWGR-13.8-1 (11 x 36 in cubicles, 15 kV metal-clad)</t>
        </is>
      </c>
      <c r="G1908" s="12" t="inlineStr">
        <is>
          <t>LCT-A</t>
        </is>
      </c>
      <c r="H1908" s="12" t="inlineStr">
        <is>
          <t>LCT-A: 13.8/0.48 kV load-centre transformer</t>
        </is>
      </c>
      <c r="I1908" s="12" t="inlineStr">
        <is>
          <t>MV 15 kV</t>
        </is>
      </c>
      <c r="J1908" s="12" t="inlineStr">
        <is>
          <t>MV-105 15 kV 1/C Cu, EPR 133%, Cu tape shield, PVC jacket (triplexed)</t>
        </is>
      </c>
      <c r="K1908" s="12" t="inlineStr">
        <is>
          <t>MV15|1/C|1/0</t>
        </is>
      </c>
      <c r="L1908" s="12" t="inlineStr">
        <is>
          <t>1/C</t>
        </is>
      </c>
      <c r="M1908" s="12" t="inlineStr">
        <is>
          <t>1/0</t>
        </is>
      </c>
      <c r="N1908" s="12" t="n">
        <v>1</v>
      </c>
      <c r="O1908" s="12" t="n">
        <v>3</v>
      </c>
      <c r="P1908" s="12" t="n">
        <v>13800</v>
      </c>
      <c r="Q1908" s="12" t="n">
        <v>3000</v>
      </c>
      <c r="R1908" s="12" t="n">
        <v>126</v>
      </c>
      <c r="S1908" s="12" t="inlineStr">
        <is>
          <t>Tray</t>
        </is>
      </c>
      <c r="T1908" s="16" t="n">
        <v>620</v>
      </c>
      <c r="U1908" s="16" t="n">
        <v>130</v>
      </c>
      <c r="V1908" s="16">
        <f>ROUNDUP((T1908+U1908+2*'Read Me'!$B$13)*(1+'Read Me'!$B$12),-1)</f>
        <v/>
      </c>
      <c r="W1908" s="16">
        <f>V1908*N1908*O1908</f>
        <v/>
      </c>
      <c r="X1908" s="12">
        <f>IF(LEFT(I1908,2)="MV",2*N1908*IF(L1908="1/C",O1908,1),0)</f>
        <v/>
      </c>
      <c r="Y1908" s="12">
        <f>IF(OR(LEFT(K1908,4)="LVAX",LEFT(K1908,6)="MV15AX",LEFT(K1908,4)="CTAX",LEFT(K1908,2)="W|"),2*N1908*O1908,0)</f>
        <v/>
      </c>
      <c r="Z1908" s="12" t="inlineStr"/>
      <c r="AA1908" s="12">
        <f>N1908*O1908</f>
        <v/>
      </c>
    </row>
    <row r="1909">
      <c r="A1909" s="12" t="inlineStr">
        <is>
          <t>A-MV-0008</t>
        </is>
      </c>
      <c r="B1909" s="12" t="inlineStr">
        <is>
          <t>A</t>
        </is>
      </c>
      <c r="C1909" s="12" t="inlineStr">
        <is>
          <t>Power block</t>
        </is>
      </c>
      <c r="D1909" s="12" t="inlineStr">
        <is>
          <t>LCT-B unit / load-centre transformer primary</t>
        </is>
      </c>
      <c r="E1909" s="12" t="inlineStr">
        <is>
          <t>SWGR-13.8-3</t>
        </is>
      </c>
      <c r="F1909" s="12" t="inlineStr">
        <is>
          <t>R1 SWGR-13.8-3 (11 x 36 in cubicles, 15 kV metal-clad)</t>
        </is>
      </c>
      <c r="G1909" s="12" t="inlineStr">
        <is>
          <t>LCT-B</t>
        </is>
      </c>
      <c r="H1909" s="12" t="inlineStr">
        <is>
          <t>LCT-B: 13.8/0.48 kV load-centre transformer</t>
        </is>
      </c>
      <c r="I1909" s="12" t="inlineStr">
        <is>
          <t>MV 15 kV</t>
        </is>
      </c>
      <c r="J1909" s="12" t="inlineStr">
        <is>
          <t>MV-105 15 kV 1/C Cu, EPR 133%, Cu tape shield, PVC jacket (triplexed)</t>
        </is>
      </c>
      <c r="K1909" s="12" t="inlineStr">
        <is>
          <t>MV15|1/C|1/0</t>
        </is>
      </c>
      <c r="L1909" s="12" t="inlineStr">
        <is>
          <t>1/C</t>
        </is>
      </c>
      <c r="M1909" s="12" t="inlineStr">
        <is>
          <t>1/0</t>
        </is>
      </c>
      <c r="N1909" s="12" t="n">
        <v>1</v>
      </c>
      <c r="O1909" s="12" t="n">
        <v>3</v>
      </c>
      <c r="P1909" s="12" t="n">
        <v>13800</v>
      </c>
      <c r="Q1909" s="12" t="n">
        <v>3000</v>
      </c>
      <c r="R1909" s="12" t="n">
        <v>126</v>
      </c>
      <c r="S1909" s="12" t="inlineStr">
        <is>
          <t>Duct bank</t>
        </is>
      </c>
      <c r="T1909" s="16" t="n">
        <v>67</v>
      </c>
      <c r="U1909" s="16" t="n">
        <v>58</v>
      </c>
      <c r="V1909" s="16">
        <f>ROUNDUP((T1909+U1909+2*'Read Me'!$B$13)*(1+'Read Me'!$B$12),-1)</f>
        <v/>
      </c>
      <c r="W1909" s="16">
        <f>V1909*N1909*O1909</f>
        <v/>
      </c>
      <c r="X1909" s="12">
        <f>IF(LEFT(I1909,2)="MV",2*N1909*IF(L1909="1/C",O1909,1),0)</f>
        <v/>
      </c>
      <c r="Y1909" s="12">
        <f>IF(OR(LEFT(K1909,4)="LVAX",LEFT(K1909,6)="MV15AX",LEFT(K1909,4)="CTAX",LEFT(K1909,2)="W|"),2*N1909*O1909,0)</f>
        <v/>
      </c>
      <c r="Z1909" s="12" t="inlineStr"/>
      <c r="AA1909" s="12">
        <f>N1909*O1909</f>
        <v/>
      </c>
    </row>
    <row r="1910">
      <c r="A1910" s="12" t="inlineStr">
        <is>
          <t>A-MV-0009</t>
        </is>
      </c>
      <c r="B1910" s="12" t="inlineStr">
        <is>
          <t>A</t>
        </is>
      </c>
      <c r="C1910" s="12" t="inlineStr">
        <is>
          <t>Power block</t>
        </is>
      </c>
      <c r="D1910" s="12" t="inlineStr">
        <is>
          <t>UAT-1 secondary to SWGR-13.8-1 incomer</t>
        </is>
      </c>
      <c r="E1910" s="12" t="inlineStr">
        <is>
          <t>UAT-1</t>
        </is>
      </c>
      <c r="F1910" s="12" t="inlineStr">
        <is>
          <t>UAT-1: 21/13.8 kV unit auxiliary transformer</t>
        </is>
      </c>
      <c r="G1910" s="12" t="inlineStr">
        <is>
          <t>SWGR-13.8-1</t>
        </is>
      </c>
      <c r="H1910" s="12" t="inlineStr">
        <is>
          <t>R1 SWGR-13.8-1 (11 x 36 in cubicles, 15 kV metal-clad)</t>
        </is>
      </c>
      <c r="I1910" s="12" t="inlineStr">
        <is>
          <t>MV 15 kV</t>
        </is>
      </c>
      <c r="J1910" s="12" t="inlineStr">
        <is>
          <t>MV-105 15 kV 1/C Cu, EPR 133%, Cu tape shield, PVC jacket (triplexed)</t>
        </is>
      </c>
      <c r="K1910" s="12" t="inlineStr">
        <is>
          <t>MV15|1/C|750</t>
        </is>
      </c>
      <c r="L1910" s="12" t="inlineStr">
        <is>
          <t>1/C</t>
        </is>
      </c>
      <c r="M1910" s="12" t="inlineStr">
        <is>
          <t>750 kcmil</t>
        </is>
      </c>
      <c r="N1910" s="12" t="n">
        <v>4</v>
      </c>
      <c r="O1910" s="12" t="n">
        <v>3</v>
      </c>
      <c r="P1910" s="12" t="n">
        <v>13800</v>
      </c>
      <c r="Q1910" s="12" t="n">
        <v>40000</v>
      </c>
      <c r="R1910" s="12" t="n">
        <v>1674</v>
      </c>
      <c r="S1910" s="12" t="inlineStr">
        <is>
          <t>Tray</t>
        </is>
      </c>
      <c r="T1910" s="16" t="n">
        <v>644</v>
      </c>
      <c r="U1910" s="16" t="n">
        <v>170</v>
      </c>
      <c r="V1910" s="16">
        <f>ROUNDUP((T1910+U1910+2*'Read Me'!$B$13)*(1+'Read Me'!$B$12),-1)</f>
        <v/>
      </c>
      <c r="W1910" s="16">
        <f>V1910*N1910*O1910</f>
        <v/>
      </c>
      <c r="X1910" s="12">
        <f>IF(LEFT(I1910,2)="MV",2*N1910*IF(L1910="1/C",O1910,1),0)</f>
        <v/>
      </c>
      <c r="Y1910" s="12">
        <f>IF(OR(LEFT(K1910,4)="LVAX",LEFT(K1910,6)="MV15AX",LEFT(K1910,4)="CTAX",LEFT(K1910,2)="W|"),2*N1910*O1910,0)</f>
        <v/>
      </c>
      <c r="Z1910" s="12" t="inlineStr">
        <is>
          <t>40 MVA UAT (typ.); often non-segregated bus duct instead of cable</t>
        </is>
      </c>
      <c r="AA1910" s="12">
        <f>N1910*O1910</f>
        <v/>
      </c>
    </row>
    <row r="1911">
      <c r="A1911" s="12" t="inlineStr">
        <is>
          <t>A-MV-0010</t>
        </is>
      </c>
      <c r="B1911" s="12" t="inlineStr">
        <is>
          <t>A</t>
        </is>
      </c>
      <c r="C1911" s="12" t="inlineStr">
        <is>
          <t>Power block</t>
        </is>
      </c>
      <c r="D1911" s="12" t="inlineStr">
        <is>
          <t>UAT-2 secondary to SWGR-13.8-2 incomer</t>
        </is>
      </c>
      <c r="E1911" s="12" t="inlineStr">
        <is>
          <t>UAT-2</t>
        </is>
      </c>
      <c r="F1911" s="12" t="inlineStr">
        <is>
          <t>UAT-2: 21/13.8 kV unit auxiliary transformer</t>
        </is>
      </c>
      <c r="G1911" s="12" t="inlineStr">
        <is>
          <t>SWGR-13.8-2</t>
        </is>
      </c>
      <c r="H1911" s="12" t="inlineStr">
        <is>
          <t>R1 SWGR-13.8-2 (11 x 36 in cubicles, 15 kV metal-clad)</t>
        </is>
      </c>
      <c r="I1911" s="12" t="inlineStr">
        <is>
          <t>MV 15 kV</t>
        </is>
      </c>
      <c r="J1911" s="12" t="inlineStr">
        <is>
          <t>MV-105 15 kV 1/C Cu, EPR 133%, Cu tape shield, PVC jacket (triplexed)</t>
        </is>
      </c>
      <c r="K1911" s="12" t="inlineStr">
        <is>
          <t>MV15|1/C|750</t>
        </is>
      </c>
      <c r="L1911" s="12" t="inlineStr">
        <is>
          <t>1/C</t>
        </is>
      </c>
      <c r="M1911" s="12" t="inlineStr">
        <is>
          <t>750 kcmil</t>
        </is>
      </c>
      <c r="N1911" s="12" t="n">
        <v>4</v>
      </c>
      <c r="O1911" s="12" t="n">
        <v>3</v>
      </c>
      <c r="P1911" s="12" t="n">
        <v>13800</v>
      </c>
      <c r="Q1911" s="12" t="n">
        <v>40000</v>
      </c>
      <c r="R1911" s="12" t="n">
        <v>1674</v>
      </c>
      <c r="S1911" s="12" t="inlineStr">
        <is>
          <t>Tray</t>
        </is>
      </c>
      <c r="T1911" s="16" t="n">
        <v>804</v>
      </c>
      <c r="U1911" s="16" t="n">
        <v>215</v>
      </c>
      <c r="V1911" s="16">
        <f>ROUNDUP((T1911+U1911+2*'Read Me'!$B$13)*(1+'Read Me'!$B$12),-1)</f>
        <v/>
      </c>
      <c r="W1911" s="16">
        <f>V1911*N1911*O1911</f>
        <v/>
      </c>
      <c r="X1911" s="12">
        <f>IF(LEFT(I1911,2)="MV",2*N1911*IF(L1911="1/C",O1911,1),0)</f>
        <v/>
      </c>
      <c r="Y1911" s="12">
        <f>IF(OR(LEFT(K1911,4)="LVAX",LEFT(K1911,6)="MV15AX",LEFT(K1911,4)="CTAX",LEFT(K1911,2)="W|"),2*N1911*O1911,0)</f>
        <v/>
      </c>
      <c r="Z1911" s="12" t="inlineStr">
        <is>
          <t>40 MVA UAT (typ.); often non-segregated bus duct instead of cable</t>
        </is>
      </c>
      <c r="AA1911" s="12">
        <f>N1911*O1911</f>
        <v/>
      </c>
    </row>
    <row r="1912">
      <c r="A1912" s="12" t="inlineStr">
        <is>
          <t>A-MV-0011</t>
        </is>
      </c>
      <c r="B1912" s="12" t="inlineStr">
        <is>
          <t>A</t>
        </is>
      </c>
      <c r="C1912" s="12" t="inlineStr">
        <is>
          <t>Power block</t>
        </is>
      </c>
      <c r="D1912" s="12" t="inlineStr">
        <is>
          <t>UAT-3 secondary to SWGR-13.8-3 incomer</t>
        </is>
      </c>
      <c r="E1912" s="12" t="inlineStr">
        <is>
          <t>UAT-3</t>
        </is>
      </c>
      <c r="F1912" s="12" t="inlineStr">
        <is>
          <t>UAT-3: 21/13.8 kV unit auxiliary transformer</t>
        </is>
      </c>
      <c r="G1912" s="12" t="inlineStr">
        <is>
          <t>SWGR-13.8-3</t>
        </is>
      </c>
      <c r="H1912" s="12" t="inlineStr">
        <is>
          <t>R1 SWGR-13.8-3 (11 x 36 in cubicles, 15 kV metal-clad)</t>
        </is>
      </c>
      <c r="I1912" s="12" t="inlineStr">
        <is>
          <t>MV 15 kV</t>
        </is>
      </c>
      <c r="J1912" s="12" t="inlineStr">
        <is>
          <t>MV-105 15 kV 1/C Cu, EPR 133%, Cu tape shield, PVC jacket (triplexed)</t>
        </is>
      </c>
      <c r="K1912" s="12" t="inlineStr">
        <is>
          <t>MV15|1/C|750</t>
        </is>
      </c>
      <c r="L1912" s="12" t="inlineStr">
        <is>
          <t>1/C</t>
        </is>
      </c>
      <c r="M1912" s="12" t="inlineStr">
        <is>
          <t>750 kcmil</t>
        </is>
      </c>
      <c r="N1912" s="12" t="n">
        <v>4</v>
      </c>
      <c r="O1912" s="12" t="n">
        <v>3</v>
      </c>
      <c r="P1912" s="12" t="n">
        <v>13800</v>
      </c>
      <c r="Q1912" s="12" t="n">
        <v>40000</v>
      </c>
      <c r="R1912" s="12" t="n">
        <v>1674</v>
      </c>
      <c r="S1912" s="12" t="inlineStr">
        <is>
          <t>Tray</t>
        </is>
      </c>
      <c r="T1912" s="16" t="n">
        <v>976</v>
      </c>
      <c r="U1912" s="16" t="n">
        <v>124</v>
      </c>
      <c r="V1912" s="16">
        <f>ROUNDUP((T1912+U1912+2*'Read Me'!$B$13)*(1+'Read Me'!$B$12),-1)</f>
        <v/>
      </c>
      <c r="W1912" s="16">
        <f>V1912*N1912*O1912</f>
        <v/>
      </c>
      <c r="X1912" s="12">
        <f>IF(LEFT(I1912,2)="MV",2*N1912*IF(L1912="1/C",O1912,1),0)</f>
        <v/>
      </c>
      <c r="Y1912" s="12">
        <f>IF(OR(LEFT(K1912,4)="LVAX",LEFT(K1912,6)="MV15AX",LEFT(K1912,4)="CTAX",LEFT(K1912,2)="W|"),2*N1912*O1912,0)</f>
        <v/>
      </c>
      <c r="Z1912" s="12" t="inlineStr">
        <is>
          <t>40 MVA UAT (typ.); often non-segregated bus duct instead of cable</t>
        </is>
      </c>
      <c r="AA1912" s="12">
        <f>N1912*O1912</f>
        <v/>
      </c>
    </row>
    <row r="1913">
      <c r="A1913" s="12" t="inlineStr">
        <is>
          <t>A-MV-0012</t>
        </is>
      </c>
      <c r="B1913" s="12" t="inlineStr">
        <is>
          <t>A</t>
        </is>
      </c>
      <c r="C1913" s="12" t="inlineStr">
        <is>
          <t>Power block</t>
        </is>
      </c>
      <c r="D1913" s="12" t="inlineStr">
        <is>
          <t>Static starter LCI-1 input transformer</t>
        </is>
      </c>
      <c r="E1913" s="12" t="inlineStr">
        <is>
          <t>SWGR-13.8-1</t>
        </is>
      </c>
      <c r="F1913" s="12" t="inlineStr">
        <is>
          <t>R1 SWGR-13.8-1 (11 x 36 in cubicles, 15 kV metal-clad)</t>
        </is>
      </c>
      <c r="G1913" s="12" t="inlineStr">
        <is>
          <t>TX-LCI-1</t>
        </is>
      </c>
      <c r="H1913" s="12" t="inlineStr">
        <is>
          <t>R1 TX-LCI-1 dry-type input transformer</t>
        </is>
      </c>
      <c r="I1913" s="12" t="inlineStr">
        <is>
          <t>MV 15 kV</t>
        </is>
      </c>
      <c r="J1913" s="12" t="inlineStr">
        <is>
          <t>MV-105 15 kV 1/C Cu, EPR 133%, Cu tape shield, PVC jacket (triplexed)</t>
        </is>
      </c>
      <c r="K1913" s="12" t="inlineStr">
        <is>
          <t>MV15|1/C|750</t>
        </is>
      </c>
      <c r="L1913" s="12" t="inlineStr">
        <is>
          <t>1/C</t>
        </is>
      </c>
      <c r="M1913" s="12" t="inlineStr">
        <is>
          <t>750 kcmil</t>
        </is>
      </c>
      <c r="N1913" s="12" t="n">
        <v>1</v>
      </c>
      <c r="O1913" s="12" t="n">
        <v>3</v>
      </c>
      <c r="P1913" s="12" t="n">
        <v>13800</v>
      </c>
      <c r="Q1913" s="12" t="n">
        <v>9000</v>
      </c>
      <c r="R1913" s="12" t="n">
        <v>377</v>
      </c>
      <c r="S1913" s="12" t="inlineStr">
        <is>
          <t>Duct bank</t>
        </is>
      </c>
      <c r="T1913" s="16" t="n">
        <v>82</v>
      </c>
      <c r="U1913" s="16" t="n">
        <v>79</v>
      </c>
      <c r="V1913" s="16">
        <f>ROUNDUP((T1913+U1913+2*'Read Me'!$B$13)*(1+'Read Me'!$B$12),-1)</f>
        <v/>
      </c>
      <c r="W1913" s="16">
        <f>V1913*N1913*O1913</f>
        <v/>
      </c>
      <c r="X1913" s="12">
        <f>IF(LEFT(I1913,2)="MV",2*N1913*IF(L1913="1/C",O1913,1),0)</f>
        <v/>
      </c>
      <c r="Y1913" s="12">
        <f>IF(OR(LEFT(K1913,4)="LVAX",LEFT(K1913,6)="MV15AX",LEFT(K1913,4)="CTAX",LEFT(K1913,2)="W|"),2*N1913*O1913,0)</f>
        <v/>
      </c>
      <c r="Z1913" s="12" t="inlineStr"/>
      <c r="AA1913" s="12">
        <f>N1913*O1913</f>
        <v/>
      </c>
    </row>
    <row r="1914">
      <c r="A1914" s="12" t="inlineStr">
        <is>
          <t>A-MV-0013</t>
        </is>
      </c>
      <c r="B1914" s="12" t="inlineStr">
        <is>
          <t>A</t>
        </is>
      </c>
      <c r="C1914" s="12" t="inlineStr">
        <is>
          <t>Power block</t>
        </is>
      </c>
      <c r="D1914" s="12" t="inlineStr">
        <is>
          <t>Static starter LCI-2 input transformer</t>
        </is>
      </c>
      <c r="E1914" s="12" t="inlineStr">
        <is>
          <t>SWGR-13.8-2</t>
        </is>
      </c>
      <c r="F1914" s="12" t="inlineStr">
        <is>
          <t>R1 SWGR-13.8-2 (11 x 36 in cubicles, 15 kV metal-clad)</t>
        </is>
      </c>
      <c r="G1914" s="12" t="inlineStr">
        <is>
          <t>TX-LCI-2</t>
        </is>
      </c>
      <c r="H1914" s="12" t="inlineStr">
        <is>
          <t>R1 TX-LCI-2 dry-type input transformer</t>
        </is>
      </c>
      <c r="I1914" s="12" t="inlineStr">
        <is>
          <t>MV 15 kV</t>
        </is>
      </c>
      <c r="J1914" s="12" t="inlineStr">
        <is>
          <t>MV-105 15 kV 1/C Cu, EPR 133%, Cu tape shield, PVC jacket (triplexed)</t>
        </is>
      </c>
      <c r="K1914" s="12" t="inlineStr">
        <is>
          <t>MV15|1/C|750</t>
        </is>
      </c>
      <c r="L1914" s="12" t="inlineStr">
        <is>
          <t>1/C</t>
        </is>
      </c>
      <c r="M1914" s="12" t="inlineStr">
        <is>
          <t>750 kcmil</t>
        </is>
      </c>
      <c r="N1914" s="12" t="n">
        <v>1</v>
      </c>
      <c r="O1914" s="12" t="n">
        <v>3</v>
      </c>
      <c r="P1914" s="12" t="n">
        <v>13800</v>
      </c>
      <c r="Q1914" s="12" t="n">
        <v>9000</v>
      </c>
      <c r="R1914" s="12" t="n">
        <v>377</v>
      </c>
      <c r="S1914" s="12" t="inlineStr">
        <is>
          <t>Tray</t>
        </is>
      </c>
      <c r="T1914" s="16" t="n">
        <v>0</v>
      </c>
      <c r="U1914" s="16" t="n">
        <v>126</v>
      </c>
      <c r="V1914" s="16">
        <f>ROUNDUP((T1914+U1914+2*'Read Me'!$B$13)*(1+'Read Me'!$B$12),-1)</f>
        <v/>
      </c>
      <c r="W1914" s="16">
        <f>V1914*N1914*O1914</f>
        <v/>
      </c>
      <c r="X1914" s="12">
        <f>IF(LEFT(I1914,2)="MV",2*N1914*IF(L1914="1/C",O1914,1),0)</f>
        <v/>
      </c>
      <c r="Y1914" s="12">
        <f>IF(OR(LEFT(K1914,4)="LVAX",LEFT(K1914,6)="MV15AX",LEFT(K1914,4)="CTAX",LEFT(K1914,2)="W|"),2*N1914*O1914,0)</f>
        <v/>
      </c>
      <c r="Z1914" s="12" t="inlineStr"/>
      <c r="AA1914" s="12">
        <f>N1914*O1914</f>
        <v/>
      </c>
    </row>
    <row r="1915">
      <c r="A1915" s="12" t="inlineStr">
        <is>
          <t>A-MV-0014</t>
        </is>
      </c>
      <c r="B1915" s="12" t="inlineStr">
        <is>
          <t>A</t>
        </is>
      </c>
      <c r="C1915" s="12" t="inlineStr">
        <is>
          <t>Power block</t>
        </is>
      </c>
      <c r="D1915" s="12" t="inlineStr">
        <is>
          <t>Static starter LCI-3 input transformer</t>
        </is>
      </c>
      <c r="E1915" s="12" t="inlineStr">
        <is>
          <t>SWGR-13.8-3</t>
        </is>
      </c>
      <c r="F1915" s="12" t="inlineStr">
        <is>
          <t>R1 SWGR-13.8-3 (11 x 36 in cubicles, 15 kV metal-clad)</t>
        </is>
      </c>
      <c r="G1915" s="12" t="inlineStr">
        <is>
          <t>TX-LCI-3</t>
        </is>
      </c>
      <c r="H1915" s="12" t="inlineStr">
        <is>
          <t>R1 TX-LCI-3 dry-type input transformer</t>
        </is>
      </c>
      <c r="I1915" s="12" t="inlineStr">
        <is>
          <t>MV 15 kV</t>
        </is>
      </c>
      <c r="J1915" s="12" t="inlineStr">
        <is>
          <t>MV-105 15 kV 1/C Cu, EPR 133%, Cu tape shield, PVC jacket (triplexed)</t>
        </is>
      </c>
      <c r="K1915" s="12" t="inlineStr">
        <is>
          <t>MV15|1/C|750</t>
        </is>
      </c>
      <c r="L1915" s="12" t="inlineStr">
        <is>
          <t>1/C</t>
        </is>
      </c>
      <c r="M1915" s="12" t="inlineStr">
        <is>
          <t>750 kcmil</t>
        </is>
      </c>
      <c r="N1915" s="12" t="n">
        <v>1</v>
      </c>
      <c r="O1915" s="12" t="n">
        <v>3</v>
      </c>
      <c r="P1915" s="12" t="n">
        <v>13800</v>
      </c>
      <c r="Q1915" s="12" t="n">
        <v>9000</v>
      </c>
      <c r="R1915" s="12" t="n">
        <v>377</v>
      </c>
      <c r="S1915" s="12" t="inlineStr">
        <is>
          <t>Duct bank</t>
        </is>
      </c>
      <c r="T1915" s="16" t="n">
        <v>16</v>
      </c>
      <c r="U1915" s="16" t="n">
        <v>56</v>
      </c>
      <c r="V1915" s="16">
        <f>ROUNDUP((T1915+U1915+2*'Read Me'!$B$13)*(1+'Read Me'!$B$12),-1)</f>
        <v/>
      </c>
      <c r="W1915" s="16">
        <f>V1915*N1915*O1915</f>
        <v/>
      </c>
      <c r="X1915" s="12">
        <f>IF(LEFT(I1915,2)="MV",2*N1915*IF(L1915="1/C",O1915,1),0)</f>
        <v/>
      </c>
      <c r="Y1915" s="12">
        <f>IF(OR(LEFT(K1915,4)="LVAX",LEFT(K1915,6)="MV15AX",LEFT(K1915,4)="CTAX",LEFT(K1915,2)="W|"),2*N1915*O1915,0)</f>
        <v/>
      </c>
      <c r="Z1915" s="12" t="inlineStr"/>
      <c r="AA1915" s="12">
        <f>N1915*O1915</f>
        <v/>
      </c>
    </row>
    <row r="1916">
      <c r="A1916" s="12" t="inlineStr">
        <is>
          <t>A-MV-0015</t>
        </is>
      </c>
      <c r="B1916" s="12" t="inlineStr">
        <is>
          <t>A</t>
        </is>
      </c>
      <c r="C1916" s="12" t="inlineStr">
        <is>
          <t>Power block</t>
        </is>
      </c>
      <c r="D1916" s="12" t="inlineStr">
        <is>
          <t>T-R2A unit / load-centre transformer primary</t>
        </is>
      </c>
      <c r="E1916" s="12" t="inlineStr">
        <is>
          <t>SWGR-13.8-1</t>
        </is>
      </c>
      <c r="F1916" s="12" t="inlineStr">
        <is>
          <t>R1 SWGR-13.8-1 (11 x 36 in cubicles, 15 kV metal-clad)</t>
        </is>
      </c>
      <c r="G1916" s="12" t="inlineStr"/>
      <c r="H1916" s="12" t="inlineStr">
        <is>
          <t>T-R2A: 13.8/0.48 kV</t>
        </is>
      </c>
      <c r="I1916" s="12" t="inlineStr">
        <is>
          <t>MV 15 kV</t>
        </is>
      </c>
      <c r="J1916" s="12" t="inlineStr">
        <is>
          <t>MV-105 15 kV 1/C Cu, EPR 133%, Cu tape shield, PVC jacket (triplexed)</t>
        </is>
      </c>
      <c r="K1916" s="12" t="inlineStr">
        <is>
          <t>MV15|1/C|2</t>
        </is>
      </c>
      <c r="L1916" s="12" t="inlineStr">
        <is>
          <t>1/C</t>
        </is>
      </c>
      <c r="M1916" s="12" t="inlineStr">
        <is>
          <t>2</t>
        </is>
      </c>
      <c r="N1916" s="12" t="n">
        <v>1</v>
      </c>
      <c r="O1916" s="12" t="n">
        <v>3</v>
      </c>
      <c r="P1916" s="12" t="n">
        <v>13800</v>
      </c>
      <c r="Q1916" s="12" t="n">
        <v>2500</v>
      </c>
      <c r="R1916" s="12" t="n">
        <v>105</v>
      </c>
      <c r="S1916" s="12" t="inlineStr">
        <is>
          <t>Tray</t>
        </is>
      </c>
      <c r="T1916" s="16" t="n">
        <v>104</v>
      </c>
      <c r="U1916" s="16" t="n">
        <v>72</v>
      </c>
      <c r="V1916" s="16">
        <f>ROUNDUP((T1916+U1916+2*'Read Me'!$B$13)*(1+'Read Me'!$B$12),-1)</f>
        <v/>
      </c>
      <c r="W1916" s="16">
        <f>V1916*N1916*O1916</f>
        <v/>
      </c>
      <c r="X1916" s="12">
        <f>IF(LEFT(I1916,2)="MV",2*N1916*IF(L1916="1/C",O1916,1),0)</f>
        <v/>
      </c>
      <c r="Y1916" s="12">
        <f>IF(OR(LEFT(K1916,4)="LVAX",LEFT(K1916,6)="MV15AX",LEFT(K1916,4)="CTAX",LEFT(K1916,2)="W|"),2*N1916*O1916,0)</f>
        <v/>
      </c>
      <c r="Z1916" s="12" t="inlineStr"/>
      <c r="AA1916" s="12">
        <f>N1916*O1916</f>
        <v/>
      </c>
    </row>
    <row r="1917">
      <c r="A1917" s="12" t="inlineStr">
        <is>
          <t>A-MV-0016</t>
        </is>
      </c>
      <c r="B1917" s="12" t="inlineStr">
        <is>
          <t>A</t>
        </is>
      </c>
      <c r="C1917" s="12" t="inlineStr">
        <is>
          <t>Power block</t>
        </is>
      </c>
      <c r="D1917" s="12" t="inlineStr">
        <is>
          <t>T-R2B unit / load-centre transformer primary</t>
        </is>
      </c>
      <c r="E1917" s="12" t="inlineStr">
        <is>
          <t>SWGR-13.8-2</t>
        </is>
      </c>
      <c r="F1917" s="12" t="inlineStr">
        <is>
          <t>R1 SWGR-13.8-2 (11 x 36 in cubicles, 15 kV metal-clad)</t>
        </is>
      </c>
      <c r="G1917" s="12" t="inlineStr"/>
      <c r="H1917" s="12" t="inlineStr">
        <is>
          <t>T-R2B: 13.8/0.48 kV</t>
        </is>
      </c>
      <c r="I1917" s="12" t="inlineStr">
        <is>
          <t>MV 15 kV</t>
        </is>
      </c>
      <c r="J1917" s="12" t="inlineStr">
        <is>
          <t>MV-105 15 kV 1/C Cu, EPR 133%, Cu tape shield, PVC jacket (triplexed)</t>
        </is>
      </c>
      <c r="K1917" s="12" t="inlineStr">
        <is>
          <t>MV15|1/C|2</t>
        </is>
      </c>
      <c r="L1917" s="12" t="inlineStr">
        <is>
          <t>1/C</t>
        </is>
      </c>
      <c r="M1917" s="12" t="inlineStr">
        <is>
          <t>2</t>
        </is>
      </c>
      <c r="N1917" s="12" t="n">
        <v>1</v>
      </c>
      <c r="O1917" s="12" t="n">
        <v>3</v>
      </c>
      <c r="P1917" s="12" t="n">
        <v>13800</v>
      </c>
      <c r="Q1917" s="12" t="n">
        <v>2500</v>
      </c>
      <c r="R1917" s="12" t="n">
        <v>105</v>
      </c>
      <c r="S1917" s="12" t="inlineStr">
        <is>
          <t>Tray</t>
        </is>
      </c>
      <c r="T1917" s="16" t="n">
        <v>523</v>
      </c>
      <c r="U1917" s="16" t="n">
        <v>130</v>
      </c>
      <c r="V1917" s="16">
        <f>ROUNDUP((T1917+U1917+2*'Read Me'!$B$13)*(1+'Read Me'!$B$12),-1)</f>
        <v/>
      </c>
      <c r="W1917" s="16">
        <f>V1917*N1917*O1917</f>
        <v/>
      </c>
      <c r="X1917" s="12">
        <f>IF(LEFT(I1917,2)="MV",2*N1917*IF(L1917="1/C",O1917,1),0)</f>
        <v/>
      </c>
      <c r="Y1917" s="12">
        <f>IF(OR(LEFT(K1917,4)="LVAX",LEFT(K1917,6)="MV15AX",LEFT(K1917,4)="CTAX",LEFT(K1917,2)="W|"),2*N1917*O1917,0)</f>
        <v/>
      </c>
      <c r="Z1917" s="12" t="inlineStr"/>
      <c r="AA1917" s="12">
        <f>N1917*O1917</f>
        <v/>
      </c>
    </row>
    <row r="1918">
      <c r="A1918" s="12" t="inlineStr">
        <is>
          <t>A-MV-0017</t>
        </is>
      </c>
      <c r="B1918" s="12" t="inlineStr">
        <is>
          <t>A</t>
        </is>
      </c>
      <c r="C1918" s="12" t="inlineStr">
        <is>
          <t>Power block</t>
        </is>
      </c>
      <c r="D1918" s="12" t="inlineStr">
        <is>
          <t>T-R2C unit / load-centre transformer primary</t>
        </is>
      </c>
      <c r="E1918" s="12" t="inlineStr">
        <is>
          <t>SWGR-13.8-3</t>
        </is>
      </c>
      <c r="F1918" s="12" t="inlineStr">
        <is>
          <t>R1 SWGR-13.8-3 (11 x 36 in cubicles, 15 kV metal-clad)</t>
        </is>
      </c>
      <c r="G1918" s="12" t="inlineStr"/>
      <c r="H1918" s="12" t="inlineStr">
        <is>
          <t>T-R2C: 13.8/0.48 kV</t>
        </is>
      </c>
      <c r="I1918" s="12" t="inlineStr">
        <is>
          <t>MV 15 kV</t>
        </is>
      </c>
      <c r="J1918" s="12" t="inlineStr">
        <is>
          <t>MV-105 15 kV 1/C Cu, EPR 133%, Cu tape shield, PVC jacket (triplexed)</t>
        </is>
      </c>
      <c r="K1918" s="12" t="inlineStr">
        <is>
          <t>MV15|1/C|2</t>
        </is>
      </c>
      <c r="L1918" s="12" t="inlineStr">
        <is>
          <t>1/C</t>
        </is>
      </c>
      <c r="M1918" s="12" t="inlineStr">
        <is>
          <t>2</t>
        </is>
      </c>
      <c r="N1918" s="12" t="n">
        <v>1</v>
      </c>
      <c r="O1918" s="12" t="n">
        <v>3</v>
      </c>
      <c r="P1918" s="12" t="n">
        <v>13800</v>
      </c>
      <c r="Q1918" s="12" t="n">
        <v>2500</v>
      </c>
      <c r="R1918" s="12" t="n">
        <v>105</v>
      </c>
      <c r="S1918" s="12" t="inlineStr">
        <is>
          <t>Tray</t>
        </is>
      </c>
      <c r="T1918" s="16" t="n">
        <v>671</v>
      </c>
      <c r="U1918" s="16" t="n">
        <v>112</v>
      </c>
      <c r="V1918" s="16">
        <f>ROUNDUP((T1918+U1918+2*'Read Me'!$B$13)*(1+'Read Me'!$B$12),-1)</f>
        <v/>
      </c>
      <c r="W1918" s="16">
        <f>V1918*N1918*O1918</f>
        <v/>
      </c>
      <c r="X1918" s="12">
        <f>IF(LEFT(I1918,2)="MV",2*N1918*IF(L1918="1/C",O1918,1),0)</f>
        <v/>
      </c>
      <c r="Y1918" s="12">
        <f>IF(OR(LEFT(K1918,4)="LVAX",LEFT(K1918,6)="MV15AX",LEFT(K1918,4)="CTAX",LEFT(K1918,2)="W|"),2*N1918*O1918,0)</f>
        <v/>
      </c>
      <c r="Z1918" s="12" t="inlineStr"/>
      <c r="AA1918" s="12">
        <f>N1918*O1918</f>
        <v/>
      </c>
    </row>
    <row r="1919">
      <c r="A1919" s="12" t="inlineStr">
        <is>
          <t>A-MV-0018</t>
        </is>
      </c>
      <c r="B1919" s="12" t="inlineStr">
        <is>
          <t>A</t>
        </is>
      </c>
      <c r="C1919" s="12" t="inlineStr">
        <is>
          <t>Power block</t>
        </is>
      </c>
      <c r="D1919" s="12" t="inlineStr">
        <is>
          <t>T-R3 unit / load-centre transformer primary</t>
        </is>
      </c>
      <c r="E1919" s="12" t="inlineStr">
        <is>
          <t>SWGR-13.8-2</t>
        </is>
      </c>
      <c r="F1919" s="12" t="inlineStr">
        <is>
          <t>R1 SWGR-13.8-2 (11 x 36 in cubicles, 15 kV metal-clad)</t>
        </is>
      </c>
      <c r="G1919" s="12" t="inlineStr"/>
      <c r="H1919" s="12" t="inlineStr">
        <is>
          <t>T-R3: 13.8/0.48 kV</t>
        </is>
      </c>
      <c r="I1919" s="12" t="inlineStr">
        <is>
          <t>MV 15 kV</t>
        </is>
      </c>
      <c r="J1919" s="12" t="inlineStr">
        <is>
          <t>MV-105 15 kV 1/C Cu, EPR 133%, Cu tape shield, PVC jacket (triplexed)</t>
        </is>
      </c>
      <c r="K1919" s="12" t="inlineStr">
        <is>
          <t>MV15|1/C|1/0</t>
        </is>
      </c>
      <c r="L1919" s="12" t="inlineStr">
        <is>
          <t>1/C</t>
        </is>
      </c>
      <c r="M1919" s="12" t="inlineStr">
        <is>
          <t>1/0</t>
        </is>
      </c>
      <c r="N1919" s="12" t="n">
        <v>1</v>
      </c>
      <c r="O1919" s="12" t="n">
        <v>3</v>
      </c>
      <c r="P1919" s="12" t="n">
        <v>13800</v>
      </c>
      <c r="Q1919" s="12" t="n">
        <v>3000</v>
      </c>
      <c r="R1919" s="12" t="n">
        <v>126</v>
      </c>
      <c r="S1919" s="12" t="inlineStr">
        <is>
          <t>Tray</t>
        </is>
      </c>
      <c r="T1919" s="16" t="n">
        <v>897</v>
      </c>
      <c r="U1919" s="16" t="n">
        <v>249</v>
      </c>
      <c r="V1919" s="16">
        <f>ROUNDUP((T1919+U1919+2*'Read Me'!$B$13)*(1+'Read Me'!$B$12),-1)</f>
        <v/>
      </c>
      <c r="W1919" s="16">
        <f>V1919*N1919*O1919</f>
        <v/>
      </c>
      <c r="X1919" s="12">
        <f>IF(LEFT(I1919,2)="MV",2*N1919*IF(L1919="1/C",O1919,1),0)</f>
        <v/>
      </c>
      <c r="Y1919" s="12">
        <f>IF(OR(LEFT(K1919,4)="LVAX",LEFT(K1919,6)="MV15AX",LEFT(K1919,4)="CTAX",LEFT(K1919,2)="W|"),2*N1919*O1919,0)</f>
        <v/>
      </c>
      <c r="Z1919" s="12" t="inlineStr"/>
      <c r="AA1919" s="12">
        <f>N1919*O1919</f>
        <v/>
      </c>
    </row>
    <row r="1920">
      <c r="A1920" s="12" t="inlineStr">
        <is>
          <t>A-MV-0019</t>
        </is>
      </c>
      <c r="B1920" s="12" t="inlineStr">
        <is>
          <t>A</t>
        </is>
      </c>
      <c r="C1920" s="12" t="inlineStr">
        <is>
          <t>Power block</t>
        </is>
      </c>
      <c r="D1920" s="12" t="inlineStr">
        <is>
          <t>T4-A station transformer primary</t>
        </is>
      </c>
      <c r="E1920" s="12" t="inlineStr">
        <is>
          <t>SWGR-13.8-1</t>
        </is>
      </c>
      <c r="F1920" s="12" t="inlineStr">
        <is>
          <t>R1 SWGR-13.8-1 (11 x 36 in cubicles, 15 kV metal-clad)</t>
        </is>
      </c>
      <c r="G1920" s="12" t="inlineStr">
        <is>
          <t>T4-A</t>
        </is>
      </c>
      <c r="H1920" s="12" t="inlineStr">
        <is>
          <t>T4-A: 13.8/4.16 kV station transformer</t>
        </is>
      </c>
      <c r="I1920" s="12" t="inlineStr">
        <is>
          <t>MV 15 kV</t>
        </is>
      </c>
      <c r="J1920" s="12" t="inlineStr">
        <is>
          <t>MV-105 15 kV 1/C Cu, EPR 133%, Cu tape shield, PVC jacket (triplexed)</t>
        </is>
      </c>
      <c r="K1920" s="12" t="inlineStr">
        <is>
          <t>MV15|1/C|750</t>
        </is>
      </c>
      <c r="L1920" s="12" t="inlineStr">
        <is>
          <t>1/C</t>
        </is>
      </c>
      <c r="M1920" s="12" t="inlineStr">
        <is>
          <t>750 kcmil</t>
        </is>
      </c>
      <c r="N1920" s="12" t="n">
        <v>1</v>
      </c>
      <c r="O1920" s="12" t="n">
        <v>3</v>
      </c>
      <c r="P1920" s="12" t="n">
        <v>13800</v>
      </c>
      <c r="Q1920" s="12" t="n">
        <v>10000</v>
      </c>
      <c r="R1920" s="12" t="n">
        <v>418</v>
      </c>
      <c r="S1920" s="12" t="inlineStr">
        <is>
          <t>Tray</t>
        </is>
      </c>
      <c r="T1920" s="16" t="n">
        <v>632</v>
      </c>
      <c r="U1920" s="16" t="n">
        <v>130</v>
      </c>
      <c r="V1920" s="16">
        <f>ROUNDUP((T1920+U1920+2*'Read Me'!$B$13)*(1+'Read Me'!$B$12),-1)</f>
        <v/>
      </c>
      <c r="W1920" s="16">
        <f>V1920*N1920*O1920</f>
        <v/>
      </c>
      <c r="X1920" s="12">
        <f>IF(LEFT(I1920,2)="MV",2*N1920*IF(L1920="1/C",O1920,1),0)</f>
        <v/>
      </c>
      <c r="Y1920" s="12">
        <f>IF(OR(LEFT(K1920,4)="LVAX",LEFT(K1920,6)="MV15AX",LEFT(K1920,4)="CTAX",LEFT(K1920,2)="W|"),2*N1920*O1920,0)</f>
        <v/>
      </c>
      <c r="Z1920" s="12" t="inlineStr"/>
      <c r="AA1920" s="12">
        <f>N1920*O1920</f>
        <v/>
      </c>
    </row>
    <row r="1921">
      <c r="A1921" s="12" t="inlineStr">
        <is>
          <t>A-MV-0020</t>
        </is>
      </c>
      <c r="B1921" s="12" t="inlineStr">
        <is>
          <t>A</t>
        </is>
      </c>
      <c r="C1921" s="12" t="inlineStr">
        <is>
          <t>Power block</t>
        </is>
      </c>
      <c r="D1921" s="12" t="inlineStr">
        <is>
          <t>T4-B station transformer primary</t>
        </is>
      </c>
      <c r="E1921" s="12" t="inlineStr">
        <is>
          <t>SWGR-13.8-3</t>
        </is>
      </c>
      <c r="F1921" s="12" t="inlineStr">
        <is>
          <t>R1 SWGR-13.8-3 (11 x 36 in cubicles, 15 kV metal-clad)</t>
        </is>
      </c>
      <c r="G1921" s="12" t="inlineStr">
        <is>
          <t>T4-B</t>
        </is>
      </c>
      <c r="H1921" s="12" t="inlineStr">
        <is>
          <t>T4-B: 13.8/4.16 kV station transformer</t>
        </is>
      </c>
      <c r="I1921" s="12" t="inlineStr">
        <is>
          <t>MV 15 kV</t>
        </is>
      </c>
      <c r="J1921" s="12" t="inlineStr">
        <is>
          <t>MV-105 15 kV 1/C Cu, EPR 133%, Cu tape shield, PVC jacket (triplexed)</t>
        </is>
      </c>
      <c r="K1921" s="12" t="inlineStr">
        <is>
          <t>MV15|1/C|750</t>
        </is>
      </c>
      <c r="L1921" s="12" t="inlineStr">
        <is>
          <t>1/C</t>
        </is>
      </c>
      <c r="M1921" s="12" t="inlineStr">
        <is>
          <t>750 kcmil</t>
        </is>
      </c>
      <c r="N1921" s="12" t="n">
        <v>1</v>
      </c>
      <c r="O1921" s="12" t="n">
        <v>3</v>
      </c>
      <c r="P1921" s="12" t="n">
        <v>13800</v>
      </c>
      <c r="Q1921" s="12" t="n">
        <v>10000</v>
      </c>
      <c r="R1921" s="12" t="n">
        <v>418</v>
      </c>
      <c r="S1921" s="12" t="inlineStr">
        <is>
          <t>Duct bank</t>
        </is>
      </c>
      <c r="T1921" s="16" t="n">
        <v>101</v>
      </c>
      <c r="U1921" s="16" t="n">
        <v>36</v>
      </c>
      <c r="V1921" s="16">
        <f>ROUNDUP((T1921+U1921+2*'Read Me'!$B$13)*(1+'Read Me'!$B$12),-1)</f>
        <v/>
      </c>
      <c r="W1921" s="16">
        <f>V1921*N1921*O1921</f>
        <v/>
      </c>
      <c r="X1921" s="12">
        <f>IF(LEFT(I1921,2)="MV",2*N1921*IF(L1921="1/C",O1921,1),0)</f>
        <v/>
      </c>
      <c r="Y1921" s="12">
        <f>IF(OR(LEFT(K1921,4)="LVAX",LEFT(K1921,6)="MV15AX",LEFT(K1921,4)="CTAX",LEFT(K1921,2)="W|"),2*N1921*O1921,0)</f>
        <v/>
      </c>
      <c r="Z1921" s="12" t="inlineStr"/>
      <c r="AA1921" s="12">
        <f>N1921*O1921</f>
        <v/>
      </c>
    </row>
    <row r="1922">
      <c r="A1922" s="12" t="inlineStr">
        <is>
          <t>A-MV-0021</t>
        </is>
      </c>
      <c r="B1922" s="12" t="inlineStr">
        <is>
          <t>A</t>
        </is>
      </c>
      <c r="C1922" s="12" t="inlineStr">
        <is>
          <t>Power block</t>
        </is>
      </c>
      <c r="D1922" s="12" t="inlineStr">
        <is>
          <t>Excitation transformer ET-1 from the IPB tap</t>
        </is>
      </c>
      <c r="E1922" s="12" t="inlineStr">
        <is>
          <t>GSU-1</t>
        </is>
      </c>
      <c r="F1922" s="12" t="inlineStr">
        <is>
          <t>GSU-1: 21/230 kV generator step-up transformer</t>
        </is>
      </c>
      <c r="G1922" s="12" t="inlineStr">
        <is>
          <t>ET-1</t>
        </is>
      </c>
      <c r="H1922" s="12" t="inlineStr">
        <is>
          <t>ET-1: excitation transformer (dry type, GTG-1 terminals)</t>
        </is>
      </c>
      <c r="I1922" s="12" t="inlineStr">
        <is>
          <t>MV 25 kV</t>
        </is>
      </c>
      <c r="J1922" s="12" t="inlineStr">
        <is>
          <t>MV-105 25 kV 1/C Cu, EPR 133%, Cu tape shield, PVC jacket</t>
        </is>
      </c>
      <c r="K1922" s="12" t="inlineStr">
        <is>
          <t>MV25|1/C|2</t>
        </is>
      </c>
      <c r="L1922" s="12" t="inlineStr">
        <is>
          <t>1/C</t>
        </is>
      </c>
      <c r="M1922" s="12" t="inlineStr">
        <is>
          <t>2</t>
        </is>
      </c>
      <c r="N1922" s="12" t="n">
        <v>1</v>
      </c>
      <c r="O1922" s="12" t="n">
        <v>3</v>
      </c>
      <c r="P1922" s="12" t="n">
        <v>21000</v>
      </c>
      <c r="Q1922" s="12" t="n">
        <v>3000</v>
      </c>
      <c r="R1922" s="12" t="n">
        <v>82</v>
      </c>
      <c r="S1922" s="12" t="inlineStr">
        <is>
          <t>Duct bank</t>
        </is>
      </c>
      <c r="T1922" s="16" t="n">
        <v>21</v>
      </c>
      <c r="U1922" s="16" t="n">
        <v>38</v>
      </c>
      <c r="V1922" s="16">
        <f>ROUNDUP((T1922+U1922+2*'Read Me'!$B$13)*(1+'Read Me'!$B$12),-1)</f>
        <v/>
      </c>
      <c r="W1922" s="16">
        <f>V1922*N1922*O1922</f>
        <v/>
      </c>
      <c r="X1922" s="12">
        <f>IF(LEFT(I1922,2)="MV",2*N1922*IF(L1922="1/C",O1922,1),0)</f>
        <v/>
      </c>
      <c r="Y1922" s="12">
        <f>IF(OR(LEFT(K1922,4)="LVAX",LEFT(K1922,6)="MV15AX",LEFT(K1922,4)="CTAX",LEFT(K1922,2)="W|"),2*N1922*O1922,0)</f>
        <v/>
      </c>
      <c r="Z1922" s="12" t="inlineStr">
        <is>
          <t>21 kV from the generator terminals (IPB tap)</t>
        </is>
      </c>
      <c r="AA1922" s="12">
        <f>N1922*O1922</f>
        <v/>
      </c>
    </row>
    <row r="1923">
      <c r="A1923" s="12" t="inlineStr">
        <is>
          <t>A-MV-0022</t>
        </is>
      </c>
      <c r="B1923" s="12" t="inlineStr">
        <is>
          <t>A</t>
        </is>
      </c>
      <c r="C1923" s="12" t="inlineStr">
        <is>
          <t>Power block</t>
        </is>
      </c>
      <c r="D1923" s="12" t="inlineStr">
        <is>
          <t>Excitation transformer ET-2 from the IPB tap</t>
        </is>
      </c>
      <c r="E1923" s="12" t="inlineStr">
        <is>
          <t>GSU-2</t>
        </is>
      </c>
      <c r="F1923" s="12" t="inlineStr">
        <is>
          <t>GSU-2: 21/230 kV generator step-up transformer</t>
        </is>
      </c>
      <c r="G1923" s="12" t="inlineStr">
        <is>
          <t>ET-2</t>
        </is>
      </c>
      <c r="H1923" s="12" t="inlineStr">
        <is>
          <t>ET-2: excitation transformer (dry type, GTG-2 terminals)</t>
        </is>
      </c>
      <c r="I1923" s="12" t="inlineStr">
        <is>
          <t>MV 25 kV</t>
        </is>
      </c>
      <c r="J1923" s="12" t="inlineStr">
        <is>
          <t>MV-105 25 kV 1/C Cu, EPR 133%, Cu tape shield, PVC jacket</t>
        </is>
      </c>
      <c r="K1923" s="12" t="inlineStr">
        <is>
          <t>MV25|1/C|2</t>
        </is>
      </c>
      <c r="L1923" s="12" t="inlineStr">
        <is>
          <t>1/C</t>
        </is>
      </c>
      <c r="M1923" s="12" t="inlineStr">
        <is>
          <t>2</t>
        </is>
      </c>
      <c r="N1923" s="12" t="n">
        <v>1</v>
      </c>
      <c r="O1923" s="12" t="n">
        <v>3</v>
      </c>
      <c r="P1923" s="12" t="n">
        <v>21000</v>
      </c>
      <c r="Q1923" s="12" t="n">
        <v>3000</v>
      </c>
      <c r="R1923" s="12" t="n">
        <v>82</v>
      </c>
      <c r="S1923" s="12" t="inlineStr">
        <is>
          <t>Duct bank</t>
        </is>
      </c>
      <c r="T1923" s="16" t="n">
        <v>21</v>
      </c>
      <c r="U1923" s="16" t="n">
        <v>38</v>
      </c>
      <c r="V1923" s="16">
        <f>ROUNDUP((T1923+U1923+2*'Read Me'!$B$13)*(1+'Read Me'!$B$12),-1)</f>
        <v/>
      </c>
      <c r="W1923" s="16">
        <f>V1923*N1923*O1923</f>
        <v/>
      </c>
      <c r="X1923" s="12">
        <f>IF(LEFT(I1923,2)="MV",2*N1923*IF(L1923="1/C",O1923,1),0)</f>
        <v/>
      </c>
      <c r="Y1923" s="12">
        <f>IF(OR(LEFT(K1923,4)="LVAX",LEFT(K1923,6)="MV15AX",LEFT(K1923,4)="CTAX",LEFT(K1923,2)="W|"),2*N1923*O1923,0)</f>
        <v/>
      </c>
      <c r="Z1923" s="12" t="inlineStr">
        <is>
          <t>21 kV from the generator terminals (IPB tap)</t>
        </is>
      </c>
      <c r="AA1923" s="12">
        <f>N1923*O1923</f>
        <v/>
      </c>
    </row>
    <row r="1924">
      <c r="A1924" s="12" t="inlineStr">
        <is>
          <t>A-MV-0023</t>
        </is>
      </c>
      <c r="B1924" s="12" t="inlineStr">
        <is>
          <t>A</t>
        </is>
      </c>
      <c r="C1924" s="12" t="inlineStr">
        <is>
          <t>Power block</t>
        </is>
      </c>
      <c r="D1924" s="12" t="inlineStr">
        <is>
          <t>Excitation transformer ET-3 from the IPB tap</t>
        </is>
      </c>
      <c r="E1924" s="12" t="inlineStr">
        <is>
          <t>GSU-3</t>
        </is>
      </c>
      <c r="F1924" s="12" t="inlineStr">
        <is>
          <t>GSU-3: 21/230 kV generator step-up transformer</t>
        </is>
      </c>
      <c r="G1924" s="12" t="inlineStr">
        <is>
          <t>ET-3</t>
        </is>
      </c>
      <c r="H1924" s="12" t="inlineStr">
        <is>
          <t>ET-3: excitation transformer (dry type, GTG-3 terminals)</t>
        </is>
      </c>
      <c r="I1924" s="12" t="inlineStr">
        <is>
          <t>MV 25 kV</t>
        </is>
      </c>
      <c r="J1924" s="12" t="inlineStr">
        <is>
          <t>MV-105 25 kV 1/C Cu, EPR 133%, Cu tape shield, PVC jacket</t>
        </is>
      </c>
      <c r="K1924" s="12" t="inlineStr">
        <is>
          <t>MV25|1/C|2</t>
        </is>
      </c>
      <c r="L1924" s="12" t="inlineStr">
        <is>
          <t>1/C</t>
        </is>
      </c>
      <c r="M1924" s="12" t="inlineStr">
        <is>
          <t>2</t>
        </is>
      </c>
      <c r="N1924" s="12" t="n">
        <v>1</v>
      </c>
      <c r="O1924" s="12" t="n">
        <v>3</v>
      </c>
      <c r="P1924" s="12" t="n">
        <v>21000</v>
      </c>
      <c r="Q1924" s="12" t="n">
        <v>3000</v>
      </c>
      <c r="R1924" s="12" t="n">
        <v>82</v>
      </c>
      <c r="S1924" s="12" t="inlineStr">
        <is>
          <t>Duct bank</t>
        </is>
      </c>
      <c r="T1924" s="16" t="n">
        <v>21</v>
      </c>
      <c r="U1924" s="16" t="n">
        <v>38</v>
      </c>
      <c r="V1924" s="16">
        <f>ROUNDUP((T1924+U1924+2*'Read Me'!$B$13)*(1+'Read Me'!$B$12),-1)</f>
        <v/>
      </c>
      <c r="W1924" s="16">
        <f>V1924*N1924*O1924</f>
        <v/>
      </c>
      <c r="X1924" s="12">
        <f>IF(LEFT(I1924,2)="MV",2*N1924*IF(L1924="1/C",O1924,1),0)</f>
        <v/>
      </c>
      <c r="Y1924" s="12">
        <f>IF(OR(LEFT(K1924,4)="LVAX",LEFT(K1924,6)="MV15AX",LEFT(K1924,4)="CTAX",LEFT(K1924,2)="W|"),2*N1924*O1924,0)</f>
        <v/>
      </c>
      <c r="Z1924" s="12" t="inlineStr">
        <is>
          <t>21 kV from the generator terminals (IPB tap)</t>
        </is>
      </c>
      <c r="AA1924" s="12">
        <f>N1924*O1924</f>
        <v/>
      </c>
    </row>
    <row r="1925">
      <c r="A1925" s="12" t="inlineStr">
        <is>
          <t>A-MV-0024</t>
        </is>
      </c>
      <c r="B1925" s="12" t="inlineStr">
        <is>
          <t>A</t>
        </is>
      </c>
      <c r="C1925" s="12" t="inlineStr">
        <is>
          <t>Power block</t>
        </is>
      </c>
      <c r="D1925" s="12" t="inlineStr">
        <is>
          <t>T4-A secondary to SWGR-4.16-A incomer</t>
        </is>
      </c>
      <c r="E1925" s="12" t="inlineStr">
        <is>
          <t>T4-A</t>
        </is>
      </c>
      <c r="F1925" s="12" t="inlineStr">
        <is>
          <t>T4-A: 13.8/4.16 kV station transformer</t>
        </is>
      </c>
      <c r="G1925" s="12" t="inlineStr">
        <is>
          <t>SWGR-4.16-A</t>
        </is>
      </c>
      <c r="H1925" s="12" t="inlineStr">
        <is>
          <t>R1 SWGR-4.16-A (9 x 36 in cubicles, 5 kV metal-clad)</t>
        </is>
      </c>
      <c r="I1925" s="12" t="inlineStr">
        <is>
          <t>MV 5 kV</t>
        </is>
      </c>
      <c r="J1925" s="12" t="inlineStr">
        <is>
          <t>MV-105 5 kV 1/C Cu, EPR 133%, Cu tape shield, PVC jacket (triplexed)</t>
        </is>
      </c>
      <c r="K1925" s="12" t="inlineStr">
        <is>
          <t>MV5S|1/C|1000</t>
        </is>
      </c>
      <c r="L1925" s="12" t="inlineStr">
        <is>
          <t>1/C</t>
        </is>
      </c>
      <c r="M1925" s="12" t="inlineStr">
        <is>
          <t>1000 kcmil</t>
        </is>
      </c>
      <c r="N1925" s="12" t="n">
        <v>3</v>
      </c>
      <c r="O1925" s="12" t="n">
        <v>3</v>
      </c>
      <c r="P1925" s="12" t="n">
        <v>4160</v>
      </c>
      <c r="Q1925" s="12" t="n">
        <v>10000</v>
      </c>
      <c r="R1925" s="12" t="n">
        <v>1388</v>
      </c>
      <c r="S1925" s="12" t="inlineStr">
        <is>
          <t>Tray</t>
        </is>
      </c>
      <c r="T1925" s="16" t="n">
        <v>644</v>
      </c>
      <c r="U1925" s="16" t="n">
        <v>134</v>
      </c>
      <c r="V1925" s="16">
        <f>ROUNDUP((T1925+U1925+2*'Read Me'!$B$13)*(1+'Read Me'!$B$12),-1)</f>
        <v/>
      </c>
      <c r="W1925" s="16">
        <f>V1925*N1925*O1925</f>
        <v/>
      </c>
      <c r="X1925" s="12">
        <f>IF(LEFT(I1925,2)="MV",2*N1925*IF(L1925="1/C",O1925,1),0)</f>
        <v/>
      </c>
      <c r="Y1925" s="12">
        <f>IF(OR(LEFT(K1925,4)="LVAX",LEFT(K1925,6)="MV15AX",LEFT(K1925,4)="CTAX",LEFT(K1925,2)="W|"),2*N1925*O1925,0)</f>
        <v/>
      </c>
      <c r="Z1925" s="12" t="inlineStr"/>
      <c r="AA1925" s="12">
        <f>N1925*O1925</f>
        <v/>
      </c>
    </row>
    <row r="1926">
      <c r="A1926" s="12" t="inlineStr">
        <is>
          <t>A-MV-0025</t>
        </is>
      </c>
      <c r="B1926" s="12" t="inlineStr">
        <is>
          <t>A</t>
        </is>
      </c>
      <c r="C1926" s="12" t="inlineStr">
        <is>
          <t>Power block</t>
        </is>
      </c>
      <c r="D1926" s="12" t="inlineStr">
        <is>
          <t>T4-B secondary to SWGR-4.16-B incomer</t>
        </is>
      </c>
      <c r="E1926" s="12" t="inlineStr">
        <is>
          <t>T4-B</t>
        </is>
      </c>
      <c r="F1926" s="12" t="inlineStr">
        <is>
          <t>T4-B: 13.8/4.16 kV station transformer</t>
        </is>
      </c>
      <c r="G1926" s="12" t="inlineStr">
        <is>
          <t>SWGR-4.16-B</t>
        </is>
      </c>
      <c r="H1926" s="12" t="inlineStr">
        <is>
          <t>R1 SWGR-4.16-B (5 kV metal-clad)</t>
        </is>
      </c>
      <c r="I1926" s="12" t="inlineStr">
        <is>
          <t>MV 5 kV</t>
        </is>
      </c>
      <c r="J1926" s="12" t="inlineStr">
        <is>
          <t>MV-105 5 kV 1/C Cu, EPR 133%, Cu tape shield, PVC jacket (triplexed)</t>
        </is>
      </c>
      <c r="K1926" s="12" t="inlineStr">
        <is>
          <t>MV5S|1/C|1000</t>
        </is>
      </c>
      <c r="L1926" s="12" t="inlineStr">
        <is>
          <t>1/C</t>
        </is>
      </c>
      <c r="M1926" s="12" t="inlineStr">
        <is>
          <t>1000 kcmil</t>
        </is>
      </c>
      <c r="N1926" s="12" t="n">
        <v>3</v>
      </c>
      <c r="O1926" s="12" t="n">
        <v>3</v>
      </c>
      <c r="P1926" s="12" t="n">
        <v>4160</v>
      </c>
      <c r="Q1926" s="12" t="n">
        <v>10000</v>
      </c>
      <c r="R1926" s="12" t="n">
        <v>1388</v>
      </c>
      <c r="S1926" s="12" t="inlineStr">
        <is>
          <t>Duct bank</t>
        </is>
      </c>
      <c r="T1926" s="16" t="n">
        <v>85</v>
      </c>
      <c r="U1926" s="16" t="n">
        <v>79</v>
      </c>
      <c r="V1926" s="16">
        <f>ROUNDUP((T1926+U1926+2*'Read Me'!$B$13)*(1+'Read Me'!$B$12),-1)</f>
        <v/>
      </c>
      <c r="W1926" s="16">
        <f>V1926*N1926*O1926</f>
        <v/>
      </c>
      <c r="X1926" s="12">
        <f>IF(LEFT(I1926,2)="MV",2*N1926*IF(L1926="1/C",O1926,1),0)</f>
        <v/>
      </c>
      <c r="Y1926" s="12">
        <f>IF(OR(LEFT(K1926,4)="LVAX",LEFT(K1926,6)="MV15AX",LEFT(K1926,4)="CTAX",LEFT(K1926,2)="W|"),2*N1926*O1926,0)</f>
        <v/>
      </c>
      <c r="Z1926" s="12" t="inlineStr"/>
      <c r="AA1926" s="12">
        <f>N1926*O1926</f>
        <v/>
      </c>
    </row>
    <row r="1927">
      <c r="A1927" s="12" t="inlineStr">
        <is>
          <t>B-L-0001</t>
        </is>
      </c>
      <c r="B1927" s="12" t="inlineStr">
        <is>
          <t>B</t>
        </is>
      </c>
      <c r="C1927" s="12" t="inlineStr">
        <is>
          <t>ACC</t>
        </is>
      </c>
      <c r="D1927" s="12" t="inlineStr">
        <is>
          <t>Lighting, receptacles and small power branch circuits (allowance)</t>
        </is>
      </c>
      <c r="E1927" s="12" t="inlineStr">
        <is>
          <t>R4</t>
        </is>
      </c>
      <c r="F1927" s="12" t="inlineStr">
        <is>
          <t>R4: ACC electrical (VFD) e-house (60 x 120 ft)</t>
        </is>
      </c>
      <c r="G1927" s="12" t="inlineStr">
        <is>
          <t>R4</t>
        </is>
      </c>
      <c r="H1927" s="12" t="inlineStr">
        <is>
          <t>R4: ACC electrical (VFD) e-house (60 x 120 ft)</t>
        </is>
      </c>
      <c r="I1927" s="12" t="inlineStr">
        <is>
          <t>Building wire</t>
        </is>
      </c>
      <c r="J1927" s="12" t="inlineStr">
        <is>
          <t>SIMpull THHN/THWN-2 600 V 1/C Cu (lighting, receptacles, small power)</t>
        </is>
      </c>
      <c r="K1927" s="12" t="inlineStr">
        <is>
          <t>THHN|1/C|12</t>
        </is>
      </c>
      <c r="L1927" s="12" t="inlineStr">
        <is>
          <t>1/C</t>
        </is>
      </c>
      <c r="M1927" s="12" t="inlineStr">
        <is>
          <t>12</t>
        </is>
      </c>
      <c r="N1927" s="12" t="n">
        <v>1</v>
      </c>
      <c r="O1927" s="12" t="n">
        <v>1</v>
      </c>
      <c r="P1927" s="12" t="n">
        <v>277</v>
      </c>
      <c r="Q1927" s="12" t="n"/>
      <c r="R1927" s="12" t="n"/>
      <c r="S1927" s="12" t="inlineStr">
        <is>
          <t>Conduit</t>
        </is>
      </c>
      <c r="T1927" s="16" t="n">
        <v>11520</v>
      </c>
      <c r="U1927" s="16" t="n">
        <v>0</v>
      </c>
      <c r="V1927" s="16">
        <f>ROUNDUP((T1927+U1927+2*'Read Me'!$B$13)*(1+'Read Me'!$B$12),-1)</f>
        <v/>
      </c>
      <c r="W1927" s="16">
        <f>V1927*N1927*O1927</f>
        <v/>
      </c>
      <c r="X1927" s="12">
        <f>IF(LEFT(I1927,2)="MV",2*N1927*IF(L1927="1/C",O1927,1),0)</f>
        <v/>
      </c>
      <c r="Y1927" s="12">
        <f>IF(OR(LEFT(K1927,4)="LVAX",LEFT(K1927,6)="MV15AX",LEFT(K1927,4)="CTAX",LEFT(K1927,2)="W|"),2*N1927*O1927,0)</f>
        <v/>
      </c>
      <c r="Z1927" s="12" t="inlineStr">
        <is>
          <t>allowance: 1.6 ft of conductor per ft2 of floor</t>
        </is>
      </c>
      <c r="AA1927" s="12">
        <f>N1927*O1927</f>
        <v/>
      </c>
    </row>
    <row r="1928">
      <c r="A1928" s="12" t="inlineStr">
        <is>
          <t>B-C-0001</t>
        </is>
      </c>
      <c r="B1928" s="12" t="inlineStr">
        <is>
          <t>B</t>
        </is>
      </c>
      <c r="C1928" s="12" t="inlineStr">
        <is>
          <t>ACC</t>
        </is>
      </c>
      <c r="D1928" s="12" t="inlineStr">
        <is>
          <t>ACC fan F01 vibration / RTD / local station</t>
        </is>
      </c>
      <c r="E1928" s="12" t="inlineStr">
        <is>
          <t>R4</t>
        </is>
      </c>
      <c r="F1928" s="12" t="inlineStr">
        <is>
          <t>R4: ACC electrical (VFD) e-house (60 x 120 ft)</t>
        </is>
      </c>
      <c r="G1928" s="12" t="inlineStr">
        <is>
          <t>ACC-F01</t>
        </is>
      </c>
      <c r="H1928" s="12" t="inlineStr">
        <is>
          <t>ACC fan motor F01</t>
        </is>
      </c>
      <c r="I1928" s="12" t="inlineStr">
        <is>
          <t>Control</t>
        </is>
      </c>
      <c r="J1928" s="12" t="inlineStr">
        <is>
          <t>Control cable 600 V Type TC-ER, Cu #14 AWG, PVC jacket</t>
        </is>
      </c>
      <c r="K1928" s="12" t="inlineStr">
        <is>
          <t>CT|7/C|14</t>
        </is>
      </c>
      <c r="L1928" s="12" t="inlineStr">
        <is>
          <t>7/C</t>
        </is>
      </c>
      <c r="M1928" s="12" t="inlineStr">
        <is>
          <t>14</t>
        </is>
      </c>
      <c r="N1928" s="12" t="n">
        <v>1</v>
      </c>
      <c r="O1928" s="12" t="n">
        <v>1</v>
      </c>
      <c r="P1928" s="12" t="n"/>
      <c r="Q1928" s="12" t="n"/>
      <c r="R1928" s="12" t="n"/>
      <c r="S1928" s="12" t="inlineStr">
        <is>
          <t>Tray</t>
        </is>
      </c>
      <c r="T1928" s="16" t="n">
        <v>389</v>
      </c>
      <c r="U1928" s="16" t="n">
        <v>44</v>
      </c>
      <c r="V1928" s="16">
        <f>ROUNDUP((T1928+U1928+2*'Read Me'!$B$13)*(1+'Read Me'!$B$12),-1)</f>
        <v/>
      </c>
      <c r="W1928" s="16">
        <f>V1928*N1928*O1928</f>
        <v/>
      </c>
      <c r="X1928" s="12">
        <f>IF(LEFT(I1928,2)="MV",2*N1928*IF(L1928="1/C",O1928,1),0)</f>
        <v/>
      </c>
      <c r="Y1928" s="12">
        <f>IF(OR(LEFT(K1928,4)="LVAX",LEFT(K1928,6)="MV15AX",LEFT(K1928,4)="CTAX",LEFT(K1928,2)="W|"),2*N1928*O1928,0)</f>
        <v/>
      </c>
      <c r="Z1928" s="12" t="inlineStr"/>
      <c r="AA1928" s="12">
        <f>N1928*O1928</f>
        <v/>
      </c>
    </row>
    <row r="1929">
      <c r="A1929" s="12" t="inlineStr">
        <is>
          <t>B-C-0002</t>
        </is>
      </c>
      <c r="B1929" s="12" t="inlineStr">
        <is>
          <t>B</t>
        </is>
      </c>
      <c r="C1929" s="12" t="inlineStr">
        <is>
          <t>ACC</t>
        </is>
      </c>
      <c r="D1929" s="12" t="inlineStr">
        <is>
          <t>ACC fan F02 vibration / RTD / local station</t>
        </is>
      </c>
      <c r="E1929" s="12" t="inlineStr">
        <is>
          <t>R4</t>
        </is>
      </c>
      <c r="F1929" s="12" t="inlineStr">
        <is>
          <t>R4: ACC electrical (VFD) e-house (60 x 120 ft)</t>
        </is>
      </c>
      <c r="G1929" s="12" t="inlineStr">
        <is>
          <t>ACC-F02</t>
        </is>
      </c>
      <c r="H1929" s="12" t="inlineStr">
        <is>
          <t>ACC fan motor F02</t>
        </is>
      </c>
      <c r="I1929" s="12" t="inlineStr">
        <is>
          <t>Control</t>
        </is>
      </c>
      <c r="J1929" s="12" t="inlineStr">
        <is>
          <t>Control cable 600 V Type TC-ER, Cu #14 AWG, PVC jacket</t>
        </is>
      </c>
      <c r="K1929" s="12" t="inlineStr">
        <is>
          <t>CT|7/C|14</t>
        </is>
      </c>
      <c r="L1929" s="12" t="inlineStr">
        <is>
          <t>7/C</t>
        </is>
      </c>
      <c r="M1929" s="12" t="inlineStr">
        <is>
          <t>14</t>
        </is>
      </c>
      <c r="N1929" s="12" t="n">
        <v>1</v>
      </c>
      <c r="O1929" s="12" t="n">
        <v>1</v>
      </c>
      <c r="P1929" s="12" t="n"/>
      <c r="Q1929" s="12" t="n"/>
      <c r="R1929" s="12" t="n"/>
      <c r="S1929" s="12" t="inlineStr">
        <is>
          <t>Tray</t>
        </is>
      </c>
      <c r="T1929" s="16" t="n">
        <v>357</v>
      </c>
      <c r="U1929" s="16" t="n">
        <v>44</v>
      </c>
      <c r="V1929" s="16">
        <f>ROUNDUP((T1929+U1929+2*'Read Me'!$B$13)*(1+'Read Me'!$B$12),-1)</f>
        <v/>
      </c>
      <c r="W1929" s="16">
        <f>V1929*N1929*O1929</f>
        <v/>
      </c>
      <c r="X1929" s="12">
        <f>IF(LEFT(I1929,2)="MV",2*N1929*IF(L1929="1/C",O1929,1),0)</f>
        <v/>
      </c>
      <c r="Y1929" s="12">
        <f>IF(OR(LEFT(K1929,4)="LVAX",LEFT(K1929,6)="MV15AX",LEFT(K1929,4)="CTAX",LEFT(K1929,2)="W|"),2*N1929*O1929,0)</f>
        <v/>
      </c>
      <c r="Z1929" s="12" t="inlineStr"/>
      <c r="AA1929" s="12">
        <f>N1929*O1929</f>
        <v/>
      </c>
    </row>
    <row r="1930">
      <c r="A1930" s="12" t="inlineStr">
        <is>
          <t>B-C-0003</t>
        </is>
      </c>
      <c r="B1930" s="12" t="inlineStr">
        <is>
          <t>B</t>
        </is>
      </c>
      <c r="C1930" s="12" t="inlineStr">
        <is>
          <t>ACC</t>
        </is>
      </c>
      <c r="D1930" s="12" t="inlineStr">
        <is>
          <t>ACC fan F03 vibration / RTD / local station</t>
        </is>
      </c>
      <c r="E1930" s="12" t="inlineStr">
        <is>
          <t>R4</t>
        </is>
      </c>
      <c r="F1930" s="12" t="inlineStr">
        <is>
          <t>R4: ACC electrical (VFD) e-house (60 x 120 ft)</t>
        </is>
      </c>
      <c r="G1930" s="12" t="inlineStr">
        <is>
          <t>ACC-F03</t>
        </is>
      </c>
      <c r="H1930" s="12" t="inlineStr">
        <is>
          <t>ACC fan motor F03</t>
        </is>
      </c>
      <c r="I1930" s="12" t="inlineStr">
        <is>
          <t>Control</t>
        </is>
      </c>
      <c r="J1930" s="12" t="inlineStr">
        <is>
          <t>Control cable 600 V Type TC-ER, Cu #14 AWG, PVC jacket</t>
        </is>
      </c>
      <c r="K1930" s="12" t="inlineStr">
        <is>
          <t>CT|7/C|14</t>
        </is>
      </c>
      <c r="L1930" s="12" t="inlineStr">
        <is>
          <t>7/C</t>
        </is>
      </c>
      <c r="M1930" s="12" t="inlineStr">
        <is>
          <t>14</t>
        </is>
      </c>
      <c r="N1930" s="12" t="n">
        <v>1</v>
      </c>
      <c r="O1930" s="12" t="n">
        <v>1</v>
      </c>
      <c r="P1930" s="12" t="n"/>
      <c r="Q1930" s="12" t="n"/>
      <c r="R1930" s="12" t="n"/>
      <c r="S1930" s="12" t="inlineStr">
        <is>
          <t>Tray</t>
        </is>
      </c>
      <c r="T1930" s="16" t="n">
        <v>325</v>
      </c>
      <c r="U1930" s="16" t="n">
        <v>44</v>
      </c>
      <c r="V1930" s="16">
        <f>ROUNDUP((T1930+U1930+2*'Read Me'!$B$13)*(1+'Read Me'!$B$12),-1)</f>
        <v/>
      </c>
      <c r="W1930" s="16">
        <f>V1930*N1930*O1930</f>
        <v/>
      </c>
      <c r="X1930" s="12">
        <f>IF(LEFT(I1930,2)="MV",2*N1930*IF(L1930="1/C",O1930,1),0)</f>
        <v/>
      </c>
      <c r="Y1930" s="12">
        <f>IF(OR(LEFT(K1930,4)="LVAX",LEFT(K1930,6)="MV15AX",LEFT(K1930,4)="CTAX",LEFT(K1930,2)="W|"),2*N1930*O1930,0)</f>
        <v/>
      </c>
      <c r="Z1930" s="12" t="inlineStr"/>
      <c r="AA1930" s="12">
        <f>N1930*O1930</f>
        <v/>
      </c>
    </row>
    <row r="1931">
      <c r="A1931" s="12" t="inlineStr">
        <is>
          <t>B-C-0004</t>
        </is>
      </c>
      <c r="B1931" s="12" t="inlineStr">
        <is>
          <t>B</t>
        </is>
      </c>
      <c r="C1931" s="12" t="inlineStr">
        <is>
          <t>ACC</t>
        </is>
      </c>
      <c r="D1931" s="12" t="inlineStr">
        <is>
          <t>ACC fan F04 vibration / RTD / local station</t>
        </is>
      </c>
      <c r="E1931" s="12" t="inlineStr">
        <is>
          <t>R4</t>
        </is>
      </c>
      <c r="F1931" s="12" t="inlineStr">
        <is>
          <t>R4: ACC electrical (VFD) e-house (60 x 120 ft)</t>
        </is>
      </c>
      <c r="G1931" s="12" t="inlineStr">
        <is>
          <t>ACC-F04</t>
        </is>
      </c>
      <c r="H1931" s="12" t="inlineStr">
        <is>
          <t>ACC fan motor F04</t>
        </is>
      </c>
      <c r="I1931" s="12" t="inlineStr">
        <is>
          <t>Control</t>
        </is>
      </c>
      <c r="J1931" s="12" t="inlineStr">
        <is>
          <t>Control cable 600 V Type TC-ER, Cu #14 AWG, PVC jacket</t>
        </is>
      </c>
      <c r="K1931" s="12" t="inlineStr">
        <is>
          <t>CT|7/C|14</t>
        </is>
      </c>
      <c r="L1931" s="12" t="inlineStr">
        <is>
          <t>7/C</t>
        </is>
      </c>
      <c r="M1931" s="12" t="inlineStr">
        <is>
          <t>14</t>
        </is>
      </c>
      <c r="N1931" s="12" t="n">
        <v>1</v>
      </c>
      <c r="O1931" s="12" t="n">
        <v>1</v>
      </c>
      <c r="P1931" s="12" t="n"/>
      <c r="Q1931" s="12" t="n"/>
      <c r="R1931" s="12" t="n"/>
      <c r="S1931" s="12" t="inlineStr">
        <is>
          <t>Tray</t>
        </is>
      </c>
      <c r="T1931" s="16" t="n">
        <v>293</v>
      </c>
      <c r="U1931" s="16" t="n">
        <v>44</v>
      </c>
      <c r="V1931" s="16">
        <f>ROUNDUP((T1931+U1931+2*'Read Me'!$B$13)*(1+'Read Me'!$B$12),-1)</f>
        <v/>
      </c>
      <c r="W1931" s="16">
        <f>V1931*N1931*O1931</f>
        <v/>
      </c>
      <c r="X1931" s="12">
        <f>IF(LEFT(I1931,2)="MV",2*N1931*IF(L1931="1/C",O1931,1),0)</f>
        <v/>
      </c>
      <c r="Y1931" s="12">
        <f>IF(OR(LEFT(K1931,4)="LVAX",LEFT(K1931,6)="MV15AX",LEFT(K1931,4)="CTAX",LEFT(K1931,2)="W|"),2*N1931*O1931,0)</f>
        <v/>
      </c>
      <c r="Z1931" s="12" t="inlineStr"/>
      <c r="AA1931" s="12">
        <f>N1931*O1931</f>
        <v/>
      </c>
    </row>
    <row r="1932">
      <c r="A1932" s="12" t="inlineStr">
        <is>
          <t>B-C-0005</t>
        </is>
      </c>
      <c r="B1932" s="12" t="inlineStr">
        <is>
          <t>B</t>
        </is>
      </c>
      <c r="C1932" s="12" t="inlineStr">
        <is>
          <t>ACC</t>
        </is>
      </c>
      <c r="D1932" s="12" t="inlineStr">
        <is>
          <t>ACC fan F05 vibration / RTD / local station</t>
        </is>
      </c>
      <c r="E1932" s="12" t="inlineStr">
        <is>
          <t>R4</t>
        </is>
      </c>
      <c r="F1932" s="12" t="inlineStr">
        <is>
          <t>R4: ACC electrical (VFD) e-house (60 x 120 ft)</t>
        </is>
      </c>
      <c r="G1932" s="12" t="inlineStr">
        <is>
          <t>ACC-F05</t>
        </is>
      </c>
      <c r="H1932" s="12" t="inlineStr">
        <is>
          <t>ACC fan motor F05</t>
        </is>
      </c>
      <c r="I1932" s="12" t="inlineStr">
        <is>
          <t>Control</t>
        </is>
      </c>
      <c r="J1932" s="12" t="inlineStr">
        <is>
          <t>Control cable 600 V Type TC-ER, Cu #14 AWG, PVC jacket</t>
        </is>
      </c>
      <c r="K1932" s="12" t="inlineStr">
        <is>
          <t>CT|7/C|14</t>
        </is>
      </c>
      <c r="L1932" s="12" t="inlineStr">
        <is>
          <t>7/C</t>
        </is>
      </c>
      <c r="M1932" s="12" t="inlineStr">
        <is>
          <t>14</t>
        </is>
      </c>
      <c r="N1932" s="12" t="n">
        <v>1</v>
      </c>
      <c r="O1932" s="12" t="n">
        <v>1</v>
      </c>
      <c r="P1932" s="12" t="n"/>
      <c r="Q1932" s="12" t="n"/>
      <c r="R1932" s="12" t="n"/>
      <c r="S1932" s="12" t="inlineStr">
        <is>
          <t>Tray</t>
        </is>
      </c>
      <c r="T1932" s="16" t="n">
        <v>261</v>
      </c>
      <c r="U1932" s="16" t="n">
        <v>44</v>
      </c>
      <c r="V1932" s="16">
        <f>ROUNDUP((T1932+U1932+2*'Read Me'!$B$13)*(1+'Read Me'!$B$12),-1)</f>
        <v/>
      </c>
      <c r="W1932" s="16">
        <f>V1932*N1932*O1932</f>
        <v/>
      </c>
      <c r="X1932" s="12">
        <f>IF(LEFT(I1932,2)="MV",2*N1932*IF(L1932="1/C",O1932,1),0)</f>
        <v/>
      </c>
      <c r="Y1932" s="12">
        <f>IF(OR(LEFT(K1932,4)="LVAX",LEFT(K1932,6)="MV15AX",LEFT(K1932,4)="CTAX",LEFT(K1932,2)="W|"),2*N1932*O1932,0)</f>
        <v/>
      </c>
      <c r="Z1932" s="12" t="inlineStr"/>
      <c r="AA1932" s="12">
        <f>N1932*O1932</f>
        <v/>
      </c>
    </row>
    <row r="1933">
      <c r="A1933" s="12" t="inlineStr">
        <is>
          <t>B-C-0006</t>
        </is>
      </c>
      <c r="B1933" s="12" t="inlineStr">
        <is>
          <t>B</t>
        </is>
      </c>
      <c r="C1933" s="12" t="inlineStr">
        <is>
          <t>ACC</t>
        </is>
      </c>
      <c r="D1933" s="12" t="inlineStr">
        <is>
          <t>ACC fan F06 vibration / RTD / local station</t>
        </is>
      </c>
      <c r="E1933" s="12" t="inlineStr">
        <is>
          <t>R4</t>
        </is>
      </c>
      <c r="F1933" s="12" t="inlineStr">
        <is>
          <t>R4: ACC electrical (VFD) e-house (60 x 120 ft)</t>
        </is>
      </c>
      <c r="G1933" s="12" t="inlineStr">
        <is>
          <t>ACC-F06</t>
        </is>
      </c>
      <c r="H1933" s="12" t="inlineStr">
        <is>
          <t>ACC fan motor F06</t>
        </is>
      </c>
      <c r="I1933" s="12" t="inlineStr">
        <is>
          <t>Control</t>
        </is>
      </c>
      <c r="J1933" s="12" t="inlineStr">
        <is>
          <t>Control cable 600 V Type TC-ER, Cu #14 AWG, PVC jacket</t>
        </is>
      </c>
      <c r="K1933" s="12" t="inlineStr">
        <is>
          <t>CT|7/C|14</t>
        </is>
      </c>
      <c r="L1933" s="12" t="inlineStr">
        <is>
          <t>7/C</t>
        </is>
      </c>
      <c r="M1933" s="12" t="inlineStr">
        <is>
          <t>14</t>
        </is>
      </c>
      <c r="N1933" s="12" t="n">
        <v>1</v>
      </c>
      <c r="O1933" s="12" t="n">
        <v>1</v>
      </c>
      <c r="P1933" s="12" t="n"/>
      <c r="Q1933" s="12" t="n"/>
      <c r="R1933" s="12" t="n"/>
      <c r="S1933" s="12" t="inlineStr">
        <is>
          <t>Tray</t>
        </is>
      </c>
      <c r="T1933" s="16" t="n">
        <v>261</v>
      </c>
      <c r="U1933" s="16" t="n">
        <v>44</v>
      </c>
      <c r="V1933" s="16">
        <f>ROUNDUP((T1933+U1933+2*'Read Me'!$B$13)*(1+'Read Me'!$B$12),-1)</f>
        <v/>
      </c>
      <c r="W1933" s="16">
        <f>V1933*N1933*O1933</f>
        <v/>
      </c>
      <c r="X1933" s="12">
        <f>IF(LEFT(I1933,2)="MV",2*N1933*IF(L1933="1/C",O1933,1),0)</f>
        <v/>
      </c>
      <c r="Y1933" s="12">
        <f>IF(OR(LEFT(K1933,4)="LVAX",LEFT(K1933,6)="MV15AX",LEFT(K1933,4)="CTAX",LEFT(K1933,2)="W|"),2*N1933*O1933,0)</f>
        <v/>
      </c>
      <c r="Z1933" s="12" t="inlineStr"/>
      <c r="AA1933" s="12">
        <f>N1933*O1933</f>
        <v/>
      </c>
    </row>
    <row r="1934">
      <c r="A1934" s="12" t="inlineStr">
        <is>
          <t>B-C-0007</t>
        </is>
      </c>
      <c r="B1934" s="12" t="inlineStr">
        <is>
          <t>B</t>
        </is>
      </c>
      <c r="C1934" s="12" t="inlineStr">
        <is>
          <t>ACC</t>
        </is>
      </c>
      <c r="D1934" s="12" t="inlineStr">
        <is>
          <t>ACC fan F07 vibration / RTD / local station</t>
        </is>
      </c>
      <c r="E1934" s="12" t="inlineStr">
        <is>
          <t>R4</t>
        </is>
      </c>
      <c r="F1934" s="12" t="inlineStr">
        <is>
          <t>R4: ACC electrical (VFD) e-house (60 x 120 ft)</t>
        </is>
      </c>
      <c r="G1934" s="12" t="inlineStr">
        <is>
          <t>ACC-F07</t>
        </is>
      </c>
      <c r="H1934" s="12" t="inlineStr">
        <is>
          <t>ACC fan motor F07</t>
        </is>
      </c>
      <c r="I1934" s="12" t="inlineStr">
        <is>
          <t>Control</t>
        </is>
      </c>
      <c r="J1934" s="12" t="inlineStr">
        <is>
          <t>Control cable 600 V Type TC-ER, Cu #14 AWG, PVC jacket</t>
        </is>
      </c>
      <c r="K1934" s="12" t="inlineStr">
        <is>
          <t>CT|7/C|14</t>
        </is>
      </c>
      <c r="L1934" s="12" t="inlineStr">
        <is>
          <t>7/C</t>
        </is>
      </c>
      <c r="M1934" s="12" t="inlineStr">
        <is>
          <t>14</t>
        </is>
      </c>
      <c r="N1934" s="12" t="n">
        <v>1</v>
      </c>
      <c r="O1934" s="12" t="n">
        <v>1</v>
      </c>
      <c r="P1934" s="12" t="n"/>
      <c r="Q1934" s="12" t="n"/>
      <c r="R1934" s="12" t="n"/>
      <c r="S1934" s="12" t="inlineStr">
        <is>
          <t>Tray</t>
        </is>
      </c>
      <c r="T1934" s="16" t="n">
        <v>293</v>
      </c>
      <c r="U1934" s="16" t="n">
        <v>44</v>
      </c>
      <c r="V1934" s="16">
        <f>ROUNDUP((T1934+U1934+2*'Read Me'!$B$13)*(1+'Read Me'!$B$12),-1)</f>
        <v/>
      </c>
      <c r="W1934" s="16">
        <f>V1934*N1934*O1934</f>
        <v/>
      </c>
      <c r="X1934" s="12">
        <f>IF(LEFT(I1934,2)="MV",2*N1934*IF(L1934="1/C",O1934,1),0)</f>
        <v/>
      </c>
      <c r="Y1934" s="12">
        <f>IF(OR(LEFT(K1934,4)="LVAX",LEFT(K1934,6)="MV15AX",LEFT(K1934,4)="CTAX",LEFT(K1934,2)="W|"),2*N1934*O1934,0)</f>
        <v/>
      </c>
      <c r="Z1934" s="12" t="inlineStr"/>
      <c r="AA1934" s="12">
        <f>N1934*O1934</f>
        <v/>
      </c>
    </row>
    <row r="1935">
      <c r="A1935" s="12" t="inlineStr">
        <is>
          <t>B-C-0008</t>
        </is>
      </c>
      <c r="B1935" s="12" t="inlineStr">
        <is>
          <t>B</t>
        </is>
      </c>
      <c r="C1935" s="12" t="inlineStr">
        <is>
          <t>ACC</t>
        </is>
      </c>
      <c r="D1935" s="12" t="inlineStr">
        <is>
          <t>ACC fan F08 vibration / RTD / local station</t>
        </is>
      </c>
      <c r="E1935" s="12" t="inlineStr">
        <is>
          <t>R4</t>
        </is>
      </c>
      <c r="F1935" s="12" t="inlineStr">
        <is>
          <t>R4: ACC electrical (VFD) e-house (60 x 120 ft)</t>
        </is>
      </c>
      <c r="G1935" s="12" t="inlineStr">
        <is>
          <t>ACC-F08</t>
        </is>
      </c>
      <c r="H1935" s="12" t="inlineStr">
        <is>
          <t>ACC fan motor F08</t>
        </is>
      </c>
      <c r="I1935" s="12" t="inlineStr">
        <is>
          <t>Control</t>
        </is>
      </c>
      <c r="J1935" s="12" t="inlineStr">
        <is>
          <t>Control cable 600 V Type TC-ER, Cu #14 AWG, PVC jacket</t>
        </is>
      </c>
      <c r="K1935" s="12" t="inlineStr">
        <is>
          <t>CT|7/C|14</t>
        </is>
      </c>
      <c r="L1935" s="12" t="inlineStr">
        <is>
          <t>7/C</t>
        </is>
      </c>
      <c r="M1935" s="12" t="inlineStr">
        <is>
          <t>14</t>
        </is>
      </c>
      <c r="N1935" s="12" t="n">
        <v>1</v>
      </c>
      <c r="O1935" s="12" t="n">
        <v>1</v>
      </c>
      <c r="P1935" s="12" t="n"/>
      <c r="Q1935" s="12" t="n"/>
      <c r="R1935" s="12" t="n"/>
      <c r="S1935" s="12" t="inlineStr">
        <is>
          <t>Tray</t>
        </is>
      </c>
      <c r="T1935" s="16" t="n">
        <v>325</v>
      </c>
      <c r="U1935" s="16" t="n">
        <v>44</v>
      </c>
      <c r="V1935" s="16">
        <f>ROUNDUP((T1935+U1935+2*'Read Me'!$B$13)*(1+'Read Me'!$B$12),-1)</f>
        <v/>
      </c>
      <c r="W1935" s="16">
        <f>V1935*N1935*O1935</f>
        <v/>
      </c>
      <c r="X1935" s="12">
        <f>IF(LEFT(I1935,2)="MV",2*N1935*IF(L1935="1/C",O1935,1),0)</f>
        <v/>
      </c>
      <c r="Y1935" s="12">
        <f>IF(OR(LEFT(K1935,4)="LVAX",LEFT(K1935,6)="MV15AX",LEFT(K1935,4)="CTAX",LEFT(K1935,2)="W|"),2*N1935*O1935,0)</f>
        <v/>
      </c>
      <c r="Z1935" s="12" t="inlineStr"/>
      <c r="AA1935" s="12">
        <f>N1935*O1935</f>
        <v/>
      </c>
    </row>
    <row r="1936">
      <c r="A1936" s="12" t="inlineStr">
        <is>
          <t>B-C-0009</t>
        </is>
      </c>
      <c r="B1936" s="12" t="inlineStr">
        <is>
          <t>B</t>
        </is>
      </c>
      <c r="C1936" s="12" t="inlineStr">
        <is>
          <t>ACC</t>
        </is>
      </c>
      <c r="D1936" s="12" t="inlineStr">
        <is>
          <t>ACC fan F09 vibration / RTD / local station</t>
        </is>
      </c>
      <c r="E1936" s="12" t="inlineStr">
        <is>
          <t>R4</t>
        </is>
      </c>
      <c r="F1936" s="12" t="inlineStr">
        <is>
          <t>R4: ACC electrical (VFD) e-house (60 x 120 ft)</t>
        </is>
      </c>
      <c r="G1936" s="12" t="inlineStr">
        <is>
          <t>ACC-F09</t>
        </is>
      </c>
      <c r="H1936" s="12" t="inlineStr">
        <is>
          <t>ACC fan motor F09</t>
        </is>
      </c>
      <c r="I1936" s="12" t="inlineStr">
        <is>
          <t>Control</t>
        </is>
      </c>
      <c r="J1936" s="12" t="inlineStr">
        <is>
          <t>Control cable 600 V Type TC-ER, Cu #14 AWG, PVC jacket</t>
        </is>
      </c>
      <c r="K1936" s="12" t="inlineStr">
        <is>
          <t>CT|7/C|14</t>
        </is>
      </c>
      <c r="L1936" s="12" t="inlineStr">
        <is>
          <t>7/C</t>
        </is>
      </c>
      <c r="M1936" s="12" t="inlineStr">
        <is>
          <t>14</t>
        </is>
      </c>
      <c r="N1936" s="12" t="n">
        <v>1</v>
      </c>
      <c r="O1936" s="12" t="n">
        <v>1</v>
      </c>
      <c r="P1936" s="12" t="n"/>
      <c r="Q1936" s="12" t="n"/>
      <c r="R1936" s="12" t="n"/>
      <c r="S1936" s="12" t="inlineStr">
        <is>
          <t>Tray</t>
        </is>
      </c>
      <c r="T1936" s="16" t="n">
        <v>357</v>
      </c>
      <c r="U1936" s="16" t="n">
        <v>44</v>
      </c>
      <c r="V1936" s="16">
        <f>ROUNDUP((T1936+U1936+2*'Read Me'!$B$13)*(1+'Read Me'!$B$12),-1)</f>
        <v/>
      </c>
      <c r="W1936" s="16">
        <f>V1936*N1936*O1936</f>
        <v/>
      </c>
      <c r="X1936" s="12">
        <f>IF(LEFT(I1936,2)="MV",2*N1936*IF(L1936="1/C",O1936,1),0)</f>
        <v/>
      </c>
      <c r="Y1936" s="12">
        <f>IF(OR(LEFT(K1936,4)="LVAX",LEFT(K1936,6)="MV15AX",LEFT(K1936,4)="CTAX",LEFT(K1936,2)="W|"),2*N1936*O1936,0)</f>
        <v/>
      </c>
      <c r="Z1936" s="12" t="inlineStr"/>
      <c r="AA1936" s="12">
        <f>N1936*O1936</f>
        <v/>
      </c>
    </row>
    <row r="1937">
      <c r="A1937" s="12" t="inlineStr">
        <is>
          <t>B-C-0010</t>
        </is>
      </c>
      <c r="B1937" s="12" t="inlineStr">
        <is>
          <t>B</t>
        </is>
      </c>
      <c r="C1937" s="12" t="inlineStr">
        <is>
          <t>ACC</t>
        </is>
      </c>
      <c r="D1937" s="12" t="inlineStr">
        <is>
          <t>ACC fan F10 vibration / RTD / local station</t>
        </is>
      </c>
      <c r="E1937" s="12" t="inlineStr">
        <is>
          <t>R4</t>
        </is>
      </c>
      <c r="F1937" s="12" t="inlineStr">
        <is>
          <t>R4: ACC electrical (VFD) e-house (60 x 120 ft)</t>
        </is>
      </c>
      <c r="G1937" s="12" t="inlineStr">
        <is>
          <t>ACC-F10</t>
        </is>
      </c>
      <c r="H1937" s="12" t="inlineStr">
        <is>
          <t>ACC fan motor F10</t>
        </is>
      </c>
      <c r="I1937" s="12" t="inlineStr">
        <is>
          <t>Control</t>
        </is>
      </c>
      <c r="J1937" s="12" t="inlineStr">
        <is>
          <t>Control cable 600 V Type TC-ER, Cu #14 AWG, PVC jacket</t>
        </is>
      </c>
      <c r="K1937" s="12" t="inlineStr">
        <is>
          <t>CT|7/C|14</t>
        </is>
      </c>
      <c r="L1937" s="12" t="inlineStr">
        <is>
          <t>7/C</t>
        </is>
      </c>
      <c r="M1937" s="12" t="inlineStr">
        <is>
          <t>14</t>
        </is>
      </c>
      <c r="N1937" s="12" t="n">
        <v>1</v>
      </c>
      <c r="O1937" s="12" t="n">
        <v>1</v>
      </c>
      <c r="P1937" s="12" t="n"/>
      <c r="Q1937" s="12" t="n"/>
      <c r="R1937" s="12" t="n"/>
      <c r="S1937" s="12" t="inlineStr">
        <is>
          <t>Tray</t>
        </is>
      </c>
      <c r="T1937" s="16" t="n">
        <v>389</v>
      </c>
      <c r="U1937" s="16" t="n">
        <v>44</v>
      </c>
      <c r="V1937" s="16">
        <f>ROUNDUP((T1937+U1937+2*'Read Me'!$B$13)*(1+'Read Me'!$B$12),-1)</f>
        <v/>
      </c>
      <c r="W1937" s="16">
        <f>V1937*N1937*O1937</f>
        <v/>
      </c>
      <c r="X1937" s="12">
        <f>IF(LEFT(I1937,2)="MV",2*N1937*IF(L1937="1/C",O1937,1),0)</f>
        <v/>
      </c>
      <c r="Y1937" s="12">
        <f>IF(OR(LEFT(K1937,4)="LVAX",LEFT(K1937,6)="MV15AX",LEFT(K1937,4)="CTAX",LEFT(K1937,2)="W|"),2*N1937*O1937,0)</f>
        <v/>
      </c>
      <c r="Z1937" s="12" t="inlineStr"/>
      <c r="AA1937" s="12">
        <f>N1937*O1937</f>
        <v/>
      </c>
    </row>
    <row r="1938">
      <c r="A1938" s="12" t="inlineStr">
        <is>
          <t>B-C-0011</t>
        </is>
      </c>
      <c r="B1938" s="12" t="inlineStr">
        <is>
          <t>B</t>
        </is>
      </c>
      <c r="C1938" s="12" t="inlineStr">
        <is>
          <t>ACC</t>
        </is>
      </c>
      <c r="D1938" s="12" t="inlineStr">
        <is>
          <t>ACC fan F11 vibration / RTD / local station</t>
        </is>
      </c>
      <c r="E1938" s="12" t="inlineStr">
        <is>
          <t>R4</t>
        </is>
      </c>
      <c r="F1938" s="12" t="inlineStr">
        <is>
          <t>R4: ACC electrical (VFD) e-house (60 x 120 ft)</t>
        </is>
      </c>
      <c r="G1938" s="12" t="inlineStr">
        <is>
          <t>ACC-F11</t>
        </is>
      </c>
      <c r="H1938" s="12" t="inlineStr">
        <is>
          <t>ACC fan motor F11</t>
        </is>
      </c>
      <c r="I1938" s="12" t="inlineStr">
        <is>
          <t>Control</t>
        </is>
      </c>
      <c r="J1938" s="12" t="inlineStr">
        <is>
          <t>Control cable 600 V Type TC-ER, Cu #14 AWG, PVC jacket</t>
        </is>
      </c>
      <c r="K1938" s="12" t="inlineStr">
        <is>
          <t>CT|7/C|14</t>
        </is>
      </c>
      <c r="L1938" s="12" t="inlineStr">
        <is>
          <t>7/C</t>
        </is>
      </c>
      <c r="M1938" s="12" t="inlineStr">
        <is>
          <t>14</t>
        </is>
      </c>
      <c r="N1938" s="12" t="n">
        <v>1</v>
      </c>
      <c r="O1938" s="12" t="n">
        <v>1</v>
      </c>
      <c r="P1938" s="12" t="n"/>
      <c r="Q1938" s="12" t="n"/>
      <c r="R1938" s="12" t="n"/>
      <c r="S1938" s="12" t="inlineStr">
        <is>
          <t>Tray</t>
        </is>
      </c>
      <c r="T1938" s="16" t="n">
        <v>339</v>
      </c>
      <c r="U1938" s="16" t="n">
        <v>44</v>
      </c>
      <c r="V1938" s="16">
        <f>ROUNDUP((T1938+U1938+2*'Read Me'!$B$13)*(1+'Read Me'!$B$12),-1)</f>
        <v/>
      </c>
      <c r="W1938" s="16">
        <f>V1938*N1938*O1938</f>
        <v/>
      </c>
      <c r="X1938" s="12">
        <f>IF(LEFT(I1938,2)="MV",2*N1938*IF(L1938="1/C",O1938,1),0)</f>
        <v/>
      </c>
      <c r="Y1938" s="12">
        <f>IF(OR(LEFT(K1938,4)="LVAX",LEFT(K1938,6)="MV15AX",LEFT(K1938,4)="CTAX",LEFT(K1938,2)="W|"),2*N1938*O1938,0)</f>
        <v/>
      </c>
      <c r="Z1938" s="12" t="inlineStr"/>
      <c r="AA1938" s="12">
        <f>N1938*O1938</f>
        <v/>
      </c>
    </row>
    <row r="1939">
      <c r="A1939" s="12" t="inlineStr">
        <is>
          <t>B-C-0012</t>
        </is>
      </c>
      <c r="B1939" s="12" t="inlineStr">
        <is>
          <t>B</t>
        </is>
      </c>
      <c r="C1939" s="12" t="inlineStr">
        <is>
          <t>ACC</t>
        </is>
      </c>
      <c r="D1939" s="12" t="inlineStr">
        <is>
          <t>ACC fan F12 vibration / RTD / local station</t>
        </is>
      </c>
      <c r="E1939" s="12" t="inlineStr">
        <is>
          <t>R4</t>
        </is>
      </c>
      <c r="F1939" s="12" t="inlineStr">
        <is>
          <t>R4: ACC electrical (VFD) e-house (60 x 120 ft)</t>
        </is>
      </c>
      <c r="G1939" s="12" t="inlineStr">
        <is>
          <t>ACC-F12</t>
        </is>
      </c>
      <c r="H1939" s="12" t="inlineStr">
        <is>
          <t>ACC fan motor F12</t>
        </is>
      </c>
      <c r="I1939" s="12" t="inlineStr">
        <is>
          <t>Control</t>
        </is>
      </c>
      <c r="J1939" s="12" t="inlineStr">
        <is>
          <t>Control cable 600 V Type TC-ER, Cu #14 AWG, PVC jacket</t>
        </is>
      </c>
      <c r="K1939" s="12" t="inlineStr">
        <is>
          <t>CT|7/C|14</t>
        </is>
      </c>
      <c r="L1939" s="12" t="inlineStr">
        <is>
          <t>7/C</t>
        </is>
      </c>
      <c r="M1939" s="12" t="inlineStr">
        <is>
          <t>14</t>
        </is>
      </c>
      <c r="N1939" s="12" t="n">
        <v>1</v>
      </c>
      <c r="O1939" s="12" t="n">
        <v>1</v>
      </c>
      <c r="P1939" s="12" t="n"/>
      <c r="Q1939" s="12" t="n"/>
      <c r="R1939" s="12" t="n"/>
      <c r="S1939" s="12" t="inlineStr">
        <is>
          <t>Tray</t>
        </is>
      </c>
      <c r="T1939" s="16" t="n">
        <v>307</v>
      </c>
      <c r="U1939" s="16" t="n">
        <v>44</v>
      </c>
      <c r="V1939" s="16">
        <f>ROUNDUP((T1939+U1939+2*'Read Me'!$B$13)*(1+'Read Me'!$B$12),-1)</f>
        <v/>
      </c>
      <c r="W1939" s="16">
        <f>V1939*N1939*O1939</f>
        <v/>
      </c>
      <c r="X1939" s="12">
        <f>IF(LEFT(I1939,2)="MV",2*N1939*IF(L1939="1/C",O1939,1),0)</f>
        <v/>
      </c>
      <c r="Y1939" s="12">
        <f>IF(OR(LEFT(K1939,4)="LVAX",LEFT(K1939,6)="MV15AX",LEFT(K1939,4)="CTAX",LEFT(K1939,2)="W|"),2*N1939*O1939,0)</f>
        <v/>
      </c>
      <c r="Z1939" s="12" t="inlineStr"/>
      <c r="AA1939" s="12">
        <f>N1939*O1939</f>
        <v/>
      </c>
    </row>
    <row r="1940">
      <c r="A1940" s="12" t="inlineStr">
        <is>
          <t>B-C-0013</t>
        </is>
      </c>
      <c r="B1940" s="12" t="inlineStr">
        <is>
          <t>B</t>
        </is>
      </c>
      <c r="C1940" s="12" t="inlineStr">
        <is>
          <t>ACC</t>
        </is>
      </c>
      <c r="D1940" s="12" t="inlineStr">
        <is>
          <t>ACC fan F13 vibration / RTD / local station</t>
        </is>
      </c>
      <c r="E1940" s="12" t="inlineStr">
        <is>
          <t>R4</t>
        </is>
      </c>
      <c r="F1940" s="12" t="inlineStr">
        <is>
          <t>R4: ACC electrical (VFD) e-house (60 x 120 ft)</t>
        </is>
      </c>
      <c r="G1940" s="12" t="inlineStr">
        <is>
          <t>ACC-F13</t>
        </is>
      </c>
      <c r="H1940" s="12" t="inlineStr">
        <is>
          <t>ACC fan motor F13</t>
        </is>
      </c>
      <c r="I1940" s="12" t="inlineStr">
        <is>
          <t>Control</t>
        </is>
      </c>
      <c r="J1940" s="12" t="inlineStr">
        <is>
          <t>Control cable 600 V Type TC-ER, Cu #14 AWG, PVC jacket</t>
        </is>
      </c>
      <c r="K1940" s="12" t="inlineStr">
        <is>
          <t>CT|7/C|14</t>
        </is>
      </c>
      <c r="L1940" s="12" t="inlineStr">
        <is>
          <t>7/C</t>
        </is>
      </c>
      <c r="M1940" s="12" t="inlineStr">
        <is>
          <t>14</t>
        </is>
      </c>
      <c r="N1940" s="12" t="n">
        <v>1</v>
      </c>
      <c r="O1940" s="12" t="n">
        <v>1</v>
      </c>
      <c r="P1940" s="12" t="n"/>
      <c r="Q1940" s="12" t="n"/>
      <c r="R1940" s="12" t="n"/>
      <c r="S1940" s="12" t="inlineStr">
        <is>
          <t>Tray</t>
        </is>
      </c>
      <c r="T1940" s="16" t="n">
        <v>275</v>
      </c>
      <c r="U1940" s="16" t="n">
        <v>44</v>
      </c>
      <c r="V1940" s="16">
        <f>ROUNDUP((T1940+U1940+2*'Read Me'!$B$13)*(1+'Read Me'!$B$12),-1)</f>
        <v/>
      </c>
      <c r="W1940" s="16">
        <f>V1940*N1940*O1940</f>
        <v/>
      </c>
      <c r="X1940" s="12">
        <f>IF(LEFT(I1940,2)="MV",2*N1940*IF(L1940="1/C",O1940,1),0)</f>
        <v/>
      </c>
      <c r="Y1940" s="12">
        <f>IF(OR(LEFT(K1940,4)="LVAX",LEFT(K1940,6)="MV15AX",LEFT(K1940,4)="CTAX",LEFT(K1940,2)="W|"),2*N1940*O1940,0)</f>
        <v/>
      </c>
      <c r="Z1940" s="12" t="inlineStr"/>
      <c r="AA1940" s="12">
        <f>N1940*O1940</f>
        <v/>
      </c>
    </row>
    <row r="1941">
      <c r="A1941" s="12" t="inlineStr">
        <is>
          <t>B-C-0014</t>
        </is>
      </c>
      <c r="B1941" s="12" t="inlineStr">
        <is>
          <t>B</t>
        </is>
      </c>
      <c r="C1941" s="12" t="inlineStr">
        <is>
          <t>ACC</t>
        </is>
      </c>
      <c r="D1941" s="12" t="inlineStr">
        <is>
          <t>ACC fan F14 vibration / RTD / local station</t>
        </is>
      </c>
      <c r="E1941" s="12" t="inlineStr">
        <is>
          <t>R4</t>
        </is>
      </c>
      <c r="F1941" s="12" t="inlineStr">
        <is>
          <t>R4: ACC electrical (VFD) e-house (60 x 120 ft)</t>
        </is>
      </c>
      <c r="G1941" s="12" t="inlineStr">
        <is>
          <t>ACC-F14</t>
        </is>
      </c>
      <c r="H1941" s="12" t="inlineStr">
        <is>
          <t>ACC fan motor F14</t>
        </is>
      </c>
      <c r="I1941" s="12" t="inlineStr">
        <is>
          <t>Control</t>
        </is>
      </c>
      <c r="J1941" s="12" t="inlineStr">
        <is>
          <t>Control cable 600 V Type TC-ER, Cu #14 AWG, PVC jacket</t>
        </is>
      </c>
      <c r="K1941" s="12" t="inlineStr">
        <is>
          <t>CT|7/C|14</t>
        </is>
      </c>
      <c r="L1941" s="12" t="inlineStr">
        <is>
          <t>7/C</t>
        </is>
      </c>
      <c r="M1941" s="12" t="inlineStr">
        <is>
          <t>14</t>
        </is>
      </c>
      <c r="N1941" s="12" t="n">
        <v>1</v>
      </c>
      <c r="O1941" s="12" t="n">
        <v>1</v>
      </c>
      <c r="P1941" s="12" t="n"/>
      <c r="Q1941" s="12" t="n"/>
      <c r="R1941" s="12" t="n"/>
      <c r="S1941" s="12" t="inlineStr">
        <is>
          <t>Tray</t>
        </is>
      </c>
      <c r="T1941" s="16" t="n">
        <v>243</v>
      </c>
      <c r="U1941" s="16" t="n">
        <v>44</v>
      </c>
      <c r="V1941" s="16">
        <f>ROUNDUP((T1941+U1941+2*'Read Me'!$B$13)*(1+'Read Me'!$B$12),-1)</f>
        <v/>
      </c>
      <c r="W1941" s="16">
        <f>V1941*N1941*O1941</f>
        <v/>
      </c>
      <c r="X1941" s="12">
        <f>IF(LEFT(I1941,2)="MV",2*N1941*IF(L1941="1/C",O1941,1),0)</f>
        <v/>
      </c>
      <c r="Y1941" s="12">
        <f>IF(OR(LEFT(K1941,4)="LVAX",LEFT(K1941,6)="MV15AX",LEFT(K1941,4)="CTAX",LEFT(K1941,2)="W|"),2*N1941*O1941,0)</f>
        <v/>
      </c>
      <c r="Z1941" s="12" t="inlineStr"/>
      <c r="AA1941" s="12">
        <f>N1941*O1941</f>
        <v/>
      </c>
    </row>
    <row r="1942">
      <c r="A1942" s="12" t="inlineStr">
        <is>
          <t>B-C-0015</t>
        </is>
      </c>
      <c r="B1942" s="12" t="inlineStr">
        <is>
          <t>B</t>
        </is>
      </c>
      <c r="C1942" s="12" t="inlineStr">
        <is>
          <t>ACC</t>
        </is>
      </c>
      <c r="D1942" s="12" t="inlineStr">
        <is>
          <t>ACC fan F15 vibration / RTD / local station</t>
        </is>
      </c>
      <c r="E1942" s="12" t="inlineStr">
        <is>
          <t>R4</t>
        </is>
      </c>
      <c r="F1942" s="12" t="inlineStr">
        <is>
          <t>R4: ACC electrical (VFD) e-house (60 x 120 ft)</t>
        </is>
      </c>
      <c r="G1942" s="12" t="inlineStr">
        <is>
          <t>ACC-F15</t>
        </is>
      </c>
      <c r="H1942" s="12" t="inlineStr">
        <is>
          <t>ACC fan motor F15</t>
        </is>
      </c>
      <c r="I1942" s="12" t="inlineStr">
        <is>
          <t>Control</t>
        </is>
      </c>
      <c r="J1942" s="12" t="inlineStr">
        <is>
          <t>Control cable 600 V Type TC-ER, Cu #14 AWG, PVC jacket</t>
        </is>
      </c>
      <c r="K1942" s="12" t="inlineStr">
        <is>
          <t>CT|7/C|14</t>
        </is>
      </c>
      <c r="L1942" s="12" t="inlineStr">
        <is>
          <t>7/C</t>
        </is>
      </c>
      <c r="M1942" s="12" t="inlineStr">
        <is>
          <t>14</t>
        </is>
      </c>
      <c r="N1942" s="12" t="n">
        <v>1</v>
      </c>
      <c r="O1942" s="12" t="n">
        <v>1</v>
      </c>
      <c r="P1942" s="12" t="n"/>
      <c r="Q1942" s="12" t="n"/>
      <c r="R1942" s="12" t="n"/>
      <c r="S1942" s="12" t="inlineStr">
        <is>
          <t>Tray</t>
        </is>
      </c>
      <c r="T1942" s="16" t="n">
        <v>211</v>
      </c>
      <c r="U1942" s="16" t="n">
        <v>44</v>
      </c>
      <c r="V1942" s="16">
        <f>ROUNDUP((T1942+U1942+2*'Read Me'!$B$13)*(1+'Read Me'!$B$12),-1)</f>
        <v/>
      </c>
      <c r="W1942" s="16">
        <f>V1942*N1942*O1942</f>
        <v/>
      </c>
      <c r="X1942" s="12">
        <f>IF(LEFT(I1942,2)="MV",2*N1942*IF(L1942="1/C",O1942,1),0)</f>
        <v/>
      </c>
      <c r="Y1942" s="12">
        <f>IF(OR(LEFT(K1942,4)="LVAX",LEFT(K1942,6)="MV15AX",LEFT(K1942,4)="CTAX",LEFT(K1942,2)="W|"),2*N1942*O1942,0)</f>
        <v/>
      </c>
      <c r="Z1942" s="12" t="inlineStr"/>
      <c r="AA1942" s="12">
        <f>N1942*O1942</f>
        <v/>
      </c>
    </row>
    <row r="1943">
      <c r="A1943" s="12" t="inlineStr">
        <is>
          <t>B-C-0016</t>
        </is>
      </c>
      <c r="B1943" s="12" t="inlineStr">
        <is>
          <t>B</t>
        </is>
      </c>
      <c r="C1943" s="12" t="inlineStr">
        <is>
          <t>ACC</t>
        </is>
      </c>
      <c r="D1943" s="12" t="inlineStr">
        <is>
          <t>ACC fan F16 vibration / RTD / local station</t>
        </is>
      </c>
      <c r="E1943" s="12" t="inlineStr">
        <is>
          <t>R4</t>
        </is>
      </c>
      <c r="F1943" s="12" t="inlineStr">
        <is>
          <t>R4: ACC electrical (VFD) e-house (60 x 120 ft)</t>
        </is>
      </c>
      <c r="G1943" s="12" t="inlineStr">
        <is>
          <t>ACC-F16</t>
        </is>
      </c>
      <c r="H1943" s="12" t="inlineStr">
        <is>
          <t>ACC fan motor F16</t>
        </is>
      </c>
      <c r="I1943" s="12" t="inlineStr">
        <is>
          <t>Control</t>
        </is>
      </c>
      <c r="J1943" s="12" t="inlineStr">
        <is>
          <t>Control cable 600 V Type TC-ER, Cu #14 AWG, PVC jacket</t>
        </is>
      </c>
      <c r="K1943" s="12" t="inlineStr">
        <is>
          <t>CT|7/C|14</t>
        </is>
      </c>
      <c r="L1943" s="12" t="inlineStr">
        <is>
          <t>7/C</t>
        </is>
      </c>
      <c r="M1943" s="12" t="inlineStr">
        <is>
          <t>14</t>
        </is>
      </c>
      <c r="N1943" s="12" t="n">
        <v>1</v>
      </c>
      <c r="O1943" s="12" t="n">
        <v>1</v>
      </c>
      <c r="P1943" s="12" t="n"/>
      <c r="Q1943" s="12" t="n"/>
      <c r="R1943" s="12" t="n"/>
      <c r="S1943" s="12" t="inlineStr">
        <is>
          <t>Tray</t>
        </is>
      </c>
      <c r="T1943" s="16" t="n">
        <v>211</v>
      </c>
      <c r="U1943" s="16" t="n">
        <v>44</v>
      </c>
      <c r="V1943" s="16">
        <f>ROUNDUP((T1943+U1943+2*'Read Me'!$B$13)*(1+'Read Me'!$B$12),-1)</f>
        <v/>
      </c>
      <c r="W1943" s="16">
        <f>V1943*N1943*O1943</f>
        <v/>
      </c>
      <c r="X1943" s="12">
        <f>IF(LEFT(I1943,2)="MV",2*N1943*IF(L1943="1/C",O1943,1),0)</f>
        <v/>
      </c>
      <c r="Y1943" s="12">
        <f>IF(OR(LEFT(K1943,4)="LVAX",LEFT(K1943,6)="MV15AX",LEFT(K1943,4)="CTAX",LEFT(K1943,2)="W|"),2*N1943*O1943,0)</f>
        <v/>
      </c>
      <c r="Z1943" s="12" t="inlineStr"/>
      <c r="AA1943" s="12">
        <f>N1943*O1943</f>
        <v/>
      </c>
    </row>
    <row r="1944">
      <c r="A1944" s="12" t="inlineStr">
        <is>
          <t>B-C-0017</t>
        </is>
      </c>
      <c r="B1944" s="12" t="inlineStr">
        <is>
          <t>B</t>
        </is>
      </c>
      <c r="C1944" s="12" t="inlineStr">
        <is>
          <t>ACC</t>
        </is>
      </c>
      <c r="D1944" s="12" t="inlineStr">
        <is>
          <t>ACC fan F17 vibration / RTD / local station</t>
        </is>
      </c>
      <c r="E1944" s="12" t="inlineStr">
        <is>
          <t>R4</t>
        </is>
      </c>
      <c r="F1944" s="12" t="inlineStr">
        <is>
          <t>R4: ACC electrical (VFD) e-house (60 x 120 ft)</t>
        </is>
      </c>
      <c r="G1944" s="12" t="inlineStr">
        <is>
          <t>ACC-F17</t>
        </is>
      </c>
      <c r="H1944" s="12" t="inlineStr">
        <is>
          <t>ACC fan motor F17</t>
        </is>
      </c>
      <c r="I1944" s="12" t="inlineStr">
        <is>
          <t>Control</t>
        </is>
      </c>
      <c r="J1944" s="12" t="inlineStr">
        <is>
          <t>Control cable 600 V Type TC-ER, Cu #14 AWG, PVC jacket</t>
        </is>
      </c>
      <c r="K1944" s="12" t="inlineStr">
        <is>
          <t>CT|7/C|14</t>
        </is>
      </c>
      <c r="L1944" s="12" t="inlineStr">
        <is>
          <t>7/C</t>
        </is>
      </c>
      <c r="M1944" s="12" t="inlineStr">
        <is>
          <t>14</t>
        </is>
      </c>
      <c r="N1944" s="12" t="n">
        <v>1</v>
      </c>
      <c r="O1944" s="12" t="n">
        <v>1</v>
      </c>
      <c r="P1944" s="12" t="n"/>
      <c r="Q1944" s="12" t="n"/>
      <c r="R1944" s="12" t="n"/>
      <c r="S1944" s="12" t="inlineStr">
        <is>
          <t>Tray</t>
        </is>
      </c>
      <c r="T1944" s="16" t="n">
        <v>243</v>
      </c>
      <c r="U1944" s="16" t="n">
        <v>44</v>
      </c>
      <c r="V1944" s="16">
        <f>ROUNDUP((T1944+U1944+2*'Read Me'!$B$13)*(1+'Read Me'!$B$12),-1)</f>
        <v/>
      </c>
      <c r="W1944" s="16">
        <f>V1944*N1944*O1944</f>
        <v/>
      </c>
      <c r="X1944" s="12">
        <f>IF(LEFT(I1944,2)="MV",2*N1944*IF(L1944="1/C",O1944,1),0)</f>
        <v/>
      </c>
      <c r="Y1944" s="12">
        <f>IF(OR(LEFT(K1944,4)="LVAX",LEFT(K1944,6)="MV15AX",LEFT(K1944,4)="CTAX",LEFT(K1944,2)="W|"),2*N1944*O1944,0)</f>
        <v/>
      </c>
      <c r="Z1944" s="12" t="inlineStr"/>
      <c r="AA1944" s="12">
        <f>N1944*O1944</f>
        <v/>
      </c>
    </row>
    <row r="1945">
      <c r="A1945" s="12" t="inlineStr">
        <is>
          <t>B-C-0018</t>
        </is>
      </c>
      <c r="B1945" s="12" t="inlineStr">
        <is>
          <t>B</t>
        </is>
      </c>
      <c r="C1945" s="12" t="inlineStr">
        <is>
          <t>ACC</t>
        </is>
      </c>
      <c r="D1945" s="12" t="inlineStr">
        <is>
          <t>ACC fan F18 vibration / RTD / local station</t>
        </is>
      </c>
      <c r="E1945" s="12" t="inlineStr">
        <is>
          <t>R4</t>
        </is>
      </c>
      <c r="F1945" s="12" t="inlineStr">
        <is>
          <t>R4: ACC electrical (VFD) e-house (60 x 120 ft)</t>
        </is>
      </c>
      <c r="G1945" s="12" t="inlineStr">
        <is>
          <t>ACC-F18</t>
        </is>
      </c>
      <c r="H1945" s="12" t="inlineStr">
        <is>
          <t>ACC fan motor F18</t>
        </is>
      </c>
      <c r="I1945" s="12" t="inlineStr">
        <is>
          <t>Control</t>
        </is>
      </c>
      <c r="J1945" s="12" t="inlineStr">
        <is>
          <t>Control cable 600 V Type TC-ER, Cu #14 AWG, PVC jacket</t>
        </is>
      </c>
      <c r="K1945" s="12" t="inlineStr">
        <is>
          <t>CT|7/C|14</t>
        </is>
      </c>
      <c r="L1945" s="12" t="inlineStr">
        <is>
          <t>7/C</t>
        </is>
      </c>
      <c r="M1945" s="12" t="inlineStr">
        <is>
          <t>14</t>
        </is>
      </c>
      <c r="N1945" s="12" t="n">
        <v>1</v>
      </c>
      <c r="O1945" s="12" t="n">
        <v>1</v>
      </c>
      <c r="P1945" s="12" t="n"/>
      <c r="Q1945" s="12" t="n"/>
      <c r="R1945" s="12" t="n"/>
      <c r="S1945" s="12" t="inlineStr">
        <is>
          <t>Tray</t>
        </is>
      </c>
      <c r="T1945" s="16" t="n">
        <v>275</v>
      </c>
      <c r="U1945" s="16" t="n">
        <v>44</v>
      </c>
      <c r="V1945" s="16">
        <f>ROUNDUP((T1945+U1945+2*'Read Me'!$B$13)*(1+'Read Me'!$B$12),-1)</f>
        <v/>
      </c>
      <c r="W1945" s="16">
        <f>V1945*N1945*O1945</f>
        <v/>
      </c>
      <c r="X1945" s="12">
        <f>IF(LEFT(I1945,2)="MV",2*N1945*IF(L1945="1/C",O1945,1),0)</f>
        <v/>
      </c>
      <c r="Y1945" s="12">
        <f>IF(OR(LEFT(K1945,4)="LVAX",LEFT(K1945,6)="MV15AX",LEFT(K1945,4)="CTAX",LEFT(K1945,2)="W|"),2*N1945*O1945,0)</f>
        <v/>
      </c>
      <c r="Z1945" s="12" t="inlineStr"/>
      <c r="AA1945" s="12">
        <f>N1945*O1945</f>
        <v/>
      </c>
    </row>
    <row r="1946">
      <c r="A1946" s="12" t="inlineStr">
        <is>
          <t>B-C-0019</t>
        </is>
      </c>
      <c r="B1946" s="12" t="inlineStr">
        <is>
          <t>B</t>
        </is>
      </c>
      <c r="C1946" s="12" t="inlineStr">
        <is>
          <t>ACC</t>
        </is>
      </c>
      <c r="D1946" s="12" t="inlineStr">
        <is>
          <t>ACC fan F19 vibration / RTD / local station</t>
        </is>
      </c>
      <c r="E1946" s="12" t="inlineStr">
        <is>
          <t>R4</t>
        </is>
      </c>
      <c r="F1946" s="12" t="inlineStr">
        <is>
          <t>R4: ACC electrical (VFD) e-house (60 x 120 ft)</t>
        </is>
      </c>
      <c r="G1946" s="12" t="inlineStr">
        <is>
          <t>ACC-F19</t>
        </is>
      </c>
      <c r="H1946" s="12" t="inlineStr">
        <is>
          <t>ACC fan motor F19</t>
        </is>
      </c>
      <c r="I1946" s="12" t="inlineStr">
        <is>
          <t>Control</t>
        </is>
      </c>
      <c r="J1946" s="12" t="inlineStr">
        <is>
          <t>Control cable 600 V Type TC-ER, Cu #14 AWG, PVC jacket</t>
        </is>
      </c>
      <c r="K1946" s="12" t="inlineStr">
        <is>
          <t>CT|7/C|14</t>
        </is>
      </c>
      <c r="L1946" s="12" t="inlineStr">
        <is>
          <t>7/C</t>
        </is>
      </c>
      <c r="M1946" s="12" t="inlineStr">
        <is>
          <t>14</t>
        </is>
      </c>
      <c r="N1946" s="12" t="n">
        <v>1</v>
      </c>
      <c r="O1946" s="12" t="n">
        <v>1</v>
      </c>
      <c r="P1946" s="12" t="n"/>
      <c r="Q1946" s="12" t="n"/>
      <c r="R1946" s="12" t="n"/>
      <c r="S1946" s="12" t="inlineStr">
        <is>
          <t>Tray</t>
        </is>
      </c>
      <c r="T1946" s="16" t="n">
        <v>307</v>
      </c>
      <c r="U1946" s="16" t="n">
        <v>44</v>
      </c>
      <c r="V1946" s="16">
        <f>ROUNDUP((T1946+U1946+2*'Read Me'!$B$13)*(1+'Read Me'!$B$12),-1)</f>
        <v/>
      </c>
      <c r="W1946" s="16">
        <f>V1946*N1946*O1946</f>
        <v/>
      </c>
      <c r="X1946" s="12">
        <f>IF(LEFT(I1946,2)="MV",2*N1946*IF(L1946="1/C",O1946,1),0)</f>
        <v/>
      </c>
      <c r="Y1946" s="12">
        <f>IF(OR(LEFT(K1946,4)="LVAX",LEFT(K1946,6)="MV15AX",LEFT(K1946,4)="CTAX",LEFT(K1946,2)="W|"),2*N1946*O1946,0)</f>
        <v/>
      </c>
      <c r="Z1946" s="12" t="inlineStr"/>
      <c r="AA1946" s="12">
        <f>N1946*O1946</f>
        <v/>
      </c>
    </row>
    <row r="1947">
      <c r="A1947" s="12" t="inlineStr">
        <is>
          <t>B-C-0020</t>
        </is>
      </c>
      <c r="B1947" s="12" t="inlineStr">
        <is>
          <t>B</t>
        </is>
      </c>
      <c r="C1947" s="12" t="inlineStr">
        <is>
          <t>ACC</t>
        </is>
      </c>
      <c r="D1947" s="12" t="inlineStr">
        <is>
          <t>ACC fan F20 vibration / RTD / local station</t>
        </is>
      </c>
      <c r="E1947" s="12" t="inlineStr">
        <is>
          <t>R4</t>
        </is>
      </c>
      <c r="F1947" s="12" t="inlineStr">
        <is>
          <t>R4: ACC electrical (VFD) e-house (60 x 120 ft)</t>
        </is>
      </c>
      <c r="G1947" s="12" t="inlineStr">
        <is>
          <t>ACC-F20</t>
        </is>
      </c>
      <c r="H1947" s="12" t="inlineStr">
        <is>
          <t>ACC fan motor F20</t>
        </is>
      </c>
      <c r="I1947" s="12" t="inlineStr">
        <is>
          <t>Control</t>
        </is>
      </c>
      <c r="J1947" s="12" t="inlineStr">
        <is>
          <t>Control cable 600 V Type TC-ER, Cu #14 AWG, PVC jacket</t>
        </is>
      </c>
      <c r="K1947" s="12" t="inlineStr">
        <is>
          <t>CT|7/C|14</t>
        </is>
      </c>
      <c r="L1947" s="12" t="inlineStr">
        <is>
          <t>7/C</t>
        </is>
      </c>
      <c r="M1947" s="12" t="inlineStr">
        <is>
          <t>14</t>
        </is>
      </c>
      <c r="N1947" s="12" t="n">
        <v>1</v>
      </c>
      <c r="O1947" s="12" t="n">
        <v>1</v>
      </c>
      <c r="P1947" s="12" t="n"/>
      <c r="Q1947" s="12" t="n"/>
      <c r="R1947" s="12" t="n"/>
      <c r="S1947" s="12" t="inlineStr">
        <is>
          <t>Tray</t>
        </is>
      </c>
      <c r="T1947" s="16" t="n">
        <v>339</v>
      </c>
      <c r="U1947" s="16" t="n">
        <v>44</v>
      </c>
      <c r="V1947" s="16">
        <f>ROUNDUP((T1947+U1947+2*'Read Me'!$B$13)*(1+'Read Me'!$B$12),-1)</f>
        <v/>
      </c>
      <c r="W1947" s="16">
        <f>V1947*N1947*O1947</f>
        <v/>
      </c>
      <c r="X1947" s="12">
        <f>IF(LEFT(I1947,2)="MV",2*N1947*IF(L1947="1/C",O1947,1),0)</f>
        <v/>
      </c>
      <c r="Y1947" s="12">
        <f>IF(OR(LEFT(K1947,4)="LVAX",LEFT(K1947,6)="MV15AX",LEFT(K1947,4)="CTAX",LEFT(K1947,2)="W|"),2*N1947*O1947,0)</f>
        <v/>
      </c>
      <c r="Z1947" s="12" t="inlineStr"/>
      <c r="AA1947" s="12">
        <f>N1947*O1947</f>
        <v/>
      </c>
    </row>
    <row r="1948">
      <c r="A1948" s="12" t="inlineStr">
        <is>
          <t>B-C-0021</t>
        </is>
      </c>
      <c r="B1948" s="12" t="inlineStr">
        <is>
          <t>B</t>
        </is>
      </c>
      <c r="C1948" s="12" t="inlineStr">
        <is>
          <t>ACC</t>
        </is>
      </c>
      <c r="D1948" s="12" t="inlineStr">
        <is>
          <t>ACC fan F21 vibration / RTD / local station</t>
        </is>
      </c>
      <c r="E1948" s="12" t="inlineStr">
        <is>
          <t>R4</t>
        </is>
      </c>
      <c r="F1948" s="12" t="inlineStr">
        <is>
          <t>R4: ACC electrical (VFD) e-house (60 x 120 ft)</t>
        </is>
      </c>
      <c r="G1948" s="12" t="inlineStr">
        <is>
          <t>ACC-F21</t>
        </is>
      </c>
      <c r="H1948" s="12" t="inlineStr">
        <is>
          <t>ACC fan motor F21</t>
        </is>
      </c>
      <c r="I1948" s="12" t="inlineStr">
        <is>
          <t>Control</t>
        </is>
      </c>
      <c r="J1948" s="12" t="inlineStr">
        <is>
          <t>Control cable 600 V Type TC-ER, Cu #14 AWG, PVC jacket</t>
        </is>
      </c>
      <c r="K1948" s="12" t="inlineStr">
        <is>
          <t>CT|7/C|14</t>
        </is>
      </c>
      <c r="L1948" s="12" t="inlineStr">
        <is>
          <t>7/C</t>
        </is>
      </c>
      <c r="M1948" s="12" t="inlineStr">
        <is>
          <t>14</t>
        </is>
      </c>
      <c r="N1948" s="12" t="n">
        <v>1</v>
      </c>
      <c r="O1948" s="12" t="n">
        <v>1</v>
      </c>
      <c r="P1948" s="12" t="n"/>
      <c r="Q1948" s="12" t="n"/>
      <c r="R1948" s="12" t="n"/>
      <c r="S1948" s="12" t="inlineStr">
        <is>
          <t>Tray</t>
        </is>
      </c>
      <c r="T1948" s="16" t="n">
        <v>289</v>
      </c>
      <c r="U1948" s="16" t="n">
        <v>44</v>
      </c>
      <c r="V1948" s="16">
        <f>ROUNDUP((T1948+U1948+2*'Read Me'!$B$13)*(1+'Read Me'!$B$12),-1)</f>
        <v/>
      </c>
      <c r="W1948" s="16">
        <f>V1948*N1948*O1948</f>
        <v/>
      </c>
      <c r="X1948" s="12">
        <f>IF(LEFT(I1948,2)="MV",2*N1948*IF(L1948="1/C",O1948,1),0)</f>
        <v/>
      </c>
      <c r="Y1948" s="12">
        <f>IF(OR(LEFT(K1948,4)="LVAX",LEFT(K1948,6)="MV15AX",LEFT(K1948,4)="CTAX",LEFT(K1948,2)="W|"),2*N1948*O1948,0)</f>
        <v/>
      </c>
      <c r="Z1948" s="12" t="inlineStr"/>
      <c r="AA1948" s="12">
        <f>N1948*O1948</f>
        <v/>
      </c>
    </row>
    <row r="1949">
      <c r="A1949" s="12" t="inlineStr">
        <is>
          <t>B-C-0022</t>
        </is>
      </c>
      <c r="B1949" s="12" t="inlineStr">
        <is>
          <t>B</t>
        </is>
      </c>
      <c r="C1949" s="12" t="inlineStr">
        <is>
          <t>ACC</t>
        </is>
      </c>
      <c r="D1949" s="12" t="inlineStr">
        <is>
          <t>ACC fan F22 vibration / RTD / local station</t>
        </is>
      </c>
      <c r="E1949" s="12" t="inlineStr">
        <is>
          <t>R4</t>
        </is>
      </c>
      <c r="F1949" s="12" t="inlineStr">
        <is>
          <t>R4: ACC electrical (VFD) e-house (60 x 120 ft)</t>
        </is>
      </c>
      <c r="G1949" s="12" t="inlineStr">
        <is>
          <t>ACC-F22</t>
        </is>
      </c>
      <c r="H1949" s="12" t="inlineStr">
        <is>
          <t>ACC fan motor F22</t>
        </is>
      </c>
      <c r="I1949" s="12" t="inlineStr">
        <is>
          <t>Control</t>
        </is>
      </c>
      <c r="J1949" s="12" t="inlineStr">
        <is>
          <t>Control cable 600 V Type TC-ER, Cu #14 AWG, PVC jacket</t>
        </is>
      </c>
      <c r="K1949" s="12" t="inlineStr">
        <is>
          <t>CT|7/C|14</t>
        </is>
      </c>
      <c r="L1949" s="12" t="inlineStr">
        <is>
          <t>7/C</t>
        </is>
      </c>
      <c r="M1949" s="12" t="inlineStr">
        <is>
          <t>14</t>
        </is>
      </c>
      <c r="N1949" s="12" t="n">
        <v>1</v>
      </c>
      <c r="O1949" s="12" t="n">
        <v>1</v>
      </c>
      <c r="P1949" s="12" t="n"/>
      <c r="Q1949" s="12" t="n"/>
      <c r="R1949" s="12" t="n"/>
      <c r="S1949" s="12" t="inlineStr">
        <is>
          <t>Tray</t>
        </is>
      </c>
      <c r="T1949" s="16" t="n">
        <v>257</v>
      </c>
      <c r="U1949" s="16" t="n">
        <v>44</v>
      </c>
      <c r="V1949" s="16">
        <f>ROUNDUP((T1949+U1949+2*'Read Me'!$B$13)*(1+'Read Me'!$B$12),-1)</f>
        <v/>
      </c>
      <c r="W1949" s="16">
        <f>V1949*N1949*O1949</f>
        <v/>
      </c>
      <c r="X1949" s="12">
        <f>IF(LEFT(I1949,2)="MV",2*N1949*IF(L1949="1/C",O1949,1),0)</f>
        <v/>
      </c>
      <c r="Y1949" s="12">
        <f>IF(OR(LEFT(K1949,4)="LVAX",LEFT(K1949,6)="MV15AX",LEFT(K1949,4)="CTAX",LEFT(K1949,2)="W|"),2*N1949*O1949,0)</f>
        <v/>
      </c>
      <c r="Z1949" s="12" t="inlineStr"/>
      <c r="AA1949" s="12">
        <f>N1949*O1949</f>
        <v/>
      </c>
    </row>
    <row r="1950">
      <c r="A1950" s="12" t="inlineStr">
        <is>
          <t>B-C-0023</t>
        </is>
      </c>
      <c r="B1950" s="12" t="inlineStr">
        <is>
          <t>B</t>
        </is>
      </c>
      <c r="C1950" s="12" t="inlineStr">
        <is>
          <t>ACC</t>
        </is>
      </c>
      <c r="D1950" s="12" t="inlineStr">
        <is>
          <t>ACC fan F23 vibration / RTD / local station</t>
        </is>
      </c>
      <c r="E1950" s="12" t="inlineStr">
        <is>
          <t>R4</t>
        </is>
      </c>
      <c r="F1950" s="12" t="inlineStr">
        <is>
          <t>R4: ACC electrical (VFD) e-house (60 x 120 ft)</t>
        </is>
      </c>
      <c r="G1950" s="12" t="inlineStr">
        <is>
          <t>ACC-F23</t>
        </is>
      </c>
      <c r="H1950" s="12" t="inlineStr">
        <is>
          <t>ACC fan motor F23</t>
        </is>
      </c>
      <c r="I1950" s="12" t="inlineStr">
        <is>
          <t>Control</t>
        </is>
      </c>
      <c r="J1950" s="12" t="inlineStr">
        <is>
          <t>Control cable 600 V Type TC-ER, Cu #14 AWG, PVC jacket</t>
        </is>
      </c>
      <c r="K1950" s="12" t="inlineStr">
        <is>
          <t>CT|7/C|14</t>
        </is>
      </c>
      <c r="L1950" s="12" t="inlineStr">
        <is>
          <t>7/C</t>
        </is>
      </c>
      <c r="M1950" s="12" t="inlineStr">
        <is>
          <t>14</t>
        </is>
      </c>
      <c r="N1950" s="12" t="n">
        <v>1</v>
      </c>
      <c r="O1950" s="12" t="n">
        <v>1</v>
      </c>
      <c r="P1950" s="12" t="n"/>
      <c r="Q1950" s="12" t="n"/>
      <c r="R1950" s="12" t="n"/>
      <c r="S1950" s="12" t="inlineStr">
        <is>
          <t>Tray</t>
        </is>
      </c>
      <c r="T1950" s="16" t="n">
        <v>225</v>
      </c>
      <c r="U1950" s="16" t="n">
        <v>44</v>
      </c>
      <c r="V1950" s="16">
        <f>ROUNDUP((T1950+U1950+2*'Read Me'!$B$13)*(1+'Read Me'!$B$12),-1)</f>
        <v/>
      </c>
      <c r="W1950" s="16">
        <f>V1950*N1950*O1950</f>
        <v/>
      </c>
      <c r="X1950" s="12">
        <f>IF(LEFT(I1950,2)="MV",2*N1950*IF(L1950="1/C",O1950,1),0)</f>
        <v/>
      </c>
      <c r="Y1950" s="12">
        <f>IF(OR(LEFT(K1950,4)="LVAX",LEFT(K1950,6)="MV15AX",LEFT(K1950,4)="CTAX",LEFT(K1950,2)="W|"),2*N1950*O1950,0)</f>
        <v/>
      </c>
      <c r="Z1950" s="12" t="inlineStr"/>
      <c r="AA1950" s="12">
        <f>N1950*O1950</f>
        <v/>
      </c>
    </row>
    <row r="1951">
      <c r="A1951" s="12" t="inlineStr">
        <is>
          <t>B-C-0024</t>
        </is>
      </c>
      <c r="B1951" s="12" t="inlineStr">
        <is>
          <t>B</t>
        </is>
      </c>
      <c r="C1951" s="12" t="inlineStr">
        <is>
          <t>ACC</t>
        </is>
      </c>
      <c r="D1951" s="12" t="inlineStr">
        <is>
          <t>ACC fan F24 vibration / RTD / local station</t>
        </is>
      </c>
      <c r="E1951" s="12" t="inlineStr">
        <is>
          <t>R4</t>
        </is>
      </c>
      <c r="F1951" s="12" t="inlineStr">
        <is>
          <t>R4: ACC electrical (VFD) e-house (60 x 120 ft)</t>
        </is>
      </c>
      <c r="G1951" s="12" t="inlineStr">
        <is>
          <t>ACC-F24</t>
        </is>
      </c>
      <c r="H1951" s="12" t="inlineStr">
        <is>
          <t>ACC fan motor F24</t>
        </is>
      </c>
      <c r="I1951" s="12" t="inlineStr">
        <is>
          <t>Control</t>
        </is>
      </c>
      <c r="J1951" s="12" t="inlineStr">
        <is>
          <t>Control cable 600 V Type TC-ER, Cu #14 AWG, PVC jacket</t>
        </is>
      </c>
      <c r="K1951" s="12" t="inlineStr">
        <is>
          <t>CT|7/C|14</t>
        </is>
      </c>
      <c r="L1951" s="12" t="inlineStr">
        <is>
          <t>7/C</t>
        </is>
      </c>
      <c r="M1951" s="12" t="inlineStr">
        <is>
          <t>14</t>
        </is>
      </c>
      <c r="N1951" s="12" t="n">
        <v>1</v>
      </c>
      <c r="O1951" s="12" t="n">
        <v>1</v>
      </c>
      <c r="P1951" s="12" t="n"/>
      <c r="Q1951" s="12" t="n"/>
      <c r="R1951" s="12" t="n"/>
      <c r="S1951" s="12" t="inlineStr">
        <is>
          <t>Tray</t>
        </is>
      </c>
      <c r="T1951" s="16" t="n">
        <v>193</v>
      </c>
      <c r="U1951" s="16" t="n">
        <v>44</v>
      </c>
      <c r="V1951" s="16">
        <f>ROUNDUP((T1951+U1951+2*'Read Me'!$B$13)*(1+'Read Me'!$B$12),-1)</f>
        <v/>
      </c>
      <c r="W1951" s="16">
        <f>V1951*N1951*O1951</f>
        <v/>
      </c>
      <c r="X1951" s="12">
        <f>IF(LEFT(I1951,2)="MV",2*N1951*IF(L1951="1/C",O1951,1),0)</f>
        <v/>
      </c>
      <c r="Y1951" s="12">
        <f>IF(OR(LEFT(K1951,4)="LVAX",LEFT(K1951,6)="MV15AX",LEFT(K1951,4)="CTAX",LEFT(K1951,2)="W|"),2*N1951*O1951,0)</f>
        <v/>
      </c>
      <c r="Z1951" s="12" t="inlineStr"/>
      <c r="AA1951" s="12">
        <f>N1951*O1951</f>
        <v/>
      </c>
    </row>
    <row r="1952">
      <c r="A1952" s="12" t="inlineStr">
        <is>
          <t>B-C-0025</t>
        </is>
      </c>
      <c r="B1952" s="12" t="inlineStr">
        <is>
          <t>B</t>
        </is>
      </c>
      <c r="C1952" s="12" t="inlineStr">
        <is>
          <t>ACC</t>
        </is>
      </c>
      <c r="D1952" s="12" t="inlineStr">
        <is>
          <t>ACC fan F25 vibration / RTD / local station</t>
        </is>
      </c>
      <c r="E1952" s="12" t="inlineStr">
        <is>
          <t>R4</t>
        </is>
      </c>
      <c r="F1952" s="12" t="inlineStr">
        <is>
          <t>R4: ACC electrical (VFD) e-house (60 x 120 ft)</t>
        </is>
      </c>
      <c r="G1952" s="12" t="inlineStr">
        <is>
          <t>ACC-F25</t>
        </is>
      </c>
      <c r="H1952" s="12" t="inlineStr">
        <is>
          <t>ACC fan motor F25</t>
        </is>
      </c>
      <c r="I1952" s="12" t="inlineStr">
        <is>
          <t>Control</t>
        </is>
      </c>
      <c r="J1952" s="12" t="inlineStr">
        <is>
          <t>Control cable 600 V Type TC-ER, Cu #14 AWG, PVC jacket</t>
        </is>
      </c>
      <c r="K1952" s="12" t="inlineStr">
        <is>
          <t>CT|7/C|14</t>
        </is>
      </c>
      <c r="L1952" s="12" t="inlineStr">
        <is>
          <t>7/C</t>
        </is>
      </c>
      <c r="M1952" s="12" t="inlineStr">
        <is>
          <t>14</t>
        </is>
      </c>
      <c r="N1952" s="12" t="n">
        <v>1</v>
      </c>
      <c r="O1952" s="12" t="n">
        <v>1</v>
      </c>
      <c r="P1952" s="12" t="n"/>
      <c r="Q1952" s="12" t="n"/>
      <c r="R1952" s="12" t="n"/>
      <c r="S1952" s="12" t="inlineStr">
        <is>
          <t>Tray</t>
        </is>
      </c>
      <c r="T1952" s="16" t="n">
        <v>161</v>
      </c>
      <c r="U1952" s="16" t="n">
        <v>44</v>
      </c>
      <c r="V1952" s="16">
        <f>ROUNDUP((T1952+U1952+2*'Read Me'!$B$13)*(1+'Read Me'!$B$12),-1)</f>
        <v/>
      </c>
      <c r="W1952" s="16">
        <f>V1952*N1952*O1952</f>
        <v/>
      </c>
      <c r="X1952" s="12">
        <f>IF(LEFT(I1952,2)="MV",2*N1952*IF(L1952="1/C",O1952,1),0)</f>
        <v/>
      </c>
      <c r="Y1952" s="12">
        <f>IF(OR(LEFT(K1952,4)="LVAX",LEFT(K1952,6)="MV15AX",LEFT(K1952,4)="CTAX",LEFT(K1952,2)="W|"),2*N1952*O1952,0)</f>
        <v/>
      </c>
      <c r="Z1952" s="12" t="inlineStr"/>
      <c r="AA1952" s="12">
        <f>N1952*O1952</f>
        <v/>
      </c>
    </row>
    <row r="1953">
      <c r="A1953" s="12" t="inlineStr">
        <is>
          <t>B-C-0026</t>
        </is>
      </c>
      <c r="B1953" s="12" t="inlineStr">
        <is>
          <t>B</t>
        </is>
      </c>
      <c r="C1953" s="12" t="inlineStr">
        <is>
          <t>ACC</t>
        </is>
      </c>
      <c r="D1953" s="12" t="inlineStr">
        <is>
          <t>ACC fan F26 vibration / RTD / local station</t>
        </is>
      </c>
      <c r="E1953" s="12" t="inlineStr">
        <is>
          <t>R4</t>
        </is>
      </c>
      <c r="F1953" s="12" t="inlineStr">
        <is>
          <t>R4: ACC electrical (VFD) e-house (60 x 120 ft)</t>
        </is>
      </c>
      <c r="G1953" s="12" t="inlineStr">
        <is>
          <t>ACC-F26</t>
        </is>
      </c>
      <c r="H1953" s="12" t="inlineStr">
        <is>
          <t>ACC fan motor F26</t>
        </is>
      </c>
      <c r="I1953" s="12" t="inlineStr">
        <is>
          <t>Control</t>
        </is>
      </c>
      <c r="J1953" s="12" t="inlineStr">
        <is>
          <t>Control cable 600 V Type TC-ER, Cu #14 AWG, PVC jacket</t>
        </is>
      </c>
      <c r="K1953" s="12" t="inlineStr">
        <is>
          <t>CT|7/C|14</t>
        </is>
      </c>
      <c r="L1953" s="12" t="inlineStr">
        <is>
          <t>7/C</t>
        </is>
      </c>
      <c r="M1953" s="12" t="inlineStr">
        <is>
          <t>14</t>
        </is>
      </c>
      <c r="N1953" s="12" t="n">
        <v>1</v>
      </c>
      <c r="O1953" s="12" t="n">
        <v>1</v>
      </c>
      <c r="P1953" s="12" t="n"/>
      <c r="Q1953" s="12" t="n"/>
      <c r="R1953" s="12" t="n"/>
      <c r="S1953" s="12" t="inlineStr">
        <is>
          <t>Tray</t>
        </is>
      </c>
      <c r="T1953" s="16" t="n">
        <v>161</v>
      </c>
      <c r="U1953" s="16" t="n">
        <v>44</v>
      </c>
      <c r="V1953" s="16">
        <f>ROUNDUP((T1953+U1953+2*'Read Me'!$B$13)*(1+'Read Me'!$B$12),-1)</f>
        <v/>
      </c>
      <c r="W1953" s="16">
        <f>V1953*N1953*O1953</f>
        <v/>
      </c>
      <c r="X1953" s="12">
        <f>IF(LEFT(I1953,2)="MV",2*N1953*IF(L1953="1/C",O1953,1),0)</f>
        <v/>
      </c>
      <c r="Y1953" s="12">
        <f>IF(OR(LEFT(K1953,4)="LVAX",LEFT(K1953,6)="MV15AX",LEFT(K1953,4)="CTAX",LEFT(K1953,2)="W|"),2*N1953*O1953,0)</f>
        <v/>
      </c>
      <c r="Z1953" s="12" t="inlineStr"/>
      <c r="AA1953" s="12">
        <f>N1953*O1953</f>
        <v/>
      </c>
    </row>
    <row r="1954">
      <c r="A1954" s="12" t="inlineStr">
        <is>
          <t>B-C-0027</t>
        </is>
      </c>
      <c r="B1954" s="12" t="inlineStr">
        <is>
          <t>B</t>
        </is>
      </c>
      <c r="C1954" s="12" t="inlineStr">
        <is>
          <t>ACC</t>
        </is>
      </c>
      <c r="D1954" s="12" t="inlineStr">
        <is>
          <t>ACC fan F27 vibration / RTD / local station</t>
        </is>
      </c>
      <c r="E1954" s="12" t="inlineStr">
        <is>
          <t>R4</t>
        </is>
      </c>
      <c r="F1954" s="12" t="inlineStr">
        <is>
          <t>R4: ACC electrical (VFD) e-house (60 x 120 ft)</t>
        </is>
      </c>
      <c r="G1954" s="12" t="inlineStr">
        <is>
          <t>ACC-F27</t>
        </is>
      </c>
      <c r="H1954" s="12" t="inlineStr">
        <is>
          <t>ACC fan motor F27</t>
        </is>
      </c>
      <c r="I1954" s="12" t="inlineStr">
        <is>
          <t>Control</t>
        </is>
      </c>
      <c r="J1954" s="12" t="inlineStr">
        <is>
          <t>Control cable 600 V Type TC-ER, Cu #14 AWG, PVC jacket</t>
        </is>
      </c>
      <c r="K1954" s="12" t="inlineStr">
        <is>
          <t>CT|7/C|14</t>
        </is>
      </c>
      <c r="L1954" s="12" t="inlineStr">
        <is>
          <t>7/C</t>
        </is>
      </c>
      <c r="M1954" s="12" t="inlineStr">
        <is>
          <t>14</t>
        </is>
      </c>
      <c r="N1954" s="12" t="n">
        <v>1</v>
      </c>
      <c r="O1954" s="12" t="n">
        <v>1</v>
      </c>
      <c r="P1954" s="12" t="n"/>
      <c r="Q1954" s="12" t="n"/>
      <c r="R1954" s="12" t="n"/>
      <c r="S1954" s="12" t="inlineStr">
        <is>
          <t>Tray</t>
        </is>
      </c>
      <c r="T1954" s="16" t="n">
        <v>193</v>
      </c>
      <c r="U1954" s="16" t="n">
        <v>44</v>
      </c>
      <c r="V1954" s="16">
        <f>ROUNDUP((T1954+U1954+2*'Read Me'!$B$13)*(1+'Read Me'!$B$12),-1)</f>
        <v/>
      </c>
      <c r="W1954" s="16">
        <f>V1954*N1954*O1954</f>
        <v/>
      </c>
      <c r="X1954" s="12">
        <f>IF(LEFT(I1954,2)="MV",2*N1954*IF(L1954="1/C",O1954,1),0)</f>
        <v/>
      </c>
      <c r="Y1954" s="12">
        <f>IF(OR(LEFT(K1954,4)="LVAX",LEFT(K1954,6)="MV15AX",LEFT(K1954,4)="CTAX",LEFT(K1954,2)="W|"),2*N1954*O1954,0)</f>
        <v/>
      </c>
      <c r="Z1954" s="12" t="inlineStr"/>
      <c r="AA1954" s="12">
        <f>N1954*O1954</f>
        <v/>
      </c>
    </row>
    <row r="1955">
      <c r="A1955" s="12" t="inlineStr">
        <is>
          <t>B-C-0028</t>
        </is>
      </c>
      <c r="B1955" s="12" t="inlineStr">
        <is>
          <t>B</t>
        </is>
      </c>
      <c r="C1955" s="12" t="inlineStr">
        <is>
          <t>ACC</t>
        </is>
      </c>
      <c r="D1955" s="12" t="inlineStr">
        <is>
          <t>ACC fan F28 vibration / RTD / local station</t>
        </is>
      </c>
      <c r="E1955" s="12" t="inlineStr">
        <is>
          <t>R4</t>
        </is>
      </c>
      <c r="F1955" s="12" t="inlineStr">
        <is>
          <t>R4: ACC electrical (VFD) e-house (60 x 120 ft)</t>
        </is>
      </c>
      <c r="G1955" s="12" t="inlineStr">
        <is>
          <t>ACC-F28</t>
        </is>
      </c>
      <c r="H1955" s="12" t="inlineStr">
        <is>
          <t>ACC fan motor F28</t>
        </is>
      </c>
      <c r="I1955" s="12" t="inlineStr">
        <is>
          <t>Control</t>
        </is>
      </c>
      <c r="J1955" s="12" t="inlineStr">
        <is>
          <t>Control cable 600 V Type TC-ER, Cu #14 AWG, PVC jacket</t>
        </is>
      </c>
      <c r="K1955" s="12" t="inlineStr">
        <is>
          <t>CT|7/C|14</t>
        </is>
      </c>
      <c r="L1955" s="12" t="inlineStr">
        <is>
          <t>7/C</t>
        </is>
      </c>
      <c r="M1955" s="12" t="inlineStr">
        <is>
          <t>14</t>
        </is>
      </c>
      <c r="N1955" s="12" t="n">
        <v>1</v>
      </c>
      <c r="O1955" s="12" t="n">
        <v>1</v>
      </c>
      <c r="P1955" s="12" t="n"/>
      <c r="Q1955" s="12" t="n"/>
      <c r="R1955" s="12" t="n"/>
      <c r="S1955" s="12" t="inlineStr">
        <is>
          <t>Tray</t>
        </is>
      </c>
      <c r="T1955" s="16" t="n">
        <v>225</v>
      </c>
      <c r="U1955" s="16" t="n">
        <v>44</v>
      </c>
      <c r="V1955" s="16">
        <f>ROUNDUP((T1955+U1955+2*'Read Me'!$B$13)*(1+'Read Me'!$B$12),-1)</f>
        <v/>
      </c>
      <c r="W1955" s="16">
        <f>V1955*N1955*O1955</f>
        <v/>
      </c>
      <c r="X1955" s="12">
        <f>IF(LEFT(I1955,2)="MV",2*N1955*IF(L1955="1/C",O1955,1),0)</f>
        <v/>
      </c>
      <c r="Y1955" s="12">
        <f>IF(OR(LEFT(K1955,4)="LVAX",LEFT(K1955,6)="MV15AX",LEFT(K1955,4)="CTAX",LEFT(K1955,2)="W|"),2*N1955*O1955,0)</f>
        <v/>
      </c>
      <c r="Z1955" s="12" t="inlineStr"/>
      <c r="AA1955" s="12">
        <f>N1955*O1955</f>
        <v/>
      </c>
    </row>
    <row r="1956">
      <c r="A1956" s="12" t="inlineStr">
        <is>
          <t>B-C-0029</t>
        </is>
      </c>
      <c r="B1956" s="12" t="inlineStr">
        <is>
          <t>B</t>
        </is>
      </c>
      <c r="C1956" s="12" t="inlineStr">
        <is>
          <t>ACC</t>
        </is>
      </c>
      <c r="D1956" s="12" t="inlineStr">
        <is>
          <t>ACC fan F29 vibration / RTD / local station</t>
        </is>
      </c>
      <c r="E1956" s="12" t="inlineStr">
        <is>
          <t>R4</t>
        </is>
      </c>
      <c r="F1956" s="12" t="inlineStr">
        <is>
          <t>R4: ACC electrical (VFD) e-house (60 x 120 ft)</t>
        </is>
      </c>
      <c r="G1956" s="12" t="inlineStr">
        <is>
          <t>ACC-F29</t>
        </is>
      </c>
      <c r="H1956" s="12" t="inlineStr">
        <is>
          <t>ACC fan motor F29</t>
        </is>
      </c>
      <c r="I1956" s="12" t="inlineStr">
        <is>
          <t>Control</t>
        </is>
      </c>
      <c r="J1956" s="12" t="inlineStr">
        <is>
          <t>Control cable 600 V Type TC-ER, Cu #14 AWG, PVC jacket</t>
        </is>
      </c>
      <c r="K1956" s="12" t="inlineStr">
        <is>
          <t>CT|7/C|14</t>
        </is>
      </c>
      <c r="L1956" s="12" t="inlineStr">
        <is>
          <t>7/C</t>
        </is>
      </c>
      <c r="M1956" s="12" t="inlineStr">
        <is>
          <t>14</t>
        </is>
      </c>
      <c r="N1956" s="12" t="n">
        <v>1</v>
      </c>
      <c r="O1956" s="12" t="n">
        <v>1</v>
      </c>
      <c r="P1956" s="12" t="n"/>
      <c r="Q1956" s="12" t="n"/>
      <c r="R1956" s="12" t="n"/>
      <c r="S1956" s="12" t="inlineStr">
        <is>
          <t>Tray</t>
        </is>
      </c>
      <c r="T1956" s="16" t="n">
        <v>257</v>
      </c>
      <c r="U1956" s="16" t="n">
        <v>44</v>
      </c>
      <c r="V1956" s="16">
        <f>ROUNDUP((T1956+U1956+2*'Read Me'!$B$13)*(1+'Read Me'!$B$12),-1)</f>
        <v/>
      </c>
      <c r="W1956" s="16">
        <f>V1956*N1956*O1956</f>
        <v/>
      </c>
      <c r="X1956" s="12">
        <f>IF(LEFT(I1956,2)="MV",2*N1956*IF(L1956="1/C",O1956,1),0)</f>
        <v/>
      </c>
      <c r="Y1956" s="12">
        <f>IF(OR(LEFT(K1956,4)="LVAX",LEFT(K1956,6)="MV15AX",LEFT(K1956,4)="CTAX",LEFT(K1956,2)="W|"),2*N1956*O1956,0)</f>
        <v/>
      </c>
      <c r="Z1956" s="12" t="inlineStr"/>
      <c r="AA1956" s="12">
        <f>N1956*O1956</f>
        <v/>
      </c>
    </row>
    <row r="1957">
      <c r="A1957" s="12" t="inlineStr">
        <is>
          <t>B-C-0030</t>
        </is>
      </c>
      <c r="B1957" s="12" t="inlineStr">
        <is>
          <t>B</t>
        </is>
      </c>
      <c r="C1957" s="12" t="inlineStr">
        <is>
          <t>ACC</t>
        </is>
      </c>
      <c r="D1957" s="12" t="inlineStr">
        <is>
          <t>ACC fan F30 vibration / RTD / local station</t>
        </is>
      </c>
      <c r="E1957" s="12" t="inlineStr">
        <is>
          <t>R4</t>
        </is>
      </c>
      <c r="F1957" s="12" t="inlineStr">
        <is>
          <t>R4: ACC electrical (VFD) e-house (60 x 120 ft)</t>
        </is>
      </c>
      <c r="G1957" s="12" t="inlineStr">
        <is>
          <t>ACC-F30</t>
        </is>
      </c>
      <c r="H1957" s="12" t="inlineStr">
        <is>
          <t>ACC fan motor F30</t>
        </is>
      </c>
      <c r="I1957" s="12" t="inlineStr">
        <is>
          <t>Control</t>
        </is>
      </c>
      <c r="J1957" s="12" t="inlineStr">
        <is>
          <t>Control cable 600 V Type TC-ER, Cu #14 AWG, PVC jacket</t>
        </is>
      </c>
      <c r="K1957" s="12" t="inlineStr">
        <is>
          <t>CT|7/C|14</t>
        </is>
      </c>
      <c r="L1957" s="12" t="inlineStr">
        <is>
          <t>7/C</t>
        </is>
      </c>
      <c r="M1957" s="12" t="inlineStr">
        <is>
          <t>14</t>
        </is>
      </c>
      <c r="N1957" s="12" t="n">
        <v>1</v>
      </c>
      <c r="O1957" s="12" t="n">
        <v>1</v>
      </c>
      <c r="P1957" s="12" t="n"/>
      <c r="Q1957" s="12" t="n"/>
      <c r="R1957" s="12" t="n"/>
      <c r="S1957" s="12" t="inlineStr">
        <is>
          <t>Tray</t>
        </is>
      </c>
      <c r="T1957" s="16" t="n">
        <v>289</v>
      </c>
      <c r="U1957" s="16" t="n">
        <v>44</v>
      </c>
      <c r="V1957" s="16">
        <f>ROUNDUP((T1957+U1957+2*'Read Me'!$B$13)*(1+'Read Me'!$B$12),-1)</f>
        <v/>
      </c>
      <c r="W1957" s="16">
        <f>V1957*N1957*O1957</f>
        <v/>
      </c>
      <c r="X1957" s="12">
        <f>IF(LEFT(I1957,2)="MV",2*N1957*IF(L1957="1/C",O1957,1),0)</f>
        <v/>
      </c>
      <c r="Y1957" s="12">
        <f>IF(OR(LEFT(K1957,4)="LVAX",LEFT(K1957,6)="MV15AX",LEFT(K1957,4)="CTAX",LEFT(K1957,2)="W|"),2*N1957*O1957,0)</f>
        <v/>
      </c>
      <c r="Z1957" s="12" t="inlineStr"/>
      <c r="AA1957" s="12">
        <f>N1957*O1957</f>
        <v/>
      </c>
    </row>
    <row r="1958">
      <c r="A1958" s="12" t="inlineStr">
        <is>
          <t>B-C-0031</t>
        </is>
      </c>
      <c r="B1958" s="12" t="inlineStr">
        <is>
          <t>B</t>
        </is>
      </c>
      <c r="C1958" s="12" t="inlineStr">
        <is>
          <t>ACC</t>
        </is>
      </c>
      <c r="D1958" s="12" t="inlineStr">
        <is>
          <t>ACC fan F31 vibration / RTD / local station</t>
        </is>
      </c>
      <c r="E1958" s="12" t="inlineStr">
        <is>
          <t>R4</t>
        </is>
      </c>
      <c r="F1958" s="12" t="inlineStr">
        <is>
          <t>R4: ACC electrical (VFD) e-house (60 x 120 ft)</t>
        </is>
      </c>
      <c r="G1958" s="12" t="inlineStr">
        <is>
          <t>ACC-F31</t>
        </is>
      </c>
      <c r="H1958" s="12" t="inlineStr">
        <is>
          <t>ACC fan motor F31</t>
        </is>
      </c>
      <c r="I1958" s="12" t="inlineStr">
        <is>
          <t>Control</t>
        </is>
      </c>
      <c r="J1958" s="12" t="inlineStr">
        <is>
          <t>Control cable 600 V Type TC-ER, Cu #14 AWG, PVC jacket</t>
        </is>
      </c>
      <c r="K1958" s="12" t="inlineStr">
        <is>
          <t>CT|7/C|14</t>
        </is>
      </c>
      <c r="L1958" s="12" t="inlineStr">
        <is>
          <t>7/C</t>
        </is>
      </c>
      <c r="M1958" s="12" t="inlineStr">
        <is>
          <t>14</t>
        </is>
      </c>
      <c r="N1958" s="12" t="n">
        <v>1</v>
      </c>
      <c r="O1958" s="12" t="n">
        <v>1</v>
      </c>
      <c r="P1958" s="12" t="n"/>
      <c r="Q1958" s="12" t="n"/>
      <c r="R1958" s="12" t="n"/>
      <c r="S1958" s="12" t="inlineStr">
        <is>
          <t>Tray</t>
        </is>
      </c>
      <c r="T1958" s="16" t="n">
        <v>239</v>
      </c>
      <c r="U1958" s="16" t="n">
        <v>44</v>
      </c>
      <c r="V1958" s="16">
        <f>ROUNDUP((T1958+U1958+2*'Read Me'!$B$13)*(1+'Read Me'!$B$12),-1)</f>
        <v/>
      </c>
      <c r="W1958" s="16">
        <f>V1958*N1958*O1958</f>
        <v/>
      </c>
      <c r="X1958" s="12">
        <f>IF(LEFT(I1958,2)="MV",2*N1958*IF(L1958="1/C",O1958,1),0)</f>
        <v/>
      </c>
      <c r="Y1958" s="12">
        <f>IF(OR(LEFT(K1958,4)="LVAX",LEFT(K1958,6)="MV15AX",LEFT(K1958,4)="CTAX",LEFT(K1958,2)="W|"),2*N1958*O1958,0)</f>
        <v/>
      </c>
      <c r="Z1958" s="12" t="inlineStr"/>
      <c r="AA1958" s="12">
        <f>N1958*O1958</f>
        <v/>
      </c>
    </row>
    <row r="1959">
      <c r="A1959" s="12" t="inlineStr">
        <is>
          <t>B-C-0032</t>
        </is>
      </c>
      <c r="B1959" s="12" t="inlineStr">
        <is>
          <t>B</t>
        </is>
      </c>
      <c r="C1959" s="12" t="inlineStr">
        <is>
          <t>ACC</t>
        </is>
      </c>
      <c r="D1959" s="12" t="inlineStr">
        <is>
          <t>ACC fan F32 vibration / RTD / local station</t>
        </is>
      </c>
      <c r="E1959" s="12" t="inlineStr">
        <is>
          <t>R4</t>
        </is>
      </c>
      <c r="F1959" s="12" t="inlineStr">
        <is>
          <t>R4: ACC electrical (VFD) e-house (60 x 120 ft)</t>
        </is>
      </c>
      <c r="G1959" s="12" t="inlineStr">
        <is>
          <t>ACC-F32</t>
        </is>
      </c>
      <c r="H1959" s="12" t="inlineStr">
        <is>
          <t>ACC fan motor F32</t>
        </is>
      </c>
      <c r="I1959" s="12" t="inlineStr">
        <is>
          <t>Control</t>
        </is>
      </c>
      <c r="J1959" s="12" t="inlineStr">
        <is>
          <t>Control cable 600 V Type TC-ER, Cu #14 AWG, PVC jacket</t>
        </is>
      </c>
      <c r="K1959" s="12" t="inlineStr">
        <is>
          <t>CT|7/C|14</t>
        </is>
      </c>
      <c r="L1959" s="12" t="inlineStr">
        <is>
          <t>7/C</t>
        </is>
      </c>
      <c r="M1959" s="12" t="inlineStr">
        <is>
          <t>14</t>
        </is>
      </c>
      <c r="N1959" s="12" t="n">
        <v>1</v>
      </c>
      <c r="O1959" s="12" t="n">
        <v>1</v>
      </c>
      <c r="P1959" s="12" t="n"/>
      <c r="Q1959" s="12" t="n"/>
      <c r="R1959" s="12" t="n"/>
      <c r="S1959" s="12" t="inlineStr">
        <is>
          <t>Tray</t>
        </is>
      </c>
      <c r="T1959" s="16" t="n">
        <v>207</v>
      </c>
      <c r="U1959" s="16" t="n">
        <v>44</v>
      </c>
      <c r="V1959" s="16">
        <f>ROUNDUP((T1959+U1959+2*'Read Me'!$B$13)*(1+'Read Me'!$B$12),-1)</f>
        <v/>
      </c>
      <c r="W1959" s="16">
        <f>V1959*N1959*O1959</f>
        <v/>
      </c>
      <c r="X1959" s="12">
        <f>IF(LEFT(I1959,2)="MV",2*N1959*IF(L1959="1/C",O1959,1),0)</f>
        <v/>
      </c>
      <c r="Y1959" s="12">
        <f>IF(OR(LEFT(K1959,4)="LVAX",LEFT(K1959,6)="MV15AX",LEFT(K1959,4)="CTAX",LEFT(K1959,2)="W|"),2*N1959*O1959,0)</f>
        <v/>
      </c>
      <c r="Z1959" s="12" t="inlineStr"/>
      <c r="AA1959" s="12">
        <f>N1959*O1959</f>
        <v/>
      </c>
    </row>
    <row r="1960">
      <c r="A1960" s="12" t="inlineStr">
        <is>
          <t>B-C-0033</t>
        </is>
      </c>
      <c r="B1960" s="12" t="inlineStr">
        <is>
          <t>B</t>
        </is>
      </c>
      <c r="C1960" s="12" t="inlineStr">
        <is>
          <t>ACC</t>
        </is>
      </c>
      <c r="D1960" s="12" t="inlineStr">
        <is>
          <t>ACC fan F33 vibration / RTD / local station</t>
        </is>
      </c>
      <c r="E1960" s="12" t="inlineStr">
        <is>
          <t>R4</t>
        </is>
      </c>
      <c r="F1960" s="12" t="inlineStr">
        <is>
          <t>R4: ACC electrical (VFD) e-house (60 x 120 ft)</t>
        </is>
      </c>
      <c r="G1960" s="12" t="inlineStr">
        <is>
          <t>ACC-F33</t>
        </is>
      </c>
      <c r="H1960" s="12" t="inlineStr">
        <is>
          <t>ACC fan motor F33</t>
        </is>
      </c>
      <c r="I1960" s="12" t="inlineStr">
        <is>
          <t>Control</t>
        </is>
      </c>
      <c r="J1960" s="12" t="inlineStr">
        <is>
          <t>Control cable 600 V Type TC-ER, Cu #14 AWG, PVC jacket</t>
        </is>
      </c>
      <c r="K1960" s="12" t="inlineStr">
        <is>
          <t>CT|7/C|14</t>
        </is>
      </c>
      <c r="L1960" s="12" t="inlineStr">
        <is>
          <t>7/C</t>
        </is>
      </c>
      <c r="M1960" s="12" t="inlineStr">
        <is>
          <t>14</t>
        </is>
      </c>
      <c r="N1960" s="12" t="n">
        <v>1</v>
      </c>
      <c r="O1960" s="12" t="n">
        <v>1</v>
      </c>
      <c r="P1960" s="12" t="n"/>
      <c r="Q1960" s="12" t="n"/>
      <c r="R1960" s="12" t="n"/>
      <c r="S1960" s="12" t="inlineStr">
        <is>
          <t>Tray</t>
        </is>
      </c>
      <c r="T1960" s="16" t="n">
        <v>175</v>
      </c>
      <c r="U1960" s="16" t="n">
        <v>44</v>
      </c>
      <c r="V1960" s="16">
        <f>ROUNDUP((T1960+U1960+2*'Read Me'!$B$13)*(1+'Read Me'!$B$12),-1)</f>
        <v/>
      </c>
      <c r="W1960" s="16">
        <f>V1960*N1960*O1960</f>
        <v/>
      </c>
      <c r="X1960" s="12">
        <f>IF(LEFT(I1960,2)="MV",2*N1960*IF(L1960="1/C",O1960,1),0)</f>
        <v/>
      </c>
      <c r="Y1960" s="12">
        <f>IF(OR(LEFT(K1960,4)="LVAX",LEFT(K1960,6)="MV15AX",LEFT(K1960,4)="CTAX",LEFT(K1960,2)="W|"),2*N1960*O1960,0)</f>
        <v/>
      </c>
      <c r="Z1960" s="12" t="inlineStr"/>
      <c r="AA1960" s="12">
        <f>N1960*O1960</f>
        <v/>
      </c>
    </row>
    <row r="1961">
      <c r="A1961" s="12" t="inlineStr">
        <is>
          <t>B-C-0034</t>
        </is>
      </c>
      <c r="B1961" s="12" t="inlineStr">
        <is>
          <t>B</t>
        </is>
      </c>
      <c r="C1961" s="12" t="inlineStr">
        <is>
          <t>ACC</t>
        </is>
      </c>
      <c r="D1961" s="12" t="inlineStr">
        <is>
          <t>ACC fan F34 vibration / RTD / local station</t>
        </is>
      </c>
      <c r="E1961" s="12" t="inlineStr">
        <is>
          <t>R4</t>
        </is>
      </c>
      <c r="F1961" s="12" t="inlineStr">
        <is>
          <t>R4: ACC electrical (VFD) e-house (60 x 120 ft)</t>
        </is>
      </c>
      <c r="G1961" s="12" t="inlineStr">
        <is>
          <t>ACC-F34</t>
        </is>
      </c>
      <c r="H1961" s="12" t="inlineStr">
        <is>
          <t>ACC fan motor F34</t>
        </is>
      </c>
      <c r="I1961" s="12" t="inlineStr">
        <is>
          <t>Control</t>
        </is>
      </c>
      <c r="J1961" s="12" t="inlineStr">
        <is>
          <t>Control cable 600 V Type TC-ER, Cu #14 AWG, PVC jacket</t>
        </is>
      </c>
      <c r="K1961" s="12" t="inlineStr">
        <is>
          <t>CT|7/C|14</t>
        </is>
      </c>
      <c r="L1961" s="12" t="inlineStr">
        <is>
          <t>7/C</t>
        </is>
      </c>
      <c r="M1961" s="12" t="inlineStr">
        <is>
          <t>14</t>
        </is>
      </c>
      <c r="N1961" s="12" t="n">
        <v>1</v>
      </c>
      <c r="O1961" s="12" t="n">
        <v>1</v>
      </c>
      <c r="P1961" s="12" t="n"/>
      <c r="Q1961" s="12" t="n"/>
      <c r="R1961" s="12" t="n"/>
      <c r="S1961" s="12" t="inlineStr">
        <is>
          <t>Tray</t>
        </is>
      </c>
      <c r="T1961" s="16" t="n">
        <v>143</v>
      </c>
      <c r="U1961" s="16" t="n">
        <v>44</v>
      </c>
      <c r="V1961" s="16">
        <f>ROUNDUP((T1961+U1961+2*'Read Me'!$B$13)*(1+'Read Me'!$B$12),-1)</f>
        <v/>
      </c>
      <c r="W1961" s="16">
        <f>V1961*N1961*O1961</f>
        <v/>
      </c>
      <c r="X1961" s="12">
        <f>IF(LEFT(I1961,2)="MV",2*N1961*IF(L1961="1/C",O1961,1),0)</f>
        <v/>
      </c>
      <c r="Y1961" s="12">
        <f>IF(OR(LEFT(K1961,4)="LVAX",LEFT(K1961,6)="MV15AX",LEFT(K1961,4)="CTAX",LEFT(K1961,2)="W|"),2*N1961*O1961,0)</f>
        <v/>
      </c>
      <c r="Z1961" s="12" t="inlineStr"/>
      <c r="AA1961" s="12">
        <f>N1961*O1961</f>
        <v/>
      </c>
    </row>
    <row r="1962">
      <c r="A1962" s="12" t="inlineStr">
        <is>
          <t>B-C-0035</t>
        </is>
      </c>
      <c r="B1962" s="12" t="inlineStr">
        <is>
          <t>B</t>
        </is>
      </c>
      <c r="C1962" s="12" t="inlineStr">
        <is>
          <t>ACC</t>
        </is>
      </c>
      <c r="D1962" s="12" t="inlineStr">
        <is>
          <t>ACC fan F35 vibration / RTD / local station</t>
        </is>
      </c>
      <c r="E1962" s="12" t="inlineStr">
        <is>
          <t>R4</t>
        </is>
      </c>
      <c r="F1962" s="12" t="inlineStr">
        <is>
          <t>R4: ACC electrical (VFD) e-house (60 x 120 ft)</t>
        </is>
      </c>
      <c r="G1962" s="12" t="inlineStr">
        <is>
          <t>ACC-F35</t>
        </is>
      </c>
      <c r="H1962" s="12" t="inlineStr">
        <is>
          <t>ACC fan motor F35</t>
        </is>
      </c>
      <c r="I1962" s="12" t="inlineStr">
        <is>
          <t>Control</t>
        </is>
      </c>
      <c r="J1962" s="12" t="inlineStr">
        <is>
          <t>Control cable 600 V Type TC-ER, Cu #14 AWG, PVC jacket</t>
        </is>
      </c>
      <c r="K1962" s="12" t="inlineStr">
        <is>
          <t>CT|7/C|14</t>
        </is>
      </c>
      <c r="L1962" s="12" t="inlineStr">
        <is>
          <t>7/C</t>
        </is>
      </c>
      <c r="M1962" s="12" t="inlineStr">
        <is>
          <t>14</t>
        </is>
      </c>
      <c r="N1962" s="12" t="n">
        <v>1</v>
      </c>
      <c r="O1962" s="12" t="n">
        <v>1</v>
      </c>
      <c r="P1962" s="12" t="n"/>
      <c r="Q1962" s="12" t="n"/>
      <c r="R1962" s="12" t="n"/>
      <c r="S1962" s="12" t="inlineStr">
        <is>
          <t>Tray</t>
        </is>
      </c>
      <c r="T1962" s="16" t="n">
        <v>111</v>
      </c>
      <c r="U1962" s="16" t="n">
        <v>44</v>
      </c>
      <c r="V1962" s="16">
        <f>ROUNDUP((T1962+U1962+2*'Read Me'!$B$13)*(1+'Read Me'!$B$12),-1)</f>
        <v/>
      </c>
      <c r="W1962" s="16">
        <f>V1962*N1962*O1962</f>
        <v/>
      </c>
      <c r="X1962" s="12">
        <f>IF(LEFT(I1962,2)="MV",2*N1962*IF(L1962="1/C",O1962,1),0)</f>
        <v/>
      </c>
      <c r="Y1962" s="12">
        <f>IF(OR(LEFT(K1962,4)="LVAX",LEFT(K1962,6)="MV15AX",LEFT(K1962,4)="CTAX",LEFT(K1962,2)="W|"),2*N1962*O1962,0)</f>
        <v/>
      </c>
      <c r="Z1962" s="12" t="inlineStr"/>
      <c r="AA1962" s="12">
        <f>N1962*O1962</f>
        <v/>
      </c>
    </row>
    <row r="1963">
      <c r="A1963" s="12" t="inlineStr">
        <is>
          <t>B-C-0036</t>
        </is>
      </c>
      <c r="B1963" s="12" t="inlineStr">
        <is>
          <t>B</t>
        </is>
      </c>
      <c r="C1963" s="12" t="inlineStr">
        <is>
          <t>ACC</t>
        </is>
      </c>
      <c r="D1963" s="12" t="inlineStr">
        <is>
          <t>ACC fan F36 vibration / RTD / local station</t>
        </is>
      </c>
      <c r="E1963" s="12" t="inlineStr">
        <is>
          <t>R4</t>
        </is>
      </c>
      <c r="F1963" s="12" t="inlineStr">
        <is>
          <t>R4: ACC electrical (VFD) e-house (60 x 120 ft)</t>
        </is>
      </c>
      <c r="G1963" s="12" t="inlineStr">
        <is>
          <t>ACC-F36</t>
        </is>
      </c>
      <c r="H1963" s="12" t="inlineStr">
        <is>
          <t>ACC fan motor F36</t>
        </is>
      </c>
      <c r="I1963" s="12" t="inlineStr">
        <is>
          <t>Control</t>
        </is>
      </c>
      <c r="J1963" s="12" t="inlineStr">
        <is>
          <t>Control cable 600 V Type TC-ER, Cu #14 AWG, PVC jacket</t>
        </is>
      </c>
      <c r="K1963" s="12" t="inlineStr">
        <is>
          <t>CT|7/C|14</t>
        </is>
      </c>
      <c r="L1963" s="12" t="inlineStr">
        <is>
          <t>7/C</t>
        </is>
      </c>
      <c r="M1963" s="12" t="inlineStr">
        <is>
          <t>14</t>
        </is>
      </c>
      <c r="N1963" s="12" t="n">
        <v>1</v>
      </c>
      <c r="O1963" s="12" t="n">
        <v>1</v>
      </c>
      <c r="P1963" s="12" t="n"/>
      <c r="Q1963" s="12" t="n"/>
      <c r="R1963" s="12" t="n"/>
      <c r="S1963" s="12" t="inlineStr">
        <is>
          <t>Tray</t>
        </is>
      </c>
      <c r="T1963" s="16" t="n">
        <v>111</v>
      </c>
      <c r="U1963" s="16" t="n">
        <v>44</v>
      </c>
      <c r="V1963" s="16">
        <f>ROUNDUP((T1963+U1963+2*'Read Me'!$B$13)*(1+'Read Me'!$B$12),-1)</f>
        <v/>
      </c>
      <c r="W1963" s="16">
        <f>V1963*N1963*O1963</f>
        <v/>
      </c>
      <c r="X1963" s="12">
        <f>IF(LEFT(I1963,2)="MV",2*N1963*IF(L1963="1/C",O1963,1),0)</f>
        <v/>
      </c>
      <c r="Y1963" s="12">
        <f>IF(OR(LEFT(K1963,4)="LVAX",LEFT(K1963,6)="MV15AX",LEFT(K1963,4)="CTAX",LEFT(K1963,2)="W|"),2*N1963*O1963,0)</f>
        <v/>
      </c>
      <c r="Z1963" s="12" t="inlineStr"/>
      <c r="AA1963" s="12">
        <f>N1963*O1963</f>
        <v/>
      </c>
    </row>
    <row r="1964">
      <c r="A1964" s="12" t="inlineStr">
        <is>
          <t>B-C-0037</t>
        </is>
      </c>
      <c r="B1964" s="12" t="inlineStr">
        <is>
          <t>B</t>
        </is>
      </c>
      <c r="C1964" s="12" t="inlineStr">
        <is>
          <t>ACC</t>
        </is>
      </c>
      <c r="D1964" s="12" t="inlineStr">
        <is>
          <t>ACC fan F37 vibration / RTD / local station</t>
        </is>
      </c>
      <c r="E1964" s="12" t="inlineStr">
        <is>
          <t>R4</t>
        </is>
      </c>
      <c r="F1964" s="12" t="inlineStr">
        <is>
          <t>R4: ACC electrical (VFD) e-house (60 x 120 ft)</t>
        </is>
      </c>
      <c r="G1964" s="12" t="inlineStr">
        <is>
          <t>ACC-F37</t>
        </is>
      </c>
      <c r="H1964" s="12" t="inlineStr">
        <is>
          <t>ACC fan motor F37</t>
        </is>
      </c>
      <c r="I1964" s="12" t="inlineStr">
        <is>
          <t>Control</t>
        </is>
      </c>
      <c r="J1964" s="12" t="inlineStr">
        <is>
          <t>Control cable 600 V Type TC-ER, Cu #14 AWG, PVC jacket</t>
        </is>
      </c>
      <c r="K1964" s="12" t="inlineStr">
        <is>
          <t>CT|7/C|14</t>
        </is>
      </c>
      <c r="L1964" s="12" t="inlineStr">
        <is>
          <t>7/C</t>
        </is>
      </c>
      <c r="M1964" s="12" t="inlineStr">
        <is>
          <t>14</t>
        </is>
      </c>
      <c r="N1964" s="12" t="n">
        <v>1</v>
      </c>
      <c r="O1964" s="12" t="n">
        <v>1</v>
      </c>
      <c r="P1964" s="12" t="n"/>
      <c r="Q1964" s="12" t="n"/>
      <c r="R1964" s="12" t="n"/>
      <c r="S1964" s="12" t="inlineStr">
        <is>
          <t>Tray</t>
        </is>
      </c>
      <c r="T1964" s="16" t="n">
        <v>143</v>
      </c>
      <c r="U1964" s="16" t="n">
        <v>44</v>
      </c>
      <c r="V1964" s="16">
        <f>ROUNDUP((T1964+U1964+2*'Read Me'!$B$13)*(1+'Read Me'!$B$12),-1)</f>
        <v/>
      </c>
      <c r="W1964" s="16">
        <f>V1964*N1964*O1964</f>
        <v/>
      </c>
      <c r="X1964" s="12">
        <f>IF(LEFT(I1964,2)="MV",2*N1964*IF(L1964="1/C",O1964,1),0)</f>
        <v/>
      </c>
      <c r="Y1964" s="12">
        <f>IF(OR(LEFT(K1964,4)="LVAX",LEFT(K1964,6)="MV15AX",LEFT(K1964,4)="CTAX",LEFT(K1964,2)="W|"),2*N1964*O1964,0)</f>
        <v/>
      </c>
      <c r="Z1964" s="12" t="inlineStr"/>
      <c r="AA1964" s="12">
        <f>N1964*O1964</f>
        <v/>
      </c>
    </row>
    <row r="1965">
      <c r="A1965" s="12" t="inlineStr">
        <is>
          <t>B-C-0038</t>
        </is>
      </c>
      <c r="B1965" s="12" t="inlineStr">
        <is>
          <t>B</t>
        </is>
      </c>
      <c r="C1965" s="12" t="inlineStr">
        <is>
          <t>ACC</t>
        </is>
      </c>
      <c r="D1965" s="12" t="inlineStr">
        <is>
          <t>ACC fan F38 vibration / RTD / local station</t>
        </is>
      </c>
      <c r="E1965" s="12" t="inlineStr">
        <is>
          <t>R4</t>
        </is>
      </c>
      <c r="F1965" s="12" t="inlineStr">
        <is>
          <t>R4: ACC electrical (VFD) e-house (60 x 120 ft)</t>
        </is>
      </c>
      <c r="G1965" s="12" t="inlineStr">
        <is>
          <t>ACC-F38</t>
        </is>
      </c>
      <c r="H1965" s="12" t="inlineStr">
        <is>
          <t>ACC fan motor F38</t>
        </is>
      </c>
      <c r="I1965" s="12" t="inlineStr">
        <is>
          <t>Control</t>
        </is>
      </c>
      <c r="J1965" s="12" t="inlineStr">
        <is>
          <t>Control cable 600 V Type TC-ER, Cu #14 AWG, PVC jacket</t>
        </is>
      </c>
      <c r="K1965" s="12" t="inlineStr">
        <is>
          <t>CT|7/C|14</t>
        </is>
      </c>
      <c r="L1965" s="12" t="inlineStr">
        <is>
          <t>7/C</t>
        </is>
      </c>
      <c r="M1965" s="12" t="inlineStr">
        <is>
          <t>14</t>
        </is>
      </c>
      <c r="N1965" s="12" t="n">
        <v>1</v>
      </c>
      <c r="O1965" s="12" t="n">
        <v>1</v>
      </c>
      <c r="P1965" s="12" t="n"/>
      <c r="Q1965" s="12" t="n"/>
      <c r="R1965" s="12" t="n"/>
      <c r="S1965" s="12" t="inlineStr">
        <is>
          <t>Tray</t>
        </is>
      </c>
      <c r="T1965" s="16" t="n">
        <v>175</v>
      </c>
      <c r="U1965" s="16" t="n">
        <v>44</v>
      </c>
      <c r="V1965" s="16">
        <f>ROUNDUP((T1965+U1965+2*'Read Me'!$B$13)*(1+'Read Me'!$B$12),-1)</f>
        <v/>
      </c>
      <c r="W1965" s="16">
        <f>V1965*N1965*O1965</f>
        <v/>
      </c>
      <c r="X1965" s="12">
        <f>IF(LEFT(I1965,2)="MV",2*N1965*IF(L1965="1/C",O1965,1),0)</f>
        <v/>
      </c>
      <c r="Y1965" s="12">
        <f>IF(OR(LEFT(K1965,4)="LVAX",LEFT(K1965,6)="MV15AX",LEFT(K1965,4)="CTAX",LEFT(K1965,2)="W|"),2*N1965*O1965,0)</f>
        <v/>
      </c>
      <c r="Z1965" s="12" t="inlineStr"/>
      <c r="AA1965" s="12">
        <f>N1965*O1965</f>
        <v/>
      </c>
    </row>
    <row r="1966">
      <c r="A1966" s="12" t="inlineStr">
        <is>
          <t>B-C-0039</t>
        </is>
      </c>
      <c r="B1966" s="12" t="inlineStr">
        <is>
          <t>B</t>
        </is>
      </c>
      <c r="C1966" s="12" t="inlineStr">
        <is>
          <t>ACC</t>
        </is>
      </c>
      <c r="D1966" s="12" t="inlineStr">
        <is>
          <t>ACC fan F39 vibration / RTD / local station</t>
        </is>
      </c>
      <c r="E1966" s="12" t="inlineStr">
        <is>
          <t>R4</t>
        </is>
      </c>
      <c r="F1966" s="12" t="inlineStr">
        <is>
          <t>R4: ACC electrical (VFD) e-house (60 x 120 ft)</t>
        </is>
      </c>
      <c r="G1966" s="12" t="inlineStr">
        <is>
          <t>ACC-F39</t>
        </is>
      </c>
      <c r="H1966" s="12" t="inlineStr">
        <is>
          <t>ACC fan motor F39</t>
        </is>
      </c>
      <c r="I1966" s="12" t="inlineStr">
        <is>
          <t>Control</t>
        </is>
      </c>
      <c r="J1966" s="12" t="inlineStr">
        <is>
          <t>Control cable 600 V Type TC-ER, Cu #14 AWG, PVC jacket</t>
        </is>
      </c>
      <c r="K1966" s="12" t="inlineStr">
        <is>
          <t>CT|7/C|14</t>
        </is>
      </c>
      <c r="L1966" s="12" t="inlineStr">
        <is>
          <t>7/C</t>
        </is>
      </c>
      <c r="M1966" s="12" t="inlineStr">
        <is>
          <t>14</t>
        </is>
      </c>
      <c r="N1966" s="12" t="n">
        <v>1</v>
      </c>
      <c r="O1966" s="12" t="n">
        <v>1</v>
      </c>
      <c r="P1966" s="12" t="n"/>
      <c r="Q1966" s="12" t="n"/>
      <c r="R1966" s="12" t="n"/>
      <c r="S1966" s="12" t="inlineStr">
        <is>
          <t>Tray</t>
        </is>
      </c>
      <c r="T1966" s="16" t="n">
        <v>207</v>
      </c>
      <c r="U1966" s="16" t="n">
        <v>44</v>
      </c>
      <c r="V1966" s="16">
        <f>ROUNDUP((T1966+U1966+2*'Read Me'!$B$13)*(1+'Read Me'!$B$12),-1)</f>
        <v/>
      </c>
      <c r="W1966" s="16">
        <f>V1966*N1966*O1966</f>
        <v/>
      </c>
      <c r="X1966" s="12">
        <f>IF(LEFT(I1966,2)="MV",2*N1966*IF(L1966="1/C",O1966,1),0)</f>
        <v/>
      </c>
      <c r="Y1966" s="12">
        <f>IF(OR(LEFT(K1966,4)="LVAX",LEFT(K1966,6)="MV15AX",LEFT(K1966,4)="CTAX",LEFT(K1966,2)="W|"),2*N1966*O1966,0)</f>
        <v/>
      </c>
      <c r="Z1966" s="12" t="inlineStr"/>
      <c r="AA1966" s="12">
        <f>N1966*O1966</f>
        <v/>
      </c>
    </row>
    <row r="1967">
      <c r="A1967" s="12" t="inlineStr">
        <is>
          <t>B-C-0040</t>
        </is>
      </c>
      <c r="B1967" s="12" t="inlineStr">
        <is>
          <t>B</t>
        </is>
      </c>
      <c r="C1967" s="12" t="inlineStr">
        <is>
          <t>ACC</t>
        </is>
      </c>
      <c r="D1967" s="12" t="inlineStr">
        <is>
          <t>ACC fan F40 vibration / RTD / local station</t>
        </is>
      </c>
      <c r="E1967" s="12" t="inlineStr">
        <is>
          <t>R4</t>
        </is>
      </c>
      <c r="F1967" s="12" t="inlineStr">
        <is>
          <t>R4: ACC electrical (VFD) e-house (60 x 120 ft)</t>
        </is>
      </c>
      <c r="G1967" s="12" t="inlineStr">
        <is>
          <t>ACC-F40</t>
        </is>
      </c>
      <c r="H1967" s="12" t="inlineStr">
        <is>
          <t>ACC fan motor F40</t>
        </is>
      </c>
      <c r="I1967" s="12" t="inlineStr">
        <is>
          <t>Control</t>
        </is>
      </c>
      <c r="J1967" s="12" t="inlineStr">
        <is>
          <t>Control cable 600 V Type TC-ER, Cu #14 AWG, PVC jacket</t>
        </is>
      </c>
      <c r="K1967" s="12" t="inlineStr">
        <is>
          <t>CT|7/C|14</t>
        </is>
      </c>
      <c r="L1967" s="12" t="inlineStr">
        <is>
          <t>7/C</t>
        </is>
      </c>
      <c r="M1967" s="12" t="inlineStr">
        <is>
          <t>14</t>
        </is>
      </c>
      <c r="N1967" s="12" t="n">
        <v>1</v>
      </c>
      <c r="O1967" s="12" t="n">
        <v>1</v>
      </c>
      <c r="P1967" s="12" t="n"/>
      <c r="Q1967" s="12" t="n"/>
      <c r="R1967" s="12" t="n"/>
      <c r="S1967" s="12" t="inlineStr">
        <is>
          <t>Tray</t>
        </is>
      </c>
      <c r="T1967" s="16" t="n">
        <v>239</v>
      </c>
      <c r="U1967" s="16" t="n">
        <v>44</v>
      </c>
      <c r="V1967" s="16">
        <f>ROUNDUP((T1967+U1967+2*'Read Me'!$B$13)*(1+'Read Me'!$B$12),-1)</f>
        <v/>
      </c>
      <c r="W1967" s="16">
        <f>V1967*N1967*O1967</f>
        <v/>
      </c>
      <c r="X1967" s="12">
        <f>IF(LEFT(I1967,2)="MV",2*N1967*IF(L1967="1/C",O1967,1),0)</f>
        <v/>
      </c>
      <c r="Y1967" s="12">
        <f>IF(OR(LEFT(K1967,4)="LVAX",LEFT(K1967,6)="MV15AX",LEFT(K1967,4)="CTAX",LEFT(K1967,2)="W|"),2*N1967*O1967,0)</f>
        <v/>
      </c>
      <c r="Z1967" s="12" t="inlineStr"/>
      <c r="AA1967" s="12">
        <f>N1967*O1967</f>
        <v/>
      </c>
    </row>
    <row r="1968">
      <c r="A1968" s="12" t="inlineStr">
        <is>
          <t>B-C-0041</t>
        </is>
      </c>
      <c r="B1968" s="12" t="inlineStr">
        <is>
          <t>B</t>
        </is>
      </c>
      <c r="C1968" s="12" t="inlineStr">
        <is>
          <t>ACC</t>
        </is>
      </c>
      <c r="D1968" s="12" t="inlineStr">
        <is>
          <t>ACC fan F41 vibration / RTD / local station</t>
        </is>
      </c>
      <c r="E1968" s="12" t="inlineStr">
        <is>
          <t>R4</t>
        </is>
      </c>
      <c r="F1968" s="12" t="inlineStr">
        <is>
          <t>R4: ACC electrical (VFD) e-house (60 x 120 ft)</t>
        </is>
      </c>
      <c r="G1968" s="12" t="inlineStr">
        <is>
          <t>ACC-F41</t>
        </is>
      </c>
      <c r="H1968" s="12" t="inlineStr">
        <is>
          <t>ACC fan motor F41</t>
        </is>
      </c>
      <c r="I1968" s="12" t="inlineStr">
        <is>
          <t>Control</t>
        </is>
      </c>
      <c r="J1968" s="12" t="inlineStr">
        <is>
          <t>Control cable 600 V Type TC-ER, Cu #14 AWG, PVC jacket</t>
        </is>
      </c>
      <c r="K1968" s="12" t="inlineStr">
        <is>
          <t>CT|7/C|14</t>
        </is>
      </c>
      <c r="L1968" s="12" t="inlineStr">
        <is>
          <t>7/C</t>
        </is>
      </c>
      <c r="M1968" s="12" t="inlineStr">
        <is>
          <t>14</t>
        </is>
      </c>
      <c r="N1968" s="12" t="n">
        <v>1</v>
      </c>
      <c r="O1968" s="12" t="n">
        <v>1</v>
      </c>
      <c r="P1968" s="12" t="n"/>
      <c r="Q1968" s="12" t="n"/>
      <c r="R1968" s="12" t="n"/>
      <c r="S1968" s="12" t="inlineStr">
        <is>
          <t>Tray</t>
        </is>
      </c>
      <c r="T1968" s="16" t="n">
        <v>239</v>
      </c>
      <c r="U1968" s="16" t="n">
        <v>44</v>
      </c>
      <c r="V1968" s="16">
        <f>ROUNDUP((T1968+U1968+2*'Read Me'!$B$13)*(1+'Read Me'!$B$12),-1)</f>
        <v/>
      </c>
      <c r="W1968" s="16">
        <f>V1968*N1968*O1968</f>
        <v/>
      </c>
      <c r="X1968" s="12">
        <f>IF(LEFT(I1968,2)="MV",2*N1968*IF(L1968="1/C",O1968,1),0)</f>
        <v/>
      </c>
      <c r="Y1968" s="12">
        <f>IF(OR(LEFT(K1968,4)="LVAX",LEFT(K1968,6)="MV15AX",LEFT(K1968,4)="CTAX",LEFT(K1968,2)="W|"),2*N1968*O1968,0)</f>
        <v/>
      </c>
      <c r="Z1968" s="12" t="inlineStr"/>
      <c r="AA1968" s="12">
        <f>N1968*O1968</f>
        <v/>
      </c>
    </row>
    <row r="1969">
      <c r="A1969" s="12" t="inlineStr">
        <is>
          <t>B-C-0042</t>
        </is>
      </c>
      <c r="B1969" s="12" t="inlineStr">
        <is>
          <t>B</t>
        </is>
      </c>
      <c r="C1969" s="12" t="inlineStr">
        <is>
          <t>ACC</t>
        </is>
      </c>
      <c r="D1969" s="12" t="inlineStr">
        <is>
          <t>ACC fan F42 vibration / RTD / local station</t>
        </is>
      </c>
      <c r="E1969" s="12" t="inlineStr">
        <is>
          <t>R4</t>
        </is>
      </c>
      <c r="F1969" s="12" t="inlineStr">
        <is>
          <t>R4: ACC electrical (VFD) e-house (60 x 120 ft)</t>
        </is>
      </c>
      <c r="G1969" s="12" t="inlineStr">
        <is>
          <t>ACC-F42</t>
        </is>
      </c>
      <c r="H1969" s="12" t="inlineStr">
        <is>
          <t>ACC fan motor F42</t>
        </is>
      </c>
      <c r="I1969" s="12" t="inlineStr">
        <is>
          <t>Control</t>
        </is>
      </c>
      <c r="J1969" s="12" t="inlineStr">
        <is>
          <t>Control cable 600 V Type TC-ER, Cu #14 AWG, PVC jacket</t>
        </is>
      </c>
      <c r="K1969" s="12" t="inlineStr">
        <is>
          <t>CT|7/C|14</t>
        </is>
      </c>
      <c r="L1969" s="12" t="inlineStr">
        <is>
          <t>7/C</t>
        </is>
      </c>
      <c r="M1969" s="12" t="inlineStr">
        <is>
          <t>14</t>
        </is>
      </c>
      <c r="N1969" s="12" t="n">
        <v>1</v>
      </c>
      <c r="O1969" s="12" t="n">
        <v>1</v>
      </c>
      <c r="P1969" s="12" t="n"/>
      <c r="Q1969" s="12" t="n"/>
      <c r="R1969" s="12" t="n"/>
      <c r="S1969" s="12" t="inlineStr">
        <is>
          <t>Tray</t>
        </is>
      </c>
      <c r="T1969" s="16" t="n">
        <v>207</v>
      </c>
      <c r="U1969" s="16" t="n">
        <v>44</v>
      </c>
      <c r="V1969" s="16">
        <f>ROUNDUP((T1969+U1969+2*'Read Me'!$B$13)*(1+'Read Me'!$B$12),-1)</f>
        <v/>
      </c>
      <c r="W1969" s="16">
        <f>V1969*N1969*O1969</f>
        <v/>
      </c>
      <c r="X1969" s="12">
        <f>IF(LEFT(I1969,2)="MV",2*N1969*IF(L1969="1/C",O1969,1),0)</f>
        <v/>
      </c>
      <c r="Y1969" s="12">
        <f>IF(OR(LEFT(K1969,4)="LVAX",LEFT(K1969,6)="MV15AX",LEFT(K1969,4)="CTAX",LEFT(K1969,2)="W|"),2*N1969*O1969,0)</f>
        <v/>
      </c>
      <c r="Z1969" s="12" t="inlineStr"/>
      <c r="AA1969" s="12">
        <f>N1969*O1969</f>
        <v/>
      </c>
    </row>
    <row r="1970">
      <c r="A1970" s="12" t="inlineStr">
        <is>
          <t>B-C-0043</t>
        </is>
      </c>
      <c r="B1970" s="12" t="inlineStr">
        <is>
          <t>B</t>
        </is>
      </c>
      <c r="C1970" s="12" t="inlineStr">
        <is>
          <t>ACC</t>
        </is>
      </c>
      <c r="D1970" s="12" t="inlineStr">
        <is>
          <t>ACC fan F43 vibration / RTD / local station</t>
        </is>
      </c>
      <c r="E1970" s="12" t="inlineStr">
        <is>
          <t>R4</t>
        </is>
      </c>
      <c r="F1970" s="12" t="inlineStr">
        <is>
          <t>R4: ACC electrical (VFD) e-house (60 x 120 ft)</t>
        </is>
      </c>
      <c r="G1970" s="12" t="inlineStr">
        <is>
          <t>ACC-F43</t>
        </is>
      </c>
      <c r="H1970" s="12" t="inlineStr">
        <is>
          <t>ACC fan motor F43</t>
        </is>
      </c>
      <c r="I1970" s="12" t="inlineStr">
        <is>
          <t>Control</t>
        </is>
      </c>
      <c r="J1970" s="12" t="inlineStr">
        <is>
          <t>Control cable 600 V Type TC-ER, Cu #14 AWG, PVC jacket</t>
        </is>
      </c>
      <c r="K1970" s="12" t="inlineStr">
        <is>
          <t>CT|7/C|14</t>
        </is>
      </c>
      <c r="L1970" s="12" t="inlineStr">
        <is>
          <t>7/C</t>
        </is>
      </c>
      <c r="M1970" s="12" t="inlineStr">
        <is>
          <t>14</t>
        </is>
      </c>
      <c r="N1970" s="12" t="n">
        <v>1</v>
      </c>
      <c r="O1970" s="12" t="n">
        <v>1</v>
      </c>
      <c r="P1970" s="12" t="n"/>
      <c r="Q1970" s="12" t="n"/>
      <c r="R1970" s="12" t="n"/>
      <c r="S1970" s="12" t="inlineStr">
        <is>
          <t>Tray</t>
        </is>
      </c>
      <c r="T1970" s="16" t="n">
        <v>175</v>
      </c>
      <c r="U1970" s="16" t="n">
        <v>44</v>
      </c>
      <c r="V1970" s="16">
        <f>ROUNDUP((T1970+U1970+2*'Read Me'!$B$13)*(1+'Read Me'!$B$12),-1)</f>
        <v/>
      </c>
      <c r="W1970" s="16">
        <f>V1970*N1970*O1970</f>
        <v/>
      </c>
      <c r="X1970" s="12">
        <f>IF(LEFT(I1970,2)="MV",2*N1970*IF(L1970="1/C",O1970,1),0)</f>
        <v/>
      </c>
      <c r="Y1970" s="12">
        <f>IF(OR(LEFT(K1970,4)="LVAX",LEFT(K1970,6)="MV15AX",LEFT(K1970,4)="CTAX",LEFT(K1970,2)="W|"),2*N1970*O1970,0)</f>
        <v/>
      </c>
      <c r="Z1970" s="12" t="inlineStr"/>
      <c r="AA1970" s="12">
        <f>N1970*O1970</f>
        <v/>
      </c>
    </row>
    <row r="1971">
      <c r="A1971" s="12" t="inlineStr">
        <is>
          <t>B-C-0044</t>
        </is>
      </c>
      <c r="B1971" s="12" t="inlineStr">
        <is>
          <t>B</t>
        </is>
      </c>
      <c r="C1971" s="12" t="inlineStr">
        <is>
          <t>ACC</t>
        </is>
      </c>
      <c r="D1971" s="12" t="inlineStr">
        <is>
          <t>ACC fan F44 vibration / RTD / local station</t>
        </is>
      </c>
      <c r="E1971" s="12" t="inlineStr">
        <is>
          <t>R4</t>
        </is>
      </c>
      <c r="F1971" s="12" t="inlineStr">
        <is>
          <t>R4: ACC electrical (VFD) e-house (60 x 120 ft)</t>
        </is>
      </c>
      <c r="G1971" s="12" t="inlineStr">
        <is>
          <t>ACC-F44</t>
        </is>
      </c>
      <c r="H1971" s="12" t="inlineStr">
        <is>
          <t>ACC fan motor F44</t>
        </is>
      </c>
      <c r="I1971" s="12" t="inlineStr">
        <is>
          <t>Control</t>
        </is>
      </c>
      <c r="J1971" s="12" t="inlineStr">
        <is>
          <t>Control cable 600 V Type TC-ER, Cu #14 AWG, PVC jacket</t>
        </is>
      </c>
      <c r="K1971" s="12" t="inlineStr">
        <is>
          <t>CT|7/C|14</t>
        </is>
      </c>
      <c r="L1971" s="12" t="inlineStr">
        <is>
          <t>7/C</t>
        </is>
      </c>
      <c r="M1971" s="12" t="inlineStr">
        <is>
          <t>14</t>
        </is>
      </c>
      <c r="N1971" s="12" t="n">
        <v>1</v>
      </c>
      <c r="O1971" s="12" t="n">
        <v>1</v>
      </c>
      <c r="P1971" s="12" t="n"/>
      <c r="Q1971" s="12" t="n"/>
      <c r="R1971" s="12" t="n"/>
      <c r="S1971" s="12" t="inlineStr">
        <is>
          <t>Tray</t>
        </is>
      </c>
      <c r="T1971" s="16" t="n">
        <v>143</v>
      </c>
      <c r="U1971" s="16" t="n">
        <v>44</v>
      </c>
      <c r="V1971" s="16">
        <f>ROUNDUP((T1971+U1971+2*'Read Me'!$B$13)*(1+'Read Me'!$B$12),-1)</f>
        <v/>
      </c>
      <c r="W1971" s="16">
        <f>V1971*N1971*O1971</f>
        <v/>
      </c>
      <c r="X1971" s="12">
        <f>IF(LEFT(I1971,2)="MV",2*N1971*IF(L1971="1/C",O1971,1),0)</f>
        <v/>
      </c>
      <c r="Y1971" s="12">
        <f>IF(OR(LEFT(K1971,4)="LVAX",LEFT(K1971,6)="MV15AX",LEFT(K1971,4)="CTAX",LEFT(K1971,2)="W|"),2*N1971*O1971,0)</f>
        <v/>
      </c>
      <c r="Z1971" s="12" t="inlineStr"/>
      <c r="AA1971" s="12">
        <f>N1971*O1971</f>
        <v/>
      </c>
    </row>
    <row r="1972">
      <c r="A1972" s="12" t="inlineStr">
        <is>
          <t>B-C-0045</t>
        </is>
      </c>
      <c r="B1972" s="12" t="inlineStr">
        <is>
          <t>B</t>
        </is>
      </c>
      <c r="C1972" s="12" t="inlineStr">
        <is>
          <t>ACC</t>
        </is>
      </c>
      <c r="D1972" s="12" t="inlineStr">
        <is>
          <t>ACC fan F45 vibration / RTD / local station</t>
        </is>
      </c>
      <c r="E1972" s="12" t="inlineStr">
        <is>
          <t>R4</t>
        </is>
      </c>
      <c r="F1972" s="12" t="inlineStr">
        <is>
          <t>R4: ACC electrical (VFD) e-house (60 x 120 ft)</t>
        </is>
      </c>
      <c r="G1972" s="12" t="inlineStr">
        <is>
          <t>ACC-F45</t>
        </is>
      </c>
      <c r="H1972" s="12" t="inlineStr">
        <is>
          <t>ACC fan motor F45</t>
        </is>
      </c>
      <c r="I1972" s="12" t="inlineStr">
        <is>
          <t>Control</t>
        </is>
      </c>
      <c r="J1972" s="12" t="inlineStr">
        <is>
          <t>Control cable 600 V Type TC-ER, Cu #14 AWG, PVC jacket</t>
        </is>
      </c>
      <c r="K1972" s="12" t="inlineStr">
        <is>
          <t>CT|7/C|14</t>
        </is>
      </c>
      <c r="L1972" s="12" t="inlineStr">
        <is>
          <t>7/C</t>
        </is>
      </c>
      <c r="M1972" s="12" t="inlineStr">
        <is>
          <t>14</t>
        </is>
      </c>
      <c r="N1972" s="12" t="n">
        <v>1</v>
      </c>
      <c r="O1972" s="12" t="n">
        <v>1</v>
      </c>
      <c r="P1972" s="12" t="n"/>
      <c r="Q1972" s="12" t="n"/>
      <c r="R1972" s="12" t="n"/>
      <c r="S1972" s="12" t="inlineStr">
        <is>
          <t>Tray</t>
        </is>
      </c>
      <c r="T1972" s="16" t="n">
        <v>111</v>
      </c>
      <c r="U1972" s="16" t="n">
        <v>44</v>
      </c>
      <c r="V1972" s="16">
        <f>ROUNDUP((T1972+U1972+2*'Read Me'!$B$13)*(1+'Read Me'!$B$12),-1)</f>
        <v/>
      </c>
      <c r="W1972" s="16">
        <f>V1972*N1972*O1972</f>
        <v/>
      </c>
      <c r="X1972" s="12">
        <f>IF(LEFT(I1972,2)="MV",2*N1972*IF(L1972="1/C",O1972,1),0)</f>
        <v/>
      </c>
      <c r="Y1972" s="12">
        <f>IF(OR(LEFT(K1972,4)="LVAX",LEFT(K1972,6)="MV15AX",LEFT(K1972,4)="CTAX",LEFT(K1972,2)="W|"),2*N1972*O1972,0)</f>
        <v/>
      </c>
      <c r="Z1972" s="12" t="inlineStr"/>
      <c r="AA1972" s="12">
        <f>N1972*O1972</f>
        <v/>
      </c>
    </row>
    <row r="1973">
      <c r="A1973" s="12" t="inlineStr">
        <is>
          <t>B-C-0046</t>
        </is>
      </c>
      <c r="B1973" s="12" t="inlineStr">
        <is>
          <t>B</t>
        </is>
      </c>
      <c r="C1973" s="12" t="inlineStr">
        <is>
          <t>ACC</t>
        </is>
      </c>
      <c r="D1973" s="12" t="inlineStr">
        <is>
          <t>ACC fan F46 vibration / RTD / local station</t>
        </is>
      </c>
      <c r="E1973" s="12" t="inlineStr">
        <is>
          <t>R4</t>
        </is>
      </c>
      <c r="F1973" s="12" t="inlineStr">
        <is>
          <t>R4: ACC electrical (VFD) e-house (60 x 120 ft)</t>
        </is>
      </c>
      <c r="G1973" s="12" t="inlineStr">
        <is>
          <t>ACC-F46</t>
        </is>
      </c>
      <c r="H1973" s="12" t="inlineStr">
        <is>
          <t>ACC fan motor F46</t>
        </is>
      </c>
      <c r="I1973" s="12" t="inlineStr">
        <is>
          <t>Control</t>
        </is>
      </c>
      <c r="J1973" s="12" t="inlineStr">
        <is>
          <t>Control cable 600 V Type TC-ER, Cu #14 AWG, PVC jacket</t>
        </is>
      </c>
      <c r="K1973" s="12" t="inlineStr">
        <is>
          <t>CT|7/C|14</t>
        </is>
      </c>
      <c r="L1973" s="12" t="inlineStr">
        <is>
          <t>7/C</t>
        </is>
      </c>
      <c r="M1973" s="12" t="inlineStr">
        <is>
          <t>14</t>
        </is>
      </c>
      <c r="N1973" s="12" t="n">
        <v>1</v>
      </c>
      <c r="O1973" s="12" t="n">
        <v>1</v>
      </c>
      <c r="P1973" s="12" t="n"/>
      <c r="Q1973" s="12" t="n"/>
      <c r="R1973" s="12" t="n"/>
      <c r="S1973" s="12" t="inlineStr">
        <is>
          <t>Tray</t>
        </is>
      </c>
      <c r="T1973" s="16" t="n">
        <v>111</v>
      </c>
      <c r="U1973" s="16" t="n">
        <v>44</v>
      </c>
      <c r="V1973" s="16">
        <f>ROUNDUP((T1973+U1973+2*'Read Me'!$B$13)*(1+'Read Me'!$B$12),-1)</f>
        <v/>
      </c>
      <c r="W1973" s="16">
        <f>V1973*N1973*O1973</f>
        <v/>
      </c>
      <c r="X1973" s="12">
        <f>IF(LEFT(I1973,2)="MV",2*N1973*IF(L1973="1/C",O1973,1),0)</f>
        <v/>
      </c>
      <c r="Y1973" s="12">
        <f>IF(OR(LEFT(K1973,4)="LVAX",LEFT(K1973,6)="MV15AX",LEFT(K1973,4)="CTAX",LEFT(K1973,2)="W|"),2*N1973*O1973,0)</f>
        <v/>
      </c>
      <c r="Z1973" s="12" t="inlineStr"/>
      <c r="AA1973" s="12">
        <f>N1973*O1973</f>
        <v/>
      </c>
    </row>
    <row r="1974">
      <c r="A1974" s="12" t="inlineStr">
        <is>
          <t>B-C-0047</t>
        </is>
      </c>
      <c r="B1974" s="12" t="inlineStr">
        <is>
          <t>B</t>
        </is>
      </c>
      <c r="C1974" s="12" t="inlineStr">
        <is>
          <t>ACC</t>
        </is>
      </c>
      <c r="D1974" s="12" t="inlineStr">
        <is>
          <t>ACC fan F47 vibration / RTD / local station</t>
        </is>
      </c>
      <c r="E1974" s="12" t="inlineStr">
        <is>
          <t>R4</t>
        </is>
      </c>
      <c r="F1974" s="12" t="inlineStr">
        <is>
          <t>R4: ACC electrical (VFD) e-house (60 x 120 ft)</t>
        </is>
      </c>
      <c r="G1974" s="12" t="inlineStr">
        <is>
          <t>ACC-F47</t>
        </is>
      </c>
      <c r="H1974" s="12" t="inlineStr">
        <is>
          <t>ACC fan motor F47</t>
        </is>
      </c>
      <c r="I1974" s="12" t="inlineStr">
        <is>
          <t>Control</t>
        </is>
      </c>
      <c r="J1974" s="12" t="inlineStr">
        <is>
          <t>Control cable 600 V Type TC-ER, Cu #14 AWG, PVC jacket</t>
        </is>
      </c>
      <c r="K1974" s="12" t="inlineStr">
        <is>
          <t>CT|7/C|14</t>
        </is>
      </c>
      <c r="L1974" s="12" t="inlineStr">
        <is>
          <t>7/C</t>
        </is>
      </c>
      <c r="M1974" s="12" t="inlineStr">
        <is>
          <t>14</t>
        </is>
      </c>
      <c r="N1974" s="12" t="n">
        <v>1</v>
      </c>
      <c r="O1974" s="12" t="n">
        <v>1</v>
      </c>
      <c r="P1974" s="12" t="n"/>
      <c r="Q1974" s="12" t="n"/>
      <c r="R1974" s="12" t="n"/>
      <c r="S1974" s="12" t="inlineStr">
        <is>
          <t>Tray</t>
        </is>
      </c>
      <c r="T1974" s="16" t="n">
        <v>143</v>
      </c>
      <c r="U1974" s="16" t="n">
        <v>44</v>
      </c>
      <c r="V1974" s="16">
        <f>ROUNDUP((T1974+U1974+2*'Read Me'!$B$13)*(1+'Read Me'!$B$12),-1)</f>
        <v/>
      </c>
      <c r="W1974" s="16">
        <f>V1974*N1974*O1974</f>
        <v/>
      </c>
      <c r="X1974" s="12">
        <f>IF(LEFT(I1974,2)="MV",2*N1974*IF(L1974="1/C",O1974,1),0)</f>
        <v/>
      </c>
      <c r="Y1974" s="12">
        <f>IF(OR(LEFT(K1974,4)="LVAX",LEFT(K1974,6)="MV15AX",LEFT(K1974,4)="CTAX",LEFT(K1974,2)="W|"),2*N1974*O1974,0)</f>
        <v/>
      </c>
      <c r="Z1974" s="12" t="inlineStr"/>
      <c r="AA1974" s="12">
        <f>N1974*O1974</f>
        <v/>
      </c>
    </row>
    <row r="1975">
      <c r="A1975" s="12" t="inlineStr">
        <is>
          <t>B-C-0048</t>
        </is>
      </c>
      <c r="B1975" s="12" t="inlineStr">
        <is>
          <t>B</t>
        </is>
      </c>
      <c r="C1975" s="12" t="inlineStr">
        <is>
          <t>ACC</t>
        </is>
      </c>
      <c r="D1975" s="12" t="inlineStr">
        <is>
          <t>ACC fan F48 vibration / RTD / local station</t>
        </is>
      </c>
      <c r="E1975" s="12" t="inlineStr">
        <is>
          <t>R4</t>
        </is>
      </c>
      <c r="F1975" s="12" t="inlineStr">
        <is>
          <t>R4: ACC electrical (VFD) e-house (60 x 120 ft)</t>
        </is>
      </c>
      <c r="G1975" s="12" t="inlineStr">
        <is>
          <t>ACC-F48</t>
        </is>
      </c>
      <c r="H1975" s="12" t="inlineStr">
        <is>
          <t>ACC fan motor F48</t>
        </is>
      </c>
      <c r="I1975" s="12" t="inlineStr">
        <is>
          <t>Control</t>
        </is>
      </c>
      <c r="J1975" s="12" t="inlineStr">
        <is>
          <t>Control cable 600 V Type TC-ER, Cu #14 AWG, PVC jacket</t>
        </is>
      </c>
      <c r="K1975" s="12" t="inlineStr">
        <is>
          <t>CT|7/C|14</t>
        </is>
      </c>
      <c r="L1975" s="12" t="inlineStr">
        <is>
          <t>7/C</t>
        </is>
      </c>
      <c r="M1975" s="12" t="inlineStr">
        <is>
          <t>14</t>
        </is>
      </c>
      <c r="N1975" s="12" t="n">
        <v>1</v>
      </c>
      <c r="O1975" s="12" t="n">
        <v>1</v>
      </c>
      <c r="P1975" s="12" t="n"/>
      <c r="Q1975" s="12" t="n"/>
      <c r="R1975" s="12" t="n"/>
      <c r="S1975" s="12" t="inlineStr">
        <is>
          <t>Tray</t>
        </is>
      </c>
      <c r="T1975" s="16" t="n">
        <v>175</v>
      </c>
      <c r="U1975" s="16" t="n">
        <v>44</v>
      </c>
      <c r="V1975" s="16">
        <f>ROUNDUP((T1975+U1975+2*'Read Me'!$B$13)*(1+'Read Me'!$B$12),-1)</f>
        <v/>
      </c>
      <c r="W1975" s="16">
        <f>V1975*N1975*O1975</f>
        <v/>
      </c>
      <c r="X1975" s="12">
        <f>IF(LEFT(I1975,2)="MV",2*N1975*IF(L1975="1/C",O1975,1),0)</f>
        <v/>
      </c>
      <c r="Y1975" s="12">
        <f>IF(OR(LEFT(K1975,4)="LVAX",LEFT(K1975,6)="MV15AX",LEFT(K1975,4)="CTAX",LEFT(K1975,2)="W|"),2*N1975*O1975,0)</f>
        <v/>
      </c>
      <c r="Z1975" s="12" t="inlineStr"/>
      <c r="AA1975" s="12">
        <f>N1975*O1975</f>
        <v/>
      </c>
    </row>
    <row r="1976">
      <c r="A1976" s="12" t="inlineStr">
        <is>
          <t>B-C-0049</t>
        </is>
      </c>
      <c r="B1976" s="12" t="inlineStr">
        <is>
          <t>B</t>
        </is>
      </c>
      <c r="C1976" s="12" t="inlineStr">
        <is>
          <t>ACC</t>
        </is>
      </c>
      <c r="D1976" s="12" t="inlineStr">
        <is>
          <t>ACC fan F49 vibration / RTD / local station</t>
        </is>
      </c>
      <c r="E1976" s="12" t="inlineStr">
        <is>
          <t>R4</t>
        </is>
      </c>
      <c r="F1976" s="12" t="inlineStr">
        <is>
          <t>R4: ACC electrical (VFD) e-house (60 x 120 ft)</t>
        </is>
      </c>
      <c r="G1976" s="12" t="inlineStr">
        <is>
          <t>ACC-F49</t>
        </is>
      </c>
      <c r="H1976" s="12" t="inlineStr">
        <is>
          <t>ACC fan motor F49</t>
        </is>
      </c>
      <c r="I1976" s="12" t="inlineStr">
        <is>
          <t>Control</t>
        </is>
      </c>
      <c r="J1976" s="12" t="inlineStr">
        <is>
          <t>Control cable 600 V Type TC-ER, Cu #14 AWG, PVC jacket</t>
        </is>
      </c>
      <c r="K1976" s="12" t="inlineStr">
        <is>
          <t>CT|7/C|14</t>
        </is>
      </c>
      <c r="L1976" s="12" t="inlineStr">
        <is>
          <t>7/C</t>
        </is>
      </c>
      <c r="M1976" s="12" t="inlineStr">
        <is>
          <t>14</t>
        </is>
      </c>
      <c r="N1976" s="12" t="n">
        <v>1</v>
      </c>
      <c r="O1976" s="12" t="n">
        <v>1</v>
      </c>
      <c r="P1976" s="12" t="n"/>
      <c r="Q1976" s="12" t="n"/>
      <c r="R1976" s="12" t="n"/>
      <c r="S1976" s="12" t="inlineStr">
        <is>
          <t>Tray</t>
        </is>
      </c>
      <c r="T1976" s="16" t="n">
        <v>207</v>
      </c>
      <c r="U1976" s="16" t="n">
        <v>44</v>
      </c>
      <c r="V1976" s="16">
        <f>ROUNDUP((T1976+U1976+2*'Read Me'!$B$13)*(1+'Read Me'!$B$12),-1)</f>
        <v/>
      </c>
      <c r="W1976" s="16">
        <f>V1976*N1976*O1976</f>
        <v/>
      </c>
      <c r="X1976" s="12">
        <f>IF(LEFT(I1976,2)="MV",2*N1976*IF(L1976="1/C",O1976,1),0)</f>
        <v/>
      </c>
      <c r="Y1976" s="12">
        <f>IF(OR(LEFT(K1976,4)="LVAX",LEFT(K1976,6)="MV15AX",LEFT(K1976,4)="CTAX",LEFT(K1976,2)="W|"),2*N1976*O1976,0)</f>
        <v/>
      </c>
      <c r="Z1976" s="12" t="inlineStr"/>
      <c r="AA1976" s="12">
        <f>N1976*O1976</f>
        <v/>
      </c>
    </row>
    <row r="1977">
      <c r="A1977" s="12" t="inlineStr">
        <is>
          <t>B-C-0050</t>
        </is>
      </c>
      <c r="B1977" s="12" t="inlineStr">
        <is>
          <t>B</t>
        </is>
      </c>
      <c r="C1977" s="12" t="inlineStr">
        <is>
          <t>ACC</t>
        </is>
      </c>
      <c r="D1977" s="12" t="inlineStr">
        <is>
          <t>ACC fan F50 vibration / RTD / local station</t>
        </is>
      </c>
      <c r="E1977" s="12" t="inlineStr">
        <is>
          <t>R4</t>
        </is>
      </c>
      <c r="F1977" s="12" t="inlineStr">
        <is>
          <t>R4: ACC electrical (VFD) e-house (60 x 120 ft)</t>
        </is>
      </c>
      <c r="G1977" s="12" t="inlineStr">
        <is>
          <t>ACC-F50</t>
        </is>
      </c>
      <c r="H1977" s="12" t="inlineStr">
        <is>
          <t>ACC fan motor F50</t>
        </is>
      </c>
      <c r="I1977" s="12" t="inlineStr">
        <is>
          <t>Control</t>
        </is>
      </c>
      <c r="J1977" s="12" t="inlineStr">
        <is>
          <t>Control cable 600 V Type TC-ER, Cu #14 AWG, PVC jacket</t>
        </is>
      </c>
      <c r="K1977" s="12" t="inlineStr">
        <is>
          <t>CT|7/C|14</t>
        </is>
      </c>
      <c r="L1977" s="12" t="inlineStr">
        <is>
          <t>7/C</t>
        </is>
      </c>
      <c r="M1977" s="12" t="inlineStr">
        <is>
          <t>14</t>
        </is>
      </c>
      <c r="N1977" s="12" t="n">
        <v>1</v>
      </c>
      <c r="O1977" s="12" t="n">
        <v>1</v>
      </c>
      <c r="P1977" s="12" t="n"/>
      <c r="Q1977" s="12" t="n"/>
      <c r="R1977" s="12" t="n"/>
      <c r="S1977" s="12" t="inlineStr">
        <is>
          <t>Tray</t>
        </is>
      </c>
      <c r="T1977" s="16" t="n">
        <v>239</v>
      </c>
      <c r="U1977" s="16" t="n">
        <v>44</v>
      </c>
      <c r="V1977" s="16">
        <f>ROUNDUP((T1977+U1977+2*'Read Me'!$B$13)*(1+'Read Me'!$B$12),-1)</f>
        <v/>
      </c>
      <c r="W1977" s="16">
        <f>V1977*N1977*O1977</f>
        <v/>
      </c>
      <c r="X1977" s="12">
        <f>IF(LEFT(I1977,2)="MV",2*N1977*IF(L1977="1/C",O1977,1),0)</f>
        <v/>
      </c>
      <c r="Y1977" s="12">
        <f>IF(OR(LEFT(K1977,4)="LVAX",LEFT(K1977,6)="MV15AX",LEFT(K1977,4)="CTAX",LEFT(K1977,2)="W|"),2*N1977*O1977,0)</f>
        <v/>
      </c>
      <c r="Z1977" s="12" t="inlineStr"/>
      <c r="AA1977" s="12">
        <f>N1977*O1977</f>
        <v/>
      </c>
    </row>
    <row r="1978">
      <c r="A1978" s="12" t="inlineStr">
        <is>
          <t>B-C-0051</t>
        </is>
      </c>
      <c r="B1978" s="12" t="inlineStr">
        <is>
          <t>B</t>
        </is>
      </c>
      <c r="C1978" s="12" t="inlineStr">
        <is>
          <t>ACC</t>
        </is>
      </c>
      <c r="D1978" s="12" t="inlineStr">
        <is>
          <t>ACC fan F51 vibration / RTD / local station</t>
        </is>
      </c>
      <c r="E1978" s="12" t="inlineStr">
        <is>
          <t>R4</t>
        </is>
      </c>
      <c r="F1978" s="12" t="inlineStr">
        <is>
          <t>R4: ACC electrical (VFD) e-house (60 x 120 ft)</t>
        </is>
      </c>
      <c r="G1978" s="12" t="inlineStr">
        <is>
          <t>ACC-F51</t>
        </is>
      </c>
      <c r="H1978" s="12" t="inlineStr">
        <is>
          <t>ACC fan motor F51</t>
        </is>
      </c>
      <c r="I1978" s="12" t="inlineStr">
        <is>
          <t>Control</t>
        </is>
      </c>
      <c r="J1978" s="12" t="inlineStr">
        <is>
          <t>Control cable 600 V Type TC-ER, Cu #14 AWG, PVC jacket</t>
        </is>
      </c>
      <c r="K1978" s="12" t="inlineStr">
        <is>
          <t>CT|7/C|14</t>
        </is>
      </c>
      <c r="L1978" s="12" t="inlineStr">
        <is>
          <t>7/C</t>
        </is>
      </c>
      <c r="M1978" s="12" t="inlineStr">
        <is>
          <t>14</t>
        </is>
      </c>
      <c r="N1978" s="12" t="n">
        <v>1</v>
      </c>
      <c r="O1978" s="12" t="n">
        <v>1</v>
      </c>
      <c r="P1978" s="12" t="n"/>
      <c r="Q1978" s="12" t="n"/>
      <c r="R1978" s="12" t="n"/>
      <c r="S1978" s="12" t="inlineStr">
        <is>
          <t>Tray</t>
        </is>
      </c>
      <c r="T1978" s="16" t="n">
        <v>289</v>
      </c>
      <c r="U1978" s="16" t="n">
        <v>44</v>
      </c>
      <c r="V1978" s="16">
        <f>ROUNDUP((T1978+U1978+2*'Read Me'!$B$13)*(1+'Read Me'!$B$12),-1)</f>
        <v/>
      </c>
      <c r="W1978" s="16">
        <f>V1978*N1978*O1978</f>
        <v/>
      </c>
      <c r="X1978" s="12">
        <f>IF(LEFT(I1978,2)="MV",2*N1978*IF(L1978="1/C",O1978,1),0)</f>
        <v/>
      </c>
      <c r="Y1978" s="12">
        <f>IF(OR(LEFT(K1978,4)="LVAX",LEFT(K1978,6)="MV15AX",LEFT(K1978,4)="CTAX",LEFT(K1978,2)="W|"),2*N1978*O1978,0)</f>
        <v/>
      </c>
      <c r="Z1978" s="12" t="inlineStr"/>
      <c r="AA1978" s="12">
        <f>N1978*O1978</f>
        <v/>
      </c>
    </row>
    <row r="1979">
      <c r="A1979" s="12" t="inlineStr">
        <is>
          <t>B-C-0052</t>
        </is>
      </c>
      <c r="B1979" s="12" t="inlineStr">
        <is>
          <t>B</t>
        </is>
      </c>
      <c r="C1979" s="12" t="inlineStr">
        <is>
          <t>ACC</t>
        </is>
      </c>
      <c r="D1979" s="12" t="inlineStr">
        <is>
          <t>ACC fan F52 vibration / RTD / local station</t>
        </is>
      </c>
      <c r="E1979" s="12" t="inlineStr">
        <is>
          <t>R4</t>
        </is>
      </c>
      <c r="F1979" s="12" t="inlineStr">
        <is>
          <t>R4: ACC electrical (VFD) e-house (60 x 120 ft)</t>
        </is>
      </c>
      <c r="G1979" s="12" t="inlineStr">
        <is>
          <t>ACC-F52</t>
        </is>
      </c>
      <c r="H1979" s="12" t="inlineStr">
        <is>
          <t>ACC fan motor F52</t>
        </is>
      </c>
      <c r="I1979" s="12" t="inlineStr">
        <is>
          <t>Control</t>
        </is>
      </c>
      <c r="J1979" s="12" t="inlineStr">
        <is>
          <t>Control cable 600 V Type TC-ER, Cu #14 AWG, PVC jacket</t>
        </is>
      </c>
      <c r="K1979" s="12" t="inlineStr">
        <is>
          <t>CT|7/C|14</t>
        </is>
      </c>
      <c r="L1979" s="12" t="inlineStr">
        <is>
          <t>7/C</t>
        </is>
      </c>
      <c r="M1979" s="12" t="inlineStr">
        <is>
          <t>14</t>
        </is>
      </c>
      <c r="N1979" s="12" t="n">
        <v>1</v>
      </c>
      <c r="O1979" s="12" t="n">
        <v>1</v>
      </c>
      <c r="P1979" s="12" t="n"/>
      <c r="Q1979" s="12" t="n"/>
      <c r="R1979" s="12" t="n"/>
      <c r="S1979" s="12" t="inlineStr">
        <is>
          <t>Tray</t>
        </is>
      </c>
      <c r="T1979" s="16" t="n">
        <v>257</v>
      </c>
      <c r="U1979" s="16" t="n">
        <v>44</v>
      </c>
      <c r="V1979" s="16">
        <f>ROUNDUP((T1979+U1979+2*'Read Me'!$B$13)*(1+'Read Me'!$B$12),-1)</f>
        <v/>
      </c>
      <c r="W1979" s="16">
        <f>V1979*N1979*O1979</f>
        <v/>
      </c>
      <c r="X1979" s="12">
        <f>IF(LEFT(I1979,2)="MV",2*N1979*IF(L1979="1/C",O1979,1),0)</f>
        <v/>
      </c>
      <c r="Y1979" s="12">
        <f>IF(OR(LEFT(K1979,4)="LVAX",LEFT(K1979,6)="MV15AX",LEFT(K1979,4)="CTAX",LEFT(K1979,2)="W|"),2*N1979*O1979,0)</f>
        <v/>
      </c>
      <c r="Z1979" s="12" t="inlineStr"/>
      <c r="AA1979" s="12">
        <f>N1979*O1979</f>
        <v/>
      </c>
    </row>
    <row r="1980">
      <c r="A1980" s="12" t="inlineStr">
        <is>
          <t>B-C-0053</t>
        </is>
      </c>
      <c r="B1980" s="12" t="inlineStr">
        <is>
          <t>B</t>
        </is>
      </c>
      <c r="C1980" s="12" t="inlineStr">
        <is>
          <t>ACC</t>
        </is>
      </c>
      <c r="D1980" s="12" t="inlineStr">
        <is>
          <t>ACC fan F53 vibration / RTD / local station</t>
        </is>
      </c>
      <c r="E1980" s="12" t="inlineStr">
        <is>
          <t>R4</t>
        </is>
      </c>
      <c r="F1980" s="12" t="inlineStr">
        <is>
          <t>R4: ACC electrical (VFD) e-house (60 x 120 ft)</t>
        </is>
      </c>
      <c r="G1980" s="12" t="inlineStr">
        <is>
          <t>ACC-F53</t>
        </is>
      </c>
      <c r="H1980" s="12" t="inlineStr">
        <is>
          <t>ACC fan motor F53</t>
        </is>
      </c>
      <c r="I1980" s="12" t="inlineStr">
        <is>
          <t>Control</t>
        </is>
      </c>
      <c r="J1980" s="12" t="inlineStr">
        <is>
          <t>Control cable 600 V Type TC-ER, Cu #14 AWG, PVC jacket</t>
        </is>
      </c>
      <c r="K1980" s="12" t="inlineStr">
        <is>
          <t>CT|7/C|14</t>
        </is>
      </c>
      <c r="L1980" s="12" t="inlineStr">
        <is>
          <t>7/C</t>
        </is>
      </c>
      <c r="M1980" s="12" t="inlineStr">
        <is>
          <t>14</t>
        </is>
      </c>
      <c r="N1980" s="12" t="n">
        <v>1</v>
      </c>
      <c r="O1980" s="12" t="n">
        <v>1</v>
      </c>
      <c r="P1980" s="12" t="n"/>
      <c r="Q1980" s="12" t="n"/>
      <c r="R1980" s="12" t="n"/>
      <c r="S1980" s="12" t="inlineStr">
        <is>
          <t>Tray</t>
        </is>
      </c>
      <c r="T1980" s="16" t="n">
        <v>225</v>
      </c>
      <c r="U1980" s="16" t="n">
        <v>44</v>
      </c>
      <c r="V1980" s="16">
        <f>ROUNDUP((T1980+U1980+2*'Read Me'!$B$13)*(1+'Read Me'!$B$12),-1)</f>
        <v/>
      </c>
      <c r="W1980" s="16">
        <f>V1980*N1980*O1980</f>
        <v/>
      </c>
      <c r="X1980" s="12">
        <f>IF(LEFT(I1980,2)="MV",2*N1980*IF(L1980="1/C",O1980,1),0)</f>
        <v/>
      </c>
      <c r="Y1980" s="12">
        <f>IF(OR(LEFT(K1980,4)="LVAX",LEFT(K1980,6)="MV15AX",LEFT(K1980,4)="CTAX",LEFT(K1980,2)="W|"),2*N1980*O1980,0)</f>
        <v/>
      </c>
      <c r="Z1980" s="12" t="inlineStr"/>
      <c r="AA1980" s="12">
        <f>N1980*O1980</f>
        <v/>
      </c>
    </row>
    <row r="1981">
      <c r="A1981" s="12" t="inlineStr">
        <is>
          <t>B-C-0054</t>
        </is>
      </c>
      <c r="B1981" s="12" t="inlineStr">
        <is>
          <t>B</t>
        </is>
      </c>
      <c r="C1981" s="12" t="inlineStr">
        <is>
          <t>ACC</t>
        </is>
      </c>
      <c r="D1981" s="12" t="inlineStr">
        <is>
          <t>ACC fan F54 vibration / RTD / local station</t>
        </is>
      </c>
      <c r="E1981" s="12" t="inlineStr">
        <is>
          <t>R4</t>
        </is>
      </c>
      <c r="F1981" s="12" t="inlineStr">
        <is>
          <t>R4: ACC electrical (VFD) e-house (60 x 120 ft)</t>
        </is>
      </c>
      <c r="G1981" s="12" t="inlineStr">
        <is>
          <t>ACC-F54</t>
        </is>
      </c>
      <c r="H1981" s="12" t="inlineStr">
        <is>
          <t>ACC fan motor F54</t>
        </is>
      </c>
      <c r="I1981" s="12" t="inlineStr">
        <is>
          <t>Control</t>
        </is>
      </c>
      <c r="J1981" s="12" t="inlineStr">
        <is>
          <t>Control cable 600 V Type TC-ER, Cu #14 AWG, PVC jacket</t>
        </is>
      </c>
      <c r="K1981" s="12" t="inlineStr">
        <is>
          <t>CT|7/C|14</t>
        </is>
      </c>
      <c r="L1981" s="12" t="inlineStr">
        <is>
          <t>7/C</t>
        </is>
      </c>
      <c r="M1981" s="12" t="inlineStr">
        <is>
          <t>14</t>
        </is>
      </c>
      <c r="N1981" s="12" t="n">
        <v>1</v>
      </c>
      <c r="O1981" s="12" t="n">
        <v>1</v>
      </c>
      <c r="P1981" s="12" t="n"/>
      <c r="Q1981" s="12" t="n"/>
      <c r="R1981" s="12" t="n"/>
      <c r="S1981" s="12" t="inlineStr">
        <is>
          <t>Tray</t>
        </is>
      </c>
      <c r="T1981" s="16" t="n">
        <v>193</v>
      </c>
      <c r="U1981" s="16" t="n">
        <v>44</v>
      </c>
      <c r="V1981" s="16">
        <f>ROUNDUP((T1981+U1981+2*'Read Me'!$B$13)*(1+'Read Me'!$B$12),-1)</f>
        <v/>
      </c>
      <c r="W1981" s="16">
        <f>V1981*N1981*O1981</f>
        <v/>
      </c>
      <c r="X1981" s="12">
        <f>IF(LEFT(I1981,2)="MV",2*N1981*IF(L1981="1/C",O1981,1),0)</f>
        <v/>
      </c>
      <c r="Y1981" s="12">
        <f>IF(OR(LEFT(K1981,4)="LVAX",LEFT(K1981,6)="MV15AX",LEFT(K1981,4)="CTAX",LEFT(K1981,2)="W|"),2*N1981*O1981,0)</f>
        <v/>
      </c>
      <c r="Z1981" s="12" t="inlineStr"/>
      <c r="AA1981" s="12">
        <f>N1981*O1981</f>
        <v/>
      </c>
    </row>
    <row r="1982">
      <c r="A1982" s="12" t="inlineStr">
        <is>
          <t>B-C-0055</t>
        </is>
      </c>
      <c r="B1982" s="12" t="inlineStr">
        <is>
          <t>B</t>
        </is>
      </c>
      <c r="C1982" s="12" t="inlineStr">
        <is>
          <t>ACC</t>
        </is>
      </c>
      <c r="D1982" s="12" t="inlineStr">
        <is>
          <t>ACC fan F55 vibration / RTD / local station</t>
        </is>
      </c>
      <c r="E1982" s="12" t="inlineStr">
        <is>
          <t>R4</t>
        </is>
      </c>
      <c r="F1982" s="12" t="inlineStr">
        <is>
          <t>R4: ACC electrical (VFD) e-house (60 x 120 ft)</t>
        </is>
      </c>
      <c r="G1982" s="12" t="inlineStr">
        <is>
          <t>ACC-F55</t>
        </is>
      </c>
      <c r="H1982" s="12" t="inlineStr">
        <is>
          <t>ACC fan motor F55</t>
        </is>
      </c>
      <c r="I1982" s="12" t="inlineStr">
        <is>
          <t>Control</t>
        </is>
      </c>
      <c r="J1982" s="12" t="inlineStr">
        <is>
          <t>Control cable 600 V Type TC-ER, Cu #14 AWG, PVC jacket</t>
        </is>
      </c>
      <c r="K1982" s="12" t="inlineStr">
        <is>
          <t>CT|7/C|14</t>
        </is>
      </c>
      <c r="L1982" s="12" t="inlineStr">
        <is>
          <t>7/C</t>
        </is>
      </c>
      <c r="M1982" s="12" t="inlineStr">
        <is>
          <t>14</t>
        </is>
      </c>
      <c r="N1982" s="12" t="n">
        <v>1</v>
      </c>
      <c r="O1982" s="12" t="n">
        <v>1</v>
      </c>
      <c r="P1982" s="12" t="n"/>
      <c r="Q1982" s="12" t="n"/>
      <c r="R1982" s="12" t="n"/>
      <c r="S1982" s="12" t="inlineStr">
        <is>
          <t>Tray</t>
        </is>
      </c>
      <c r="T1982" s="16" t="n">
        <v>161</v>
      </c>
      <c r="U1982" s="16" t="n">
        <v>44</v>
      </c>
      <c r="V1982" s="16">
        <f>ROUNDUP((T1982+U1982+2*'Read Me'!$B$13)*(1+'Read Me'!$B$12),-1)</f>
        <v/>
      </c>
      <c r="W1982" s="16">
        <f>V1982*N1982*O1982</f>
        <v/>
      </c>
      <c r="X1982" s="12">
        <f>IF(LEFT(I1982,2)="MV",2*N1982*IF(L1982="1/C",O1982,1),0)</f>
        <v/>
      </c>
      <c r="Y1982" s="12">
        <f>IF(OR(LEFT(K1982,4)="LVAX",LEFT(K1982,6)="MV15AX",LEFT(K1982,4)="CTAX",LEFT(K1982,2)="W|"),2*N1982*O1982,0)</f>
        <v/>
      </c>
      <c r="Z1982" s="12" t="inlineStr"/>
      <c r="AA1982" s="12">
        <f>N1982*O1982</f>
        <v/>
      </c>
    </row>
    <row r="1983">
      <c r="A1983" s="12" t="inlineStr">
        <is>
          <t>B-C-0056</t>
        </is>
      </c>
      <c r="B1983" s="12" t="inlineStr">
        <is>
          <t>B</t>
        </is>
      </c>
      <c r="C1983" s="12" t="inlineStr">
        <is>
          <t>ACC</t>
        </is>
      </c>
      <c r="D1983" s="12" t="inlineStr">
        <is>
          <t>ACC fan F56 vibration / RTD / local station</t>
        </is>
      </c>
      <c r="E1983" s="12" t="inlineStr">
        <is>
          <t>R4</t>
        </is>
      </c>
      <c r="F1983" s="12" t="inlineStr">
        <is>
          <t>R4: ACC electrical (VFD) e-house (60 x 120 ft)</t>
        </is>
      </c>
      <c r="G1983" s="12" t="inlineStr">
        <is>
          <t>ACC-F56</t>
        </is>
      </c>
      <c r="H1983" s="12" t="inlineStr">
        <is>
          <t>ACC fan motor F56</t>
        </is>
      </c>
      <c r="I1983" s="12" t="inlineStr">
        <is>
          <t>Control</t>
        </is>
      </c>
      <c r="J1983" s="12" t="inlineStr">
        <is>
          <t>Control cable 600 V Type TC-ER, Cu #14 AWG, PVC jacket</t>
        </is>
      </c>
      <c r="K1983" s="12" t="inlineStr">
        <is>
          <t>CT|7/C|14</t>
        </is>
      </c>
      <c r="L1983" s="12" t="inlineStr">
        <is>
          <t>7/C</t>
        </is>
      </c>
      <c r="M1983" s="12" t="inlineStr">
        <is>
          <t>14</t>
        </is>
      </c>
      <c r="N1983" s="12" t="n">
        <v>1</v>
      </c>
      <c r="O1983" s="12" t="n">
        <v>1</v>
      </c>
      <c r="P1983" s="12" t="n"/>
      <c r="Q1983" s="12" t="n"/>
      <c r="R1983" s="12" t="n"/>
      <c r="S1983" s="12" t="inlineStr">
        <is>
          <t>Tray</t>
        </is>
      </c>
      <c r="T1983" s="16" t="n">
        <v>161</v>
      </c>
      <c r="U1983" s="16" t="n">
        <v>44</v>
      </c>
      <c r="V1983" s="16">
        <f>ROUNDUP((T1983+U1983+2*'Read Me'!$B$13)*(1+'Read Me'!$B$12),-1)</f>
        <v/>
      </c>
      <c r="W1983" s="16">
        <f>V1983*N1983*O1983</f>
        <v/>
      </c>
      <c r="X1983" s="12">
        <f>IF(LEFT(I1983,2)="MV",2*N1983*IF(L1983="1/C",O1983,1),0)</f>
        <v/>
      </c>
      <c r="Y1983" s="12">
        <f>IF(OR(LEFT(K1983,4)="LVAX",LEFT(K1983,6)="MV15AX",LEFT(K1983,4)="CTAX",LEFT(K1983,2)="W|"),2*N1983*O1983,0)</f>
        <v/>
      </c>
      <c r="Z1983" s="12" t="inlineStr"/>
      <c r="AA1983" s="12">
        <f>N1983*O1983</f>
        <v/>
      </c>
    </row>
    <row r="1984">
      <c r="A1984" s="12" t="inlineStr">
        <is>
          <t>B-C-0057</t>
        </is>
      </c>
      <c r="B1984" s="12" t="inlineStr">
        <is>
          <t>B</t>
        </is>
      </c>
      <c r="C1984" s="12" t="inlineStr">
        <is>
          <t>ACC</t>
        </is>
      </c>
      <c r="D1984" s="12" t="inlineStr">
        <is>
          <t>ACC fan F57 vibration / RTD / local station</t>
        </is>
      </c>
      <c r="E1984" s="12" t="inlineStr">
        <is>
          <t>R4</t>
        </is>
      </c>
      <c r="F1984" s="12" t="inlineStr">
        <is>
          <t>R4: ACC electrical (VFD) e-house (60 x 120 ft)</t>
        </is>
      </c>
      <c r="G1984" s="12" t="inlineStr">
        <is>
          <t>ACC-F57</t>
        </is>
      </c>
      <c r="H1984" s="12" t="inlineStr">
        <is>
          <t>ACC fan motor F57</t>
        </is>
      </c>
      <c r="I1984" s="12" t="inlineStr">
        <is>
          <t>Control</t>
        </is>
      </c>
      <c r="J1984" s="12" t="inlineStr">
        <is>
          <t>Control cable 600 V Type TC-ER, Cu #14 AWG, PVC jacket</t>
        </is>
      </c>
      <c r="K1984" s="12" t="inlineStr">
        <is>
          <t>CT|7/C|14</t>
        </is>
      </c>
      <c r="L1984" s="12" t="inlineStr">
        <is>
          <t>7/C</t>
        </is>
      </c>
      <c r="M1984" s="12" t="inlineStr">
        <is>
          <t>14</t>
        </is>
      </c>
      <c r="N1984" s="12" t="n">
        <v>1</v>
      </c>
      <c r="O1984" s="12" t="n">
        <v>1</v>
      </c>
      <c r="P1984" s="12" t="n"/>
      <c r="Q1984" s="12" t="n"/>
      <c r="R1984" s="12" t="n"/>
      <c r="S1984" s="12" t="inlineStr">
        <is>
          <t>Tray</t>
        </is>
      </c>
      <c r="T1984" s="16" t="n">
        <v>193</v>
      </c>
      <c r="U1984" s="16" t="n">
        <v>44</v>
      </c>
      <c r="V1984" s="16">
        <f>ROUNDUP((T1984+U1984+2*'Read Me'!$B$13)*(1+'Read Me'!$B$12),-1)</f>
        <v/>
      </c>
      <c r="W1984" s="16">
        <f>V1984*N1984*O1984</f>
        <v/>
      </c>
      <c r="X1984" s="12">
        <f>IF(LEFT(I1984,2)="MV",2*N1984*IF(L1984="1/C",O1984,1),0)</f>
        <v/>
      </c>
      <c r="Y1984" s="12">
        <f>IF(OR(LEFT(K1984,4)="LVAX",LEFT(K1984,6)="MV15AX",LEFT(K1984,4)="CTAX",LEFT(K1984,2)="W|"),2*N1984*O1984,0)</f>
        <v/>
      </c>
      <c r="Z1984" s="12" t="inlineStr"/>
      <c r="AA1984" s="12">
        <f>N1984*O1984</f>
        <v/>
      </c>
    </row>
    <row r="1985">
      <c r="A1985" s="12" t="inlineStr">
        <is>
          <t>B-C-0058</t>
        </is>
      </c>
      <c r="B1985" s="12" t="inlineStr">
        <is>
          <t>B</t>
        </is>
      </c>
      <c r="C1985" s="12" t="inlineStr">
        <is>
          <t>ACC</t>
        </is>
      </c>
      <c r="D1985" s="12" t="inlineStr">
        <is>
          <t>ACC fan F58 vibration / RTD / local station</t>
        </is>
      </c>
      <c r="E1985" s="12" t="inlineStr">
        <is>
          <t>R4</t>
        </is>
      </c>
      <c r="F1985" s="12" t="inlineStr">
        <is>
          <t>R4: ACC electrical (VFD) e-house (60 x 120 ft)</t>
        </is>
      </c>
      <c r="G1985" s="12" t="inlineStr">
        <is>
          <t>ACC-F58</t>
        </is>
      </c>
      <c r="H1985" s="12" t="inlineStr">
        <is>
          <t>ACC fan motor F58</t>
        </is>
      </c>
      <c r="I1985" s="12" t="inlineStr">
        <is>
          <t>Control</t>
        </is>
      </c>
      <c r="J1985" s="12" t="inlineStr">
        <is>
          <t>Control cable 600 V Type TC-ER, Cu #14 AWG, PVC jacket</t>
        </is>
      </c>
      <c r="K1985" s="12" t="inlineStr">
        <is>
          <t>CT|7/C|14</t>
        </is>
      </c>
      <c r="L1985" s="12" t="inlineStr">
        <is>
          <t>7/C</t>
        </is>
      </c>
      <c r="M1985" s="12" t="inlineStr">
        <is>
          <t>14</t>
        </is>
      </c>
      <c r="N1985" s="12" t="n">
        <v>1</v>
      </c>
      <c r="O1985" s="12" t="n">
        <v>1</v>
      </c>
      <c r="P1985" s="12" t="n"/>
      <c r="Q1985" s="12" t="n"/>
      <c r="R1985" s="12" t="n"/>
      <c r="S1985" s="12" t="inlineStr">
        <is>
          <t>Tray</t>
        </is>
      </c>
      <c r="T1985" s="16" t="n">
        <v>225</v>
      </c>
      <c r="U1985" s="16" t="n">
        <v>44</v>
      </c>
      <c r="V1985" s="16">
        <f>ROUNDUP((T1985+U1985+2*'Read Me'!$B$13)*(1+'Read Me'!$B$12),-1)</f>
        <v/>
      </c>
      <c r="W1985" s="16">
        <f>V1985*N1985*O1985</f>
        <v/>
      </c>
      <c r="X1985" s="12">
        <f>IF(LEFT(I1985,2)="MV",2*N1985*IF(L1985="1/C",O1985,1),0)</f>
        <v/>
      </c>
      <c r="Y1985" s="12">
        <f>IF(OR(LEFT(K1985,4)="LVAX",LEFT(K1985,6)="MV15AX",LEFT(K1985,4)="CTAX",LEFT(K1985,2)="W|"),2*N1985*O1985,0)</f>
        <v/>
      </c>
      <c r="Z1985" s="12" t="inlineStr"/>
      <c r="AA1985" s="12">
        <f>N1985*O1985</f>
        <v/>
      </c>
    </row>
    <row r="1986">
      <c r="A1986" s="12" t="inlineStr">
        <is>
          <t>B-C-0059</t>
        </is>
      </c>
      <c r="B1986" s="12" t="inlineStr">
        <is>
          <t>B</t>
        </is>
      </c>
      <c r="C1986" s="12" t="inlineStr">
        <is>
          <t>ACC</t>
        </is>
      </c>
      <c r="D1986" s="12" t="inlineStr">
        <is>
          <t>ACC fan F59 vibration / RTD / local station</t>
        </is>
      </c>
      <c r="E1986" s="12" t="inlineStr">
        <is>
          <t>R4</t>
        </is>
      </c>
      <c r="F1986" s="12" t="inlineStr">
        <is>
          <t>R4: ACC electrical (VFD) e-house (60 x 120 ft)</t>
        </is>
      </c>
      <c r="G1986" s="12" t="inlineStr">
        <is>
          <t>ACC-F59</t>
        </is>
      </c>
      <c r="H1986" s="12" t="inlineStr">
        <is>
          <t>ACC fan motor F59</t>
        </is>
      </c>
      <c r="I1986" s="12" t="inlineStr">
        <is>
          <t>Control</t>
        </is>
      </c>
      <c r="J1986" s="12" t="inlineStr">
        <is>
          <t>Control cable 600 V Type TC-ER, Cu #14 AWG, PVC jacket</t>
        </is>
      </c>
      <c r="K1986" s="12" t="inlineStr">
        <is>
          <t>CT|7/C|14</t>
        </is>
      </c>
      <c r="L1986" s="12" t="inlineStr">
        <is>
          <t>7/C</t>
        </is>
      </c>
      <c r="M1986" s="12" t="inlineStr">
        <is>
          <t>14</t>
        </is>
      </c>
      <c r="N1986" s="12" t="n">
        <v>1</v>
      </c>
      <c r="O1986" s="12" t="n">
        <v>1</v>
      </c>
      <c r="P1986" s="12" t="n"/>
      <c r="Q1986" s="12" t="n"/>
      <c r="R1986" s="12" t="n"/>
      <c r="S1986" s="12" t="inlineStr">
        <is>
          <t>Tray</t>
        </is>
      </c>
      <c r="T1986" s="16" t="n">
        <v>257</v>
      </c>
      <c r="U1986" s="16" t="n">
        <v>44</v>
      </c>
      <c r="V1986" s="16">
        <f>ROUNDUP((T1986+U1986+2*'Read Me'!$B$13)*(1+'Read Me'!$B$12),-1)</f>
        <v/>
      </c>
      <c r="W1986" s="16">
        <f>V1986*N1986*O1986</f>
        <v/>
      </c>
      <c r="X1986" s="12">
        <f>IF(LEFT(I1986,2)="MV",2*N1986*IF(L1986="1/C",O1986,1),0)</f>
        <v/>
      </c>
      <c r="Y1986" s="12">
        <f>IF(OR(LEFT(K1986,4)="LVAX",LEFT(K1986,6)="MV15AX",LEFT(K1986,4)="CTAX",LEFT(K1986,2)="W|"),2*N1986*O1986,0)</f>
        <v/>
      </c>
      <c r="Z1986" s="12" t="inlineStr"/>
      <c r="AA1986" s="12">
        <f>N1986*O1986</f>
        <v/>
      </c>
    </row>
    <row r="1987">
      <c r="A1987" s="12" t="inlineStr">
        <is>
          <t>B-C-0060</t>
        </is>
      </c>
      <c r="B1987" s="12" t="inlineStr">
        <is>
          <t>B</t>
        </is>
      </c>
      <c r="C1987" s="12" t="inlineStr">
        <is>
          <t>ACC</t>
        </is>
      </c>
      <c r="D1987" s="12" t="inlineStr">
        <is>
          <t>ACC fan F60 vibration / RTD / local station</t>
        </is>
      </c>
      <c r="E1987" s="12" t="inlineStr">
        <is>
          <t>R4</t>
        </is>
      </c>
      <c r="F1987" s="12" t="inlineStr">
        <is>
          <t>R4: ACC electrical (VFD) e-house (60 x 120 ft)</t>
        </is>
      </c>
      <c r="G1987" s="12" t="inlineStr">
        <is>
          <t>ACC-F60</t>
        </is>
      </c>
      <c r="H1987" s="12" t="inlineStr">
        <is>
          <t>ACC fan motor F60</t>
        </is>
      </c>
      <c r="I1987" s="12" t="inlineStr">
        <is>
          <t>Control</t>
        </is>
      </c>
      <c r="J1987" s="12" t="inlineStr">
        <is>
          <t>Control cable 600 V Type TC-ER, Cu #14 AWG, PVC jacket</t>
        </is>
      </c>
      <c r="K1987" s="12" t="inlineStr">
        <is>
          <t>CT|7/C|14</t>
        </is>
      </c>
      <c r="L1987" s="12" t="inlineStr">
        <is>
          <t>7/C</t>
        </is>
      </c>
      <c r="M1987" s="12" t="inlineStr">
        <is>
          <t>14</t>
        </is>
      </c>
      <c r="N1987" s="12" t="n">
        <v>1</v>
      </c>
      <c r="O1987" s="12" t="n">
        <v>1</v>
      </c>
      <c r="P1987" s="12" t="n"/>
      <c r="Q1987" s="12" t="n"/>
      <c r="R1987" s="12" t="n"/>
      <c r="S1987" s="12" t="inlineStr">
        <is>
          <t>Tray</t>
        </is>
      </c>
      <c r="T1987" s="16" t="n">
        <v>289</v>
      </c>
      <c r="U1987" s="16" t="n">
        <v>44</v>
      </c>
      <c r="V1987" s="16">
        <f>ROUNDUP((T1987+U1987+2*'Read Me'!$B$13)*(1+'Read Me'!$B$12),-1)</f>
        <v/>
      </c>
      <c r="W1987" s="16">
        <f>V1987*N1987*O1987</f>
        <v/>
      </c>
      <c r="X1987" s="12">
        <f>IF(LEFT(I1987,2)="MV",2*N1987*IF(L1987="1/C",O1987,1),0)</f>
        <v/>
      </c>
      <c r="Y1987" s="12">
        <f>IF(OR(LEFT(K1987,4)="LVAX",LEFT(K1987,6)="MV15AX",LEFT(K1987,4)="CTAX",LEFT(K1987,2)="W|"),2*N1987*O1987,0)</f>
        <v/>
      </c>
      <c r="Z1987" s="12" t="inlineStr"/>
      <c r="AA1987" s="12">
        <f>N1987*O1987</f>
        <v/>
      </c>
    </row>
    <row r="1988">
      <c r="A1988" s="12" t="inlineStr">
        <is>
          <t>B-C-0061</t>
        </is>
      </c>
      <c r="B1988" s="12" t="inlineStr">
        <is>
          <t>B</t>
        </is>
      </c>
      <c r="C1988" s="12" t="inlineStr">
        <is>
          <t>ACC</t>
        </is>
      </c>
      <c r="D1988" s="12" t="inlineStr">
        <is>
          <t>ACC fan F61 vibration / RTD / local station</t>
        </is>
      </c>
      <c r="E1988" s="12" t="inlineStr">
        <is>
          <t>R4</t>
        </is>
      </c>
      <c r="F1988" s="12" t="inlineStr">
        <is>
          <t>R4: ACC electrical (VFD) e-house (60 x 120 ft)</t>
        </is>
      </c>
      <c r="G1988" s="12" t="inlineStr">
        <is>
          <t>ACC-F61</t>
        </is>
      </c>
      <c r="H1988" s="12" t="inlineStr">
        <is>
          <t>ACC fan motor F61</t>
        </is>
      </c>
      <c r="I1988" s="12" t="inlineStr">
        <is>
          <t>Control</t>
        </is>
      </c>
      <c r="J1988" s="12" t="inlineStr">
        <is>
          <t>Control cable 600 V Type TC-ER, Cu #14 AWG, PVC jacket</t>
        </is>
      </c>
      <c r="K1988" s="12" t="inlineStr">
        <is>
          <t>CT|7/C|14</t>
        </is>
      </c>
      <c r="L1988" s="12" t="inlineStr">
        <is>
          <t>7/C</t>
        </is>
      </c>
      <c r="M1988" s="12" t="inlineStr">
        <is>
          <t>14</t>
        </is>
      </c>
      <c r="N1988" s="12" t="n">
        <v>1</v>
      </c>
      <c r="O1988" s="12" t="n">
        <v>1</v>
      </c>
      <c r="P1988" s="12" t="n"/>
      <c r="Q1988" s="12" t="n"/>
      <c r="R1988" s="12" t="n"/>
      <c r="S1988" s="12" t="inlineStr">
        <is>
          <t>Tray</t>
        </is>
      </c>
      <c r="T1988" s="16" t="n">
        <v>339</v>
      </c>
      <c r="U1988" s="16" t="n">
        <v>44</v>
      </c>
      <c r="V1988" s="16">
        <f>ROUNDUP((T1988+U1988+2*'Read Me'!$B$13)*(1+'Read Me'!$B$12),-1)</f>
        <v/>
      </c>
      <c r="W1988" s="16">
        <f>V1988*N1988*O1988</f>
        <v/>
      </c>
      <c r="X1988" s="12">
        <f>IF(LEFT(I1988,2)="MV",2*N1988*IF(L1988="1/C",O1988,1),0)</f>
        <v/>
      </c>
      <c r="Y1988" s="12">
        <f>IF(OR(LEFT(K1988,4)="LVAX",LEFT(K1988,6)="MV15AX",LEFT(K1988,4)="CTAX",LEFT(K1988,2)="W|"),2*N1988*O1988,0)</f>
        <v/>
      </c>
      <c r="Z1988" s="12" t="inlineStr"/>
      <c r="AA1988" s="12">
        <f>N1988*O1988</f>
        <v/>
      </c>
    </row>
    <row r="1989">
      <c r="A1989" s="12" t="inlineStr">
        <is>
          <t>B-C-0062</t>
        </is>
      </c>
      <c r="B1989" s="12" t="inlineStr">
        <is>
          <t>B</t>
        </is>
      </c>
      <c r="C1989" s="12" t="inlineStr">
        <is>
          <t>ACC</t>
        </is>
      </c>
      <c r="D1989" s="12" t="inlineStr">
        <is>
          <t>ACC fan F62 vibration / RTD / local station</t>
        </is>
      </c>
      <c r="E1989" s="12" t="inlineStr">
        <is>
          <t>R4</t>
        </is>
      </c>
      <c r="F1989" s="12" t="inlineStr">
        <is>
          <t>R4: ACC electrical (VFD) e-house (60 x 120 ft)</t>
        </is>
      </c>
      <c r="G1989" s="12" t="inlineStr">
        <is>
          <t>ACC-F62</t>
        </is>
      </c>
      <c r="H1989" s="12" t="inlineStr">
        <is>
          <t>ACC fan motor F62</t>
        </is>
      </c>
      <c r="I1989" s="12" t="inlineStr">
        <is>
          <t>Control</t>
        </is>
      </c>
      <c r="J1989" s="12" t="inlineStr">
        <is>
          <t>Control cable 600 V Type TC-ER, Cu #14 AWG, PVC jacket</t>
        </is>
      </c>
      <c r="K1989" s="12" t="inlineStr">
        <is>
          <t>CT|7/C|14</t>
        </is>
      </c>
      <c r="L1989" s="12" t="inlineStr">
        <is>
          <t>7/C</t>
        </is>
      </c>
      <c r="M1989" s="12" t="inlineStr">
        <is>
          <t>14</t>
        </is>
      </c>
      <c r="N1989" s="12" t="n">
        <v>1</v>
      </c>
      <c r="O1989" s="12" t="n">
        <v>1</v>
      </c>
      <c r="P1989" s="12" t="n"/>
      <c r="Q1989" s="12" t="n"/>
      <c r="R1989" s="12" t="n"/>
      <c r="S1989" s="12" t="inlineStr">
        <is>
          <t>Tray</t>
        </is>
      </c>
      <c r="T1989" s="16" t="n">
        <v>307</v>
      </c>
      <c r="U1989" s="16" t="n">
        <v>44</v>
      </c>
      <c r="V1989" s="16">
        <f>ROUNDUP((T1989+U1989+2*'Read Me'!$B$13)*(1+'Read Me'!$B$12),-1)</f>
        <v/>
      </c>
      <c r="W1989" s="16">
        <f>V1989*N1989*O1989</f>
        <v/>
      </c>
      <c r="X1989" s="12">
        <f>IF(LEFT(I1989,2)="MV",2*N1989*IF(L1989="1/C",O1989,1),0)</f>
        <v/>
      </c>
      <c r="Y1989" s="12">
        <f>IF(OR(LEFT(K1989,4)="LVAX",LEFT(K1989,6)="MV15AX",LEFT(K1989,4)="CTAX",LEFT(K1989,2)="W|"),2*N1989*O1989,0)</f>
        <v/>
      </c>
      <c r="Z1989" s="12" t="inlineStr"/>
      <c r="AA1989" s="12">
        <f>N1989*O1989</f>
        <v/>
      </c>
    </row>
    <row r="1990">
      <c r="A1990" s="12" t="inlineStr">
        <is>
          <t>B-C-0063</t>
        </is>
      </c>
      <c r="B1990" s="12" t="inlineStr">
        <is>
          <t>B</t>
        </is>
      </c>
      <c r="C1990" s="12" t="inlineStr">
        <is>
          <t>ACC</t>
        </is>
      </c>
      <c r="D1990" s="12" t="inlineStr">
        <is>
          <t>ACC fan F63 vibration / RTD / local station</t>
        </is>
      </c>
      <c r="E1990" s="12" t="inlineStr">
        <is>
          <t>R4</t>
        </is>
      </c>
      <c r="F1990" s="12" t="inlineStr">
        <is>
          <t>R4: ACC electrical (VFD) e-house (60 x 120 ft)</t>
        </is>
      </c>
      <c r="G1990" s="12" t="inlineStr">
        <is>
          <t>ACC-F63</t>
        </is>
      </c>
      <c r="H1990" s="12" t="inlineStr">
        <is>
          <t>ACC fan motor F63</t>
        </is>
      </c>
      <c r="I1990" s="12" t="inlineStr">
        <is>
          <t>Control</t>
        </is>
      </c>
      <c r="J1990" s="12" t="inlineStr">
        <is>
          <t>Control cable 600 V Type TC-ER, Cu #14 AWG, PVC jacket</t>
        </is>
      </c>
      <c r="K1990" s="12" t="inlineStr">
        <is>
          <t>CT|7/C|14</t>
        </is>
      </c>
      <c r="L1990" s="12" t="inlineStr">
        <is>
          <t>7/C</t>
        </is>
      </c>
      <c r="M1990" s="12" t="inlineStr">
        <is>
          <t>14</t>
        </is>
      </c>
      <c r="N1990" s="12" t="n">
        <v>1</v>
      </c>
      <c r="O1990" s="12" t="n">
        <v>1</v>
      </c>
      <c r="P1990" s="12" t="n"/>
      <c r="Q1990" s="12" t="n"/>
      <c r="R1990" s="12" t="n"/>
      <c r="S1990" s="12" t="inlineStr">
        <is>
          <t>Tray</t>
        </is>
      </c>
      <c r="T1990" s="16" t="n">
        <v>275</v>
      </c>
      <c r="U1990" s="16" t="n">
        <v>44</v>
      </c>
      <c r="V1990" s="16">
        <f>ROUNDUP((T1990+U1990+2*'Read Me'!$B$13)*(1+'Read Me'!$B$12),-1)</f>
        <v/>
      </c>
      <c r="W1990" s="16">
        <f>V1990*N1990*O1990</f>
        <v/>
      </c>
      <c r="X1990" s="12">
        <f>IF(LEFT(I1990,2)="MV",2*N1990*IF(L1990="1/C",O1990,1),0)</f>
        <v/>
      </c>
      <c r="Y1990" s="12">
        <f>IF(OR(LEFT(K1990,4)="LVAX",LEFT(K1990,6)="MV15AX",LEFT(K1990,4)="CTAX",LEFT(K1990,2)="W|"),2*N1990*O1990,0)</f>
        <v/>
      </c>
      <c r="Z1990" s="12" t="inlineStr"/>
      <c r="AA1990" s="12">
        <f>N1990*O1990</f>
        <v/>
      </c>
    </row>
    <row r="1991">
      <c r="A1991" s="12" t="inlineStr">
        <is>
          <t>B-C-0064</t>
        </is>
      </c>
      <c r="B1991" s="12" t="inlineStr">
        <is>
          <t>B</t>
        </is>
      </c>
      <c r="C1991" s="12" t="inlineStr">
        <is>
          <t>ACC</t>
        </is>
      </c>
      <c r="D1991" s="12" t="inlineStr">
        <is>
          <t>ACC fan F64 vibration / RTD / local station</t>
        </is>
      </c>
      <c r="E1991" s="12" t="inlineStr">
        <is>
          <t>R4</t>
        </is>
      </c>
      <c r="F1991" s="12" t="inlineStr">
        <is>
          <t>R4: ACC electrical (VFD) e-house (60 x 120 ft)</t>
        </is>
      </c>
      <c r="G1991" s="12" t="inlineStr">
        <is>
          <t>ACC-F64</t>
        </is>
      </c>
      <c r="H1991" s="12" t="inlineStr">
        <is>
          <t>ACC fan motor F64</t>
        </is>
      </c>
      <c r="I1991" s="12" t="inlineStr">
        <is>
          <t>Control</t>
        </is>
      </c>
      <c r="J1991" s="12" t="inlineStr">
        <is>
          <t>Control cable 600 V Type TC-ER, Cu #14 AWG, PVC jacket</t>
        </is>
      </c>
      <c r="K1991" s="12" t="inlineStr">
        <is>
          <t>CT|7/C|14</t>
        </is>
      </c>
      <c r="L1991" s="12" t="inlineStr">
        <is>
          <t>7/C</t>
        </is>
      </c>
      <c r="M1991" s="12" t="inlineStr">
        <is>
          <t>14</t>
        </is>
      </c>
      <c r="N1991" s="12" t="n">
        <v>1</v>
      </c>
      <c r="O1991" s="12" t="n">
        <v>1</v>
      </c>
      <c r="P1991" s="12" t="n"/>
      <c r="Q1991" s="12" t="n"/>
      <c r="R1991" s="12" t="n"/>
      <c r="S1991" s="12" t="inlineStr">
        <is>
          <t>Tray</t>
        </is>
      </c>
      <c r="T1991" s="16" t="n">
        <v>243</v>
      </c>
      <c r="U1991" s="16" t="n">
        <v>44</v>
      </c>
      <c r="V1991" s="16">
        <f>ROUNDUP((T1991+U1991+2*'Read Me'!$B$13)*(1+'Read Me'!$B$12),-1)</f>
        <v/>
      </c>
      <c r="W1991" s="16">
        <f>V1991*N1991*O1991</f>
        <v/>
      </c>
      <c r="X1991" s="12">
        <f>IF(LEFT(I1991,2)="MV",2*N1991*IF(L1991="1/C",O1991,1),0)</f>
        <v/>
      </c>
      <c r="Y1991" s="12">
        <f>IF(OR(LEFT(K1991,4)="LVAX",LEFT(K1991,6)="MV15AX",LEFT(K1991,4)="CTAX",LEFT(K1991,2)="W|"),2*N1991*O1991,0)</f>
        <v/>
      </c>
      <c r="Z1991" s="12" t="inlineStr"/>
      <c r="AA1991" s="12">
        <f>N1991*O1991</f>
        <v/>
      </c>
    </row>
    <row r="1992">
      <c r="A1992" s="12" t="inlineStr">
        <is>
          <t>B-C-0065</t>
        </is>
      </c>
      <c r="B1992" s="12" t="inlineStr">
        <is>
          <t>B</t>
        </is>
      </c>
      <c r="C1992" s="12" t="inlineStr">
        <is>
          <t>ACC</t>
        </is>
      </c>
      <c r="D1992" s="12" t="inlineStr">
        <is>
          <t>ACC fan F65 vibration / RTD / local station</t>
        </is>
      </c>
      <c r="E1992" s="12" t="inlineStr">
        <is>
          <t>R4</t>
        </is>
      </c>
      <c r="F1992" s="12" t="inlineStr">
        <is>
          <t>R4: ACC electrical (VFD) e-house (60 x 120 ft)</t>
        </is>
      </c>
      <c r="G1992" s="12" t="inlineStr">
        <is>
          <t>ACC-F65</t>
        </is>
      </c>
      <c r="H1992" s="12" t="inlineStr">
        <is>
          <t>ACC fan motor F65</t>
        </is>
      </c>
      <c r="I1992" s="12" t="inlineStr">
        <is>
          <t>Control</t>
        </is>
      </c>
      <c r="J1992" s="12" t="inlineStr">
        <is>
          <t>Control cable 600 V Type TC-ER, Cu #14 AWG, PVC jacket</t>
        </is>
      </c>
      <c r="K1992" s="12" t="inlineStr">
        <is>
          <t>CT|7/C|14</t>
        </is>
      </c>
      <c r="L1992" s="12" t="inlineStr">
        <is>
          <t>7/C</t>
        </is>
      </c>
      <c r="M1992" s="12" t="inlineStr">
        <is>
          <t>14</t>
        </is>
      </c>
      <c r="N1992" s="12" t="n">
        <v>1</v>
      </c>
      <c r="O1992" s="12" t="n">
        <v>1</v>
      </c>
      <c r="P1992" s="12" t="n"/>
      <c r="Q1992" s="12" t="n"/>
      <c r="R1992" s="12" t="n"/>
      <c r="S1992" s="12" t="inlineStr">
        <is>
          <t>Tray</t>
        </is>
      </c>
      <c r="T1992" s="16" t="n">
        <v>211</v>
      </c>
      <c r="U1992" s="16" t="n">
        <v>44</v>
      </c>
      <c r="V1992" s="16">
        <f>ROUNDUP((T1992+U1992+2*'Read Me'!$B$13)*(1+'Read Me'!$B$12),-1)</f>
        <v/>
      </c>
      <c r="W1992" s="16">
        <f>V1992*N1992*O1992</f>
        <v/>
      </c>
      <c r="X1992" s="12">
        <f>IF(LEFT(I1992,2)="MV",2*N1992*IF(L1992="1/C",O1992,1),0)</f>
        <v/>
      </c>
      <c r="Y1992" s="12">
        <f>IF(OR(LEFT(K1992,4)="LVAX",LEFT(K1992,6)="MV15AX",LEFT(K1992,4)="CTAX",LEFT(K1992,2)="W|"),2*N1992*O1992,0)</f>
        <v/>
      </c>
      <c r="Z1992" s="12" t="inlineStr"/>
      <c r="AA1992" s="12">
        <f>N1992*O1992</f>
        <v/>
      </c>
    </row>
    <row r="1993">
      <c r="A1993" s="12" t="inlineStr">
        <is>
          <t>B-C-0066</t>
        </is>
      </c>
      <c r="B1993" s="12" t="inlineStr">
        <is>
          <t>B</t>
        </is>
      </c>
      <c r="C1993" s="12" t="inlineStr">
        <is>
          <t>ACC</t>
        </is>
      </c>
      <c r="D1993" s="12" t="inlineStr">
        <is>
          <t>ACC fan F66 vibration / RTD / local station</t>
        </is>
      </c>
      <c r="E1993" s="12" t="inlineStr">
        <is>
          <t>R4</t>
        </is>
      </c>
      <c r="F1993" s="12" t="inlineStr">
        <is>
          <t>R4: ACC electrical (VFD) e-house (60 x 120 ft)</t>
        </is>
      </c>
      <c r="G1993" s="12" t="inlineStr">
        <is>
          <t>ACC-F66</t>
        </is>
      </c>
      <c r="H1993" s="12" t="inlineStr">
        <is>
          <t>ACC fan motor F66</t>
        </is>
      </c>
      <c r="I1993" s="12" t="inlineStr">
        <is>
          <t>Control</t>
        </is>
      </c>
      <c r="J1993" s="12" t="inlineStr">
        <is>
          <t>Control cable 600 V Type TC-ER, Cu #14 AWG, PVC jacket</t>
        </is>
      </c>
      <c r="K1993" s="12" t="inlineStr">
        <is>
          <t>CT|7/C|14</t>
        </is>
      </c>
      <c r="L1993" s="12" t="inlineStr">
        <is>
          <t>7/C</t>
        </is>
      </c>
      <c r="M1993" s="12" t="inlineStr">
        <is>
          <t>14</t>
        </is>
      </c>
      <c r="N1993" s="12" t="n">
        <v>1</v>
      </c>
      <c r="O1993" s="12" t="n">
        <v>1</v>
      </c>
      <c r="P1993" s="12" t="n"/>
      <c r="Q1993" s="12" t="n"/>
      <c r="R1993" s="12" t="n"/>
      <c r="S1993" s="12" t="inlineStr">
        <is>
          <t>Tray</t>
        </is>
      </c>
      <c r="T1993" s="16" t="n">
        <v>211</v>
      </c>
      <c r="U1993" s="16" t="n">
        <v>44</v>
      </c>
      <c r="V1993" s="16">
        <f>ROUNDUP((T1993+U1993+2*'Read Me'!$B$13)*(1+'Read Me'!$B$12),-1)</f>
        <v/>
      </c>
      <c r="W1993" s="16">
        <f>V1993*N1993*O1993</f>
        <v/>
      </c>
      <c r="X1993" s="12">
        <f>IF(LEFT(I1993,2)="MV",2*N1993*IF(L1993="1/C",O1993,1),0)</f>
        <v/>
      </c>
      <c r="Y1993" s="12">
        <f>IF(OR(LEFT(K1993,4)="LVAX",LEFT(K1993,6)="MV15AX",LEFT(K1993,4)="CTAX",LEFT(K1993,2)="W|"),2*N1993*O1993,0)</f>
        <v/>
      </c>
      <c r="Z1993" s="12" t="inlineStr"/>
      <c r="AA1993" s="12">
        <f>N1993*O1993</f>
        <v/>
      </c>
    </row>
    <row r="1994">
      <c r="A1994" s="12" t="inlineStr">
        <is>
          <t>B-C-0067</t>
        </is>
      </c>
      <c r="B1994" s="12" t="inlineStr">
        <is>
          <t>B</t>
        </is>
      </c>
      <c r="C1994" s="12" t="inlineStr">
        <is>
          <t>ACC</t>
        </is>
      </c>
      <c r="D1994" s="12" t="inlineStr">
        <is>
          <t>ACC fan F67 vibration / RTD / local station</t>
        </is>
      </c>
      <c r="E1994" s="12" t="inlineStr">
        <is>
          <t>R4</t>
        </is>
      </c>
      <c r="F1994" s="12" t="inlineStr">
        <is>
          <t>R4: ACC electrical (VFD) e-house (60 x 120 ft)</t>
        </is>
      </c>
      <c r="G1994" s="12" t="inlineStr">
        <is>
          <t>ACC-F67</t>
        </is>
      </c>
      <c r="H1994" s="12" t="inlineStr">
        <is>
          <t>ACC fan motor F67</t>
        </is>
      </c>
      <c r="I1994" s="12" t="inlineStr">
        <is>
          <t>Control</t>
        </is>
      </c>
      <c r="J1994" s="12" t="inlineStr">
        <is>
          <t>Control cable 600 V Type TC-ER, Cu #14 AWG, PVC jacket</t>
        </is>
      </c>
      <c r="K1994" s="12" t="inlineStr">
        <is>
          <t>CT|7/C|14</t>
        </is>
      </c>
      <c r="L1994" s="12" t="inlineStr">
        <is>
          <t>7/C</t>
        </is>
      </c>
      <c r="M1994" s="12" t="inlineStr">
        <is>
          <t>14</t>
        </is>
      </c>
      <c r="N1994" s="12" t="n">
        <v>1</v>
      </c>
      <c r="O1994" s="12" t="n">
        <v>1</v>
      </c>
      <c r="P1994" s="12" t="n"/>
      <c r="Q1994" s="12" t="n"/>
      <c r="R1994" s="12" t="n"/>
      <c r="S1994" s="12" t="inlineStr">
        <is>
          <t>Tray</t>
        </is>
      </c>
      <c r="T1994" s="16" t="n">
        <v>243</v>
      </c>
      <c r="U1994" s="16" t="n">
        <v>44</v>
      </c>
      <c r="V1994" s="16">
        <f>ROUNDUP((T1994+U1994+2*'Read Me'!$B$13)*(1+'Read Me'!$B$12),-1)</f>
        <v/>
      </c>
      <c r="W1994" s="16">
        <f>V1994*N1994*O1994</f>
        <v/>
      </c>
      <c r="X1994" s="12">
        <f>IF(LEFT(I1994,2)="MV",2*N1994*IF(L1994="1/C",O1994,1),0)</f>
        <v/>
      </c>
      <c r="Y1994" s="12">
        <f>IF(OR(LEFT(K1994,4)="LVAX",LEFT(K1994,6)="MV15AX",LEFT(K1994,4)="CTAX",LEFT(K1994,2)="W|"),2*N1994*O1994,0)</f>
        <v/>
      </c>
      <c r="Z1994" s="12" t="inlineStr"/>
      <c r="AA1994" s="12">
        <f>N1994*O1994</f>
        <v/>
      </c>
    </row>
    <row r="1995">
      <c r="A1995" s="12" t="inlineStr">
        <is>
          <t>B-C-0068</t>
        </is>
      </c>
      <c r="B1995" s="12" t="inlineStr">
        <is>
          <t>B</t>
        </is>
      </c>
      <c r="C1995" s="12" t="inlineStr">
        <is>
          <t>ACC</t>
        </is>
      </c>
      <c r="D1995" s="12" t="inlineStr">
        <is>
          <t>ACC fan F68 vibration / RTD / local station</t>
        </is>
      </c>
      <c r="E1995" s="12" t="inlineStr">
        <is>
          <t>R4</t>
        </is>
      </c>
      <c r="F1995" s="12" t="inlineStr">
        <is>
          <t>R4: ACC electrical (VFD) e-house (60 x 120 ft)</t>
        </is>
      </c>
      <c r="G1995" s="12" t="inlineStr">
        <is>
          <t>ACC-F68</t>
        </is>
      </c>
      <c r="H1995" s="12" t="inlineStr">
        <is>
          <t>ACC fan motor F68</t>
        </is>
      </c>
      <c r="I1995" s="12" t="inlineStr">
        <is>
          <t>Control</t>
        </is>
      </c>
      <c r="J1995" s="12" t="inlineStr">
        <is>
          <t>Control cable 600 V Type TC-ER, Cu #14 AWG, PVC jacket</t>
        </is>
      </c>
      <c r="K1995" s="12" t="inlineStr">
        <is>
          <t>CT|7/C|14</t>
        </is>
      </c>
      <c r="L1995" s="12" t="inlineStr">
        <is>
          <t>7/C</t>
        </is>
      </c>
      <c r="M1995" s="12" t="inlineStr">
        <is>
          <t>14</t>
        </is>
      </c>
      <c r="N1995" s="12" t="n">
        <v>1</v>
      </c>
      <c r="O1995" s="12" t="n">
        <v>1</v>
      </c>
      <c r="P1995" s="12" t="n"/>
      <c r="Q1995" s="12" t="n"/>
      <c r="R1995" s="12" t="n"/>
      <c r="S1995" s="12" t="inlineStr">
        <is>
          <t>Tray</t>
        </is>
      </c>
      <c r="T1995" s="16" t="n">
        <v>275</v>
      </c>
      <c r="U1995" s="16" t="n">
        <v>44</v>
      </c>
      <c r="V1995" s="16">
        <f>ROUNDUP((T1995+U1995+2*'Read Me'!$B$13)*(1+'Read Me'!$B$12),-1)</f>
        <v/>
      </c>
      <c r="W1995" s="16">
        <f>V1995*N1995*O1995</f>
        <v/>
      </c>
      <c r="X1995" s="12">
        <f>IF(LEFT(I1995,2)="MV",2*N1995*IF(L1995="1/C",O1995,1),0)</f>
        <v/>
      </c>
      <c r="Y1995" s="12">
        <f>IF(OR(LEFT(K1995,4)="LVAX",LEFT(K1995,6)="MV15AX",LEFT(K1995,4)="CTAX",LEFT(K1995,2)="W|"),2*N1995*O1995,0)</f>
        <v/>
      </c>
      <c r="Z1995" s="12" t="inlineStr"/>
      <c r="AA1995" s="12">
        <f>N1995*O1995</f>
        <v/>
      </c>
    </row>
    <row r="1996">
      <c r="A1996" s="12" t="inlineStr">
        <is>
          <t>B-C-0069</t>
        </is>
      </c>
      <c r="B1996" s="12" t="inlineStr">
        <is>
          <t>B</t>
        </is>
      </c>
      <c r="C1996" s="12" t="inlineStr">
        <is>
          <t>ACC</t>
        </is>
      </c>
      <c r="D1996" s="12" t="inlineStr">
        <is>
          <t>ACC fan F69 vibration / RTD / local station</t>
        </is>
      </c>
      <c r="E1996" s="12" t="inlineStr">
        <is>
          <t>R4</t>
        </is>
      </c>
      <c r="F1996" s="12" t="inlineStr">
        <is>
          <t>R4: ACC electrical (VFD) e-house (60 x 120 ft)</t>
        </is>
      </c>
      <c r="G1996" s="12" t="inlineStr">
        <is>
          <t>ACC-F69</t>
        </is>
      </c>
      <c r="H1996" s="12" t="inlineStr">
        <is>
          <t>ACC fan motor F69</t>
        </is>
      </c>
      <c r="I1996" s="12" t="inlineStr">
        <is>
          <t>Control</t>
        </is>
      </c>
      <c r="J1996" s="12" t="inlineStr">
        <is>
          <t>Control cable 600 V Type TC-ER, Cu #14 AWG, PVC jacket</t>
        </is>
      </c>
      <c r="K1996" s="12" t="inlineStr">
        <is>
          <t>CT|7/C|14</t>
        </is>
      </c>
      <c r="L1996" s="12" t="inlineStr">
        <is>
          <t>7/C</t>
        </is>
      </c>
      <c r="M1996" s="12" t="inlineStr">
        <is>
          <t>14</t>
        </is>
      </c>
      <c r="N1996" s="12" t="n">
        <v>1</v>
      </c>
      <c r="O1996" s="12" t="n">
        <v>1</v>
      </c>
      <c r="P1996" s="12" t="n"/>
      <c r="Q1996" s="12" t="n"/>
      <c r="R1996" s="12" t="n"/>
      <c r="S1996" s="12" t="inlineStr">
        <is>
          <t>Tray</t>
        </is>
      </c>
      <c r="T1996" s="16" t="n">
        <v>307</v>
      </c>
      <c r="U1996" s="16" t="n">
        <v>44</v>
      </c>
      <c r="V1996" s="16">
        <f>ROUNDUP((T1996+U1996+2*'Read Me'!$B$13)*(1+'Read Me'!$B$12),-1)</f>
        <v/>
      </c>
      <c r="W1996" s="16">
        <f>V1996*N1996*O1996</f>
        <v/>
      </c>
      <c r="X1996" s="12">
        <f>IF(LEFT(I1996,2)="MV",2*N1996*IF(L1996="1/C",O1996,1),0)</f>
        <v/>
      </c>
      <c r="Y1996" s="12">
        <f>IF(OR(LEFT(K1996,4)="LVAX",LEFT(K1996,6)="MV15AX",LEFT(K1996,4)="CTAX",LEFT(K1996,2)="W|"),2*N1996*O1996,0)</f>
        <v/>
      </c>
      <c r="Z1996" s="12" t="inlineStr"/>
      <c r="AA1996" s="12">
        <f>N1996*O1996</f>
        <v/>
      </c>
    </row>
    <row r="1997">
      <c r="A1997" s="12" t="inlineStr">
        <is>
          <t>B-C-0070</t>
        </is>
      </c>
      <c r="B1997" s="12" t="inlineStr">
        <is>
          <t>B</t>
        </is>
      </c>
      <c r="C1997" s="12" t="inlineStr">
        <is>
          <t>ACC</t>
        </is>
      </c>
      <c r="D1997" s="12" t="inlineStr">
        <is>
          <t>ACC fan F70 vibration / RTD / local station</t>
        </is>
      </c>
      <c r="E1997" s="12" t="inlineStr">
        <is>
          <t>R4</t>
        </is>
      </c>
      <c r="F1997" s="12" t="inlineStr">
        <is>
          <t>R4: ACC electrical (VFD) e-house (60 x 120 ft)</t>
        </is>
      </c>
      <c r="G1997" s="12" t="inlineStr">
        <is>
          <t>ACC-F70</t>
        </is>
      </c>
      <c r="H1997" s="12" t="inlineStr">
        <is>
          <t>ACC fan motor F70</t>
        </is>
      </c>
      <c r="I1997" s="12" t="inlineStr">
        <is>
          <t>Control</t>
        </is>
      </c>
      <c r="J1997" s="12" t="inlineStr">
        <is>
          <t>Control cable 600 V Type TC-ER, Cu #14 AWG, PVC jacket</t>
        </is>
      </c>
      <c r="K1997" s="12" t="inlineStr">
        <is>
          <t>CT|7/C|14</t>
        </is>
      </c>
      <c r="L1997" s="12" t="inlineStr">
        <is>
          <t>7/C</t>
        </is>
      </c>
      <c r="M1997" s="12" t="inlineStr">
        <is>
          <t>14</t>
        </is>
      </c>
      <c r="N1997" s="12" t="n">
        <v>1</v>
      </c>
      <c r="O1997" s="12" t="n">
        <v>1</v>
      </c>
      <c r="P1997" s="12" t="n"/>
      <c r="Q1997" s="12" t="n"/>
      <c r="R1997" s="12" t="n"/>
      <c r="S1997" s="12" t="inlineStr">
        <is>
          <t>Tray</t>
        </is>
      </c>
      <c r="T1997" s="16" t="n">
        <v>339</v>
      </c>
      <c r="U1997" s="16" t="n">
        <v>44</v>
      </c>
      <c r="V1997" s="16">
        <f>ROUNDUP((T1997+U1997+2*'Read Me'!$B$13)*(1+'Read Me'!$B$12),-1)</f>
        <v/>
      </c>
      <c r="W1997" s="16">
        <f>V1997*N1997*O1997</f>
        <v/>
      </c>
      <c r="X1997" s="12">
        <f>IF(LEFT(I1997,2)="MV",2*N1997*IF(L1997="1/C",O1997,1),0)</f>
        <v/>
      </c>
      <c r="Y1997" s="12">
        <f>IF(OR(LEFT(K1997,4)="LVAX",LEFT(K1997,6)="MV15AX",LEFT(K1997,4)="CTAX",LEFT(K1997,2)="W|"),2*N1997*O1997,0)</f>
        <v/>
      </c>
      <c r="Z1997" s="12" t="inlineStr"/>
      <c r="AA1997" s="12">
        <f>N1997*O1997</f>
        <v/>
      </c>
    </row>
    <row r="1998">
      <c r="A1998" s="12" t="inlineStr">
        <is>
          <t>B-C-0071</t>
        </is>
      </c>
      <c r="B1998" s="12" t="inlineStr">
        <is>
          <t>B</t>
        </is>
      </c>
      <c r="C1998" s="12" t="inlineStr">
        <is>
          <t>ACC</t>
        </is>
      </c>
      <c r="D1998" s="12" t="inlineStr">
        <is>
          <t>ACC fan F71 vibration / RTD / local station</t>
        </is>
      </c>
      <c r="E1998" s="12" t="inlineStr">
        <is>
          <t>R4</t>
        </is>
      </c>
      <c r="F1998" s="12" t="inlineStr">
        <is>
          <t>R4: ACC electrical (VFD) e-house (60 x 120 ft)</t>
        </is>
      </c>
      <c r="G1998" s="12" t="inlineStr">
        <is>
          <t>ACC-F71</t>
        </is>
      </c>
      <c r="H1998" s="12" t="inlineStr">
        <is>
          <t>ACC fan motor F71</t>
        </is>
      </c>
      <c r="I1998" s="12" t="inlineStr">
        <is>
          <t>Control</t>
        </is>
      </c>
      <c r="J1998" s="12" t="inlineStr">
        <is>
          <t>Control cable 600 V Type TC-ER, Cu #14 AWG, PVC jacket</t>
        </is>
      </c>
      <c r="K1998" s="12" t="inlineStr">
        <is>
          <t>CT|7/C|14</t>
        </is>
      </c>
      <c r="L1998" s="12" t="inlineStr">
        <is>
          <t>7/C</t>
        </is>
      </c>
      <c r="M1998" s="12" t="inlineStr">
        <is>
          <t>14</t>
        </is>
      </c>
      <c r="N1998" s="12" t="n">
        <v>1</v>
      </c>
      <c r="O1998" s="12" t="n">
        <v>1</v>
      </c>
      <c r="P1998" s="12" t="n"/>
      <c r="Q1998" s="12" t="n"/>
      <c r="R1998" s="12" t="n"/>
      <c r="S1998" s="12" t="inlineStr">
        <is>
          <t>Tray</t>
        </is>
      </c>
      <c r="T1998" s="16" t="n">
        <v>389</v>
      </c>
      <c r="U1998" s="16" t="n">
        <v>44</v>
      </c>
      <c r="V1998" s="16">
        <f>ROUNDUP((T1998+U1998+2*'Read Me'!$B$13)*(1+'Read Me'!$B$12),-1)</f>
        <v/>
      </c>
      <c r="W1998" s="16">
        <f>V1998*N1998*O1998</f>
        <v/>
      </c>
      <c r="X1998" s="12">
        <f>IF(LEFT(I1998,2)="MV",2*N1998*IF(L1998="1/C",O1998,1),0)</f>
        <v/>
      </c>
      <c r="Y1998" s="12">
        <f>IF(OR(LEFT(K1998,4)="LVAX",LEFT(K1998,6)="MV15AX",LEFT(K1998,4)="CTAX",LEFT(K1998,2)="W|"),2*N1998*O1998,0)</f>
        <v/>
      </c>
      <c r="Z1998" s="12" t="inlineStr"/>
      <c r="AA1998" s="12">
        <f>N1998*O1998</f>
        <v/>
      </c>
    </row>
    <row r="1999">
      <c r="A1999" s="12" t="inlineStr">
        <is>
          <t>B-C-0072</t>
        </is>
      </c>
      <c r="B1999" s="12" t="inlineStr">
        <is>
          <t>B</t>
        </is>
      </c>
      <c r="C1999" s="12" t="inlineStr">
        <is>
          <t>ACC</t>
        </is>
      </c>
      <c r="D1999" s="12" t="inlineStr">
        <is>
          <t>ACC fan F72 vibration / RTD / local station</t>
        </is>
      </c>
      <c r="E1999" s="12" t="inlineStr">
        <is>
          <t>R4</t>
        </is>
      </c>
      <c r="F1999" s="12" t="inlineStr">
        <is>
          <t>R4: ACC electrical (VFD) e-house (60 x 120 ft)</t>
        </is>
      </c>
      <c r="G1999" s="12" t="inlineStr">
        <is>
          <t>ACC-F72</t>
        </is>
      </c>
      <c r="H1999" s="12" t="inlineStr">
        <is>
          <t>ACC fan motor F72</t>
        </is>
      </c>
      <c r="I1999" s="12" t="inlineStr">
        <is>
          <t>Control</t>
        </is>
      </c>
      <c r="J1999" s="12" t="inlineStr">
        <is>
          <t>Control cable 600 V Type TC-ER, Cu #14 AWG, PVC jacket</t>
        </is>
      </c>
      <c r="K1999" s="12" t="inlineStr">
        <is>
          <t>CT|7/C|14</t>
        </is>
      </c>
      <c r="L1999" s="12" t="inlineStr">
        <is>
          <t>7/C</t>
        </is>
      </c>
      <c r="M1999" s="12" t="inlineStr">
        <is>
          <t>14</t>
        </is>
      </c>
      <c r="N1999" s="12" t="n">
        <v>1</v>
      </c>
      <c r="O1999" s="12" t="n">
        <v>1</v>
      </c>
      <c r="P1999" s="12" t="n"/>
      <c r="Q1999" s="12" t="n"/>
      <c r="R1999" s="12" t="n"/>
      <c r="S1999" s="12" t="inlineStr">
        <is>
          <t>Tray</t>
        </is>
      </c>
      <c r="T1999" s="16" t="n">
        <v>357</v>
      </c>
      <c r="U1999" s="16" t="n">
        <v>44</v>
      </c>
      <c r="V1999" s="16">
        <f>ROUNDUP((T1999+U1999+2*'Read Me'!$B$13)*(1+'Read Me'!$B$12),-1)</f>
        <v/>
      </c>
      <c r="W1999" s="16">
        <f>V1999*N1999*O1999</f>
        <v/>
      </c>
      <c r="X1999" s="12">
        <f>IF(LEFT(I1999,2)="MV",2*N1999*IF(L1999="1/C",O1999,1),0)</f>
        <v/>
      </c>
      <c r="Y1999" s="12">
        <f>IF(OR(LEFT(K1999,4)="LVAX",LEFT(K1999,6)="MV15AX",LEFT(K1999,4)="CTAX",LEFT(K1999,2)="W|"),2*N1999*O1999,0)</f>
        <v/>
      </c>
      <c r="Z1999" s="12" t="inlineStr"/>
      <c r="AA1999" s="12">
        <f>N1999*O1999</f>
        <v/>
      </c>
    </row>
    <row r="2000">
      <c r="A2000" s="12" t="inlineStr">
        <is>
          <t>B-C-0073</t>
        </is>
      </c>
      <c r="B2000" s="12" t="inlineStr">
        <is>
          <t>B</t>
        </is>
      </c>
      <c r="C2000" s="12" t="inlineStr">
        <is>
          <t>ACC</t>
        </is>
      </c>
      <c r="D2000" s="12" t="inlineStr">
        <is>
          <t>ACC fan F73 vibration / RTD / local station</t>
        </is>
      </c>
      <c r="E2000" s="12" t="inlineStr">
        <is>
          <t>R4</t>
        </is>
      </c>
      <c r="F2000" s="12" t="inlineStr">
        <is>
          <t>R4: ACC electrical (VFD) e-house (60 x 120 ft)</t>
        </is>
      </c>
      <c r="G2000" s="12" t="inlineStr">
        <is>
          <t>ACC-F73</t>
        </is>
      </c>
      <c r="H2000" s="12" t="inlineStr">
        <is>
          <t>ACC fan motor F73</t>
        </is>
      </c>
      <c r="I2000" s="12" t="inlineStr">
        <is>
          <t>Control</t>
        </is>
      </c>
      <c r="J2000" s="12" t="inlineStr">
        <is>
          <t>Control cable 600 V Type TC-ER, Cu #14 AWG, PVC jacket</t>
        </is>
      </c>
      <c r="K2000" s="12" t="inlineStr">
        <is>
          <t>CT|7/C|14</t>
        </is>
      </c>
      <c r="L2000" s="12" t="inlineStr">
        <is>
          <t>7/C</t>
        </is>
      </c>
      <c r="M2000" s="12" t="inlineStr">
        <is>
          <t>14</t>
        </is>
      </c>
      <c r="N2000" s="12" t="n">
        <v>1</v>
      </c>
      <c r="O2000" s="12" t="n">
        <v>1</v>
      </c>
      <c r="P2000" s="12" t="n"/>
      <c r="Q2000" s="12" t="n"/>
      <c r="R2000" s="12" t="n"/>
      <c r="S2000" s="12" t="inlineStr">
        <is>
          <t>Tray</t>
        </is>
      </c>
      <c r="T2000" s="16" t="n">
        <v>325</v>
      </c>
      <c r="U2000" s="16" t="n">
        <v>44</v>
      </c>
      <c r="V2000" s="16">
        <f>ROUNDUP((T2000+U2000+2*'Read Me'!$B$13)*(1+'Read Me'!$B$12),-1)</f>
        <v/>
      </c>
      <c r="W2000" s="16">
        <f>V2000*N2000*O2000</f>
        <v/>
      </c>
      <c r="X2000" s="12">
        <f>IF(LEFT(I2000,2)="MV",2*N2000*IF(L2000="1/C",O2000,1),0)</f>
        <v/>
      </c>
      <c r="Y2000" s="12">
        <f>IF(OR(LEFT(K2000,4)="LVAX",LEFT(K2000,6)="MV15AX",LEFT(K2000,4)="CTAX",LEFT(K2000,2)="W|"),2*N2000*O2000,0)</f>
        <v/>
      </c>
      <c r="Z2000" s="12" t="inlineStr"/>
      <c r="AA2000" s="12">
        <f>N2000*O2000</f>
        <v/>
      </c>
    </row>
    <row r="2001">
      <c r="A2001" s="12" t="inlineStr">
        <is>
          <t>B-C-0074</t>
        </is>
      </c>
      <c r="B2001" s="12" t="inlineStr">
        <is>
          <t>B</t>
        </is>
      </c>
      <c r="C2001" s="12" t="inlineStr">
        <is>
          <t>ACC</t>
        </is>
      </c>
      <c r="D2001" s="12" t="inlineStr">
        <is>
          <t>ACC fan F74 vibration / RTD / local station</t>
        </is>
      </c>
      <c r="E2001" s="12" t="inlineStr">
        <is>
          <t>R4</t>
        </is>
      </c>
      <c r="F2001" s="12" t="inlineStr">
        <is>
          <t>R4: ACC electrical (VFD) e-house (60 x 120 ft)</t>
        </is>
      </c>
      <c r="G2001" s="12" t="inlineStr">
        <is>
          <t>ACC-F74</t>
        </is>
      </c>
      <c r="H2001" s="12" t="inlineStr">
        <is>
          <t>ACC fan motor F74</t>
        </is>
      </c>
      <c r="I2001" s="12" t="inlineStr">
        <is>
          <t>Control</t>
        </is>
      </c>
      <c r="J2001" s="12" t="inlineStr">
        <is>
          <t>Control cable 600 V Type TC-ER, Cu #14 AWG, PVC jacket</t>
        </is>
      </c>
      <c r="K2001" s="12" t="inlineStr">
        <is>
          <t>CT|7/C|14</t>
        </is>
      </c>
      <c r="L2001" s="12" t="inlineStr">
        <is>
          <t>7/C</t>
        </is>
      </c>
      <c r="M2001" s="12" t="inlineStr">
        <is>
          <t>14</t>
        </is>
      </c>
      <c r="N2001" s="12" t="n">
        <v>1</v>
      </c>
      <c r="O2001" s="12" t="n">
        <v>1</v>
      </c>
      <c r="P2001" s="12" t="n"/>
      <c r="Q2001" s="12" t="n"/>
      <c r="R2001" s="12" t="n"/>
      <c r="S2001" s="12" t="inlineStr">
        <is>
          <t>Tray</t>
        </is>
      </c>
      <c r="T2001" s="16" t="n">
        <v>293</v>
      </c>
      <c r="U2001" s="16" t="n">
        <v>44</v>
      </c>
      <c r="V2001" s="16">
        <f>ROUNDUP((T2001+U2001+2*'Read Me'!$B$13)*(1+'Read Me'!$B$12),-1)</f>
        <v/>
      </c>
      <c r="W2001" s="16">
        <f>V2001*N2001*O2001</f>
        <v/>
      </c>
      <c r="X2001" s="12">
        <f>IF(LEFT(I2001,2)="MV",2*N2001*IF(L2001="1/C",O2001,1),0)</f>
        <v/>
      </c>
      <c r="Y2001" s="12">
        <f>IF(OR(LEFT(K2001,4)="LVAX",LEFT(K2001,6)="MV15AX",LEFT(K2001,4)="CTAX",LEFT(K2001,2)="W|"),2*N2001*O2001,0)</f>
        <v/>
      </c>
      <c r="Z2001" s="12" t="inlineStr"/>
      <c r="AA2001" s="12">
        <f>N2001*O2001</f>
        <v/>
      </c>
    </row>
    <row r="2002">
      <c r="A2002" s="12" t="inlineStr">
        <is>
          <t>B-C-0075</t>
        </is>
      </c>
      <c r="B2002" s="12" t="inlineStr">
        <is>
          <t>B</t>
        </is>
      </c>
      <c r="C2002" s="12" t="inlineStr">
        <is>
          <t>ACC</t>
        </is>
      </c>
      <c r="D2002" s="12" t="inlineStr">
        <is>
          <t>ACC fan F75 vibration / RTD / local station</t>
        </is>
      </c>
      <c r="E2002" s="12" t="inlineStr">
        <is>
          <t>R4</t>
        </is>
      </c>
      <c r="F2002" s="12" t="inlineStr">
        <is>
          <t>R4: ACC electrical (VFD) e-house (60 x 120 ft)</t>
        </is>
      </c>
      <c r="G2002" s="12" t="inlineStr">
        <is>
          <t>ACC-F75</t>
        </is>
      </c>
      <c r="H2002" s="12" t="inlineStr">
        <is>
          <t>ACC fan motor F75</t>
        </is>
      </c>
      <c r="I2002" s="12" t="inlineStr">
        <is>
          <t>Control</t>
        </is>
      </c>
      <c r="J2002" s="12" t="inlineStr">
        <is>
          <t>Control cable 600 V Type TC-ER, Cu #14 AWG, PVC jacket</t>
        </is>
      </c>
      <c r="K2002" s="12" t="inlineStr">
        <is>
          <t>CT|7/C|14</t>
        </is>
      </c>
      <c r="L2002" s="12" t="inlineStr">
        <is>
          <t>7/C</t>
        </is>
      </c>
      <c r="M2002" s="12" t="inlineStr">
        <is>
          <t>14</t>
        </is>
      </c>
      <c r="N2002" s="12" t="n">
        <v>1</v>
      </c>
      <c r="O2002" s="12" t="n">
        <v>1</v>
      </c>
      <c r="P2002" s="12" t="n"/>
      <c r="Q2002" s="12" t="n"/>
      <c r="R2002" s="12" t="n"/>
      <c r="S2002" s="12" t="inlineStr">
        <is>
          <t>Tray</t>
        </is>
      </c>
      <c r="T2002" s="16" t="n">
        <v>261</v>
      </c>
      <c r="U2002" s="16" t="n">
        <v>44</v>
      </c>
      <c r="V2002" s="16">
        <f>ROUNDUP((T2002+U2002+2*'Read Me'!$B$13)*(1+'Read Me'!$B$12),-1)</f>
        <v/>
      </c>
      <c r="W2002" s="16">
        <f>V2002*N2002*O2002</f>
        <v/>
      </c>
      <c r="X2002" s="12">
        <f>IF(LEFT(I2002,2)="MV",2*N2002*IF(L2002="1/C",O2002,1),0)</f>
        <v/>
      </c>
      <c r="Y2002" s="12">
        <f>IF(OR(LEFT(K2002,4)="LVAX",LEFT(K2002,6)="MV15AX",LEFT(K2002,4)="CTAX",LEFT(K2002,2)="W|"),2*N2002*O2002,0)</f>
        <v/>
      </c>
      <c r="Z2002" s="12" t="inlineStr"/>
      <c r="AA2002" s="12">
        <f>N2002*O2002</f>
        <v/>
      </c>
    </row>
    <row r="2003">
      <c r="A2003" s="12" t="inlineStr">
        <is>
          <t>B-C-0076</t>
        </is>
      </c>
      <c r="B2003" s="12" t="inlineStr">
        <is>
          <t>B</t>
        </is>
      </c>
      <c r="C2003" s="12" t="inlineStr">
        <is>
          <t>ACC</t>
        </is>
      </c>
      <c r="D2003" s="12" t="inlineStr">
        <is>
          <t>ACC fan F76 vibration / RTD / local station</t>
        </is>
      </c>
      <c r="E2003" s="12" t="inlineStr">
        <is>
          <t>R4</t>
        </is>
      </c>
      <c r="F2003" s="12" t="inlineStr">
        <is>
          <t>R4: ACC electrical (VFD) e-house (60 x 120 ft)</t>
        </is>
      </c>
      <c r="G2003" s="12" t="inlineStr">
        <is>
          <t>ACC-F76</t>
        </is>
      </c>
      <c r="H2003" s="12" t="inlineStr">
        <is>
          <t>ACC fan motor F76</t>
        </is>
      </c>
      <c r="I2003" s="12" t="inlineStr">
        <is>
          <t>Control</t>
        </is>
      </c>
      <c r="J2003" s="12" t="inlineStr">
        <is>
          <t>Control cable 600 V Type TC-ER, Cu #14 AWG, PVC jacket</t>
        </is>
      </c>
      <c r="K2003" s="12" t="inlineStr">
        <is>
          <t>CT|7/C|14</t>
        </is>
      </c>
      <c r="L2003" s="12" t="inlineStr">
        <is>
          <t>7/C</t>
        </is>
      </c>
      <c r="M2003" s="12" t="inlineStr">
        <is>
          <t>14</t>
        </is>
      </c>
      <c r="N2003" s="12" t="n">
        <v>1</v>
      </c>
      <c r="O2003" s="12" t="n">
        <v>1</v>
      </c>
      <c r="P2003" s="12" t="n"/>
      <c r="Q2003" s="12" t="n"/>
      <c r="R2003" s="12" t="n"/>
      <c r="S2003" s="12" t="inlineStr">
        <is>
          <t>Tray</t>
        </is>
      </c>
      <c r="T2003" s="16" t="n">
        <v>261</v>
      </c>
      <c r="U2003" s="16" t="n">
        <v>44</v>
      </c>
      <c r="V2003" s="16">
        <f>ROUNDUP((T2003+U2003+2*'Read Me'!$B$13)*(1+'Read Me'!$B$12),-1)</f>
        <v/>
      </c>
      <c r="W2003" s="16">
        <f>V2003*N2003*O2003</f>
        <v/>
      </c>
      <c r="X2003" s="12">
        <f>IF(LEFT(I2003,2)="MV",2*N2003*IF(L2003="1/C",O2003,1),0)</f>
        <v/>
      </c>
      <c r="Y2003" s="12">
        <f>IF(OR(LEFT(K2003,4)="LVAX",LEFT(K2003,6)="MV15AX",LEFT(K2003,4)="CTAX",LEFT(K2003,2)="W|"),2*N2003*O2003,0)</f>
        <v/>
      </c>
      <c r="Z2003" s="12" t="inlineStr"/>
      <c r="AA2003" s="12">
        <f>N2003*O2003</f>
        <v/>
      </c>
    </row>
    <row r="2004">
      <c r="A2004" s="12" t="inlineStr">
        <is>
          <t>B-C-0077</t>
        </is>
      </c>
      <c r="B2004" s="12" t="inlineStr">
        <is>
          <t>B</t>
        </is>
      </c>
      <c r="C2004" s="12" t="inlineStr">
        <is>
          <t>ACC</t>
        </is>
      </c>
      <c r="D2004" s="12" t="inlineStr">
        <is>
          <t>ACC fan F77 vibration / RTD / local station</t>
        </is>
      </c>
      <c r="E2004" s="12" t="inlineStr">
        <is>
          <t>R4</t>
        </is>
      </c>
      <c r="F2004" s="12" t="inlineStr">
        <is>
          <t>R4: ACC electrical (VFD) e-house (60 x 120 ft)</t>
        </is>
      </c>
      <c r="G2004" s="12" t="inlineStr">
        <is>
          <t>ACC-F77</t>
        </is>
      </c>
      <c r="H2004" s="12" t="inlineStr">
        <is>
          <t>ACC fan motor F77</t>
        </is>
      </c>
      <c r="I2004" s="12" t="inlineStr">
        <is>
          <t>Control</t>
        </is>
      </c>
      <c r="J2004" s="12" t="inlineStr">
        <is>
          <t>Control cable 600 V Type TC-ER, Cu #14 AWG, PVC jacket</t>
        </is>
      </c>
      <c r="K2004" s="12" t="inlineStr">
        <is>
          <t>CT|7/C|14</t>
        </is>
      </c>
      <c r="L2004" s="12" t="inlineStr">
        <is>
          <t>7/C</t>
        </is>
      </c>
      <c r="M2004" s="12" t="inlineStr">
        <is>
          <t>14</t>
        </is>
      </c>
      <c r="N2004" s="12" t="n">
        <v>1</v>
      </c>
      <c r="O2004" s="12" t="n">
        <v>1</v>
      </c>
      <c r="P2004" s="12" t="n"/>
      <c r="Q2004" s="12" t="n"/>
      <c r="R2004" s="12" t="n"/>
      <c r="S2004" s="12" t="inlineStr">
        <is>
          <t>Tray</t>
        </is>
      </c>
      <c r="T2004" s="16" t="n">
        <v>293</v>
      </c>
      <c r="U2004" s="16" t="n">
        <v>44</v>
      </c>
      <c r="V2004" s="16">
        <f>ROUNDUP((T2004+U2004+2*'Read Me'!$B$13)*(1+'Read Me'!$B$12),-1)</f>
        <v/>
      </c>
      <c r="W2004" s="16">
        <f>V2004*N2004*O2004</f>
        <v/>
      </c>
      <c r="X2004" s="12">
        <f>IF(LEFT(I2004,2)="MV",2*N2004*IF(L2004="1/C",O2004,1),0)</f>
        <v/>
      </c>
      <c r="Y2004" s="12">
        <f>IF(OR(LEFT(K2004,4)="LVAX",LEFT(K2004,6)="MV15AX",LEFT(K2004,4)="CTAX",LEFT(K2004,2)="W|"),2*N2004*O2004,0)</f>
        <v/>
      </c>
      <c r="Z2004" s="12" t="inlineStr"/>
      <c r="AA2004" s="12">
        <f>N2004*O2004</f>
        <v/>
      </c>
    </row>
    <row r="2005">
      <c r="A2005" s="12" t="inlineStr">
        <is>
          <t>B-C-0078</t>
        </is>
      </c>
      <c r="B2005" s="12" t="inlineStr">
        <is>
          <t>B</t>
        </is>
      </c>
      <c r="C2005" s="12" t="inlineStr">
        <is>
          <t>ACC</t>
        </is>
      </c>
      <c r="D2005" s="12" t="inlineStr">
        <is>
          <t>ACC fan F78 vibration / RTD / local station</t>
        </is>
      </c>
      <c r="E2005" s="12" t="inlineStr">
        <is>
          <t>R4</t>
        </is>
      </c>
      <c r="F2005" s="12" t="inlineStr">
        <is>
          <t>R4: ACC electrical (VFD) e-house (60 x 120 ft)</t>
        </is>
      </c>
      <c r="G2005" s="12" t="inlineStr">
        <is>
          <t>ACC-F78</t>
        </is>
      </c>
      <c r="H2005" s="12" t="inlineStr">
        <is>
          <t>ACC fan motor F78</t>
        </is>
      </c>
      <c r="I2005" s="12" t="inlineStr">
        <is>
          <t>Control</t>
        </is>
      </c>
      <c r="J2005" s="12" t="inlineStr">
        <is>
          <t>Control cable 600 V Type TC-ER, Cu #14 AWG, PVC jacket</t>
        </is>
      </c>
      <c r="K2005" s="12" t="inlineStr">
        <is>
          <t>CT|7/C|14</t>
        </is>
      </c>
      <c r="L2005" s="12" t="inlineStr">
        <is>
          <t>7/C</t>
        </is>
      </c>
      <c r="M2005" s="12" t="inlineStr">
        <is>
          <t>14</t>
        </is>
      </c>
      <c r="N2005" s="12" t="n">
        <v>1</v>
      </c>
      <c r="O2005" s="12" t="n">
        <v>1</v>
      </c>
      <c r="P2005" s="12" t="n"/>
      <c r="Q2005" s="12" t="n"/>
      <c r="R2005" s="12" t="n"/>
      <c r="S2005" s="12" t="inlineStr">
        <is>
          <t>Tray</t>
        </is>
      </c>
      <c r="T2005" s="16" t="n">
        <v>325</v>
      </c>
      <c r="U2005" s="16" t="n">
        <v>44</v>
      </c>
      <c r="V2005" s="16">
        <f>ROUNDUP((T2005+U2005+2*'Read Me'!$B$13)*(1+'Read Me'!$B$12),-1)</f>
        <v/>
      </c>
      <c r="W2005" s="16">
        <f>V2005*N2005*O2005</f>
        <v/>
      </c>
      <c r="X2005" s="12">
        <f>IF(LEFT(I2005,2)="MV",2*N2005*IF(L2005="1/C",O2005,1),0)</f>
        <v/>
      </c>
      <c r="Y2005" s="12">
        <f>IF(OR(LEFT(K2005,4)="LVAX",LEFT(K2005,6)="MV15AX",LEFT(K2005,4)="CTAX",LEFT(K2005,2)="W|"),2*N2005*O2005,0)</f>
        <v/>
      </c>
      <c r="Z2005" s="12" t="inlineStr"/>
      <c r="AA2005" s="12">
        <f>N2005*O2005</f>
        <v/>
      </c>
    </row>
    <row r="2006">
      <c r="A2006" s="12" t="inlineStr">
        <is>
          <t>B-C-0079</t>
        </is>
      </c>
      <c r="B2006" s="12" t="inlineStr">
        <is>
          <t>B</t>
        </is>
      </c>
      <c r="C2006" s="12" t="inlineStr">
        <is>
          <t>ACC</t>
        </is>
      </c>
      <c r="D2006" s="12" t="inlineStr">
        <is>
          <t>ACC fan F79 vibration / RTD / local station</t>
        </is>
      </c>
      <c r="E2006" s="12" t="inlineStr">
        <is>
          <t>R4</t>
        </is>
      </c>
      <c r="F2006" s="12" t="inlineStr">
        <is>
          <t>R4: ACC electrical (VFD) e-house (60 x 120 ft)</t>
        </is>
      </c>
      <c r="G2006" s="12" t="inlineStr">
        <is>
          <t>ACC-F79</t>
        </is>
      </c>
      <c r="H2006" s="12" t="inlineStr">
        <is>
          <t>ACC fan motor F79</t>
        </is>
      </c>
      <c r="I2006" s="12" t="inlineStr">
        <is>
          <t>Control</t>
        </is>
      </c>
      <c r="J2006" s="12" t="inlineStr">
        <is>
          <t>Control cable 600 V Type TC-ER, Cu #14 AWG, PVC jacket</t>
        </is>
      </c>
      <c r="K2006" s="12" t="inlineStr">
        <is>
          <t>CT|7/C|14</t>
        </is>
      </c>
      <c r="L2006" s="12" t="inlineStr">
        <is>
          <t>7/C</t>
        </is>
      </c>
      <c r="M2006" s="12" t="inlineStr">
        <is>
          <t>14</t>
        </is>
      </c>
      <c r="N2006" s="12" t="n">
        <v>1</v>
      </c>
      <c r="O2006" s="12" t="n">
        <v>1</v>
      </c>
      <c r="P2006" s="12" t="n"/>
      <c r="Q2006" s="12" t="n"/>
      <c r="R2006" s="12" t="n"/>
      <c r="S2006" s="12" t="inlineStr">
        <is>
          <t>Tray</t>
        </is>
      </c>
      <c r="T2006" s="16" t="n">
        <v>357</v>
      </c>
      <c r="U2006" s="16" t="n">
        <v>44</v>
      </c>
      <c r="V2006" s="16">
        <f>ROUNDUP((T2006+U2006+2*'Read Me'!$B$13)*(1+'Read Me'!$B$12),-1)</f>
        <v/>
      </c>
      <c r="W2006" s="16">
        <f>V2006*N2006*O2006</f>
        <v/>
      </c>
      <c r="X2006" s="12">
        <f>IF(LEFT(I2006,2)="MV",2*N2006*IF(L2006="1/C",O2006,1),0)</f>
        <v/>
      </c>
      <c r="Y2006" s="12">
        <f>IF(OR(LEFT(K2006,4)="LVAX",LEFT(K2006,6)="MV15AX",LEFT(K2006,4)="CTAX",LEFT(K2006,2)="W|"),2*N2006*O2006,0)</f>
        <v/>
      </c>
      <c r="Z2006" s="12" t="inlineStr"/>
      <c r="AA2006" s="12">
        <f>N2006*O2006</f>
        <v/>
      </c>
    </row>
    <row r="2007">
      <c r="A2007" s="12" t="inlineStr">
        <is>
          <t>B-C-0080</t>
        </is>
      </c>
      <c r="B2007" s="12" t="inlineStr">
        <is>
          <t>B</t>
        </is>
      </c>
      <c r="C2007" s="12" t="inlineStr">
        <is>
          <t>ACC</t>
        </is>
      </c>
      <c r="D2007" s="12" t="inlineStr">
        <is>
          <t>ACC fan F80 vibration / RTD / local station</t>
        </is>
      </c>
      <c r="E2007" s="12" t="inlineStr">
        <is>
          <t>R4</t>
        </is>
      </c>
      <c r="F2007" s="12" t="inlineStr">
        <is>
          <t>R4: ACC electrical (VFD) e-house (60 x 120 ft)</t>
        </is>
      </c>
      <c r="G2007" s="12" t="inlineStr">
        <is>
          <t>ACC-F80</t>
        </is>
      </c>
      <c r="H2007" s="12" t="inlineStr">
        <is>
          <t>ACC fan motor F80</t>
        </is>
      </c>
      <c r="I2007" s="12" t="inlineStr">
        <is>
          <t>Control</t>
        </is>
      </c>
      <c r="J2007" s="12" t="inlineStr">
        <is>
          <t>Control cable 600 V Type TC-ER, Cu #14 AWG, PVC jacket</t>
        </is>
      </c>
      <c r="K2007" s="12" t="inlineStr">
        <is>
          <t>CT|7/C|14</t>
        </is>
      </c>
      <c r="L2007" s="12" t="inlineStr">
        <is>
          <t>7/C</t>
        </is>
      </c>
      <c r="M2007" s="12" t="inlineStr">
        <is>
          <t>14</t>
        </is>
      </c>
      <c r="N2007" s="12" t="n">
        <v>1</v>
      </c>
      <c r="O2007" s="12" t="n">
        <v>1</v>
      </c>
      <c r="P2007" s="12" t="n"/>
      <c r="Q2007" s="12" t="n"/>
      <c r="R2007" s="12" t="n"/>
      <c r="S2007" s="12" t="inlineStr">
        <is>
          <t>Tray</t>
        </is>
      </c>
      <c r="T2007" s="16" t="n">
        <v>389</v>
      </c>
      <c r="U2007" s="16" t="n">
        <v>44</v>
      </c>
      <c r="V2007" s="16">
        <f>ROUNDUP((T2007+U2007+2*'Read Me'!$B$13)*(1+'Read Me'!$B$12),-1)</f>
        <v/>
      </c>
      <c r="W2007" s="16">
        <f>V2007*N2007*O2007</f>
        <v/>
      </c>
      <c r="X2007" s="12">
        <f>IF(LEFT(I2007,2)="MV",2*N2007*IF(L2007="1/C",O2007,1),0)</f>
        <v/>
      </c>
      <c r="Y2007" s="12">
        <f>IF(OR(LEFT(K2007,4)="LVAX",LEFT(K2007,6)="MV15AX",LEFT(K2007,4)="CTAX",LEFT(K2007,2)="W|"),2*N2007*O2007,0)</f>
        <v/>
      </c>
      <c r="Z2007" s="12" t="inlineStr"/>
      <c r="AA2007" s="12">
        <f>N2007*O2007</f>
        <v/>
      </c>
    </row>
    <row r="2008">
      <c r="A2008" s="12" t="inlineStr">
        <is>
          <t>B-C-0081</t>
        </is>
      </c>
      <c r="B2008" s="12" t="inlineStr">
        <is>
          <t>B</t>
        </is>
      </c>
      <c r="C2008" s="12" t="inlineStr">
        <is>
          <t>ACC</t>
        </is>
      </c>
      <c r="D2008" s="12" t="inlineStr">
        <is>
          <t>MOV 1: control</t>
        </is>
      </c>
      <c r="E2008" s="12" t="inlineStr"/>
      <c r="F2008" s="12" t="inlineStr">
        <is>
          <t>R4 480 V switchgear + vacuum-pump MCC</t>
        </is>
      </c>
      <c r="G2008" s="12" t="inlineStr">
        <is>
          <t>ACC</t>
        </is>
      </c>
      <c r="H2008" s="12" t="inlineStr">
        <is>
          <t>Air-cooled condenser, 80 cells (steam-cycle heat rejection)</t>
        </is>
      </c>
      <c r="I2008" s="12" t="inlineStr">
        <is>
          <t>Control</t>
        </is>
      </c>
      <c r="J2008" s="12" t="inlineStr">
        <is>
          <t>Control cable 600 V Type TC-ER, Cu #14 AWG, PVC jacket</t>
        </is>
      </c>
      <c r="K2008" s="12" t="inlineStr">
        <is>
          <t>CT|12/C|14</t>
        </is>
      </c>
      <c r="L2008" s="12" t="inlineStr">
        <is>
          <t>12/C</t>
        </is>
      </c>
      <c r="M2008" s="12" t="inlineStr">
        <is>
          <t>14</t>
        </is>
      </c>
      <c r="N2008" s="12" t="n">
        <v>1</v>
      </c>
      <c r="O2008" s="12" t="n">
        <v>1</v>
      </c>
      <c r="P2008" s="12" t="n"/>
      <c r="Q2008" s="12" t="n"/>
      <c r="R2008" s="12" t="n"/>
      <c r="S2008" s="12" t="inlineStr">
        <is>
          <t>Tray</t>
        </is>
      </c>
      <c r="T2008" s="16" t="n">
        <v>0</v>
      </c>
      <c r="U2008" s="16" t="n">
        <v>52</v>
      </c>
      <c r="V2008" s="16">
        <f>ROUNDUP((T2008+U2008+2*'Read Me'!$B$13)*(1+'Read Me'!$B$12),-1)</f>
        <v/>
      </c>
      <c r="W2008" s="16">
        <f>V2008*N2008*O2008</f>
        <v/>
      </c>
      <c r="X2008" s="12">
        <f>IF(LEFT(I2008,2)="MV",2*N2008*IF(L2008="1/C",O2008,1),0)</f>
        <v/>
      </c>
      <c r="Y2008" s="12">
        <f>IF(OR(LEFT(K2008,4)="LVAX",LEFT(K2008,6)="MV15AX",LEFT(K2008,4)="CTAX",LEFT(K2008,2)="W|"),2*N2008*O2008,0)</f>
        <v/>
      </c>
      <c r="Z2008" s="12" t="inlineStr"/>
      <c r="AA2008" s="12">
        <f>N2008*O2008</f>
        <v/>
      </c>
    </row>
    <row r="2009">
      <c r="A2009" s="12" t="inlineStr">
        <is>
          <t>B-C-0082</t>
        </is>
      </c>
      <c r="B2009" s="12" t="inlineStr">
        <is>
          <t>B</t>
        </is>
      </c>
      <c r="C2009" s="12" t="inlineStr">
        <is>
          <t>ACC</t>
        </is>
      </c>
      <c r="D2009" s="12" t="inlineStr">
        <is>
          <t>MOV 2: control</t>
        </is>
      </c>
      <c r="E2009" s="12" t="inlineStr"/>
      <c r="F2009" s="12" t="inlineStr">
        <is>
          <t>R4 480 V switchgear + vacuum-pump MCC</t>
        </is>
      </c>
      <c r="G2009" s="12" t="inlineStr">
        <is>
          <t>ACC</t>
        </is>
      </c>
      <c r="H2009" s="12" t="inlineStr">
        <is>
          <t>Air-cooled condenser, 80 cells (steam-cycle heat rejection)</t>
        </is>
      </c>
      <c r="I2009" s="12" t="inlineStr">
        <is>
          <t>Control</t>
        </is>
      </c>
      <c r="J2009" s="12" t="inlineStr">
        <is>
          <t>Control cable 600 V Type TC-ER, Cu #14 AWG, PVC jacket</t>
        </is>
      </c>
      <c r="K2009" s="12" t="inlineStr">
        <is>
          <t>CT|12/C|14</t>
        </is>
      </c>
      <c r="L2009" s="12" t="inlineStr">
        <is>
          <t>12/C</t>
        </is>
      </c>
      <c r="M2009" s="12" t="inlineStr">
        <is>
          <t>14</t>
        </is>
      </c>
      <c r="N2009" s="12" t="n">
        <v>1</v>
      </c>
      <c r="O2009" s="12" t="n">
        <v>1</v>
      </c>
      <c r="P2009" s="12" t="n"/>
      <c r="Q2009" s="12" t="n"/>
      <c r="R2009" s="12" t="n"/>
      <c r="S2009" s="12" t="inlineStr">
        <is>
          <t>Tray</t>
        </is>
      </c>
      <c r="T2009" s="16" t="n">
        <v>0</v>
      </c>
      <c r="U2009" s="16" t="n">
        <v>52</v>
      </c>
      <c r="V2009" s="16">
        <f>ROUNDUP((T2009+U2009+2*'Read Me'!$B$13)*(1+'Read Me'!$B$12),-1)</f>
        <v/>
      </c>
      <c r="W2009" s="16">
        <f>V2009*N2009*O2009</f>
        <v/>
      </c>
      <c r="X2009" s="12">
        <f>IF(LEFT(I2009,2)="MV",2*N2009*IF(L2009="1/C",O2009,1),0)</f>
        <v/>
      </c>
      <c r="Y2009" s="12">
        <f>IF(OR(LEFT(K2009,4)="LVAX",LEFT(K2009,6)="MV15AX",LEFT(K2009,4)="CTAX",LEFT(K2009,2)="W|"),2*N2009*O2009,0)</f>
        <v/>
      </c>
      <c r="Z2009" s="12" t="inlineStr"/>
      <c r="AA2009" s="12">
        <f>N2009*O2009</f>
        <v/>
      </c>
    </row>
    <row r="2010">
      <c r="A2010" s="12" t="inlineStr">
        <is>
          <t>B-C-0083</t>
        </is>
      </c>
      <c r="B2010" s="12" t="inlineStr">
        <is>
          <t>B</t>
        </is>
      </c>
      <c r="C2010" s="12" t="inlineStr">
        <is>
          <t>ACC</t>
        </is>
      </c>
      <c r="D2010" s="12" t="inlineStr">
        <is>
          <t>MOV 3: control</t>
        </is>
      </c>
      <c r="E2010" s="12" t="inlineStr"/>
      <c r="F2010" s="12" t="inlineStr">
        <is>
          <t>R4 480 V switchgear + vacuum-pump MCC</t>
        </is>
      </c>
      <c r="G2010" s="12" t="inlineStr">
        <is>
          <t>ACC</t>
        </is>
      </c>
      <c r="H2010" s="12" t="inlineStr">
        <is>
          <t>Air-cooled condenser, 80 cells (steam-cycle heat rejection)</t>
        </is>
      </c>
      <c r="I2010" s="12" t="inlineStr">
        <is>
          <t>Control</t>
        </is>
      </c>
      <c r="J2010" s="12" t="inlineStr">
        <is>
          <t>Control cable 600 V Type TC-ER, Cu #14 AWG, PVC jacket</t>
        </is>
      </c>
      <c r="K2010" s="12" t="inlineStr">
        <is>
          <t>CT|12/C|14</t>
        </is>
      </c>
      <c r="L2010" s="12" t="inlineStr">
        <is>
          <t>12/C</t>
        </is>
      </c>
      <c r="M2010" s="12" t="inlineStr">
        <is>
          <t>14</t>
        </is>
      </c>
      <c r="N2010" s="12" t="n">
        <v>1</v>
      </c>
      <c r="O2010" s="12" t="n">
        <v>1</v>
      </c>
      <c r="P2010" s="12" t="n"/>
      <c r="Q2010" s="12" t="n"/>
      <c r="R2010" s="12" t="n"/>
      <c r="S2010" s="12" t="inlineStr">
        <is>
          <t>Tray</t>
        </is>
      </c>
      <c r="T2010" s="16" t="n">
        <v>0</v>
      </c>
      <c r="U2010" s="16" t="n">
        <v>52</v>
      </c>
      <c r="V2010" s="16">
        <f>ROUNDUP((T2010+U2010+2*'Read Me'!$B$13)*(1+'Read Me'!$B$12),-1)</f>
        <v/>
      </c>
      <c r="W2010" s="16">
        <f>V2010*N2010*O2010</f>
        <v/>
      </c>
      <c r="X2010" s="12">
        <f>IF(LEFT(I2010,2)="MV",2*N2010*IF(L2010="1/C",O2010,1),0)</f>
        <v/>
      </c>
      <c r="Y2010" s="12">
        <f>IF(OR(LEFT(K2010,4)="LVAX",LEFT(K2010,6)="MV15AX",LEFT(K2010,4)="CTAX",LEFT(K2010,2)="W|"),2*N2010*O2010,0)</f>
        <v/>
      </c>
      <c r="Z2010" s="12" t="inlineStr"/>
      <c r="AA2010" s="12">
        <f>N2010*O2010</f>
        <v/>
      </c>
    </row>
    <row r="2011">
      <c r="A2011" s="12" t="inlineStr">
        <is>
          <t>B-C-0084</t>
        </is>
      </c>
      <c r="B2011" s="12" t="inlineStr">
        <is>
          <t>B</t>
        </is>
      </c>
      <c r="C2011" s="12" t="inlineStr">
        <is>
          <t>ACC</t>
        </is>
      </c>
      <c r="D2011" s="12" t="inlineStr">
        <is>
          <t>MOV 4: control</t>
        </is>
      </c>
      <c r="E2011" s="12" t="inlineStr"/>
      <c r="F2011" s="12" t="inlineStr">
        <is>
          <t>R4 480 V switchgear + vacuum-pump MCC</t>
        </is>
      </c>
      <c r="G2011" s="12" t="inlineStr">
        <is>
          <t>ACC</t>
        </is>
      </c>
      <c r="H2011" s="12" t="inlineStr">
        <is>
          <t>Air-cooled condenser, 80 cells (steam-cycle heat rejection)</t>
        </is>
      </c>
      <c r="I2011" s="12" t="inlineStr">
        <is>
          <t>Control</t>
        </is>
      </c>
      <c r="J2011" s="12" t="inlineStr">
        <is>
          <t>Control cable 600 V Type TC-ER, Cu #14 AWG, PVC jacket</t>
        </is>
      </c>
      <c r="K2011" s="12" t="inlineStr">
        <is>
          <t>CT|12/C|14</t>
        </is>
      </c>
      <c r="L2011" s="12" t="inlineStr">
        <is>
          <t>12/C</t>
        </is>
      </c>
      <c r="M2011" s="12" t="inlineStr">
        <is>
          <t>14</t>
        </is>
      </c>
      <c r="N2011" s="12" t="n">
        <v>1</v>
      </c>
      <c r="O2011" s="12" t="n">
        <v>1</v>
      </c>
      <c r="P2011" s="12" t="n"/>
      <c r="Q2011" s="12" t="n"/>
      <c r="R2011" s="12" t="n"/>
      <c r="S2011" s="12" t="inlineStr">
        <is>
          <t>Tray</t>
        </is>
      </c>
      <c r="T2011" s="16" t="n">
        <v>0</v>
      </c>
      <c r="U2011" s="16" t="n">
        <v>52</v>
      </c>
      <c r="V2011" s="16">
        <f>ROUNDUP((T2011+U2011+2*'Read Me'!$B$13)*(1+'Read Me'!$B$12),-1)</f>
        <v/>
      </c>
      <c r="W2011" s="16">
        <f>V2011*N2011*O2011</f>
        <v/>
      </c>
      <c r="X2011" s="12">
        <f>IF(LEFT(I2011,2)="MV",2*N2011*IF(L2011="1/C",O2011,1),0)</f>
        <v/>
      </c>
      <c r="Y2011" s="12">
        <f>IF(OR(LEFT(K2011,4)="LVAX",LEFT(K2011,6)="MV15AX",LEFT(K2011,4)="CTAX",LEFT(K2011,2)="W|"),2*N2011*O2011,0)</f>
        <v/>
      </c>
      <c r="Z2011" s="12" t="inlineStr"/>
      <c r="AA2011" s="12">
        <f>N2011*O2011</f>
        <v/>
      </c>
    </row>
    <row r="2012">
      <c r="A2012" s="12" t="inlineStr">
        <is>
          <t>B-C-0085</t>
        </is>
      </c>
      <c r="B2012" s="12" t="inlineStr">
        <is>
          <t>B</t>
        </is>
      </c>
      <c r="C2012" s="12" t="inlineStr">
        <is>
          <t>ACC</t>
        </is>
      </c>
      <c r="D2012" s="12" t="inlineStr">
        <is>
          <t>MOV 5: control</t>
        </is>
      </c>
      <c r="E2012" s="12" t="inlineStr"/>
      <c r="F2012" s="12" t="inlineStr">
        <is>
          <t>R4 480 V switchgear + vacuum-pump MCC</t>
        </is>
      </c>
      <c r="G2012" s="12" t="inlineStr">
        <is>
          <t>ACC</t>
        </is>
      </c>
      <c r="H2012" s="12" t="inlineStr">
        <is>
          <t>Air-cooled condenser, 80 cells (steam-cycle heat rejection)</t>
        </is>
      </c>
      <c r="I2012" s="12" t="inlineStr">
        <is>
          <t>Control</t>
        </is>
      </c>
      <c r="J2012" s="12" t="inlineStr">
        <is>
          <t>Control cable 600 V Type TC-ER, Cu #14 AWG, PVC jacket</t>
        </is>
      </c>
      <c r="K2012" s="12" t="inlineStr">
        <is>
          <t>CT|12/C|14</t>
        </is>
      </c>
      <c r="L2012" s="12" t="inlineStr">
        <is>
          <t>12/C</t>
        </is>
      </c>
      <c r="M2012" s="12" t="inlineStr">
        <is>
          <t>14</t>
        </is>
      </c>
      <c r="N2012" s="12" t="n">
        <v>1</v>
      </c>
      <c r="O2012" s="12" t="n">
        <v>1</v>
      </c>
      <c r="P2012" s="12" t="n"/>
      <c r="Q2012" s="12" t="n"/>
      <c r="R2012" s="12" t="n"/>
      <c r="S2012" s="12" t="inlineStr">
        <is>
          <t>Tray</t>
        </is>
      </c>
      <c r="T2012" s="16" t="n">
        <v>0</v>
      </c>
      <c r="U2012" s="16" t="n">
        <v>52</v>
      </c>
      <c r="V2012" s="16">
        <f>ROUNDUP((T2012+U2012+2*'Read Me'!$B$13)*(1+'Read Me'!$B$12),-1)</f>
        <v/>
      </c>
      <c r="W2012" s="16">
        <f>V2012*N2012*O2012</f>
        <v/>
      </c>
      <c r="X2012" s="12">
        <f>IF(LEFT(I2012,2)="MV",2*N2012*IF(L2012="1/C",O2012,1),0)</f>
        <v/>
      </c>
      <c r="Y2012" s="12">
        <f>IF(OR(LEFT(K2012,4)="LVAX",LEFT(K2012,6)="MV15AX",LEFT(K2012,4)="CTAX",LEFT(K2012,2)="W|"),2*N2012*O2012,0)</f>
        <v/>
      </c>
      <c r="Z2012" s="12" t="inlineStr"/>
      <c r="AA2012" s="12">
        <f>N2012*O2012</f>
        <v/>
      </c>
    </row>
    <row r="2013">
      <c r="A2013" s="12" t="inlineStr">
        <is>
          <t>B-C-0086</t>
        </is>
      </c>
      <c r="B2013" s="12" t="inlineStr">
        <is>
          <t>B</t>
        </is>
      </c>
      <c r="C2013" s="12" t="inlineStr">
        <is>
          <t>ACC</t>
        </is>
      </c>
      <c r="D2013" s="12" t="inlineStr">
        <is>
          <t>MOV 6: control</t>
        </is>
      </c>
      <c r="E2013" s="12" t="inlineStr"/>
      <c r="F2013" s="12" t="inlineStr">
        <is>
          <t>R4 480 V switchgear + vacuum-pump MCC</t>
        </is>
      </c>
      <c r="G2013" s="12" t="inlineStr">
        <is>
          <t>ACC</t>
        </is>
      </c>
      <c r="H2013" s="12" t="inlineStr">
        <is>
          <t>Air-cooled condenser, 80 cells (steam-cycle heat rejection)</t>
        </is>
      </c>
      <c r="I2013" s="12" t="inlineStr">
        <is>
          <t>Control</t>
        </is>
      </c>
      <c r="J2013" s="12" t="inlineStr">
        <is>
          <t>Control cable 600 V Type TC-ER, Cu #14 AWG, PVC jacket</t>
        </is>
      </c>
      <c r="K2013" s="12" t="inlineStr">
        <is>
          <t>CT|12/C|14</t>
        </is>
      </c>
      <c r="L2013" s="12" t="inlineStr">
        <is>
          <t>12/C</t>
        </is>
      </c>
      <c r="M2013" s="12" t="inlineStr">
        <is>
          <t>14</t>
        </is>
      </c>
      <c r="N2013" s="12" t="n">
        <v>1</v>
      </c>
      <c r="O2013" s="12" t="n">
        <v>1</v>
      </c>
      <c r="P2013" s="12" t="n"/>
      <c r="Q2013" s="12" t="n"/>
      <c r="R2013" s="12" t="n"/>
      <c r="S2013" s="12" t="inlineStr">
        <is>
          <t>Tray</t>
        </is>
      </c>
      <c r="T2013" s="16" t="n">
        <v>0</v>
      </c>
      <c r="U2013" s="16" t="n">
        <v>52</v>
      </c>
      <c r="V2013" s="16">
        <f>ROUNDUP((T2013+U2013+2*'Read Me'!$B$13)*(1+'Read Me'!$B$12),-1)</f>
        <v/>
      </c>
      <c r="W2013" s="16">
        <f>V2013*N2013*O2013</f>
        <v/>
      </c>
      <c r="X2013" s="12">
        <f>IF(LEFT(I2013,2)="MV",2*N2013*IF(L2013="1/C",O2013,1),0)</f>
        <v/>
      </c>
      <c r="Y2013" s="12">
        <f>IF(OR(LEFT(K2013,4)="LVAX",LEFT(K2013,6)="MV15AX",LEFT(K2013,4)="CTAX",LEFT(K2013,2)="W|"),2*N2013*O2013,0)</f>
        <v/>
      </c>
      <c r="Z2013" s="12" t="inlineStr"/>
      <c r="AA2013" s="12">
        <f>N2013*O2013</f>
        <v/>
      </c>
    </row>
    <row r="2014">
      <c r="A2014" s="12" t="inlineStr">
        <is>
          <t>B-C-0087</t>
        </is>
      </c>
      <c r="B2014" s="12" t="inlineStr">
        <is>
          <t>B</t>
        </is>
      </c>
      <c r="C2014" s="12" t="inlineStr">
        <is>
          <t>ACC</t>
        </is>
      </c>
      <c r="D2014" s="12" t="inlineStr">
        <is>
          <t>MOV 7: control</t>
        </is>
      </c>
      <c r="E2014" s="12" t="inlineStr"/>
      <c r="F2014" s="12" t="inlineStr">
        <is>
          <t>R4 480 V switchgear + vacuum-pump MCC</t>
        </is>
      </c>
      <c r="G2014" s="12" t="inlineStr">
        <is>
          <t>ACC</t>
        </is>
      </c>
      <c r="H2014" s="12" t="inlineStr">
        <is>
          <t>Air-cooled condenser, 80 cells (steam-cycle heat rejection)</t>
        </is>
      </c>
      <c r="I2014" s="12" t="inlineStr">
        <is>
          <t>Control</t>
        </is>
      </c>
      <c r="J2014" s="12" t="inlineStr">
        <is>
          <t>Control cable 600 V Type TC-ER, Cu #14 AWG, PVC jacket</t>
        </is>
      </c>
      <c r="K2014" s="12" t="inlineStr">
        <is>
          <t>CT|12/C|14</t>
        </is>
      </c>
      <c r="L2014" s="12" t="inlineStr">
        <is>
          <t>12/C</t>
        </is>
      </c>
      <c r="M2014" s="12" t="inlineStr">
        <is>
          <t>14</t>
        </is>
      </c>
      <c r="N2014" s="12" t="n">
        <v>1</v>
      </c>
      <c r="O2014" s="12" t="n">
        <v>1</v>
      </c>
      <c r="P2014" s="12" t="n"/>
      <c r="Q2014" s="12" t="n"/>
      <c r="R2014" s="12" t="n"/>
      <c r="S2014" s="12" t="inlineStr">
        <is>
          <t>Tray</t>
        </is>
      </c>
      <c r="T2014" s="16" t="n">
        <v>0</v>
      </c>
      <c r="U2014" s="16" t="n">
        <v>52</v>
      </c>
      <c r="V2014" s="16">
        <f>ROUNDUP((T2014+U2014+2*'Read Me'!$B$13)*(1+'Read Me'!$B$12),-1)</f>
        <v/>
      </c>
      <c r="W2014" s="16">
        <f>V2014*N2014*O2014</f>
        <v/>
      </c>
      <c r="X2014" s="12">
        <f>IF(LEFT(I2014,2)="MV",2*N2014*IF(L2014="1/C",O2014,1),0)</f>
        <v/>
      </c>
      <c r="Y2014" s="12">
        <f>IF(OR(LEFT(K2014,4)="LVAX",LEFT(K2014,6)="MV15AX",LEFT(K2014,4)="CTAX",LEFT(K2014,2)="W|"),2*N2014*O2014,0)</f>
        <v/>
      </c>
      <c r="Z2014" s="12" t="inlineStr"/>
      <c r="AA2014" s="12">
        <f>N2014*O2014</f>
        <v/>
      </c>
    </row>
    <row r="2015">
      <c r="A2015" s="12" t="inlineStr">
        <is>
          <t>B-C-0088</t>
        </is>
      </c>
      <c r="B2015" s="12" t="inlineStr">
        <is>
          <t>B</t>
        </is>
      </c>
      <c r="C2015" s="12" t="inlineStr">
        <is>
          <t>ACC</t>
        </is>
      </c>
      <c r="D2015" s="12" t="inlineStr">
        <is>
          <t>MOV 8: control</t>
        </is>
      </c>
      <c r="E2015" s="12" t="inlineStr"/>
      <c r="F2015" s="12" t="inlineStr">
        <is>
          <t>R4 480 V switchgear + vacuum-pump MCC</t>
        </is>
      </c>
      <c r="G2015" s="12" t="inlineStr">
        <is>
          <t>ACC</t>
        </is>
      </c>
      <c r="H2015" s="12" t="inlineStr">
        <is>
          <t>Air-cooled condenser, 80 cells (steam-cycle heat rejection)</t>
        </is>
      </c>
      <c r="I2015" s="12" t="inlineStr">
        <is>
          <t>Control</t>
        </is>
      </c>
      <c r="J2015" s="12" t="inlineStr">
        <is>
          <t>Control cable 600 V Type TC-ER, Cu #14 AWG, PVC jacket</t>
        </is>
      </c>
      <c r="K2015" s="12" t="inlineStr">
        <is>
          <t>CT|12/C|14</t>
        </is>
      </c>
      <c r="L2015" s="12" t="inlineStr">
        <is>
          <t>12/C</t>
        </is>
      </c>
      <c r="M2015" s="12" t="inlineStr">
        <is>
          <t>14</t>
        </is>
      </c>
      <c r="N2015" s="12" t="n">
        <v>1</v>
      </c>
      <c r="O2015" s="12" t="n">
        <v>1</v>
      </c>
      <c r="P2015" s="12" t="n"/>
      <c r="Q2015" s="12" t="n"/>
      <c r="R2015" s="12" t="n"/>
      <c r="S2015" s="12" t="inlineStr">
        <is>
          <t>Tray</t>
        </is>
      </c>
      <c r="T2015" s="16" t="n">
        <v>0</v>
      </c>
      <c r="U2015" s="16" t="n">
        <v>52</v>
      </c>
      <c r="V2015" s="16">
        <f>ROUNDUP((T2015+U2015+2*'Read Me'!$B$13)*(1+'Read Me'!$B$12),-1)</f>
        <v/>
      </c>
      <c r="W2015" s="16">
        <f>V2015*N2015*O2015</f>
        <v/>
      </c>
      <c r="X2015" s="12">
        <f>IF(LEFT(I2015,2)="MV",2*N2015*IF(L2015="1/C",O2015,1),0)</f>
        <v/>
      </c>
      <c r="Y2015" s="12">
        <f>IF(OR(LEFT(K2015,4)="LVAX",LEFT(K2015,6)="MV15AX",LEFT(K2015,4)="CTAX",LEFT(K2015,2)="W|"),2*N2015*O2015,0)</f>
        <v/>
      </c>
      <c r="Z2015" s="12" t="inlineStr"/>
      <c r="AA2015" s="12">
        <f>N2015*O2015</f>
        <v/>
      </c>
    </row>
    <row r="2016">
      <c r="A2016" s="12" t="inlineStr">
        <is>
          <t>B-C-0089</t>
        </is>
      </c>
      <c r="B2016" s="12" t="inlineStr">
        <is>
          <t>B</t>
        </is>
      </c>
      <c r="C2016" s="12" t="inlineStr">
        <is>
          <t>ACC</t>
        </is>
      </c>
      <c r="D2016" s="12" t="inlineStr">
        <is>
          <t>MOV 9: control</t>
        </is>
      </c>
      <c r="E2016" s="12" t="inlineStr"/>
      <c r="F2016" s="12" t="inlineStr">
        <is>
          <t>R4 480 V switchgear + vacuum-pump MCC</t>
        </is>
      </c>
      <c r="G2016" s="12" t="inlineStr">
        <is>
          <t>ACC</t>
        </is>
      </c>
      <c r="H2016" s="12" t="inlineStr">
        <is>
          <t>Air-cooled condenser, 80 cells (steam-cycle heat rejection)</t>
        </is>
      </c>
      <c r="I2016" s="12" t="inlineStr">
        <is>
          <t>Control</t>
        </is>
      </c>
      <c r="J2016" s="12" t="inlineStr">
        <is>
          <t>Control cable 600 V Type TC-ER, Cu #14 AWG, PVC jacket</t>
        </is>
      </c>
      <c r="K2016" s="12" t="inlineStr">
        <is>
          <t>CT|12/C|14</t>
        </is>
      </c>
      <c r="L2016" s="12" t="inlineStr">
        <is>
          <t>12/C</t>
        </is>
      </c>
      <c r="M2016" s="12" t="inlineStr">
        <is>
          <t>14</t>
        </is>
      </c>
      <c r="N2016" s="12" t="n">
        <v>1</v>
      </c>
      <c r="O2016" s="12" t="n">
        <v>1</v>
      </c>
      <c r="P2016" s="12" t="n"/>
      <c r="Q2016" s="12" t="n"/>
      <c r="R2016" s="12" t="n"/>
      <c r="S2016" s="12" t="inlineStr">
        <is>
          <t>Tray</t>
        </is>
      </c>
      <c r="T2016" s="16" t="n">
        <v>0</v>
      </c>
      <c r="U2016" s="16" t="n">
        <v>52</v>
      </c>
      <c r="V2016" s="16">
        <f>ROUNDUP((T2016+U2016+2*'Read Me'!$B$13)*(1+'Read Me'!$B$12),-1)</f>
        <v/>
      </c>
      <c r="W2016" s="16">
        <f>V2016*N2016*O2016</f>
        <v/>
      </c>
      <c r="X2016" s="12">
        <f>IF(LEFT(I2016,2)="MV",2*N2016*IF(L2016="1/C",O2016,1),0)</f>
        <v/>
      </c>
      <c r="Y2016" s="12">
        <f>IF(OR(LEFT(K2016,4)="LVAX",LEFT(K2016,6)="MV15AX",LEFT(K2016,4)="CTAX",LEFT(K2016,2)="W|"),2*N2016*O2016,0)</f>
        <v/>
      </c>
      <c r="Z2016" s="12" t="inlineStr"/>
      <c r="AA2016" s="12">
        <f>N2016*O2016</f>
        <v/>
      </c>
    </row>
    <row r="2017">
      <c r="A2017" s="12" t="inlineStr">
        <is>
          <t>B-C-0090</t>
        </is>
      </c>
      <c r="B2017" s="12" t="inlineStr">
        <is>
          <t>B</t>
        </is>
      </c>
      <c r="C2017" s="12" t="inlineStr">
        <is>
          <t>ACC</t>
        </is>
      </c>
      <c r="D2017" s="12" t="inlineStr">
        <is>
          <t>MOV 10: control</t>
        </is>
      </c>
      <c r="E2017" s="12" t="inlineStr"/>
      <c r="F2017" s="12" t="inlineStr">
        <is>
          <t>R4 480 V switchgear + vacuum-pump MCC</t>
        </is>
      </c>
      <c r="G2017" s="12" t="inlineStr">
        <is>
          <t>ACC</t>
        </is>
      </c>
      <c r="H2017" s="12" t="inlineStr">
        <is>
          <t>Air-cooled condenser, 80 cells (steam-cycle heat rejection)</t>
        </is>
      </c>
      <c r="I2017" s="12" t="inlineStr">
        <is>
          <t>Control</t>
        </is>
      </c>
      <c r="J2017" s="12" t="inlineStr">
        <is>
          <t>Control cable 600 V Type TC-ER, Cu #14 AWG, PVC jacket</t>
        </is>
      </c>
      <c r="K2017" s="12" t="inlineStr">
        <is>
          <t>CT|12/C|14</t>
        </is>
      </c>
      <c r="L2017" s="12" t="inlineStr">
        <is>
          <t>12/C</t>
        </is>
      </c>
      <c r="M2017" s="12" t="inlineStr">
        <is>
          <t>14</t>
        </is>
      </c>
      <c r="N2017" s="12" t="n">
        <v>1</v>
      </c>
      <c r="O2017" s="12" t="n">
        <v>1</v>
      </c>
      <c r="P2017" s="12" t="n"/>
      <c r="Q2017" s="12" t="n"/>
      <c r="R2017" s="12" t="n"/>
      <c r="S2017" s="12" t="inlineStr">
        <is>
          <t>Tray</t>
        </is>
      </c>
      <c r="T2017" s="16" t="n">
        <v>0</v>
      </c>
      <c r="U2017" s="16" t="n">
        <v>52</v>
      </c>
      <c r="V2017" s="16">
        <f>ROUNDUP((T2017+U2017+2*'Read Me'!$B$13)*(1+'Read Me'!$B$12),-1)</f>
        <v/>
      </c>
      <c r="W2017" s="16">
        <f>V2017*N2017*O2017</f>
        <v/>
      </c>
      <c r="X2017" s="12">
        <f>IF(LEFT(I2017,2)="MV",2*N2017*IF(L2017="1/C",O2017,1),0)</f>
        <v/>
      </c>
      <c r="Y2017" s="12">
        <f>IF(OR(LEFT(K2017,4)="LVAX",LEFT(K2017,6)="MV15AX",LEFT(K2017,4)="CTAX",LEFT(K2017,2)="W|"),2*N2017*O2017,0)</f>
        <v/>
      </c>
      <c r="Z2017" s="12" t="inlineStr"/>
      <c r="AA2017" s="12">
        <f>N2017*O2017</f>
        <v/>
      </c>
    </row>
    <row r="2018">
      <c r="A2018" s="12" t="inlineStr">
        <is>
          <t>B-C-0091</t>
        </is>
      </c>
      <c r="B2018" s="12" t="inlineStr">
        <is>
          <t>B</t>
        </is>
      </c>
      <c r="C2018" s="12" t="inlineStr">
        <is>
          <t>ACC</t>
        </is>
      </c>
      <c r="D2018" s="12" t="inlineStr">
        <is>
          <t>MOV 11: control</t>
        </is>
      </c>
      <c r="E2018" s="12" t="inlineStr"/>
      <c r="F2018" s="12" t="inlineStr">
        <is>
          <t>R4 480 V switchgear + vacuum-pump MCC</t>
        </is>
      </c>
      <c r="G2018" s="12" t="inlineStr">
        <is>
          <t>ACC</t>
        </is>
      </c>
      <c r="H2018" s="12" t="inlineStr">
        <is>
          <t>Air-cooled condenser, 80 cells (steam-cycle heat rejection)</t>
        </is>
      </c>
      <c r="I2018" s="12" t="inlineStr">
        <is>
          <t>Control</t>
        </is>
      </c>
      <c r="J2018" s="12" t="inlineStr">
        <is>
          <t>Control cable 600 V Type TC-ER, Cu #14 AWG, PVC jacket</t>
        </is>
      </c>
      <c r="K2018" s="12" t="inlineStr">
        <is>
          <t>CT|12/C|14</t>
        </is>
      </c>
      <c r="L2018" s="12" t="inlineStr">
        <is>
          <t>12/C</t>
        </is>
      </c>
      <c r="M2018" s="12" t="inlineStr">
        <is>
          <t>14</t>
        </is>
      </c>
      <c r="N2018" s="12" t="n">
        <v>1</v>
      </c>
      <c r="O2018" s="12" t="n">
        <v>1</v>
      </c>
      <c r="P2018" s="12" t="n"/>
      <c r="Q2018" s="12" t="n"/>
      <c r="R2018" s="12" t="n"/>
      <c r="S2018" s="12" t="inlineStr">
        <is>
          <t>Tray</t>
        </is>
      </c>
      <c r="T2018" s="16" t="n">
        <v>0</v>
      </c>
      <c r="U2018" s="16" t="n">
        <v>52</v>
      </c>
      <c r="V2018" s="16">
        <f>ROUNDUP((T2018+U2018+2*'Read Me'!$B$13)*(1+'Read Me'!$B$12),-1)</f>
        <v/>
      </c>
      <c r="W2018" s="16">
        <f>V2018*N2018*O2018</f>
        <v/>
      </c>
      <c r="X2018" s="12">
        <f>IF(LEFT(I2018,2)="MV",2*N2018*IF(L2018="1/C",O2018,1),0)</f>
        <v/>
      </c>
      <c r="Y2018" s="12">
        <f>IF(OR(LEFT(K2018,4)="LVAX",LEFT(K2018,6)="MV15AX",LEFT(K2018,4)="CTAX",LEFT(K2018,2)="W|"),2*N2018*O2018,0)</f>
        <v/>
      </c>
      <c r="Z2018" s="12" t="inlineStr"/>
      <c r="AA2018" s="12">
        <f>N2018*O2018</f>
        <v/>
      </c>
    </row>
    <row r="2019">
      <c r="A2019" s="12" t="inlineStr">
        <is>
          <t>B-C-0092</t>
        </is>
      </c>
      <c r="B2019" s="12" t="inlineStr">
        <is>
          <t>B</t>
        </is>
      </c>
      <c r="C2019" s="12" t="inlineStr">
        <is>
          <t>ACC</t>
        </is>
      </c>
      <c r="D2019" s="12" t="inlineStr">
        <is>
          <t>MOV 12: control</t>
        </is>
      </c>
      <c r="E2019" s="12" t="inlineStr"/>
      <c r="F2019" s="12" t="inlineStr">
        <is>
          <t>R4 480 V switchgear + vacuum-pump MCC</t>
        </is>
      </c>
      <c r="G2019" s="12" t="inlineStr">
        <is>
          <t>ACC</t>
        </is>
      </c>
      <c r="H2019" s="12" t="inlineStr">
        <is>
          <t>Air-cooled condenser, 80 cells (steam-cycle heat rejection)</t>
        </is>
      </c>
      <c r="I2019" s="12" t="inlineStr">
        <is>
          <t>Control</t>
        </is>
      </c>
      <c r="J2019" s="12" t="inlineStr">
        <is>
          <t>Control cable 600 V Type TC-ER, Cu #14 AWG, PVC jacket</t>
        </is>
      </c>
      <c r="K2019" s="12" t="inlineStr">
        <is>
          <t>CT|12/C|14</t>
        </is>
      </c>
      <c r="L2019" s="12" t="inlineStr">
        <is>
          <t>12/C</t>
        </is>
      </c>
      <c r="M2019" s="12" t="inlineStr">
        <is>
          <t>14</t>
        </is>
      </c>
      <c r="N2019" s="12" t="n">
        <v>1</v>
      </c>
      <c r="O2019" s="12" t="n">
        <v>1</v>
      </c>
      <c r="P2019" s="12" t="n"/>
      <c r="Q2019" s="12" t="n"/>
      <c r="R2019" s="12" t="n"/>
      <c r="S2019" s="12" t="inlineStr">
        <is>
          <t>Tray</t>
        </is>
      </c>
      <c r="T2019" s="16" t="n">
        <v>0</v>
      </c>
      <c r="U2019" s="16" t="n">
        <v>52</v>
      </c>
      <c r="V2019" s="16">
        <f>ROUNDUP((T2019+U2019+2*'Read Me'!$B$13)*(1+'Read Me'!$B$12),-1)</f>
        <v/>
      </c>
      <c r="W2019" s="16">
        <f>V2019*N2019*O2019</f>
        <v/>
      </c>
      <c r="X2019" s="12">
        <f>IF(LEFT(I2019,2)="MV",2*N2019*IF(L2019="1/C",O2019,1),0)</f>
        <v/>
      </c>
      <c r="Y2019" s="12">
        <f>IF(OR(LEFT(K2019,4)="LVAX",LEFT(K2019,6)="MV15AX",LEFT(K2019,4)="CTAX",LEFT(K2019,2)="W|"),2*N2019*O2019,0)</f>
        <v/>
      </c>
      <c r="Z2019" s="12" t="inlineStr"/>
      <c r="AA2019" s="12">
        <f>N2019*O2019</f>
        <v/>
      </c>
    </row>
    <row r="2020">
      <c r="A2020" s="12" t="inlineStr">
        <is>
          <t>B-C-0093</t>
        </is>
      </c>
      <c r="B2020" s="12" t="inlineStr">
        <is>
          <t>B</t>
        </is>
      </c>
      <c r="C2020" s="12" t="inlineStr">
        <is>
          <t>ACC</t>
        </is>
      </c>
      <c r="D2020" s="12" t="inlineStr">
        <is>
          <t>MOV 13: control</t>
        </is>
      </c>
      <c r="E2020" s="12" t="inlineStr"/>
      <c r="F2020" s="12" t="inlineStr">
        <is>
          <t>R4 480 V switchgear + vacuum-pump MCC</t>
        </is>
      </c>
      <c r="G2020" s="12" t="inlineStr">
        <is>
          <t>ACC</t>
        </is>
      </c>
      <c r="H2020" s="12" t="inlineStr">
        <is>
          <t>Air-cooled condenser, 80 cells (steam-cycle heat rejection)</t>
        </is>
      </c>
      <c r="I2020" s="12" t="inlineStr">
        <is>
          <t>Control</t>
        </is>
      </c>
      <c r="J2020" s="12" t="inlineStr">
        <is>
          <t>Control cable 600 V Type TC-ER, Cu #14 AWG, PVC jacket</t>
        </is>
      </c>
      <c r="K2020" s="12" t="inlineStr">
        <is>
          <t>CT|12/C|14</t>
        </is>
      </c>
      <c r="L2020" s="12" t="inlineStr">
        <is>
          <t>12/C</t>
        </is>
      </c>
      <c r="M2020" s="12" t="inlineStr">
        <is>
          <t>14</t>
        </is>
      </c>
      <c r="N2020" s="12" t="n">
        <v>1</v>
      </c>
      <c r="O2020" s="12" t="n">
        <v>1</v>
      </c>
      <c r="P2020" s="12" t="n"/>
      <c r="Q2020" s="12" t="n"/>
      <c r="R2020" s="12" t="n"/>
      <c r="S2020" s="12" t="inlineStr">
        <is>
          <t>Tray</t>
        </is>
      </c>
      <c r="T2020" s="16" t="n">
        <v>0</v>
      </c>
      <c r="U2020" s="16" t="n">
        <v>52</v>
      </c>
      <c r="V2020" s="16">
        <f>ROUNDUP((T2020+U2020+2*'Read Me'!$B$13)*(1+'Read Me'!$B$12),-1)</f>
        <v/>
      </c>
      <c r="W2020" s="16">
        <f>V2020*N2020*O2020</f>
        <v/>
      </c>
      <c r="X2020" s="12">
        <f>IF(LEFT(I2020,2)="MV",2*N2020*IF(L2020="1/C",O2020,1),0)</f>
        <v/>
      </c>
      <c r="Y2020" s="12">
        <f>IF(OR(LEFT(K2020,4)="LVAX",LEFT(K2020,6)="MV15AX",LEFT(K2020,4)="CTAX",LEFT(K2020,2)="W|"),2*N2020*O2020,0)</f>
        <v/>
      </c>
      <c r="Z2020" s="12" t="inlineStr"/>
      <c r="AA2020" s="12">
        <f>N2020*O2020</f>
        <v/>
      </c>
    </row>
    <row r="2021">
      <c r="A2021" s="12" t="inlineStr">
        <is>
          <t>B-C-0094</t>
        </is>
      </c>
      <c r="B2021" s="12" t="inlineStr">
        <is>
          <t>B</t>
        </is>
      </c>
      <c r="C2021" s="12" t="inlineStr">
        <is>
          <t>ACC</t>
        </is>
      </c>
      <c r="D2021" s="12" t="inlineStr">
        <is>
          <t>MOV 14: control</t>
        </is>
      </c>
      <c r="E2021" s="12" t="inlineStr"/>
      <c r="F2021" s="12" t="inlineStr">
        <is>
          <t>R4 480 V switchgear + vacuum-pump MCC</t>
        </is>
      </c>
      <c r="G2021" s="12" t="inlineStr">
        <is>
          <t>ACC</t>
        </is>
      </c>
      <c r="H2021" s="12" t="inlineStr">
        <is>
          <t>Air-cooled condenser, 80 cells (steam-cycle heat rejection)</t>
        </is>
      </c>
      <c r="I2021" s="12" t="inlineStr">
        <is>
          <t>Control</t>
        </is>
      </c>
      <c r="J2021" s="12" t="inlineStr">
        <is>
          <t>Control cable 600 V Type TC-ER, Cu #14 AWG, PVC jacket</t>
        </is>
      </c>
      <c r="K2021" s="12" t="inlineStr">
        <is>
          <t>CT|12/C|14</t>
        </is>
      </c>
      <c r="L2021" s="12" t="inlineStr">
        <is>
          <t>12/C</t>
        </is>
      </c>
      <c r="M2021" s="12" t="inlineStr">
        <is>
          <t>14</t>
        </is>
      </c>
      <c r="N2021" s="12" t="n">
        <v>1</v>
      </c>
      <c r="O2021" s="12" t="n">
        <v>1</v>
      </c>
      <c r="P2021" s="12" t="n"/>
      <c r="Q2021" s="12" t="n"/>
      <c r="R2021" s="12" t="n"/>
      <c r="S2021" s="12" t="inlineStr">
        <is>
          <t>Tray</t>
        </is>
      </c>
      <c r="T2021" s="16" t="n">
        <v>0</v>
      </c>
      <c r="U2021" s="16" t="n">
        <v>52</v>
      </c>
      <c r="V2021" s="16">
        <f>ROUNDUP((T2021+U2021+2*'Read Me'!$B$13)*(1+'Read Me'!$B$12),-1)</f>
        <v/>
      </c>
      <c r="W2021" s="16">
        <f>V2021*N2021*O2021</f>
        <v/>
      </c>
      <c r="X2021" s="12">
        <f>IF(LEFT(I2021,2)="MV",2*N2021*IF(L2021="1/C",O2021,1),0)</f>
        <v/>
      </c>
      <c r="Y2021" s="12">
        <f>IF(OR(LEFT(K2021,4)="LVAX",LEFT(K2021,6)="MV15AX",LEFT(K2021,4)="CTAX",LEFT(K2021,2)="W|"),2*N2021*O2021,0)</f>
        <v/>
      </c>
      <c r="Z2021" s="12" t="inlineStr"/>
      <c r="AA2021" s="12">
        <f>N2021*O2021</f>
        <v/>
      </c>
    </row>
    <row r="2022">
      <c r="A2022" s="12" t="inlineStr">
        <is>
          <t>B-C-0095</t>
        </is>
      </c>
      <c r="B2022" s="12" t="inlineStr">
        <is>
          <t>B</t>
        </is>
      </c>
      <c r="C2022" s="12" t="inlineStr">
        <is>
          <t>ACC</t>
        </is>
      </c>
      <c r="D2022" s="12" t="inlineStr">
        <is>
          <t>MOV 15: control</t>
        </is>
      </c>
      <c r="E2022" s="12" t="inlineStr"/>
      <c r="F2022" s="12" t="inlineStr">
        <is>
          <t>R4 480 V switchgear + vacuum-pump MCC</t>
        </is>
      </c>
      <c r="G2022" s="12" t="inlineStr">
        <is>
          <t>ACC</t>
        </is>
      </c>
      <c r="H2022" s="12" t="inlineStr">
        <is>
          <t>Air-cooled condenser, 80 cells (steam-cycle heat rejection)</t>
        </is>
      </c>
      <c r="I2022" s="12" t="inlineStr">
        <is>
          <t>Control</t>
        </is>
      </c>
      <c r="J2022" s="12" t="inlineStr">
        <is>
          <t>Control cable 600 V Type TC-ER, Cu #14 AWG, PVC jacket</t>
        </is>
      </c>
      <c r="K2022" s="12" t="inlineStr">
        <is>
          <t>CT|12/C|14</t>
        </is>
      </c>
      <c r="L2022" s="12" t="inlineStr">
        <is>
          <t>12/C</t>
        </is>
      </c>
      <c r="M2022" s="12" t="inlineStr">
        <is>
          <t>14</t>
        </is>
      </c>
      <c r="N2022" s="12" t="n">
        <v>1</v>
      </c>
      <c r="O2022" s="12" t="n">
        <v>1</v>
      </c>
      <c r="P2022" s="12" t="n"/>
      <c r="Q2022" s="12" t="n"/>
      <c r="R2022" s="12" t="n"/>
      <c r="S2022" s="12" t="inlineStr">
        <is>
          <t>Tray</t>
        </is>
      </c>
      <c r="T2022" s="16" t="n">
        <v>0</v>
      </c>
      <c r="U2022" s="16" t="n">
        <v>52</v>
      </c>
      <c r="V2022" s="16">
        <f>ROUNDUP((T2022+U2022+2*'Read Me'!$B$13)*(1+'Read Me'!$B$12),-1)</f>
        <v/>
      </c>
      <c r="W2022" s="16">
        <f>V2022*N2022*O2022</f>
        <v/>
      </c>
      <c r="X2022" s="12">
        <f>IF(LEFT(I2022,2)="MV",2*N2022*IF(L2022="1/C",O2022,1),0)</f>
        <v/>
      </c>
      <c r="Y2022" s="12">
        <f>IF(OR(LEFT(K2022,4)="LVAX",LEFT(K2022,6)="MV15AX",LEFT(K2022,4)="CTAX",LEFT(K2022,2)="W|"),2*N2022*O2022,0)</f>
        <v/>
      </c>
      <c r="Z2022" s="12" t="inlineStr"/>
      <c r="AA2022" s="12">
        <f>N2022*O2022</f>
        <v/>
      </c>
    </row>
    <row r="2023">
      <c r="A2023" s="12" t="inlineStr">
        <is>
          <t>B-C-0096</t>
        </is>
      </c>
      <c r="B2023" s="12" t="inlineStr">
        <is>
          <t>B</t>
        </is>
      </c>
      <c r="C2023" s="12" t="inlineStr">
        <is>
          <t>ACC</t>
        </is>
      </c>
      <c r="D2023" s="12" t="inlineStr">
        <is>
          <t>MOV 16: control</t>
        </is>
      </c>
      <c r="E2023" s="12" t="inlineStr"/>
      <c r="F2023" s="12" t="inlineStr">
        <is>
          <t>R4 480 V switchgear + vacuum-pump MCC</t>
        </is>
      </c>
      <c r="G2023" s="12" t="inlineStr">
        <is>
          <t>ACC</t>
        </is>
      </c>
      <c r="H2023" s="12" t="inlineStr">
        <is>
          <t>Air-cooled condenser, 80 cells (steam-cycle heat rejection)</t>
        </is>
      </c>
      <c r="I2023" s="12" t="inlineStr">
        <is>
          <t>Control</t>
        </is>
      </c>
      <c r="J2023" s="12" t="inlineStr">
        <is>
          <t>Control cable 600 V Type TC-ER, Cu #14 AWG, PVC jacket</t>
        </is>
      </c>
      <c r="K2023" s="12" t="inlineStr">
        <is>
          <t>CT|12/C|14</t>
        </is>
      </c>
      <c r="L2023" s="12" t="inlineStr">
        <is>
          <t>12/C</t>
        </is>
      </c>
      <c r="M2023" s="12" t="inlineStr">
        <is>
          <t>14</t>
        </is>
      </c>
      <c r="N2023" s="12" t="n">
        <v>1</v>
      </c>
      <c r="O2023" s="12" t="n">
        <v>1</v>
      </c>
      <c r="P2023" s="12" t="n"/>
      <c r="Q2023" s="12" t="n"/>
      <c r="R2023" s="12" t="n"/>
      <c r="S2023" s="12" t="inlineStr">
        <is>
          <t>Tray</t>
        </is>
      </c>
      <c r="T2023" s="16" t="n">
        <v>0</v>
      </c>
      <c r="U2023" s="16" t="n">
        <v>52</v>
      </c>
      <c r="V2023" s="16">
        <f>ROUNDUP((T2023+U2023+2*'Read Me'!$B$13)*(1+'Read Me'!$B$12),-1)</f>
        <v/>
      </c>
      <c r="W2023" s="16">
        <f>V2023*N2023*O2023</f>
        <v/>
      </c>
      <c r="X2023" s="12">
        <f>IF(LEFT(I2023,2)="MV",2*N2023*IF(L2023="1/C",O2023,1),0)</f>
        <v/>
      </c>
      <c r="Y2023" s="12">
        <f>IF(OR(LEFT(K2023,4)="LVAX",LEFT(K2023,6)="MV15AX",LEFT(K2023,4)="CTAX",LEFT(K2023,2)="W|"),2*N2023*O2023,0)</f>
        <v/>
      </c>
      <c r="Z2023" s="12" t="inlineStr"/>
      <c r="AA2023" s="12">
        <f>N2023*O2023</f>
        <v/>
      </c>
    </row>
    <row r="2024">
      <c r="A2024" s="12" t="inlineStr">
        <is>
          <t>B-C-0097</t>
        </is>
      </c>
      <c r="B2024" s="12" t="inlineStr">
        <is>
          <t>B</t>
        </is>
      </c>
      <c r="C2024" s="12" t="inlineStr">
        <is>
          <t>ACC</t>
        </is>
      </c>
      <c r="D2024" s="12" t="inlineStr">
        <is>
          <t>MOV 17: control</t>
        </is>
      </c>
      <c r="E2024" s="12" t="inlineStr"/>
      <c r="F2024" s="12" t="inlineStr">
        <is>
          <t>R4 480 V switchgear + vacuum-pump MCC</t>
        </is>
      </c>
      <c r="G2024" s="12" t="inlineStr">
        <is>
          <t>ACC</t>
        </is>
      </c>
      <c r="H2024" s="12" t="inlineStr">
        <is>
          <t>Air-cooled condenser, 80 cells (steam-cycle heat rejection)</t>
        </is>
      </c>
      <c r="I2024" s="12" t="inlineStr">
        <is>
          <t>Control</t>
        </is>
      </c>
      <c r="J2024" s="12" t="inlineStr">
        <is>
          <t>Control cable 600 V Type TC-ER, Cu #14 AWG, PVC jacket</t>
        </is>
      </c>
      <c r="K2024" s="12" t="inlineStr">
        <is>
          <t>CT|12/C|14</t>
        </is>
      </c>
      <c r="L2024" s="12" t="inlineStr">
        <is>
          <t>12/C</t>
        </is>
      </c>
      <c r="M2024" s="12" t="inlineStr">
        <is>
          <t>14</t>
        </is>
      </c>
      <c r="N2024" s="12" t="n">
        <v>1</v>
      </c>
      <c r="O2024" s="12" t="n">
        <v>1</v>
      </c>
      <c r="P2024" s="12" t="n"/>
      <c r="Q2024" s="12" t="n"/>
      <c r="R2024" s="12" t="n"/>
      <c r="S2024" s="12" t="inlineStr">
        <is>
          <t>Tray</t>
        </is>
      </c>
      <c r="T2024" s="16" t="n">
        <v>0</v>
      </c>
      <c r="U2024" s="16" t="n">
        <v>52</v>
      </c>
      <c r="V2024" s="16">
        <f>ROUNDUP((T2024+U2024+2*'Read Me'!$B$13)*(1+'Read Me'!$B$12),-1)</f>
        <v/>
      </c>
      <c r="W2024" s="16">
        <f>V2024*N2024*O2024</f>
        <v/>
      </c>
      <c r="X2024" s="12">
        <f>IF(LEFT(I2024,2)="MV",2*N2024*IF(L2024="1/C",O2024,1),0)</f>
        <v/>
      </c>
      <c r="Y2024" s="12">
        <f>IF(OR(LEFT(K2024,4)="LVAX",LEFT(K2024,6)="MV15AX",LEFT(K2024,4)="CTAX",LEFT(K2024,2)="W|"),2*N2024*O2024,0)</f>
        <v/>
      </c>
      <c r="Z2024" s="12" t="inlineStr"/>
      <c r="AA2024" s="12">
        <f>N2024*O2024</f>
        <v/>
      </c>
    </row>
    <row r="2025">
      <c r="A2025" s="12" t="inlineStr">
        <is>
          <t>B-C-0098</t>
        </is>
      </c>
      <c r="B2025" s="12" t="inlineStr">
        <is>
          <t>B</t>
        </is>
      </c>
      <c r="C2025" s="12" t="inlineStr">
        <is>
          <t>ACC</t>
        </is>
      </c>
      <c r="D2025" s="12" t="inlineStr">
        <is>
          <t>MOV 18: control</t>
        </is>
      </c>
      <c r="E2025" s="12" t="inlineStr"/>
      <c r="F2025" s="12" t="inlineStr">
        <is>
          <t>R4 480 V switchgear + vacuum-pump MCC</t>
        </is>
      </c>
      <c r="G2025" s="12" t="inlineStr">
        <is>
          <t>ACC</t>
        </is>
      </c>
      <c r="H2025" s="12" t="inlineStr">
        <is>
          <t>Air-cooled condenser, 80 cells (steam-cycle heat rejection)</t>
        </is>
      </c>
      <c r="I2025" s="12" t="inlineStr">
        <is>
          <t>Control</t>
        </is>
      </c>
      <c r="J2025" s="12" t="inlineStr">
        <is>
          <t>Control cable 600 V Type TC-ER, Cu #14 AWG, PVC jacket</t>
        </is>
      </c>
      <c r="K2025" s="12" t="inlineStr">
        <is>
          <t>CT|12/C|14</t>
        </is>
      </c>
      <c r="L2025" s="12" t="inlineStr">
        <is>
          <t>12/C</t>
        </is>
      </c>
      <c r="M2025" s="12" t="inlineStr">
        <is>
          <t>14</t>
        </is>
      </c>
      <c r="N2025" s="12" t="n">
        <v>1</v>
      </c>
      <c r="O2025" s="12" t="n">
        <v>1</v>
      </c>
      <c r="P2025" s="12" t="n"/>
      <c r="Q2025" s="12" t="n"/>
      <c r="R2025" s="12" t="n"/>
      <c r="S2025" s="12" t="inlineStr">
        <is>
          <t>Tray</t>
        </is>
      </c>
      <c r="T2025" s="16" t="n">
        <v>0</v>
      </c>
      <c r="U2025" s="16" t="n">
        <v>52</v>
      </c>
      <c r="V2025" s="16">
        <f>ROUNDUP((T2025+U2025+2*'Read Me'!$B$13)*(1+'Read Me'!$B$12),-1)</f>
        <v/>
      </c>
      <c r="W2025" s="16">
        <f>V2025*N2025*O2025</f>
        <v/>
      </c>
      <c r="X2025" s="12">
        <f>IF(LEFT(I2025,2)="MV",2*N2025*IF(L2025="1/C",O2025,1),0)</f>
        <v/>
      </c>
      <c r="Y2025" s="12">
        <f>IF(OR(LEFT(K2025,4)="LVAX",LEFT(K2025,6)="MV15AX",LEFT(K2025,4)="CTAX",LEFT(K2025,2)="W|"),2*N2025*O2025,0)</f>
        <v/>
      </c>
      <c r="Z2025" s="12" t="inlineStr"/>
      <c r="AA2025" s="12">
        <f>N2025*O2025</f>
        <v/>
      </c>
    </row>
    <row r="2026">
      <c r="A2026" s="12" t="inlineStr">
        <is>
          <t>B-C-0099</t>
        </is>
      </c>
      <c r="B2026" s="12" t="inlineStr">
        <is>
          <t>B</t>
        </is>
      </c>
      <c r="C2026" s="12" t="inlineStr">
        <is>
          <t>ACC</t>
        </is>
      </c>
      <c r="D2026" s="12" t="inlineStr">
        <is>
          <t>MOV 19: control</t>
        </is>
      </c>
      <c r="E2026" s="12" t="inlineStr"/>
      <c r="F2026" s="12" t="inlineStr">
        <is>
          <t>R4 480 V switchgear + vacuum-pump MCC</t>
        </is>
      </c>
      <c r="G2026" s="12" t="inlineStr">
        <is>
          <t>ACC</t>
        </is>
      </c>
      <c r="H2026" s="12" t="inlineStr">
        <is>
          <t>Air-cooled condenser, 80 cells (steam-cycle heat rejection)</t>
        </is>
      </c>
      <c r="I2026" s="12" t="inlineStr">
        <is>
          <t>Control</t>
        </is>
      </c>
      <c r="J2026" s="12" t="inlineStr">
        <is>
          <t>Control cable 600 V Type TC-ER, Cu #14 AWG, PVC jacket</t>
        </is>
      </c>
      <c r="K2026" s="12" t="inlineStr">
        <is>
          <t>CT|12/C|14</t>
        </is>
      </c>
      <c r="L2026" s="12" t="inlineStr">
        <is>
          <t>12/C</t>
        </is>
      </c>
      <c r="M2026" s="12" t="inlineStr">
        <is>
          <t>14</t>
        </is>
      </c>
      <c r="N2026" s="12" t="n">
        <v>1</v>
      </c>
      <c r="O2026" s="12" t="n">
        <v>1</v>
      </c>
      <c r="P2026" s="12" t="n"/>
      <c r="Q2026" s="12" t="n"/>
      <c r="R2026" s="12" t="n"/>
      <c r="S2026" s="12" t="inlineStr">
        <is>
          <t>Tray</t>
        </is>
      </c>
      <c r="T2026" s="16" t="n">
        <v>0</v>
      </c>
      <c r="U2026" s="16" t="n">
        <v>52</v>
      </c>
      <c r="V2026" s="16">
        <f>ROUNDUP((T2026+U2026+2*'Read Me'!$B$13)*(1+'Read Me'!$B$12),-1)</f>
        <v/>
      </c>
      <c r="W2026" s="16">
        <f>V2026*N2026*O2026</f>
        <v/>
      </c>
      <c r="X2026" s="12">
        <f>IF(LEFT(I2026,2)="MV",2*N2026*IF(L2026="1/C",O2026,1),0)</f>
        <v/>
      </c>
      <c r="Y2026" s="12">
        <f>IF(OR(LEFT(K2026,4)="LVAX",LEFT(K2026,6)="MV15AX",LEFT(K2026,4)="CTAX",LEFT(K2026,2)="W|"),2*N2026*O2026,0)</f>
        <v/>
      </c>
      <c r="Z2026" s="12" t="inlineStr"/>
      <c r="AA2026" s="12">
        <f>N2026*O2026</f>
        <v/>
      </c>
    </row>
    <row r="2027">
      <c r="A2027" s="12" t="inlineStr">
        <is>
          <t>B-C-0100</t>
        </is>
      </c>
      <c r="B2027" s="12" t="inlineStr">
        <is>
          <t>B</t>
        </is>
      </c>
      <c r="C2027" s="12" t="inlineStr">
        <is>
          <t>ACC</t>
        </is>
      </c>
      <c r="D2027" s="12" t="inlineStr">
        <is>
          <t>MOV 20: control</t>
        </is>
      </c>
      <c r="E2027" s="12" t="inlineStr"/>
      <c r="F2027" s="12" t="inlineStr">
        <is>
          <t>R4 480 V switchgear + vacuum-pump MCC</t>
        </is>
      </c>
      <c r="G2027" s="12" t="inlineStr">
        <is>
          <t>ACC</t>
        </is>
      </c>
      <c r="H2027" s="12" t="inlineStr">
        <is>
          <t>Air-cooled condenser, 80 cells (steam-cycle heat rejection)</t>
        </is>
      </c>
      <c r="I2027" s="12" t="inlineStr">
        <is>
          <t>Control</t>
        </is>
      </c>
      <c r="J2027" s="12" t="inlineStr">
        <is>
          <t>Control cable 600 V Type TC-ER, Cu #14 AWG, PVC jacket</t>
        </is>
      </c>
      <c r="K2027" s="12" t="inlineStr">
        <is>
          <t>CT|12/C|14</t>
        </is>
      </c>
      <c r="L2027" s="12" t="inlineStr">
        <is>
          <t>12/C</t>
        </is>
      </c>
      <c r="M2027" s="12" t="inlineStr">
        <is>
          <t>14</t>
        </is>
      </c>
      <c r="N2027" s="12" t="n">
        <v>1</v>
      </c>
      <c r="O2027" s="12" t="n">
        <v>1</v>
      </c>
      <c r="P2027" s="12" t="n"/>
      <c r="Q2027" s="12" t="n"/>
      <c r="R2027" s="12" t="n"/>
      <c r="S2027" s="12" t="inlineStr">
        <is>
          <t>Tray</t>
        </is>
      </c>
      <c r="T2027" s="16" t="n">
        <v>0</v>
      </c>
      <c r="U2027" s="16" t="n">
        <v>52</v>
      </c>
      <c r="V2027" s="16">
        <f>ROUNDUP((T2027+U2027+2*'Read Me'!$B$13)*(1+'Read Me'!$B$12),-1)</f>
        <v/>
      </c>
      <c r="W2027" s="16">
        <f>V2027*N2027*O2027</f>
        <v/>
      </c>
      <c r="X2027" s="12">
        <f>IF(LEFT(I2027,2)="MV",2*N2027*IF(L2027="1/C",O2027,1),0)</f>
        <v/>
      </c>
      <c r="Y2027" s="12">
        <f>IF(OR(LEFT(K2027,4)="LVAX",LEFT(K2027,6)="MV15AX",LEFT(K2027,4)="CTAX",LEFT(K2027,2)="W|"),2*N2027*O2027,0)</f>
        <v/>
      </c>
      <c r="Z2027" s="12" t="inlineStr"/>
      <c r="AA2027" s="12">
        <f>N2027*O2027</f>
        <v/>
      </c>
    </row>
    <row r="2028">
      <c r="A2028" s="12" t="inlineStr">
        <is>
          <t>B-C-0101</t>
        </is>
      </c>
      <c r="B2028" s="12" t="inlineStr">
        <is>
          <t>B</t>
        </is>
      </c>
      <c r="C2028" s="12" t="inlineStr">
        <is>
          <t>ACC</t>
        </is>
      </c>
      <c r="D2028" s="12" t="inlineStr">
        <is>
          <t>MOV 21: control</t>
        </is>
      </c>
      <c r="E2028" s="12" t="inlineStr"/>
      <c r="F2028" s="12" t="inlineStr">
        <is>
          <t>R4 480 V switchgear + vacuum-pump MCC</t>
        </is>
      </c>
      <c r="G2028" s="12" t="inlineStr">
        <is>
          <t>ACC</t>
        </is>
      </c>
      <c r="H2028" s="12" t="inlineStr">
        <is>
          <t>Air-cooled condenser, 80 cells (steam-cycle heat rejection)</t>
        </is>
      </c>
      <c r="I2028" s="12" t="inlineStr">
        <is>
          <t>Control</t>
        </is>
      </c>
      <c r="J2028" s="12" t="inlineStr">
        <is>
          <t>Control cable 600 V Type TC-ER, Cu #14 AWG, PVC jacket</t>
        </is>
      </c>
      <c r="K2028" s="12" t="inlineStr">
        <is>
          <t>CT|12/C|14</t>
        </is>
      </c>
      <c r="L2028" s="12" t="inlineStr">
        <is>
          <t>12/C</t>
        </is>
      </c>
      <c r="M2028" s="12" t="inlineStr">
        <is>
          <t>14</t>
        </is>
      </c>
      <c r="N2028" s="12" t="n">
        <v>1</v>
      </c>
      <c r="O2028" s="12" t="n">
        <v>1</v>
      </c>
      <c r="P2028" s="12" t="n"/>
      <c r="Q2028" s="12" t="n"/>
      <c r="R2028" s="12" t="n"/>
      <c r="S2028" s="12" t="inlineStr">
        <is>
          <t>Tray</t>
        </is>
      </c>
      <c r="T2028" s="16" t="n">
        <v>0</v>
      </c>
      <c r="U2028" s="16" t="n">
        <v>52</v>
      </c>
      <c r="V2028" s="16">
        <f>ROUNDUP((T2028+U2028+2*'Read Me'!$B$13)*(1+'Read Me'!$B$12),-1)</f>
        <v/>
      </c>
      <c r="W2028" s="16">
        <f>V2028*N2028*O2028</f>
        <v/>
      </c>
      <c r="X2028" s="12">
        <f>IF(LEFT(I2028,2)="MV",2*N2028*IF(L2028="1/C",O2028,1),0)</f>
        <v/>
      </c>
      <c r="Y2028" s="12">
        <f>IF(OR(LEFT(K2028,4)="LVAX",LEFT(K2028,6)="MV15AX",LEFT(K2028,4)="CTAX",LEFT(K2028,2)="W|"),2*N2028*O2028,0)</f>
        <v/>
      </c>
      <c r="Z2028" s="12" t="inlineStr"/>
      <c r="AA2028" s="12">
        <f>N2028*O2028</f>
        <v/>
      </c>
    </row>
    <row r="2029">
      <c r="A2029" s="12" t="inlineStr">
        <is>
          <t>B-C-0102</t>
        </is>
      </c>
      <c r="B2029" s="12" t="inlineStr">
        <is>
          <t>B</t>
        </is>
      </c>
      <c r="C2029" s="12" t="inlineStr">
        <is>
          <t>ACC</t>
        </is>
      </c>
      <c r="D2029" s="12" t="inlineStr">
        <is>
          <t>MOV 22: control</t>
        </is>
      </c>
      <c r="E2029" s="12" t="inlineStr"/>
      <c r="F2029" s="12" t="inlineStr">
        <is>
          <t>R4 480 V switchgear + vacuum-pump MCC</t>
        </is>
      </c>
      <c r="G2029" s="12" t="inlineStr">
        <is>
          <t>ACC</t>
        </is>
      </c>
      <c r="H2029" s="12" t="inlineStr">
        <is>
          <t>Air-cooled condenser, 80 cells (steam-cycle heat rejection)</t>
        </is>
      </c>
      <c r="I2029" s="12" t="inlineStr">
        <is>
          <t>Control</t>
        </is>
      </c>
      <c r="J2029" s="12" t="inlineStr">
        <is>
          <t>Control cable 600 V Type TC-ER, Cu #14 AWG, PVC jacket</t>
        </is>
      </c>
      <c r="K2029" s="12" t="inlineStr">
        <is>
          <t>CT|12/C|14</t>
        </is>
      </c>
      <c r="L2029" s="12" t="inlineStr">
        <is>
          <t>12/C</t>
        </is>
      </c>
      <c r="M2029" s="12" t="inlineStr">
        <is>
          <t>14</t>
        </is>
      </c>
      <c r="N2029" s="12" t="n">
        <v>1</v>
      </c>
      <c r="O2029" s="12" t="n">
        <v>1</v>
      </c>
      <c r="P2029" s="12" t="n"/>
      <c r="Q2029" s="12" t="n"/>
      <c r="R2029" s="12" t="n"/>
      <c r="S2029" s="12" t="inlineStr">
        <is>
          <t>Tray</t>
        </is>
      </c>
      <c r="T2029" s="16" t="n">
        <v>0</v>
      </c>
      <c r="U2029" s="16" t="n">
        <v>52</v>
      </c>
      <c r="V2029" s="16">
        <f>ROUNDUP((T2029+U2029+2*'Read Me'!$B$13)*(1+'Read Me'!$B$12),-1)</f>
        <v/>
      </c>
      <c r="W2029" s="16">
        <f>V2029*N2029*O2029</f>
        <v/>
      </c>
      <c r="X2029" s="12">
        <f>IF(LEFT(I2029,2)="MV",2*N2029*IF(L2029="1/C",O2029,1),0)</f>
        <v/>
      </c>
      <c r="Y2029" s="12">
        <f>IF(OR(LEFT(K2029,4)="LVAX",LEFT(K2029,6)="MV15AX",LEFT(K2029,4)="CTAX",LEFT(K2029,2)="W|"),2*N2029*O2029,0)</f>
        <v/>
      </c>
      <c r="Z2029" s="12" t="inlineStr"/>
      <c r="AA2029" s="12">
        <f>N2029*O2029</f>
        <v/>
      </c>
    </row>
    <row r="2030">
      <c r="A2030" s="12" t="inlineStr">
        <is>
          <t>B-C-0103</t>
        </is>
      </c>
      <c r="B2030" s="12" t="inlineStr">
        <is>
          <t>B</t>
        </is>
      </c>
      <c r="C2030" s="12" t="inlineStr">
        <is>
          <t>ACC</t>
        </is>
      </c>
      <c r="D2030" s="12" t="inlineStr">
        <is>
          <t>MOV 23: control</t>
        </is>
      </c>
      <c r="E2030" s="12" t="inlineStr"/>
      <c r="F2030" s="12" t="inlineStr">
        <is>
          <t>R4 480 V switchgear + vacuum-pump MCC</t>
        </is>
      </c>
      <c r="G2030" s="12" t="inlineStr">
        <is>
          <t>ACC</t>
        </is>
      </c>
      <c r="H2030" s="12" t="inlineStr">
        <is>
          <t>Air-cooled condenser, 80 cells (steam-cycle heat rejection)</t>
        </is>
      </c>
      <c r="I2030" s="12" t="inlineStr">
        <is>
          <t>Control</t>
        </is>
      </c>
      <c r="J2030" s="12" t="inlineStr">
        <is>
          <t>Control cable 600 V Type TC-ER, Cu #14 AWG, PVC jacket</t>
        </is>
      </c>
      <c r="K2030" s="12" t="inlineStr">
        <is>
          <t>CT|12/C|14</t>
        </is>
      </c>
      <c r="L2030" s="12" t="inlineStr">
        <is>
          <t>12/C</t>
        </is>
      </c>
      <c r="M2030" s="12" t="inlineStr">
        <is>
          <t>14</t>
        </is>
      </c>
      <c r="N2030" s="12" t="n">
        <v>1</v>
      </c>
      <c r="O2030" s="12" t="n">
        <v>1</v>
      </c>
      <c r="P2030" s="12" t="n"/>
      <c r="Q2030" s="12" t="n"/>
      <c r="R2030" s="12" t="n"/>
      <c r="S2030" s="12" t="inlineStr">
        <is>
          <t>Tray</t>
        </is>
      </c>
      <c r="T2030" s="16" t="n">
        <v>0</v>
      </c>
      <c r="U2030" s="16" t="n">
        <v>52</v>
      </c>
      <c r="V2030" s="16">
        <f>ROUNDUP((T2030+U2030+2*'Read Me'!$B$13)*(1+'Read Me'!$B$12),-1)</f>
        <v/>
      </c>
      <c r="W2030" s="16">
        <f>V2030*N2030*O2030</f>
        <v/>
      </c>
      <c r="X2030" s="12">
        <f>IF(LEFT(I2030,2)="MV",2*N2030*IF(L2030="1/C",O2030,1),0)</f>
        <v/>
      </c>
      <c r="Y2030" s="12">
        <f>IF(OR(LEFT(K2030,4)="LVAX",LEFT(K2030,6)="MV15AX",LEFT(K2030,4)="CTAX",LEFT(K2030,2)="W|"),2*N2030*O2030,0)</f>
        <v/>
      </c>
      <c r="Z2030" s="12" t="inlineStr"/>
      <c r="AA2030" s="12">
        <f>N2030*O2030</f>
        <v/>
      </c>
    </row>
    <row r="2031">
      <c r="A2031" s="12" t="inlineStr">
        <is>
          <t>B-C-0104</t>
        </is>
      </c>
      <c r="B2031" s="12" t="inlineStr">
        <is>
          <t>B</t>
        </is>
      </c>
      <c r="C2031" s="12" t="inlineStr">
        <is>
          <t>ACC</t>
        </is>
      </c>
      <c r="D2031" s="12" t="inlineStr">
        <is>
          <t>MOV 24: control</t>
        </is>
      </c>
      <c r="E2031" s="12" t="inlineStr"/>
      <c r="F2031" s="12" t="inlineStr">
        <is>
          <t>R4 480 V switchgear + vacuum-pump MCC</t>
        </is>
      </c>
      <c r="G2031" s="12" t="inlineStr">
        <is>
          <t>ACC</t>
        </is>
      </c>
      <c r="H2031" s="12" t="inlineStr">
        <is>
          <t>Air-cooled condenser, 80 cells (steam-cycle heat rejection)</t>
        </is>
      </c>
      <c r="I2031" s="12" t="inlineStr">
        <is>
          <t>Control</t>
        </is>
      </c>
      <c r="J2031" s="12" t="inlineStr">
        <is>
          <t>Control cable 600 V Type TC-ER, Cu #14 AWG, PVC jacket</t>
        </is>
      </c>
      <c r="K2031" s="12" t="inlineStr">
        <is>
          <t>CT|12/C|14</t>
        </is>
      </c>
      <c r="L2031" s="12" t="inlineStr">
        <is>
          <t>12/C</t>
        </is>
      </c>
      <c r="M2031" s="12" t="inlineStr">
        <is>
          <t>14</t>
        </is>
      </c>
      <c r="N2031" s="12" t="n">
        <v>1</v>
      </c>
      <c r="O2031" s="12" t="n">
        <v>1</v>
      </c>
      <c r="P2031" s="12" t="n"/>
      <c r="Q2031" s="12" t="n"/>
      <c r="R2031" s="12" t="n"/>
      <c r="S2031" s="12" t="inlineStr">
        <is>
          <t>Tray</t>
        </is>
      </c>
      <c r="T2031" s="16" t="n">
        <v>0</v>
      </c>
      <c r="U2031" s="16" t="n">
        <v>52</v>
      </c>
      <c r="V2031" s="16">
        <f>ROUNDUP((T2031+U2031+2*'Read Me'!$B$13)*(1+'Read Me'!$B$12),-1)</f>
        <v/>
      </c>
      <c r="W2031" s="16">
        <f>V2031*N2031*O2031</f>
        <v/>
      </c>
      <c r="X2031" s="12">
        <f>IF(LEFT(I2031,2)="MV",2*N2031*IF(L2031="1/C",O2031,1),0)</f>
        <v/>
      </c>
      <c r="Y2031" s="12">
        <f>IF(OR(LEFT(K2031,4)="LVAX",LEFT(K2031,6)="MV15AX",LEFT(K2031,4)="CTAX",LEFT(K2031,2)="W|"),2*N2031*O2031,0)</f>
        <v/>
      </c>
      <c r="Z2031" s="12" t="inlineStr"/>
      <c r="AA2031" s="12">
        <f>N2031*O2031</f>
        <v/>
      </c>
    </row>
    <row r="2032">
      <c r="A2032" s="12" t="inlineStr">
        <is>
          <t>B-C-0105</t>
        </is>
      </c>
      <c r="B2032" s="12" t="inlineStr">
        <is>
          <t>B</t>
        </is>
      </c>
      <c r="C2032" s="12" t="inlineStr">
        <is>
          <t>ACC</t>
        </is>
      </c>
      <c r="D2032" s="12" t="inlineStr">
        <is>
          <t>MOV 25: control</t>
        </is>
      </c>
      <c r="E2032" s="12" t="inlineStr"/>
      <c r="F2032" s="12" t="inlineStr">
        <is>
          <t>R4 480 V switchgear + vacuum-pump MCC</t>
        </is>
      </c>
      <c r="G2032" s="12" t="inlineStr">
        <is>
          <t>ACC</t>
        </is>
      </c>
      <c r="H2032" s="12" t="inlineStr">
        <is>
          <t>Air-cooled condenser, 80 cells (steam-cycle heat rejection)</t>
        </is>
      </c>
      <c r="I2032" s="12" t="inlineStr">
        <is>
          <t>Control</t>
        </is>
      </c>
      <c r="J2032" s="12" t="inlineStr">
        <is>
          <t>Control cable 600 V Type TC-ER, Cu #14 AWG, PVC jacket</t>
        </is>
      </c>
      <c r="K2032" s="12" t="inlineStr">
        <is>
          <t>CT|12/C|14</t>
        </is>
      </c>
      <c r="L2032" s="12" t="inlineStr">
        <is>
          <t>12/C</t>
        </is>
      </c>
      <c r="M2032" s="12" t="inlineStr">
        <is>
          <t>14</t>
        </is>
      </c>
      <c r="N2032" s="12" t="n">
        <v>1</v>
      </c>
      <c r="O2032" s="12" t="n">
        <v>1</v>
      </c>
      <c r="P2032" s="12" t="n"/>
      <c r="Q2032" s="12" t="n"/>
      <c r="R2032" s="12" t="n"/>
      <c r="S2032" s="12" t="inlineStr">
        <is>
          <t>Tray</t>
        </is>
      </c>
      <c r="T2032" s="16" t="n">
        <v>0</v>
      </c>
      <c r="U2032" s="16" t="n">
        <v>52</v>
      </c>
      <c r="V2032" s="16">
        <f>ROUNDUP((T2032+U2032+2*'Read Me'!$B$13)*(1+'Read Me'!$B$12),-1)</f>
        <v/>
      </c>
      <c r="W2032" s="16">
        <f>V2032*N2032*O2032</f>
        <v/>
      </c>
      <c r="X2032" s="12">
        <f>IF(LEFT(I2032,2)="MV",2*N2032*IF(L2032="1/C",O2032,1),0)</f>
        <v/>
      </c>
      <c r="Y2032" s="12">
        <f>IF(OR(LEFT(K2032,4)="LVAX",LEFT(K2032,6)="MV15AX",LEFT(K2032,4)="CTAX",LEFT(K2032,2)="W|"),2*N2032*O2032,0)</f>
        <v/>
      </c>
      <c r="Z2032" s="12" t="inlineStr"/>
      <c r="AA2032" s="12">
        <f>N2032*O2032</f>
        <v/>
      </c>
    </row>
    <row r="2033">
      <c r="A2033" s="12" t="inlineStr">
        <is>
          <t>B-C-0106</t>
        </is>
      </c>
      <c r="B2033" s="12" t="inlineStr">
        <is>
          <t>B</t>
        </is>
      </c>
      <c r="C2033" s="12" t="inlineStr">
        <is>
          <t>ACC</t>
        </is>
      </c>
      <c r="D2033" s="12" t="inlineStr">
        <is>
          <t>MOV 26: control</t>
        </is>
      </c>
      <c r="E2033" s="12" t="inlineStr"/>
      <c r="F2033" s="12" t="inlineStr">
        <is>
          <t>R4 480 V switchgear + vacuum-pump MCC</t>
        </is>
      </c>
      <c r="G2033" s="12" t="inlineStr">
        <is>
          <t>ACC</t>
        </is>
      </c>
      <c r="H2033" s="12" t="inlineStr">
        <is>
          <t>Air-cooled condenser, 80 cells (steam-cycle heat rejection)</t>
        </is>
      </c>
      <c r="I2033" s="12" t="inlineStr">
        <is>
          <t>Control</t>
        </is>
      </c>
      <c r="J2033" s="12" t="inlineStr">
        <is>
          <t>Control cable 600 V Type TC-ER, Cu #14 AWG, PVC jacket</t>
        </is>
      </c>
      <c r="K2033" s="12" t="inlineStr">
        <is>
          <t>CT|12/C|14</t>
        </is>
      </c>
      <c r="L2033" s="12" t="inlineStr">
        <is>
          <t>12/C</t>
        </is>
      </c>
      <c r="M2033" s="12" t="inlineStr">
        <is>
          <t>14</t>
        </is>
      </c>
      <c r="N2033" s="12" t="n">
        <v>1</v>
      </c>
      <c r="O2033" s="12" t="n">
        <v>1</v>
      </c>
      <c r="P2033" s="12" t="n"/>
      <c r="Q2033" s="12" t="n"/>
      <c r="R2033" s="12" t="n"/>
      <c r="S2033" s="12" t="inlineStr">
        <is>
          <t>Tray</t>
        </is>
      </c>
      <c r="T2033" s="16" t="n">
        <v>0</v>
      </c>
      <c r="U2033" s="16" t="n">
        <v>52</v>
      </c>
      <c r="V2033" s="16">
        <f>ROUNDUP((T2033+U2033+2*'Read Me'!$B$13)*(1+'Read Me'!$B$12),-1)</f>
        <v/>
      </c>
      <c r="W2033" s="16">
        <f>V2033*N2033*O2033</f>
        <v/>
      </c>
      <c r="X2033" s="12">
        <f>IF(LEFT(I2033,2)="MV",2*N2033*IF(L2033="1/C",O2033,1),0)</f>
        <v/>
      </c>
      <c r="Y2033" s="12">
        <f>IF(OR(LEFT(K2033,4)="LVAX",LEFT(K2033,6)="MV15AX",LEFT(K2033,4)="CTAX",LEFT(K2033,2)="W|"),2*N2033*O2033,0)</f>
        <v/>
      </c>
      <c r="Z2033" s="12" t="inlineStr"/>
      <c r="AA2033" s="12">
        <f>N2033*O2033</f>
        <v/>
      </c>
    </row>
    <row r="2034">
      <c r="A2034" s="12" t="inlineStr">
        <is>
          <t>B-C-0107</t>
        </is>
      </c>
      <c r="B2034" s="12" t="inlineStr">
        <is>
          <t>B</t>
        </is>
      </c>
      <c r="C2034" s="12" t="inlineStr">
        <is>
          <t>ACC</t>
        </is>
      </c>
      <c r="D2034" s="12" t="inlineStr">
        <is>
          <t>MOV 27: control</t>
        </is>
      </c>
      <c r="E2034" s="12" t="inlineStr"/>
      <c r="F2034" s="12" t="inlineStr">
        <is>
          <t>R4 480 V switchgear + vacuum-pump MCC</t>
        </is>
      </c>
      <c r="G2034" s="12" t="inlineStr">
        <is>
          <t>ACC</t>
        </is>
      </c>
      <c r="H2034" s="12" t="inlineStr">
        <is>
          <t>Air-cooled condenser, 80 cells (steam-cycle heat rejection)</t>
        </is>
      </c>
      <c r="I2034" s="12" t="inlineStr">
        <is>
          <t>Control</t>
        </is>
      </c>
      <c r="J2034" s="12" t="inlineStr">
        <is>
          <t>Control cable 600 V Type TC-ER, Cu #14 AWG, PVC jacket</t>
        </is>
      </c>
      <c r="K2034" s="12" t="inlineStr">
        <is>
          <t>CT|12/C|14</t>
        </is>
      </c>
      <c r="L2034" s="12" t="inlineStr">
        <is>
          <t>12/C</t>
        </is>
      </c>
      <c r="M2034" s="12" t="inlineStr">
        <is>
          <t>14</t>
        </is>
      </c>
      <c r="N2034" s="12" t="n">
        <v>1</v>
      </c>
      <c r="O2034" s="12" t="n">
        <v>1</v>
      </c>
      <c r="P2034" s="12" t="n"/>
      <c r="Q2034" s="12" t="n"/>
      <c r="R2034" s="12" t="n"/>
      <c r="S2034" s="12" t="inlineStr">
        <is>
          <t>Tray</t>
        </is>
      </c>
      <c r="T2034" s="16" t="n">
        <v>0</v>
      </c>
      <c r="U2034" s="16" t="n">
        <v>52</v>
      </c>
      <c r="V2034" s="16">
        <f>ROUNDUP((T2034+U2034+2*'Read Me'!$B$13)*(1+'Read Me'!$B$12),-1)</f>
        <v/>
      </c>
      <c r="W2034" s="16">
        <f>V2034*N2034*O2034</f>
        <v/>
      </c>
      <c r="X2034" s="12">
        <f>IF(LEFT(I2034,2)="MV",2*N2034*IF(L2034="1/C",O2034,1),0)</f>
        <v/>
      </c>
      <c r="Y2034" s="12">
        <f>IF(OR(LEFT(K2034,4)="LVAX",LEFT(K2034,6)="MV15AX",LEFT(K2034,4)="CTAX",LEFT(K2034,2)="W|"),2*N2034*O2034,0)</f>
        <v/>
      </c>
      <c r="Z2034" s="12" t="inlineStr"/>
      <c r="AA2034" s="12">
        <f>N2034*O2034</f>
        <v/>
      </c>
    </row>
    <row r="2035">
      <c r="A2035" s="12" t="inlineStr">
        <is>
          <t>B-C-0108</t>
        </is>
      </c>
      <c r="B2035" s="12" t="inlineStr">
        <is>
          <t>B</t>
        </is>
      </c>
      <c r="C2035" s="12" t="inlineStr">
        <is>
          <t>ACC</t>
        </is>
      </c>
      <c r="D2035" s="12" t="inlineStr">
        <is>
          <t>MOV 28: control</t>
        </is>
      </c>
      <c r="E2035" s="12" t="inlineStr"/>
      <c r="F2035" s="12" t="inlineStr">
        <is>
          <t>R4 480 V switchgear + vacuum-pump MCC</t>
        </is>
      </c>
      <c r="G2035" s="12" t="inlineStr">
        <is>
          <t>ACC</t>
        </is>
      </c>
      <c r="H2035" s="12" t="inlineStr">
        <is>
          <t>Air-cooled condenser, 80 cells (steam-cycle heat rejection)</t>
        </is>
      </c>
      <c r="I2035" s="12" t="inlineStr">
        <is>
          <t>Control</t>
        </is>
      </c>
      <c r="J2035" s="12" t="inlineStr">
        <is>
          <t>Control cable 600 V Type TC-ER, Cu #14 AWG, PVC jacket</t>
        </is>
      </c>
      <c r="K2035" s="12" t="inlineStr">
        <is>
          <t>CT|12/C|14</t>
        </is>
      </c>
      <c r="L2035" s="12" t="inlineStr">
        <is>
          <t>12/C</t>
        </is>
      </c>
      <c r="M2035" s="12" t="inlineStr">
        <is>
          <t>14</t>
        </is>
      </c>
      <c r="N2035" s="12" t="n">
        <v>1</v>
      </c>
      <c r="O2035" s="12" t="n">
        <v>1</v>
      </c>
      <c r="P2035" s="12" t="n"/>
      <c r="Q2035" s="12" t="n"/>
      <c r="R2035" s="12" t="n"/>
      <c r="S2035" s="12" t="inlineStr">
        <is>
          <t>Tray</t>
        </is>
      </c>
      <c r="T2035" s="16" t="n">
        <v>0</v>
      </c>
      <c r="U2035" s="16" t="n">
        <v>52</v>
      </c>
      <c r="V2035" s="16">
        <f>ROUNDUP((T2035+U2035+2*'Read Me'!$B$13)*(1+'Read Me'!$B$12),-1)</f>
        <v/>
      </c>
      <c r="W2035" s="16">
        <f>V2035*N2035*O2035</f>
        <v/>
      </c>
      <c r="X2035" s="12">
        <f>IF(LEFT(I2035,2)="MV",2*N2035*IF(L2035="1/C",O2035,1),0)</f>
        <v/>
      </c>
      <c r="Y2035" s="12">
        <f>IF(OR(LEFT(K2035,4)="LVAX",LEFT(K2035,6)="MV15AX",LEFT(K2035,4)="CTAX",LEFT(K2035,2)="W|"),2*N2035*O2035,0)</f>
        <v/>
      </c>
      <c r="Z2035" s="12" t="inlineStr"/>
      <c r="AA2035" s="12">
        <f>N2035*O2035</f>
        <v/>
      </c>
    </row>
    <row r="2036">
      <c r="A2036" s="12" t="inlineStr">
        <is>
          <t>B-C-0109</t>
        </is>
      </c>
      <c r="B2036" s="12" t="inlineStr">
        <is>
          <t>B</t>
        </is>
      </c>
      <c r="C2036" s="12" t="inlineStr">
        <is>
          <t>ACC</t>
        </is>
      </c>
      <c r="D2036" s="12" t="inlineStr">
        <is>
          <t>MOV 29: control</t>
        </is>
      </c>
      <c r="E2036" s="12" t="inlineStr"/>
      <c r="F2036" s="12" t="inlineStr">
        <is>
          <t>R4 480 V switchgear + vacuum-pump MCC</t>
        </is>
      </c>
      <c r="G2036" s="12" t="inlineStr">
        <is>
          <t>ACC</t>
        </is>
      </c>
      <c r="H2036" s="12" t="inlineStr">
        <is>
          <t>Air-cooled condenser, 80 cells (steam-cycle heat rejection)</t>
        </is>
      </c>
      <c r="I2036" s="12" t="inlineStr">
        <is>
          <t>Control</t>
        </is>
      </c>
      <c r="J2036" s="12" t="inlineStr">
        <is>
          <t>Control cable 600 V Type TC-ER, Cu #14 AWG, PVC jacket</t>
        </is>
      </c>
      <c r="K2036" s="12" t="inlineStr">
        <is>
          <t>CT|12/C|14</t>
        </is>
      </c>
      <c r="L2036" s="12" t="inlineStr">
        <is>
          <t>12/C</t>
        </is>
      </c>
      <c r="M2036" s="12" t="inlineStr">
        <is>
          <t>14</t>
        </is>
      </c>
      <c r="N2036" s="12" t="n">
        <v>1</v>
      </c>
      <c r="O2036" s="12" t="n">
        <v>1</v>
      </c>
      <c r="P2036" s="12" t="n"/>
      <c r="Q2036" s="12" t="n"/>
      <c r="R2036" s="12" t="n"/>
      <c r="S2036" s="12" t="inlineStr">
        <is>
          <t>Tray</t>
        </is>
      </c>
      <c r="T2036" s="16" t="n">
        <v>0</v>
      </c>
      <c r="U2036" s="16" t="n">
        <v>52</v>
      </c>
      <c r="V2036" s="16">
        <f>ROUNDUP((T2036+U2036+2*'Read Me'!$B$13)*(1+'Read Me'!$B$12),-1)</f>
        <v/>
      </c>
      <c r="W2036" s="16">
        <f>V2036*N2036*O2036</f>
        <v/>
      </c>
      <c r="X2036" s="12">
        <f>IF(LEFT(I2036,2)="MV",2*N2036*IF(L2036="1/C",O2036,1),0)</f>
        <v/>
      </c>
      <c r="Y2036" s="12">
        <f>IF(OR(LEFT(K2036,4)="LVAX",LEFT(K2036,6)="MV15AX",LEFT(K2036,4)="CTAX",LEFT(K2036,2)="W|"),2*N2036*O2036,0)</f>
        <v/>
      </c>
      <c r="Z2036" s="12" t="inlineStr"/>
      <c r="AA2036" s="12">
        <f>N2036*O2036</f>
        <v/>
      </c>
    </row>
    <row r="2037">
      <c r="A2037" s="12" t="inlineStr">
        <is>
          <t>B-C-0110</t>
        </is>
      </c>
      <c r="B2037" s="12" t="inlineStr">
        <is>
          <t>B</t>
        </is>
      </c>
      <c r="C2037" s="12" t="inlineStr">
        <is>
          <t>ACC</t>
        </is>
      </c>
      <c r="D2037" s="12" t="inlineStr">
        <is>
          <t>MOV 30: control</t>
        </is>
      </c>
      <c r="E2037" s="12" t="inlineStr"/>
      <c r="F2037" s="12" t="inlineStr">
        <is>
          <t>R4 480 V switchgear + vacuum-pump MCC</t>
        </is>
      </c>
      <c r="G2037" s="12" t="inlineStr">
        <is>
          <t>ACC</t>
        </is>
      </c>
      <c r="H2037" s="12" t="inlineStr">
        <is>
          <t>Air-cooled condenser, 80 cells (steam-cycle heat rejection)</t>
        </is>
      </c>
      <c r="I2037" s="12" t="inlineStr">
        <is>
          <t>Control</t>
        </is>
      </c>
      <c r="J2037" s="12" t="inlineStr">
        <is>
          <t>Control cable 600 V Type TC-ER, Cu #14 AWG, PVC jacket</t>
        </is>
      </c>
      <c r="K2037" s="12" t="inlineStr">
        <is>
          <t>CT|12/C|14</t>
        </is>
      </c>
      <c r="L2037" s="12" t="inlineStr">
        <is>
          <t>12/C</t>
        </is>
      </c>
      <c r="M2037" s="12" t="inlineStr">
        <is>
          <t>14</t>
        </is>
      </c>
      <c r="N2037" s="12" t="n">
        <v>1</v>
      </c>
      <c r="O2037" s="12" t="n">
        <v>1</v>
      </c>
      <c r="P2037" s="12" t="n"/>
      <c r="Q2037" s="12" t="n"/>
      <c r="R2037" s="12" t="n"/>
      <c r="S2037" s="12" t="inlineStr">
        <is>
          <t>Tray</t>
        </is>
      </c>
      <c r="T2037" s="16" t="n">
        <v>0</v>
      </c>
      <c r="U2037" s="16" t="n">
        <v>52</v>
      </c>
      <c r="V2037" s="16">
        <f>ROUNDUP((T2037+U2037+2*'Read Me'!$B$13)*(1+'Read Me'!$B$12),-1)</f>
        <v/>
      </c>
      <c r="W2037" s="16">
        <f>V2037*N2037*O2037</f>
        <v/>
      </c>
      <c r="X2037" s="12">
        <f>IF(LEFT(I2037,2)="MV",2*N2037*IF(L2037="1/C",O2037,1),0)</f>
        <v/>
      </c>
      <c r="Y2037" s="12">
        <f>IF(OR(LEFT(K2037,4)="LVAX",LEFT(K2037,6)="MV15AX",LEFT(K2037,4)="CTAX",LEFT(K2037,2)="W|"),2*N2037*O2037,0)</f>
        <v/>
      </c>
      <c r="Z2037" s="12" t="inlineStr"/>
      <c r="AA2037" s="12">
        <f>N2037*O2037</f>
        <v/>
      </c>
    </row>
    <row r="2038">
      <c r="A2038" s="12" t="inlineStr">
        <is>
          <t>B-C-0111</t>
        </is>
      </c>
      <c r="B2038" s="12" t="inlineStr">
        <is>
          <t>B</t>
        </is>
      </c>
      <c r="C2038" s="12" t="inlineStr">
        <is>
          <t>ACC</t>
        </is>
      </c>
      <c r="D2038" s="12" t="inlineStr">
        <is>
          <t>Motor 1 of 12: control / local station</t>
        </is>
      </c>
      <c r="E2038" s="12" t="inlineStr"/>
      <c r="F2038" s="12" t="inlineStr">
        <is>
          <t>R4 480 V switchgear + vacuum-pump MCC</t>
        </is>
      </c>
      <c r="G2038" s="12" t="inlineStr">
        <is>
          <t>AUXC</t>
        </is>
      </c>
      <c r="H2038" s="12" t="inlineStr">
        <is>
          <t>Aux dry coolers AUXC-F01..12 (closed cooling water)</t>
        </is>
      </c>
      <c r="I2038" s="12" t="inlineStr">
        <is>
          <t>Control</t>
        </is>
      </c>
      <c r="J2038" s="12" t="inlineStr">
        <is>
          <t>Control cable 600 V Type TC-ER, Cu #14 AWG, PVC jacket</t>
        </is>
      </c>
      <c r="K2038" s="12" t="inlineStr">
        <is>
          <t>CT|7/C|14</t>
        </is>
      </c>
      <c r="L2038" s="12" t="inlineStr">
        <is>
          <t>7/C</t>
        </is>
      </c>
      <c r="M2038" s="12" t="inlineStr">
        <is>
          <t>14</t>
        </is>
      </c>
      <c r="N2038" s="12" t="n">
        <v>1</v>
      </c>
      <c r="O2038" s="12" t="n">
        <v>1</v>
      </c>
      <c r="P2038" s="12" t="n"/>
      <c r="Q2038" s="12" t="n"/>
      <c r="R2038" s="12" t="n"/>
      <c r="S2038" s="12" t="inlineStr">
        <is>
          <t>Tray</t>
        </is>
      </c>
      <c r="T2038" s="16" t="n">
        <v>655</v>
      </c>
      <c r="U2038" s="16" t="n">
        <v>211</v>
      </c>
      <c r="V2038" s="16">
        <f>ROUNDUP((T2038+U2038+2*'Read Me'!$B$13)*(1+'Read Me'!$B$12),-1)</f>
        <v/>
      </c>
      <c r="W2038" s="16">
        <f>V2038*N2038*O2038</f>
        <v/>
      </c>
      <c r="X2038" s="12">
        <f>IF(LEFT(I2038,2)="MV",2*N2038*IF(L2038="1/C",O2038,1),0)</f>
        <v/>
      </c>
      <c r="Y2038" s="12">
        <f>IF(OR(LEFT(K2038,4)="LVAX",LEFT(K2038,6)="MV15AX",LEFT(K2038,4)="CTAX",LEFT(K2038,2)="W|"),2*N2038*O2038,0)</f>
        <v/>
      </c>
      <c r="Z2038" s="12" t="inlineStr"/>
      <c r="AA2038" s="12">
        <f>N2038*O2038</f>
        <v/>
      </c>
    </row>
    <row r="2039">
      <c r="A2039" s="12" t="inlineStr">
        <is>
          <t>B-C-0112</t>
        </is>
      </c>
      <c r="B2039" s="12" t="inlineStr">
        <is>
          <t>B</t>
        </is>
      </c>
      <c r="C2039" s="12" t="inlineStr">
        <is>
          <t>ACC</t>
        </is>
      </c>
      <c r="D2039" s="12" t="inlineStr">
        <is>
          <t>Motor 2 of 12: control / local station</t>
        </is>
      </c>
      <c r="E2039" s="12" t="inlineStr"/>
      <c r="F2039" s="12" t="inlineStr">
        <is>
          <t>R4 480 V switchgear + vacuum-pump MCC</t>
        </is>
      </c>
      <c r="G2039" s="12" t="inlineStr">
        <is>
          <t>AUXC</t>
        </is>
      </c>
      <c r="H2039" s="12" t="inlineStr">
        <is>
          <t>Aux dry coolers AUXC-F01..12 (closed cooling water)</t>
        </is>
      </c>
      <c r="I2039" s="12" t="inlineStr">
        <is>
          <t>Control</t>
        </is>
      </c>
      <c r="J2039" s="12" t="inlineStr">
        <is>
          <t>Control cable 600 V Type TC-ER, Cu #14 AWG, PVC jacket</t>
        </is>
      </c>
      <c r="K2039" s="12" t="inlineStr">
        <is>
          <t>CT|7/C|14</t>
        </is>
      </c>
      <c r="L2039" s="12" t="inlineStr">
        <is>
          <t>7/C</t>
        </is>
      </c>
      <c r="M2039" s="12" t="inlineStr">
        <is>
          <t>14</t>
        </is>
      </c>
      <c r="N2039" s="12" t="n">
        <v>1</v>
      </c>
      <c r="O2039" s="12" t="n">
        <v>1</v>
      </c>
      <c r="P2039" s="12" t="n"/>
      <c r="Q2039" s="12" t="n"/>
      <c r="R2039" s="12" t="n"/>
      <c r="S2039" s="12" t="inlineStr">
        <is>
          <t>Tray</t>
        </is>
      </c>
      <c r="T2039" s="16" t="n">
        <v>655</v>
      </c>
      <c r="U2039" s="16" t="n">
        <v>211</v>
      </c>
      <c r="V2039" s="16">
        <f>ROUNDUP((T2039+U2039+2*'Read Me'!$B$13)*(1+'Read Me'!$B$12),-1)</f>
        <v/>
      </c>
      <c r="W2039" s="16">
        <f>V2039*N2039*O2039</f>
        <v/>
      </c>
      <c r="X2039" s="12">
        <f>IF(LEFT(I2039,2)="MV",2*N2039*IF(L2039="1/C",O2039,1),0)</f>
        <v/>
      </c>
      <c r="Y2039" s="12">
        <f>IF(OR(LEFT(K2039,4)="LVAX",LEFT(K2039,6)="MV15AX",LEFT(K2039,4)="CTAX",LEFT(K2039,2)="W|"),2*N2039*O2039,0)</f>
        <v/>
      </c>
      <c r="Z2039" s="12" t="inlineStr"/>
      <c r="AA2039" s="12">
        <f>N2039*O2039</f>
        <v/>
      </c>
    </row>
    <row r="2040">
      <c r="A2040" s="12" t="inlineStr">
        <is>
          <t>B-C-0113</t>
        </is>
      </c>
      <c r="B2040" s="12" t="inlineStr">
        <is>
          <t>B</t>
        </is>
      </c>
      <c r="C2040" s="12" t="inlineStr">
        <is>
          <t>ACC</t>
        </is>
      </c>
      <c r="D2040" s="12" t="inlineStr">
        <is>
          <t>Motor 3 of 12: control / local station</t>
        </is>
      </c>
      <c r="E2040" s="12" t="inlineStr"/>
      <c r="F2040" s="12" t="inlineStr">
        <is>
          <t>R4 480 V switchgear + vacuum-pump MCC</t>
        </is>
      </c>
      <c r="G2040" s="12" t="inlineStr">
        <is>
          <t>AUXC</t>
        </is>
      </c>
      <c r="H2040" s="12" t="inlineStr">
        <is>
          <t>Aux dry coolers AUXC-F01..12 (closed cooling water)</t>
        </is>
      </c>
      <c r="I2040" s="12" t="inlineStr">
        <is>
          <t>Control</t>
        </is>
      </c>
      <c r="J2040" s="12" t="inlineStr">
        <is>
          <t>Control cable 600 V Type TC-ER, Cu #14 AWG, PVC jacket</t>
        </is>
      </c>
      <c r="K2040" s="12" t="inlineStr">
        <is>
          <t>CT|7/C|14</t>
        </is>
      </c>
      <c r="L2040" s="12" t="inlineStr">
        <is>
          <t>7/C</t>
        </is>
      </c>
      <c r="M2040" s="12" t="inlineStr">
        <is>
          <t>14</t>
        </is>
      </c>
      <c r="N2040" s="12" t="n">
        <v>1</v>
      </c>
      <c r="O2040" s="12" t="n">
        <v>1</v>
      </c>
      <c r="P2040" s="12" t="n"/>
      <c r="Q2040" s="12" t="n"/>
      <c r="R2040" s="12" t="n"/>
      <c r="S2040" s="12" t="inlineStr">
        <is>
          <t>Tray</t>
        </is>
      </c>
      <c r="T2040" s="16" t="n">
        <v>655</v>
      </c>
      <c r="U2040" s="16" t="n">
        <v>211</v>
      </c>
      <c r="V2040" s="16">
        <f>ROUNDUP((T2040+U2040+2*'Read Me'!$B$13)*(1+'Read Me'!$B$12),-1)</f>
        <v/>
      </c>
      <c r="W2040" s="16">
        <f>V2040*N2040*O2040</f>
        <v/>
      </c>
      <c r="X2040" s="12">
        <f>IF(LEFT(I2040,2)="MV",2*N2040*IF(L2040="1/C",O2040,1),0)</f>
        <v/>
      </c>
      <c r="Y2040" s="12">
        <f>IF(OR(LEFT(K2040,4)="LVAX",LEFT(K2040,6)="MV15AX",LEFT(K2040,4)="CTAX",LEFT(K2040,2)="W|"),2*N2040*O2040,0)</f>
        <v/>
      </c>
      <c r="Z2040" s="12" t="inlineStr"/>
      <c r="AA2040" s="12">
        <f>N2040*O2040</f>
        <v/>
      </c>
    </row>
    <row r="2041">
      <c r="A2041" s="12" t="inlineStr">
        <is>
          <t>B-C-0114</t>
        </is>
      </c>
      <c r="B2041" s="12" t="inlineStr">
        <is>
          <t>B</t>
        </is>
      </c>
      <c r="C2041" s="12" t="inlineStr">
        <is>
          <t>ACC</t>
        </is>
      </c>
      <c r="D2041" s="12" t="inlineStr">
        <is>
          <t>Motor 4 of 12: control / local station</t>
        </is>
      </c>
      <c r="E2041" s="12" t="inlineStr"/>
      <c r="F2041" s="12" t="inlineStr">
        <is>
          <t>R4 480 V switchgear + vacuum-pump MCC</t>
        </is>
      </c>
      <c r="G2041" s="12" t="inlineStr">
        <is>
          <t>AUXC</t>
        </is>
      </c>
      <c r="H2041" s="12" t="inlineStr">
        <is>
          <t>Aux dry coolers AUXC-F01..12 (closed cooling water)</t>
        </is>
      </c>
      <c r="I2041" s="12" t="inlineStr">
        <is>
          <t>Control</t>
        </is>
      </c>
      <c r="J2041" s="12" t="inlineStr">
        <is>
          <t>Control cable 600 V Type TC-ER, Cu #14 AWG, PVC jacket</t>
        </is>
      </c>
      <c r="K2041" s="12" t="inlineStr">
        <is>
          <t>CT|7/C|14</t>
        </is>
      </c>
      <c r="L2041" s="12" t="inlineStr">
        <is>
          <t>7/C</t>
        </is>
      </c>
      <c r="M2041" s="12" t="inlineStr">
        <is>
          <t>14</t>
        </is>
      </c>
      <c r="N2041" s="12" t="n">
        <v>1</v>
      </c>
      <c r="O2041" s="12" t="n">
        <v>1</v>
      </c>
      <c r="P2041" s="12" t="n"/>
      <c r="Q2041" s="12" t="n"/>
      <c r="R2041" s="12" t="n"/>
      <c r="S2041" s="12" t="inlineStr">
        <is>
          <t>Tray</t>
        </is>
      </c>
      <c r="T2041" s="16" t="n">
        <v>655</v>
      </c>
      <c r="U2041" s="16" t="n">
        <v>211</v>
      </c>
      <c r="V2041" s="16">
        <f>ROUNDUP((T2041+U2041+2*'Read Me'!$B$13)*(1+'Read Me'!$B$12),-1)</f>
        <v/>
      </c>
      <c r="W2041" s="16">
        <f>V2041*N2041*O2041</f>
        <v/>
      </c>
      <c r="X2041" s="12">
        <f>IF(LEFT(I2041,2)="MV",2*N2041*IF(L2041="1/C",O2041,1),0)</f>
        <v/>
      </c>
      <c r="Y2041" s="12">
        <f>IF(OR(LEFT(K2041,4)="LVAX",LEFT(K2041,6)="MV15AX",LEFT(K2041,4)="CTAX",LEFT(K2041,2)="W|"),2*N2041*O2041,0)</f>
        <v/>
      </c>
      <c r="Z2041" s="12" t="inlineStr"/>
      <c r="AA2041" s="12">
        <f>N2041*O2041</f>
        <v/>
      </c>
    </row>
    <row r="2042">
      <c r="A2042" s="12" t="inlineStr">
        <is>
          <t>B-C-0115</t>
        </is>
      </c>
      <c r="B2042" s="12" t="inlineStr">
        <is>
          <t>B</t>
        </is>
      </c>
      <c r="C2042" s="12" t="inlineStr">
        <is>
          <t>ACC</t>
        </is>
      </c>
      <c r="D2042" s="12" t="inlineStr">
        <is>
          <t>Motor 5 of 12: control / local station</t>
        </is>
      </c>
      <c r="E2042" s="12" t="inlineStr"/>
      <c r="F2042" s="12" t="inlineStr">
        <is>
          <t>R4 480 V switchgear + vacuum-pump MCC</t>
        </is>
      </c>
      <c r="G2042" s="12" t="inlineStr">
        <is>
          <t>AUXC</t>
        </is>
      </c>
      <c r="H2042" s="12" t="inlineStr">
        <is>
          <t>Aux dry coolers AUXC-F01..12 (closed cooling water)</t>
        </is>
      </c>
      <c r="I2042" s="12" t="inlineStr">
        <is>
          <t>Control</t>
        </is>
      </c>
      <c r="J2042" s="12" t="inlineStr">
        <is>
          <t>Control cable 600 V Type TC-ER, Cu #14 AWG, PVC jacket</t>
        </is>
      </c>
      <c r="K2042" s="12" t="inlineStr">
        <is>
          <t>CT|7/C|14</t>
        </is>
      </c>
      <c r="L2042" s="12" t="inlineStr">
        <is>
          <t>7/C</t>
        </is>
      </c>
      <c r="M2042" s="12" t="inlineStr">
        <is>
          <t>14</t>
        </is>
      </c>
      <c r="N2042" s="12" t="n">
        <v>1</v>
      </c>
      <c r="O2042" s="12" t="n">
        <v>1</v>
      </c>
      <c r="P2042" s="12" t="n"/>
      <c r="Q2042" s="12" t="n"/>
      <c r="R2042" s="12" t="n"/>
      <c r="S2042" s="12" t="inlineStr">
        <is>
          <t>Tray</t>
        </is>
      </c>
      <c r="T2042" s="16" t="n">
        <v>655</v>
      </c>
      <c r="U2042" s="16" t="n">
        <v>211</v>
      </c>
      <c r="V2042" s="16">
        <f>ROUNDUP((T2042+U2042+2*'Read Me'!$B$13)*(1+'Read Me'!$B$12),-1)</f>
        <v/>
      </c>
      <c r="W2042" s="16">
        <f>V2042*N2042*O2042</f>
        <v/>
      </c>
      <c r="X2042" s="12">
        <f>IF(LEFT(I2042,2)="MV",2*N2042*IF(L2042="1/C",O2042,1),0)</f>
        <v/>
      </c>
      <c r="Y2042" s="12">
        <f>IF(OR(LEFT(K2042,4)="LVAX",LEFT(K2042,6)="MV15AX",LEFT(K2042,4)="CTAX",LEFT(K2042,2)="W|"),2*N2042*O2042,0)</f>
        <v/>
      </c>
      <c r="Z2042" s="12" t="inlineStr"/>
      <c r="AA2042" s="12">
        <f>N2042*O2042</f>
        <v/>
      </c>
    </row>
    <row r="2043">
      <c r="A2043" s="12" t="inlineStr">
        <is>
          <t>B-C-0116</t>
        </is>
      </c>
      <c r="B2043" s="12" t="inlineStr">
        <is>
          <t>B</t>
        </is>
      </c>
      <c r="C2043" s="12" t="inlineStr">
        <is>
          <t>ACC</t>
        </is>
      </c>
      <c r="D2043" s="12" t="inlineStr">
        <is>
          <t>Motor 6 of 12: control / local station</t>
        </is>
      </c>
      <c r="E2043" s="12" t="inlineStr"/>
      <c r="F2043" s="12" t="inlineStr">
        <is>
          <t>R4 480 V switchgear + vacuum-pump MCC</t>
        </is>
      </c>
      <c r="G2043" s="12" t="inlineStr">
        <is>
          <t>AUXC</t>
        </is>
      </c>
      <c r="H2043" s="12" t="inlineStr">
        <is>
          <t>Aux dry coolers AUXC-F01..12 (closed cooling water)</t>
        </is>
      </c>
      <c r="I2043" s="12" t="inlineStr">
        <is>
          <t>Control</t>
        </is>
      </c>
      <c r="J2043" s="12" t="inlineStr">
        <is>
          <t>Control cable 600 V Type TC-ER, Cu #14 AWG, PVC jacket</t>
        </is>
      </c>
      <c r="K2043" s="12" t="inlineStr">
        <is>
          <t>CT|7/C|14</t>
        </is>
      </c>
      <c r="L2043" s="12" t="inlineStr">
        <is>
          <t>7/C</t>
        </is>
      </c>
      <c r="M2043" s="12" t="inlineStr">
        <is>
          <t>14</t>
        </is>
      </c>
      <c r="N2043" s="12" t="n">
        <v>1</v>
      </c>
      <c r="O2043" s="12" t="n">
        <v>1</v>
      </c>
      <c r="P2043" s="12" t="n"/>
      <c r="Q2043" s="12" t="n"/>
      <c r="R2043" s="12" t="n"/>
      <c r="S2043" s="12" t="inlineStr">
        <is>
          <t>Tray</t>
        </is>
      </c>
      <c r="T2043" s="16" t="n">
        <v>655</v>
      </c>
      <c r="U2043" s="16" t="n">
        <v>211</v>
      </c>
      <c r="V2043" s="16">
        <f>ROUNDUP((T2043+U2043+2*'Read Me'!$B$13)*(1+'Read Me'!$B$12),-1)</f>
        <v/>
      </c>
      <c r="W2043" s="16">
        <f>V2043*N2043*O2043</f>
        <v/>
      </c>
      <c r="X2043" s="12">
        <f>IF(LEFT(I2043,2)="MV",2*N2043*IF(L2043="1/C",O2043,1),0)</f>
        <v/>
      </c>
      <c r="Y2043" s="12">
        <f>IF(OR(LEFT(K2043,4)="LVAX",LEFT(K2043,6)="MV15AX",LEFT(K2043,4)="CTAX",LEFT(K2043,2)="W|"),2*N2043*O2043,0)</f>
        <v/>
      </c>
      <c r="Z2043" s="12" t="inlineStr"/>
      <c r="AA2043" s="12">
        <f>N2043*O2043</f>
        <v/>
      </c>
    </row>
    <row r="2044">
      <c r="A2044" s="12" t="inlineStr">
        <is>
          <t>B-C-0117</t>
        </is>
      </c>
      <c r="B2044" s="12" t="inlineStr">
        <is>
          <t>B</t>
        </is>
      </c>
      <c r="C2044" s="12" t="inlineStr">
        <is>
          <t>ACC</t>
        </is>
      </c>
      <c r="D2044" s="12" t="inlineStr">
        <is>
          <t>Motor 7 of 12: control / local station</t>
        </is>
      </c>
      <c r="E2044" s="12" t="inlineStr"/>
      <c r="F2044" s="12" t="inlineStr">
        <is>
          <t>R4 480 V switchgear + vacuum-pump MCC</t>
        </is>
      </c>
      <c r="G2044" s="12" t="inlineStr">
        <is>
          <t>AUXC</t>
        </is>
      </c>
      <c r="H2044" s="12" t="inlineStr">
        <is>
          <t>Aux dry coolers AUXC-F01..12 (closed cooling water)</t>
        </is>
      </c>
      <c r="I2044" s="12" t="inlineStr">
        <is>
          <t>Control</t>
        </is>
      </c>
      <c r="J2044" s="12" t="inlineStr">
        <is>
          <t>Control cable 600 V Type TC-ER, Cu #14 AWG, PVC jacket</t>
        </is>
      </c>
      <c r="K2044" s="12" t="inlineStr">
        <is>
          <t>CT|7/C|14</t>
        </is>
      </c>
      <c r="L2044" s="12" t="inlineStr">
        <is>
          <t>7/C</t>
        </is>
      </c>
      <c r="M2044" s="12" t="inlineStr">
        <is>
          <t>14</t>
        </is>
      </c>
      <c r="N2044" s="12" t="n">
        <v>1</v>
      </c>
      <c r="O2044" s="12" t="n">
        <v>1</v>
      </c>
      <c r="P2044" s="12" t="n"/>
      <c r="Q2044" s="12" t="n"/>
      <c r="R2044" s="12" t="n"/>
      <c r="S2044" s="12" t="inlineStr">
        <is>
          <t>Tray</t>
        </is>
      </c>
      <c r="T2044" s="16" t="n">
        <v>655</v>
      </c>
      <c r="U2044" s="16" t="n">
        <v>211</v>
      </c>
      <c r="V2044" s="16">
        <f>ROUNDUP((T2044+U2044+2*'Read Me'!$B$13)*(1+'Read Me'!$B$12),-1)</f>
        <v/>
      </c>
      <c r="W2044" s="16">
        <f>V2044*N2044*O2044</f>
        <v/>
      </c>
      <c r="X2044" s="12">
        <f>IF(LEFT(I2044,2)="MV",2*N2044*IF(L2044="1/C",O2044,1),0)</f>
        <v/>
      </c>
      <c r="Y2044" s="12">
        <f>IF(OR(LEFT(K2044,4)="LVAX",LEFT(K2044,6)="MV15AX",LEFT(K2044,4)="CTAX",LEFT(K2044,2)="W|"),2*N2044*O2044,0)</f>
        <v/>
      </c>
      <c r="Z2044" s="12" t="inlineStr"/>
      <c r="AA2044" s="12">
        <f>N2044*O2044</f>
        <v/>
      </c>
    </row>
    <row r="2045">
      <c r="A2045" s="12" t="inlineStr">
        <is>
          <t>B-C-0118</t>
        </is>
      </c>
      <c r="B2045" s="12" t="inlineStr">
        <is>
          <t>B</t>
        </is>
      </c>
      <c r="C2045" s="12" t="inlineStr">
        <is>
          <t>ACC</t>
        </is>
      </c>
      <c r="D2045" s="12" t="inlineStr">
        <is>
          <t>Motor 8 of 12: control / local station</t>
        </is>
      </c>
      <c r="E2045" s="12" t="inlineStr"/>
      <c r="F2045" s="12" t="inlineStr">
        <is>
          <t>R4 480 V switchgear + vacuum-pump MCC</t>
        </is>
      </c>
      <c r="G2045" s="12" t="inlineStr">
        <is>
          <t>AUXC</t>
        </is>
      </c>
      <c r="H2045" s="12" t="inlineStr">
        <is>
          <t>Aux dry coolers AUXC-F01..12 (closed cooling water)</t>
        </is>
      </c>
      <c r="I2045" s="12" t="inlineStr">
        <is>
          <t>Control</t>
        </is>
      </c>
      <c r="J2045" s="12" t="inlineStr">
        <is>
          <t>Control cable 600 V Type TC-ER, Cu #14 AWG, PVC jacket</t>
        </is>
      </c>
      <c r="K2045" s="12" t="inlineStr">
        <is>
          <t>CT|7/C|14</t>
        </is>
      </c>
      <c r="L2045" s="12" t="inlineStr">
        <is>
          <t>7/C</t>
        </is>
      </c>
      <c r="M2045" s="12" t="inlineStr">
        <is>
          <t>14</t>
        </is>
      </c>
      <c r="N2045" s="12" t="n">
        <v>1</v>
      </c>
      <c r="O2045" s="12" t="n">
        <v>1</v>
      </c>
      <c r="P2045" s="12" t="n"/>
      <c r="Q2045" s="12" t="n"/>
      <c r="R2045" s="12" t="n"/>
      <c r="S2045" s="12" t="inlineStr">
        <is>
          <t>Tray</t>
        </is>
      </c>
      <c r="T2045" s="16" t="n">
        <v>655</v>
      </c>
      <c r="U2045" s="16" t="n">
        <v>211</v>
      </c>
      <c r="V2045" s="16">
        <f>ROUNDUP((T2045+U2045+2*'Read Me'!$B$13)*(1+'Read Me'!$B$12),-1)</f>
        <v/>
      </c>
      <c r="W2045" s="16">
        <f>V2045*N2045*O2045</f>
        <v/>
      </c>
      <c r="X2045" s="12">
        <f>IF(LEFT(I2045,2)="MV",2*N2045*IF(L2045="1/C",O2045,1),0)</f>
        <v/>
      </c>
      <c r="Y2045" s="12">
        <f>IF(OR(LEFT(K2045,4)="LVAX",LEFT(K2045,6)="MV15AX",LEFT(K2045,4)="CTAX",LEFT(K2045,2)="W|"),2*N2045*O2045,0)</f>
        <v/>
      </c>
      <c r="Z2045" s="12" t="inlineStr"/>
      <c r="AA2045" s="12">
        <f>N2045*O2045</f>
        <v/>
      </c>
    </row>
    <row r="2046">
      <c r="A2046" s="12" t="inlineStr">
        <is>
          <t>B-C-0119</t>
        </is>
      </c>
      <c r="B2046" s="12" t="inlineStr">
        <is>
          <t>B</t>
        </is>
      </c>
      <c r="C2046" s="12" t="inlineStr">
        <is>
          <t>ACC</t>
        </is>
      </c>
      <c r="D2046" s="12" t="inlineStr">
        <is>
          <t>Motor 9 of 12: control / local station</t>
        </is>
      </c>
      <c r="E2046" s="12" t="inlineStr"/>
      <c r="F2046" s="12" t="inlineStr">
        <is>
          <t>R4 480 V switchgear + vacuum-pump MCC</t>
        </is>
      </c>
      <c r="G2046" s="12" t="inlineStr">
        <is>
          <t>AUXC</t>
        </is>
      </c>
      <c r="H2046" s="12" t="inlineStr">
        <is>
          <t>Aux dry coolers AUXC-F01..12 (closed cooling water)</t>
        </is>
      </c>
      <c r="I2046" s="12" t="inlineStr">
        <is>
          <t>Control</t>
        </is>
      </c>
      <c r="J2046" s="12" t="inlineStr">
        <is>
          <t>Control cable 600 V Type TC-ER, Cu #14 AWG, PVC jacket</t>
        </is>
      </c>
      <c r="K2046" s="12" t="inlineStr">
        <is>
          <t>CT|7/C|14</t>
        </is>
      </c>
      <c r="L2046" s="12" t="inlineStr">
        <is>
          <t>7/C</t>
        </is>
      </c>
      <c r="M2046" s="12" t="inlineStr">
        <is>
          <t>14</t>
        </is>
      </c>
      <c r="N2046" s="12" t="n">
        <v>1</v>
      </c>
      <c r="O2046" s="12" t="n">
        <v>1</v>
      </c>
      <c r="P2046" s="12" t="n"/>
      <c r="Q2046" s="12" t="n"/>
      <c r="R2046" s="12" t="n"/>
      <c r="S2046" s="12" t="inlineStr">
        <is>
          <t>Tray</t>
        </is>
      </c>
      <c r="T2046" s="16" t="n">
        <v>655</v>
      </c>
      <c r="U2046" s="16" t="n">
        <v>211</v>
      </c>
      <c r="V2046" s="16">
        <f>ROUNDUP((T2046+U2046+2*'Read Me'!$B$13)*(1+'Read Me'!$B$12),-1)</f>
        <v/>
      </c>
      <c r="W2046" s="16">
        <f>V2046*N2046*O2046</f>
        <v/>
      </c>
      <c r="X2046" s="12">
        <f>IF(LEFT(I2046,2)="MV",2*N2046*IF(L2046="1/C",O2046,1),0)</f>
        <v/>
      </c>
      <c r="Y2046" s="12">
        <f>IF(OR(LEFT(K2046,4)="LVAX",LEFT(K2046,6)="MV15AX",LEFT(K2046,4)="CTAX",LEFT(K2046,2)="W|"),2*N2046*O2046,0)</f>
        <v/>
      </c>
      <c r="Z2046" s="12" t="inlineStr"/>
      <c r="AA2046" s="12">
        <f>N2046*O2046</f>
        <v/>
      </c>
    </row>
    <row r="2047">
      <c r="A2047" s="12" t="inlineStr">
        <is>
          <t>B-C-0120</t>
        </is>
      </c>
      <c r="B2047" s="12" t="inlineStr">
        <is>
          <t>B</t>
        </is>
      </c>
      <c r="C2047" s="12" t="inlineStr">
        <is>
          <t>ACC</t>
        </is>
      </c>
      <c r="D2047" s="12" t="inlineStr">
        <is>
          <t>Motor 10 of 12: control / local station</t>
        </is>
      </c>
      <c r="E2047" s="12" t="inlineStr"/>
      <c r="F2047" s="12" t="inlineStr">
        <is>
          <t>R4 480 V switchgear + vacuum-pump MCC</t>
        </is>
      </c>
      <c r="G2047" s="12" t="inlineStr">
        <is>
          <t>AUXC</t>
        </is>
      </c>
      <c r="H2047" s="12" t="inlineStr">
        <is>
          <t>Aux dry coolers AUXC-F01..12 (closed cooling water)</t>
        </is>
      </c>
      <c r="I2047" s="12" t="inlineStr">
        <is>
          <t>Control</t>
        </is>
      </c>
      <c r="J2047" s="12" t="inlineStr">
        <is>
          <t>Control cable 600 V Type TC-ER, Cu #14 AWG, PVC jacket</t>
        </is>
      </c>
      <c r="K2047" s="12" t="inlineStr">
        <is>
          <t>CT|7/C|14</t>
        </is>
      </c>
      <c r="L2047" s="12" t="inlineStr">
        <is>
          <t>7/C</t>
        </is>
      </c>
      <c r="M2047" s="12" t="inlineStr">
        <is>
          <t>14</t>
        </is>
      </c>
      <c r="N2047" s="12" t="n">
        <v>1</v>
      </c>
      <c r="O2047" s="12" t="n">
        <v>1</v>
      </c>
      <c r="P2047" s="12" t="n"/>
      <c r="Q2047" s="12" t="n"/>
      <c r="R2047" s="12" t="n"/>
      <c r="S2047" s="12" t="inlineStr">
        <is>
          <t>Tray</t>
        </is>
      </c>
      <c r="T2047" s="16" t="n">
        <v>655</v>
      </c>
      <c r="U2047" s="16" t="n">
        <v>211</v>
      </c>
      <c r="V2047" s="16">
        <f>ROUNDUP((T2047+U2047+2*'Read Me'!$B$13)*(1+'Read Me'!$B$12),-1)</f>
        <v/>
      </c>
      <c r="W2047" s="16">
        <f>V2047*N2047*O2047</f>
        <v/>
      </c>
      <c r="X2047" s="12">
        <f>IF(LEFT(I2047,2)="MV",2*N2047*IF(L2047="1/C",O2047,1),0)</f>
        <v/>
      </c>
      <c r="Y2047" s="12">
        <f>IF(OR(LEFT(K2047,4)="LVAX",LEFT(K2047,6)="MV15AX",LEFT(K2047,4)="CTAX",LEFT(K2047,2)="W|"),2*N2047*O2047,0)</f>
        <v/>
      </c>
      <c r="Z2047" s="12" t="inlineStr"/>
      <c r="AA2047" s="12">
        <f>N2047*O2047</f>
        <v/>
      </c>
    </row>
    <row r="2048">
      <c r="A2048" s="12" t="inlineStr">
        <is>
          <t>B-C-0121</t>
        </is>
      </c>
      <c r="B2048" s="12" t="inlineStr">
        <is>
          <t>B</t>
        </is>
      </c>
      <c r="C2048" s="12" t="inlineStr">
        <is>
          <t>ACC</t>
        </is>
      </c>
      <c r="D2048" s="12" t="inlineStr">
        <is>
          <t>Motor 11 of 12: control / local station</t>
        </is>
      </c>
      <c r="E2048" s="12" t="inlineStr"/>
      <c r="F2048" s="12" t="inlineStr">
        <is>
          <t>R4 480 V switchgear + vacuum-pump MCC</t>
        </is>
      </c>
      <c r="G2048" s="12" t="inlineStr">
        <is>
          <t>AUXC</t>
        </is>
      </c>
      <c r="H2048" s="12" t="inlineStr">
        <is>
          <t>Aux dry coolers AUXC-F01..12 (closed cooling water)</t>
        </is>
      </c>
      <c r="I2048" s="12" t="inlineStr">
        <is>
          <t>Control</t>
        </is>
      </c>
      <c r="J2048" s="12" t="inlineStr">
        <is>
          <t>Control cable 600 V Type TC-ER, Cu #14 AWG, PVC jacket</t>
        </is>
      </c>
      <c r="K2048" s="12" t="inlineStr">
        <is>
          <t>CT|7/C|14</t>
        </is>
      </c>
      <c r="L2048" s="12" t="inlineStr">
        <is>
          <t>7/C</t>
        </is>
      </c>
      <c r="M2048" s="12" t="inlineStr">
        <is>
          <t>14</t>
        </is>
      </c>
      <c r="N2048" s="12" t="n">
        <v>1</v>
      </c>
      <c r="O2048" s="12" t="n">
        <v>1</v>
      </c>
      <c r="P2048" s="12" t="n"/>
      <c r="Q2048" s="12" t="n"/>
      <c r="R2048" s="12" t="n"/>
      <c r="S2048" s="12" t="inlineStr">
        <is>
          <t>Tray</t>
        </is>
      </c>
      <c r="T2048" s="16" t="n">
        <v>655</v>
      </c>
      <c r="U2048" s="16" t="n">
        <v>211</v>
      </c>
      <c r="V2048" s="16">
        <f>ROUNDUP((T2048+U2048+2*'Read Me'!$B$13)*(1+'Read Me'!$B$12),-1)</f>
        <v/>
      </c>
      <c r="W2048" s="16">
        <f>V2048*N2048*O2048</f>
        <v/>
      </c>
      <c r="X2048" s="12">
        <f>IF(LEFT(I2048,2)="MV",2*N2048*IF(L2048="1/C",O2048,1),0)</f>
        <v/>
      </c>
      <c r="Y2048" s="12">
        <f>IF(OR(LEFT(K2048,4)="LVAX",LEFT(K2048,6)="MV15AX",LEFT(K2048,4)="CTAX",LEFT(K2048,2)="W|"),2*N2048*O2048,0)</f>
        <v/>
      </c>
      <c r="Z2048" s="12" t="inlineStr"/>
      <c r="AA2048" s="12">
        <f>N2048*O2048</f>
        <v/>
      </c>
    </row>
    <row r="2049">
      <c r="A2049" s="12" t="inlineStr">
        <is>
          <t>B-C-0122</t>
        </is>
      </c>
      <c r="B2049" s="12" t="inlineStr">
        <is>
          <t>B</t>
        </is>
      </c>
      <c r="C2049" s="12" t="inlineStr">
        <is>
          <t>ACC</t>
        </is>
      </c>
      <c r="D2049" s="12" t="inlineStr">
        <is>
          <t>Motor 12 of 12: control / local station</t>
        </is>
      </c>
      <c r="E2049" s="12" t="inlineStr"/>
      <c r="F2049" s="12" t="inlineStr">
        <is>
          <t>R4 480 V switchgear + vacuum-pump MCC</t>
        </is>
      </c>
      <c r="G2049" s="12" t="inlineStr">
        <is>
          <t>AUXC</t>
        </is>
      </c>
      <c r="H2049" s="12" t="inlineStr">
        <is>
          <t>Aux dry coolers AUXC-F01..12 (closed cooling water)</t>
        </is>
      </c>
      <c r="I2049" s="12" t="inlineStr">
        <is>
          <t>Control</t>
        </is>
      </c>
      <c r="J2049" s="12" t="inlineStr">
        <is>
          <t>Control cable 600 V Type TC-ER, Cu #14 AWG, PVC jacket</t>
        </is>
      </c>
      <c r="K2049" s="12" t="inlineStr">
        <is>
          <t>CT|7/C|14</t>
        </is>
      </c>
      <c r="L2049" s="12" t="inlineStr">
        <is>
          <t>7/C</t>
        </is>
      </c>
      <c r="M2049" s="12" t="inlineStr">
        <is>
          <t>14</t>
        </is>
      </c>
      <c r="N2049" s="12" t="n">
        <v>1</v>
      </c>
      <c r="O2049" s="12" t="n">
        <v>1</v>
      </c>
      <c r="P2049" s="12" t="n"/>
      <c r="Q2049" s="12" t="n"/>
      <c r="R2049" s="12" t="n"/>
      <c r="S2049" s="12" t="inlineStr">
        <is>
          <t>Tray</t>
        </is>
      </c>
      <c r="T2049" s="16" t="n">
        <v>655</v>
      </c>
      <c r="U2049" s="16" t="n">
        <v>211</v>
      </c>
      <c r="V2049" s="16">
        <f>ROUNDUP((T2049+U2049+2*'Read Me'!$B$13)*(1+'Read Me'!$B$12),-1)</f>
        <v/>
      </c>
      <c r="W2049" s="16">
        <f>V2049*N2049*O2049</f>
        <v/>
      </c>
      <c r="X2049" s="12">
        <f>IF(LEFT(I2049,2)="MV",2*N2049*IF(L2049="1/C",O2049,1),0)</f>
        <v/>
      </c>
      <c r="Y2049" s="12">
        <f>IF(OR(LEFT(K2049,4)="LVAX",LEFT(K2049,6)="MV15AX",LEFT(K2049,4)="CTAX",LEFT(K2049,2)="W|"),2*N2049*O2049,0)</f>
        <v/>
      </c>
      <c r="Z2049" s="12" t="inlineStr"/>
      <c r="AA2049" s="12">
        <f>N2049*O2049</f>
        <v/>
      </c>
    </row>
    <row r="2050">
      <c r="A2050" s="12" t="inlineStr">
        <is>
          <t>B-C-0123</t>
        </is>
      </c>
      <c r="B2050" s="12" t="inlineStr">
        <is>
          <t>B</t>
        </is>
      </c>
      <c r="C2050" s="12" t="inlineStr">
        <is>
          <t>ACC</t>
        </is>
      </c>
      <c r="D2050" s="12" t="inlineStr">
        <is>
          <t>Motor 1 of 2: control / local station</t>
        </is>
      </c>
      <c r="E2050" s="12" t="inlineStr"/>
      <c r="F2050" s="12" t="inlineStr">
        <is>
          <t>R4 480 V switchgear + vacuum-pump MCC</t>
        </is>
      </c>
      <c r="G2050" s="12" t="inlineStr">
        <is>
          <t>CCW-A/B</t>
        </is>
      </c>
      <c r="H2050" s="12" t="inlineStr">
        <is>
          <t>CCW-A/B: closed cooling water pumps</t>
        </is>
      </c>
      <c r="I2050" s="12" t="inlineStr">
        <is>
          <t>Control</t>
        </is>
      </c>
      <c r="J2050" s="12" t="inlineStr">
        <is>
          <t>Control cable 600 V Type TC-ER, Cu #14 AWG, PVC jacket</t>
        </is>
      </c>
      <c r="K2050" s="12" t="inlineStr">
        <is>
          <t>CT|7/C|14</t>
        </is>
      </c>
      <c r="L2050" s="12" t="inlineStr">
        <is>
          <t>7/C</t>
        </is>
      </c>
      <c r="M2050" s="12" t="inlineStr">
        <is>
          <t>14</t>
        </is>
      </c>
      <c r="N2050" s="12" t="n">
        <v>1</v>
      </c>
      <c r="O2050" s="12" t="n">
        <v>1</v>
      </c>
      <c r="P2050" s="12" t="n"/>
      <c r="Q2050" s="12" t="n"/>
      <c r="R2050" s="12" t="n"/>
      <c r="S2050" s="12" t="inlineStr">
        <is>
          <t>Tray</t>
        </is>
      </c>
      <c r="T2050" s="16" t="n">
        <v>664</v>
      </c>
      <c r="U2050" s="16" t="n">
        <v>175</v>
      </c>
      <c r="V2050" s="16">
        <f>ROUNDUP((T2050+U2050+2*'Read Me'!$B$13)*(1+'Read Me'!$B$12),-1)</f>
        <v/>
      </c>
      <c r="W2050" s="16">
        <f>V2050*N2050*O2050</f>
        <v/>
      </c>
      <c r="X2050" s="12">
        <f>IF(LEFT(I2050,2)="MV",2*N2050*IF(L2050="1/C",O2050,1),0)</f>
        <v/>
      </c>
      <c r="Y2050" s="12">
        <f>IF(OR(LEFT(K2050,4)="LVAX",LEFT(K2050,6)="MV15AX",LEFT(K2050,4)="CTAX",LEFT(K2050,2)="W|"),2*N2050*O2050,0)</f>
        <v/>
      </c>
      <c r="Z2050" s="12" t="inlineStr"/>
      <c r="AA2050" s="12">
        <f>N2050*O2050</f>
        <v/>
      </c>
    </row>
    <row r="2051">
      <c r="A2051" s="12" t="inlineStr">
        <is>
          <t>B-C-0124</t>
        </is>
      </c>
      <c r="B2051" s="12" t="inlineStr">
        <is>
          <t>B</t>
        </is>
      </c>
      <c r="C2051" s="12" t="inlineStr">
        <is>
          <t>ACC</t>
        </is>
      </c>
      <c r="D2051" s="12" t="inlineStr">
        <is>
          <t>Motor 2 of 2: control / local station</t>
        </is>
      </c>
      <c r="E2051" s="12" t="inlineStr"/>
      <c r="F2051" s="12" t="inlineStr">
        <is>
          <t>R4 480 V switchgear + vacuum-pump MCC</t>
        </is>
      </c>
      <c r="G2051" s="12" t="inlineStr">
        <is>
          <t>CCW-A/B</t>
        </is>
      </c>
      <c r="H2051" s="12" t="inlineStr">
        <is>
          <t>CCW-A/B: closed cooling water pumps</t>
        </is>
      </c>
      <c r="I2051" s="12" t="inlineStr">
        <is>
          <t>Control</t>
        </is>
      </c>
      <c r="J2051" s="12" t="inlineStr">
        <is>
          <t>Control cable 600 V Type TC-ER, Cu #14 AWG, PVC jacket</t>
        </is>
      </c>
      <c r="K2051" s="12" t="inlineStr">
        <is>
          <t>CT|7/C|14</t>
        </is>
      </c>
      <c r="L2051" s="12" t="inlineStr">
        <is>
          <t>7/C</t>
        </is>
      </c>
      <c r="M2051" s="12" t="inlineStr">
        <is>
          <t>14</t>
        </is>
      </c>
      <c r="N2051" s="12" t="n">
        <v>1</v>
      </c>
      <c r="O2051" s="12" t="n">
        <v>1</v>
      </c>
      <c r="P2051" s="12" t="n"/>
      <c r="Q2051" s="12" t="n"/>
      <c r="R2051" s="12" t="n"/>
      <c r="S2051" s="12" t="inlineStr">
        <is>
          <t>Tray</t>
        </is>
      </c>
      <c r="T2051" s="16" t="n">
        <v>664</v>
      </c>
      <c r="U2051" s="16" t="n">
        <v>175</v>
      </c>
      <c r="V2051" s="16">
        <f>ROUNDUP((T2051+U2051+2*'Read Me'!$B$13)*(1+'Read Me'!$B$12),-1)</f>
        <v/>
      </c>
      <c r="W2051" s="16">
        <f>V2051*N2051*O2051</f>
        <v/>
      </c>
      <c r="X2051" s="12">
        <f>IF(LEFT(I2051,2)="MV",2*N2051*IF(L2051="1/C",O2051,1),0)</f>
        <v/>
      </c>
      <c r="Y2051" s="12">
        <f>IF(OR(LEFT(K2051,4)="LVAX",LEFT(K2051,6)="MV15AX",LEFT(K2051,4)="CTAX",LEFT(K2051,2)="W|"),2*N2051*O2051,0)</f>
        <v/>
      </c>
      <c r="Z2051" s="12" t="inlineStr"/>
      <c r="AA2051" s="12">
        <f>N2051*O2051</f>
        <v/>
      </c>
    </row>
    <row r="2052">
      <c r="A2052" s="12" t="inlineStr">
        <is>
          <t>B-C-0125</t>
        </is>
      </c>
      <c r="B2052" s="12" t="inlineStr">
        <is>
          <t>B</t>
        </is>
      </c>
      <c r="C2052" s="12" t="inlineStr">
        <is>
          <t>ACC</t>
        </is>
      </c>
      <c r="D2052" s="12" t="inlineStr">
        <is>
          <t>Control</t>
        </is>
      </c>
      <c r="E2052" s="12" t="inlineStr">
        <is>
          <t>R4</t>
        </is>
      </c>
      <c r="F2052" s="12" t="inlineStr">
        <is>
          <t>R4: ACC electrical (VFD) e-house (60 x 120 ft)</t>
        </is>
      </c>
      <c r="G2052" s="12" t="inlineStr">
        <is>
          <t>VFD-L1</t>
        </is>
      </c>
      <c r="H2052" s="12" t="inlineStr">
        <is>
          <t>R4 VFD lineup 1 (23 drives, fed from T-R4-1)</t>
        </is>
      </c>
      <c r="I2052" s="12" t="inlineStr">
        <is>
          <t>Control</t>
        </is>
      </c>
      <c r="J2052" s="12" t="inlineStr">
        <is>
          <t>Control cable 600 V Type TC-ER, Cu #14 AWG, PVC jacket</t>
        </is>
      </c>
      <c r="K2052" s="12" t="inlineStr">
        <is>
          <t>CT|7/C|14</t>
        </is>
      </c>
      <c r="L2052" s="12" t="inlineStr">
        <is>
          <t>7/C</t>
        </is>
      </c>
      <c r="M2052" s="12" t="inlineStr">
        <is>
          <t>14</t>
        </is>
      </c>
      <c r="N2052" s="12" t="n">
        <v>1</v>
      </c>
      <c r="O2052" s="12" t="n">
        <v>1</v>
      </c>
      <c r="P2052" s="12" t="n"/>
      <c r="Q2052" s="12" t="n"/>
      <c r="R2052" s="12" t="n"/>
      <c r="S2052" s="12" t="inlineStr">
        <is>
          <t>Tray</t>
        </is>
      </c>
      <c r="T2052" s="16" t="n">
        <v>18</v>
      </c>
      <c r="U2052" s="16" t="n">
        <v>81</v>
      </c>
      <c r="V2052" s="16">
        <f>ROUNDUP((T2052+U2052+2*'Read Me'!$B$13)*(1+'Read Me'!$B$12),-1)</f>
        <v/>
      </c>
      <c r="W2052" s="16">
        <f>V2052*N2052*O2052</f>
        <v/>
      </c>
      <c r="X2052" s="12">
        <f>IF(LEFT(I2052,2)="MV",2*N2052*IF(L2052="1/C",O2052,1),0)</f>
        <v/>
      </c>
      <c r="Y2052" s="12">
        <f>IF(OR(LEFT(K2052,4)="LVAX",LEFT(K2052,6)="MV15AX",LEFT(K2052,4)="CTAX",LEFT(K2052,2)="W|"),2*N2052*O2052,0)</f>
        <v/>
      </c>
      <c r="Z2052" s="12" t="inlineStr"/>
      <c r="AA2052" s="12">
        <f>N2052*O2052</f>
        <v/>
      </c>
    </row>
    <row r="2053">
      <c r="A2053" s="12" t="inlineStr">
        <is>
          <t>B-C-0126</t>
        </is>
      </c>
      <c r="B2053" s="12" t="inlineStr">
        <is>
          <t>B</t>
        </is>
      </c>
      <c r="C2053" s="12" t="inlineStr">
        <is>
          <t>ACC</t>
        </is>
      </c>
      <c r="D2053" s="12" t="inlineStr">
        <is>
          <t>Control</t>
        </is>
      </c>
      <c r="E2053" s="12" t="inlineStr">
        <is>
          <t>R4</t>
        </is>
      </c>
      <c r="F2053" s="12" t="inlineStr">
        <is>
          <t>R4: ACC electrical (VFD) e-house (60 x 120 ft)</t>
        </is>
      </c>
      <c r="G2053" s="12" t="inlineStr">
        <is>
          <t>VFD-L1</t>
        </is>
      </c>
      <c r="H2053" s="12" t="inlineStr">
        <is>
          <t>R4 VFD lineup 1 (23 drives, fed from T-R4-1)</t>
        </is>
      </c>
      <c r="I2053" s="12" t="inlineStr">
        <is>
          <t>Control</t>
        </is>
      </c>
      <c r="J2053" s="12" t="inlineStr">
        <is>
          <t>Control cable 600 V Type TC-ER, Cu #14 AWG, PVC jacket</t>
        </is>
      </c>
      <c r="K2053" s="12" t="inlineStr">
        <is>
          <t>CT|12/C|14</t>
        </is>
      </c>
      <c r="L2053" s="12" t="inlineStr">
        <is>
          <t>12/C</t>
        </is>
      </c>
      <c r="M2053" s="12" t="inlineStr">
        <is>
          <t>14</t>
        </is>
      </c>
      <c r="N2053" s="12" t="n">
        <v>1</v>
      </c>
      <c r="O2053" s="12" t="n">
        <v>1</v>
      </c>
      <c r="P2053" s="12" t="n"/>
      <c r="Q2053" s="12" t="n"/>
      <c r="R2053" s="12" t="n"/>
      <c r="S2053" s="12" t="inlineStr">
        <is>
          <t>Tray</t>
        </is>
      </c>
      <c r="T2053" s="16" t="n">
        <v>18</v>
      </c>
      <c r="U2053" s="16" t="n">
        <v>81</v>
      </c>
      <c r="V2053" s="16">
        <f>ROUNDUP((T2053+U2053+2*'Read Me'!$B$13)*(1+'Read Me'!$B$12),-1)</f>
        <v/>
      </c>
      <c r="W2053" s="16">
        <f>V2053*N2053*O2053</f>
        <v/>
      </c>
      <c r="X2053" s="12">
        <f>IF(LEFT(I2053,2)="MV",2*N2053*IF(L2053="1/C",O2053,1),0)</f>
        <v/>
      </c>
      <c r="Y2053" s="12">
        <f>IF(OR(LEFT(K2053,4)="LVAX",LEFT(K2053,6)="MV15AX",LEFT(K2053,4)="CTAX",LEFT(K2053,2)="W|"),2*N2053*O2053,0)</f>
        <v/>
      </c>
      <c r="Z2053" s="12" t="inlineStr"/>
      <c r="AA2053" s="12">
        <f>N2053*O2053</f>
        <v/>
      </c>
    </row>
    <row r="2054">
      <c r="A2054" s="12" t="inlineStr">
        <is>
          <t>B-C-0127</t>
        </is>
      </c>
      <c r="B2054" s="12" t="inlineStr">
        <is>
          <t>B</t>
        </is>
      </c>
      <c r="C2054" s="12" t="inlineStr">
        <is>
          <t>ACC</t>
        </is>
      </c>
      <c r="D2054" s="12" t="inlineStr">
        <is>
          <t>CT / VT</t>
        </is>
      </c>
      <c r="E2054" s="12" t="inlineStr">
        <is>
          <t>R4</t>
        </is>
      </c>
      <c r="F2054" s="12" t="inlineStr">
        <is>
          <t>R4: ACC electrical (VFD) e-house (60 x 120 ft)</t>
        </is>
      </c>
      <c r="G2054" s="12" t="inlineStr">
        <is>
          <t>VFD-L1</t>
        </is>
      </c>
      <c r="H2054" s="12" t="inlineStr">
        <is>
          <t>R4 VFD lineup 1 (23 drives, fed from T-R4-1)</t>
        </is>
      </c>
      <c r="I2054" s="12" t="inlineStr">
        <is>
          <t>Control</t>
        </is>
      </c>
      <c r="J2054" s="12" t="inlineStr">
        <is>
          <t>Control cable 600 V Type TC-ER, Cu #10 AWG (CT / VT circuits)</t>
        </is>
      </c>
      <c r="K2054" s="12" t="inlineStr">
        <is>
          <t>CTCT|4/C|10</t>
        </is>
      </c>
      <c r="L2054" s="12" t="inlineStr">
        <is>
          <t>4/C</t>
        </is>
      </c>
      <c r="M2054" s="12" t="inlineStr">
        <is>
          <t>10</t>
        </is>
      </c>
      <c r="N2054" s="12" t="n">
        <v>1</v>
      </c>
      <c r="O2054" s="12" t="n">
        <v>1</v>
      </c>
      <c r="P2054" s="12" t="n"/>
      <c r="Q2054" s="12" t="n"/>
      <c r="R2054" s="12" t="n"/>
      <c r="S2054" s="12" t="inlineStr">
        <is>
          <t>Tray</t>
        </is>
      </c>
      <c r="T2054" s="16" t="n">
        <v>18</v>
      </c>
      <c r="U2054" s="16" t="n">
        <v>81</v>
      </c>
      <c r="V2054" s="16">
        <f>ROUNDUP((T2054+U2054+2*'Read Me'!$B$13)*(1+'Read Me'!$B$12),-1)</f>
        <v/>
      </c>
      <c r="W2054" s="16">
        <f>V2054*N2054*O2054</f>
        <v/>
      </c>
      <c r="X2054" s="12">
        <f>IF(LEFT(I2054,2)="MV",2*N2054*IF(L2054="1/C",O2054,1),0)</f>
        <v/>
      </c>
      <c r="Y2054" s="12">
        <f>IF(OR(LEFT(K2054,4)="LVAX",LEFT(K2054,6)="MV15AX",LEFT(K2054,4)="CTAX",LEFT(K2054,2)="W|"),2*N2054*O2054,0)</f>
        <v/>
      </c>
      <c r="Z2054" s="12" t="inlineStr"/>
      <c r="AA2054" s="12">
        <f>N2054*O2054</f>
        <v/>
      </c>
    </row>
    <row r="2055">
      <c r="A2055" s="12" t="inlineStr">
        <is>
          <t>B-C-0128</t>
        </is>
      </c>
      <c r="B2055" s="12" t="inlineStr">
        <is>
          <t>B</t>
        </is>
      </c>
      <c r="C2055" s="12" t="inlineStr">
        <is>
          <t>ACC</t>
        </is>
      </c>
      <c r="D2055" s="12" t="inlineStr">
        <is>
          <t>CT / VT</t>
        </is>
      </c>
      <c r="E2055" s="12" t="inlineStr">
        <is>
          <t>R4</t>
        </is>
      </c>
      <c r="F2055" s="12" t="inlineStr">
        <is>
          <t>R4: ACC electrical (VFD) e-house (60 x 120 ft)</t>
        </is>
      </c>
      <c r="G2055" s="12" t="inlineStr">
        <is>
          <t>VFD-L1</t>
        </is>
      </c>
      <c r="H2055" s="12" t="inlineStr">
        <is>
          <t>R4 VFD lineup 1 (23 drives, fed from T-R4-1)</t>
        </is>
      </c>
      <c r="I2055" s="12" t="inlineStr">
        <is>
          <t>Control</t>
        </is>
      </c>
      <c r="J2055" s="12" t="inlineStr">
        <is>
          <t>Control cable 600 V Type TC-ER, Cu #10 AWG (CT / VT circuits)</t>
        </is>
      </c>
      <c r="K2055" s="12" t="inlineStr">
        <is>
          <t>CTCT|4/C|10</t>
        </is>
      </c>
      <c r="L2055" s="12" t="inlineStr">
        <is>
          <t>4/C</t>
        </is>
      </c>
      <c r="M2055" s="12" t="inlineStr">
        <is>
          <t>10</t>
        </is>
      </c>
      <c r="N2055" s="12" t="n">
        <v>1</v>
      </c>
      <c r="O2055" s="12" t="n">
        <v>1</v>
      </c>
      <c r="P2055" s="12" t="n"/>
      <c r="Q2055" s="12" t="n"/>
      <c r="R2055" s="12" t="n"/>
      <c r="S2055" s="12" t="inlineStr">
        <is>
          <t>Tray</t>
        </is>
      </c>
      <c r="T2055" s="16" t="n">
        <v>18</v>
      </c>
      <c r="U2055" s="16" t="n">
        <v>81</v>
      </c>
      <c r="V2055" s="16">
        <f>ROUNDUP((T2055+U2055+2*'Read Me'!$B$13)*(1+'Read Me'!$B$12),-1)</f>
        <v/>
      </c>
      <c r="W2055" s="16">
        <f>V2055*N2055*O2055</f>
        <v/>
      </c>
      <c r="X2055" s="12">
        <f>IF(LEFT(I2055,2)="MV",2*N2055*IF(L2055="1/C",O2055,1),0)</f>
        <v/>
      </c>
      <c r="Y2055" s="12">
        <f>IF(OR(LEFT(K2055,4)="LVAX",LEFT(K2055,6)="MV15AX",LEFT(K2055,4)="CTAX",LEFT(K2055,2)="W|"),2*N2055*O2055,0)</f>
        <v/>
      </c>
      <c r="Z2055" s="12" t="inlineStr"/>
      <c r="AA2055" s="12">
        <f>N2055*O2055</f>
        <v/>
      </c>
    </row>
    <row r="2056">
      <c r="A2056" s="12" t="inlineStr">
        <is>
          <t>B-C-0129</t>
        </is>
      </c>
      <c r="B2056" s="12" t="inlineStr">
        <is>
          <t>B</t>
        </is>
      </c>
      <c r="C2056" s="12" t="inlineStr">
        <is>
          <t>ACC</t>
        </is>
      </c>
      <c r="D2056" s="12" t="inlineStr">
        <is>
          <t>Control</t>
        </is>
      </c>
      <c r="E2056" s="12" t="inlineStr">
        <is>
          <t>R4</t>
        </is>
      </c>
      <c r="F2056" s="12" t="inlineStr">
        <is>
          <t>R4: ACC electrical (VFD) e-house (60 x 120 ft)</t>
        </is>
      </c>
      <c r="G2056" s="12" t="inlineStr">
        <is>
          <t>VFD-L2</t>
        </is>
      </c>
      <c r="H2056" s="12" t="inlineStr">
        <is>
          <t>R4 VFD lineup 2 (23 drives, fed from T-R4-2)</t>
        </is>
      </c>
      <c r="I2056" s="12" t="inlineStr">
        <is>
          <t>Control</t>
        </is>
      </c>
      <c r="J2056" s="12" t="inlineStr">
        <is>
          <t>Control cable 600 V Type TC-ER, Cu #14 AWG, PVC jacket</t>
        </is>
      </c>
      <c r="K2056" s="12" t="inlineStr">
        <is>
          <t>CT|7/C|14</t>
        </is>
      </c>
      <c r="L2056" s="12" t="inlineStr">
        <is>
          <t>7/C</t>
        </is>
      </c>
      <c r="M2056" s="12" t="inlineStr">
        <is>
          <t>14</t>
        </is>
      </c>
      <c r="N2056" s="12" t="n">
        <v>1</v>
      </c>
      <c r="O2056" s="12" t="n">
        <v>1</v>
      </c>
      <c r="P2056" s="12" t="n"/>
      <c r="Q2056" s="12" t="n"/>
      <c r="R2056" s="12" t="n"/>
      <c r="S2056" s="12" t="inlineStr">
        <is>
          <t>Tray</t>
        </is>
      </c>
      <c r="T2056" s="16" t="n">
        <v>0</v>
      </c>
      <c r="U2056" s="16" t="n">
        <v>91</v>
      </c>
      <c r="V2056" s="16">
        <f>ROUNDUP((T2056+U2056+2*'Read Me'!$B$13)*(1+'Read Me'!$B$12),-1)</f>
        <v/>
      </c>
      <c r="W2056" s="16">
        <f>V2056*N2056*O2056</f>
        <v/>
      </c>
      <c r="X2056" s="12">
        <f>IF(LEFT(I2056,2)="MV",2*N2056*IF(L2056="1/C",O2056,1),0)</f>
        <v/>
      </c>
      <c r="Y2056" s="12">
        <f>IF(OR(LEFT(K2056,4)="LVAX",LEFT(K2056,6)="MV15AX",LEFT(K2056,4)="CTAX",LEFT(K2056,2)="W|"),2*N2056*O2056,0)</f>
        <v/>
      </c>
      <c r="Z2056" s="12" t="inlineStr"/>
      <c r="AA2056" s="12">
        <f>N2056*O2056</f>
        <v/>
      </c>
    </row>
    <row r="2057">
      <c r="A2057" s="12" t="inlineStr">
        <is>
          <t>B-C-0130</t>
        </is>
      </c>
      <c r="B2057" s="12" t="inlineStr">
        <is>
          <t>B</t>
        </is>
      </c>
      <c r="C2057" s="12" t="inlineStr">
        <is>
          <t>ACC</t>
        </is>
      </c>
      <c r="D2057" s="12" t="inlineStr">
        <is>
          <t>Control</t>
        </is>
      </c>
      <c r="E2057" s="12" t="inlineStr">
        <is>
          <t>R4</t>
        </is>
      </c>
      <c r="F2057" s="12" t="inlineStr">
        <is>
          <t>R4: ACC electrical (VFD) e-house (60 x 120 ft)</t>
        </is>
      </c>
      <c r="G2057" s="12" t="inlineStr">
        <is>
          <t>VFD-L2</t>
        </is>
      </c>
      <c r="H2057" s="12" t="inlineStr">
        <is>
          <t>R4 VFD lineup 2 (23 drives, fed from T-R4-2)</t>
        </is>
      </c>
      <c r="I2057" s="12" t="inlineStr">
        <is>
          <t>Control</t>
        </is>
      </c>
      <c r="J2057" s="12" t="inlineStr">
        <is>
          <t>Control cable 600 V Type TC-ER, Cu #14 AWG, PVC jacket</t>
        </is>
      </c>
      <c r="K2057" s="12" t="inlineStr">
        <is>
          <t>CT|12/C|14</t>
        </is>
      </c>
      <c r="L2057" s="12" t="inlineStr">
        <is>
          <t>12/C</t>
        </is>
      </c>
      <c r="M2057" s="12" t="inlineStr">
        <is>
          <t>14</t>
        </is>
      </c>
      <c r="N2057" s="12" t="n">
        <v>1</v>
      </c>
      <c r="O2057" s="12" t="n">
        <v>1</v>
      </c>
      <c r="P2057" s="12" t="n"/>
      <c r="Q2057" s="12" t="n"/>
      <c r="R2057" s="12" t="n"/>
      <c r="S2057" s="12" t="inlineStr">
        <is>
          <t>Tray</t>
        </is>
      </c>
      <c r="T2057" s="16" t="n">
        <v>0</v>
      </c>
      <c r="U2057" s="16" t="n">
        <v>91</v>
      </c>
      <c r="V2057" s="16">
        <f>ROUNDUP((T2057+U2057+2*'Read Me'!$B$13)*(1+'Read Me'!$B$12),-1)</f>
        <v/>
      </c>
      <c r="W2057" s="16">
        <f>V2057*N2057*O2057</f>
        <v/>
      </c>
      <c r="X2057" s="12">
        <f>IF(LEFT(I2057,2)="MV",2*N2057*IF(L2057="1/C",O2057,1),0)</f>
        <v/>
      </c>
      <c r="Y2057" s="12">
        <f>IF(OR(LEFT(K2057,4)="LVAX",LEFT(K2057,6)="MV15AX",LEFT(K2057,4)="CTAX",LEFT(K2057,2)="W|"),2*N2057*O2057,0)</f>
        <v/>
      </c>
      <c r="Z2057" s="12" t="inlineStr"/>
      <c r="AA2057" s="12">
        <f>N2057*O2057</f>
        <v/>
      </c>
    </row>
    <row r="2058">
      <c r="A2058" s="12" t="inlineStr">
        <is>
          <t>B-C-0131</t>
        </is>
      </c>
      <c r="B2058" s="12" t="inlineStr">
        <is>
          <t>B</t>
        </is>
      </c>
      <c r="C2058" s="12" t="inlineStr">
        <is>
          <t>ACC</t>
        </is>
      </c>
      <c r="D2058" s="12" t="inlineStr">
        <is>
          <t>CT / VT</t>
        </is>
      </c>
      <c r="E2058" s="12" t="inlineStr">
        <is>
          <t>R4</t>
        </is>
      </c>
      <c r="F2058" s="12" t="inlineStr">
        <is>
          <t>R4: ACC electrical (VFD) e-house (60 x 120 ft)</t>
        </is>
      </c>
      <c r="G2058" s="12" t="inlineStr">
        <is>
          <t>VFD-L2</t>
        </is>
      </c>
      <c r="H2058" s="12" t="inlineStr">
        <is>
          <t>R4 VFD lineup 2 (23 drives, fed from T-R4-2)</t>
        </is>
      </c>
      <c r="I2058" s="12" t="inlineStr">
        <is>
          <t>Control</t>
        </is>
      </c>
      <c r="J2058" s="12" t="inlineStr">
        <is>
          <t>Control cable 600 V Type TC-ER, Cu #10 AWG (CT / VT circuits)</t>
        </is>
      </c>
      <c r="K2058" s="12" t="inlineStr">
        <is>
          <t>CTCT|4/C|10</t>
        </is>
      </c>
      <c r="L2058" s="12" t="inlineStr">
        <is>
          <t>4/C</t>
        </is>
      </c>
      <c r="M2058" s="12" t="inlineStr">
        <is>
          <t>10</t>
        </is>
      </c>
      <c r="N2058" s="12" t="n">
        <v>1</v>
      </c>
      <c r="O2058" s="12" t="n">
        <v>1</v>
      </c>
      <c r="P2058" s="12" t="n"/>
      <c r="Q2058" s="12" t="n"/>
      <c r="R2058" s="12" t="n"/>
      <c r="S2058" s="12" t="inlineStr">
        <is>
          <t>Tray</t>
        </is>
      </c>
      <c r="T2058" s="16" t="n">
        <v>0</v>
      </c>
      <c r="U2058" s="16" t="n">
        <v>91</v>
      </c>
      <c r="V2058" s="16">
        <f>ROUNDUP((T2058+U2058+2*'Read Me'!$B$13)*(1+'Read Me'!$B$12),-1)</f>
        <v/>
      </c>
      <c r="W2058" s="16">
        <f>V2058*N2058*O2058</f>
        <v/>
      </c>
      <c r="X2058" s="12">
        <f>IF(LEFT(I2058,2)="MV",2*N2058*IF(L2058="1/C",O2058,1),0)</f>
        <v/>
      </c>
      <c r="Y2058" s="12">
        <f>IF(OR(LEFT(K2058,4)="LVAX",LEFT(K2058,6)="MV15AX",LEFT(K2058,4)="CTAX",LEFT(K2058,2)="W|"),2*N2058*O2058,0)</f>
        <v/>
      </c>
      <c r="Z2058" s="12" t="inlineStr"/>
      <c r="AA2058" s="12">
        <f>N2058*O2058</f>
        <v/>
      </c>
    </row>
    <row r="2059">
      <c r="A2059" s="12" t="inlineStr">
        <is>
          <t>B-C-0132</t>
        </is>
      </c>
      <c r="B2059" s="12" t="inlineStr">
        <is>
          <t>B</t>
        </is>
      </c>
      <c r="C2059" s="12" t="inlineStr">
        <is>
          <t>ACC</t>
        </is>
      </c>
      <c r="D2059" s="12" t="inlineStr">
        <is>
          <t>CT / VT</t>
        </is>
      </c>
      <c r="E2059" s="12" t="inlineStr">
        <is>
          <t>R4</t>
        </is>
      </c>
      <c r="F2059" s="12" t="inlineStr">
        <is>
          <t>R4: ACC electrical (VFD) e-house (60 x 120 ft)</t>
        </is>
      </c>
      <c r="G2059" s="12" t="inlineStr">
        <is>
          <t>VFD-L2</t>
        </is>
      </c>
      <c r="H2059" s="12" t="inlineStr">
        <is>
          <t>R4 VFD lineup 2 (23 drives, fed from T-R4-2)</t>
        </is>
      </c>
      <c r="I2059" s="12" t="inlineStr">
        <is>
          <t>Control</t>
        </is>
      </c>
      <c r="J2059" s="12" t="inlineStr">
        <is>
          <t>Control cable 600 V Type TC-ER, Cu #10 AWG (CT / VT circuits)</t>
        </is>
      </c>
      <c r="K2059" s="12" t="inlineStr">
        <is>
          <t>CTCT|4/C|10</t>
        </is>
      </c>
      <c r="L2059" s="12" t="inlineStr">
        <is>
          <t>4/C</t>
        </is>
      </c>
      <c r="M2059" s="12" t="inlineStr">
        <is>
          <t>10</t>
        </is>
      </c>
      <c r="N2059" s="12" t="n">
        <v>1</v>
      </c>
      <c r="O2059" s="12" t="n">
        <v>1</v>
      </c>
      <c r="P2059" s="12" t="n"/>
      <c r="Q2059" s="12" t="n"/>
      <c r="R2059" s="12" t="n"/>
      <c r="S2059" s="12" t="inlineStr">
        <is>
          <t>Tray</t>
        </is>
      </c>
      <c r="T2059" s="16" t="n">
        <v>0</v>
      </c>
      <c r="U2059" s="16" t="n">
        <v>91</v>
      </c>
      <c r="V2059" s="16">
        <f>ROUNDUP((T2059+U2059+2*'Read Me'!$B$13)*(1+'Read Me'!$B$12),-1)</f>
        <v/>
      </c>
      <c r="W2059" s="16">
        <f>V2059*N2059*O2059</f>
        <v/>
      </c>
      <c r="X2059" s="12">
        <f>IF(LEFT(I2059,2)="MV",2*N2059*IF(L2059="1/C",O2059,1),0)</f>
        <v/>
      </c>
      <c r="Y2059" s="12">
        <f>IF(OR(LEFT(K2059,4)="LVAX",LEFT(K2059,6)="MV15AX",LEFT(K2059,4)="CTAX",LEFT(K2059,2)="W|"),2*N2059*O2059,0)</f>
        <v/>
      </c>
      <c r="Z2059" s="12" t="inlineStr"/>
      <c r="AA2059" s="12">
        <f>N2059*O2059</f>
        <v/>
      </c>
    </row>
    <row r="2060">
      <c r="A2060" s="12" t="inlineStr">
        <is>
          <t>B-C-0133</t>
        </is>
      </c>
      <c r="B2060" s="12" t="inlineStr">
        <is>
          <t>B</t>
        </is>
      </c>
      <c r="C2060" s="12" t="inlineStr">
        <is>
          <t>ACC</t>
        </is>
      </c>
      <c r="D2060" s="12" t="inlineStr">
        <is>
          <t>Control</t>
        </is>
      </c>
      <c r="E2060" s="12" t="inlineStr">
        <is>
          <t>R4</t>
        </is>
      </c>
      <c r="F2060" s="12" t="inlineStr">
        <is>
          <t>R4: ACC electrical (VFD) e-house (60 x 120 ft)</t>
        </is>
      </c>
      <c r="G2060" s="12" t="inlineStr">
        <is>
          <t>VFD-L3</t>
        </is>
      </c>
      <c r="H2060" s="12" t="inlineStr">
        <is>
          <t>R4 VFD lineup 3 (23 drives, fed from T-R4-3)</t>
        </is>
      </c>
      <c r="I2060" s="12" t="inlineStr">
        <is>
          <t>Control</t>
        </is>
      </c>
      <c r="J2060" s="12" t="inlineStr">
        <is>
          <t>Control cable 600 V Type TC-ER, Cu #14 AWG, PVC jacket</t>
        </is>
      </c>
      <c r="K2060" s="12" t="inlineStr">
        <is>
          <t>CT|7/C|14</t>
        </is>
      </c>
      <c r="L2060" s="12" t="inlineStr">
        <is>
          <t>7/C</t>
        </is>
      </c>
      <c r="M2060" s="12" t="inlineStr">
        <is>
          <t>14</t>
        </is>
      </c>
      <c r="N2060" s="12" t="n">
        <v>1</v>
      </c>
      <c r="O2060" s="12" t="n">
        <v>1</v>
      </c>
      <c r="P2060" s="12" t="n"/>
      <c r="Q2060" s="12" t="n"/>
      <c r="R2060" s="12" t="n"/>
      <c r="S2060" s="12" t="inlineStr">
        <is>
          <t>Tray</t>
        </is>
      </c>
      <c r="T2060" s="16" t="n">
        <v>0</v>
      </c>
      <c r="U2060" s="16" t="n">
        <v>73</v>
      </c>
      <c r="V2060" s="16">
        <f>ROUNDUP((T2060+U2060+2*'Read Me'!$B$13)*(1+'Read Me'!$B$12),-1)</f>
        <v/>
      </c>
      <c r="W2060" s="16">
        <f>V2060*N2060*O2060</f>
        <v/>
      </c>
      <c r="X2060" s="12">
        <f>IF(LEFT(I2060,2)="MV",2*N2060*IF(L2060="1/C",O2060,1),0)</f>
        <v/>
      </c>
      <c r="Y2060" s="12">
        <f>IF(OR(LEFT(K2060,4)="LVAX",LEFT(K2060,6)="MV15AX",LEFT(K2060,4)="CTAX",LEFT(K2060,2)="W|"),2*N2060*O2060,0)</f>
        <v/>
      </c>
      <c r="Z2060" s="12" t="inlineStr"/>
      <c r="AA2060" s="12">
        <f>N2060*O2060</f>
        <v/>
      </c>
    </row>
    <row r="2061">
      <c r="A2061" s="12" t="inlineStr">
        <is>
          <t>B-C-0134</t>
        </is>
      </c>
      <c r="B2061" s="12" t="inlineStr">
        <is>
          <t>B</t>
        </is>
      </c>
      <c r="C2061" s="12" t="inlineStr">
        <is>
          <t>ACC</t>
        </is>
      </c>
      <c r="D2061" s="12" t="inlineStr">
        <is>
          <t>Control</t>
        </is>
      </c>
      <c r="E2061" s="12" t="inlineStr">
        <is>
          <t>R4</t>
        </is>
      </c>
      <c r="F2061" s="12" t="inlineStr">
        <is>
          <t>R4: ACC electrical (VFD) e-house (60 x 120 ft)</t>
        </is>
      </c>
      <c r="G2061" s="12" t="inlineStr">
        <is>
          <t>VFD-L3</t>
        </is>
      </c>
      <c r="H2061" s="12" t="inlineStr">
        <is>
          <t>R4 VFD lineup 3 (23 drives, fed from T-R4-3)</t>
        </is>
      </c>
      <c r="I2061" s="12" t="inlineStr">
        <is>
          <t>Control</t>
        </is>
      </c>
      <c r="J2061" s="12" t="inlineStr">
        <is>
          <t>Control cable 600 V Type TC-ER, Cu #14 AWG, PVC jacket</t>
        </is>
      </c>
      <c r="K2061" s="12" t="inlineStr">
        <is>
          <t>CT|12/C|14</t>
        </is>
      </c>
      <c r="L2061" s="12" t="inlineStr">
        <is>
          <t>12/C</t>
        </is>
      </c>
      <c r="M2061" s="12" t="inlineStr">
        <is>
          <t>14</t>
        </is>
      </c>
      <c r="N2061" s="12" t="n">
        <v>1</v>
      </c>
      <c r="O2061" s="12" t="n">
        <v>1</v>
      </c>
      <c r="P2061" s="12" t="n"/>
      <c r="Q2061" s="12" t="n"/>
      <c r="R2061" s="12" t="n"/>
      <c r="S2061" s="12" t="inlineStr">
        <is>
          <t>Tray</t>
        </is>
      </c>
      <c r="T2061" s="16" t="n">
        <v>0</v>
      </c>
      <c r="U2061" s="16" t="n">
        <v>73</v>
      </c>
      <c r="V2061" s="16">
        <f>ROUNDUP((T2061+U2061+2*'Read Me'!$B$13)*(1+'Read Me'!$B$12),-1)</f>
        <v/>
      </c>
      <c r="W2061" s="16">
        <f>V2061*N2061*O2061</f>
        <v/>
      </c>
      <c r="X2061" s="12">
        <f>IF(LEFT(I2061,2)="MV",2*N2061*IF(L2061="1/C",O2061,1),0)</f>
        <v/>
      </c>
      <c r="Y2061" s="12">
        <f>IF(OR(LEFT(K2061,4)="LVAX",LEFT(K2061,6)="MV15AX",LEFT(K2061,4)="CTAX",LEFT(K2061,2)="W|"),2*N2061*O2061,0)</f>
        <v/>
      </c>
      <c r="Z2061" s="12" t="inlineStr"/>
      <c r="AA2061" s="12">
        <f>N2061*O2061</f>
        <v/>
      </c>
    </row>
    <row r="2062">
      <c r="A2062" s="12" t="inlineStr">
        <is>
          <t>B-C-0135</t>
        </is>
      </c>
      <c r="B2062" s="12" t="inlineStr">
        <is>
          <t>B</t>
        </is>
      </c>
      <c r="C2062" s="12" t="inlineStr">
        <is>
          <t>ACC</t>
        </is>
      </c>
      <c r="D2062" s="12" t="inlineStr">
        <is>
          <t>CT / VT</t>
        </is>
      </c>
      <c r="E2062" s="12" t="inlineStr">
        <is>
          <t>R4</t>
        </is>
      </c>
      <c r="F2062" s="12" t="inlineStr">
        <is>
          <t>R4: ACC electrical (VFD) e-house (60 x 120 ft)</t>
        </is>
      </c>
      <c r="G2062" s="12" t="inlineStr">
        <is>
          <t>VFD-L3</t>
        </is>
      </c>
      <c r="H2062" s="12" t="inlineStr">
        <is>
          <t>R4 VFD lineup 3 (23 drives, fed from T-R4-3)</t>
        </is>
      </c>
      <c r="I2062" s="12" t="inlineStr">
        <is>
          <t>Control</t>
        </is>
      </c>
      <c r="J2062" s="12" t="inlineStr">
        <is>
          <t>Control cable 600 V Type TC-ER, Cu #10 AWG (CT / VT circuits)</t>
        </is>
      </c>
      <c r="K2062" s="12" t="inlineStr">
        <is>
          <t>CTCT|4/C|10</t>
        </is>
      </c>
      <c r="L2062" s="12" t="inlineStr">
        <is>
          <t>4/C</t>
        </is>
      </c>
      <c r="M2062" s="12" t="inlineStr">
        <is>
          <t>10</t>
        </is>
      </c>
      <c r="N2062" s="12" t="n">
        <v>1</v>
      </c>
      <c r="O2062" s="12" t="n">
        <v>1</v>
      </c>
      <c r="P2062" s="12" t="n"/>
      <c r="Q2062" s="12" t="n"/>
      <c r="R2062" s="12" t="n"/>
      <c r="S2062" s="12" t="inlineStr">
        <is>
          <t>Tray</t>
        </is>
      </c>
      <c r="T2062" s="16" t="n">
        <v>0</v>
      </c>
      <c r="U2062" s="16" t="n">
        <v>73</v>
      </c>
      <c r="V2062" s="16">
        <f>ROUNDUP((T2062+U2062+2*'Read Me'!$B$13)*(1+'Read Me'!$B$12),-1)</f>
        <v/>
      </c>
      <c r="W2062" s="16">
        <f>V2062*N2062*O2062</f>
        <v/>
      </c>
      <c r="X2062" s="12">
        <f>IF(LEFT(I2062,2)="MV",2*N2062*IF(L2062="1/C",O2062,1),0)</f>
        <v/>
      </c>
      <c r="Y2062" s="12">
        <f>IF(OR(LEFT(K2062,4)="LVAX",LEFT(K2062,6)="MV15AX",LEFT(K2062,4)="CTAX",LEFT(K2062,2)="W|"),2*N2062*O2062,0)</f>
        <v/>
      </c>
      <c r="Z2062" s="12" t="inlineStr"/>
      <c r="AA2062" s="12">
        <f>N2062*O2062</f>
        <v/>
      </c>
    </row>
    <row r="2063">
      <c r="A2063" s="12" t="inlineStr">
        <is>
          <t>B-C-0136</t>
        </is>
      </c>
      <c r="B2063" s="12" t="inlineStr">
        <is>
          <t>B</t>
        </is>
      </c>
      <c r="C2063" s="12" t="inlineStr">
        <is>
          <t>ACC</t>
        </is>
      </c>
      <c r="D2063" s="12" t="inlineStr">
        <is>
          <t>CT / VT</t>
        </is>
      </c>
      <c r="E2063" s="12" t="inlineStr">
        <is>
          <t>R4</t>
        </is>
      </c>
      <c r="F2063" s="12" t="inlineStr">
        <is>
          <t>R4: ACC electrical (VFD) e-house (60 x 120 ft)</t>
        </is>
      </c>
      <c r="G2063" s="12" t="inlineStr">
        <is>
          <t>VFD-L3</t>
        </is>
      </c>
      <c r="H2063" s="12" t="inlineStr">
        <is>
          <t>R4 VFD lineup 3 (23 drives, fed from T-R4-3)</t>
        </is>
      </c>
      <c r="I2063" s="12" t="inlineStr">
        <is>
          <t>Control</t>
        </is>
      </c>
      <c r="J2063" s="12" t="inlineStr">
        <is>
          <t>Control cable 600 V Type TC-ER, Cu #10 AWG (CT / VT circuits)</t>
        </is>
      </c>
      <c r="K2063" s="12" t="inlineStr">
        <is>
          <t>CTCT|4/C|10</t>
        </is>
      </c>
      <c r="L2063" s="12" t="inlineStr">
        <is>
          <t>4/C</t>
        </is>
      </c>
      <c r="M2063" s="12" t="inlineStr">
        <is>
          <t>10</t>
        </is>
      </c>
      <c r="N2063" s="12" t="n">
        <v>1</v>
      </c>
      <c r="O2063" s="12" t="n">
        <v>1</v>
      </c>
      <c r="P2063" s="12" t="n"/>
      <c r="Q2063" s="12" t="n"/>
      <c r="R2063" s="12" t="n"/>
      <c r="S2063" s="12" t="inlineStr">
        <is>
          <t>Tray</t>
        </is>
      </c>
      <c r="T2063" s="16" t="n">
        <v>0</v>
      </c>
      <c r="U2063" s="16" t="n">
        <v>73</v>
      </c>
      <c r="V2063" s="16">
        <f>ROUNDUP((T2063+U2063+2*'Read Me'!$B$13)*(1+'Read Me'!$B$12),-1)</f>
        <v/>
      </c>
      <c r="W2063" s="16">
        <f>V2063*N2063*O2063</f>
        <v/>
      </c>
      <c r="X2063" s="12">
        <f>IF(LEFT(I2063,2)="MV",2*N2063*IF(L2063="1/C",O2063,1),0)</f>
        <v/>
      </c>
      <c r="Y2063" s="12">
        <f>IF(OR(LEFT(K2063,4)="LVAX",LEFT(K2063,6)="MV15AX",LEFT(K2063,4)="CTAX",LEFT(K2063,2)="W|"),2*N2063*O2063,0)</f>
        <v/>
      </c>
      <c r="Z2063" s="12" t="inlineStr"/>
      <c r="AA2063" s="12">
        <f>N2063*O2063</f>
        <v/>
      </c>
    </row>
    <row r="2064">
      <c r="A2064" s="12" t="inlineStr">
        <is>
          <t>B-C-0137</t>
        </is>
      </c>
      <c r="B2064" s="12" t="inlineStr">
        <is>
          <t>B</t>
        </is>
      </c>
      <c r="C2064" s="12" t="inlineStr">
        <is>
          <t>ACC</t>
        </is>
      </c>
      <c r="D2064" s="12" t="inlineStr">
        <is>
          <t>Control</t>
        </is>
      </c>
      <c r="E2064" s="12" t="inlineStr">
        <is>
          <t>R4</t>
        </is>
      </c>
      <c r="F2064" s="12" t="inlineStr">
        <is>
          <t>R4: ACC electrical (VFD) e-house (60 x 120 ft)</t>
        </is>
      </c>
      <c r="G2064" s="12" t="inlineStr">
        <is>
          <t>VFD-L4</t>
        </is>
      </c>
      <c r="H2064" s="12" t="inlineStr">
        <is>
          <t>R4 VFD lineup 4 (23 drives, fed from T-R4-4)</t>
        </is>
      </c>
      <c r="I2064" s="12" t="inlineStr">
        <is>
          <t>Control</t>
        </is>
      </c>
      <c r="J2064" s="12" t="inlineStr">
        <is>
          <t>Control cable 600 V Type TC-ER, Cu #14 AWG, PVC jacket</t>
        </is>
      </c>
      <c r="K2064" s="12" t="inlineStr">
        <is>
          <t>CT|7/C|14</t>
        </is>
      </c>
      <c r="L2064" s="12" t="inlineStr">
        <is>
          <t>7/C</t>
        </is>
      </c>
      <c r="M2064" s="12" t="inlineStr">
        <is>
          <t>14</t>
        </is>
      </c>
      <c r="N2064" s="12" t="n">
        <v>1</v>
      </c>
      <c r="O2064" s="12" t="n">
        <v>1</v>
      </c>
      <c r="P2064" s="12" t="n"/>
      <c r="Q2064" s="12" t="n"/>
      <c r="R2064" s="12" t="n"/>
      <c r="S2064" s="12" t="inlineStr">
        <is>
          <t>Tray</t>
        </is>
      </c>
      <c r="T2064" s="16" t="n">
        <v>0</v>
      </c>
      <c r="U2064" s="16" t="n">
        <v>61</v>
      </c>
      <c r="V2064" s="16">
        <f>ROUNDUP((T2064+U2064+2*'Read Me'!$B$13)*(1+'Read Me'!$B$12),-1)</f>
        <v/>
      </c>
      <c r="W2064" s="16">
        <f>V2064*N2064*O2064</f>
        <v/>
      </c>
      <c r="X2064" s="12">
        <f>IF(LEFT(I2064,2)="MV",2*N2064*IF(L2064="1/C",O2064,1),0)</f>
        <v/>
      </c>
      <c r="Y2064" s="12">
        <f>IF(OR(LEFT(K2064,4)="LVAX",LEFT(K2064,6)="MV15AX",LEFT(K2064,4)="CTAX",LEFT(K2064,2)="W|"),2*N2064*O2064,0)</f>
        <v/>
      </c>
      <c r="Z2064" s="12" t="inlineStr"/>
      <c r="AA2064" s="12">
        <f>N2064*O2064</f>
        <v/>
      </c>
    </row>
    <row r="2065">
      <c r="A2065" s="12" t="inlineStr">
        <is>
          <t>B-C-0138</t>
        </is>
      </c>
      <c r="B2065" s="12" t="inlineStr">
        <is>
          <t>B</t>
        </is>
      </c>
      <c r="C2065" s="12" t="inlineStr">
        <is>
          <t>ACC</t>
        </is>
      </c>
      <c r="D2065" s="12" t="inlineStr">
        <is>
          <t>Control</t>
        </is>
      </c>
      <c r="E2065" s="12" t="inlineStr">
        <is>
          <t>R4</t>
        </is>
      </c>
      <c r="F2065" s="12" t="inlineStr">
        <is>
          <t>R4: ACC electrical (VFD) e-house (60 x 120 ft)</t>
        </is>
      </c>
      <c r="G2065" s="12" t="inlineStr">
        <is>
          <t>VFD-L4</t>
        </is>
      </c>
      <c r="H2065" s="12" t="inlineStr">
        <is>
          <t>R4 VFD lineup 4 (23 drives, fed from T-R4-4)</t>
        </is>
      </c>
      <c r="I2065" s="12" t="inlineStr">
        <is>
          <t>Control</t>
        </is>
      </c>
      <c r="J2065" s="12" t="inlineStr">
        <is>
          <t>Control cable 600 V Type TC-ER, Cu #14 AWG, PVC jacket</t>
        </is>
      </c>
      <c r="K2065" s="12" t="inlineStr">
        <is>
          <t>CT|12/C|14</t>
        </is>
      </c>
      <c r="L2065" s="12" t="inlineStr">
        <is>
          <t>12/C</t>
        </is>
      </c>
      <c r="M2065" s="12" t="inlineStr">
        <is>
          <t>14</t>
        </is>
      </c>
      <c r="N2065" s="12" t="n">
        <v>1</v>
      </c>
      <c r="O2065" s="12" t="n">
        <v>1</v>
      </c>
      <c r="P2065" s="12" t="n"/>
      <c r="Q2065" s="12" t="n"/>
      <c r="R2065" s="12" t="n"/>
      <c r="S2065" s="12" t="inlineStr">
        <is>
          <t>Tray</t>
        </is>
      </c>
      <c r="T2065" s="16" t="n">
        <v>0</v>
      </c>
      <c r="U2065" s="16" t="n">
        <v>61</v>
      </c>
      <c r="V2065" s="16">
        <f>ROUNDUP((T2065+U2065+2*'Read Me'!$B$13)*(1+'Read Me'!$B$12),-1)</f>
        <v/>
      </c>
      <c r="W2065" s="16">
        <f>V2065*N2065*O2065</f>
        <v/>
      </c>
      <c r="X2065" s="12">
        <f>IF(LEFT(I2065,2)="MV",2*N2065*IF(L2065="1/C",O2065,1),0)</f>
        <v/>
      </c>
      <c r="Y2065" s="12">
        <f>IF(OR(LEFT(K2065,4)="LVAX",LEFT(K2065,6)="MV15AX",LEFT(K2065,4)="CTAX",LEFT(K2065,2)="W|"),2*N2065*O2065,0)</f>
        <v/>
      </c>
      <c r="Z2065" s="12" t="inlineStr"/>
      <c r="AA2065" s="12">
        <f>N2065*O2065</f>
        <v/>
      </c>
    </row>
    <row r="2066">
      <c r="A2066" s="12" t="inlineStr">
        <is>
          <t>B-C-0139</t>
        </is>
      </c>
      <c r="B2066" s="12" t="inlineStr">
        <is>
          <t>B</t>
        </is>
      </c>
      <c r="C2066" s="12" t="inlineStr">
        <is>
          <t>ACC</t>
        </is>
      </c>
      <c r="D2066" s="12" t="inlineStr">
        <is>
          <t>CT / VT</t>
        </is>
      </c>
      <c r="E2066" s="12" t="inlineStr">
        <is>
          <t>R4</t>
        </is>
      </c>
      <c r="F2066" s="12" t="inlineStr">
        <is>
          <t>R4: ACC electrical (VFD) e-house (60 x 120 ft)</t>
        </is>
      </c>
      <c r="G2066" s="12" t="inlineStr">
        <is>
          <t>VFD-L4</t>
        </is>
      </c>
      <c r="H2066" s="12" t="inlineStr">
        <is>
          <t>R4 VFD lineup 4 (23 drives, fed from T-R4-4)</t>
        </is>
      </c>
      <c r="I2066" s="12" t="inlineStr">
        <is>
          <t>Control</t>
        </is>
      </c>
      <c r="J2066" s="12" t="inlineStr">
        <is>
          <t>Control cable 600 V Type TC-ER, Cu #10 AWG (CT / VT circuits)</t>
        </is>
      </c>
      <c r="K2066" s="12" t="inlineStr">
        <is>
          <t>CTCT|4/C|10</t>
        </is>
      </c>
      <c r="L2066" s="12" t="inlineStr">
        <is>
          <t>4/C</t>
        </is>
      </c>
      <c r="M2066" s="12" t="inlineStr">
        <is>
          <t>10</t>
        </is>
      </c>
      <c r="N2066" s="12" t="n">
        <v>1</v>
      </c>
      <c r="O2066" s="12" t="n">
        <v>1</v>
      </c>
      <c r="P2066" s="12" t="n"/>
      <c r="Q2066" s="12" t="n"/>
      <c r="R2066" s="12" t="n"/>
      <c r="S2066" s="12" t="inlineStr">
        <is>
          <t>Tray</t>
        </is>
      </c>
      <c r="T2066" s="16" t="n">
        <v>0</v>
      </c>
      <c r="U2066" s="16" t="n">
        <v>61</v>
      </c>
      <c r="V2066" s="16">
        <f>ROUNDUP((T2066+U2066+2*'Read Me'!$B$13)*(1+'Read Me'!$B$12),-1)</f>
        <v/>
      </c>
      <c r="W2066" s="16">
        <f>V2066*N2066*O2066</f>
        <v/>
      </c>
      <c r="X2066" s="12">
        <f>IF(LEFT(I2066,2)="MV",2*N2066*IF(L2066="1/C",O2066,1),0)</f>
        <v/>
      </c>
      <c r="Y2066" s="12">
        <f>IF(OR(LEFT(K2066,4)="LVAX",LEFT(K2066,6)="MV15AX",LEFT(K2066,4)="CTAX",LEFT(K2066,2)="W|"),2*N2066*O2066,0)</f>
        <v/>
      </c>
      <c r="Z2066" s="12" t="inlineStr"/>
      <c r="AA2066" s="12">
        <f>N2066*O2066</f>
        <v/>
      </c>
    </row>
    <row r="2067">
      <c r="A2067" s="12" t="inlineStr">
        <is>
          <t>B-C-0140</t>
        </is>
      </c>
      <c r="B2067" s="12" t="inlineStr">
        <is>
          <t>B</t>
        </is>
      </c>
      <c r="C2067" s="12" t="inlineStr">
        <is>
          <t>ACC</t>
        </is>
      </c>
      <c r="D2067" s="12" t="inlineStr">
        <is>
          <t>CT / VT</t>
        </is>
      </c>
      <c r="E2067" s="12" t="inlineStr">
        <is>
          <t>R4</t>
        </is>
      </c>
      <c r="F2067" s="12" t="inlineStr">
        <is>
          <t>R4: ACC electrical (VFD) e-house (60 x 120 ft)</t>
        </is>
      </c>
      <c r="G2067" s="12" t="inlineStr">
        <is>
          <t>VFD-L4</t>
        </is>
      </c>
      <c r="H2067" s="12" t="inlineStr">
        <is>
          <t>R4 VFD lineup 4 (23 drives, fed from T-R4-4)</t>
        </is>
      </c>
      <c r="I2067" s="12" t="inlineStr">
        <is>
          <t>Control</t>
        </is>
      </c>
      <c r="J2067" s="12" t="inlineStr">
        <is>
          <t>Control cable 600 V Type TC-ER, Cu #10 AWG (CT / VT circuits)</t>
        </is>
      </c>
      <c r="K2067" s="12" t="inlineStr">
        <is>
          <t>CTCT|4/C|10</t>
        </is>
      </c>
      <c r="L2067" s="12" t="inlineStr">
        <is>
          <t>4/C</t>
        </is>
      </c>
      <c r="M2067" s="12" t="inlineStr">
        <is>
          <t>10</t>
        </is>
      </c>
      <c r="N2067" s="12" t="n">
        <v>1</v>
      </c>
      <c r="O2067" s="12" t="n">
        <v>1</v>
      </c>
      <c r="P2067" s="12" t="n"/>
      <c r="Q2067" s="12" t="n"/>
      <c r="R2067" s="12" t="n"/>
      <c r="S2067" s="12" t="inlineStr">
        <is>
          <t>Tray</t>
        </is>
      </c>
      <c r="T2067" s="16" t="n">
        <v>0</v>
      </c>
      <c r="U2067" s="16" t="n">
        <v>61</v>
      </c>
      <c r="V2067" s="16">
        <f>ROUNDUP((T2067+U2067+2*'Read Me'!$B$13)*(1+'Read Me'!$B$12),-1)</f>
        <v/>
      </c>
      <c r="W2067" s="16">
        <f>V2067*N2067*O2067</f>
        <v/>
      </c>
      <c r="X2067" s="12">
        <f>IF(LEFT(I2067,2)="MV",2*N2067*IF(L2067="1/C",O2067,1),0)</f>
        <v/>
      </c>
      <c r="Y2067" s="12">
        <f>IF(OR(LEFT(K2067,4)="LVAX",LEFT(K2067,6)="MV15AX",LEFT(K2067,4)="CTAX",LEFT(K2067,2)="W|"),2*N2067*O2067,0)</f>
        <v/>
      </c>
      <c r="Z2067" s="12" t="inlineStr"/>
      <c r="AA2067" s="12">
        <f>N2067*O2067</f>
        <v/>
      </c>
    </row>
    <row r="2068">
      <c r="A2068" s="12" t="inlineStr">
        <is>
          <t>B-C-0141</t>
        </is>
      </c>
      <c r="B2068" s="12" t="inlineStr">
        <is>
          <t>B</t>
        </is>
      </c>
      <c r="C2068" s="12" t="inlineStr">
        <is>
          <t>ACC</t>
        </is>
      </c>
      <c r="D2068" s="12" t="inlineStr">
        <is>
          <t>Control</t>
        </is>
      </c>
      <c r="E2068" s="12" t="inlineStr">
        <is>
          <t>R4</t>
        </is>
      </c>
      <c r="F2068" s="12" t="inlineStr">
        <is>
          <t>R4: ACC electrical (VFD) e-house (60 x 120 ft)</t>
        </is>
      </c>
      <c r="G2068" s="12" t="inlineStr">
        <is>
          <t>R4</t>
        </is>
      </c>
      <c r="H2068" s="12" t="inlineStr">
        <is>
          <t>R4: ACC electrical (VFD) e-house (60 x 120 ft)</t>
        </is>
      </c>
      <c r="I2068" s="12" t="inlineStr">
        <is>
          <t>Control</t>
        </is>
      </c>
      <c r="J2068" s="12" t="inlineStr">
        <is>
          <t>Control cable 600 V Type TC-ER, Cu #14 AWG, PVC jacket</t>
        </is>
      </c>
      <c r="K2068" s="12" t="inlineStr">
        <is>
          <t>CT|7/C|14</t>
        </is>
      </c>
      <c r="L2068" s="12" t="inlineStr">
        <is>
          <t>7/C</t>
        </is>
      </c>
      <c r="M2068" s="12" t="inlineStr">
        <is>
          <t>14</t>
        </is>
      </c>
      <c r="N2068" s="12" t="n">
        <v>1</v>
      </c>
      <c r="O2068" s="12" t="n">
        <v>1</v>
      </c>
      <c r="P2068" s="12" t="n"/>
      <c r="Q2068" s="12" t="n"/>
      <c r="R2068" s="12" t="n"/>
      <c r="S2068" s="12" t="inlineStr">
        <is>
          <t>Tray</t>
        </is>
      </c>
      <c r="T2068" s="16" t="n">
        <v>0</v>
      </c>
      <c r="U2068" s="16" t="n">
        <v>46</v>
      </c>
      <c r="V2068" s="16">
        <f>ROUNDUP((T2068+U2068+2*'Read Me'!$B$13)*(1+'Read Me'!$B$12),-1)</f>
        <v/>
      </c>
      <c r="W2068" s="16">
        <f>V2068*N2068*O2068</f>
        <v/>
      </c>
      <c r="X2068" s="12">
        <f>IF(LEFT(I2068,2)="MV",2*N2068*IF(L2068="1/C",O2068,1),0)</f>
        <v/>
      </c>
      <c r="Y2068" s="12">
        <f>IF(OR(LEFT(K2068,4)="LVAX",LEFT(K2068,6)="MV15AX",LEFT(K2068,4)="CTAX",LEFT(K2068,2)="W|"),2*N2068*O2068,0)</f>
        <v/>
      </c>
      <c r="Z2068" s="12" t="inlineStr"/>
      <c r="AA2068" s="12">
        <f>N2068*O2068</f>
        <v/>
      </c>
    </row>
    <row r="2069">
      <c r="A2069" s="12" t="inlineStr">
        <is>
          <t>B-C-0142</t>
        </is>
      </c>
      <c r="B2069" s="12" t="inlineStr">
        <is>
          <t>B</t>
        </is>
      </c>
      <c r="C2069" s="12" t="inlineStr">
        <is>
          <t>ACC</t>
        </is>
      </c>
      <c r="D2069" s="12" t="inlineStr">
        <is>
          <t>Control</t>
        </is>
      </c>
      <c r="E2069" s="12" t="inlineStr">
        <is>
          <t>R4</t>
        </is>
      </c>
      <c r="F2069" s="12" t="inlineStr">
        <is>
          <t>R4: ACC electrical (VFD) e-house (60 x 120 ft)</t>
        </is>
      </c>
      <c r="G2069" s="12" t="inlineStr">
        <is>
          <t>R4</t>
        </is>
      </c>
      <c r="H2069" s="12" t="inlineStr">
        <is>
          <t>R4: ACC electrical (VFD) e-house (60 x 120 ft)</t>
        </is>
      </c>
      <c r="I2069" s="12" t="inlineStr">
        <is>
          <t>Control</t>
        </is>
      </c>
      <c r="J2069" s="12" t="inlineStr">
        <is>
          <t>Control cable 600 V Type TC-ER, Cu #14 AWG, PVC jacket</t>
        </is>
      </c>
      <c r="K2069" s="12" t="inlineStr">
        <is>
          <t>CT|7/C|14</t>
        </is>
      </c>
      <c r="L2069" s="12" t="inlineStr">
        <is>
          <t>7/C</t>
        </is>
      </c>
      <c r="M2069" s="12" t="inlineStr">
        <is>
          <t>14</t>
        </is>
      </c>
      <c r="N2069" s="12" t="n">
        <v>1</v>
      </c>
      <c r="O2069" s="12" t="n">
        <v>1</v>
      </c>
      <c r="P2069" s="12" t="n"/>
      <c r="Q2069" s="12" t="n"/>
      <c r="R2069" s="12" t="n"/>
      <c r="S2069" s="12" t="inlineStr">
        <is>
          <t>Tray</t>
        </is>
      </c>
      <c r="T2069" s="16" t="n">
        <v>0</v>
      </c>
      <c r="U2069" s="16" t="n">
        <v>46</v>
      </c>
      <c r="V2069" s="16">
        <f>ROUNDUP((T2069+U2069+2*'Read Me'!$B$13)*(1+'Read Me'!$B$12),-1)</f>
        <v/>
      </c>
      <c r="W2069" s="16">
        <f>V2069*N2069*O2069</f>
        <v/>
      </c>
      <c r="X2069" s="12">
        <f>IF(LEFT(I2069,2)="MV",2*N2069*IF(L2069="1/C",O2069,1),0)</f>
        <v/>
      </c>
      <c r="Y2069" s="12">
        <f>IF(OR(LEFT(K2069,4)="LVAX",LEFT(K2069,6)="MV15AX",LEFT(K2069,4)="CTAX",LEFT(K2069,2)="W|"),2*N2069*O2069,0)</f>
        <v/>
      </c>
      <c r="Z2069" s="12" t="inlineStr"/>
      <c r="AA2069" s="12">
        <f>N2069*O2069</f>
        <v/>
      </c>
    </row>
    <row r="2070">
      <c r="A2070" s="12" t="inlineStr">
        <is>
          <t>B-C-0143</t>
        </is>
      </c>
      <c r="B2070" s="12" t="inlineStr">
        <is>
          <t>B</t>
        </is>
      </c>
      <c r="C2070" s="12" t="inlineStr">
        <is>
          <t>ACC</t>
        </is>
      </c>
      <c r="D2070" s="12" t="inlineStr">
        <is>
          <t>Control</t>
        </is>
      </c>
      <c r="E2070" s="12" t="inlineStr">
        <is>
          <t>R4</t>
        </is>
      </c>
      <c r="F2070" s="12" t="inlineStr">
        <is>
          <t>R4: ACC electrical (VFD) e-house (60 x 120 ft)</t>
        </is>
      </c>
      <c r="G2070" s="12" t="inlineStr">
        <is>
          <t>R4</t>
        </is>
      </c>
      <c r="H2070" s="12" t="inlineStr">
        <is>
          <t>R4: ACC electrical (VFD) e-house (60 x 120 ft)</t>
        </is>
      </c>
      <c r="I2070" s="12" t="inlineStr">
        <is>
          <t>Control</t>
        </is>
      </c>
      <c r="J2070" s="12" t="inlineStr">
        <is>
          <t>Control cable 600 V Type TC-ER, Cu #14 AWG, PVC jacket</t>
        </is>
      </c>
      <c r="K2070" s="12" t="inlineStr">
        <is>
          <t>CT|12/C|14</t>
        </is>
      </c>
      <c r="L2070" s="12" t="inlineStr">
        <is>
          <t>12/C</t>
        </is>
      </c>
      <c r="M2070" s="12" t="inlineStr">
        <is>
          <t>14</t>
        </is>
      </c>
      <c r="N2070" s="12" t="n">
        <v>1</v>
      </c>
      <c r="O2070" s="12" t="n">
        <v>1</v>
      </c>
      <c r="P2070" s="12" t="n"/>
      <c r="Q2070" s="12" t="n"/>
      <c r="R2070" s="12" t="n"/>
      <c r="S2070" s="12" t="inlineStr">
        <is>
          <t>Tray</t>
        </is>
      </c>
      <c r="T2070" s="16" t="n">
        <v>0</v>
      </c>
      <c r="U2070" s="16" t="n">
        <v>46</v>
      </c>
      <c r="V2070" s="16">
        <f>ROUNDUP((T2070+U2070+2*'Read Me'!$B$13)*(1+'Read Me'!$B$12),-1)</f>
        <v/>
      </c>
      <c r="W2070" s="16">
        <f>V2070*N2070*O2070</f>
        <v/>
      </c>
      <c r="X2070" s="12">
        <f>IF(LEFT(I2070,2)="MV",2*N2070*IF(L2070="1/C",O2070,1),0)</f>
        <v/>
      </c>
      <c r="Y2070" s="12">
        <f>IF(OR(LEFT(K2070,4)="LVAX",LEFT(K2070,6)="MV15AX",LEFT(K2070,4)="CTAX",LEFT(K2070,2)="W|"),2*N2070*O2070,0)</f>
        <v/>
      </c>
      <c r="Z2070" s="12" t="inlineStr"/>
      <c r="AA2070" s="12">
        <f>N2070*O2070</f>
        <v/>
      </c>
    </row>
    <row r="2071">
      <c r="A2071" s="12" t="inlineStr">
        <is>
          <t>B-C-0144</t>
        </is>
      </c>
      <c r="B2071" s="12" t="inlineStr">
        <is>
          <t>B</t>
        </is>
      </c>
      <c r="C2071" s="12" t="inlineStr">
        <is>
          <t>ACC</t>
        </is>
      </c>
      <c r="D2071" s="12" t="inlineStr">
        <is>
          <t>Control</t>
        </is>
      </c>
      <c r="E2071" s="12" t="inlineStr">
        <is>
          <t>R4</t>
        </is>
      </c>
      <c r="F2071" s="12" t="inlineStr">
        <is>
          <t>R4: ACC electrical (VFD) e-house (60 x 120 ft)</t>
        </is>
      </c>
      <c r="G2071" s="12" t="inlineStr">
        <is>
          <t>R4</t>
        </is>
      </c>
      <c r="H2071" s="12" t="inlineStr">
        <is>
          <t>R4: ACC electrical (VFD) e-house (60 x 120 ft)</t>
        </is>
      </c>
      <c r="I2071" s="12" t="inlineStr">
        <is>
          <t>Control</t>
        </is>
      </c>
      <c r="J2071" s="12" t="inlineStr">
        <is>
          <t>Control cable 600 V Type TC-ER, Cu #14 AWG, PVC jacket</t>
        </is>
      </c>
      <c r="K2071" s="12" t="inlineStr">
        <is>
          <t>CT|12/C|14</t>
        </is>
      </c>
      <c r="L2071" s="12" t="inlineStr">
        <is>
          <t>12/C</t>
        </is>
      </c>
      <c r="M2071" s="12" t="inlineStr">
        <is>
          <t>14</t>
        </is>
      </c>
      <c r="N2071" s="12" t="n">
        <v>1</v>
      </c>
      <c r="O2071" s="12" t="n">
        <v>1</v>
      </c>
      <c r="P2071" s="12" t="n"/>
      <c r="Q2071" s="12" t="n"/>
      <c r="R2071" s="12" t="n"/>
      <c r="S2071" s="12" t="inlineStr">
        <is>
          <t>Tray</t>
        </is>
      </c>
      <c r="T2071" s="16" t="n">
        <v>0</v>
      </c>
      <c r="U2071" s="16" t="n">
        <v>46</v>
      </c>
      <c r="V2071" s="16">
        <f>ROUNDUP((T2071+U2071+2*'Read Me'!$B$13)*(1+'Read Me'!$B$12),-1)</f>
        <v/>
      </c>
      <c r="W2071" s="16">
        <f>V2071*N2071*O2071</f>
        <v/>
      </c>
      <c r="X2071" s="12">
        <f>IF(LEFT(I2071,2)="MV",2*N2071*IF(L2071="1/C",O2071,1),0)</f>
        <v/>
      </c>
      <c r="Y2071" s="12">
        <f>IF(OR(LEFT(K2071,4)="LVAX",LEFT(K2071,6)="MV15AX",LEFT(K2071,4)="CTAX",LEFT(K2071,2)="W|"),2*N2071*O2071,0)</f>
        <v/>
      </c>
      <c r="Z2071" s="12" t="inlineStr"/>
      <c r="AA2071" s="12">
        <f>N2071*O2071</f>
        <v/>
      </c>
    </row>
    <row r="2072">
      <c r="A2072" s="12" t="inlineStr">
        <is>
          <t>B-C-0145</t>
        </is>
      </c>
      <c r="B2072" s="12" t="inlineStr">
        <is>
          <t>B</t>
        </is>
      </c>
      <c r="C2072" s="12" t="inlineStr">
        <is>
          <t>ACC</t>
        </is>
      </c>
      <c r="D2072" s="12" t="inlineStr">
        <is>
          <t>Control</t>
        </is>
      </c>
      <c r="E2072" s="12" t="inlineStr">
        <is>
          <t>R4</t>
        </is>
      </c>
      <c r="F2072" s="12" t="inlineStr">
        <is>
          <t>R4: ACC electrical (VFD) e-house (60 x 120 ft)</t>
        </is>
      </c>
      <c r="G2072" s="12" t="inlineStr">
        <is>
          <t>R4</t>
        </is>
      </c>
      <c r="H2072" s="12" t="inlineStr">
        <is>
          <t>R4: ACC electrical (VFD) e-house (60 x 120 ft)</t>
        </is>
      </c>
      <c r="I2072" s="12" t="inlineStr">
        <is>
          <t>Control</t>
        </is>
      </c>
      <c r="J2072" s="12" t="inlineStr">
        <is>
          <t>Control cable 600 V Type TC-ER, Cu #14 AWG, PVC jacket</t>
        </is>
      </c>
      <c r="K2072" s="12" t="inlineStr">
        <is>
          <t>CT|12/C|14</t>
        </is>
      </c>
      <c r="L2072" s="12" t="inlineStr">
        <is>
          <t>12/C</t>
        </is>
      </c>
      <c r="M2072" s="12" t="inlineStr">
        <is>
          <t>14</t>
        </is>
      </c>
      <c r="N2072" s="12" t="n">
        <v>1</v>
      </c>
      <c r="O2072" s="12" t="n">
        <v>1</v>
      </c>
      <c r="P2072" s="12" t="n"/>
      <c r="Q2072" s="12" t="n"/>
      <c r="R2072" s="12" t="n"/>
      <c r="S2072" s="12" t="inlineStr">
        <is>
          <t>Tray</t>
        </is>
      </c>
      <c r="T2072" s="16" t="n">
        <v>0</v>
      </c>
      <c r="U2072" s="16" t="n">
        <v>46</v>
      </c>
      <c r="V2072" s="16">
        <f>ROUNDUP((T2072+U2072+2*'Read Me'!$B$13)*(1+'Read Me'!$B$12),-1)</f>
        <v/>
      </c>
      <c r="W2072" s="16">
        <f>V2072*N2072*O2072</f>
        <v/>
      </c>
      <c r="X2072" s="12">
        <f>IF(LEFT(I2072,2)="MV",2*N2072*IF(L2072="1/C",O2072,1),0)</f>
        <v/>
      </c>
      <c r="Y2072" s="12">
        <f>IF(OR(LEFT(K2072,4)="LVAX",LEFT(K2072,6)="MV15AX",LEFT(K2072,4)="CTAX",LEFT(K2072,2)="W|"),2*N2072*O2072,0)</f>
        <v/>
      </c>
      <c r="Z2072" s="12" t="inlineStr"/>
      <c r="AA2072" s="12">
        <f>N2072*O2072</f>
        <v/>
      </c>
    </row>
    <row r="2073">
      <c r="A2073" s="12" t="inlineStr">
        <is>
          <t>B-C-0146</t>
        </is>
      </c>
      <c r="B2073" s="12" t="inlineStr">
        <is>
          <t>B</t>
        </is>
      </c>
      <c r="C2073" s="12" t="inlineStr">
        <is>
          <t>ACC</t>
        </is>
      </c>
      <c r="D2073" s="12" t="inlineStr">
        <is>
          <t>Control</t>
        </is>
      </c>
      <c r="E2073" s="12" t="inlineStr">
        <is>
          <t>R4</t>
        </is>
      </c>
      <c r="F2073" s="12" t="inlineStr">
        <is>
          <t>R4: ACC electrical (VFD) e-house (60 x 120 ft)</t>
        </is>
      </c>
      <c r="G2073" s="12" t="inlineStr">
        <is>
          <t>R4</t>
        </is>
      </c>
      <c r="H2073" s="12" t="inlineStr">
        <is>
          <t>R4: ACC electrical (VFD) e-house (60 x 120 ft)</t>
        </is>
      </c>
      <c r="I2073" s="12" t="inlineStr">
        <is>
          <t>Control</t>
        </is>
      </c>
      <c r="J2073" s="12" t="inlineStr">
        <is>
          <t>Control cable 600 V Type TC-ER, Cu #14 AWG, PVC jacket</t>
        </is>
      </c>
      <c r="K2073" s="12" t="inlineStr">
        <is>
          <t>CT|12/C|14</t>
        </is>
      </c>
      <c r="L2073" s="12" t="inlineStr">
        <is>
          <t>12/C</t>
        </is>
      </c>
      <c r="M2073" s="12" t="inlineStr">
        <is>
          <t>14</t>
        </is>
      </c>
      <c r="N2073" s="12" t="n">
        <v>1</v>
      </c>
      <c r="O2073" s="12" t="n">
        <v>1</v>
      </c>
      <c r="P2073" s="12" t="n"/>
      <c r="Q2073" s="12" t="n"/>
      <c r="R2073" s="12" t="n"/>
      <c r="S2073" s="12" t="inlineStr">
        <is>
          <t>Tray</t>
        </is>
      </c>
      <c r="T2073" s="16" t="n">
        <v>0</v>
      </c>
      <c r="U2073" s="16" t="n">
        <v>46</v>
      </c>
      <c r="V2073" s="16">
        <f>ROUNDUP((T2073+U2073+2*'Read Me'!$B$13)*(1+'Read Me'!$B$12),-1)</f>
        <v/>
      </c>
      <c r="W2073" s="16">
        <f>V2073*N2073*O2073</f>
        <v/>
      </c>
      <c r="X2073" s="12">
        <f>IF(LEFT(I2073,2)="MV",2*N2073*IF(L2073="1/C",O2073,1),0)</f>
        <v/>
      </c>
      <c r="Y2073" s="12">
        <f>IF(OR(LEFT(K2073,4)="LVAX",LEFT(K2073,6)="MV15AX",LEFT(K2073,4)="CTAX",LEFT(K2073,2)="W|"),2*N2073*O2073,0)</f>
        <v/>
      </c>
      <c r="Z2073" s="12" t="inlineStr"/>
      <c r="AA2073" s="12">
        <f>N2073*O2073</f>
        <v/>
      </c>
    </row>
    <row r="2074">
      <c r="A2074" s="12" t="inlineStr">
        <is>
          <t>B-C-0147</t>
        </is>
      </c>
      <c r="B2074" s="12" t="inlineStr">
        <is>
          <t>B</t>
        </is>
      </c>
      <c r="C2074" s="12" t="inlineStr">
        <is>
          <t>ACC</t>
        </is>
      </c>
      <c r="D2074" s="12" t="inlineStr">
        <is>
          <t>Control</t>
        </is>
      </c>
      <c r="E2074" s="12" t="inlineStr">
        <is>
          <t>R4</t>
        </is>
      </c>
      <c r="F2074" s="12" t="inlineStr">
        <is>
          <t>R4: ACC electrical (VFD) e-house (60 x 120 ft)</t>
        </is>
      </c>
      <c r="G2074" s="12" t="inlineStr">
        <is>
          <t>R4</t>
        </is>
      </c>
      <c r="H2074" s="12" t="inlineStr">
        <is>
          <t>R4: ACC electrical (VFD) e-house (60 x 120 ft)</t>
        </is>
      </c>
      <c r="I2074" s="12" t="inlineStr">
        <is>
          <t>Control</t>
        </is>
      </c>
      <c r="J2074" s="12" t="inlineStr">
        <is>
          <t>Control cable 600 V Type TC-ER, Cu #14 AWG, PVC jacket</t>
        </is>
      </c>
      <c r="K2074" s="12" t="inlineStr">
        <is>
          <t>CT|12/C|14</t>
        </is>
      </c>
      <c r="L2074" s="12" t="inlineStr">
        <is>
          <t>12/C</t>
        </is>
      </c>
      <c r="M2074" s="12" t="inlineStr">
        <is>
          <t>14</t>
        </is>
      </c>
      <c r="N2074" s="12" t="n">
        <v>1</v>
      </c>
      <c r="O2074" s="12" t="n">
        <v>1</v>
      </c>
      <c r="P2074" s="12" t="n"/>
      <c r="Q2074" s="12" t="n"/>
      <c r="R2074" s="12" t="n"/>
      <c r="S2074" s="12" t="inlineStr">
        <is>
          <t>Tray</t>
        </is>
      </c>
      <c r="T2074" s="16" t="n">
        <v>0</v>
      </c>
      <c r="U2074" s="16" t="n">
        <v>46</v>
      </c>
      <c r="V2074" s="16">
        <f>ROUNDUP((T2074+U2074+2*'Read Me'!$B$13)*(1+'Read Me'!$B$12),-1)</f>
        <v/>
      </c>
      <c r="W2074" s="16">
        <f>V2074*N2074*O2074</f>
        <v/>
      </c>
      <c r="X2074" s="12">
        <f>IF(LEFT(I2074,2)="MV",2*N2074*IF(L2074="1/C",O2074,1),0)</f>
        <v/>
      </c>
      <c r="Y2074" s="12">
        <f>IF(OR(LEFT(K2074,4)="LVAX",LEFT(K2074,6)="MV15AX",LEFT(K2074,4)="CTAX",LEFT(K2074,2)="W|"),2*N2074*O2074,0)</f>
        <v/>
      </c>
      <c r="Z2074" s="12" t="inlineStr"/>
      <c r="AA2074" s="12">
        <f>N2074*O2074</f>
        <v/>
      </c>
    </row>
    <row r="2075">
      <c r="A2075" s="12" t="inlineStr">
        <is>
          <t>B-C-0148</t>
        </is>
      </c>
      <c r="B2075" s="12" t="inlineStr">
        <is>
          <t>B</t>
        </is>
      </c>
      <c r="C2075" s="12" t="inlineStr">
        <is>
          <t>ACC</t>
        </is>
      </c>
      <c r="D2075" s="12" t="inlineStr">
        <is>
          <t>Control</t>
        </is>
      </c>
      <c r="E2075" s="12" t="inlineStr">
        <is>
          <t>R4</t>
        </is>
      </c>
      <c r="F2075" s="12" t="inlineStr">
        <is>
          <t>R4: ACC electrical (VFD) e-house (60 x 120 ft)</t>
        </is>
      </c>
      <c r="G2075" s="12" t="inlineStr">
        <is>
          <t>R4</t>
        </is>
      </c>
      <c r="H2075" s="12" t="inlineStr">
        <is>
          <t>R4: ACC electrical (VFD) e-house (60 x 120 ft)</t>
        </is>
      </c>
      <c r="I2075" s="12" t="inlineStr">
        <is>
          <t>Control</t>
        </is>
      </c>
      <c r="J2075" s="12" t="inlineStr">
        <is>
          <t>Control cable 600 V Type TC-ER, Cu #14 AWG, PVC jacket</t>
        </is>
      </c>
      <c r="K2075" s="12" t="inlineStr">
        <is>
          <t>CT|12/C|14</t>
        </is>
      </c>
      <c r="L2075" s="12" t="inlineStr">
        <is>
          <t>12/C</t>
        </is>
      </c>
      <c r="M2075" s="12" t="inlineStr">
        <is>
          <t>14</t>
        </is>
      </c>
      <c r="N2075" s="12" t="n">
        <v>1</v>
      </c>
      <c r="O2075" s="12" t="n">
        <v>1</v>
      </c>
      <c r="P2075" s="12" t="n"/>
      <c r="Q2075" s="12" t="n"/>
      <c r="R2075" s="12" t="n"/>
      <c r="S2075" s="12" t="inlineStr">
        <is>
          <t>Tray</t>
        </is>
      </c>
      <c r="T2075" s="16" t="n">
        <v>0</v>
      </c>
      <c r="U2075" s="16" t="n">
        <v>46</v>
      </c>
      <c r="V2075" s="16">
        <f>ROUNDUP((T2075+U2075+2*'Read Me'!$B$13)*(1+'Read Me'!$B$12),-1)</f>
        <v/>
      </c>
      <c r="W2075" s="16">
        <f>V2075*N2075*O2075</f>
        <v/>
      </c>
      <c r="X2075" s="12">
        <f>IF(LEFT(I2075,2)="MV",2*N2075*IF(L2075="1/C",O2075,1),0)</f>
        <v/>
      </c>
      <c r="Y2075" s="12">
        <f>IF(OR(LEFT(K2075,4)="LVAX",LEFT(K2075,6)="MV15AX",LEFT(K2075,4)="CTAX",LEFT(K2075,2)="W|"),2*N2075*O2075,0)</f>
        <v/>
      </c>
      <c r="Z2075" s="12" t="inlineStr"/>
      <c r="AA2075" s="12">
        <f>N2075*O2075</f>
        <v/>
      </c>
    </row>
    <row r="2076">
      <c r="A2076" s="12" t="inlineStr">
        <is>
          <t>B-C-0149</t>
        </is>
      </c>
      <c r="B2076" s="12" t="inlineStr">
        <is>
          <t>B</t>
        </is>
      </c>
      <c r="C2076" s="12" t="inlineStr">
        <is>
          <t>ACC</t>
        </is>
      </c>
      <c r="D2076" s="12" t="inlineStr">
        <is>
          <t>Motor 1 of 6: control / local station</t>
        </is>
      </c>
      <c r="E2076" s="12" t="inlineStr"/>
      <c r="F2076" s="12" t="inlineStr">
        <is>
          <t>R4 480 V switchgear + vacuum-pump MCC</t>
        </is>
      </c>
      <c r="G2076" s="12" t="inlineStr"/>
      <c r="H2076" s="12" t="inlineStr">
        <is>
          <t>T-R4-1: 13.8/0.48 kV</t>
        </is>
      </c>
      <c r="I2076" s="12" t="inlineStr">
        <is>
          <t>Control</t>
        </is>
      </c>
      <c r="J2076" s="12" t="inlineStr">
        <is>
          <t>Control cable 600 V Type TC-ER, Cu #14 AWG, PVC jacket</t>
        </is>
      </c>
      <c r="K2076" s="12" t="inlineStr">
        <is>
          <t>CT|7/C|14</t>
        </is>
      </c>
      <c r="L2076" s="12" t="inlineStr">
        <is>
          <t>7/C</t>
        </is>
      </c>
      <c r="M2076" s="12" t="inlineStr">
        <is>
          <t>14</t>
        </is>
      </c>
      <c r="N2076" s="12" t="n">
        <v>1</v>
      </c>
      <c r="O2076" s="12" t="n">
        <v>1</v>
      </c>
      <c r="P2076" s="12" t="n"/>
      <c r="Q2076" s="12" t="n"/>
      <c r="R2076" s="12" t="n"/>
      <c r="S2076" s="12" t="inlineStr">
        <is>
          <t>Duct bank</t>
        </is>
      </c>
      <c r="T2076" s="16" t="n">
        <v>160</v>
      </c>
      <c r="U2076" s="16" t="n">
        <v>64</v>
      </c>
      <c r="V2076" s="16">
        <f>ROUNDUP((T2076+U2076+2*'Read Me'!$B$13)*(1+'Read Me'!$B$12),-1)</f>
        <v/>
      </c>
      <c r="W2076" s="16">
        <f>V2076*N2076*O2076</f>
        <v/>
      </c>
      <c r="X2076" s="12">
        <f>IF(LEFT(I2076,2)="MV",2*N2076*IF(L2076="1/C",O2076,1),0)</f>
        <v/>
      </c>
      <c r="Y2076" s="12">
        <f>IF(OR(LEFT(K2076,4)="LVAX",LEFT(K2076,6)="MV15AX",LEFT(K2076,4)="CTAX",LEFT(K2076,2)="W|"),2*N2076*O2076,0)</f>
        <v/>
      </c>
      <c r="Z2076" s="12" t="inlineStr"/>
      <c r="AA2076" s="12">
        <f>N2076*O2076</f>
        <v/>
      </c>
    </row>
    <row r="2077">
      <c r="A2077" s="12" t="inlineStr">
        <is>
          <t>B-C-0150</t>
        </is>
      </c>
      <c r="B2077" s="12" t="inlineStr">
        <is>
          <t>B</t>
        </is>
      </c>
      <c r="C2077" s="12" t="inlineStr">
        <is>
          <t>ACC</t>
        </is>
      </c>
      <c r="D2077" s="12" t="inlineStr">
        <is>
          <t>Motor 2 of 6: control / local station</t>
        </is>
      </c>
      <c r="E2077" s="12" t="inlineStr"/>
      <c r="F2077" s="12" t="inlineStr">
        <is>
          <t>R4 480 V switchgear + vacuum-pump MCC</t>
        </is>
      </c>
      <c r="G2077" s="12" t="inlineStr"/>
      <c r="H2077" s="12" t="inlineStr">
        <is>
          <t>T-R4-1: 13.8/0.48 kV</t>
        </is>
      </c>
      <c r="I2077" s="12" t="inlineStr">
        <is>
          <t>Control</t>
        </is>
      </c>
      <c r="J2077" s="12" t="inlineStr">
        <is>
          <t>Control cable 600 V Type TC-ER, Cu #14 AWG, PVC jacket</t>
        </is>
      </c>
      <c r="K2077" s="12" t="inlineStr">
        <is>
          <t>CT|7/C|14</t>
        </is>
      </c>
      <c r="L2077" s="12" t="inlineStr">
        <is>
          <t>7/C</t>
        </is>
      </c>
      <c r="M2077" s="12" t="inlineStr">
        <is>
          <t>14</t>
        </is>
      </c>
      <c r="N2077" s="12" t="n">
        <v>1</v>
      </c>
      <c r="O2077" s="12" t="n">
        <v>1</v>
      </c>
      <c r="P2077" s="12" t="n"/>
      <c r="Q2077" s="12" t="n"/>
      <c r="R2077" s="12" t="n"/>
      <c r="S2077" s="12" t="inlineStr">
        <is>
          <t>Duct bank</t>
        </is>
      </c>
      <c r="T2077" s="16" t="n">
        <v>160</v>
      </c>
      <c r="U2077" s="16" t="n">
        <v>64</v>
      </c>
      <c r="V2077" s="16">
        <f>ROUNDUP((T2077+U2077+2*'Read Me'!$B$13)*(1+'Read Me'!$B$12),-1)</f>
        <v/>
      </c>
      <c r="W2077" s="16">
        <f>V2077*N2077*O2077</f>
        <v/>
      </c>
      <c r="X2077" s="12">
        <f>IF(LEFT(I2077,2)="MV",2*N2077*IF(L2077="1/C",O2077,1),0)</f>
        <v/>
      </c>
      <c r="Y2077" s="12">
        <f>IF(OR(LEFT(K2077,4)="LVAX",LEFT(K2077,6)="MV15AX",LEFT(K2077,4)="CTAX",LEFT(K2077,2)="W|"),2*N2077*O2077,0)</f>
        <v/>
      </c>
      <c r="Z2077" s="12" t="inlineStr"/>
      <c r="AA2077" s="12">
        <f>N2077*O2077</f>
        <v/>
      </c>
    </row>
    <row r="2078">
      <c r="A2078" s="12" t="inlineStr">
        <is>
          <t>B-C-0151</t>
        </is>
      </c>
      <c r="B2078" s="12" t="inlineStr">
        <is>
          <t>B</t>
        </is>
      </c>
      <c r="C2078" s="12" t="inlineStr">
        <is>
          <t>ACC</t>
        </is>
      </c>
      <c r="D2078" s="12" t="inlineStr">
        <is>
          <t>Motor 3 of 6: control / local station</t>
        </is>
      </c>
      <c r="E2078" s="12" t="inlineStr"/>
      <c r="F2078" s="12" t="inlineStr">
        <is>
          <t>R4 480 V switchgear + vacuum-pump MCC</t>
        </is>
      </c>
      <c r="G2078" s="12" t="inlineStr"/>
      <c r="H2078" s="12" t="inlineStr">
        <is>
          <t>T-R4-1: 13.8/0.48 kV</t>
        </is>
      </c>
      <c r="I2078" s="12" t="inlineStr">
        <is>
          <t>Control</t>
        </is>
      </c>
      <c r="J2078" s="12" t="inlineStr">
        <is>
          <t>Control cable 600 V Type TC-ER, Cu #14 AWG, PVC jacket</t>
        </is>
      </c>
      <c r="K2078" s="12" t="inlineStr">
        <is>
          <t>CT|7/C|14</t>
        </is>
      </c>
      <c r="L2078" s="12" t="inlineStr">
        <is>
          <t>7/C</t>
        </is>
      </c>
      <c r="M2078" s="12" t="inlineStr">
        <is>
          <t>14</t>
        </is>
      </c>
      <c r="N2078" s="12" t="n">
        <v>1</v>
      </c>
      <c r="O2078" s="12" t="n">
        <v>1</v>
      </c>
      <c r="P2078" s="12" t="n"/>
      <c r="Q2078" s="12" t="n"/>
      <c r="R2078" s="12" t="n"/>
      <c r="S2078" s="12" t="inlineStr">
        <is>
          <t>Duct bank</t>
        </is>
      </c>
      <c r="T2078" s="16" t="n">
        <v>160</v>
      </c>
      <c r="U2078" s="16" t="n">
        <v>64</v>
      </c>
      <c r="V2078" s="16">
        <f>ROUNDUP((T2078+U2078+2*'Read Me'!$B$13)*(1+'Read Me'!$B$12),-1)</f>
        <v/>
      </c>
      <c r="W2078" s="16">
        <f>V2078*N2078*O2078</f>
        <v/>
      </c>
      <c r="X2078" s="12">
        <f>IF(LEFT(I2078,2)="MV",2*N2078*IF(L2078="1/C",O2078,1),0)</f>
        <v/>
      </c>
      <c r="Y2078" s="12">
        <f>IF(OR(LEFT(K2078,4)="LVAX",LEFT(K2078,6)="MV15AX",LEFT(K2078,4)="CTAX",LEFT(K2078,2)="W|"),2*N2078*O2078,0)</f>
        <v/>
      </c>
      <c r="Z2078" s="12" t="inlineStr"/>
      <c r="AA2078" s="12">
        <f>N2078*O2078</f>
        <v/>
      </c>
    </row>
    <row r="2079">
      <c r="A2079" s="12" t="inlineStr">
        <is>
          <t>B-C-0152</t>
        </is>
      </c>
      <c r="B2079" s="12" t="inlineStr">
        <is>
          <t>B</t>
        </is>
      </c>
      <c r="C2079" s="12" t="inlineStr">
        <is>
          <t>ACC</t>
        </is>
      </c>
      <c r="D2079" s="12" t="inlineStr">
        <is>
          <t>Motor 4 of 6: control / local station</t>
        </is>
      </c>
      <c r="E2079" s="12" t="inlineStr"/>
      <c r="F2079" s="12" t="inlineStr">
        <is>
          <t>R4 480 V switchgear + vacuum-pump MCC</t>
        </is>
      </c>
      <c r="G2079" s="12" t="inlineStr"/>
      <c r="H2079" s="12" t="inlineStr">
        <is>
          <t>T-R4-1: 13.8/0.48 kV</t>
        </is>
      </c>
      <c r="I2079" s="12" t="inlineStr">
        <is>
          <t>Control</t>
        </is>
      </c>
      <c r="J2079" s="12" t="inlineStr">
        <is>
          <t>Control cable 600 V Type TC-ER, Cu #14 AWG, PVC jacket</t>
        </is>
      </c>
      <c r="K2079" s="12" t="inlineStr">
        <is>
          <t>CT|7/C|14</t>
        </is>
      </c>
      <c r="L2079" s="12" t="inlineStr">
        <is>
          <t>7/C</t>
        </is>
      </c>
      <c r="M2079" s="12" t="inlineStr">
        <is>
          <t>14</t>
        </is>
      </c>
      <c r="N2079" s="12" t="n">
        <v>1</v>
      </c>
      <c r="O2079" s="12" t="n">
        <v>1</v>
      </c>
      <c r="P2079" s="12" t="n"/>
      <c r="Q2079" s="12" t="n"/>
      <c r="R2079" s="12" t="n"/>
      <c r="S2079" s="12" t="inlineStr">
        <is>
          <t>Duct bank</t>
        </is>
      </c>
      <c r="T2079" s="16" t="n">
        <v>160</v>
      </c>
      <c r="U2079" s="16" t="n">
        <v>64</v>
      </c>
      <c r="V2079" s="16">
        <f>ROUNDUP((T2079+U2079+2*'Read Me'!$B$13)*(1+'Read Me'!$B$12),-1)</f>
        <v/>
      </c>
      <c r="W2079" s="16">
        <f>V2079*N2079*O2079</f>
        <v/>
      </c>
      <c r="X2079" s="12">
        <f>IF(LEFT(I2079,2)="MV",2*N2079*IF(L2079="1/C",O2079,1),0)</f>
        <v/>
      </c>
      <c r="Y2079" s="12">
        <f>IF(OR(LEFT(K2079,4)="LVAX",LEFT(K2079,6)="MV15AX",LEFT(K2079,4)="CTAX",LEFT(K2079,2)="W|"),2*N2079*O2079,0)</f>
        <v/>
      </c>
      <c r="Z2079" s="12" t="inlineStr"/>
      <c r="AA2079" s="12">
        <f>N2079*O2079</f>
        <v/>
      </c>
    </row>
    <row r="2080">
      <c r="A2080" s="12" t="inlineStr">
        <is>
          <t>B-C-0153</t>
        </is>
      </c>
      <c r="B2080" s="12" t="inlineStr">
        <is>
          <t>B</t>
        </is>
      </c>
      <c r="C2080" s="12" t="inlineStr">
        <is>
          <t>ACC</t>
        </is>
      </c>
      <c r="D2080" s="12" t="inlineStr">
        <is>
          <t>Motor 5 of 6: control / local station</t>
        </is>
      </c>
      <c r="E2080" s="12" t="inlineStr"/>
      <c r="F2080" s="12" t="inlineStr">
        <is>
          <t>R4 480 V switchgear + vacuum-pump MCC</t>
        </is>
      </c>
      <c r="G2080" s="12" t="inlineStr"/>
      <c r="H2080" s="12" t="inlineStr">
        <is>
          <t>T-R4-1: 13.8/0.48 kV</t>
        </is>
      </c>
      <c r="I2080" s="12" t="inlineStr">
        <is>
          <t>Control</t>
        </is>
      </c>
      <c r="J2080" s="12" t="inlineStr">
        <is>
          <t>Control cable 600 V Type TC-ER, Cu #14 AWG, PVC jacket</t>
        </is>
      </c>
      <c r="K2080" s="12" t="inlineStr">
        <is>
          <t>CT|7/C|14</t>
        </is>
      </c>
      <c r="L2080" s="12" t="inlineStr">
        <is>
          <t>7/C</t>
        </is>
      </c>
      <c r="M2080" s="12" t="inlineStr">
        <is>
          <t>14</t>
        </is>
      </c>
      <c r="N2080" s="12" t="n">
        <v>1</v>
      </c>
      <c r="O2080" s="12" t="n">
        <v>1</v>
      </c>
      <c r="P2080" s="12" t="n"/>
      <c r="Q2080" s="12" t="n"/>
      <c r="R2080" s="12" t="n"/>
      <c r="S2080" s="12" t="inlineStr">
        <is>
          <t>Duct bank</t>
        </is>
      </c>
      <c r="T2080" s="16" t="n">
        <v>160</v>
      </c>
      <c r="U2080" s="16" t="n">
        <v>64</v>
      </c>
      <c r="V2080" s="16">
        <f>ROUNDUP((T2080+U2080+2*'Read Me'!$B$13)*(1+'Read Me'!$B$12),-1)</f>
        <v/>
      </c>
      <c r="W2080" s="16">
        <f>V2080*N2080*O2080</f>
        <v/>
      </c>
      <c r="X2080" s="12">
        <f>IF(LEFT(I2080,2)="MV",2*N2080*IF(L2080="1/C",O2080,1),0)</f>
        <v/>
      </c>
      <c r="Y2080" s="12">
        <f>IF(OR(LEFT(K2080,4)="LVAX",LEFT(K2080,6)="MV15AX",LEFT(K2080,4)="CTAX",LEFT(K2080,2)="W|"),2*N2080*O2080,0)</f>
        <v/>
      </c>
      <c r="Z2080" s="12" t="inlineStr"/>
      <c r="AA2080" s="12">
        <f>N2080*O2080</f>
        <v/>
      </c>
    </row>
    <row r="2081">
      <c r="A2081" s="12" t="inlineStr">
        <is>
          <t>B-C-0154</t>
        </is>
      </c>
      <c r="B2081" s="12" t="inlineStr">
        <is>
          <t>B</t>
        </is>
      </c>
      <c r="C2081" s="12" t="inlineStr">
        <is>
          <t>ACC</t>
        </is>
      </c>
      <c r="D2081" s="12" t="inlineStr">
        <is>
          <t>Motor 6 of 6: control / local station</t>
        </is>
      </c>
      <c r="E2081" s="12" t="inlineStr"/>
      <c r="F2081" s="12" t="inlineStr">
        <is>
          <t>R4 480 V switchgear + vacuum-pump MCC</t>
        </is>
      </c>
      <c r="G2081" s="12" t="inlineStr"/>
      <c r="H2081" s="12" t="inlineStr">
        <is>
          <t>T-R4-1: 13.8/0.48 kV</t>
        </is>
      </c>
      <c r="I2081" s="12" t="inlineStr">
        <is>
          <t>Control</t>
        </is>
      </c>
      <c r="J2081" s="12" t="inlineStr">
        <is>
          <t>Control cable 600 V Type TC-ER, Cu #14 AWG, PVC jacket</t>
        </is>
      </c>
      <c r="K2081" s="12" t="inlineStr">
        <is>
          <t>CT|7/C|14</t>
        </is>
      </c>
      <c r="L2081" s="12" t="inlineStr">
        <is>
          <t>7/C</t>
        </is>
      </c>
      <c r="M2081" s="12" t="inlineStr">
        <is>
          <t>14</t>
        </is>
      </c>
      <c r="N2081" s="12" t="n">
        <v>1</v>
      </c>
      <c r="O2081" s="12" t="n">
        <v>1</v>
      </c>
      <c r="P2081" s="12" t="n"/>
      <c r="Q2081" s="12" t="n"/>
      <c r="R2081" s="12" t="n"/>
      <c r="S2081" s="12" t="inlineStr">
        <is>
          <t>Duct bank</t>
        </is>
      </c>
      <c r="T2081" s="16" t="n">
        <v>160</v>
      </c>
      <c r="U2081" s="16" t="n">
        <v>64</v>
      </c>
      <c r="V2081" s="16">
        <f>ROUNDUP((T2081+U2081+2*'Read Me'!$B$13)*(1+'Read Me'!$B$12),-1)</f>
        <v/>
      </c>
      <c r="W2081" s="16">
        <f>V2081*N2081*O2081</f>
        <v/>
      </c>
      <c r="X2081" s="12">
        <f>IF(LEFT(I2081,2)="MV",2*N2081*IF(L2081="1/C",O2081,1),0)</f>
        <v/>
      </c>
      <c r="Y2081" s="12">
        <f>IF(OR(LEFT(K2081,4)="LVAX",LEFT(K2081,6)="MV15AX",LEFT(K2081,4)="CTAX",LEFT(K2081,2)="W|"),2*N2081*O2081,0)</f>
        <v/>
      </c>
      <c r="Z2081" s="12" t="inlineStr"/>
      <c r="AA2081" s="12">
        <f>N2081*O2081</f>
        <v/>
      </c>
    </row>
    <row r="2082">
      <c r="A2082" s="12" t="inlineStr">
        <is>
          <t>B-C-0155</t>
        </is>
      </c>
      <c r="B2082" s="12" t="inlineStr">
        <is>
          <t>B</t>
        </is>
      </c>
      <c r="C2082" s="12" t="inlineStr">
        <is>
          <t>ACC</t>
        </is>
      </c>
      <c r="D2082" s="12" t="inlineStr">
        <is>
          <t>Motor 1 of 6: control / local station</t>
        </is>
      </c>
      <c r="E2082" s="12" t="inlineStr"/>
      <c r="F2082" s="12" t="inlineStr">
        <is>
          <t>R4 480 V switchgear + vacuum-pump MCC</t>
        </is>
      </c>
      <c r="G2082" s="12" t="inlineStr"/>
      <c r="H2082" s="12" t="inlineStr">
        <is>
          <t>T-R4-2: 13.8/0.48 kV</t>
        </is>
      </c>
      <c r="I2082" s="12" t="inlineStr">
        <is>
          <t>Control</t>
        </is>
      </c>
      <c r="J2082" s="12" t="inlineStr">
        <is>
          <t>Control cable 600 V Type TC-ER, Cu #14 AWG, PVC jacket</t>
        </is>
      </c>
      <c r="K2082" s="12" t="inlineStr">
        <is>
          <t>CT|7/C|14</t>
        </is>
      </c>
      <c r="L2082" s="12" t="inlineStr">
        <is>
          <t>7/C</t>
        </is>
      </c>
      <c r="M2082" s="12" t="inlineStr">
        <is>
          <t>14</t>
        </is>
      </c>
      <c r="N2082" s="12" t="n">
        <v>1</v>
      </c>
      <c r="O2082" s="12" t="n">
        <v>1</v>
      </c>
      <c r="P2082" s="12" t="n"/>
      <c r="Q2082" s="12" t="n"/>
      <c r="R2082" s="12" t="n"/>
      <c r="S2082" s="12" t="inlineStr">
        <is>
          <t>Duct bank</t>
        </is>
      </c>
      <c r="T2082" s="16" t="n">
        <v>186</v>
      </c>
      <c r="U2082" s="16" t="n">
        <v>64</v>
      </c>
      <c r="V2082" s="16">
        <f>ROUNDUP((T2082+U2082+2*'Read Me'!$B$13)*(1+'Read Me'!$B$12),-1)</f>
        <v/>
      </c>
      <c r="W2082" s="16">
        <f>V2082*N2082*O2082</f>
        <v/>
      </c>
      <c r="X2082" s="12">
        <f>IF(LEFT(I2082,2)="MV",2*N2082*IF(L2082="1/C",O2082,1),0)</f>
        <v/>
      </c>
      <c r="Y2082" s="12">
        <f>IF(OR(LEFT(K2082,4)="LVAX",LEFT(K2082,6)="MV15AX",LEFT(K2082,4)="CTAX",LEFT(K2082,2)="W|"),2*N2082*O2082,0)</f>
        <v/>
      </c>
      <c r="Z2082" s="12" t="inlineStr"/>
      <c r="AA2082" s="12">
        <f>N2082*O2082</f>
        <v/>
      </c>
    </row>
    <row r="2083">
      <c r="A2083" s="12" t="inlineStr">
        <is>
          <t>B-C-0156</t>
        </is>
      </c>
      <c r="B2083" s="12" t="inlineStr">
        <is>
          <t>B</t>
        </is>
      </c>
      <c r="C2083" s="12" t="inlineStr">
        <is>
          <t>ACC</t>
        </is>
      </c>
      <c r="D2083" s="12" t="inlineStr">
        <is>
          <t>Motor 2 of 6: control / local station</t>
        </is>
      </c>
      <c r="E2083" s="12" t="inlineStr"/>
      <c r="F2083" s="12" t="inlineStr">
        <is>
          <t>R4 480 V switchgear + vacuum-pump MCC</t>
        </is>
      </c>
      <c r="G2083" s="12" t="inlineStr"/>
      <c r="H2083" s="12" t="inlineStr">
        <is>
          <t>T-R4-2: 13.8/0.48 kV</t>
        </is>
      </c>
      <c r="I2083" s="12" t="inlineStr">
        <is>
          <t>Control</t>
        </is>
      </c>
      <c r="J2083" s="12" t="inlineStr">
        <is>
          <t>Control cable 600 V Type TC-ER, Cu #14 AWG, PVC jacket</t>
        </is>
      </c>
      <c r="K2083" s="12" t="inlineStr">
        <is>
          <t>CT|7/C|14</t>
        </is>
      </c>
      <c r="L2083" s="12" t="inlineStr">
        <is>
          <t>7/C</t>
        </is>
      </c>
      <c r="M2083" s="12" t="inlineStr">
        <is>
          <t>14</t>
        </is>
      </c>
      <c r="N2083" s="12" t="n">
        <v>1</v>
      </c>
      <c r="O2083" s="12" t="n">
        <v>1</v>
      </c>
      <c r="P2083" s="12" t="n"/>
      <c r="Q2083" s="12" t="n"/>
      <c r="R2083" s="12" t="n"/>
      <c r="S2083" s="12" t="inlineStr">
        <is>
          <t>Duct bank</t>
        </is>
      </c>
      <c r="T2083" s="16" t="n">
        <v>186</v>
      </c>
      <c r="U2083" s="16" t="n">
        <v>64</v>
      </c>
      <c r="V2083" s="16">
        <f>ROUNDUP((T2083+U2083+2*'Read Me'!$B$13)*(1+'Read Me'!$B$12),-1)</f>
        <v/>
      </c>
      <c r="W2083" s="16">
        <f>V2083*N2083*O2083</f>
        <v/>
      </c>
      <c r="X2083" s="12">
        <f>IF(LEFT(I2083,2)="MV",2*N2083*IF(L2083="1/C",O2083,1),0)</f>
        <v/>
      </c>
      <c r="Y2083" s="12">
        <f>IF(OR(LEFT(K2083,4)="LVAX",LEFT(K2083,6)="MV15AX",LEFT(K2083,4)="CTAX",LEFT(K2083,2)="W|"),2*N2083*O2083,0)</f>
        <v/>
      </c>
      <c r="Z2083" s="12" t="inlineStr"/>
      <c r="AA2083" s="12">
        <f>N2083*O2083</f>
        <v/>
      </c>
    </row>
    <row r="2084">
      <c r="A2084" s="12" t="inlineStr">
        <is>
          <t>B-C-0157</t>
        </is>
      </c>
      <c r="B2084" s="12" t="inlineStr">
        <is>
          <t>B</t>
        </is>
      </c>
      <c r="C2084" s="12" t="inlineStr">
        <is>
          <t>ACC</t>
        </is>
      </c>
      <c r="D2084" s="12" t="inlineStr">
        <is>
          <t>Motor 3 of 6: control / local station</t>
        </is>
      </c>
      <c r="E2084" s="12" t="inlineStr"/>
      <c r="F2084" s="12" t="inlineStr">
        <is>
          <t>R4 480 V switchgear + vacuum-pump MCC</t>
        </is>
      </c>
      <c r="G2084" s="12" t="inlineStr"/>
      <c r="H2084" s="12" t="inlineStr">
        <is>
          <t>T-R4-2: 13.8/0.48 kV</t>
        </is>
      </c>
      <c r="I2084" s="12" t="inlineStr">
        <is>
          <t>Control</t>
        </is>
      </c>
      <c r="J2084" s="12" t="inlineStr">
        <is>
          <t>Control cable 600 V Type TC-ER, Cu #14 AWG, PVC jacket</t>
        </is>
      </c>
      <c r="K2084" s="12" t="inlineStr">
        <is>
          <t>CT|7/C|14</t>
        </is>
      </c>
      <c r="L2084" s="12" t="inlineStr">
        <is>
          <t>7/C</t>
        </is>
      </c>
      <c r="M2084" s="12" t="inlineStr">
        <is>
          <t>14</t>
        </is>
      </c>
      <c r="N2084" s="12" t="n">
        <v>1</v>
      </c>
      <c r="O2084" s="12" t="n">
        <v>1</v>
      </c>
      <c r="P2084" s="12" t="n"/>
      <c r="Q2084" s="12" t="n"/>
      <c r="R2084" s="12" t="n"/>
      <c r="S2084" s="12" t="inlineStr">
        <is>
          <t>Duct bank</t>
        </is>
      </c>
      <c r="T2084" s="16" t="n">
        <v>186</v>
      </c>
      <c r="U2084" s="16" t="n">
        <v>64</v>
      </c>
      <c r="V2084" s="16">
        <f>ROUNDUP((T2084+U2084+2*'Read Me'!$B$13)*(1+'Read Me'!$B$12),-1)</f>
        <v/>
      </c>
      <c r="W2084" s="16">
        <f>V2084*N2084*O2084</f>
        <v/>
      </c>
      <c r="X2084" s="12">
        <f>IF(LEFT(I2084,2)="MV",2*N2084*IF(L2084="1/C",O2084,1),0)</f>
        <v/>
      </c>
      <c r="Y2084" s="12">
        <f>IF(OR(LEFT(K2084,4)="LVAX",LEFT(K2084,6)="MV15AX",LEFT(K2084,4)="CTAX",LEFT(K2084,2)="W|"),2*N2084*O2084,0)</f>
        <v/>
      </c>
      <c r="Z2084" s="12" t="inlineStr"/>
      <c r="AA2084" s="12">
        <f>N2084*O2084</f>
        <v/>
      </c>
    </row>
    <row r="2085">
      <c r="A2085" s="12" t="inlineStr">
        <is>
          <t>B-C-0158</t>
        </is>
      </c>
      <c r="B2085" s="12" t="inlineStr">
        <is>
          <t>B</t>
        </is>
      </c>
      <c r="C2085" s="12" t="inlineStr">
        <is>
          <t>ACC</t>
        </is>
      </c>
      <c r="D2085" s="12" t="inlineStr">
        <is>
          <t>Motor 4 of 6: control / local station</t>
        </is>
      </c>
      <c r="E2085" s="12" t="inlineStr"/>
      <c r="F2085" s="12" t="inlineStr">
        <is>
          <t>R4 480 V switchgear + vacuum-pump MCC</t>
        </is>
      </c>
      <c r="G2085" s="12" t="inlineStr"/>
      <c r="H2085" s="12" t="inlineStr">
        <is>
          <t>T-R4-2: 13.8/0.48 kV</t>
        </is>
      </c>
      <c r="I2085" s="12" t="inlineStr">
        <is>
          <t>Control</t>
        </is>
      </c>
      <c r="J2085" s="12" t="inlineStr">
        <is>
          <t>Control cable 600 V Type TC-ER, Cu #14 AWG, PVC jacket</t>
        </is>
      </c>
      <c r="K2085" s="12" t="inlineStr">
        <is>
          <t>CT|7/C|14</t>
        </is>
      </c>
      <c r="L2085" s="12" t="inlineStr">
        <is>
          <t>7/C</t>
        </is>
      </c>
      <c r="M2085" s="12" t="inlineStr">
        <is>
          <t>14</t>
        </is>
      </c>
      <c r="N2085" s="12" t="n">
        <v>1</v>
      </c>
      <c r="O2085" s="12" t="n">
        <v>1</v>
      </c>
      <c r="P2085" s="12" t="n"/>
      <c r="Q2085" s="12" t="n"/>
      <c r="R2085" s="12" t="n"/>
      <c r="S2085" s="12" t="inlineStr">
        <is>
          <t>Duct bank</t>
        </is>
      </c>
      <c r="T2085" s="16" t="n">
        <v>186</v>
      </c>
      <c r="U2085" s="16" t="n">
        <v>64</v>
      </c>
      <c r="V2085" s="16">
        <f>ROUNDUP((T2085+U2085+2*'Read Me'!$B$13)*(1+'Read Me'!$B$12),-1)</f>
        <v/>
      </c>
      <c r="W2085" s="16">
        <f>V2085*N2085*O2085</f>
        <v/>
      </c>
      <c r="X2085" s="12">
        <f>IF(LEFT(I2085,2)="MV",2*N2085*IF(L2085="1/C",O2085,1),0)</f>
        <v/>
      </c>
      <c r="Y2085" s="12">
        <f>IF(OR(LEFT(K2085,4)="LVAX",LEFT(K2085,6)="MV15AX",LEFT(K2085,4)="CTAX",LEFT(K2085,2)="W|"),2*N2085*O2085,0)</f>
        <v/>
      </c>
      <c r="Z2085" s="12" t="inlineStr"/>
      <c r="AA2085" s="12">
        <f>N2085*O2085</f>
        <v/>
      </c>
    </row>
    <row r="2086">
      <c r="A2086" s="12" t="inlineStr">
        <is>
          <t>B-C-0159</t>
        </is>
      </c>
      <c r="B2086" s="12" t="inlineStr">
        <is>
          <t>B</t>
        </is>
      </c>
      <c r="C2086" s="12" t="inlineStr">
        <is>
          <t>ACC</t>
        </is>
      </c>
      <c r="D2086" s="12" t="inlineStr">
        <is>
          <t>Motor 5 of 6: control / local station</t>
        </is>
      </c>
      <c r="E2086" s="12" t="inlineStr"/>
      <c r="F2086" s="12" t="inlineStr">
        <is>
          <t>R4 480 V switchgear + vacuum-pump MCC</t>
        </is>
      </c>
      <c r="G2086" s="12" t="inlineStr"/>
      <c r="H2086" s="12" t="inlineStr">
        <is>
          <t>T-R4-2: 13.8/0.48 kV</t>
        </is>
      </c>
      <c r="I2086" s="12" t="inlineStr">
        <is>
          <t>Control</t>
        </is>
      </c>
      <c r="J2086" s="12" t="inlineStr">
        <is>
          <t>Control cable 600 V Type TC-ER, Cu #14 AWG, PVC jacket</t>
        </is>
      </c>
      <c r="K2086" s="12" t="inlineStr">
        <is>
          <t>CT|7/C|14</t>
        </is>
      </c>
      <c r="L2086" s="12" t="inlineStr">
        <is>
          <t>7/C</t>
        </is>
      </c>
      <c r="M2086" s="12" t="inlineStr">
        <is>
          <t>14</t>
        </is>
      </c>
      <c r="N2086" s="12" t="n">
        <v>1</v>
      </c>
      <c r="O2086" s="12" t="n">
        <v>1</v>
      </c>
      <c r="P2086" s="12" t="n"/>
      <c r="Q2086" s="12" t="n"/>
      <c r="R2086" s="12" t="n"/>
      <c r="S2086" s="12" t="inlineStr">
        <is>
          <t>Duct bank</t>
        </is>
      </c>
      <c r="T2086" s="16" t="n">
        <v>186</v>
      </c>
      <c r="U2086" s="16" t="n">
        <v>64</v>
      </c>
      <c r="V2086" s="16">
        <f>ROUNDUP((T2086+U2086+2*'Read Me'!$B$13)*(1+'Read Me'!$B$12),-1)</f>
        <v/>
      </c>
      <c r="W2086" s="16">
        <f>V2086*N2086*O2086</f>
        <v/>
      </c>
      <c r="X2086" s="12">
        <f>IF(LEFT(I2086,2)="MV",2*N2086*IF(L2086="1/C",O2086,1),0)</f>
        <v/>
      </c>
      <c r="Y2086" s="12">
        <f>IF(OR(LEFT(K2086,4)="LVAX",LEFT(K2086,6)="MV15AX",LEFT(K2086,4)="CTAX",LEFT(K2086,2)="W|"),2*N2086*O2086,0)</f>
        <v/>
      </c>
      <c r="Z2086" s="12" t="inlineStr"/>
      <c r="AA2086" s="12">
        <f>N2086*O2086</f>
        <v/>
      </c>
    </row>
    <row r="2087">
      <c r="A2087" s="12" t="inlineStr">
        <is>
          <t>B-C-0160</t>
        </is>
      </c>
      <c r="B2087" s="12" t="inlineStr">
        <is>
          <t>B</t>
        </is>
      </c>
      <c r="C2087" s="12" t="inlineStr">
        <is>
          <t>ACC</t>
        </is>
      </c>
      <c r="D2087" s="12" t="inlineStr">
        <is>
          <t>Motor 6 of 6: control / local station</t>
        </is>
      </c>
      <c r="E2087" s="12" t="inlineStr"/>
      <c r="F2087" s="12" t="inlineStr">
        <is>
          <t>R4 480 V switchgear + vacuum-pump MCC</t>
        </is>
      </c>
      <c r="G2087" s="12" t="inlineStr"/>
      <c r="H2087" s="12" t="inlineStr">
        <is>
          <t>T-R4-2: 13.8/0.48 kV</t>
        </is>
      </c>
      <c r="I2087" s="12" t="inlineStr">
        <is>
          <t>Control</t>
        </is>
      </c>
      <c r="J2087" s="12" t="inlineStr">
        <is>
          <t>Control cable 600 V Type TC-ER, Cu #14 AWG, PVC jacket</t>
        </is>
      </c>
      <c r="K2087" s="12" t="inlineStr">
        <is>
          <t>CT|7/C|14</t>
        </is>
      </c>
      <c r="L2087" s="12" t="inlineStr">
        <is>
          <t>7/C</t>
        </is>
      </c>
      <c r="M2087" s="12" t="inlineStr">
        <is>
          <t>14</t>
        </is>
      </c>
      <c r="N2087" s="12" t="n">
        <v>1</v>
      </c>
      <c r="O2087" s="12" t="n">
        <v>1</v>
      </c>
      <c r="P2087" s="12" t="n"/>
      <c r="Q2087" s="12" t="n"/>
      <c r="R2087" s="12" t="n"/>
      <c r="S2087" s="12" t="inlineStr">
        <is>
          <t>Duct bank</t>
        </is>
      </c>
      <c r="T2087" s="16" t="n">
        <v>186</v>
      </c>
      <c r="U2087" s="16" t="n">
        <v>64</v>
      </c>
      <c r="V2087" s="16">
        <f>ROUNDUP((T2087+U2087+2*'Read Me'!$B$13)*(1+'Read Me'!$B$12),-1)</f>
        <v/>
      </c>
      <c r="W2087" s="16">
        <f>V2087*N2087*O2087</f>
        <v/>
      </c>
      <c r="X2087" s="12">
        <f>IF(LEFT(I2087,2)="MV",2*N2087*IF(L2087="1/C",O2087,1),0)</f>
        <v/>
      </c>
      <c r="Y2087" s="12">
        <f>IF(OR(LEFT(K2087,4)="LVAX",LEFT(K2087,6)="MV15AX",LEFT(K2087,4)="CTAX",LEFT(K2087,2)="W|"),2*N2087*O2087,0)</f>
        <v/>
      </c>
      <c r="Z2087" s="12" t="inlineStr"/>
      <c r="AA2087" s="12">
        <f>N2087*O2087</f>
        <v/>
      </c>
    </row>
    <row r="2088">
      <c r="A2088" s="12" t="inlineStr">
        <is>
          <t>B-C-0161</t>
        </is>
      </c>
      <c r="B2088" s="12" t="inlineStr">
        <is>
          <t>B</t>
        </is>
      </c>
      <c r="C2088" s="12" t="inlineStr">
        <is>
          <t>ACC</t>
        </is>
      </c>
      <c r="D2088" s="12" t="inlineStr">
        <is>
          <t>Motor 1 of 6: control / local station</t>
        </is>
      </c>
      <c r="E2088" s="12" t="inlineStr"/>
      <c r="F2088" s="12" t="inlineStr">
        <is>
          <t>R4 480 V switchgear + vacuum-pump MCC</t>
        </is>
      </c>
      <c r="G2088" s="12" t="inlineStr"/>
      <c r="H2088" s="12" t="inlineStr">
        <is>
          <t>T-R4-3: 13.8/0.48 kV</t>
        </is>
      </c>
      <c r="I2088" s="12" t="inlineStr">
        <is>
          <t>Control</t>
        </is>
      </c>
      <c r="J2088" s="12" t="inlineStr">
        <is>
          <t>Control cable 600 V Type TC-ER, Cu #14 AWG, PVC jacket</t>
        </is>
      </c>
      <c r="K2088" s="12" t="inlineStr">
        <is>
          <t>CT|7/C|14</t>
        </is>
      </c>
      <c r="L2088" s="12" t="inlineStr">
        <is>
          <t>7/C</t>
        </is>
      </c>
      <c r="M2088" s="12" t="inlineStr">
        <is>
          <t>14</t>
        </is>
      </c>
      <c r="N2088" s="12" t="n">
        <v>1</v>
      </c>
      <c r="O2088" s="12" t="n">
        <v>1</v>
      </c>
      <c r="P2088" s="12" t="n"/>
      <c r="Q2088" s="12" t="n"/>
      <c r="R2088" s="12" t="n"/>
      <c r="S2088" s="12" t="inlineStr">
        <is>
          <t>Duct bank</t>
        </is>
      </c>
      <c r="T2088" s="16" t="n">
        <v>215</v>
      </c>
      <c r="U2088" s="16" t="n">
        <v>51</v>
      </c>
      <c r="V2088" s="16">
        <f>ROUNDUP((T2088+U2088+2*'Read Me'!$B$13)*(1+'Read Me'!$B$12),-1)</f>
        <v/>
      </c>
      <c r="W2088" s="16">
        <f>V2088*N2088*O2088</f>
        <v/>
      </c>
      <c r="X2088" s="12">
        <f>IF(LEFT(I2088,2)="MV",2*N2088*IF(L2088="1/C",O2088,1),0)</f>
        <v/>
      </c>
      <c r="Y2088" s="12">
        <f>IF(OR(LEFT(K2088,4)="LVAX",LEFT(K2088,6)="MV15AX",LEFT(K2088,4)="CTAX",LEFT(K2088,2)="W|"),2*N2088*O2088,0)</f>
        <v/>
      </c>
      <c r="Z2088" s="12" t="inlineStr"/>
      <c r="AA2088" s="12">
        <f>N2088*O2088</f>
        <v/>
      </c>
    </row>
    <row r="2089">
      <c r="A2089" s="12" t="inlineStr">
        <is>
          <t>B-C-0162</t>
        </is>
      </c>
      <c r="B2089" s="12" t="inlineStr">
        <is>
          <t>B</t>
        </is>
      </c>
      <c r="C2089" s="12" t="inlineStr">
        <is>
          <t>ACC</t>
        </is>
      </c>
      <c r="D2089" s="12" t="inlineStr">
        <is>
          <t>Motor 2 of 6: control / local station</t>
        </is>
      </c>
      <c r="E2089" s="12" t="inlineStr"/>
      <c r="F2089" s="12" t="inlineStr">
        <is>
          <t>R4 480 V switchgear + vacuum-pump MCC</t>
        </is>
      </c>
      <c r="G2089" s="12" t="inlineStr"/>
      <c r="H2089" s="12" t="inlineStr">
        <is>
          <t>T-R4-3: 13.8/0.48 kV</t>
        </is>
      </c>
      <c r="I2089" s="12" t="inlineStr">
        <is>
          <t>Control</t>
        </is>
      </c>
      <c r="J2089" s="12" t="inlineStr">
        <is>
          <t>Control cable 600 V Type TC-ER, Cu #14 AWG, PVC jacket</t>
        </is>
      </c>
      <c r="K2089" s="12" t="inlineStr">
        <is>
          <t>CT|7/C|14</t>
        </is>
      </c>
      <c r="L2089" s="12" t="inlineStr">
        <is>
          <t>7/C</t>
        </is>
      </c>
      <c r="M2089" s="12" t="inlineStr">
        <is>
          <t>14</t>
        </is>
      </c>
      <c r="N2089" s="12" t="n">
        <v>1</v>
      </c>
      <c r="O2089" s="12" t="n">
        <v>1</v>
      </c>
      <c r="P2089" s="12" t="n"/>
      <c r="Q2089" s="12" t="n"/>
      <c r="R2089" s="12" t="n"/>
      <c r="S2089" s="12" t="inlineStr">
        <is>
          <t>Duct bank</t>
        </is>
      </c>
      <c r="T2089" s="16" t="n">
        <v>215</v>
      </c>
      <c r="U2089" s="16" t="n">
        <v>51</v>
      </c>
      <c r="V2089" s="16">
        <f>ROUNDUP((T2089+U2089+2*'Read Me'!$B$13)*(1+'Read Me'!$B$12),-1)</f>
        <v/>
      </c>
      <c r="W2089" s="16">
        <f>V2089*N2089*O2089</f>
        <v/>
      </c>
      <c r="X2089" s="12">
        <f>IF(LEFT(I2089,2)="MV",2*N2089*IF(L2089="1/C",O2089,1),0)</f>
        <v/>
      </c>
      <c r="Y2089" s="12">
        <f>IF(OR(LEFT(K2089,4)="LVAX",LEFT(K2089,6)="MV15AX",LEFT(K2089,4)="CTAX",LEFT(K2089,2)="W|"),2*N2089*O2089,0)</f>
        <v/>
      </c>
      <c r="Z2089" s="12" t="inlineStr"/>
      <c r="AA2089" s="12">
        <f>N2089*O2089</f>
        <v/>
      </c>
    </row>
    <row r="2090">
      <c r="A2090" s="12" t="inlineStr">
        <is>
          <t>B-C-0163</t>
        </is>
      </c>
      <c r="B2090" s="12" t="inlineStr">
        <is>
          <t>B</t>
        </is>
      </c>
      <c r="C2090" s="12" t="inlineStr">
        <is>
          <t>ACC</t>
        </is>
      </c>
      <c r="D2090" s="12" t="inlineStr">
        <is>
          <t>Motor 3 of 6: control / local station</t>
        </is>
      </c>
      <c r="E2090" s="12" t="inlineStr"/>
      <c r="F2090" s="12" t="inlineStr">
        <is>
          <t>R4 480 V switchgear + vacuum-pump MCC</t>
        </is>
      </c>
      <c r="G2090" s="12" t="inlineStr"/>
      <c r="H2090" s="12" t="inlineStr">
        <is>
          <t>T-R4-3: 13.8/0.48 kV</t>
        </is>
      </c>
      <c r="I2090" s="12" t="inlineStr">
        <is>
          <t>Control</t>
        </is>
      </c>
      <c r="J2090" s="12" t="inlineStr">
        <is>
          <t>Control cable 600 V Type TC-ER, Cu #14 AWG, PVC jacket</t>
        </is>
      </c>
      <c r="K2090" s="12" t="inlineStr">
        <is>
          <t>CT|7/C|14</t>
        </is>
      </c>
      <c r="L2090" s="12" t="inlineStr">
        <is>
          <t>7/C</t>
        </is>
      </c>
      <c r="M2090" s="12" t="inlineStr">
        <is>
          <t>14</t>
        </is>
      </c>
      <c r="N2090" s="12" t="n">
        <v>1</v>
      </c>
      <c r="O2090" s="12" t="n">
        <v>1</v>
      </c>
      <c r="P2090" s="12" t="n"/>
      <c r="Q2090" s="12" t="n"/>
      <c r="R2090" s="12" t="n"/>
      <c r="S2090" s="12" t="inlineStr">
        <is>
          <t>Duct bank</t>
        </is>
      </c>
      <c r="T2090" s="16" t="n">
        <v>215</v>
      </c>
      <c r="U2090" s="16" t="n">
        <v>51</v>
      </c>
      <c r="V2090" s="16">
        <f>ROUNDUP((T2090+U2090+2*'Read Me'!$B$13)*(1+'Read Me'!$B$12),-1)</f>
        <v/>
      </c>
      <c r="W2090" s="16">
        <f>V2090*N2090*O2090</f>
        <v/>
      </c>
      <c r="X2090" s="12">
        <f>IF(LEFT(I2090,2)="MV",2*N2090*IF(L2090="1/C",O2090,1),0)</f>
        <v/>
      </c>
      <c r="Y2090" s="12">
        <f>IF(OR(LEFT(K2090,4)="LVAX",LEFT(K2090,6)="MV15AX",LEFT(K2090,4)="CTAX",LEFT(K2090,2)="W|"),2*N2090*O2090,0)</f>
        <v/>
      </c>
      <c r="Z2090" s="12" t="inlineStr"/>
      <c r="AA2090" s="12">
        <f>N2090*O2090</f>
        <v/>
      </c>
    </row>
    <row r="2091">
      <c r="A2091" s="12" t="inlineStr">
        <is>
          <t>B-C-0164</t>
        </is>
      </c>
      <c r="B2091" s="12" t="inlineStr">
        <is>
          <t>B</t>
        </is>
      </c>
      <c r="C2091" s="12" t="inlineStr">
        <is>
          <t>ACC</t>
        </is>
      </c>
      <c r="D2091" s="12" t="inlineStr">
        <is>
          <t>Motor 4 of 6: control / local station</t>
        </is>
      </c>
      <c r="E2091" s="12" t="inlineStr"/>
      <c r="F2091" s="12" t="inlineStr">
        <is>
          <t>R4 480 V switchgear + vacuum-pump MCC</t>
        </is>
      </c>
      <c r="G2091" s="12" t="inlineStr"/>
      <c r="H2091" s="12" t="inlineStr">
        <is>
          <t>T-R4-3: 13.8/0.48 kV</t>
        </is>
      </c>
      <c r="I2091" s="12" t="inlineStr">
        <is>
          <t>Control</t>
        </is>
      </c>
      <c r="J2091" s="12" t="inlineStr">
        <is>
          <t>Control cable 600 V Type TC-ER, Cu #14 AWG, PVC jacket</t>
        </is>
      </c>
      <c r="K2091" s="12" t="inlineStr">
        <is>
          <t>CT|7/C|14</t>
        </is>
      </c>
      <c r="L2091" s="12" t="inlineStr">
        <is>
          <t>7/C</t>
        </is>
      </c>
      <c r="M2091" s="12" t="inlineStr">
        <is>
          <t>14</t>
        </is>
      </c>
      <c r="N2091" s="12" t="n">
        <v>1</v>
      </c>
      <c r="O2091" s="12" t="n">
        <v>1</v>
      </c>
      <c r="P2091" s="12" t="n"/>
      <c r="Q2091" s="12" t="n"/>
      <c r="R2091" s="12" t="n"/>
      <c r="S2091" s="12" t="inlineStr">
        <is>
          <t>Duct bank</t>
        </is>
      </c>
      <c r="T2091" s="16" t="n">
        <v>215</v>
      </c>
      <c r="U2091" s="16" t="n">
        <v>51</v>
      </c>
      <c r="V2091" s="16">
        <f>ROUNDUP((T2091+U2091+2*'Read Me'!$B$13)*(1+'Read Me'!$B$12),-1)</f>
        <v/>
      </c>
      <c r="W2091" s="16">
        <f>V2091*N2091*O2091</f>
        <v/>
      </c>
      <c r="X2091" s="12">
        <f>IF(LEFT(I2091,2)="MV",2*N2091*IF(L2091="1/C",O2091,1),0)</f>
        <v/>
      </c>
      <c r="Y2091" s="12">
        <f>IF(OR(LEFT(K2091,4)="LVAX",LEFT(K2091,6)="MV15AX",LEFT(K2091,4)="CTAX",LEFT(K2091,2)="W|"),2*N2091*O2091,0)</f>
        <v/>
      </c>
      <c r="Z2091" s="12" t="inlineStr"/>
      <c r="AA2091" s="12">
        <f>N2091*O2091</f>
        <v/>
      </c>
    </row>
    <row r="2092">
      <c r="A2092" s="12" t="inlineStr">
        <is>
          <t>B-C-0165</t>
        </is>
      </c>
      <c r="B2092" s="12" t="inlineStr">
        <is>
          <t>B</t>
        </is>
      </c>
      <c r="C2092" s="12" t="inlineStr">
        <is>
          <t>ACC</t>
        </is>
      </c>
      <c r="D2092" s="12" t="inlineStr">
        <is>
          <t>Motor 5 of 6: control / local station</t>
        </is>
      </c>
      <c r="E2092" s="12" t="inlineStr"/>
      <c r="F2092" s="12" t="inlineStr">
        <is>
          <t>R4 480 V switchgear + vacuum-pump MCC</t>
        </is>
      </c>
      <c r="G2092" s="12" t="inlineStr"/>
      <c r="H2092" s="12" t="inlineStr">
        <is>
          <t>T-R4-3: 13.8/0.48 kV</t>
        </is>
      </c>
      <c r="I2092" s="12" t="inlineStr">
        <is>
          <t>Control</t>
        </is>
      </c>
      <c r="J2092" s="12" t="inlineStr">
        <is>
          <t>Control cable 600 V Type TC-ER, Cu #14 AWG, PVC jacket</t>
        </is>
      </c>
      <c r="K2092" s="12" t="inlineStr">
        <is>
          <t>CT|7/C|14</t>
        </is>
      </c>
      <c r="L2092" s="12" t="inlineStr">
        <is>
          <t>7/C</t>
        </is>
      </c>
      <c r="M2092" s="12" t="inlineStr">
        <is>
          <t>14</t>
        </is>
      </c>
      <c r="N2092" s="12" t="n">
        <v>1</v>
      </c>
      <c r="O2092" s="12" t="n">
        <v>1</v>
      </c>
      <c r="P2092" s="12" t="n"/>
      <c r="Q2092" s="12" t="n"/>
      <c r="R2092" s="12" t="n"/>
      <c r="S2092" s="12" t="inlineStr">
        <is>
          <t>Duct bank</t>
        </is>
      </c>
      <c r="T2092" s="16" t="n">
        <v>215</v>
      </c>
      <c r="U2092" s="16" t="n">
        <v>51</v>
      </c>
      <c r="V2092" s="16">
        <f>ROUNDUP((T2092+U2092+2*'Read Me'!$B$13)*(1+'Read Me'!$B$12),-1)</f>
        <v/>
      </c>
      <c r="W2092" s="16">
        <f>V2092*N2092*O2092</f>
        <v/>
      </c>
      <c r="X2092" s="12">
        <f>IF(LEFT(I2092,2)="MV",2*N2092*IF(L2092="1/C",O2092,1),0)</f>
        <v/>
      </c>
      <c r="Y2092" s="12">
        <f>IF(OR(LEFT(K2092,4)="LVAX",LEFT(K2092,6)="MV15AX",LEFT(K2092,4)="CTAX",LEFT(K2092,2)="W|"),2*N2092*O2092,0)</f>
        <v/>
      </c>
      <c r="Z2092" s="12" t="inlineStr"/>
      <c r="AA2092" s="12">
        <f>N2092*O2092</f>
        <v/>
      </c>
    </row>
    <row r="2093">
      <c r="A2093" s="12" t="inlineStr">
        <is>
          <t>B-C-0166</t>
        </is>
      </c>
      <c r="B2093" s="12" t="inlineStr">
        <is>
          <t>B</t>
        </is>
      </c>
      <c r="C2093" s="12" t="inlineStr">
        <is>
          <t>ACC</t>
        </is>
      </c>
      <c r="D2093" s="12" t="inlineStr">
        <is>
          <t>Motor 6 of 6: control / local station</t>
        </is>
      </c>
      <c r="E2093" s="12" t="inlineStr"/>
      <c r="F2093" s="12" t="inlineStr">
        <is>
          <t>R4 480 V switchgear + vacuum-pump MCC</t>
        </is>
      </c>
      <c r="G2093" s="12" t="inlineStr"/>
      <c r="H2093" s="12" t="inlineStr">
        <is>
          <t>T-R4-3: 13.8/0.48 kV</t>
        </is>
      </c>
      <c r="I2093" s="12" t="inlineStr">
        <is>
          <t>Control</t>
        </is>
      </c>
      <c r="J2093" s="12" t="inlineStr">
        <is>
          <t>Control cable 600 V Type TC-ER, Cu #14 AWG, PVC jacket</t>
        </is>
      </c>
      <c r="K2093" s="12" t="inlineStr">
        <is>
          <t>CT|7/C|14</t>
        </is>
      </c>
      <c r="L2093" s="12" t="inlineStr">
        <is>
          <t>7/C</t>
        </is>
      </c>
      <c r="M2093" s="12" t="inlineStr">
        <is>
          <t>14</t>
        </is>
      </c>
      <c r="N2093" s="12" t="n">
        <v>1</v>
      </c>
      <c r="O2093" s="12" t="n">
        <v>1</v>
      </c>
      <c r="P2093" s="12" t="n"/>
      <c r="Q2093" s="12" t="n"/>
      <c r="R2093" s="12" t="n"/>
      <c r="S2093" s="12" t="inlineStr">
        <is>
          <t>Duct bank</t>
        </is>
      </c>
      <c r="T2093" s="16" t="n">
        <v>215</v>
      </c>
      <c r="U2093" s="16" t="n">
        <v>51</v>
      </c>
      <c r="V2093" s="16">
        <f>ROUNDUP((T2093+U2093+2*'Read Me'!$B$13)*(1+'Read Me'!$B$12),-1)</f>
        <v/>
      </c>
      <c r="W2093" s="16">
        <f>V2093*N2093*O2093</f>
        <v/>
      </c>
      <c r="X2093" s="12">
        <f>IF(LEFT(I2093,2)="MV",2*N2093*IF(L2093="1/C",O2093,1),0)</f>
        <v/>
      </c>
      <c r="Y2093" s="12">
        <f>IF(OR(LEFT(K2093,4)="LVAX",LEFT(K2093,6)="MV15AX",LEFT(K2093,4)="CTAX",LEFT(K2093,2)="W|"),2*N2093*O2093,0)</f>
        <v/>
      </c>
      <c r="Z2093" s="12" t="inlineStr"/>
      <c r="AA2093" s="12">
        <f>N2093*O2093</f>
        <v/>
      </c>
    </row>
    <row r="2094">
      <c r="A2094" s="12" t="inlineStr">
        <is>
          <t>B-C-0167</t>
        </is>
      </c>
      <c r="B2094" s="12" t="inlineStr">
        <is>
          <t>B</t>
        </is>
      </c>
      <c r="C2094" s="12" t="inlineStr">
        <is>
          <t>ACC</t>
        </is>
      </c>
      <c r="D2094" s="12" t="inlineStr">
        <is>
          <t>Motor 1 of 6: control / local station</t>
        </is>
      </c>
      <c r="E2094" s="12" t="inlineStr"/>
      <c r="F2094" s="12" t="inlineStr">
        <is>
          <t>R4 480 V switchgear + vacuum-pump MCC</t>
        </is>
      </c>
      <c r="G2094" s="12" t="inlineStr"/>
      <c r="H2094" s="12" t="inlineStr">
        <is>
          <t>T-R4-4: 13.8/0.48 kV</t>
        </is>
      </c>
      <c r="I2094" s="12" t="inlineStr">
        <is>
          <t>Control</t>
        </is>
      </c>
      <c r="J2094" s="12" t="inlineStr">
        <is>
          <t>Control cable 600 V Type TC-ER, Cu #14 AWG, PVC jacket</t>
        </is>
      </c>
      <c r="K2094" s="12" t="inlineStr">
        <is>
          <t>CT|7/C|14</t>
        </is>
      </c>
      <c r="L2094" s="12" t="inlineStr">
        <is>
          <t>7/C</t>
        </is>
      </c>
      <c r="M2094" s="12" t="inlineStr">
        <is>
          <t>14</t>
        </is>
      </c>
      <c r="N2094" s="12" t="n">
        <v>1</v>
      </c>
      <c r="O2094" s="12" t="n">
        <v>1</v>
      </c>
      <c r="P2094" s="12" t="n"/>
      <c r="Q2094" s="12" t="n"/>
      <c r="R2094" s="12" t="n"/>
      <c r="S2094" s="12" t="inlineStr">
        <is>
          <t>Duct bank</t>
        </is>
      </c>
      <c r="T2094" s="16" t="n">
        <v>209</v>
      </c>
      <c r="U2094" s="16" t="n">
        <v>77</v>
      </c>
      <c r="V2094" s="16">
        <f>ROUNDUP((T2094+U2094+2*'Read Me'!$B$13)*(1+'Read Me'!$B$12),-1)</f>
        <v/>
      </c>
      <c r="W2094" s="16">
        <f>V2094*N2094*O2094</f>
        <v/>
      </c>
      <c r="X2094" s="12">
        <f>IF(LEFT(I2094,2)="MV",2*N2094*IF(L2094="1/C",O2094,1),0)</f>
        <v/>
      </c>
      <c r="Y2094" s="12">
        <f>IF(OR(LEFT(K2094,4)="LVAX",LEFT(K2094,6)="MV15AX",LEFT(K2094,4)="CTAX",LEFT(K2094,2)="W|"),2*N2094*O2094,0)</f>
        <v/>
      </c>
      <c r="Z2094" s="12" t="inlineStr"/>
      <c r="AA2094" s="12">
        <f>N2094*O2094</f>
        <v/>
      </c>
    </row>
    <row r="2095">
      <c r="A2095" s="12" t="inlineStr">
        <is>
          <t>B-C-0168</t>
        </is>
      </c>
      <c r="B2095" s="12" t="inlineStr">
        <is>
          <t>B</t>
        </is>
      </c>
      <c r="C2095" s="12" t="inlineStr">
        <is>
          <t>ACC</t>
        </is>
      </c>
      <c r="D2095" s="12" t="inlineStr">
        <is>
          <t>Motor 2 of 6: control / local station</t>
        </is>
      </c>
      <c r="E2095" s="12" t="inlineStr"/>
      <c r="F2095" s="12" t="inlineStr">
        <is>
          <t>R4 480 V switchgear + vacuum-pump MCC</t>
        </is>
      </c>
      <c r="G2095" s="12" t="inlineStr"/>
      <c r="H2095" s="12" t="inlineStr">
        <is>
          <t>T-R4-4: 13.8/0.48 kV</t>
        </is>
      </c>
      <c r="I2095" s="12" t="inlineStr">
        <is>
          <t>Control</t>
        </is>
      </c>
      <c r="J2095" s="12" t="inlineStr">
        <is>
          <t>Control cable 600 V Type TC-ER, Cu #14 AWG, PVC jacket</t>
        </is>
      </c>
      <c r="K2095" s="12" t="inlineStr">
        <is>
          <t>CT|7/C|14</t>
        </is>
      </c>
      <c r="L2095" s="12" t="inlineStr">
        <is>
          <t>7/C</t>
        </is>
      </c>
      <c r="M2095" s="12" t="inlineStr">
        <is>
          <t>14</t>
        </is>
      </c>
      <c r="N2095" s="12" t="n">
        <v>1</v>
      </c>
      <c r="O2095" s="12" t="n">
        <v>1</v>
      </c>
      <c r="P2095" s="12" t="n"/>
      <c r="Q2095" s="12" t="n"/>
      <c r="R2095" s="12" t="n"/>
      <c r="S2095" s="12" t="inlineStr">
        <is>
          <t>Duct bank</t>
        </is>
      </c>
      <c r="T2095" s="16" t="n">
        <v>209</v>
      </c>
      <c r="U2095" s="16" t="n">
        <v>77</v>
      </c>
      <c r="V2095" s="16">
        <f>ROUNDUP((T2095+U2095+2*'Read Me'!$B$13)*(1+'Read Me'!$B$12),-1)</f>
        <v/>
      </c>
      <c r="W2095" s="16">
        <f>V2095*N2095*O2095</f>
        <v/>
      </c>
      <c r="X2095" s="12">
        <f>IF(LEFT(I2095,2)="MV",2*N2095*IF(L2095="1/C",O2095,1),0)</f>
        <v/>
      </c>
      <c r="Y2095" s="12">
        <f>IF(OR(LEFT(K2095,4)="LVAX",LEFT(K2095,6)="MV15AX",LEFT(K2095,4)="CTAX",LEFT(K2095,2)="W|"),2*N2095*O2095,0)</f>
        <v/>
      </c>
      <c r="Z2095" s="12" t="inlineStr"/>
      <c r="AA2095" s="12">
        <f>N2095*O2095</f>
        <v/>
      </c>
    </row>
    <row r="2096">
      <c r="A2096" s="12" t="inlineStr">
        <is>
          <t>B-C-0169</t>
        </is>
      </c>
      <c r="B2096" s="12" t="inlineStr">
        <is>
          <t>B</t>
        </is>
      </c>
      <c r="C2096" s="12" t="inlineStr">
        <is>
          <t>ACC</t>
        </is>
      </c>
      <c r="D2096" s="12" t="inlineStr">
        <is>
          <t>Motor 3 of 6: control / local station</t>
        </is>
      </c>
      <c r="E2096" s="12" t="inlineStr"/>
      <c r="F2096" s="12" t="inlineStr">
        <is>
          <t>R4 480 V switchgear + vacuum-pump MCC</t>
        </is>
      </c>
      <c r="G2096" s="12" t="inlineStr"/>
      <c r="H2096" s="12" t="inlineStr">
        <is>
          <t>T-R4-4: 13.8/0.48 kV</t>
        </is>
      </c>
      <c r="I2096" s="12" t="inlineStr">
        <is>
          <t>Control</t>
        </is>
      </c>
      <c r="J2096" s="12" t="inlineStr">
        <is>
          <t>Control cable 600 V Type TC-ER, Cu #14 AWG, PVC jacket</t>
        </is>
      </c>
      <c r="K2096" s="12" t="inlineStr">
        <is>
          <t>CT|7/C|14</t>
        </is>
      </c>
      <c r="L2096" s="12" t="inlineStr">
        <is>
          <t>7/C</t>
        </is>
      </c>
      <c r="M2096" s="12" t="inlineStr">
        <is>
          <t>14</t>
        </is>
      </c>
      <c r="N2096" s="12" t="n">
        <v>1</v>
      </c>
      <c r="O2096" s="12" t="n">
        <v>1</v>
      </c>
      <c r="P2096" s="12" t="n"/>
      <c r="Q2096" s="12" t="n"/>
      <c r="R2096" s="12" t="n"/>
      <c r="S2096" s="12" t="inlineStr">
        <is>
          <t>Duct bank</t>
        </is>
      </c>
      <c r="T2096" s="16" t="n">
        <v>209</v>
      </c>
      <c r="U2096" s="16" t="n">
        <v>77</v>
      </c>
      <c r="V2096" s="16">
        <f>ROUNDUP((T2096+U2096+2*'Read Me'!$B$13)*(1+'Read Me'!$B$12),-1)</f>
        <v/>
      </c>
      <c r="W2096" s="16">
        <f>V2096*N2096*O2096</f>
        <v/>
      </c>
      <c r="X2096" s="12">
        <f>IF(LEFT(I2096,2)="MV",2*N2096*IF(L2096="1/C",O2096,1),0)</f>
        <v/>
      </c>
      <c r="Y2096" s="12">
        <f>IF(OR(LEFT(K2096,4)="LVAX",LEFT(K2096,6)="MV15AX",LEFT(K2096,4)="CTAX",LEFT(K2096,2)="W|"),2*N2096*O2096,0)</f>
        <v/>
      </c>
      <c r="Z2096" s="12" t="inlineStr"/>
      <c r="AA2096" s="12">
        <f>N2096*O2096</f>
        <v/>
      </c>
    </row>
    <row r="2097">
      <c r="A2097" s="12" t="inlineStr">
        <is>
          <t>B-C-0170</t>
        </is>
      </c>
      <c r="B2097" s="12" t="inlineStr">
        <is>
          <t>B</t>
        </is>
      </c>
      <c r="C2097" s="12" t="inlineStr">
        <is>
          <t>ACC</t>
        </is>
      </c>
      <c r="D2097" s="12" t="inlineStr">
        <is>
          <t>Motor 4 of 6: control / local station</t>
        </is>
      </c>
      <c r="E2097" s="12" t="inlineStr"/>
      <c r="F2097" s="12" t="inlineStr">
        <is>
          <t>R4 480 V switchgear + vacuum-pump MCC</t>
        </is>
      </c>
      <c r="G2097" s="12" t="inlineStr"/>
      <c r="H2097" s="12" t="inlineStr">
        <is>
          <t>T-R4-4: 13.8/0.48 kV</t>
        </is>
      </c>
      <c r="I2097" s="12" t="inlineStr">
        <is>
          <t>Control</t>
        </is>
      </c>
      <c r="J2097" s="12" t="inlineStr">
        <is>
          <t>Control cable 600 V Type TC-ER, Cu #14 AWG, PVC jacket</t>
        </is>
      </c>
      <c r="K2097" s="12" t="inlineStr">
        <is>
          <t>CT|7/C|14</t>
        </is>
      </c>
      <c r="L2097" s="12" t="inlineStr">
        <is>
          <t>7/C</t>
        </is>
      </c>
      <c r="M2097" s="12" t="inlineStr">
        <is>
          <t>14</t>
        </is>
      </c>
      <c r="N2097" s="12" t="n">
        <v>1</v>
      </c>
      <c r="O2097" s="12" t="n">
        <v>1</v>
      </c>
      <c r="P2097" s="12" t="n"/>
      <c r="Q2097" s="12" t="n"/>
      <c r="R2097" s="12" t="n"/>
      <c r="S2097" s="12" t="inlineStr">
        <is>
          <t>Duct bank</t>
        </is>
      </c>
      <c r="T2097" s="16" t="n">
        <v>209</v>
      </c>
      <c r="U2097" s="16" t="n">
        <v>77</v>
      </c>
      <c r="V2097" s="16">
        <f>ROUNDUP((T2097+U2097+2*'Read Me'!$B$13)*(1+'Read Me'!$B$12),-1)</f>
        <v/>
      </c>
      <c r="W2097" s="16">
        <f>V2097*N2097*O2097</f>
        <v/>
      </c>
      <c r="X2097" s="12">
        <f>IF(LEFT(I2097,2)="MV",2*N2097*IF(L2097="1/C",O2097,1),0)</f>
        <v/>
      </c>
      <c r="Y2097" s="12">
        <f>IF(OR(LEFT(K2097,4)="LVAX",LEFT(K2097,6)="MV15AX",LEFT(K2097,4)="CTAX",LEFT(K2097,2)="W|"),2*N2097*O2097,0)</f>
        <v/>
      </c>
      <c r="Z2097" s="12" t="inlineStr"/>
      <c r="AA2097" s="12">
        <f>N2097*O2097</f>
        <v/>
      </c>
    </row>
    <row r="2098">
      <c r="A2098" s="12" t="inlineStr">
        <is>
          <t>B-C-0171</t>
        </is>
      </c>
      <c r="B2098" s="12" t="inlineStr">
        <is>
          <t>B</t>
        </is>
      </c>
      <c r="C2098" s="12" t="inlineStr">
        <is>
          <t>ACC</t>
        </is>
      </c>
      <c r="D2098" s="12" t="inlineStr">
        <is>
          <t>Motor 5 of 6: control / local station</t>
        </is>
      </c>
      <c r="E2098" s="12" t="inlineStr"/>
      <c r="F2098" s="12" t="inlineStr">
        <is>
          <t>R4 480 V switchgear + vacuum-pump MCC</t>
        </is>
      </c>
      <c r="G2098" s="12" t="inlineStr"/>
      <c r="H2098" s="12" t="inlineStr">
        <is>
          <t>T-R4-4: 13.8/0.48 kV</t>
        </is>
      </c>
      <c r="I2098" s="12" t="inlineStr">
        <is>
          <t>Control</t>
        </is>
      </c>
      <c r="J2098" s="12" t="inlineStr">
        <is>
          <t>Control cable 600 V Type TC-ER, Cu #14 AWG, PVC jacket</t>
        </is>
      </c>
      <c r="K2098" s="12" t="inlineStr">
        <is>
          <t>CT|7/C|14</t>
        </is>
      </c>
      <c r="L2098" s="12" t="inlineStr">
        <is>
          <t>7/C</t>
        </is>
      </c>
      <c r="M2098" s="12" t="inlineStr">
        <is>
          <t>14</t>
        </is>
      </c>
      <c r="N2098" s="12" t="n">
        <v>1</v>
      </c>
      <c r="O2098" s="12" t="n">
        <v>1</v>
      </c>
      <c r="P2098" s="12" t="n"/>
      <c r="Q2098" s="12" t="n"/>
      <c r="R2098" s="12" t="n"/>
      <c r="S2098" s="12" t="inlineStr">
        <is>
          <t>Duct bank</t>
        </is>
      </c>
      <c r="T2098" s="16" t="n">
        <v>209</v>
      </c>
      <c r="U2098" s="16" t="n">
        <v>77</v>
      </c>
      <c r="V2098" s="16">
        <f>ROUNDUP((T2098+U2098+2*'Read Me'!$B$13)*(1+'Read Me'!$B$12),-1)</f>
        <v/>
      </c>
      <c r="W2098" s="16">
        <f>V2098*N2098*O2098</f>
        <v/>
      </c>
      <c r="X2098" s="12">
        <f>IF(LEFT(I2098,2)="MV",2*N2098*IF(L2098="1/C",O2098,1),0)</f>
        <v/>
      </c>
      <c r="Y2098" s="12">
        <f>IF(OR(LEFT(K2098,4)="LVAX",LEFT(K2098,6)="MV15AX",LEFT(K2098,4)="CTAX",LEFT(K2098,2)="W|"),2*N2098*O2098,0)</f>
        <v/>
      </c>
      <c r="Z2098" s="12" t="inlineStr"/>
      <c r="AA2098" s="12">
        <f>N2098*O2098</f>
        <v/>
      </c>
    </row>
    <row r="2099">
      <c r="A2099" s="12" t="inlineStr">
        <is>
          <t>B-C-0172</t>
        </is>
      </c>
      <c r="B2099" s="12" t="inlineStr">
        <is>
          <t>B</t>
        </is>
      </c>
      <c r="C2099" s="12" t="inlineStr">
        <is>
          <t>ACC</t>
        </is>
      </c>
      <c r="D2099" s="12" t="inlineStr">
        <is>
          <t>Motor 6 of 6: control / local station</t>
        </is>
      </c>
      <c r="E2099" s="12" t="inlineStr"/>
      <c r="F2099" s="12" t="inlineStr">
        <is>
          <t>R4 480 V switchgear + vacuum-pump MCC</t>
        </is>
      </c>
      <c r="G2099" s="12" t="inlineStr"/>
      <c r="H2099" s="12" t="inlineStr">
        <is>
          <t>T-R4-4: 13.8/0.48 kV</t>
        </is>
      </c>
      <c r="I2099" s="12" t="inlineStr">
        <is>
          <t>Control</t>
        </is>
      </c>
      <c r="J2099" s="12" t="inlineStr">
        <is>
          <t>Control cable 600 V Type TC-ER, Cu #14 AWG, PVC jacket</t>
        </is>
      </c>
      <c r="K2099" s="12" t="inlineStr">
        <is>
          <t>CT|7/C|14</t>
        </is>
      </c>
      <c r="L2099" s="12" t="inlineStr">
        <is>
          <t>7/C</t>
        </is>
      </c>
      <c r="M2099" s="12" t="inlineStr">
        <is>
          <t>14</t>
        </is>
      </c>
      <c r="N2099" s="12" t="n">
        <v>1</v>
      </c>
      <c r="O2099" s="12" t="n">
        <v>1</v>
      </c>
      <c r="P2099" s="12" t="n"/>
      <c r="Q2099" s="12" t="n"/>
      <c r="R2099" s="12" t="n"/>
      <c r="S2099" s="12" t="inlineStr">
        <is>
          <t>Duct bank</t>
        </is>
      </c>
      <c r="T2099" s="16" t="n">
        <v>209</v>
      </c>
      <c r="U2099" s="16" t="n">
        <v>77</v>
      </c>
      <c r="V2099" s="16">
        <f>ROUNDUP((T2099+U2099+2*'Read Me'!$B$13)*(1+'Read Me'!$B$12),-1)</f>
        <v/>
      </c>
      <c r="W2099" s="16">
        <f>V2099*N2099*O2099</f>
        <v/>
      </c>
      <c r="X2099" s="12">
        <f>IF(LEFT(I2099,2)="MV",2*N2099*IF(L2099="1/C",O2099,1),0)</f>
        <v/>
      </c>
      <c r="Y2099" s="12">
        <f>IF(OR(LEFT(K2099,4)="LVAX",LEFT(K2099,6)="MV15AX",LEFT(K2099,4)="CTAX",LEFT(K2099,2)="W|"),2*N2099*O2099,0)</f>
        <v/>
      </c>
      <c r="Z2099" s="12" t="inlineStr"/>
      <c r="AA2099" s="12">
        <f>N2099*O2099</f>
        <v/>
      </c>
    </row>
    <row r="2100">
      <c r="A2100" s="12" t="inlineStr">
        <is>
          <t>B-C-0173</t>
        </is>
      </c>
      <c r="B2100" s="12" t="inlineStr">
        <is>
          <t>B</t>
        </is>
      </c>
      <c r="C2100" s="12" t="inlineStr">
        <is>
          <t>ACC</t>
        </is>
      </c>
      <c r="D2100" s="12" t="inlineStr">
        <is>
          <t>Motor 1 of 2: control / local station</t>
        </is>
      </c>
      <c r="E2100" s="12" t="inlineStr"/>
      <c r="F2100" s="12" t="inlineStr">
        <is>
          <t>R4 480 V switchgear + vacuum-pump MCC</t>
        </is>
      </c>
      <c r="G2100" s="12" t="inlineStr">
        <is>
          <t>VAC-A/B</t>
        </is>
      </c>
      <c r="H2100" s="12" t="inlineStr">
        <is>
          <t>VAC-A/B: ACC air-removal vacuum pumps</t>
        </is>
      </c>
      <c r="I2100" s="12" t="inlineStr">
        <is>
          <t>Control</t>
        </is>
      </c>
      <c r="J2100" s="12" t="inlineStr">
        <is>
          <t>Control cable 600 V Type TC-ER, Cu #14 AWG, PVC jacket</t>
        </is>
      </c>
      <c r="K2100" s="12" t="inlineStr">
        <is>
          <t>CT|7/C|14</t>
        </is>
      </c>
      <c r="L2100" s="12" t="inlineStr">
        <is>
          <t>7/C</t>
        </is>
      </c>
      <c r="M2100" s="12" t="inlineStr">
        <is>
          <t>14</t>
        </is>
      </c>
      <c r="N2100" s="12" t="n">
        <v>1</v>
      </c>
      <c r="O2100" s="12" t="n">
        <v>1</v>
      </c>
      <c r="P2100" s="12" t="n"/>
      <c r="Q2100" s="12" t="n"/>
      <c r="R2100" s="12" t="n"/>
      <c r="S2100" s="12" t="inlineStr">
        <is>
          <t>Tray</t>
        </is>
      </c>
      <c r="T2100" s="16" t="n">
        <v>520</v>
      </c>
      <c r="U2100" s="16" t="n">
        <v>99</v>
      </c>
      <c r="V2100" s="16">
        <f>ROUNDUP((T2100+U2100+2*'Read Me'!$B$13)*(1+'Read Me'!$B$12),-1)</f>
        <v/>
      </c>
      <c r="W2100" s="16">
        <f>V2100*N2100*O2100</f>
        <v/>
      </c>
      <c r="X2100" s="12">
        <f>IF(LEFT(I2100,2)="MV",2*N2100*IF(L2100="1/C",O2100,1),0)</f>
        <v/>
      </c>
      <c r="Y2100" s="12">
        <f>IF(OR(LEFT(K2100,4)="LVAX",LEFT(K2100,6)="MV15AX",LEFT(K2100,4)="CTAX",LEFT(K2100,2)="W|"),2*N2100*O2100,0)</f>
        <v/>
      </c>
      <c r="Z2100" s="12" t="inlineStr"/>
      <c r="AA2100" s="12">
        <f>N2100*O2100</f>
        <v/>
      </c>
    </row>
    <row r="2101">
      <c r="A2101" s="12" t="inlineStr">
        <is>
          <t>B-C-0174</t>
        </is>
      </c>
      <c r="B2101" s="12" t="inlineStr">
        <is>
          <t>B</t>
        </is>
      </c>
      <c r="C2101" s="12" t="inlineStr">
        <is>
          <t>ACC</t>
        </is>
      </c>
      <c r="D2101" s="12" t="inlineStr">
        <is>
          <t>Motor 2 of 2: control / local station</t>
        </is>
      </c>
      <c r="E2101" s="12" t="inlineStr"/>
      <c r="F2101" s="12" t="inlineStr">
        <is>
          <t>R4 480 V switchgear + vacuum-pump MCC</t>
        </is>
      </c>
      <c r="G2101" s="12" t="inlineStr">
        <is>
          <t>VAC-A/B</t>
        </is>
      </c>
      <c r="H2101" s="12" t="inlineStr">
        <is>
          <t>VAC-A/B: ACC air-removal vacuum pumps</t>
        </is>
      </c>
      <c r="I2101" s="12" t="inlineStr">
        <is>
          <t>Control</t>
        </is>
      </c>
      <c r="J2101" s="12" t="inlineStr">
        <is>
          <t>Control cable 600 V Type TC-ER, Cu #14 AWG, PVC jacket</t>
        </is>
      </c>
      <c r="K2101" s="12" t="inlineStr">
        <is>
          <t>CT|7/C|14</t>
        </is>
      </c>
      <c r="L2101" s="12" t="inlineStr">
        <is>
          <t>7/C</t>
        </is>
      </c>
      <c r="M2101" s="12" t="inlineStr">
        <is>
          <t>14</t>
        </is>
      </c>
      <c r="N2101" s="12" t="n">
        <v>1</v>
      </c>
      <c r="O2101" s="12" t="n">
        <v>1</v>
      </c>
      <c r="P2101" s="12" t="n"/>
      <c r="Q2101" s="12" t="n"/>
      <c r="R2101" s="12" t="n"/>
      <c r="S2101" s="12" t="inlineStr">
        <is>
          <t>Tray</t>
        </is>
      </c>
      <c r="T2101" s="16" t="n">
        <v>520</v>
      </c>
      <c r="U2101" s="16" t="n">
        <v>99</v>
      </c>
      <c r="V2101" s="16">
        <f>ROUNDUP((T2101+U2101+2*'Read Me'!$B$13)*(1+'Read Me'!$B$12),-1)</f>
        <v/>
      </c>
      <c r="W2101" s="16">
        <f>V2101*N2101*O2101</f>
        <v/>
      </c>
      <c r="X2101" s="12">
        <f>IF(LEFT(I2101,2)="MV",2*N2101*IF(L2101="1/C",O2101,1),0)</f>
        <v/>
      </c>
      <c r="Y2101" s="12">
        <f>IF(OR(LEFT(K2101,4)="LVAX",LEFT(K2101,6)="MV15AX",LEFT(K2101,4)="CTAX",LEFT(K2101,2)="W|"),2*N2101*O2101,0)</f>
        <v/>
      </c>
      <c r="Z2101" s="12" t="inlineStr"/>
      <c r="AA2101" s="12">
        <f>N2101*O2101</f>
        <v/>
      </c>
    </row>
    <row r="2102">
      <c r="A2102" s="12" t="inlineStr">
        <is>
          <t>B-F-0001</t>
        </is>
      </c>
      <c r="B2102" s="12" t="inlineStr">
        <is>
          <t>B</t>
        </is>
      </c>
      <c r="C2102" s="12" t="inlineStr">
        <is>
          <t>ACC</t>
        </is>
      </c>
      <c r="D2102" s="12" t="inlineStr">
        <is>
          <t>Plant network / DCS fibre</t>
        </is>
      </c>
      <c r="E2102" s="12" t="inlineStr">
        <is>
          <t>CR</t>
        </is>
      </c>
      <c r="F2102" s="12" t="inlineStr">
        <is>
          <t>Control / admin building (main control room)</t>
        </is>
      </c>
      <c r="G2102" s="12" t="inlineStr">
        <is>
          <t>R4</t>
        </is>
      </c>
      <c r="H2102" s="12" t="inlineStr">
        <is>
          <t>R4: ACC electrical (VFD) e-house (60 x 120 ft)</t>
        </is>
      </c>
      <c r="I2102" s="12" t="inlineStr">
        <is>
          <t>Fibre / data</t>
        </is>
      </c>
      <c r="J2102" s="12" t="inlineStr">
        <is>
          <t>Fibre optic, single-mode, 12-fibre, armored, orange jacket</t>
        </is>
      </c>
      <c r="K2102" s="12" t="inlineStr">
        <is>
          <t>FO|12 SM|-</t>
        </is>
      </c>
      <c r="L2102" s="12" t="inlineStr">
        <is>
          <t>12 SM</t>
        </is>
      </c>
      <c r="M2102" s="12" t="inlineStr">
        <is>
          <t>-</t>
        </is>
      </c>
      <c r="N2102" s="12" t="n">
        <v>1</v>
      </c>
      <c r="O2102" s="12" t="n">
        <v>1</v>
      </c>
      <c r="P2102" s="12" t="n"/>
      <c r="Q2102" s="12" t="n"/>
      <c r="R2102" s="12" t="n"/>
      <c r="S2102" s="12" t="inlineStr">
        <is>
          <t>Duct bank</t>
        </is>
      </c>
      <c r="T2102" s="16" t="n">
        <v>1408</v>
      </c>
      <c r="U2102" s="16" t="n">
        <v>57</v>
      </c>
      <c r="V2102" s="16">
        <f>ROUNDUP((T2102+U2102+2*'Read Me'!$B$13)*(1+'Read Me'!$B$12),-1)</f>
        <v/>
      </c>
      <c r="W2102" s="16">
        <f>V2102*N2102*O2102</f>
        <v/>
      </c>
      <c r="X2102" s="12">
        <f>IF(LEFT(I2102,2)="MV",2*N2102*IF(L2102="1/C",O2102,1),0)</f>
        <v/>
      </c>
      <c r="Y2102" s="12">
        <f>IF(OR(LEFT(K2102,4)="LVAX",LEFT(K2102,6)="MV15AX",LEFT(K2102,4)="CTAX",LEFT(K2102,2)="W|"),2*N2102*O2102,0)</f>
        <v/>
      </c>
      <c r="Z2102" s="12" t="inlineStr"/>
      <c r="AA2102" s="12">
        <f>N2102*O2102</f>
        <v/>
      </c>
    </row>
    <row r="2103">
      <c r="A2103" s="12" t="inlineStr">
        <is>
          <t>B-FA-0001</t>
        </is>
      </c>
      <c r="B2103" s="12" t="inlineStr">
        <is>
          <t>B</t>
        </is>
      </c>
      <c r="C2103" s="12" t="inlineStr">
        <is>
          <t>ACC</t>
        </is>
      </c>
      <c r="D2103" s="12" t="inlineStr">
        <is>
          <t>Fire alarm / F&amp;G loop (to the local FACP / F&amp;G node)</t>
        </is>
      </c>
      <c r="E2103" s="12" t="inlineStr">
        <is>
          <t>R4</t>
        </is>
      </c>
      <c r="F2103" s="12" t="inlineStr">
        <is>
          <t>R4: ACC electrical (VFD) e-house (60 x 120 ft)</t>
        </is>
      </c>
      <c r="G2103" s="12" t="inlineStr"/>
      <c r="H2103" s="12" t="inlineStr">
        <is>
          <t>R4 480 V switchgear + vacuum-pump MCC</t>
        </is>
      </c>
      <c r="I2103" s="12" t="inlineStr">
        <is>
          <t>Fire alarm</t>
        </is>
      </c>
      <c r="J2103" s="12" t="inlineStr">
        <is>
          <t>Fire alarm FPLR 2/C #14 shielded, red jacket (NEC 760)</t>
        </is>
      </c>
      <c r="K2103" s="12" t="inlineStr">
        <is>
          <t>FA|2/C|14</t>
        </is>
      </c>
      <c r="L2103" s="12" t="inlineStr">
        <is>
          <t>2/C</t>
        </is>
      </c>
      <c r="M2103" s="12" t="inlineStr">
        <is>
          <t>14</t>
        </is>
      </c>
      <c r="N2103" s="12" t="n">
        <v>1</v>
      </c>
      <c r="O2103" s="12" t="n">
        <v>1</v>
      </c>
      <c r="P2103" s="12" t="n"/>
      <c r="Q2103" s="12" t="n"/>
      <c r="R2103" s="12" t="n"/>
      <c r="S2103" s="12" t="inlineStr">
        <is>
          <t>Tray</t>
        </is>
      </c>
      <c r="T2103" s="16" t="n">
        <v>0</v>
      </c>
      <c r="U2103" s="16" t="n">
        <v>54</v>
      </c>
      <c r="V2103" s="16">
        <f>ROUNDUP((T2103+U2103+2*'Read Me'!$B$13)*(1+'Read Me'!$B$12),-1)</f>
        <v/>
      </c>
      <c r="W2103" s="16">
        <f>V2103*N2103*O2103</f>
        <v/>
      </c>
      <c r="X2103" s="12">
        <f>IF(LEFT(I2103,2)="MV",2*N2103*IF(L2103="1/C",O2103,1),0)</f>
        <v/>
      </c>
      <c r="Y2103" s="12">
        <f>IF(OR(LEFT(K2103,4)="LVAX",LEFT(K2103,6)="MV15AX",LEFT(K2103,4)="CTAX",LEFT(K2103,2)="W|"),2*N2103*O2103,0)</f>
        <v/>
      </c>
      <c r="Z2103" s="12" t="inlineStr"/>
      <c r="AA2103" s="12">
        <f>N2103*O2103</f>
        <v/>
      </c>
    </row>
    <row r="2104">
      <c r="A2104" s="12" t="inlineStr">
        <is>
          <t>B-FA-0002</t>
        </is>
      </c>
      <c r="B2104" s="12" t="inlineStr">
        <is>
          <t>B</t>
        </is>
      </c>
      <c r="C2104" s="12" t="inlineStr">
        <is>
          <t>ACC</t>
        </is>
      </c>
      <c r="D2104" s="12" t="inlineStr">
        <is>
          <t>Fire alarm / F&amp;G loop (to the local FACP / F&amp;G node)</t>
        </is>
      </c>
      <c r="E2104" s="12" t="inlineStr">
        <is>
          <t>R4</t>
        </is>
      </c>
      <c r="F2104" s="12" t="inlineStr">
        <is>
          <t>R4: ACC electrical (VFD) e-house (60 x 120 ft)</t>
        </is>
      </c>
      <c r="G2104" s="12" t="inlineStr">
        <is>
          <t>R4</t>
        </is>
      </c>
      <c r="H2104" s="12" t="inlineStr">
        <is>
          <t>R4: ACC electrical (VFD) e-house (60 x 120 ft)</t>
        </is>
      </c>
      <c r="I2104" s="12" t="inlineStr">
        <is>
          <t>Fire alarm</t>
        </is>
      </c>
      <c r="J2104" s="12" t="inlineStr">
        <is>
          <t>Fire alarm FPLR 2/C #14 shielded, red jacket (NEC 760)</t>
        </is>
      </c>
      <c r="K2104" s="12" t="inlineStr">
        <is>
          <t>FA|2/C|14</t>
        </is>
      </c>
      <c r="L2104" s="12" t="inlineStr">
        <is>
          <t>2/C</t>
        </is>
      </c>
      <c r="M2104" s="12" t="inlineStr">
        <is>
          <t>14</t>
        </is>
      </c>
      <c r="N2104" s="12" t="n">
        <v>1</v>
      </c>
      <c r="O2104" s="12" t="n">
        <v>1</v>
      </c>
      <c r="P2104" s="12" t="n"/>
      <c r="Q2104" s="12" t="n"/>
      <c r="R2104" s="12" t="n"/>
      <c r="S2104" s="12" t="inlineStr">
        <is>
          <t>Tray</t>
        </is>
      </c>
      <c r="T2104" s="16" t="n">
        <v>0</v>
      </c>
      <c r="U2104" s="16" t="n">
        <v>46</v>
      </c>
      <c r="V2104" s="16">
        <f>ROUNDUP((T2104+U2104+2*'Read Me'!$B$13)*(1+'Read Me'!$B$12),-1)</f>
        <v/>
      </c>
      <c r="W2104" s="16">
        <f>V2104*N2104*O2104</f>
        <v/>
      </c>
      <c r="X2104" s="12">
        <f>IF(LEFT(I2104,2)="MV",2*N2104*IF(L2104="1/C",O2104,1),0)</f>
        <v/>
      </c>
      <c r="Y2104" s="12">
        <f>IF(OR(LEFT(K2104,4)="LVAX",LEFT(K2104,6)="MV15AX",LEFT(K2104,4)="CTAX",LEFT(K2104,2)="W|"),2*N2104*O2104,0)</f>
        <v/>
      </c>
      <c r="Z2104" s="12" t="inlineStr"/>
      <c r="AA2104" s="12">
        <f>N2104*O2104</f>
        <v/>
      </c>
    </row>
    <row r="2105">
      <c r="A2105" s="12" t="inlineStr">
        <is>
          <t>B-I-0001</t>
        </is>
      </c>
      <c r="B2105" s="12" t="inlineStr">
        <is>
          <t>B</t>
        </is>
      </c>
      <c r="C2105" s="12" t="inlineStr">
        <is>
          <t>ACC</t>
        </is>
      </c>
      <c r="D2105" s="12" t="inlineStr">
        <is>
          <t>Analog instrument to JB JB-ACC-AI01: 20 x 1 pr (field cables)</t>
        </is>
      </c>
      <c r="E2105" s="12" t="inlineStr">
        <is>
          <t>ACC</t>
        </is>
      </c>
      <c r="F2105" s="12" t="inlineStr">
        <is>
          <t>Air-cooled condenser, 80 cells (steam-cycle heat rejection)</t>
        </is>
      </c>
      <c r="G2105" s="12" t="inlineStr">
        <is>
          <t>JB-ACC-AI01</t>
        </is>
      </c>
      <c r="H2105" s="12" t="inlineStr">
        <is>
          <t>Air-cooled condenser, 80 cells (steam-cycle heat rejection)</t>
        </is>
      </c>
      <c r="I2105" s="12" t="inlineStr">
        <is>
          <t>Instrumentation</t>
        </is>
      </c>
      <c r="J2105" s="12" t="inlineStr">
        <is>
          <t>Instrumentation PLTC / TC-ER 300 V, #18 twisted shielded pairs, overall shield</t>
        </is>
      </c>
      <c r="K2105" s="12" t="inlineStr">
        <is>
          <t>PLTC|1 pr|16</t>
        </is>
      </c>
      <c r="L2105" s="12" t="inlineStr">
        <is>
          <t>1 pr</t>
        </is>
      </c>
      <c r="M2105" s="12" t="inlineStr">
        <is>
          <t>16</t>
        </is>
      </c>
      <c r="N2105" s="12" t="n">
        <v>20</v>
      </c>
      <c r="O2105" s="12" t="n">
        <v>1</v>
      </c>
      <c r="P2105" s="12" t="n"/>
      <c r="Q2105" s="12" t="n"/>
      <c r="R2105" s="12" t="n"/>
      <c r="S2105" s="12" t="inlineStr">
        <is>
          <t>Tray / conduit</t>
        </is>
      </c>
      <c r="T2105" s="16" t="n">
        <v>250</v>
      </c>
      <c r="U2105" s="16" t="n">
        <v>10</v>
      </c>
      <c r="V2105" s="16">
        <f>ROUNDUP((T2105+U2105+2*'Read Me'!$B$13)*(1+'Read Me'!$B$12),-1)</f>
        <v/>
      </c>
      <c r="W2105" s="16">
        <f>V2105*N2105*O2105</f>
        <v/>
      </c>
      <c r="X2105" s="12">
        <f>IF(LEFT(I2105,2)="MV",2*N2105*IF(L2105="1/C",O2105,1),0)</f>
        <v/>
      </c>
      <c r="Y2105" s="12">
        <f>IF(OR(LEFT(K2105,4)="LVAX",LEFT(K2105,6)="MV15AX",LEFT(K2105,4)="CTAX",LEFT(K2105,2)="W|"),2*N2105*O2105,0)</f>
        <v/>
      </c>
      <c r="Z2105" s="12" t="inlineStr">
        <is>
          <t>device-to-JB field wiring, one cable per device</t>
        </is>
      </c>
      <c r="AA2105" s="12">
        <f>N2105*O2105</f>
        <v/>
      </c>
    </row>
    <row r="2106">
      <c r="A2106" s="12" t="inlineStr">
        <is>
          <t>B-I-0002</t>
        </is>
      </c>
      <c r="B2106" s="12" t="inlineStr">
        <is>
          <t>B</t>
        </is>
      </c>
      <c r="C2106" s="12" t="inlineStr">
        <is>
          <t>ACC</t>
        </is>
      </c>
      <c r="D2106" s="12" t="inlineStr">
        <is>
          <t>Home run JB-ACC-AI01 to the control / marshalling room</t>
        </is>
      </c>
      <c r="E2106" s="12" t="inlineStr">
        <is>
          <t>R4</t>
        </is>
      </c>
      <c r="F2106" s="12" t="inlineStr">
        <is>
          <t>R4: ACC electrical (VFD) e-house (60 x 120 ft)</t>
        </is>
      </c>
      <c r="G2106" s="12" t="inlineStr">
        <is>
          <t>JB-ACC-AI01</t>
        </is>
      </c>
      <c r="H2106" s="12" t="inlineStr">
        <is>
          <t>Air-cooled condenser, 80 cells (steam-cycle heat rejection)</t>
        </is>
      </c>
      <c r="I2106" s="12" t="inlineStr">
        <is>
          <t>Instrumentation</t>
        </is>
      </c>
      <c r="J2106" s="12" t="inlineStr">
        <is>
          <t>Instrumentation PLTC / TC-ER 300 V, #18 twisted shielded pairs, overall shield</t>
        </is>
      </c>
      <c r="K2106" s="12" t="inlineStr">
        <is>
          <t>PLTC|24 pr|18</t>
        </is>
      </c>
      <c r="L2106" s="12" t="inlineStr">
        <is>
          <t>24 pr</t>
        </is>
      </c>
      <c r="M2106" s="12" t="inlineStr">
        <is>
          <t>18</t>
        </is>
      </c>
      <c r="N2106" s="12" t="n">
        <v>1</v>
      </c>
      <c r="O2106" s="12" t="n">
        <v>1</v>
      </c>
      <c r="P2106" s="12" t="n"/>
      <c r="Q2106" s="12" t="n"/>
      <c r="R2106" s="12" t="n"/>
      <c r="S2106" s="12" t="inlineStr">
        <is>
          <t>Tray</t>
        </is>
      </c>
      <c r="T2106" s="16" t="n">
        <v>0</v>
      </c>
      <c r="U2106" s="16" t="n">
        <v>44</v>
      </c>
      <c r="V2106" s="16">
        <f>ROUNDUP((T2106+U2106+2*'Read Me'!$B$13)*(1+'Read Me'!$B$12),-1)</f>
        <v/>
      </c>
      <c r="W2106" s="16">
        <f>V2106*N2106*O2106</f>
        <v/>
      </c>
      <c r="X2106" s="12">
        <f>IF(LEFT(I2106,2)="MV",2*N2106*IF(L2106="1/C",O2106,1),0)</f>
        <v/>
      </c>
      <c r="Y2106" s="12">
        <f>IF(OR(LEFT(K2106,4)="LVAX",LEFT(K2106,6)="MV15AX",LEFT(K2106,4)="CTAX",LEFT(K2106,2)="W|"),2*N2106*O2106,0)</f>
        <v/>
      </c>
      <c r="Z2106" s="12" t="inlineStr"/>
      <c r="AA2106" s="12">
        <f>N2106*O2106</f>
        <v/>
      </c>
    </row>
    <row r="2107">
      <c r="A2107" s="12" t="inlineStr">
        <is>
          <t>B-I-0003</t>
        </is>
      </c>
      <c r="B2107" s="12" t="inlineStr">
        <is>
          <t>B</t>
        </is>
      </c>
      <c r="C2107" s="12" t="inlineStr">
        <is>
          <t>ACC</t>
        </is>
      </c>
      <c r="D2107" s="12" t="inlineStr">
        <is>
          <t>Analog instrument to JB JB-ACC-AI02: 20 x 1 pr (field cables)</t>
        </is>
      </c>
      <c r="E2107" s="12" t="inlineStr">
        <is>
          <t>ACC</t>
        </is>
      </c>
      <c r="F2107" s="12" t="inlineStr">
        <is>
          <t>Air-cooled condenser, 80 cells (steam-cycle heat rejection)</t>
        </is>
      </c>
      <c r="G2107" s="12" t="inlineStr">
        <is>
          <t>JB-ACC-AI02</t>
        </is>
      </c>
      <c r="H2107" s="12" t="inlineStr">
        <is>
          <t>Air-cooled condenser, 80 cells (steam-cycle heat rejection)</t>
        </is>
      </c>
      <c r="I2107" s="12" t="inlineStr">
        <is>
          <t>Instrumentation</t>
        </is>
      </c>
      <c r="J2107" s="12" t="inlineStr">
        <is>
          <t>Instrumentation PLTC / TC-ER 300 V, #18 twisted shielded pairs, overall shield</t>
        </is>
      </c>
      <c r="K2107" s="12" t="inlineStr">
        <is>
          <t>PLTC|1 pr|16</t>
        </is>
      </c>
      <c r="L2107" s="12" t="inlineStr">
        <is>
          <t>1 pr</t>
        </is>
      </c>
      <c r="M2107" s="12" t="inlineStr">
        <is>
          <t>16</t>
        </is>
      </c>
      <c r="N2107" s="12" t="n">
        <v>20</v>
      </c>
      <c r="O2107" s="12" t="n">
        <v>1</v>
      </c>
      <c r="P2107" s="12" t="n"/>
      <c r="Q2107" s="12" t="n"/>
      <c r="R2107" s="12" t="n"/>
      <c r="S2107" s="12" t="inlineStr">
        <is>
          <t>Tray / conduit</t>
        </is>
      </c>
      <c r="T2107" s="16" t="n">
        <v>250</v>
      </c>
      <c r="U2107" s="16" t="n">
        <v>10</v>
      </c>
      <c r="V2107" s="16">
        <f>ROUNDUP((T2107+U2107+2*'Read Me'!$B$13)*(1+'Read Me'!$B$12),-1)</f>
        <v/>
      </c>
      <c r="W2107" s="16">
        <f>V2107*N2107*O2107</f>
        <v/>
      </c>
      <c r="X2107" s="12">
        <f>IF(LEFT(I2107,2)="MV",2*N2107*IF(L2107="1/C",O2107,1),0)</f>
        <v/>
      </c>
      <c r="Y2107" s="12">
        <f>IF(OR(LEFT(K2107,4)="LVAX",LEFT(K2107,6)="MV15AX",LEFT(K2107,4)="CTAX",LEFT(K2107,2)="W|"),2*N2107*O2107,0)</f>
        <v/>
      </c>
      <c r="Z2107" s="12" t="inlineStr">
        <is>
          <t>device-to-JB field wiring, one cable per device</t>
        </is>
      </c>
      <c r="AA2107" s="12">
        <f>N2107*O2107</f>
        <v/>
      </c>
    </row>
    <row r="2108">
      <c r="A2108" s="12" t="inlineStr">
        <is>
          <t>B-I-0004</t>
        </is>
      </c>
      <c r="B2108" s="12" t="inlineStr">
        <is>
          <t>B</t>
        </is>
      </c>
      <c r="C2108" s="12" t="inlineStr">
        <is>
          <t>ACC</t>
        </is>
      </c>
      <c r="D2108" s="12" t="inlineStr">
        <is>
          <t>Home run JB-ACC-AI02 to the control / marshalling room</t>
        </is>
      </c>
      <c r="E2108" s="12" t="inlineStr">
        <is>
          <t>R4</t>
        </is>
      </c>
      <c r="F2108" s="12" t="inlineStr">
        <is>
          <t>R4: ACC electrical (VFD) e-house (60 x 120 ft)</t>
        </is>
      </c>
      <c r="G2108" s="12" t="inlineStr">
        <is>
          <t>JB-ACC-AI02</t>
        </is>
      </c>
      <c r="H2108" s="12" t="inlineStr">
        <is>
          <t>Air-cooled condenser, 80 cells (steam-cycle heat rejection)</t>
        </is>
      </c>
      <c r="I2108" s="12" t="inlineStr">
        <is>
          <t>Instrumentation</t>
        </is>
      </c>
      <c r="J2108" s="12" t="inlineStr">
        <is>
          <t>Instrumentation PLTC / TC-ER 300 V, #18 twisted shielded pairs, overall shield</t>
        </is>
      </c>
      <c r="K2108" s="12" t="inlineStr">
        <is>
          <t>PLTC|24 pr|18</t>
        </is>
      </c>
      <c r="L2108" s="12" t="inlineStr">
        <is>
          <t>24 pr</t>
        </is>
      </c>
      <c r="M2108" s="12" t="inlineStr">
        <is>
          <t>18</t>
        </is>
      </c>
      <c r="N2108" s="12" t="n">
        <v>1</v>
      </c>
      <c r="O2108" s="12" t="n">
        <v>1</v>
      </c>
      <c r="P2108" s="12" t="n"/>
      <c r="Q2108" s="12" t="n"/>
      <c r="R2108" s="12" t="n"/>
      <c r="S2108" s="12" t="inlineStr">
        <is>
          <t>Tray</t>
        </is>
      </c>
      <c r="T2108" s="16" t="n">
        <v>0</v>
      </c>
      <c r="U2108" s="16" t="n">
        <v>44</v>
      </c>
      <c r="V2108" s="16">
        <f>ROUNDUP((T2108+U2108+2*'Read Me'!$B$13)*(1+'Read Me'!$B$12),-1)</f>
        <v/>
      </c>
      <c r="W2108" s="16">
        <f>V2108*N2108*O2108</f>
        <v/>
      </c>
      <c r="X2108" s="12">
        <f>IF(LEFT(I2108,2)="MV",2*N2108*IF(L2108="1/C",O2108,1),0)</f>
        <v/>
      </c>
      <c r="Y2108" s="12">
        <f>IF(OR(LEFT(K2108,4)="LVAX",LEFT(K2108,6)="MV15AX",LEFT(K2108,4)="CTAX",LEFT(K2108,2)="W|"),2*N2108*O2108,0)</f>
        <v/>
      </c>
      <c r="Z2108" s="12" t="inlineStr"/>
      <c r="AA2108" s="12">
        <f>N2108*O2108</f>
        <v/>
      </c>
    </row>
    <row r="2109">
      <c r="A2109" s="12" t="inlineStr">
        <is>
          <t>B-I-0005</t>
        </is>
      </c>
      <c r="B2109" s="12" t="inlineStr">
        <is>
          <t>B</t>
        </is>
      </c>
      <c r="C2109" s="12" t="inlineStr">
        <is>
          <t>ACC</t>
        </is>
      </c>
      <c r="D2109" s="12" t="inlineStr">
        <is>
          <t>Analog instrument to JB JB-ACC-AI03: 20 x 1 pr (field cables)</t>
        </is>
      </c>
      <c r="E2109" s="12" t="inlineStr">
        <is>
          <t>ACC</t>
        </is>
      </c>
      <c r="F2109" s="12" t="inlineStr">
        <is>
          <t>Air-cooled condenser, 80 cells (steam-cycle heat rejection)</t>
        </is>
      </c>
      <c r="G2109" s="12" t="inlineStr">
        <is>
          <t>JB-ACC-AI03</t>
        </is>
      </c>
      <c r="H2109" s="12" t="inlineStr">
        <is>
          <t>Air-cooled condenser, 80 cells (steam-cycle heat rejection)</t>
        </is>
      </c>
      <c r="I2109" s="12" t="inlineStr">
        <is>
          <t>Instrumentation</t>
        </is>
      </c>
      <c r="J2109" s="12" t="inlineStr">
        <is>
          <t>Instrumentation PLTC / TC-ER 300 V, #18 twisted shielded pairs, overall shield</t>
        </is>
      </c>
      <c r="K2109" s="12" t="inlineStr">
        <is>
          <t>PLTC|1 pr|16</t>
        </is>
      </c>
      <c r="L2109" s="12" t="inlineStr">
        <is>
          <t>1 pr</t>
        </is>
      </c>
      <c r="M2109" s="12" t="inlineStr">
        <is>
          <t>16</t>
        </is>
      </c>
      <c r="N2109" s="12" t="n">
        <v>20</v>
      </c>
      <c r="O2109" s="12" t="n">
        <v>1</v>
      </c>
      <c r="P2109" s="12" t="n"/>
      <c r="Q2109" s="12" t="n"/>
      <c r="R2109" s="12" t="n"/>
      <c r="S2109" s="12" t="inlineStr">
        <is>
          <t>Tray / conduit</t>
        </is>
      </c>
      <c r="T2109" s="16" t="n">
        <v>250</v>
      </c>
      <c r="U2109" s="16" t="n">
        <v>10</v>
      </c>
      <c r="V2109" s="16">
        <f>ROUNDUP((T2109+U2109+2*'Read Me'!$B$13)*(1+'Read Me'!$B$12),-1)</f>
        <v/>
      </c>
      <c r="W2109" s="16">
        <f>V2109*N2109*O2109</f>
        <v/>
      </c>
      <c r="X2109" s="12">
        <f>IF(LEFT(I2109,2)="MV",2*N2109*IF(L2109="1/C",O2109,1),0)</f>
        <v/>
      </c>
      <c r="Y2109" s="12">
        <f>IF(OR(LEFT(K2109,4)="LVAX",LEFT(K2109,6)="MV15AX",LEFT(K2109,4)="CTAX",LEFT(K2109,2)="W|"),2*N2109*O2109,0)</f>
        <v/>
      </c>
      <c r="Z2109" s="12" t="inlineStr">
        <is>
          <t>device-to-JB field wiring, one cable per device</t>
        </is>
      </c>
      <c r="AA2109" s="12">
        <f>N2109*O2109</f>
        <v/>
      </c>
    </row>
    <row r="2110">
      <c r="A2110" s="12" t="inlineStr">
        <is>
          <t>B-I-0006</t>
        </is>
      </c>
      <c r="B2110" s="12" t="inlineStr">
        <is>
          <t>B</t>
        </is>
      </c>
      <c r="C2110" s="12" t="inlineStr">
        <is>
          <t>ACC</t>
        </is>
      </c>
      <c r="D2110" s="12" t="inlineStr">
        <is>
          <t>Home run JB-ACC-AI03 to the control / marshalling room</t>
        </is>
      </c>
      <c r="E2110" s="12" t="inlineStr">
        <is>
          <t>R4</t>
        </is>
      </c>
      <c r="F2110" s="12" t="inlineStr">
        <is>
          <t>R4: ACC electrical (VFD) e-house (60 x 120 ft)</t>
        </is>
      </c>
      <c r="G2110" s="12" t="inlineStr">
        <is>
          <t>JB-ACC-AI03</t>
        </is>
      </c>
      <c r="H2110" s="12" t="inlineStr">
        <is>
          <t>Air-cooled condenser, 80 cells (steam-cycle heat rejection)</t>
        </is>
      </c>
      <c r="I2110" s="12" t="inlineStr">
        <is>
          <t>Instrumentation</t>
        </is>
      </c>
      <c r="J2110" s="12" t="inlineStr">
        <is>
          <t>Instrumentation PLTC / TC-ER 300 V, #18 twisted shielded pairs, overall shield</t>
        </is>
      </c>
      <c r="K2110" s="12" t="inlineStr">
        <is>
          <t>PLTC|24 pr|18</t>
        </is>
      </c>
      <c r="L2110" s="12" t="inlineStr">
        <is>
          <t>24 pr</t>
        </is>
      </c>
      <c r="M2110" s="12" t="inlineStr">
        <is>
          <t>18</t>
        </is>
      </c>
      <c r="N2110" s="12" t="n">
        <v>1</v>
      </c>
      <c r="O2110" s="12" t="n">
        <v>1</v>
      </c>
      <c r="P2110" s="12" t="n"/>
      <c r="Q2110" s="12" t="n"/>
      <c r="R2110" s="12" t="n"/>
      <c r="S2110" s="12" t="inlineStr">
        <is>
          <t>Tray</t>
        </is>
      </c>
      <c r="T2110" s="16" t="n">
        <v>0</v>
      </c>
      <c r="U2110" s="16" t="n">
        <v>44</v>
      </c>
      <c r="V2110" s="16">
        <f>ROUNDUP((T2110+U2110+2*'Read Me'!$B$13)*(1+'Read Me'!$B$12),-1)</f>
        <v/>
      </c>
      <c r="W2110" s="16">
        <f>V2110*N2110*O2110</f>
        <v/>
      </c>
      <c r="X2110" s="12">
        <f>IF(LEFT(I2110,2)="MV",2*N2110*IF(L2110="1/C",O2110,1),0)</f>
        <v/>
      </c>
      <c r="Y2110" s="12">
        <f>IF(OR(LEFT(K2110,4)="LVAX",LEFT(K2110,6)="MV15AX",LEFT(K2110,4)="CTAX",LEFT(K2110,2)="W|"),2*N2110*O2110,0)</f>
        <v/>
      </c>
      <c r="Z2110" s="12" t="inlineStr"/>
      <c r="AA2110" s="12">
        <f>N2110*O2110</f>
        <v/>
      </c>
    </row>
    <row r="2111">
      <c r="A2111" s="12" t="inlineStr">
        <is>
          <t>B-I-0007</t>
        </is>
      </c>
      <c r="B2111" s="12" t="inlineStr">
        <is>
          <t>B</t>
        </is>
      </c>
      <c r="C2111" s="12" t="inlineStr">
        <is>
          <t>ACC</t>
        </is>
      </c>
      <c r="D2111" s="12" t="inlineStr">
        <is>
          <t>Analog instrument to JB JB-ACC-AI04: 20 x 1 pr (field cables)</t>
        </is>
      </c>
      <c r="E2111" s="12" t="inlineStr">
        <is>
          <t>ACC</t>
        </is>
      </c>
      <c r="F2111" s="12" t="inlineStr">
        <is>
          <t>Air-cooled condenser, 80 cells (steam-cycle heat rejection)</t>
        </is>
      </c>
      <c r="G2111" s="12" t="inlineStr">
        <is>
          <t>JB-ACC-AI04</t>
        </is>
      </c>
      <c r="H2111" s="12" t="inlineStr">
        <is>
          <t>Air-cooled condenser, 80 cells (steam-cycle heat rejection)</t>
        </is>
      </c>
      <c r="I2111" s="12" t="inlineStr">
        <is>
          <t>Instrumentation</t>
        </is>
      </c>
      <c r="J2111" s="12" t="inlineStr">
        <is>
          <t>Instrumentation PLTC / TC-ER 300 V, #18 twisted shielded pairs, overall shield</t>
        </is>
      </c>
      <c r="K2111" s="12" t="inlineStr">
        <is>
          <t>PLTC|1 pr|16</t>
        </is>
      </c>
      <c r="L2111" s="12" t="inlineStr">
        <is>
          <t>1 pr</t>
        </is>
      </c>
      <c r="M2111" s="12" t="inlineStr">
        <is>
          <t>16</t>
        </is>
      </c>
      <c r="N2111" s="12" t="n">
        <v>20</v>
      </c>
      <c r="O2111" s="12" t="n">
        <v>1</v>
      </c>
      <c r="P2111" s="12" t="n"/>
      <c r="Q2111" s="12" t="n"/>
      <c r="R2111" s="12" t="n"/>
      <c r="S2111" s="12" t="inlineStr">
        <is>
          <t>Tray / conduit</t>
        </is>
      </c>
      <c r="T2111" s="16" t="n">
        <v>250</v>
      </c>
      <c r="U2111" s="16" t="n">
        <v>10</v>
      </c>
      <c r="V2111" s="16">
        <f>ROUNDUP((T2111+U2111+2*'Read Me'!$B$13)*(1+'Read Me'!$B$12),-1)</f>
        <v/>
      </c>
      <c r="W2111" s="16">
        <f>V2111*N2111*O2111</f>
        <v/>
      </c>
      <c r="X2111" s="12">
        <f>IF(LEFT(I2111,2)="MV",2*N2111*IF(L2111="1/C",O2111,1),0)</f>
        <v/>
      </c>
      <c r="Y2111" s="12">
        <f>IF(OR(LEFT(K2111,4)="LVAX",LEFT(K2111,6)="MV15AX",LEFT(K2111,4)="CTAX",LEFT(K2111,2)="W|"),2*N2111*O2111,0)</f>
        <v/>
      </c>
      <c r="Z2111" s="12" t="inlineStr">
        <is>
          <t>device-to-JB field wiring, one cable per device</t>
        </is>
      </c>
      <c r="AA2111" s="12">
        <f>N2111*O2111</f>
        <v/>
      </c>
    </row>
    <row r="2112">
      <c r="A2112" s="12" t="inlineStr">
        <is>
          <t>B-I-0008</t>
        </is>
      </c>
      <c r="B2112" s="12" t="inlineStr">
        <is>
          <t>B</t>
        </is>
      </c>
      <c r="C2112" s="12" t="inlineStr">
        <is>
          <t>ACC</t>
        </is>
      </c>
      <c r="D2112" s="12" t="inlineStr">
        <is>
          <t>Home run JB-ACC-AI04 to the control / marshalling room</t>
        </is>
      </c>
      <c r="E2112" s="12" t="inlineStr">
        <is>
          <t>R4</t>
        </is>
      </c>
      <c r="F2112" s="12" t="inlineStr">
        <is>
          <t>R4: ACC electrical (VFD) e-house (60 x 120 ft)</t>
        </is>
      </c>
      <c r="G2112" s="12" t="inlineStr">
        <is>
          <t>JB-ACC-AI04</t>
        </is>
      </c>
      <c r="H2112" s="12" t="inlineStr">
        <is>
          <t>Air-cooled condenser, 80 cells (steam-cycle heat rejection)</t>
        </is>
      </c>
      <c r="I2112" s="12" t="inlineStr">
        <is>
          <t>Instrumentation</t>
        </is>
      </c>
      <c r="J2112" s="12" t="inlineStr">
        <is>
          <t>Instrumentation PLTC / TC-ER 300 V, #18 twisted shielded pairs, overall shield</t>
        </is>
      </c>
      <c r="K2112" s="12" t="inlineStr">
        <is>
          <t>PLTC|24 pr|18</t>
        </is>
      </c>
      <c r="L2112" s="12" t="inlineStr">
        <is>
          <t>24 pr</t>
        </is>
      </c>
      <c r="M2112" s="12" t="inlineStr">
        <is>
          <t>18</t>
        </is>
      </c>
      <c r="N2112" s="12" t="n">
        <v>1</v>
      </c>
      <c r="O2112" s="12" t="n">
        <v>1</v>
      </c>
      <c r="P2112" s="12" t="n"/>
      <c r="Q2112" s="12" t="n"/>
      <c r="R2112" s="12" t="n"/>
      <c r="S2112" s="12" t="inlineStr">
        <is>
          <t>Tray</t>
        </is>
      </c>
      <c r="T2112" s="16" t="n">
        <v>0</v>
      </c>
      <c r="U2112" s="16" t="n">
        <v>44</v>
      </c>
      <c r="V2112" s="16">
        <f>ROUNDUP((T2112+U2112+2*'Read Me'!$B$13)*(1+'Read Me'!$B$12),-1)</f>
        <v/>
      </c>
      <c r="W2112" s="16">
        <f>V2112*N2112*O2112</f>
        <v/>
      </c>
      <c r="X2112" s="12">
        <f>IF(LEFT(I2112,2)="MV",2*N2112*IF(L2112="1/C",O2112,1),0)</f>
        <v/>
      </c>
      <c r="Y2112" s="12">
        <f>IF(OR(LEFT(K2112,4)="LVAX",LEFT(K2112,6)="MV15AX",LEFT(K2112,4)="CTAX",LEFT(K2112,2)="W|"),2*N2112*O2112,0)</f>
        <v/>
      </c>
      <c r="Z2112" s="12" t="inlineStr"/>
      <c r="AA2112" s="12">
        <f>N2112*O2112</f>
        <v/>
      </c>
    </row>
    <row r="2113">
      <c r="A2113" s="12" t="inlineStr">
        <is>
          <t>B-I-0009</t>
        </is>
      </c>
      <c r="B2113" s="12" t="inlineStr">
        <is>
          <t>B</t>
        </is>
      </c>
      <c r="C2113" s="12" t="inlineStr">
        <is>
          <t>ACC</t>
        </is>
      </c>
      <c r="D2113" s="12" t="inlineStr">
        <is>
          <t>Analog instrument to JB JB-ACC-AI05: 20 x 1 pr (field cables)</t>
        </is>
      </c>
      <c r="E2113" s="12" t="inlineStr">
        <is>
          <t>ACC</t>
        </is>
      </c>
      <c r="F2113" s="12" t="inlineStr">
        <is>
          <t>Air-cooled condenser, 80 cells (steam-cycle heat rejection)</t>
        </is>
      </c>
      <c r="G2113" s="12" t="inlineStr">
        <is>
          <t>JB-ACC-AI05</t>
        </is>
      </c>
      <c r="H2113" s="12" t="inlineStr">
        <is>
          <t>Air-cooled condenser, 80 cells (steam-cycle heat rejection)</t>
        </is>
      </c>
      <c r="I2113" s="12" t="inlineStr">
        <is>
          <t>Instrumentation</t>
        </is>
      </c>
      <c r="J2113" s="12" t="inlineStr">
        <is>
          <t>Instrumentation PLTC / TC-ER 300 V, #18 twisted shielded pairs, overall shield</t>
        </is>
      </c>
      <c r="K2113" s="12" t="inlineStr">
        <is>
          <t>PLTC|1 pr|16</t>
        </is>
      </c>
      <c r="L2113" s="12" t="inlineStr">
        <is>
          <t>1 pr</t>
        </is>
      </c>
      <c r="M2113" s="12" t="inlineStr">
        <is>
          <t>16</t>
        </is>
      </c>
      <c r="N2113" s="12" t="n">
        <v>20</v>
      </c>
      <c r="O2113" s="12" t="n">
        <v>1</v>
      </c>
      <c r="P2113" s="12" t="n"/>
      <c r="Q2113" s="12" t="n"/>
      <c r="R2113" s="12" t="n"/>
      <c r="S2113" s="12" t="inlineStr">
        <is>
          <t>Tray / conduit</t>
        </is>
      </c>
      <c r="T2113" s="16" t="n">
        <v>250</v>
      </c>
      <c r="U2113" s="16" t="n">
        <v>10</v>
      </c>
      <c r="V2113" s="16">
        <f>ROUNDUP((T2113+U2113+2*'Read Me'!$B$13)*(1+'Read Me'!$B$12),-1)</f>
        <v/>
      </c>
      <c r="W2113" s="16">
        <f>V2113*N2113*O2113</f>
        <v/>
      </c>
      <c r="X2113" s="12">
        <f>IF(LEFT(I2113,2)="MV",2*N2113*IF(L2113="1/C",O2113,1),0)</f>
        <v/>
      </c>
      <c r="Y2113" s="12">
        <f>IF(OR(LEFT(K2113,4)="LVAX",LEFT(K2113,6)="MV15AX",LEFT(K2113,4)="CTAX",LEFT(K2113,2)="W|"),2*N2113*O2113,0)</f>
        <v/>
      </c>
      <c r="Z2113" s="12" t="inlineStr">
        <is>
          <t>device-to-JB field wiring, one cable per device</t>
        </is>
      </c>
      <c r="AA2113" s="12">
        <f>N2113*O2113</f>
        <v/>
      </c>
    </row>
    <row r="2114">
      <c r="A2114" s="12" t="inlineStr">
        <is>
          <t>B-I-0010</t>
        </is>
      </c>
      <c r="B2114" s="12" t="inlineStr">
        <is>
          <t>B</t>
        </is>
      </c>
      <c r="C2114" s="12" t="inlineStr">
        <is>
          <t>ACC</t>
        </is>
      </c>
      <c r="D2114" s="12" t="inlineStr">
        <is>
          <t>Home run JB-ACC-AI05 to the control / marshalling room</t>
        </is>
      </c>
      <c r="E2114" s="12" t="inlineStr">
        <is>
          <t>R4</t>
        </is>
      </c>
      <c r="F2114" s="12" t="inlineStr">
        <is>
          <t>R4: ACC electrical (VFD) e-house (60 x 120 ft)</t>
        </is>
      </c>
      <c r="G2114" s="12" t="inlineStr">
        <is>
          <t>JB-ACC-AI05</t>
        </is>
      </c>
      <c r="H2114" s="12" t="inlineStr">
        <is>
          <t>Air-cooled condenser, 80 cells (steam-cycle heat rejection)</t>
        </is>
      </c>
      <c r="I2114" s="12" t="inlineStr">
        <is>
          <t>Instrumentation</t>
        </is>
      </c>
      <c r="J2114" s="12" t="inlineStr">
        <is>
          <t>Instrumentation PLTC / TC-ER 300 V, #18 twisted shielded pairs, overall shield</t>
        </is>
      </c>
      <c r="K2114" s="12" t="inlineStr">
        <is>
          <t>PLTC|24 pr|18</t>
        </is>
      </c>
      <c r="L2114" s="12" t="inlineStr">
        <is>
          <t>24 pr</t>
        </is>
      </c>
      <c r="M2114" s="12" t="inlineStr">
        <is>
          <t>18</t>
        </is>
      </c>
      <c r="N2114" s="12" t="n">
        <v>1</v>
      </c>
      <c r="O2114" s="12" t="n">
        <v>1</v>
      </c>
      <c r="P2114" s="12" t="n"/>
      <c r="Q2114" s="12" t="n"/>
      <c r="R2114" s="12" t="n"/>
      <c r="S2114" s="12" t="inlineStr">
        <is>
          <t>Tray</t>
        </is>
      </c>
      <c r="T2114" s="16" t="n">
        <v>0</v>
      </c>
      <c r="U2114" s="16" t="n">
        <v>44</v>
      </c>
      <c r="V2114" s="16">
        <f>ROUNDUP((T2114+U2114+2*'Read Me'!$B$13)*(1+'Read Me'!$B$12),-1)</f>
        <v/>
      </c>
      <c r="W2114" s="16">
        <f>V2114*N2114*O2114</f>
        <v/>
      </c>
      <c r="X2114" s="12">
        <f>IF(LEFT(I2114,2)="MV",2*N2114*IF(L2114="1/C",O2114,1),0)</f>
        <v/>
      </c>
      <c r="Y2114" s="12">
        <f>IF(OR(LEFT(K2114,4)="LVAX",LEFT(K2114,6)="MV15AX",LEFT(K2114,4)="CTAX",LEFT(K2114,2)="W|"),2*N2114*O2114,0)</f>
        <v/>
      </c>
      <c r="Z2114" s="12" t="inlineStr"/>
      <c r="AA2114" s="12">
        <f>N2114*O2114</f>
        <v/>
      </c>
    </row>
    <row r="2115">
      <c r="A2115" s="12" t="inlineStr">
        <is>
          <t>B-I-0011</t>
        </is>
      </c>
      <c r="B2115" s="12" t="inlineStr">
        <is>
          <t>B</t>
        </is>
      </c>
      <c r="C2115" s="12" t="inlineStr">
        <is>
          <t>ACC</t>
        </is>
      </c>
      <c r="D2115" s="12" t="inlineStr">
        <is>
          <t>Discrete device to JB JB-ACC-DI01: 20 x 1 pr (field cables)</t>
        </is>
      </c>
      <c r="E2115" s="12" t="inlineStr">
        <is>
          <t>ACC</t>
        </is>
      </c>
      <c r="F2115" s="12" t="inlineStr">
        <is>
          <t>Air-cooled condenser, 80 cells (steam-cycle heat rejection)</t>
        </is>
      </c>
      <c r="G2115" s="12" t="inlineStr">
        <is>
          <t>JB-ACC-DI01</t>
        </is>
      </c>
      <c r="H2115" s="12" t="inlineStr">
        <is>
          <t>Air-cooled condenser, 80 cells (steam-cycle heat rejection)</t>
        </is>
      </c>
      <c r="I2115" s="12" t="inlineStr">
        <is>
          <t>Instrumentation</t>
        </is>
      </c>
      <c r="J2115" s="12" t="inlineStr">
        <is>
          <t>Instrumentation PLTC / TC-ER 300 V, #18 twisted shielded pairs, overall shield</t>
        </is>
      </c>
      <c r="K2115" s="12" t="inlineStr">
        <is>
          <t>PLTC|1 pr|16</t>
        </is>
      </c>
      <c r="L2115" s="12" t="inlineStr">
        <is>
          <t>1 pr</t>
        </is>
      </c>
      <c r="M2115" s="12" t="inlineStr">
        <is>
          <t>16</t>
        </is>
      </c>
      <c r="N2115" s="12" t="n">
        <v>20</v>
      </c>
      <c r="O2115" s="12" t="n">
        <v>1</v>
      </c>
      <c r="P2115" s="12" t="n"/>
      <c r="Q2115" s="12" t="n"/>
      <c r="R2115" s="12" t="n"/>
      <c r="S2115" s="12" t="inlineStr">
        <is>
          <t>Tray / conduit</t>
        </is>
      </c>
      <c r="T2115" s="16" t="n">
        <v>250</v>
      </c>
      <c r="U2115" s="16" t="n">
        <v>10</v>
      </c>
      <c r="V2115" s="16">
        <f>ROUNDUP((T2115+U2115+2*'Read Me'!$B$13)*(1+'Read Me'!$B$12),-1)</f>
        <v/>
      </c>
      <c r="W2115" s="16">
        <f>V2115*N2115*O2115</f>
        <v/>
      </c>
      <c r="X2115" s="12">
        <f>IF(LEFT(I2115,2)="MV",2*N2115*IF(L2115="1/C",O2115,1),0)</f>
        <v/>
      </c>
      <c r="Y2115" s="12">
        <f>IF(OR(LEFT(K2115,4)="LVAX",LEFT(K2115,6)="MV15AX",LEFT(K2115,4)="CTAX",LEFT(K2115,2)="W|"),2*N2115*O2115,0)</f>
        <v/>
      </c>
      <c r="Z2115" s="12" t="inlineStr">
        <is>
          <t>device-to-JB field wiring, one cable per device</t>
        </is>
      </c>
      <c r="AA2115" s="12">
        <f>N2115*O2115</f>
        <v/>
      </c>
    </row>
    <row r="2116">
      <c r="A2116" s="12" t="inlineStr">
        <is>
          <t>B-I-0012</t>
        </is>
      </c>
      <c r="B2116" s="12" t="inlineStr">
        <is>
          <t>B</t>
        </is>
      </c>
      <c r="C2116" s="12" t="inlineStr">
        <is>
          <t>ACC</t>
        </is>
      </c>
      <c r="D2116" s="12" t="inlineStr">
        <is>
          <t>Home run JB-ACC-DI01 to the control / marshalling room</t>
        </is>
      </c>
      <c r="E2116" s="12" t="inlineStr">
        <is>
          <t>R4</t>
        </is>
      </c>
      <c r="F2116" s="12" t="inlineStr">
        <is>
          <t>R4: ACC electrical (VFD) e-house (60 x 120 ft)</t>
        </is>
      </c>
      <c r="G2116" s="12" t="inlineStr">
        <is>
          <t>JB-ACC-DI01</t>
        </is>
      </c>
      <c r="H2116" s="12" t="inlineStr">
        <is>
          <t>Air-cooled condenser, 80 cells (steam-cycle heat rejection)</t>
        </is>
      </c>
      <c r="I2116" s="12" t="inlineStr">
        <is>
          <t>Instrumentation</t>
        </is>
      </c>
      <c r="J2116" s="12" t="inlineStr">
        <is>
          <t>Instrumentation PLTC / TC-ER 300 V, #18 twisted shielded pairs, overall shield</t>
        </is>
      </c>
      <c r="K2116" s="12" t="inlineStr">
        <is>
          <t>PLTC|24 pr|18</t>
        </is>
      </c>
      <c r="L2116" s="12" t="inlineStr">
        <is>
          <t>24 pr</t>
        </is>
      </c>
      <c r="M2116" s="12" t="inlineStr">
        <is>
          <t>18</t>
        </is>
      </c>
      <c r="N2116" s="12" t="n">
        <v>1</v>
      </c>
      <c r="O2116" s="12" t="n">
        <v>1</v>
      </c>
      <c r="P2116" s="12" t="n"/>
      <c r="Q2116" s="12" t="n"/>
      <c r="R2116" s="12" t="n"/>
      <c r="S2116" s="12" t="inlineStr">
        <is>
          <t>Tray</t>
        </is>
      </c>
      <c r="T2116" s="16" t="n">
        <v>0</v>
      </c>
      <c r="U2116" s="16" t="n">
        <v>44</v>
      </c>
      <c r="V2116" s="16">
        <f>ROUNDUP((T2116+U2116+2*'Read Me'!$B$13)*(1+'Read Me'!$B$12),-1)</f>
        <v/>
      </c>
      <c r="W2116" s="16">
        <f>V2116*N2116*O2116</f>
        <v/>
      </c>
      <c r="X2116" s="12">
        <f>IF(LEFT(I2116,2)="MV",2*N2116*IF(L2116="1/C",O2116,1),0)</f>
        <v/>
      </c>
      <c r="Y2116" s="12">
        <f>IF(OR(LEFT(K2116,4)="LVAX",LEFT(K2116,6)="MV15AX",LEFT(K2116,4)="CTAX",LEFT(K2116,2)="W|"),2*N2116*O2116,0)</f>
        <v/>
      </c>
      <c r="Z2116" s="12" t="inlineStr"/>
      <c r="AA2116" s="12">
        <f>N2116*O2116</f>
        <v/>
      </c>
    </row>
    <row r="2117">
      <c r="A2117" s="12" t="inlineStr">
        <is>
          <t>B-I-0013</t>
        </is>
      </c>
      <c r="B2117" s="12" t="inlineStr">
        <is>
          <t>B</t>
        </is>
      </c>
      <c r="C2117" s="12" t="inlineStr">
        <is>
          <t>ACC</t>
        </is>
      </c>
      <c r="D2117" s="12" t="inlineStr">
        <is>
          <t>Discrete device to JB JB-ACC-DI02: 20 x 1 pr (field cables)</t>
        </is>
      </c>
      <c r="E2117" s="12" t="inlineStr">
        <is>
          <t>ACC</t>
        </is>
      </c>
      <c r="F2117" s="12" t="inlineStr">
        <is>
          <t>Air-cooled condenser, 80 cells (steam-cycle heat rejection)</t>
        </is>
      </c>
      <c r="G2117" s="12" t="inlineStr">
        <is>
          <t>JB-ACC-DI02</t>
        </is>
      </c>
      <c r="H2117" s="12" t="inlineStr">
        <is>
          <t>Air-cooled condenser, 80 cells (steam-cycle heat rejection)</t>
        </is>
      </c>
      <c r="I2117" s="12" t="inlineStr">
        <is>
          <t>Instrumentation</t>
        </is>
      </c>
      <c r="J2117" s="12" t="inlineStr">
        <is>
          <t>Instrumentation PLTC / TC-ER 300 V, #18 twisted shielded pairs, overall shield</t>
        </is>
      </c>
      <c r="K2117" s="12" t="inlineStr">
        <is>
          <t>PLTC|1 pr|16</t>
        </is>
      </c>
      <c r="L2117" s="12" t="inlineStr">
        <is>
          <t>1 pr</t>
        </is>
      </c>
      <c r="M2117" s="12" t="inlineStr">
        <is>
          <t>16</t>
        </is>
      </c>
      <c r="N2117" s="12" t="n">
        <v>20</v>
      </c>
      <c r="O2117" s="12" t="n">
        <v>1</v>
      </c>
      <c r="P2117" s="12" t="n"/>
      <c r="Q2117" s="12" t="n"/>
      <c r="R2117" s="12" t="n"/>
      <c r="S2117" s="12" t="inlineStr">
        <is>
          <t>Tray / conduit</t>
        </is>
      </c>
      <c r="T2117" s="16" t="n">
        <v>250</v>
      </c>
      <c r="U2117" s="16" t="n">
        <v>10</v>
      </c>
      <c r="V2117" s="16">
        <f>ROUNDUP((T2117+U2117+2*'Read Me'!$B$13)*(1+'Read Me'!$B$12),-1)</f>
        <v/>
      </c>
      <c r="W2117" s="16">
        <f>V2117*N2117*O2117</f>
        <v/>
      </c>
      <c r="X2117" s="12">
        <f>IF(LEFT(I2117,2)="MV",2*N2117*IF(L2117="1/C",O2117,1),0)</f>
        <v/>
      </c>
      <c r="Y2117" s="12">
        <f>IF(OR(LEFT(K2117,4)="LVAX",LEFT(K2117,6)="MV15AX",LEFT(K2117,4)="CTAX",LEFT(K2117,2)="W|"),2*N2117*O2117,0)</f>
        <v/>
      </c>
      <c r="Z2117" s="12" t="inlineStr">
        <is>
          <t>device-to-JB field wiring, one cable per device</t>
        </is>
      </c>
      <c r="AA2117" s="12">
        <f>N2117*O2117</f>
        <v/>
      </c>
    </row>
    <row r="2118">
      <c r="A2118" s="12" t="inlineStr">
        <is>
          <t>B-I-0014</t>
        </is>
      </c>
      <c r="B2118" s="12" t="inlineStr">
        <is>
          <t>B</t>
        </is>
      </c>
      <c r="C2118" s="12" t="inlineStr">
        <is>
          <t>ACC</t>
        </is>
      </c>
      <c r="D2118" s="12" t="inlineStr">
        <is>
          <t>Home run JB-ACC-DI02 to the control / marshalling room</t>
        </is>
      </c>
      <c r="E2118" s="12" t="inlineStr">
        <is>
          <t>R4</t>
        </is>
      </c>
      <c r="F2118" s="12" t="inlineStr">
        <is>
          <t>R4: ACC electrical (VFD) e-house (60 x 120 ft)</t>
        </is>
      </c>
      <c r="G2118" s="12" t="inlineStr">
        <is>
          <t>JB-ACC-DI02</t>
        </is>
      </c>
      <c r="H2118" s="12" t="inlineStr">
        <is>
          <t>Air-cooled condenser, 80 cells (steam-cycle heat rejection)</t>
        </is>
      </c>
      <c r="I2118" s="12" t="inlineStr">
        <is>
          <t>Instrumentation</t>
        </is>
      </c>
      <c r="J2118" s="12" t="inlineStr">
        <is>
          <t>Instrumentation PLTC / TC-ER 300 V, #18 twisted shielded pairs, overall shield</t>
        </is>
      </c>
      <c r="K2118" s="12" t="inlineStr">
        <is>
          <t>PLTC|24 pr|18</t>
        </is>
      </c>
      <c r="L2118" s="12" t="inlineStr">
        <is>
          <t>24 pr</t>
        </is>
      </c>
      <c r="M2118" s="12" t="inlineStr">
        <is>
          <t>18</t>
        </is>
      </c>
      <c r="N2118" s="12" t="n">
        <v>1</v>
      </c>
      <c r="O2118" s="12" t="n">
        <v>1</v>
      </c>
      <c r="P2118" s="12" t="n"/>
      <c r="Q2118" s="12" t="n"/>
      <c r="R2118" s="12" t="n"/>
      <c r="S2118" s="12" t="inlineStr">
        <is>
          <t>Tray</t>
        </is>
      </c>
      <c r="T2118" s="16" t="n">
        <v>0</v>
      </c>
      <c r="U2118" s="16" t="n">
        <v>44</v>
      </c>
      <c r="V2118" s="16">
        <f>ROUNDUP((T2118+U2118+2*'Read Me'!$B$13)*(1+'Read Me'!$B$12),-1)</f>
        <v/>
      </c>
      <c r="W2118" s="16">
        <f>V2118*N2118*O2118</f>
        <v/>
      </c>
      <c r="X2118" s="12">
        <f>IF(LEFT(I2118,2)="MV",2*N2118*IF(L2118="1/C",O2118,1),0)</f>
        <v/>
      </c>
      <c r="Y2118" s="12">
        <f>IF(OR(LEFT(K2118,4)="LVAX",LEFT(K2118,6)="MV15AX",LEFT(K2118,4)="CTAX",LEFT(K2118,2)="W|"),2*N2118*O2118,0)</f>
        <v/>
      </c>
      <c r="Z2118" s="12" t="inlineStr"/>
      <c r="AA2118" s="12">
        <f>N2118*O2118</f>
        <v/>
      </c>
    </row>
    <row r="2119">
      <c r="A2119" s="12" t="inlineStr">
        <is>
          <t>B-I-0015</t>
        </is>
      </c>
      <c r="B2119" s="12" t="inlineStr">
        <is>
          <t>B</t>
        </is>
      </c>
      <c r="C2119" s="12" t="inlineStr">
        <is>
          <t>ACC</t>
        </is>
      </c>
      <c r="D2119" s="12" t="inlineStr">
        <is>
          <t>Discrete device to JB JB-ACC-DI03: 20 x 1 pr (field cables)</t>
        </is>
      </c>
      <c r="E2119" s="12" t="inlineStr">
        <is>
          <t>ACC</t>
        </is>
      </c>
      <c r="F2119" s="12" t="inlineStr">
        <is>
          <t>Air-cooled condenser, 80 cells (steam-cycle heat rejection)</t>
        </is>
      </c>
      <c r="G2119" s="12" t="inlineStr">
        <is>
          <t>JB-ACC-DI03</t>
        </is>
      </c>
      <c r="H2119" s="12" t="inlineStr">
        <is>
          <t>Air-cooled condenser, 80 cells (steam-cycle heat rejection)</t>
        </is>
      </c>
      <c r="I2119" s="12" t="inlineStr">
        <is>
          <t>Instrumentation</t>
        </is>
      </c>
      <c r="J2119" s="12" t="inlineStr">
        <is>
          <t>Instrumentation PLTC / TC-ER 300 V, #18 twisted shielded pairs, overall shield</t>
        </is>
      </c>
      <c r="K2119" s="12" t="inlineStr">
        <is>
          <t>PLTC|1 pr|16</t>
        </is>
      </c>
      <c r="L2119" s="12" t="inlineStr">
        <is>
          <t>1 pr</t>
        </is>
      </c>
      <c r="M2119" s="12" t="inlineStr">
        <is>
          <t>16</t>
        </is>
      </c>
      <c r="N2119" s="12" t="n">
        <v>20</v>
      </c>
      <c r="O2119" s="12" t="n">
        <v>1</v>
      </c>
      <c r="P2119" s="12" t="n"/>
      <c r="Q2119" s="12" t="n"/>
      <c r="R2119" s="12" t="n"/>
      <c r="S2119" s="12" t="inlineStr">
        <is>
          <t>Tray / conduit</t>
        </is>
      </c>
      <c r="T2119" s="16" t="n">
        <v>250</v>
      </c>
      <c r="U2119" s="16" t="n">
        <v>10</v>
      </c>
      <c r="V2119" s="16">
        <f>ROUNDUP((T2119+U2119+2*'Read Me'!$B$13)*(1+'Read Me'!$B$12),-1)</f>
        <v/>
      </c>
      <c r="W2119" s="16">
        <f>V2119*N2119*O2119</f>
        <v/>
      </c>
      <c r="X2119" s="12">
        <f>IF(LEFT(I2119,2)="MV",2*N2119*IF(L2119="1/C",O2119,1),0)</f>
        <v/>
      </c>
      <c r="Y2119" s="12">
        <f>IF(OR(LEFT(K2119,4)="LVAX",LEFT(K2119,6)="MV15AX",LEFT(K2119,4)="CTAX",LEFT(K2119,2)="W|"),2*N2119*O2119,0)</f>
        <v/>
      </c>
      <c r="Z2119" s="12" t="inlineStr">
        <is>
          <t>device-to-JB field wiring, one cable per device</t>
        </is>
      </c>
      <c r="AA2119" s="12">
        <f>N2119*O2119</f>
        <v/>
      </c>
    </row>
    <row r="2120">
      <c r="A2120" s="12" t="inlineStr">
        <is>
          <t>B-I-0016</t>
        </is>
      </c>
      <c r="B2120" s="12" t="inlineStr">
        <is>
          <t>B</t>
        </is>
      </c>
      <c r="C2120" s="12" t="inlineStr">
        <is>
          <t>ACC</t>
        </is>
      </c>
      <c r="D2120" s="12" t="inlineStr">
        <is>
          <t>Home run JB-ACC-DI03 to the control / marshalling room</t>
        </is>
      </c>
      <c r="E2120" s="12" t="inlineStr">
        <is>
          <t>R4</t>
        </is>
      </c>
      <c r="F2120" s="12" t="inlineStr">
        <is>
          <t>R4: ACC electrical (VFD) e-house (60 x 120 ft)</t>
        </is>
      </c>
      <c r="G2120" s="12" t="inlineStr">
        <is>
          <t>JB-ACC-DI03</t>
        </is>
      </c>
      <c r="H2120" s="12" t="inlineStr">
        <is>
          <t>Air-cooled condenser, 80 cells (steam-cycle heat rejection)</t>
        </is>
      </c>
      <c r="I2120" s="12" t="inlineStr">
        <is>
          <t>Instrumentation</t>
        </is>
      </c>
      <c r="J2120" s="12" t="inlineStr">
        <is>
          <t>Instrumentation PLTC / TC-ER 300 V, #18 twisted shielded pairs, overall shield</t>
        </is>
      </c>
      <c r="K2120" s="12" t="inlineStr">
        <is>
          <t>PLTC|24 pr|18</t>
        </is>
      </c>
      <c r="L2120" s="12" t="inlineStr">
        <is>
          <t>24 pr</t>
        </is>
      </c>
      <c r="M2120" s="12" t="inlineStr">
        <is>
          <t>18</t>
        </is>
      </c>
      <c r="N2120" s="12" t="n">
        <v>1</v>
      </c>
      <c r="O2120" s="12" t="n">
        <v>1</v>
      </c>
      <c r="P2120" s="12" t="n"/>
      <c r="Q2120" s="12" t="n"/>
      <c r="R2120" s="12" t="n"/>
      <c r="S2120" s="12" t="inlineStr">
        <is>
          <t>Tray</t>
        </is>
      </c>
      <c r="T2120" s="16" t="n">
        <v>0</v>
      </c>
      <c r="U2120" s="16" t="n">
        <v>44</v>
      </c>
      <c r="V2120" s="16">
        <f>ROUNDUP((T2120+U2120+2*'Read Me'!$B$13)*(1+'Read Me'!$B$12),-1)</f>
        <v/>
      </c>
      <c r="W2120" s="16">
        <f>V2120*N2120*O2120</f>
        <v/>
      </c>
      <c r="X2120" s="12">
        <f>IF(LEFT(I2120,2)="MV",2*N2120*IF(L2120="1/C",O2120,1),0)</f>
        <v/>
      </c>
      <c r="Y2120" s="12">
        <f>IF(OR(LEFT(K2120,4)="LVAX",LEFT(K2120,6)="MV15AX",LEFT(K2120,4)="CTAX",LEFT(K2120,2)="W|"),2*N2120*O2120,0)</f>
        <v/>
      </c>
      <c r="Z2120" s="12" t="inlineStr"/>
      <c r="AA2120" s="12">
        <f>N2120*O2120</f>
        <v/>
      </c>
    </row>
    <row r="2121">
      <c r="A2121" s="12" t="inlineStr">
        <is>
          <t>B-I-0017</t>
        </is>
      </c>
      <c r="B2121" s="12" t="inlineStr">
        <is>
          <t>B</t>
        </is>
      </c>
      <c r="C2121" s="12" t="inlineStr">
        <is>
          <t>ACC</t>
        </is>
      </c>
      <c r="D2121" s="12" t="inlineStr">
        <is>
          <t>Discrete device to JB JB-ACC-DI04: 20 x 1 pr (field cables)</t>
        </is>
      </c>
      <c r="E2121" s="12" t="inlineStr">
        <is>
          <t>ACC</t>
        </is>
      </c>
      <c r="F2121" s="12" t="inlineStr">
        <is>
          <t>Air-cooled condenser, 80 cells (steam-cycle heat rejection)</t>
        </is>
      </c>
      <c r="G2121" s="12" t="inlineStr">
        <is>
          <t>JB-ACC-DI04</t>
        </is>
      </c>
      <c r="H2121" s="12" t="inlineStr">
        <is>
          <t>Air-cooled condenser, 80 cells (steam-cycle heat rejection)</t>
        </is>
      </c>
      <c r="I2121" s="12" t="inlineStr">
        <is>
          <t>Instrumentation</t>
        </is>
      </c>
      <c r="J2121" s="12" t="inlineStr">
        <is>
          <t>Instrumentation PLTC / TC-ER 300 V, #18 twisted shielded pairs, overall shield</t>
        </is>
      </c>
      <c r="K2121" s="12" t="inlineStr">
        <is>
          <t>PLTC|1 pr|16</t>
        </is>
      </c>
      <c r="L2121" s="12" t="inlineStr">
        <is>
          <t>1 pr</t>
        </is>
      </c>
      <c r="M2121" s="12" t="inlineStr">
        <is>
          <t>16</t>
        </is>
      </c>
      <c r="N2121" s="12" t="n">
        <v>20</v>
      </c>
      <c r="O2121" s="12" t="n">
        <v>1</v>
      </c>
      <c r="P2121" s="12" t="n"/>
      <c r="Q2121" s="12" t="n"/>
      <c r="R2121" s="12" t="n"/>
      <c r="S2121" s="12" t="inlineStr">
        <is>
          <t>Tray / conduit</t>
        </is>
      </c>
      <c r="T2121" s="16" t="n">
        <v>250</v>
      </c>
      <c r="U2121" s="16" t="n">
        <v>10</v>
      </c>
      <c r="V2121" s="16">
        <f>ROUNDUP((T2121+U2121+2*'Read Me'!$B$13)*(1+'Read Me'!$B$12),-1)</f>
        <v/>
      </c>
      <c r="W2121" s="16">
        <f>V2121*N2121*O2121</f>
        <v/>
      </c>
      <c r="X2121" s="12">
        <f>IF(LEFT(I2121,2)="MV",2*N2121*IF(L2121="1/C",O2121,1),0)</f>
        <v/>
      </c>
      <c r="Y2121" s="12">
        <f>IF(OR(LEFT(K2121,4)="LVAX",LEFT(K2121,6)="MV15AX",LEFT(K2121,4)="CTAX",LEFT(K2121,2)="W|"),2*N2121*O2121,0)</f>
        <v/>
      </c>
      <c r="Z2121" s="12" t="inlineStr">
        <is>
          <t>device-to-JB field wiring, one cable per device</t>
        </is>
      </c>
      <c r="AA2121" s="12">
        <f>N2121*O2121</f>
        <v/>
      </c>
    </row>
    <row r="2122">
      <c r="A2122" s="12" t="inlineStr">
        <is>
          <t>B-I-0018</t>
        </is>
      </c>
      <c r="B2122" s="12" t="inlineStr">
        <is>
          <t>B</t>
        </is>
      </c>
      <c r="C2122" s="12" t="inlineStr">
        <is>
          <t>ACC</t>
        </is>
      </c>
      <c r="D2122" s="12" t="inlineStr">
        <is>
          <t>Home run JB-ACC-DI04 to the control / marshalling room</t>
        </is>
      </c>
      <c r="E2122" s="12" t="inlineStr">
        <is>
          <t>R4</t>
        </is>
      </c>
      <c r="F2122" s="12" t="inlineStr">
        <is>
          <t>R4: ACC electrical (VFD) e-house (60 x 120 ft)</t>
        </is>
      </c>
      <c r="G2122" s="12" t="inlineStr">
        <is>
          <t>JB-ACC-DI04</t>
        </is>
      </c>
      <c r="H2122" s="12" t="inlineStr">
        <is>
          <t>Air-cooled condenser, 80 cells (steam-cycle heat rejection)</t>
        </is>
      </c>
      <c r="I2122" s="12" t="inlineStr">
        <is>
          <t>Instrumentation</t>
        </is>
      </c>
      <c r="J2122" s="12" t="inlineStr">
        <is>
          <t>Instrumentation PLTC / TC-ER 300 V, #18 twisted shielded pairs, overall shield</t>
        </is>
      </c>
      <c r="K2122" s="12" t="inlineStr">
        <is>
          <t>PLTC|24 pr|18</t>
        </is>
      </c>
      <c r="L2122" s="12" t="inlineStr">
        <is>
          <t>24 pr</t>
        </is>
      </c>
      <c r="M2122" s="12" t="inlineStr">
        <is>
          <t>18</t>
        </is>
      </c>
      <c r="N2122" s="12" t="n">
        <v>1</v>
      </c>
      <c r="O2122" s="12" t="n">
        <v>1</v>
      </c>
      <c r="P2122" s="12" t="n"/>
      <c r="Q2122" s="12" t="n"/>
      <c r="R2122" s="12" t="n"/>
      <c r="S2122" s="12" t="inlineStr">
        <is>
          <t>Tray</t>
        </is>
      </c>
      <c r="T2122" s="16" t="n">
        <v>0</v>
      </c>
      <c r="U2122" s="16" t="n">
        <v>44</v>
      </c>
      <c r="V2122" s="16">
        <f>ROUNDUP((T2122+U2122+2*'Read Me'!$B$13)*(1+'Read Me'!$B$12),-1)</f>
        <v/>
      </c>
      <c r="W2122" s="16">
        <f>V2122*N2122*O2122</f>
        <v/>
      </c>
      <c r="X2122" s="12">
        <f>IF(LEFT(I2122,2)="MV",2*N2122*IF(L2122="1/C",O2122,1),0)</f>
        <v/>
      </c>
      <c r="Y2122" s="12">
        <f>IF(OR(LEFT(K2122,4)="LVAX",LEFT(K2122,6)="MV15AX",LEFT(K2122,4)="CTAX",LEFT(K2122,2)="W|"),2*N2122*O2122,0)</f>
        <v/>
      </c>
      <c r="Z2122" s="12" t="inlineStr"/>
      <c r="AA2122" s="12">
        <f>N2122*O2122</f>
        <v/>
      </c>
    </row>
    <row r="2123">
      <c r="A2123" s="12" t="inlineStr">
        <is>
          <t>B-I-0019</t>
        </is>
      </c>
      <c r="B2123" s="12" t="inlineStr">
        <is>
          <t>B</t>
        </is>
      </c>
      <c r="C2123" s="12" t="inlineStr">
        <is>
          <t>ACC</t>
        </is>
      </c>
      <c r="D2123" s="12" t="inlineStr">
        <is>
          <t>Discrete device to JB JB-ACC-DI05: 20 x 1 pr (field cables)</t>
        </is>
      </c>
      <c r="E2123" s="12" t="inlineStr">
        <is>
          <t>ACC</t>
        </is>
      </c>
      <c r="F2123" s="12" t="inlineStr">
        <is>
          <t>Air-cooled condenser, 80 cells (steam-cycle heat rejection)</t>
        </is>
      </c>
      <c r="G2123" s="12" t="inlineStr">
        <is>
          <t>JB-ACC-DI05</t>
        </is>
      </c>
      <c r="H2123" s="12" t="inlineStr">
        <is>
          <t>Air-cooled condenser, 80 cells (steam-cycle heat rejection)</t>
        </is>
      </c>
      <c r="I2123" s="12" t="inlineStr">
        <is>
          <t>Instrumentation</t>
        </is>
      </c>
      <c r="J2123" s="12" t="inlineStr">
        <is>
          <t>Instrumentation PLTC / TC-ER 300 V, #18 twisted shielded pairs, overall shield</t>
        </is>
      </c>
      <c r="K2123" s="12" t="inlineStr">
        <is>
          <t>PLTC|1 pr|16</t>
        </is>
      </c>
      <c r="L2123" s="12" t="inlineStr">
        <is>
          <t>1 pr</t>
        </is>
      </c>
      <c r="M2123" s="12" t="inlineStr">
        <is>
          <t>16</t>
        </is>
      </c>
      <c r="N2123" s="12" t="n">
        <v>20</v>
      </c>
      <c r="O2123" s="12" t="n">
        <v>1</v>
      </c>
      <c r="P2123" s="12" t="n"/>
      <c r="Q2123" s="12" t="n"/>
      <c r="R2123" s="12" t="n"/>
      <c r="S2123" s="12" t="inlineStr">
        <is>
          <t>Tray / conduit</t>
        </is>
      </c>
      <c r="T2123" s="16" t="n">
        <v>250</v>
      </c>
      <c r="U2123" s="16" t="n">
        <v>10</v>
      </c>
      <c r="V2123" s="16">
        <f>ROUNDUP((T2123+U2123+2*'Read Me'!$B$13)*(1+'Read Me'!$B$12),-1)</f>
        <v/>
      </c>
      <c r="W2123" s="16">
        <f>V2123*N2123*O2123</f>
        <v/>
      </c>
      <c r="X2123" s="12">
        <f>IF(LEFT(I2123,2)="MV",2*N2123*IF(L2123="1/C",O2123,1),0)</f>
        <v/>
      </c>
      <c r="Y2123" s="12">
        <f>IF(OR(LEFT(K2123,4)="LVAX",LEFT(K2123,6)="MV15AX",LEFT(K2123,4)="CTAX",LEFT(K2123,2)="W|"),2*N2123*O2123,0)</f>
        <v/>
      </c>
      <c r="Z2123" s="12" t="inlineStr">
        <is>
          <t>device-to-JB field wiring, one cable per device</t>
        </is>
      </c>
      <c r="AA2123" s="12">
        <f>N2123*O2123</f>
        <v/>
      </c>
    </row>
    <row r="2124">
      <c r="A2124" s="12" t="inlineStr">
        <is>
          <t>B-I-0020</t>
        </is>
      </c>
      <c r="B2124" s="12" t="inlineStr">
        <is>
          <t>B</t>
        </is>
      </c>
      <c r="C2124" s="12" t="inlineStr">
        <is>
          <t>ACC</t>
        </is>
      </c>
      <c r="D2124" s="12" t="inlineStr">
        <is>
          <t>Home run JB-ACC-DI05 to the control / marshalling room</t>
        </is>
      </c>
      <c r="E2124" s="12" t="inlineStr">
        <is>
          <t>R4</t>
        </is>
      </c>
      <c r="F2124" s="12" t="inlineStr">
        <is>
          <t>R4: ACC electrical (VFD) e-house (60 x 120 ft)</t>
        </is>
      </c>
      <c r="G2124" s="12" t="inlineStr">
        <is>
          <t>JB-ACC-DI05</t>
        </is>
      </c>
      <c r="H2124" s="12" t="inlineStr">
        <is>
          <t>Air-cooled condenser, 80 cells (steam-cycle heat rejection)</t>
        </is>
      </c>
      <c r="I2124" s="12" t="inlineStr">
        <is>
          <t>Instrumentation</t>
        </is>
      </c>
      <c r="J2124" s="12" t="inlineStr">
        <is>
          <t>Instrumentation PLTC / TC-ER 300 V, #18 twisted shielded pairs, overall shield</t>
        </is>
      </c>
      <c r="K2124" s="12" t="inlineStr">
        <is>
          <t>PLTC|24 pr|18</t>
        </is>
      </c>
      <c r="L2124" s="12" t="inlineStr">
        <is>
          <t>24 pr</t>
        </is>
      </c>
      <c r="M2124" s="12" t="inlineStr">
        <is>
          <t>18</t>
        </is>
      </c>
      <c r="N2124" s="12" t="n">
        <v>1</v>
      </c>
      <c r="O2124" s="12" t="n">
        <v>1</v>
      </c>
      <c r="P2124" s="12" t="n"/>
      <c r="Q2124" s="12" t="n"/>
      <c r="R2124" s="12" t="n"/>
      <c r="S2124" s="12" t="inlineStr">
        <is>
          <t>Tray</t>
        </is>
      </c>
      <c r="T2124" s="16" t="n">
        <v>0</v>
      </c>
      <c r="U2124" s="16" t="n">
        <v>44</v>
      </c>
      <c r="V2124" s="16">
        <f>ROUNDUP((T2124+U2124+2*'Read Me'!$B$13)*(1+'Read Me'!$B$12),-1)</f>
        <v/>
      </c>
      <c r="W2124" s="16">
        <f>V2124*N2124*O2124</f>
        <v/>
      </c>
      <c r="X2124" s="12">
        <f>IF(LEFT(I2124,2)="MV",2*N2124*IF(L2124="1/C",O2124,1),0)</f>
        <v/>
      </c>
      <c r="Y2124" s="12">
        <f>IF(OR(LEFT(K2124,4)="LVAX",LEFT(K2124,6)="MV15AX",LEFT(K2124,4)="CTAX",LEFT(K2124,2)="W|"),2*N2124*O2124,0)</f>
        <v/>
      </c>
      <c r="Z2124" s="12" t="inlineStr"/>
      <c r="AA2124" s="12">
        <f>N2124*O2124</f>
        <v/>
      </c>
    </row>
    <row r="2125">
      <c r="A2125" s="12" t="inlineStr">
        <is>
          <t>B-I-0021</t>
        </is>
      </c>
      <c r="B2125" s="12" t="inlineStr">
        <is>
          <t>B</t>
        </is>
      </c>
      <c r="C2125" s="12" t="inlineStr">
        <is>
          <t>ACC</t>
        </is>
      </c>
      <c r="D2125" s="12" t="inlineStr">
        <is>
          <t>Discrete device to JB JB-ACC-DI06: 20 x 1 pr (field cables)</t>
        </is>
      </c>
      <c r="E2125" s="12" t="inlineStr">
        <is>
          <t>ACC</t>
        </is>
      </c>
      <c r="F2125" s="12" t="inlineStr">
        <is>
          <t>Air-cooled condenser, 80 cells (steam-cycle heat rejection)</t>
        </is>
      </c>
      <c r="G2125" s="12" t="inlineStr">
        <is>
          <t>JB-ACC-DI06</t>
        </is>
      </c>
      <c r="H2125" s="12" t="inlineStr">
        <is>
          <t>Air-cooled condenser, 80 cells (steam-cycle heat rejection)</t>
        </is>
      </c>
      <c r="I2125" s="12" t="inlineStr">
        <is>
          <t>Instrumentation</t>
        </is>
      </c>
      <c r="J2125" s="12" t="inlineStr">
        <is>
          <t>Instrumentation PLTC / TC-ER 300 V, #18 twisted shielded pairs, overall shield</t>
        </is>
      </c>
      <c r="K2125" s="12" t="inlineStr">
        <is>
          <t>PLTC|1 pr|16</t>
        </is>
      </c>
      <c r="L2125" s="12" t="inlineStr">
        <is>
          <t>1 pr</t>
        </is>
      </c>
      <c r="M2125" s="12" t="inlineStr">
        <is>
          <t>16</t>
        </is>
      </c>
      <c r="N2125" s="12" t="n">
        <v>20</v>
      </c>
      <c r="O2125" s="12" t="n">
        <v>1</v>
      </c>
      <c r="P2125" s="12" t="n"/>
      <c r="Q2125" s="12" t="n"/>
      <c r="R2125" s="12" t="n"/>
      <c r="S2125" s="12" t="inlineStr">
        <is>
          <t>Tray / conduit</t>
        </is>
      </c>
      <c r="T2125" s="16" t="n">
        <v>250</v>
      </c>
      <c r="U2125" s="16" t="n">
        <v>10</v>
      </c>
      <c r="V2125" s="16">
        <f>ROUNDUP((T2125+U2125+2*'Read Me'!$B$13)*(1+'Read Me'!$B$12),-1)</f>
        <v/>
      </c>
      <c r="W2125" s="16">
        <f>V2125*N2125*O2125</f>
        <v/>
      </c>
      <c r="X2125" s="12">
        <f>IF(LEFT(I2125,2)="MV",2*N2125*IF(L2125="1/C",O2125,1),0)</f>
        <v/>
      </c>
      <c r="Y2125" s="12">
        <f>IF(OR(LEFT(K2125,4)="LVAX",LEFT(K2125,6)="MV15AX",LEFT(K2125,4)="CTAX",LEFT(K2125,2)="W|"),2*N2125*O2125,0)</f>
        <v/>
      </c>
      <c r="Z2125" s="12" t="inlineStr">
        <is>
          <t>device-to-JB field wiring, one cable per device</t>
        </is>
      </c>
      <c r="AA2125" s="12">
        <f>N2125*O2125</f>
        <v/>
      </c>
    </row>
    <row r="2126">
      <c r="A2126" s="12" t="inlineStr">
        <is>
          <t>B-I-0022</t>
        </is>
      </c>
      <c r="B2126" s="12" t="inlineStr">
        <is>
          <t>B</t>
        </is>
      </c>
      <c r="C2126" s="12" t="inlineStr">
        <is>
          <t>ACC</t>
        </is>
      </c>
      <c r="D2126" s="12" t="inlineStr">
        <is>
          <t>Home run JB-ACC-DI06 to the control / marshalling room</t>
        </is>
      </c>
      <c r="E2126" s="12" t="inlineStr">
        <is>
          <t>R4</t>
        </is>
      </c>
      <c r="F2126" s="12" t="inlineStr">
        <is>
          <t>R4: ACC electrical (VFD) e-house (60 x 120 ft)</t>
        </is>
      </c>
      <c r="G2126" s="12" t="inlineStr">
        <is>
          <t>JB-ACC-DI06</t>
        </is>
      </c>
      <c r="H2126" s="12" t="inlineStr">
        <is>
          <t>Air-cooled condenser, 80 cells (steam-cycle heat rejection)</t>
        </is>
      </c>
      <c r="I2126" s="12" t="inlineStr">
        <is>
          <t>Instrumentation</t>
        </is>
      </c>
      <c r="J2126" s="12" t="inlineStr">
        <is>
          <t>Instrumentation PLTC / TC-ER 300 V, #18 twisted shielded pairs, overall shield</t>
        </is>
      </c>
      <c r="K2126" s="12" t="inlineStr">
        <is>
          <t>PLTC|24 pr|18</t>
        </is>
      </c>
      <c r="L2126" s="12" t="inlineStr">
        <is>
          <t>24 pr</t>
        </is>
      </c>
      <c r="M2126" s="12" t="inlineStr">
        <is>
          <t>18</t>
        </is>
      </c>
      <c r="N2126" s="12" t="n">
        <v>1</v>
      </c>
      <c r="O2126" s="12" t="n">
        <v>1</v>
      </c>
      <c r="P2126" s="12" t="n"/>
      <c r="Q2126" s="12" t="n"/>
      <c r="R2126" s="12" t="n"/>
      <c r="S2126" s="12" t="inlineStr">
        <is>
          <t>Tray</t>
        </is>
      </c>
      <c r="T2126" s="16" t="n">
        <v>0</v>
      </c>
      <c r="U2126" s="16" t="n">
        <v>44</v>
      </c>
      <c r="V2126" s="16">
        <f>ROUNDUP((T2126+U2126+2*'Read Me'!$B$13)*(1+'Read Me'!$B$12),-1)</f>
        <v/>
      </c>
      <c r="W2126" s="16">
        <f>V2126*N2126*O2126</f>
        <v/>
      </c>
      <c r="X2126" s="12">
        <f>IF(LEFT(I2126,2)="MV",2*N2126*IF(L2126="1/C",O2126,1),0)</f>
        <v/>
      </c>
      <c r="Y2126" s="12">
        <f>IF(OR(LEFT(K2126,4)="LVAX",LEFT(K2126,6)="MV15AX",LEFT(K2126,4)="CTAX",LEFT(K2126,2)="W|"),2*N2126*O2126,0)</f>
        <v/>
      </c>
      <c r="Z2126" s="12" t="inlineStr"/>
      <c r="AA2126" s="12">
        <f>N2126*O2126</f>
        <v/>
      </c>
    </row>
    <row r="2127">
      <c r="A2127" s="12" t="inlineStr">
        <is>
          <t>B-I-0023</t>
        </is>
      </c>
      <c r="B2127" s="12" t="inlineStr">
        <is>
          <t>B</t>
        </is>
      </c>
      <c r="C2127" s="12" t="inlineStr">
        <is>
          <t>ACC</t>
        </is>
      </c>
      <c r="D2127" s="12" t="inlineStr">
        <is>
          <t>Discrete device to JB JB-ACC-DI07: 20 x 1 pr (field cables)</t>
        </is>
      </c>
      <c r="E2127" s="12" t="inlineStr">
        <is>
          <t>ACC</t>
        </is>
      </c>
      <c r="F2127" s="12" t="inlineStr">
        <is>
          <t>Air-cooled condenser, 80 cells (steam-cycle heat rejection)</t>
        </is>
      </c>
      <c r="G2127" s="12" t="inlineStr">
        <is>
          <t>JB-ACC-DI07</t>
        </is>
      </c>
      <c r="H2127" s="12" t="inlineStr">
        <is>
          <t>Air-cooled condenser, 80 cells (steam-cycle heat rejection)</t>
        </is>
      </c>
      <c r="I2127" s="12" t="inlineStr">
        <is>
          <t>Instrumentation</t>
        </is>
      </c>
      <c r="J2127" s="12" t="inlineStr">
        <is>
          <t>Instrumentation PLTC / TC-ER 300 V, #18 twisted shielded pairs, overall shield</t>
        </is>
      </c>
      <c r="K2127" s="12" t="inlineStr">
        <is>
          <t>PLTC|1 pr|16</t>
        </is>
      </c>
      <c r="L2127" s="12" t="inlineStr">
        <is>
          <t>1 pr</t>
        </is>
      </c>
      <c r="M2127" s="12" t="inlineStr">
        <is>
          <t>16</t>
        </is>
      </c>
      <c r="N2127" s="12" t="n">
        <v>20</v>
      </c>
      <c r="O2127" s="12" t="n">
        <v>1</v>
      </c>
      <c r="P2127" s="12" t="n"/>
      <c r="Q2127" s="12" t="n"/>
      <c r="R2127" s="12" t="n"/>
      <c r="S2127" s="12" t="inlineStr">
        <is>
          <t>Tray / conduit</t>
        </is>
      </c>
      <c r="T2127" s="16" t="n">
        <v>250</v>
      </c>
      <c r="U2127" s="16" t="n">
        <v>10</v>
      </c>
      <c r="V2127" s="16">
        <f>ROUNDUP((T2127+U2127+2*'Read Me'!$B$13)*(1+'Read Me'!$B$12),-1)</f>
        <v/>
      </c>
      <c r="W2127" s="16">
        <f>V2127*N2127*O2127</f>
        <v/>
      </c>
      <c r="X2127" s="12">
        <f>IF(LEFT(I2127,2)="MV",2*N2127*IF(L2127="1/C",O2127,1),0)</f>
        <v/>
      </c>
      <c r="Y2127" s="12">
        <f>IF(OR(LEFT(K2127,4)="LVAX",LEFT(K2127,6)="MV15AX",LEFT(K2127,4)="CTAX",LEFT(K2127,2)="W|"),2*N2127*O2127,0)</f>
        <v/>
      </c>
      <c r="Z2127" s="12" t="inlineStr">
        <is>
          <t>device-to-JB field wiring, one cable per device</t>
        </is>
      </c>
      <c r="AA2127" s="12">
        <f>N2127*O2127</f>
        <v/>
      </c>
    </row>
    <row r="2128">
      <c r="A2128" s="12" t="inlineStr">
        <is>
          <t>B-I-0024</t>
        </is>
      </c>
      <c r="B2128" s="12" t="inlineStr">
        <is>
          <t>B</t>
        </is>
      </c>
      <c r="C2128" s="12" t="inlineStr">
        <is>
          <t>ACC</t>
        </is>
      </c>
      <c r="D2128" s="12" t="inlineStr">
        <is>
          <t>Home run JB-ACC-DI07 to the control / marshalling room</t>
        </is>
      </c>
      <c r="E2128" s="12" t="inlineStr">
        <is>
          <t>R4</t>
        </is>
      </c>
      <c r="F2128" s="12" t="inlineStr">
        <is>
          <t>R4: ACC electrical (VFD) e-house (60 x 120 ft)</t>
        </is>
      </c>
      <c r="G2128" s="12" t="inlineStr">
        <is>
          <t>JB-ACC-DI07</t>
        </is>
      </c>
      <c r="H2128" s="12" t="inlineStr">
        <is>
          <t>Air-cooled condenser, 80 cells (steam-cycle heat rejection)</t>
        </is>
      </c>
      <c r="I2128" s="12" t="inlineStr">
        <is>
          <t>Instrumentation</t>
        </is>
      </c>
      <c r="J2128" s="12" t="inlineStr">
        <is>
          <t>Instrumentation PLTC / TC-ER 300 V, #18 twisted shielded pairs, overall shield</t>
        </is>
      </c>
      <c r="K2128" s="12" t="inlineStr">
        <is>
          <t>PLTC|24 pr|18</t>
        </is>
      </c>
      <c r="L2128" s="12" t="inlineStr">
        <is>
          <t>24 pr</t>
        </is>
      </c>
      <c r="M2128" s="12" t="inlineStr">
        <is>
          <t>18</t>
        </is>
      </c>
      <c r="N2128" s="12" t="n">
        <v>1</v>
      </c>
      <c r="O2128" s="12" t="n">
        <v>1</v>
      </c>
      <c r="P2128" s="12" t="n"/>
      <c r="Q2128" s="12" t="n"/>
      <c r="R2128" s="12" t="n"/>
      <c r="S2128" s="12" t="inlineStr">
        <is>
          <t>Tray</t>
        </is>
      </c>
      <c r="T2128" s="16" t="n">
        <v>0</v>
      </c>
      <c r="U2128" s="16" t="n">
        <v>44</v>
      </c>
      <c r="V2128" s="16">
        <f>ROUNDUP((T2128+U2128+2*'Read Me'!$B$13)*(1+'Read Me'!$B$12),-1)</f>
        <v/>
      </c>
      <c r="W2128" s="16">
        <f>V2128*N2128*O2128</f>
        <v/>
      </c>
      <c r="X2128" s="12">
        <f>IF(LEFT(I2128,2)="MV",2*N2128*IF(L2128="1/C",O2128,1),0)</f>
        <v/>
      </c>
      <c r="Y2128" s="12">
        <f>IF(OR(LEFT(K2128,4)="LVAX",LEFT(K2128,6)="MV15AX",LEFT(K2128,4)="CTAX",LEFT(K2128,2)="W|"),2*N2128*O2128,0)</f>
        <v/>
      </c>
      <c r="Z2128" s="12" t="inlineStr"/>
      <c r="AA2128" s="12">
        <f>N2128*O2128</f>
        <v/>
      </c>
    </row>
    <row r="2129">
      <c r="A2129" s="12" t="inlineStr">
        <is>
          <t>B-I-0025</t>
        </is>
      </c>
      <c r="B2129" s="12" t="inlineStr">
        <is>
          <t>B</t>
        </is>
      </c>
      <c r="C2129" s="12" t="inlineStr">
        <is>
          <t>ACC</t>
        </is>
      </c>
      <c r="D2129" s="12" t="inlineStr">
        <is>
          <t>Discrete device to JB JB-ACC-DI08: 20 x 1 pr (field cables)</t>
        </is>
      </c>
      <c r="E2129" s="12" t="inlineStr">
        <is>
          <t>ACC</t>
        </is>
      </c>
      <c r="F2129" s="12" t="inlineStr">
        <is>
          <t>Air-cooled condenser, 80 cells (steam-cycle heat rejection)</t>
        </is>
      </c>
      <c r="G2129" s="12" t="inlineStr">
        <is>
          <t>JB-ACC-DI08</t>
        </is>
      </c>
      <c r="H2129" s="12" t="inlineStr">
        <is>
          <t>Air-cooled condenser, 80 cells (steam-cycle heat rejection)</t>
        </is>
      </c>
      <c r="I2129" s="12" t="inlineStr">
        <is>
          <t>Instrumentation</t>
        </is>
      </c>
      <c r="J2129" s="12" t="inlineStr">
        <is>
          <t>Instrumentation PLTC / TC-ER 300 V, #18 twisted shielded pairs, overall shield</t>
        </is>
      </c>
      <c r="K2129" s="12" t="inlineStr">
        <is>
          <t>PLTC|1 pr|16</t>
        </is>
      </c>
      <c r="L2129" s="12" t="inlineStr">
        <is>
          <t>1 pr</t>
        </is>
      </c>
      <c r="M2129" s="12" t="inlineStr">
        <is>
          <t>16</t>
        </is>
      </c>
      <c r="N2129" s="12" t="n">
        <v>20</v>
      </c>
      <c r="O2129" s="12" t="n">
        <v>1</v>
      </c>
      <c r="P2129" s="12" t="n"/>
      <c r="Q2129" s="12" t="n"/>
      <c r="R2129" s="12" t="n"/>
      <c r="S2129" s="12" t="inlineStr">
        <is>
          <t>Tray / conduit</t>
        </is>
      </c>
      <c r="T2129" s="16" t="n">
        <v>250</v>
      </c>
      <c r="U2129" s="16" t="n">
        <v>10</v>
      </c>
      <c r="V2129" s="16">
        <f>ROUNDUP((T2129+U2129+2*'Read Me'!$B$13)*(1+'Read Me'!$B$12),-1)</f>
        <v/>
      </c>
      <c r="W2129" s="16">
        <f>V2129*N2129*O2129</f>
        <v/>
      </c>
      <c r="X2129" s="12">
        <f>IF(LEFT(I2129,2)="MV",2*N2129*IF(L2129="1/C",O2129,1),0)</f>
        <v/>
      </c>
      <c r="Y2129" s="12">
        <f>IF(OR(LEFT(K2129,4)="LVAX",LEFT(K2129,6)="MV15AX",LEFT(K2129,4)="CTAX",LEFT(K2129,2)="W|"),2*N2129*O2129,0)</f>
        <v/>
      </c>
      <c r="Z2129" s="12" t="inlineStr">
        <is>
          <t>device-to-JB field wiring, one cable per device</t>
        </is>
      </c>
      <c r="AA2129" s="12">
        <f>N2129*O2129</f>
        <v/>
      </c>
    </row>
    <row r="2130">
      <c r="A2130" s="12" t="inlineStr">
        <is>
          <t>B-I-0026</t>
        </is>
      </c>
      <c r="B2130" s="12" t="inlineStr">
        <is>
          <t>B</t>
        </is>
      </c>
      <c r="C2130" s="12" t="inlineStr">
        <is>
          <t>ACC</t>
        </is>
      </c>
      <c r="D2130" s="12" t="inlineStr">
        <is>
          <t>Home run JB-ACC-DI08 to the control / marshalling room</t>
        </is>
      </c>
      <c r="E2130" s="12" t="inlineStr">
        <is>
          <t>R4</t>
        </is>
      </c>
      <c r="F2130" s="12" t="inlineStr">
        <is>
          <t>R4: ACC electrical (VFD) e-house (60 x 120 ft)</t>
        </is>
      </c>
      <c r="G2130" s="12" t="inlineStr">
        <is>
          <t>JB-ACC-DI08</t>
        </is>
      </c>
      <c r="H2130" s="12" t="inlineStr">
        <is>
          <t>Air-cooled condenser, 80 cells (steam-cycle heat rejection)</t>
        </is>
      </c>
      <c r="I2130" s="12" t="inlineStr">
        <is>
          <t>Instrumentation</t>
        </is>
      </c>
      <c r="J2130" s="12" t="inlineStr">
        <is>
          <t>Instrumentation PLTC / TC-ER 300 V, #18 twisted shielded pairs, overall shield</t>
        </is>
      </c>
      <c r="K2130" s="12" t="inlineStr">
        <is>
          <t>PLTC|24 pr|18</t>
        </is>
      </c>
      <c r="L2130" s="12" t="inlineStr">
        <is>
          <t>24 pr</t>
        </is>
      </c>
      <c r="M2130" s="12" t="inlineStr">
        <is>
          <t>18</t>
        </is>
      </c>
      <c r="N2130" s="12" t="n">
        <v>1</v>
      </c>
      <c r="O2130" s="12" t="n">
        <v>1</v>
      </c>
      <c r="P2130" s="12" t="n"/>
      <c r="Q2130" s="12" t="n"/>
      <c r="R2130" s="12" t="n"/>
      <c r="S2130" s="12" t="inlineStr">
        <is>
          <t>Tray</t>
        </is>
      </c>
      <c r="T2130" s="16" t="n">
        <v>0</v>
      </c>
      <c r="U2130" s="16" t="n">
        <v>44</v>
      </c>
      <c r="V2130" s="16">
        <f>ROUNDUP((T2130+U2130+2*'Read Me'!$B$13)*(1+'Read Me'!$B$12),-1)</f>
        <v/>
      </c>
      <c r="W2130" s="16">
        <f>V2130*N2130*O2130</f>
        <v/>
      </c>
      <c r="X2130" s="12">
        <f>IF(LEFT(I2130,2)="MV",2*N2130*IF(L2130="1/C",O2130,1),0)</f>
        <v/>
      </c>
      <c r="Y2130" s="12">
        <f>IF(OR(LEFT(K2130,4)="LVAX",LEFT(K2130,6)="MV15AX",LEFT(K2130,4)="CTAX",LEFT(K2130,2)="W|"),2*N2130*O2130,0)</f>
        <v/>
      </c>
      <c r="Z2130" s="12" t="inlineStr"/>
      <c r="AA2130" s="12">
        <f>N2130*O2130</f>
        <v/>
      </c>
    </row>
    <row r="2131">
      <c r="A2131" s="12" t="inlineStr">
        <is>
          <t>B-I-0027</t>
        </is>
      </c>
      <c r="B2131" s="12" t="inlineStr">
        <is>
          <t>B</t>
        </is>
      </c>
      <c r="C2131" s="12" t="inlineStr">
        <is>
          <t>ACC</t>
        </is>
      </c>
      <c r="D2131" s="12" t="inlineStr">
        <is>
          <t>Analog instrument to JB JB-AUXC-AI01: 12 x 1 pr (field cables)</t>
        </is>
      </c>
      <c r="E2131" s="12" t="inlineStr">
        <is>
          <t>AUXC</t>
        </is>
      </c>
      <c r="F2131" s="12" t="inlineStr">
        <is>
          <t>Aux dry coolers AUXC-F01..12 (closed cooling water)</t>
        </is>
      </c>
      <c r="G2131" s="12" t="inlineStr">
        <is>
          <t>JB-AUXC-AI01</t>
        </is>
      </c>
      <c r="H2131" s="12" t="inlineStr">
        <is>
          <t>Aux dry coolers AUXC-F01..12 (closed cooling water)</t>
        </is>
      </c>
      <c r="I2131" s="12" t="inlineStr">
        <is>
          <t>Instrumentation</t>
        </is>
      </c>
      <c r="J2131" s="12" t="inlineStr">
        <is>
          <t>Instrumentation PLTC / TC-ER 300 V, #18 twisted shielded pairs, overall shield</t>
        </is>
      </c>
      <c r="K2131" s="12" t="inlineStr">
        <is>
          <t>PLTC|1 pr|16</t>
        </is>
      </c>
      <c r="L2131" s="12" t="inlineStr">
        <is>
          <t>1 pr</t>
        </is>
      </c>
      <c r="M2131" s="12" t="inlineStr">
        <is>
          <t>16</t>
        </is>
      </c>
      <c r="N2131" s="12" t="n">
        <v>12</v>
      </c>
      <c r="O2131" s="12" t="n">
        <v>1</v>
      </c>
      <c r="P2131" s="12" t="n"/>
      <c r="Q2131" s="12" t="n"/>
      <c r="R2131" s="12" t="n"/>
      <c r="S2131" s="12" t="inlineStr">
        <is>
          <t>Tray / conduit</t>
        </is>
      </c>
      <c r="T2131" s="16" t="n">
        <v>110</v>
      </c>
      <c r="U2131" s="16" t="n">
        <v>10</v>
      </c>
      <c r="V2131" s="16">
        <f>ROUNDUP((T2131+U2131+2*'Read Me'!$B$13)*(1+'Read Me'!$B$12),-1)</f>
        <v/>
      </c>
      <c r="W2131" s="16">
        <f>V2131*N2131*O2131</f>
        <v/>
      </c>
      <c r="X2131" s="12">
        <f>IF(LEFT(I2131,2)="MV",2*N2131*IF(L2131="1/C",O2131,1),0)</f>
        <v/>
      </c>
      <c r="Y2131" s="12">
        <f>IF(OR(LEFT(K2131,4)="LVAX",LEFT(K2131,6)="MV15AX",LEFT(K2131,4)="CTAX",LEFT(K2131,2)="W|"),2*N2131*O2131,0)</f>
        <v/>
      </c>
      <c r="Z2131" s="12" t="inlineStr">
        <is>
          <t>device-to-JB field wiring, one cable per device</t>
        </is>
      </c>
      <c r="AA2131" s="12">
        <f>N2131*O2131</f>
        <v/>
      </c>
    </row>
    <row r="2132">
      <c r="A2132" s="12" t="inlineStr">
        <is>
          <t>B-I-0028</t>
        </is>
      </c>
      <c r="B2132" s="12" t="inlineStr">
        <is>
          <t>B</t>
        </is>
      </c>
      <c r="C2132" s="12" t="inlineStr">
        <is>
          <t>ACC</t>
        </is>
      </c>
      <c r="D2132" s="12" t="inlineStr">
        <is>
          <t>Home run JB-AUXC-AI01 to the control / marshalling room</t>
        </is>
      </c>
      <c r="E2132" s="12" t="inlineStr">
        <is>
          <t>R4</t>
        </is>
      </c>
      <c r="F2132" s="12" t="inlineStr">
        <is>
          <t>R4: ACC electrical (VFD) e-house (60 x 120 ft)</t>
        </is>
      </c>
      <c r="G2132" s="12" t="inlineStr">
        <is>
          <t>JB-AUXC-AI01</t>
        </is>
      </c>
      <c r="H2132" s="12" t="inlineStr">
        <is>
          <t>Aux dry coolers AUXC-F01..12 (closed cooling water)</t>
        </is>
      </c>
      <c r="I2132" s="12" t="inlineStr">
        <is>
          <t>Instrumentation</t>
        </is>
      </c>
      <c r="J2132" s="12" t="inlineStr">
        <is>
          <t>Instrumentation PLTC / TC-ER 300 V, #18 twisted shielded pairs, overall shield</t>
        </is>
      </c>
      <c r="K2132" s="12" t="inlineStr">
        <is>
          <t>PLTC|24 pr|18</t>
        </is>
      </c>
      <c r="L2132" s="12" t="inlineStr">
        <is>
          <t>24 pr</t>
        </is>
      </c>
      <c r="M2132" s="12" t="inlineStr">
        <is>
          <t>18</t>
        </is>
      </c>
      <c r="N2132" s="12" t="n">
        <v>1</v>
      </c>
      <c r="O2132" s="12" t="n">
        <v>1</v>
      </c>
      <c r="P2132" s="12" t="n"/>
      <c r="Q2132" s="12" t="n"/>
      <c r="R2132" s="12" t="n"/>
      <c r="S2132" s="12" t="inlineStr">
        <is>
          <t>Tray</t>
        </is>
      </c>
      <c r="T2132" s="16" t="n">
        <v>667</v>
      </c>
      <c r="U2132" s="16" t="n">
        <v>203</v>
      </c>
      <c r="V2132" s="16">
        <f>ROUNDUP((T2132+U2132+2*'Read Me'!$B$13)*(1+'Read Me'!$B$12),-1)</f>
        <v/>
      </c>
      <c r="W2132" s="16">
        <f>V2132*N2132*O2132</f>
        <v/>
      </c>
      <c r="X2132" s="12">
        <f>IF(LEFT(I2132,2)="MV",2*N2132*IF(L2132="1/C",O2132,1),0)</f>
        <v/>
      </c>
      <c r="Y2132" s="12">
        <f>IF(OR(LEFT(K2132,4)="LVAX",LEFT(K2132,6)="MV15AX",LEFT(K2132,4)="CTAX",LEFT(K2132,2)="W|"),2*N2132*O2132,0)</f>
        <v/>
      </c>
      <c r="Z2132" s="12" t="inlineStr"/>
      <c r="AA2132" s="12">
        <f>N2132*O2132</f>
        <v/>
      </c>
    </row>
    <row r="2133">
      <c r="A2133" s="12" t="inlineStr">
        <is>
          <t>B-I-0029</t>
        </is>
      </c>
      <c r="B2133" s="12" t="inlineStr">
        <is>
          <t>B</t>
        </is>
      </c>
      <c r="C2133" s="12" t="inlineStr">
        <is>
          <t>ACC</t>
        </is>
      </c>
      <c r="D2133" s="12" t="inlineStr">
        <is>
          <t>Discrete device to JB JB-AUXC-DI01: 20 x 1 pr (field cables)</t>
        </is>
      </c>
      <c r="E2133" s="12" t="inlineStr">
        <is>
          <t>AUXC</t>
        </is>
      </c>
      <c r="F2133" s="12" t="inlineStr">
        <is>
          <t>Aux dry coolers AUXC-F01..12 (closed cooling water)</t>
        </is>
      </c>
      <c r="G2133" s="12" t="inlineStr">
        <is>
          <t>JB-AUXC-DI01</t>
        </is>
      </c>
      <c r="H2133" s="12" t="inlineStr">
        <is>
          <t>Aux dry coolers AUXC-F01..12 (closed cooling water)</t>
        </is>
      </c>
      <c r="I2133" s="12" t="inlineStr">
        <is>
          <t>Instrumentation</t>
        </is>
      </c>
      <c r="J2133" s="12" t="inlineStr">
        <is>
          <t>Instrumentation PLTC / TC-ER 300 V, #18 twisted shielded pairs, overall shield</t>
        </is>
      </c>
      <c r="K2133" s="12" t="inlineStr">
        <is>
          <t>PLTC|1 pr|16</t>
        </is>
      </c>
      <c r="L2133" s="12" t="inlineStr">
        <is>
          <t>1 pr</t>
        </is>
      </c>
      <c r="M2133" s="12" t="inlineStr">
        <is>
          <t>16</t>
        </is>
      </c>
      <c r="N2133" s="12" t="n">
        <v>20</v>
      </c>
      <c r="O2133" s="12" t="n">
        <v>1</v>
      </c>
      <c r="P2133" s="12" t="n"/>
      <c r="Q2133" s="12" t="n"/>
      <c r="R2133" s="12" t="n"/>
      <c r="S2133" s="12" t="inlineStr">
        <is>
          <t>Tray / conduit</t>
        </is>
      </c>
      <c r="T2133" s="16" t="n">
        <v>110</v>
      </c>
      <c r="U2133" s="16" t="n">
        <v>10</v>
      </c>
      <c r="V2133" s="16">
        <f>ROUNDUP((T2133+U2133+2*'Read Me'!$B$13)*(1+'Read Me'!$B$12),-1)</f>
        <v/>
      </c>
      <c r="W2133" s="16">
        <f>V2133*N2133*O2133</f>
        <v/>
      </c>
      <c r="X2133" s="12">
        <f>IF(LEFT(I2133,2)="MV",2*N2133*IF(L2133="1/C",O2133,1),0)</f>
        <v/>
      </c>
      <c r="Y2133" s="12">
        <f>IF(OR(LEFT(K2133,4)="LVAX",LEFT(K2133,6)="MV15AX",LEFT(K2133,4)="CTAX",LEFT(K2133,2)="W|"),2*N2133*O2133,0)</f>
        <v/>
      </c>
      <c r="Z2133" s="12" t="inlineStr">
        <is>
          <t>device-to-JB field wiring, one cable per device</t>
        </is>
      </c>
      <c r="AA2133" s="12">
        <f>N2133*O2133</f>
        <v/>
      </c>
    </row>
    <row r="2134">
      <c r="A2134" s="12" t="inlineStr">
        <is>
          <t>B-I-0030</t>
        </is>
      </c>
      <c r="B2134" s="12" t="inlineStr">
        <is>
          <t>B</t>
        </is>
      </c>
      <c r="C2134" s="12" t="inlineStr">
        <is>
          <t>ACC</t>
        </is>
      </c>
      <c r="D2134" s="12" t="inlineStr">
        <is>
          <t>Home run JB-AUXC-DI01 to the control / marshalling room</t>
        </is>
      </c>
      <c r="E2134" s="12" t="inlineStr">
        <is>
          <t>R4</t>
        </is>
      </c>
      <c r="F2134" s="12" t="inlineStr">
        <is>
          <t>R4: ACC electrical (VFD) e-house (60 x 120 ft)</t>
        </is>
      </c>
      <c r="G2134" s="12" t="inlineStr">
        <is>
          <t>JB-AUXC-DI01</t>
        </is>
      </c>
      <c r="H2134" s="12" t="inlineStr">
        <is>
          <t>Aux dry coolers AUXC-F01..12 (closed cooling water)</t>
        </is>
      </c>
      <c r="I2134" s="12" t="inlineStr">
        <is>
          <t>Instrumentation</t>
        </is>
      </c>
      <c r="J2134" s="12" t="inlineStr">
        <is>
          <t>Instrumentation PLTC / TC-ER 300 V, #18 twisted shielded pairs, overall shield</t>
        </is>
      </c>
      <c r="K2134" s="12" t="inlineStr">
        <is>
          <t>PLTC|24 pr|18</t>
        </is>
      </c>
      <c r="L2134" s="12" t="inlineStr">
        <is>
          <t>24 pr</t>
        </is>
      </c>
      <c r="M2134" s="12" t="inlineStr">
        <is>
          <t>18</t>
        </is>
      </c>
      <c r="N2134" s="12" t="n">
        <v>1</v>
      </c>
      <c r="O2134" s="12" t="n">
        <v>1</v>
      </c>
      <c r="P2134" s="12" t="n"/>
      <c r="Q2134" s="12" t="n"/>
      <c r="R2134" s="12" t="n"/>
      <c r="S2134" s="12" t="inlineStr">
        <is>
          <t>Tray</t>
        </is>
      </c>
      <c r="T2134" s="16" t="n">
        <v>667</v>
      </c>
      <c r="U2134" s="16" t="n">
        <v>203</v>
      </c>
      <c r="V2134" s="16">
        <f>ROUNDUP((T2134+U2134+2*'Read Me'!$B$13)*(1+'Read Me'!$B$12),-1)</f>
        <v/>
      </c>
      <c r="W2134" s="16">
        <f>V2134*N2134*O2134</f>
        <v/>
      </c>
      <c r="X2134" s="12">
        <f>IF(LEFT(I2134,2)="MV",2*N2134*IF(L2134="1/C",O2134,1),0)</f>
        <v/>
      </c>
      <c r="Y2134" s="12">
        <f>IF(OR(LEFT(K2134,4)="LVAX",LEFT(K2134,6)="MV15AX",LEFT(K2134,4)="CTAX",LEFT(K2134,2)="W|"),2*N2134*O2134,0)</f>
        <v/>
      </c>
      <c r="Z2134" s="12" t="inlineStr"/>
      <c r="AA2134" s="12">
        <f>N2134*O2134</f>
        <v/>
      </c>
    </row>
    <row r="2135">
      <c r="A2135" s="12" t="inlineStr">
        <is>
          <t>B-I-0031</t>
        </is>
      </c>
      <c r="B2135" s="12" t="inlineStr">
        <is>
          <t>B</t>
        </is>
      </c>
      <c r="C2135" s="12" t="inlineStr">
        <is>
          <t>ACC</t>
        </is>
      </c>
      <c r="D2135" s="12" t="inlineStr">
        <is>
          <t>Discrete device to JB JB-AUXC-DI02: 4 x 1 pr (field cables)</t>
        </is>
      </c>
      <c r="E2135" s="12" t="inlineStr">
        <is>
          <t>AUXC</t>
        </is>
      </c>
      <c r="F2135" s="12" t="inlineStr">
        <is>
          <t>Aux dry coolers AUXC-F01..12 (closed cooling water)</t>
        </is>
      </c>
      <c r="G2135" s="12" t="inlineStr">
        <is>
          <t>JB-AUXC-DI02</t>
        </is>
      </c>
      <c r="H2135" s="12" t="inlineStr">
        <is>
          <t>Aux dry coolers AUXC-F01..12 (closed cooling water)</t>
        </is>
      </c>
      <c r="I2135" s="12" t="inlineStr">
        <is>
          <t>Instrumentation</t>
        </is>
      </c>
      <c r="J2135" s="12" t="inlineStr">
        <is>
          <t>Instrumentation PLTC / TC-ER 300 V, #18 twisted shielded pairs, overall shield</t>
        </is>
      </c>
      <c r="K2135" s="12" t="inlineStr">
        <is>
          <t>PLTC|1 pr|16</t>
        </is>
      </c>
      <c r="L2135" s="12" t="inlineStr">
        <is>
          <t>1 pr</t>
        </is>
      </c>
      <c r="M2135" s="12" t="inlineStr">
        <is>
          <t>16</t>
        </is>
      </c>
      <c r="N2135" s="12" t="n">
        <v>4</v>
      </c>
      <c r="O2135" s="12" t="n">
        <v>1</v>
      </c>
      <c r="P2135" s="12" t="n"/>
      <c r="Q2135" s="12" t="n"/>
      <c r="R2135" s="12" t="n"/>
      <c r="S2135" s="12" t="inlineStr">
        <is>
          <t>Tray / conduit</t>
        </is>
      </c>
      <c r="T2135" s="16" t="n">
        <v>110</v>
      </c>
      <c r="U2135" s="16" t="n">
        <v>10</v>
      </c>
      <c r="V2135" s="16">
        <f>ROUNDUP((T2135+U2135+2*'Read Me'!$B$13)*(1+'Read Me'!$B$12),-1)</f>
        <v/>
      </c>
      <c r="W2135" s="16">
        <f>V2135*N2135*O2135</f>
        <v/>
      </c>
      <c r="X2135" s="12">
        <f>IF(LEFT(I2135,2)="MV",2*N2135*IF(L2135="1/C",O2135,1),0)</f>
        <v/>
      </c>
      <c r="Y2135" s="12">
        <f>IF(OR(LEFT(K2135,4)="LVAX",LEFT(K2135,6)="MV15AX",LEFT(K2135,4)="CTAX",LEFT(K2135,2)="W|"),2*N2135*O2135,0)</f>
        <v/>
      </c>
      <c r="Z2135" s="12" t="inlineStr">
        <is>
          <t>device-to-JB field wiring, one cable per device</t>
        </is>
      </c>
      <c r="AA2135" s="12">
        <f>N2135*O2135</f>
        <v/>
      </c>
    </row>
    <row r="2136">
      <c r="A2136" s="12" t="inlineStr">
        <is>
          <t>B-I-0032</t>
        </is>
      </c>
      <c r="B2136" s="12" t="inlineStr">
        <is>
          <t>B</t>
        </is>
      </c>
      <c r="C2136" s="12" t="inlineStr">
        <is>
          <t>ACC</t>
        </is>
      </c>
      <c r="D2136" s="12" t="inlineStr">
        <is>
          <t>Home run JB-AUXC-DI02 to the control / marshalling room</t>
        </is>
      </c>
      <c r="E2136" s="12" t="inlineStr">
        <is>
          <t>R4</t>
        </is>
      </c>
      <c r="F2136" s="12" t="inlineStr">
        <is>
          <t>R4: ACC electrical (VFD) e-house (60 x 120 ft)</t>
        </is>
      </c>
      <c r="G2136" s="12" t="inlineStr">
        <is>
          <t>JB-AUXC-DI02</t>
        </is>
      </c>
      <c r="H2136" s="12" t="inlineStr">
        <is>
          <t>Aux dry coolers AUXC-F01..12 (closed cooling water)</t>
        </is>
      </c>
      <c r="I2136" s="12" t="inlineStr">
        <is>
          <t>Instrumentation</t>
        </is>
      </c>
      <c r="J2136" s="12" t="inlineStr">
        <is>
          <t>Instrumentation PLTC / TC-ER 300 V, #18 twisted shielded pairs, overall shield</t>
        </is>
      </c>
      <c r="K2136" s="12" t="inlineStr">
        <is>
          <t>PLTC|24 pr|18</t>
        </is>
      </c>
      <c r="L2136" s="12" t="inlineStr">
        <is>
          <t>24 pr</t>
        </is>
      </c>
      <c r="M2136" s="12" t="inlineStr">
        <is>
          <t>18</t>
        </is>
      </c>
      <c r="N2136" s="12" t="n">
        <v>1</v>
      </c>
      <c r="O2136" s="12" t="n">
        <v>1</v>
      </c>
      <c r="P2136" s="12" t="n"/>
      <c r="Q2136" s="12" t="n"/>
      <c r="R2136" s="12" t="n"/>
      <c r="S2136" s="12" t="inlineStr">
        <is>
          <t>Tray</t>
        </is>
      </c>
      <c r="T2136" s="16" t="n">
        <v>667</v>
      </c>
      <c r="U2136" s="16" t="n">
        <v>203</v>
      </c>
      <c r="V2136" s="16">
        <f>ROUNDUP((T2136+U2136+2*'Read Me'!$B$13)*(1+'Read Me'!$B$12),-1)</f>
        <v/>
      </c>
      <c r="W2136" s="16">
        <f>V2136*N2136*O2136</f>
        <v/>
      </c>
      <c r="X2136" s="12">
        <f>IF(LEFT(I2136,2)="MV",2*N2136*IF(L2136="1/C",O2136,1),0)</f>
        <v/>
      </c>
      <c r="Y2136" s="12">
        <f>IF(OR(LEFT(K2136,4)="LVAX",LEFT(K2136,6)="MV15AX",LEFT(K2136,4)="CTAX",LEFT(K2136,2)="W|"),2*N2136*O2136,0)</f>
        <v/>
      </c>
      <c r="Z2136" s="12" t="inlineStr"/>
      <c r="AA2136" s="12">
        <f>N2136*O2136</f>
        <v/>
      </c>
    </row>
    <row r="2137">
      <c r="A2137" s="12" t="inlineStr">
        <is>
          <t>B-I-0033</t>
        </is>
      </c>
      <c r="B2137" s="12" t="inlineStr">
        <is>
          <t>B</t>
        </is>
      </c>
      <c r="C2137" s="12" t="inlineStr">
        <is>
          <t>ACC</t>
        </is>
      </c>
      <c r="D2137" s="12" t="inlineStr">
        <is>
          <t>Analog instrument to JB JB-CCW-A/B-AI01: 10 x 1 pr (field cables)</t>
        </is>
      </c>
      <c r="E2137" s="12" t="inlineStr">
        <is>
          <t>CCW-A/B</t>
        </is>
      </c>
      <c r="F2137" s="12" t="inlineStr">
        <is>
          <t>CCW-A/B: closed cooling water pumps</t>
        </is>
      </c>
      <c r="G2137" s="12" t="inlineStr">
        <is>
          <t>JB-CCW-A/B-AI01</t>
        </is>
      </c>
      <c r="H2137" s="12" t="inlineStr">
        <is>
          <t>CCW-A/B: closed cooling water pumps</t>
        </is>
      </c>
      <c r="I2137" s="12" t="inlineStr">
        <is>
          <t>Instrumentation</t>
        </is>
      </c>
      <c r="J2137" s="12" t="inlineStr">
        <is>
          <t>Instrumentation PLTC / TC-ER 300 V, #18 twisted shielded pairs, overall shield</t>
        </is>
      </c>
      <c r="K2137" s="12" t="inlineStr">
        <is>
          <t>PLTC|1 pr|16</t>
        </is>
      </c>
      <c r="L2137" s="12" t="inlineStr">
        <is>
          <t>1 pr</t>
        </is>
      </c>
      <c r="M2137" s="12" t="inlineStr">
        <is>
          <t>16</t>
        </is>
      </c>
      <c r="N2137" s="12" t="n">
        <v>10</v>
      </c>
      <c r="O2137" s="12" t="n">
        <v>1</v>
      </c>
      <c r="P2137" s="12" t="n"/>
      <c r="Q2137" s="12" t="n"/>
      <c r="R2137" s="12" t="n"/>
      <c r="S2137" s="12" t="inlineStr">
        <is>
          <t>Tray / conduit</t>
        </is>
      </c>
      <c r="T2137" s="16" t="n">
        <v>53</v>
      </c>
      <c r="U2137" s="16" t="n">
        <v>10</v>
      </c>
      <c r="V2137" s="16">
        <f>ROUNDUP((T2137+U2137+2*'Read Me'!$B$13)*(1+'Read Me'!$B$12),-1)</f>
        <v/>
      </c>
      <c r="W2137" s="16">
        <f>V2137*N2137*O2137</f>
        <v/>
      </c>
      <c r="X2137" s="12">
        <f>IF(LEFT(I2137,2)="MV",2*N2137*IF(L2137="1/C",O2137,1),0)</f>
        <v/>
      </c>
      <c r="Y2137" s="12">
        <f>IF(OR(LEFT(K2137,4)="LVAX",LEFT(K2137,6)="MV15AX",LEFT(K2137,4)="CTAX",LEFT(K2137,2)="W|"),2*N2137*O2137,0)</f>
        <v/>
      </c>
      <c r="Z2137" s="12" t="inlineStr">
        <is>
          <t>device-to-JB field wiring, one cable per device</t>
        </is>
      </c>
      <c r="AA2137" s="12">
        <f>N2137*O2137</f>
        <v/>
      </c>
    </row>
    <row r="2138">
      <c r="A2138" s="12" t="inlineStr">
        <is>
          <t>B-I-0034</t>
        </is>
      </c>
      <c r="B2138" s="12" t="inlineStr">
        <is>
          <t>B</t>
        </is>
      </c>
      <c r="C2138" s="12" t="inlineStr">
        <is>
          <t>ACC</t>
        </is>
      </c>
      <c r="D2138" s="12" t="inlineStr">
        <is>
          <t>Home run JB-CCW-A/B-AI01 to the control / marshalling room</t>
        </is>
      </c>
      <c r="E2138" s="12" t="inlineStr">
        <is>
          <t>R4</t>
        </is>
      </c>
      <c r="F2138" s="12" t="inlineStr">
        <is>
          <t>R4: ACC electrical (VFD) e-house (60 x 120 ft)</t>
        </is>
      </c>
      <c r="G2138" s="12" t="inlineStr">
        <is>
          <t>JB-CCW-A/B-AI01</t>
        </is>
      </c>
      <c r="H2138" s="12" t="inlineStr">
        <is>
          <t>CCW-A/B: closed cooling water pumps</t>
        </is>
      </c>
      <c r="I2138" s="12" t="inlineStr">
        <is>
          <t>Instrumentation</t>
        </is>
      </c>
      <c r="J2138" s="12" t="inlineStr">
        <is>
          <t>Instrumentation PLTC / TC-ER 300 V, #18 twisted shielded pairs, overall shield</t>
        </is>
      </c>
      <c r="K2138" s="12" t="inlineStr">
        <is>
          <t>PLTC|24 pr|18</t>
        </is>
      </c>
      <c r="L2138" s="12" t="inlineStr">
        <is>
          <t>24 pr</t>
        </is>
      </c>
      <c r="M2138" s="12" t="inlineStr">
        <is>
          <t>18</t>
        </is>
      </c>
      <c r="N2138" s="12" t="n">
        <v>1</v>
      </c>
      <c r="O2138" s="12" t="n">
        <v>1</v>
      </c>
      <c r="P2138" s="12" t="n"/>
      <c r="Q2138" s="12" t="n"/>
      <c r="R2138" s="12" t="n"/>
      <c r="S2138" s="12" t="inlineStr">
        <is>
          <t>Tray</t>
        </is>
      </c>
      <c r="T2138" s="16" t="n">
        <v>676</v>
      </c>
      <c r="U2138" s="16" t="n">
        <v>167</v>
      </c>
      <c r="V2138" s="16">
        <f>ROUNDUP((T2138+U2138+2*'Read Me'!$B$13)*(1+'Read Me'!$B$12),-1)</f>
        <v/>
      </c>
      <c r="W2138" s="16">
        <f>V2138*N2138*O2138</f>
        <v/>
      </c>
      <c r="X2138" s="12">
        <f>IF(LEFT(I2138,2)="MV",2*N2138*IF(L2138="1/C",O2138,1),0)</f>
        <v/>
      </c>
      <c r="Y2138" s="12">
        <f>IF(OR(LEFT(K2138,4)="LVAX",LEFT(K2138,6)="MV15AX",LEFT(K2138,4)="CTAX",LEFT(K2138,2)="W|"),2*N2138*O2138,0)</f>
        <v/>
      </c>
      <c r="Z2138" s="12" t="inlineStr"/>
      <c r="AA2138" s="12">
        <f>N2138*O2138</f>
        <v/>
      </c>
    </row>
    <row r="2139">
      <c r="A2139" s="12" t="inlineStr">
        <is>
          <t>B-I-0035</t>
        </is>
      </c>
      <c r="B2139" s="12" t="inlineStr">
        <is>
          <t>B</t>
        </is>
      </c>
      <c r="C2139" s="12" t="inlineStr">
        <is>
          <t>ACC</t>
        </is>
      </c>
      <c r="D2139" s="12" t="inlineStr">
        <is>
          <t>Discrete device to JB JB-CCW-A/B-DI01: 10 x 1 pr (field cables)</t>
        </is>
      </c>
      <c r="E2139" s="12" t="inlineStr">
        <is>
          <t>CCW-A/B</t>
        </is>
      </c>
      <c r="F2139" s="12" t="inlineStr">
        <is>
          <t>CCW-A/B: closed cooling water pumps</t>
        </is>
      </c>
      <c r="G2139" s="12" t="inlineStr">
        <is>
          <t>JB-CCW-A/B-DI01</t>
        </is>
      </c>
      <c r="H2139" s="12" t="inlineStr">
        <is>
          <t>CCW-A/B: closed cooling water pumps</t>
        </is>
      </c>
      <c r="I2139" s="12" t="inlineStr">
        <is>
          <t>Instrumentation</t>
        </is>
      </c>
      <c r="J2139" s="12" t="inlineStr">
        <is>
          <t>Instrumentation PLTC / TC-ER 300 V, #18 twisted shielded pairs, overall shield</t>
        </is>
      </c>
      <c r="K2139" s="12" t="inlineStr">
        <is>
          <t>PLTC|1 pr|16</t>
        </is>
      </c>
      <c r="L2139" s="12" t="inlineStr">
        <is>
          <t>1 pr</t>
        </is>
      </c>
      <c r="M2139" s="12" t="inlineStr">
        <is>
          <t>16</t>
        </is>
      </c>
      <c r="N2139" s="12" t="n">
        <v>10</v>
      </c>
      <c r="O2139" s="12" t="n">
        <v>1</v>
      </c>
      <c r="P2139" s="12" t="n"/>
      <c r="Q2139" s="12" t="n"/>
      <c r="R2139" s="12" t="n"/>
      <c r="S2139" s="12" t="inlineStr">
        <is>
          <t>Tray / conduit</t>
        </is>
      </c>
      <c r="T2139" s="16" t="n">
        <v>53</v>
      </c>
      <c r="U2139" s="16" t="n">
        <v>10</v>
      </c>
      <c r="V2139" s="16">
        <f>ROUNDUP((T2139+U2139+2*'Read Me'!$B$13)*(1+'Read Me'!$B$12),-1)</f>
        <v/>
      </c>
      <c r="W2139" s="16">
        <f>V2139*N2139*O2139</f>
        <v/>
      </c>
      <c r="X2139" s="12">
        <f>IF(LEFT(I2139,2)="MV",2*N2139*IF(L2139="1/C",O2139,1),0)</f>
        <v/>
      </c>
      <c r="Y2139" s="12">
        <f>IF(OR(LEFT(K2139,4)="LVAX",LEFT(K2139,6)="MV15AX",LEFT(K2139,4)="CTAX",LEFT(K2139,2)="W|"),2*N2139*O2139,0)</f>
        <v/>
      </c>
      <c r="Z2139" s="12" t="inlineStr">
        <is>
          <t>device-to-JB field wiring, one cable per device</t>
        </is>
      </c>
      <c r="AA2139" s="12">
        <f>N2139*O2139</f>
        <v/>
      </c>
    </row>
    <row r="2140">
      <c r="A2140" s="12" t="inlineStr">
        <is>
          <t>B-I-0036</t>
        </is>
      </c>
      <c r="B2140" s="12" t="inlineStr">
        <is>
          <t>B</t>
        </is>
      </c>
      <c r="C2140" s="12" t="inlineStr">
        <is>
          <t>ACC</t>
        </is>
      </c>
      <c r="D2140" s="12" t="inlineStr">
        <is>
          <t>Home run JB-CCW-A/B-DI01 to the control / marshalling room</t>
        </is>
      </c>
      <c r="E2140" s="12" t="inlineStr">
        <is>
          <t>R4</t>
        </is>
      </c>
      <c r="F2140" s="12" t="inlineStr">
        <is>
          <t>R4: ACC electrical (VFD) e-house (60 x 120 ft)</t>
        </is>
      </c>
      <c r="G2140" s="12" t="inlineStr">
        <is>
          <t>JB-CCW-A/B-DI01</t>
        </is>
      </c>
      <c r="H2140" s="12" t="inlineStr">
        <is>
          <t>CCW-A/B: closed cooling water pumps</t>
        </is>
      </c>
      <c r="I2140" s="12" t="inlineStr">
        <is>
          <t>Instrumentation</t>
        </is>
      </c>
      <c r="J2140" s="12" t="inlineStr">
        <is>
          <t>Instrumentation PLTC / TC-ER 300 V, #18 twisted shielded pairs, overall shield</t>
        </is>
      </c>
      <c r="K2140" s="12" t="inlineStr">
        <is>
          <t>PLTC|24 pr|18</t>
        </is>
      </c>
      <c r="L2140" s="12" t="inlineStr">
        <is>
          <t>24 pr</t>
        </is>
      </c>
      <c r="M2140" s="12" t="inlineStr">
        <is>
          <t>18</t>
        </is>
      </c>
      <c r="N2140" s="12" t="n">
        <v>1</v>
      </c>
      <c r="O2140" s="12" t="n">
        <v>1</v>
      </c>
      <c r="P2140" s="12" t="n"/>
      <c r="Q2140" s="12" t="n"/>
      <c r="R2140" s="12" t="n"/>
      <c r="S2140" s="12" t="inlineStr">
        <is>
          <t>Tray</t>
        </is>
      </c>
      <c r="T2140" s="16" t="n">
        <v>676</v>
      </c>
      <c r="U2140" s="16" t="n">
        <v>167</v>
      </c>
      <c r="V2140" s="16">
        <f>ROUNDUP((T2140+U2140+2*'Read Me'!$B$13)*(1+'Read Me'!$B$12),-1)</f>
        <v/>
      </c>
      <c r="W2140" s="16">
        <f>V2140*N2140*O2140</f>
        <v/>
      </c>
      <c r="X2140" s="12">
        <f>IF(LEFT(I2140,2)="MV",2*N2140*IF(L2140="1/C",O2140,1),0)</f>
        <v/>
      </c>
      <c r="Y2140" s="12">
        <f>IF(OR(LEFT(K2140,4)="LVAX",LEFT(K2140,6)="MV15AX",LEFT(K2140,4)="CTAX",LEFT(K2140,2)="W|"),2*N2140*O2140,0)</f>
        <v/>
      </c>
      <c r="Z2140" s="12" t="inlineStr"/>
      <c r="AA2140" s="12">
        <f>N2140*O2140</f>
        <v/>
      </c>
    </row>
    <row r="2141">
      <c r="A2141" s="12" t="inlineStr">
        <is>
          <t>B-I-0037</t>
        </is>
      </c>
      <c r="B2141" s="12" t="inlineStr">
        <is>
          <t>B</t>
        </is>
      </c>
      <c r="C2141" s="12" t="inlineStr">
        <is>
          <t>ACC</t>
        </is>
      </c>
      <c r="D2141" s="12" t="inlineStr">
        <is>
          <t>Analog instrument to JB JB-CP-A/B/C-AI01: 15 x 1 pr (field cables)</t>
        </is>
      </c>
      <c r="E2141" s="12" t="inlineStr">
        <is>
          <t>CP-A/B/C</t>
        </is>
      </c>
      <c r="F2141" s="12" t="inlineStr">
        <is>
          <t>CP-A/B/C: condensate pumps (4.16 kV)</t>
        </is>
      </c>
      <c r="G2141" s="12" t="inlineStr">
        <is>
          <t>JB-CP-A/B/C-AI01</t>
        </is>
      </c>
      <c r="H2141" s="12" t="inlineStr">
        <is>
          <t>CP-A/B/C: condensate pumps (4.16 kV)</t>
        </is>
      </c>
      <c r="I2141" s="12" t="inlineStr">
        <is>
          <t>Instrumentation</t>
        </is>
      </c>
      <c r="J2141" s="12" t="inlineStr">
        <is>
          <t>Instrumentation PLTC / TC-ER 300 V, #18 twisted shielded pairs, overall shield</t>
        </is>
      </c>
      <c r="K2141" s="12" t="inlineStr">
        <is>
          <t>PLTC|1 pr|16</t>
        </is>
      </c>
      <c r="L2141" s="12" t="inlineStr">
        <is>
          <t>1 pr</t>
        </is>
      </c>
      <c r="M2141" s="12" t="inlineStr">
        <is>
          <t>16</t>
        </is>
      </c>
      <c r="N2141" s="12" t="n">
        <v>15</v>
      </c>
      <c r="O2141" s="12" t="n">
        <v>1</v>
      </c>
      <c r="P2141" s="12" t="n"/>
      <c r="Q2141" s="12" t="n"/>
      <c r="R2141" s="12" t="n"/>
      <c r="S2141" s="12" t="inlineStr">
        <is>
          <t>Tray / conduit</t>
        </is>
      </c>
      <c r="T2141" s="16" t="n">
        <v>55</v>
      </c>
      <c r="U2141" s="16" t="n">
        <v>10</v>
      </c>
      <c r="V2141" s="16">
        <f>ROUNDUP((T2141+U2141+2*'Read Me'!$B$13)*(1+'Read Me'!$B$12),-1)</f>
        <v/>
      </c>
      <c r="W2141" s="16">
        <f>V2141*N2141*O2141</f>
        <v/>
      </c>
      <c r="X2141" s="12">
        <f>IF(LEFT(I2141,2)="MV",2*N2141*IF(L2141="1/C",O2141,1),0)</f>
        <v/>
      </c>
      <c r="Y2141" s="12">
        <f>IF(OR(LEFT(K2141,4)="LVAX",LEFT(K2141,6)="MV15AX",LEFT(K2141,4)="CTAX",LEFT(K2141,2)="W|"),2*N2141*O2141,0)</f>
        <v/>
      </c>
      <c r="Z2141" s="12" t="inlineStr">
        <is>
          <t>device-to-JB field wiring, one cable per device</t>
        </is>
      </c>
      <c r="AA2141" s="12">
        <f>N2141*O2141</f>
        <v/>
      </c>
    </row>
    <row r="2142">
      <c r="A2142" s="12" t="inlineStr">
        <is>
          <t>B-I-0038</t>
        </is>
      </c>
      <c r="B2142" s="12" t="inlineStr">
        <is>
          <t>B</t>
        </is>
      </c>
      <c r="C2142" s="12" t="inlineStr">
        <is>
          <t>ACC</t>
        </is>
      </c>
      <c r="D2142" s="12" t="inlineStr">
        <is>
          <t>Home run JB-CP-A/B/C-AI01 to the control / marshalling room</t>
        </is>
      </c>
      <c r="E2142" s="12" t="inlineStr">
        <is>
          <t>R4</t>
        </is>
      </c>
      <c r="F2142" s="12" t="inlineStr">
        <is>
          <t>R4: ACC electrical (VFD) e-house (60 x 120 ft)</t>
        </is>
      </c>
      <c r="G2142" s="12" t="inlineStr">
        <is>
          <t>JB-CP-A/B/C-AI01</t>
        </is>
      </c>
      <c r="H2142" s="12" t="inlineStr">
        <is>
          <t>CP-A/B/C: condensate pumps (4.16 kV)</t>
        </is>
      </c>
      <c r="I2142" s="12" t="inlineStr">
        <is>
          <t>Instrumentation</t>
        </is>
      </c>
      <c r="J2142" s="12" t="inlineStr">
        <is>
          <t>Instrumentation PLTC / TC-ER 300 V, #18 twisted shielded pairs, overall shield</t>
        </is>
      </c>
      <c r="K2142" s="12" t="inlineStr">
        <is>
          <t>PLTC|24 pr|18</t>
        </is>
      </c>
      <c r="L2142" s="12" t="inlineStr">
        <is>
          <t>24 pr</t>
        </is>
      </c>
      <c r="M2142" s="12" t="inlineStr">
        <is>
          <t>18</t>
        </is>
      </c>
      <c r="N2142" s="12" t="n">
        <v>1</v>
      </c>
      <c r="O2142" s="12" t="n">
        <v>1</v>
      </c>
      <c r="P2142" s="12" t="n"/>
      <c r="Q2142" s="12" t="n"/>
      <c r="R2142" s="12" t="n"/>
      <c r="S2142" s="12" t="inlineStr">
        <is>
          <t>Tray</t>
        </is>
      </c>
      <c r="T2142" s="16" t="n">
        <v>532</v>
      </c>
      <c r="U2142" s="16" t="n">
        <v>135</v>
      </c>
      <c r="V2142" s="16">
        <f>ROUNDUP((T2142+U2142+2*'Read Me'!$B$13)*(1+'Read Me'!$B$12),-1)</f>
        <v/>
      </c>
      <c r="W2142" s="16">
        <f>V2142*N2142*O2142</f>
        <v/>
      </c>
      <c r="X2142" s="12">
        <f>IF(LEFT(I2142,2)="MV",2*N2142*IF(L2142="1/C",O2142,1),0)</f>
        <v/>
      </c>
      <c r="Y2142" s="12">
        <f>IF(OR(LEFT(K2142,4)="LVAX",LEFT(K2142,6)="MV15AX",LEFT(K2142,4)="CTAX",LEFT(K2142,2)="W|"),2*N2142*O2142,0)</f>
        <v/>
      </c>
      <c r="Z2142" s="12" t="inlineStr"/>
      <c r="AA2142" s="12">
        <f>N2142*O2142</f>
        <v/>
      </c>
    </row>
    <row r="2143">
      <c r="A2143" s="12" t="inlineStr">
        <is>
          <t>B-I-0039</t>
        </is>
      </c>
      <c r="B2143" s="12" t="inlineStr">
        <is>
          <t>B</t>
        </is>
      </c>
      <c r="C2143" s="12" t="inlineStr">
        <is>
          <t>ACC</t>
        </is>
      </c>
      <c r="D2143" s="12" t="inlineStr">
        <is>
          <t>Discrete device to JB JB-CP-A/B/C-DI01: 15 x 1 pr (field cables)</t>
        </is>
      </c>
      <c r="E2143" s="12" t="inlineStr">
        <is>
          <t>CP-A/B/C</t>
        </is>
      </c>
      <c r="F2143" s="12" t="inlineStr">
        <is>
          <t>CP-A/B/C: condensate pumps (4.16 kV)</t>
        </is>
      </c>
      <c r="G2143" s="12" t="inlineStr">
        <is>
          <t>JB-CP-A/B/C-DI01</t>
        </is>
      </c>
      <c r="H2143" s="12" t="inlineStr">
        <is>
          <t>CP-A/B/C: condensate pumps (4.16 kV)</t>
        </is>
      </c>
      <c r="I2143" s="12" t="inlineStr">
        <is>
          <t>Instrumentation</t>
        </is>
      </c>
      <c r="J2143" s="12" t="inlineStr">
        <is>
          <t>Instrumentation PLTC / TC-ER 300 V, #18 twisted shielded pairs, overall shield</t>
        </is>
      </c>
      <c r="K2143" s="12" t="inlineStr">
        <is>
          <t>PLTC|1 pr|16</t>
        </is>
      </c>
      <c r="L2143" s="12" t="inlineStr">
        <is>
          <t>1 pr</t>
        </is>
      </c>
      <c r="M2143" s="12" t="inlineStr">
        <is>
          <t>16</t>
        </is>
      </c>
      <c r="N2143" s="12" t="n">
        <v>15</v>
      </c>
      <c r="O2143" s="12" t="n">
        <v>1</v>
      </c>
      <c r="P2143" s="12" t="n"/>
      <c r="Q2143" s="12" t="n"/>
      <c r="R2143" s="12" t="n"/>
      <c r="S2143" s="12" t="inlineStr">
        <is>
          <t>Tray / conduit</t>
        </is>
      </c>
      <c r="T2143" s="16" t="n">
        <v>55</v>
      </c>
      <c r="U2143" s="16" t="n">
        <v>10</v>
      </c>
      <c r="V2143" s="16">
        <f>ROUNDUP((T2143+U2143+2*'Read Me'!$B$13)*(1+'Read Me'!$B$12),-1)</f>
        <v/>
      </c>
      <c r="W2143" s="16">
        <f>V2143*N2143*O2143</f>
        <v/>
      </c>
      <c r="X2143" s="12">
        <f>IF(LEFT(I2143,2)="MV",2*N2143*IF(L2143="1/C",O2143,1),0)</f>
        <v/>
      </c>
      <c r="Y2143" s="12">
        <f>IF(OR(LEFT(K2143,4)="LVAX",LEFT(K2143,6)="MV15AX",LEFT(K2143,4)="CTAX",LEFT(K2143,2)="W|"),2*N2143*O2143,0)</f>
        <v/>
      </c>
      <c r="Z2143" s="12" t="inlineStr">
        <is>
          <t>device-to-JB field wiring, one cable per device</t>
        </is>
      </c>
      <c r="AA2143" s="12">
        <f>N2143*O2143</f>
        <v/>
      </c>
    </row>
    <row r="2144">
      <c r="A2144" s="12" t="inlineStr">
        <is>
          <t>B-I-0040</t>
        </is>
      </c>
      <c r="B2144" s="12" t="inlineStr">
        <is>
          <t>B</t>
        </is>
      </c>
      <c r="C2144" s="12" t="inlineStr">
        <is>
          <t>ACC</t>
        </is>
      </c>
      <c r="D2144" s="12" t="inlineStr">
        <is>
          <t>Home run JB-CP-A/B/C-DI01 to the control / marshalling room</t>
        </is>
      </c>
      <c r="E2144" s="12" t="inlineStr">
        <is>
          <t>R4</t>
        </is>
      </c>
      <c r="F2144" s="12" t="inlineStr">
        <is>
          <t>R4: ACC electrical (VFD) e-house (60 x 120 ft)</t>
        </is>
      </c>
      <c r="G2144" s="12" t="inlineStr">
        <is>
          <t>JB-CP-A/B/C-DI01</t>
        </is>
      </c>
      <c r="H2144" s="12" t="inlineStr">
        <is>
          <t>CP-A/B/C: condensate pumps (4.16 kV)</t>
        </is>
      </c>
      <c r="I2144" s="12" t="inlineStr">
        <is>
          <t>Instrumentation</t>
        </is>
      </c>
      <c r="J2144" s="12" t="inlineStr">
        <is>
          <t>Instrumentation PLTC / TC-ER 300 V, #18 twisted shielded pairs, overall shield</t>
        </is>
      </c>
      <c r="K2144" s="12" t="inlineStr">
        <is>
          <t>PLTC|24 pr|18</t>
        </is>
      </c>
      <c r="L2144" s="12" t="inlineStr">
        <is>
          <t>24 pr</t>
        </is>
      </c>
      <c r="M2144" s="12" t="inlineStr">
        <is>
          <t>18</t>
        </is>
      </c>
      <c r="N2144" s="12" t="n">
        <v>1</v>
      </c>
      <c r="O2144" s="12" t="n">
        <v>1</v>
      </c>
      <c r="P2144" s="12" t="n"/>
      <c r="Q2144" s="12" t="n"/>
      <c r="R2144" s="12" t="n"/>
      <c r="S2144" s="12" t="inlineStr">
        <is>
          <t>Tray</t>
        </is>
      </c>
      <c r="T2144" s="16" t="n">
        <v>532</v>
      </c>
      <c r="U2144" s="16" t="n">
        <v>135</v>
      </c>
      <c r="V2144" s="16">
        <f>ROUNDUP((T2144+U2144+2*'Read Me'!$B$13)*(1+'Read Me'!$B$12),-1)</f>
        <v/>
      </c>
      <c r="W2144" s="16">
        <f>V2144*N2144*O2144</f>
        <v/>
      </c>
      <c r="X2144" s="12">
        <f>IF(LEFT(I2144,2)="MV",2*N2144*IF(L2144="1/C",O2144,1),0)</f>
        <v/>
      </c>
      <c r="Y2144" s="12">
        <f>IF(OR(LEFT(K2144,4)="LVAX",LEFT(K2144,6)="MV15AX",LEFT(K2144,4)="CTAX",LEFT(K2144,2)="W|"),2*N2144*O2144,0)</f>
        <v/>
      </c>
      <c r="Z2144" s="12" t="inlineStr"/>
      <c r="AA2144" s="12">
        <f>N2144*O2144</f>
        <v/>
      </c>
    </row>
    <row r="2145">
      <c r="A2145" s="12" t="inlineStr">
        <is>
          <t>B-I-0041</t>
        </is>
      </c>
      <c r="B2145" s="12" t="inlineStr">
        <is>
          <t>B</t>
        </is>
      </c>
      <c r="C2145" s="12" t="inlineStr">
        <is>
          <t>ACC</t>
        </is>
      </c>
      <c r="D2145" s="12" t="inlineStr">
        <is>
          <t>RTD to JB JB-CP-A/B/C-RTD01: 10 x 1 tri (field cables)</t>
        </is>
      </c>
      <c r="E2145" s="12" t="inlineStr">
        <is>
          <t>CP-A/B/C</t>
        </is>
      </c>
      <c r="F2145" s="12" t="inlineStr">
        <is>
          <t>CP-A/B/C: condensate pumps (4.16 kV)</t>
        </is>
      </c>
      <c r="G2145" s="12" t="inlineStr">
        <is>
          <t>JB-CP-A/B/C-RTD01</t>
        </is>
      </c>
      <c r="H2145" s="12" t="inlineStr">
        <is>
          <t>CP-A/B/C: condensate pumps (4.16 kV)</t>
        </is>
      </c>
      <c r="I2145" s="12" t="inlineStr">
        <is>
          <t>Instrumentation</t>
        </is>
      </c>
      <c r="J2145" s="12" t="inlineStr">
        <is>
          <t>RTD cable, #18 shielded triads, PLTC</t>
        </is>
      </c>
      <c r="K2145" s="12" t="inlineStr">
        <is>
          <t>RTD|1 tri|18</t>
        </is>
      </c>
      <c r="L2145" s="12" t="inlineStr">
        <is>
          <t>1 tri</t>
        </is>
      </c>
      <c r="M2145" s="12" t="inlineStr">
        <is>
          <t>18</t>
        </is>
      </c>
      <c r="N2145" s="12" t="n">
        <v>10</v>
      </c>
      <c r="O2145" s="12" t="n">
        <v>1</v>
      </c>
      <c r="P2145" s="12" t="n"/>
      <c r="Q2145" s="12" t="n"/>
      <c r="R2145" s="12" t="n"/>
      <c r="S2145" s="12" t="inlineStr">
        <is>
          <t>Tray / conduit</t>
        </is>
      </c>
      <c r="T2145" s="16" t="n">
        <v>55</v>
      </c>
      <c r="U2145" s="16" t="n">
        <v>10</v>
      </c>
      <c r="V2145" s="16">
        <f>ROUNDUP((T2145+U2145+2*'Read Me'!$B$13)*(1+'Read Me'!$B$12),-1)</f>
        <v/>
      </c>
      <c r="W2145" s="16">
        <f>V2145*N2145*O2145</f>
        <v/>
      </c>
      <c r="X2145" s="12">
        <f>IF(LEFT(I2145,2)="MV",2*N2145*IF(L2145="1/C",O2145,1),0)</f>
        <v/>
      </c>
      <c r="Y2145" s="12">
        <f>IF(OR(LEFT(K2145,4)="LVAX",LEFT(K2145,6)="MV15AX",LEFT(K2145,4)="CTAX",LEFT(K2145,2)="W|"),2*N2145*O2145,0)</f>
        <v/>
      </c>
      <c r="Z2145" s="12" t="inlineStr">
        <is>
          <t>device-to-JB field wiring, one cable per device</t>
        </is>
      </c>
      <c r="AA2145" s="12">
        <f>N2145*O2145</f>
        <v/>
      </c>
    </row>
    <row r="2146">
      <c r="A2146" s="12" t="inlineStr">
        <is>
          <t>B-I-0042</t>
        </is>
      </c>
      <c r="B2146" s="12" t="inlineStr">
        <is>
          <t>B</t>
        </is>
      </c>
      <c r="C2146" s="12" t="inlineStr">
        <is>
          <t>ACC</t>
        </is>
      </c>
      <c r="D2146" s="12" t="inlineStr">
        <is>
          <t>Home run JB-CP-A/B/C-RTD01 to the control / marshalling room</t>
        </is>
      </c>
      <c r="E2146" s="12" t="inlineStr">
        <is>
          <t>R4</t>
        </is>
      </c>
      <c r="F2146" s="12" t="inlineStr">
        <is>
          <t>R4: ACC electrical (VFD) e-house (60 x 120 ft)</t>
        </is>
      </c>
      <c r="G2146" s="12" t="inlineStr">
        <is>
          <t>JB-CP-A/B/C-RTD01</t>
        </is>
      </c>
      <c r="H2146" s="12" t="inlineStr">
        <is>
          <t>CP-A/B/C: condensate pumps (4.16 kV)</t>
        </is>
      </c>
      <c r="I2146" s="12" t="inlineStr">
        <is>
          <t>Instrumentation</t>
        </is>
      </c>
      <c r="J2146" s="12" t="inlineStr">
        <is>
          <t>RTD cable, #18 shielded triads, PLTC</t>
        </is>
      </c>
      <c r="K2146" s="12" t="inlineStr">
        <is>
          <t>RTD|12 tri|18</t>
        </is>
      </c>
      <c r="L2146" s="12" t="inlineStr">
        <is>
          <t>12 tri</t>
        </is>
      </c>
      <c r="M2146" s="12" t="inlineStr">
        <is>
          <t>18</t>
        </is>
      </c>
      <c r="N2146" s="12" t="n">
        <v>1</v>
      </c>
      <c r="O2146" s="12" t="n">
        <v>1</v>
      </c>
      <c r="P2146" s="12" t="n"/>
      <c r="Q2146" s="12" t="n"/>
      <c r="R2146" s="12" t="n"/>
      <c r="S2146" s="12" t="inlineStr">
        <is>
          <t>Tray</t>
        </is>
      </c>
      <c r="T2146" s="16" t="n">
        <v>532</v>
      </c>
      <c r="U2146" s="16" t="n">
        <v>135</v>
      </c>
      <c r="V2146" s="16">
        <f>ROUNDUP((T2146+U2146+2*'Read Me'!$B$13)*(1+'Read Me'!$B$12),-1)</f>
        <v/>
      </c>
      <c r="W2146" s="16">
        <f>V2146*N2146*O2146</f>
        <v/>
      </c>
      <c r="X2146" s="12">
        <f>IF(LEFT(I2146,2)="MV",2*N2146*IF(L2146="1/C",O2146,1),0)</f>
        <v/>
      </c>
      <c r="Y2146" s="12">
        <f>IF(OR(LEFT(K2146,4)="LVAX",LEFT(K2146,6)="MV15AX",LEFT(K2146,4)="CTAX",LEFT(K2146,2)="W|"),2*N2146*O2146,0)</f>
        <v/>
      </c>
      <c r="Z2146" s="12" t="inlineStr"/>
      <c r="AA2146" s="12">
        <f>N2146*O2146</f>
        <v/>
      </c>
    </row>
    <row r="2147">
      <c r="A2147" s="12" t="inlineStr">
        <is>
          <t>B-I-0043</t>
        </is>
      </c>
      <c r="B2147" s="12" t="inlineStr">
        <is>
          <t>B</t>
        </is>
      </c>
      <c r="C2147" s="12" t="inlineStr">
        <is>
          <t>ACC</t>
        </is>
      </c>
      <c r="D2147" s="12" t="inlineStr">
        <is>
          <t>RTD to JB JB-CP-A/B/C-RTD02: 8 x 1 tri (field cables)</t>
        </is>
      </c>
      <c r="E2147" s="12" t="inlineStr">
        <is>
          <t>CP-A/B/C</t>
        </is>
      </c>
      <c r="F2147" s="12" t="inlineStr">
        <is>
          <t>CP-A/B/C: condensate pumps (4.16 kV)</t>
        </is>
      </c>
      <c r="G2147" s="12" t="inlineStr">
        <is>
          <t>JB-CP-A/B/C-RTD02</t>
        </is>
      </c>
      <c r="H2147" s="12" t="inlineStr">
        <is>
          <t>CP-A/B/C: condensate pumps (4.16 kV)</t>
        </is>
      </c>
      <c r="I2147" s="12" t="inlineStr">
        <is>
          <t>Instrumentation</t>
        </is>
      </c>
      <c r="J2147" s="12" t="inlineStr">
        <is>
          <t>RTD cable, #18 shielded triads, PLTC</t>
        </is>
      </c>
      <c r="K2147" s="12" t="inlineStr">
        <is>
          <t>RTD|1 tri|18</t>
        </is>
      </c>
      <c r="L2147" s="12" t="inlineStr">
        <is>
          <t>1 tri</t>
        </is>
      </c>
      <c r="M2147" s="12" t="inlineStr">
        <is>
          <t>18</t>
        </is>
      </c>
      <c r="N2147" s="12" t="n">
        <v>8</v>
      </c>
      <c r="O2147" s="12" t="n">
        <v>1</v>
      </c>
      <c r="P2147" s="12" t="n"/>
      <c r="Q2147" s="12" t="n"/>
      <c r="R2147" s="12" t="n"/>
      <c r="S2147" s="12" t="inlineStr">
        <is>
          <t>Tray / conduit</t>
        </is>
      </c>
      <c r="T2147" s="16" t="n">
        <v>55</v>
      </c>
      <c r="U2147" s="16" t="n">
        <v>10</v>
      </c>
      <c r="V2147" s="16">
        <f>ROUNDUP((T2147+U2147+2*'Read Me'!$B$13)*(1+'Read Me'!$B$12),-1)</f>
        <v/>
      </c>
      <c r="W2147" s="16">
        <f>V2147*N2147*O2147</f>
        <v/>
      </c>
      <c r="X2147" s="12">
        <f>IF(LEFT(I2147,2)="MV",2*N2147*IF(L2147="1/C",O2147,1),0)</f>
        <v/>
      </c>
      <c r="Y2147" s="12">
        <f>IF(OR(LEFT(K2147,4)="LVAX",LEFT(K2147,6)="MV15AX",LEFT(K2147,4)="CTAX",LEFT(K2147,2)="W|"),2*N2147*O2147,0)</f>
        <v/>
      </c>
      <c r="Z2147" s="12" t="inlineStr">
        <is>
          <t>device-to-JB field wiring, one cable per device</t>
        </is>
      </c>
      <c r="AA2147" s="12">
        <f>N2147*O2147</f>
        <v/>
      </c>
    </row>
    <row r="2148">
      <c r="A2148" s="12" t="inlineStr">
        <is>
          <t>B-I-0044</t>
        </is>
      </c>
      <c r="B2148" s="12" t="inlineStr">
        <is>
          <t>B</t>
        </is>
      </c>
      <c r="C2148" s="12" t="inlineStr">
        <is>
          <t>ACC</t>
        </is>
      </c>
      <c r="D2148" s="12" t="inlineStr">
        <is>
          <t>Home run JB-CP-A/B/C-RTD02 to the control / marshalling room</t>
        </is>
      </c>
      <c r="E2148" s="12" t="inlineStr">
        <is>
          <t>R4</t>
        </is>
      </c>
      <c r="F2148" s="12" t="inlineStr">
        <is>
          <t>R4: ACC electrical (VFD) e-house (60 x 120 ft)</t>
        </is>
      </c>
      <c r="G2148" s="12" t="inlineStr">
        <is>
          <t>JB-CP-A/B/C-RTD02</t>
        </is>
      </c>
      <c r="H2148" s="12" t="inlineStr">
        <is>
          <t>CP-A/B/C: condensate pumps (4.16 kV)</t>
        </is>
      </c>
      <c r="I2148" s="12" t="inlineStr">
        <is>
          <t>Instrumentation</t>
        </is>
      </c>
      <c r="J2148" s="12" t="inlineStr">
        <is>
          <t>RTD cable, #18 shielded triads, PLTC</t>
        </is>
      </c>
      <c r="K2148" s="12" t="inlineStr">
        <is>
          <t>RTD|12 tri|18</t>
        </is>
      </c>
      <c r="L2148" s="12" t="inlineStr">
        <is>
          <t>12 tri</t>
        </is>
      </c>
      <c r="M2148" s="12" t="inlineStr">
        <is>
          <t>18</t>
        </is>
      </c>
      <c r="N2148" s="12" t="n">
        <v>1</v>
      </c>
      <c r="O2148" s="12" t="n">
        <v>1</v>
      </c>
      <c r="P2148" s="12" t="n"/>
      <c r="Q2148" s="12" t="n"/>
      <c r="R2148" s="12" t="n"/>
      <c r="S2148" s="12" t="inlineStr">
        <is>
          <t>Tray</t>
        </is>
      </c>
      <c r="T2148" s="16" t="n">
        <v>532</v>
      </c>
      <c r="U2148" s="16" t="n">
        <v>135</v>
      </c>
      <c r="V2148" s="16">
        <f>ROUNDUP((T2148+U2148+2*'Read Me'!$B$13)*(1+'Read Me'!$B$12),-1)</f>
        <v/>
      </c>
      <c r="W2148" s="16">
        <f>V2148*N2148*O2148</f>
        <v/>
      </c>
      <c r="X2148" s="12">
        <f>IF(LEFT(I2148,2)="MV",2*N2148*IF(L2148="1/C",O2148,1),0)</f>
        <v/>
      </c>
      <c r="Y2148" s="12">
        <f>IF(OR(LEFT(K2148,4)="LVAX",LEFT(K2148,6)="MV15AX",LEFT(K2148,4)="CTAX",LEFT(K2148,2)="W|"),2*N2148*O2148,0)</f>
        <v/>
      </c>
      <c r="Z2148" s="12" t="inlineStr"/>
      <c r="AA2148" s="12">
        <f>N2148*O2148</f>
        <v/>
      </c>
    </row>
    <row r="2149">
      <c r="A2149" s="12" t="inlineStr">
        <is>
          <t>B-I-0045</t>
        </is>
      </c>
      <c r="B2149" s="12" t="inlineStr">
        <is>
          <t>B</t>
        </is>
      </c>
      <c r="C2149" s="12" t="inlineStr">
        <is>
          <t>ACC</t>
        </is>
      </c>
      <c r="D2149" s="12" t="inlineStr">
        <is>
          <t>Analog instrument to JB JB-Condensate storage-AI01: 4 x 1 pr (field cables)</t>
        </is>
      </c>
      <c r="E2149" s="12" t="inlineStr"/>
      <c r="F2149" s="12" t="inlineStr">
        <is>
          <t>Condensate storage tank</t>
        </is>
      </c>
      <c r="G2149" s="12" t="inlineStr">
        <is>
          <t>JB-Condensate storage-AI01</t>
        </is>
      </c>
      <c r="H2149" s="12" t="inlineStr">
        <is>
          <t>Condensate storage tank</t>
        </is>
      </c>
      <c r="I2149" s="12" t="inlineStr">
        <is>
          <t>Instrumentation</t>
        </is>
      </c>
      <c r="J2149" s="12" t="inlineStr">
        <is>
          <t>Instrumentation PLTC / TC-ER 300 V, #18 twisted shielded pairs, overall shield</t>
        </is>
      </c>
      <c r="K2149" s="12" t="inlineStr">
        <is>
          <t>PLTC|1 pr|16</t>
        </is>
      </c>
      <c r="L2149" s="12" t="inlineStr">
        <is>
          <t>1 pr</t>
        </is>
      </c>
      <c r="M2149" s="12" t="inlineStr">
        <is>
          <t>16</t>
        </is>
      </c>
      <c r="N2149" s="12" t="n">
        <v>4</v>
      </c>
      <c r="O2149" s="12" t="n">
        <v>1</v>
      </c>
      <c r="P2149" s="12" t="n"/>
      <c r="Q2149" s="12" t="n"/>
      <c r="R2149" s="12" t="n"/>
      <c r="S2149" s="12" t="inlineStr">
        <is>
          <t>Tray / conduit</t>
        </is>
      </c>
      <c r="T2149" s="16" t="n">
        <v>66</v>
      </c>
      <c r="U2149" s="16" t="n">
        <v>10</v>
      </c>
      <c r="V2149" s="16">
        <f>ROUNDUP((T2149+U2149+2*'Read Me'!$B$13)*(1+'Read Me'!$B$12),-1)</f>
        <v/>
      </c>
      <c r="W2149" s="16">
        <f>V2149*N2149*O2149</f>
        <v/>
      </c>
      <c r="X2149" s="12">
        <f>IF(LEFT(I2149,2)="MV",2*N2149*IF(L2149="1/C",O2149,1),0)</f>
        <v/>
      </c>
      <c r="Y2149" s="12">
        <f>IF(OR(LEFT(K2149,4)="LVAX",LEFT(K2149,6)="MV15AX",LEFT(K2149,4)="CTAX",LEFT(K2149,2)="W|"),2*N2149*O2149,0)</f>
        <v/>
      </c>
      <c r="Z2149" s="12" t="inlineStr">
        <is>
          <t>device-to-JB field wiring, one cable per device</t>
        </is>
      </c>
      <c r="AA2149" s="12">
        <f>N2149*O2149</f>
        <v/>
      </c>
    </row>
    <row r="2150">
      <c r="A2150" s="12" t="inlineStr">
        <is>
          <t>B-I-0046</t>
        </is>
      </c>
      <c r="B2150" s="12" t="inlineStr">
        <is>
          <t>B</t>
        </is>
      </c>
      <c r="C2150" s="12" t="inlineStr">
        <is>
          <t>ACC</t>
        </is>
      </c>
      <c r="D2150" s="12" t="inlineStr">
        <is>
          <t>Home run JB-Condensate storage-AI01 to the control / marshalling room</t>
        </is>
      </c>
      <c r="E2150" s="12" t="inlineStr">
        <is>
          <t>R4</t>
        </is>
      </c>
      <c r="F2150" s="12" t="inlineStr">
        <is>
          <t>R4: ACC electrical (VFD) e-house (60 x 120 ft)</t>
        </is>
      </c>
      <c r="G2150" s="12" t="inlineStr">
        <is>
          <t>JB-Condensate storage-AI01</t>
        </is>
      </c>
      <c r="H2150" s="12" t="inlineStr">
        <is>
          <t>Condensate storage tank</t>
        </is>
      </c>
      <c r="I2150" s="12" t="inlineStr">
        <is>
          <t>Instrumentation</t>
        </is>
      </c>
      <c r="J2150" s="12" t="inlineStr">
        <is>
          <t>Instrumentation PLTC / TC-ER 300 V, #18 twisted shielded pairs, overall shield</t>
        </is>
      </c>
      <c r="K2150" s="12" t="inlineStr">
        <is>
          <t>PLTC|24 pr|18</t>
        </is>
      </c>
      <c r="L2150" s="12" t="inlineStr">
        <is>
          <t>24 pr</t>
        </is>
      </c>
      <c r="M2150" s="12" t="inlineStr">
        <is>
          <t>18</t>
        </is>
      </c>
      <c r="N2150" s="12" t="n">
        <v>1</v>
      </c>
      <c r="O2150" s="12" t="n">
        <v>1</v>
      </c>
      <c r="P2150" s="12" t="n"/>
      <c r="Q2150" s="12" t="n"/>
      <c r="R2150" s="12" t="n"/>
      <c r="S2150" s="12" t="inlineStr">
        <is>
          <t>Tray</t>
        </is>
      </c>
      <c r="T2150" s="16" t="n">
        <v>410</v>
      </c>
      <c r="U2150" s="16" t="n">
        <v>105</v>
      </c>
      <c r="V2150" s="16">
        <f>ROUNDUP((T2150+U2150+2*'Read Me'!$B$13)*(1+'Read Me'!$B$12),-1)</f>
        <v/>
      </c>
      <c r="W2150" s="16">
        <f>V2150*N2150*O2150</f>
        <v/>
      </c>
      <c r="X2150" s="12">
        <f>IF(LEFT(I2150,2)="MV",2*N2150*IF(L2150="1/C",O2150,1),0)</f>
        <v/>
      </c>
      <c r="Y2150" s="12">
        <f>IF(OR(LEFT(K2150,4)="LVAX",LEFT(K2150,6)="MV15AX",LEFT(K2150,4)="CTAX",LEFT(K2150,2)="W|"),2*N2150*O2150,0)</f>
        <v/>
      </c>
      <c r="Z2150" s="12" t="inlineStr"/>
      <c r="AA2150" s="12">
        <f>N2150*O2150</f>
        <v/>
      </c>
    </row>
    <row r="2151">
      <c r="A2151" s="12" t="inlineStr">
        <is>
          <t>B-I-0047</t>
        </is>
      </c>
      <c r="B2151" s="12" t="inlineStr">
        <is>
          <t>B</t>
        </is>
      </c>
      <c r="C2151" s="12" t="inlineStr">
        <is>
          <t>ACC</t>
        </is>
      </c>
      <c r="D2151" s="12" t="inlineStr">
        <is>
          <t>Discrete device to JB JB-Condensate storage-DI01: 4 x 1 pr (field cables)</t>
        </is>
      </c>
      <c r="E2151" s="12" t="inlineStr"/>
      <c r="F2151" s="12" t="inlineStr">
        <is>
          <t>Condensate storage tank</t>
        </is>
      </c>
      <c r="G2151" s="12" t="inlineStr">
        <is>
          <t>JB-Condensate storage-DI01</t>
        </is>
      </c>
      <c r="H2151" s="12" t="inlineStr">
        <is>
          <t>Condensate storage tank</t>
        </is>
      </c>
      <c r="I2151" s="12" t="inlineStr">
        <is>
          <t>Instrumentation</t>
        </is>
      </c>
      <c r="J2151" s="12" t="inlineStr">
        <is>
          <t>Instrumentation PLTC / TC-ER 300 V, #18 twisted shielded pairs, overall shield</t>
        </is>
      </c>
      <c r="K2151" s="12" t="inlineStr">
        <is>
          <t>PLTC|1 pr|16</t>
        </is>
      </c>
      <c r="L2151" s="12" t="inlineStr">
        <is>
          <t>1 pr</t>
        </is>
      </c>
      <c r="M2151" s="12" t="inlineStr">
        <is>
          <t>16</t>
        </is>
      </c>
      <c r="N2151" s="12" t="n">
        <v>4</v>
      </c>
      <c r="O2151" s="12" t="n">
        <v>1</v>
      </c>
      <c r="P2151" s="12" t="n"/>
      <c r="Q2151" s="12" t="n"/>
      <c r="R2151" s="12" t="n"/>
      <c r="S2151" s="12" t="inlineStr">
        <is>
          <t>Tray / conduit</t>
        </is>
      </c>
      <c r="T2151" s="16" t="n">
        <v>66</v>
      </c>
      <c r="U2151" s="16" t="n">
        <v>10</v>
      </c>
      <c r="V2151" s="16">
        <f>ROUNDUP((T2151+U2151+2*'Read Me'!$B$13)*(1+'Read Me'!$B$12),-1)</f>
        <v/>
      </c>
      <c r="W2151" s="16">
        <f>V2151*N2151*O2151</f>
        <v/>
      </c>
      <c r="X2151" s="12">
        <f>IF(LEFT(I2151,2)="MV",2*N2151*IF(L2151="1/C",O2151,1),0)</f>
        <v/>
      </c>
      <c r="Y2151" s="12">
        <f>IF(OR(LEFT(K2151,4)="LVAX",LEFT(K2151,6)="MV15AX",LEFT(K2151,4)="CTAX",LEFT(K2151,2)="W|"),2*N2151*O2151,0)</f>
        <v/>
      </c>
      <c r="Z2151" s="12" t="inlineStr">
        <is>
          <t>device-to-JB field wiring, one cable per device</t>
        </is>
      </c>
      <c r="AA2151" s="12">
        <f>N2151*O2151</f>
        <v/>
      </c>
    </row>
    <row r="2152">
      <c r="A2152" s="12" t="inlineStr">
        <is>
          <t>B-I-0048</t>
        </is>
      </c>
      <c r="B2152" s="12" t="inlineStr">
        <is>
          <t>B</t>
        </is>
      </c>
      <c r="C2152" s="12" t="inlineStr">
        <is>
          <t>ACC</t>
        </is>
      </c>
      <c r="D2152" s="12" t="inlineStr">
        <is>
          <t>Home run JB-Condensate storage-DI01 to the control / marshalling room</t>
        </is>
      </c>
      <c r="E2152" s="12" t="inlineStr">
        <is>
          <t>R4</t>
        </is>
      </c>
      <c r="F2152" s="12" t="inlineStr">
        <is>
          <t>R4: ACC electrical (VFD) e-house (60 x 120 ft)</t>
        </is>
      </c>
      <c r="G2152" s="12" t="inlineStr">
        <is>
          <t>JB-Condensate storage-DI01</t>
        </is>
      </c>
      <c r="H2152" s="12" t="inlineStr">
        <is>
          <t>Condensate storage tank</t>
        </is>
      </c>
      <c r="I2152" s="12" t="inlineStr">
        <is>
          <t>Instrumentation</t>
        </is>
      </c>
      <c r="J2152" s="12" t="inlineStr">
        <is>
          <t>Instrumentation PLTC / TC-ER 300 V, #18 twisted shielded pairs, overall shield</t>
        </is>
      </c>
      <c r="K2152" s="12" t="inlineStr">
        <is>
          <t>PLTC|24 pr|18</t>
        </is>
      </c>
      <c r="L2152" s="12" t="inlineStr">
        <is>
          <t>24 pr</t>
        </is>
      </c>
      <c r="M2152" s="12" t="inlineStr">
        <is>
          <t>18</t>
        </is>
      </c>
      <c r="N2152" s="12" t="n">
        <v>1</v>
      </c>
      <c r="O2152" s="12" t="n">
        <v>1</v>
      </c>
      <c r="P2152" s="12" t="n"/>
      <c r="Q2152" s="12" t="n"/>
      <c r="R2152" s="12" t="n"/>
      <c r="S2152" s="12" t="inlineStr">
        <is>
          <t>Tray</t>
        </is>
      </c>
      <c r="T2152" s="16" t="n">
        <v>410</v>
      </c>
      <c r="U2152" s="16" t="n">
        <v>105</v>
      </c>
      <c r="V2152" s="16">
        <f>ROUNDUP((T2152+U2152+2*'Read Me'!$B$13)*(1+'Read Me'!$B$12),-1)</f>
        <v/>
      </c>
      <c r="W2152" s="16">
        <f>V2152*N2152*O2152</f>
        <v/>
      </c>
      <c r="X2152" s="12">
        <f>IF(LEFT(I2152,2)="MV",2*N2152*IF(L2152="1/C",O2152,1),0)</f>
        <v/>
      </c>
      <c r="Y2152" s="12">
        <f>IF(OR(LEFT(K2152,4)="LVAX",LEFT(K2152,6)="MV15AX",LEFT(K2152,4)="CTAX",LEFT(K2152,2)="W|"),2*N2152*O2152,0)</f>
        <v/>
      </c>
      <c r="Z2152" s="12" t="inlineStr"/>
      <c r="AA2152" s="12">
        <f>N2152*O2152</f>
        <v/>
      </c>
    </row>
    <row r="2153">
      <c r="A2153" s="12" t="inlineStr">
        <is>
          <t>B-I-0049</t>
        </is>
      </c>
      <c r="B2153" s="12" t="inlineStr">
        <is>
          <t>B</t>
        </is>
      </c>
      <c r="C2153" s="12" t="inlineStr">
        <is>
          <t>ACC</t>
        </is>
      </c>
      <c r="D2153" s="12" t="inlineStr">
        <is>
          <t>Instrumentation</t>
        </is>
      </c>
      <c r="E2153" s="12" t="inlineStr">
        <is>
          <t>R4</t>
        </is>
      </c>
      <c r="F2153" s="12" t="inlineStr">
        <is>
          <t>R4: ACC electrical (VFD) e-house (60 x 120 ft)</t>
        </is>
      </c>
      <c r="G2153" s="12" t="inlineStr">
        <is>
          <t>VFD-L1</t>
        </is>
      </c>
      <c r="H2153" s="12" t="inlineStr">
        <is>
          <t>R4 VFD lineup 1 (23 drives, fed from T-R4-1)</t>
        </is>
      </c>
      <c r="I2153" s="12" t="inlineStr">
        <is>
          <t>Instrumentation</t>
        </is>
      </c>
      <c r="J2153" s="12" t="inlineStr">
        <is>
          <t>Instrumentation PLTC / TC-ER 300 V, #18 twisted shielded pairs, overall shield</t>
        </is>
      </c>
      <c r="K2153" s="12" t="inlineStr">
        <is>
          <t>PLTC|4 pr|18</t>
        </is>
      </c>
      <c r="L2153" s="12" t="inlineStr">
        <is>
          <t>4 pr</t>
        </is>
      </c>
      <c r="M2153" s="12" t="inlineStr">
        <is>
          <t>18</t>
        </is>
      </c>
      <c r="N2153" s="12" t="n">
        <v>1</v>
      </c>
      <c r="O2153" s="12" t="n">
        <v>1</v>
      </c>
      <c r="P2153" s="12" t="n"/>
      <c r="Q2153" s="12" t="n"/>
      <c r="R2153" s="12" t="n"/>
      <c r="S2153" s="12" t="inlineStr">
        <is>
          <t>Tray</t>
        </is>
      </c>
      <c r="T2153" s="16" t="n">
        <v>18</v>
      </c>
      <c r="U2153" s="16" t="n">
        <v>81</v>
      </c>
      <c r="V2153" s="16">
        <f>ROUNDUP((T2153+U2153+2*'Read Me'!$B$13)*(1+'Read Me'!$B$12),-1)</f>
        <v/>
      </c>
      <c r="W2153" s="16">
        <f>V2153*N2153*O2153</f>
        <v/>
      </c>
      <c r="X2153" s="12">
        <f>IF(LEFT(I2153,2)="MV",2*N2153*IF(L2153="1/C",O2153,1),0)</f>
        <v/>
      </c>
      <c r="Y2153" s="12">
        <f>IF(OR(LEFT(K2153,4)="LVAX",LEFT(K2153,6)="MV15AX",LEFT(K2153,4)="CTAX",LEFT(K2153,2)="W|"),2*N2153*O2153,0)</f>
        <v/>
      </c>
      <c r="Z2153" s="12" t="inlineStr"/>
      <c r="AA2153" s="12">
        <f>N2153*O2153</f>
        <v/>
      </c>
    </row>
    <row r="2154">
      <c r="A2154" s="12" t="inlineStr">
        <is>
          <t>B-I-0050</t>
        </is>
      </c>
      <c r="B2154" s="12" t="inlineStr">
        <is>
          <t>B</t>
        </is>
      </c>
      <c r="C2154" s="12" t="inlineStr">
        <is>
          <t>ACC</t>
        </is>
      </c>
      <c r="D2154" s="12" t="inlineStr">
        <is>
          <t>Instrumentation</t>
        </is>
      </c>
      <c r="E2154" s="12" t="inlineStr">
        <is>
          <t>R4</t>
        </is>
      </c>
      <c r="F2154" s="12" t="inlineStr">
        <is>
          <t>R4: ACC electrical (VFD) e-house (60 x 120 ft)</t>
        </is>
      </c>
      <c r="G2154" s="12" t="inlineStr">
        <is>
          <t>VFD-L2</t>
        </is>
      </c>
      <c r="H2154" s="12" t="inlineStr">
        <is>
          <t>R4 VFD lineup 2 (23 drives, fed from T-R4-2)</t>
        </is>
      </c>
      <c r="I2154" s="12" t="inlineStr">
        <is>
          <t>Instrumentation</t>
        </is>
      </c>
      <c r="J2154" s="12" t="inlineStr">
        <is>
          <t>Instrumentation PLTC / TC-ER 300 V, #18 twisted shielded pairs, overall shield</t>
        </is>
      </c>
      <c r="K2154" s="12" t="inlineStr">
        <is>
          <t>PLTC|4 pr|18</t>
        </is>
      </c>
      <c r="L2154" s="12" t="inlineStr">
        <is>
          <t>4 pr</t>
        </is>
      </c>
      <c r="M2154" s="12" t="inlineStr">
        <is>
          <t>18</t>
        </is>
      </c>
      <c r="N2154" s="12" t="n">
        <v>1</v>
      </c>
      <c r="O2154" s="12" t="n">
        <v>1</v>
      </c>
      <c r="P2154" s="12" t="n"/>
      <c r="Q2154" s="12" t="n"/>
      <c r="R2154" s="12" t="n"/>
      <c r="S2154" s="12" t="inlineStr">
        <is>
          <t>Tray</t>
        </is>
      </c>
      <c r="T2154" s="16" t="n">
        <v>0</v>
      </c>
      <c r="U2154" s="16" t="n">
        <v>91</v>
      </c>
      <c r="V2154" s="16">
        <f>ROUNDUP((T2154+U2154+2*'Read Me'!$B$13)*(1+'Read Me'!$B$12),-1)</f>
        <v/>
      </c>
      <c r="W2154" s="16">
        <f>V2154*N2154*O2154</f>
        <v/>
      </c>
      <c r="X2154" s="12">
        <f>IF(LEFT(I2154,2)="MV",2*N2154*IF(L2154="1/C",O2154,1),0)</f>
        <v/>
      </c>
      <c r="Y2154" s="12">
        <f>IF(OR(LEFT(K2154,4)="LVAX",LEFT(K2154,6)="MV15AX",LEFT(K2154,4)="CTAX",LEFT(K2154,2)="W|"),2*N2154*O2154,0)</f>
        <v/>
      </c>
      <c r="Z2154" s="12" t="inlineStr"/>
      <c r="AA2154" s="12">
        <f>N2154*O2154</f>
        <v/>
      </c>
    </row>
    <row r="2155">
      <c r="A2155" s="12" t="inlineStr">
        <is>
          <t>B-I-0051</t>
        </is>
      </c>
      <c r="B2155" s="12" t="inlineStr">
        <is>
          <t>B</t>
        </is>
      </c>
      <c r="C2155" s="12" t="inlineStr">
        <is>
          <t>ACC</t>
        </is>
      </c>
      <c r="D2155" s="12" t="inlineStr">
        <is>
          <t>Instrumentation</t>
        </is>
      </c>
      <c r="E2155" s="12" t="inlineStr">
        <is>
          <t>R4</t>
        </is>
      </c>
      <c r="F2155" s="12" t="inlineStr">
        <is>
          <t>R4: ACC electrical (VFD) e-house (60 x 120 ft)</t>
        </is>
      </c>
      <c r="G2155" s="12" t="inlineStr">
        <is>
          <t>VFD-L3</t>
        </is>
      </c>
      <c r="H2155" s="12" t="inlineStr">
        <is>
          <t>R4 VFD lineup 3 (23 drives, fed from T-R4-3)</t>
        </is>
      </c>
      <c r="I2155" s="12" t="inlineStr">
        <is>
          <t>Instrumentation</t>
        </is>
      </c>
      <c r="J2155" s="12" t="inlineStr">
        <is>
          <t>Instrumentation PLTC / TC-ER 300 V, #18 twisted shielded pairs, overall shield</t>
        </is>
      </c>
      <c r="K2155" s="12" t="inlineStr">
        <is>
          <t>PLTC|4 pr|18</t>
        </is>
      </c>
      <c r="L2155" s="12" t="inlineStr">
        <is>
          <t>4 pr</t>
        </is>
      </c>
      <c r="M2155" s="12" t="inlineStr">
        <is>
          <t>18</t>
        </is>
      </c>
      <c r="N2155" s="12" t="n">
        <v>1</v>
      </c>
      <c r="O2155" s="12" t="n">
        <v>1</v>
      </c>
      <c r="P2155" s="12" t="n"/>
      <c r="Q2155" s="12" t="n"/>
      <c r="R2155" s="12" t="n"/>
      <c r="S2155" s="12" t="inlineStr">
        <is>
          <t>Tray</t>
        </is>
      </c>
      <c r="T2155" s="16" t="n">
        <v>0</v>
      </c>
      <c r="U2155" s="16" t="n">
        <v>73</v>
      </c>
      <c r="V2155" s="16">
        <f>ROUNDUP((T2155+U2155+2*'Read Me'!$B$13)*(1+'Read Me'!$B$12),-1)</f>
        <v/>
      </c>
      <c r="W2155" s="16">
        <f>V2155*N2155*O2155</f>
        <v/>
      </c>
      <c r="X2155" s="12">
        <f>IF(LEFT(I2155,2)="MV",2*N2155*IF(L2155="1/C",O2155,1),0)</f>
        <v/>
      </c>
      <c r="Y2155" s="12">
        <f>IF(OR(LEFT(K2155,4)="LVAX",LEFT(K2155,6)="MV15AX",LEFT(K2155,4)="CTAX",LEFT(K2155,2)="W|"),2*N2155*O2155,0)</f>
        <v/>
      </c>
      <c r="Z2155" s="12" t="inlineStr"/>
      <c r="AA2155" s="12">
        <f>N2155*O2155</f>
        <v/>
      </c>
    </row>
    <row r="2156">
      <c r="A2156" s="12" t="inlineStr">
        <is>
          <t>B-I-0052</t>
        </is>
      </c>
      <c r="B2156" s="12" t="inlineStr">
        <is>
          <t>B</t>
        </is>
      </c>
      <c r="C2156" s="12" t="inlineStr">
        <is>
          <t>ACC</t>
        </is>
      </c>
      <c r="D2156" s="12" t="inlineStr">
        <is>
          <t>Instrumentation</t>
        </is>
      </c>
      <c r="E2156" s="12" t="inlineStr">
        <is>
          <t>R4</t>
        </is>
      </c>
      <c r="F2156" s="12" t="inlineStr">
        <is>
          <t>R4: ACC electrical (VFD) e-house (60 x 120 ft)</t>
        </is>
      </c>
      <c r="G2156" s="12" t="inlineStr">
        <is>
          <t>VFD-L4</t>
        </is>
      </c>
      <c r="H2156" s="12" t="inlineStr">
        <is>
          <t>R4 VFD lineup 4 (23 drives, fed from T-R4-4)</t>
        </is>
      </c>
      <c r="I2156" s="12" t="inlineStr">
        <is>
          <t>Instrumentation</t>
        </is>
      </c>
      <c r="J2156" s="12" t="inlineStr">
        <is>
          <t>Instrumentation PLTC / TC-ER 300 V, #18 twisted shielded pairs, overall shield</t>
        </is>
      </c>
      <c r="K2156" s="12" t="inlineStr">
        <is>
          <t>PLTC|4 pr|18</t>
        </is>
      </c>
      <c r="L2156" s="12" t="inlineStr">
        <is>
          <t>4 pr</t>
        </is>
      </c>
      <c r="M2156" s="12" t="inlineStr">
        <is>
          <t>18</t>
        </is>
      </c>
      <c r="N2156" s="12" t="n">
        <v>1</v>
      </c>
      <c r="O2156" s="12" t="n">
        <v>1</v>
      </c>
      <c r="P2156" s="12" t="n"/>
      <c r="Q2156" s="12" t="n"/>
      <c r="R2156" s="12" t="n"/>
      <c r="S2156" s="12" t="inlineStr">
        <is>
          <t>Tray</t>
        </is>
      </c>
      <c r="T2156" s="16" t="n">
        <v>0</v>
      </c>
      <c r="U2156" s="16" t="n">
        <v>61</v>
      </c>
      <c r="V2156" s="16">
        <f>ROUNDUP((T2156+U2156+2*'Read Me'!$B$13)*(1+'Read Me'!$B$12),-1)</f>
        <v/>
      </c>
      <c r="W2156" s="16">
        <f>V2156*N2156*O2156</f>
        <v/>
      </c>
      <c r="X2156" s="12">
        <f>IF(LEFT(I2156,2)="MV",2*N2156*IF(L2156="1/C",O2156,1),0)</f>
        <v/>
      </c>
      <c r="Y2156" s="12">
        <f>IF(OR(LEFT(K2156,4)="LVAX",LEFT(K2156,6)="MV15AX",LEFT(K2156,4)="CTAX",LEFT(K2156,2)="W|"),2*N2156*O2156,0)</f>
        <v/>
      </c>
      <c r="Z2156" s="12" t="inlineStr"/>
      <c r="AA2156" s="12">
        <f>N2156*O2156</f>
        <v/>
      </c>
    </row>
    <row r="2157">
      <c r="A2157" s="12" t="inlineStr">
        <is>
          <t>B-I-0053</t>
        </is>
      </c>
      <c r="B2157" s="12" t="inlineStr">
        <is>
          <t>B</t>
        </is>
      </c>
      <c r="C2157" s="12" t="inlineStr">
        <is>
          <t>ACC</t>
        </is>
      </c>
      <c r="D2157" s="12" t="inlineStr">
        <is>
          <t>Analog instrument to JB JB-T-R4-1: 13.8/0.48 -AI01: 8 x 1 pr (field cables)</t>
        </is>
      </c>
      <c r="E2157" s="12" t="inlineStr"/>
      <c r="F2157" s="12" t="inlineStr">
        <is>
          <t>T-R4-1: 13.8/0.48 kV</t>
        </is>
      </c>
      <c r="G2157" s="12" t="inlineStr">
        <is>
          <t>JB-T-R4-1: 13.8/0.48 -AI01</t>
        </is>
      </c>
      <c r="H2157" s="12" t="inlineStr">
        <is>
          <t>T-R4-1: 13.8/0.48 kV</t>
        </is>
      </c>
      <c r="I2157" s="12" t="inlineStr">
        <is>
          <t>Instrumentation</t>
        </is>
      </c>
      <c r="J2157" s="12" t="inlineStr">
        <is>
          <t>Instrumentation PLTC / TC-ER 300 V, #18 twisted shielded pairs, overall shield</t>
        </is>
      </c>
      <c r="K2157" s="12" t="inlineStr">
        <is>
          <t>PLTC|1 pr|16</t>
        </is>
      </c>
      <c r="L2157" s="12" t="inlineStr">
        <is>
          <t>1 pr</t>
        </is>
      </c>
      <c r="M2157" s="12" t="inlineStr">
        <is>
          <t>16</t>
        </is>
      </c>
      <c r="N2157" s="12" t="n">
        <v>8</v>
      </c>
      <c r="O2157" s="12" t="n">
        <v>1</v>
      </c>
      <c r="P2157" s="12" t="n"/>
      <c r="Q2157" s="12" t="n"/>
      <c r="R2157" s="12" t="n"/>
      <c r="S2157" s="12" t="inlineStr">
        <is>
          <t>Tray / conduit</t>
        </is>
      </c>
      <c r="T2157" s="16" t="n">
        <v>42</v>
      </c>
      <c r="U2157" s="16" t="n">
        <v>10</v>
      </c>
      <c r="V2157" s="16">
        <f>ROUNDUP((T2157+U2157+2*'Read Me'!$B$13)*(1+'Read Me'!$B$12),-1)</f>
        <v/>
      </c>
      <c r="W2157" s="16">
        <f>V2157*N2157*O2157</f>
        <v/>
      </c>
      <c r="X2157" s="12">
        <f>IF(LEFT(I2157,2)="MV",2*N2157*IF(L2157="1/C",O2157,1),0)</f>
        <v/>
      </c>
      <c r="Y2157" s="12">
        <f>IF(OR(LEFT(K2157,4)="LVAX",LEFT(K2157,6)="MV15AX",LEFT(K2157,4)="CTAX",LEFT(K2157,2)="W|"),2*N2157*O2157,0)</f>
        <v/>
      </c>
      <c r="Z2157" s="12" t="inlineStr">
        <is>
          <t>device-to-JB field wiring, one cable per device</t>
        </is>
      </c>
      <c r="AA2157" s="12">
        <f>N2157*O2157</f>
        <v/>
      </c>
    </row>
    <row r="2158">
      <c r="A2158" s="12" t="inlineStr">
        <is>
          <t>B-I-0054</t>
        </is>
      </c>
      <c r="B2158" s="12" t="inlineStr">
        <is>
          <t>B</t>
        </is>
      </c>
      <c r="C2158" s="12" t="inlineStr">
        <is>
          <t>ACC</t>
        </is>
      </c>
      <c r="D2158" s="12" t="inlineStr">
        <is>
          <t>Home run JB-T-R4-1: 13.8/0.48 -AI01 to the control / marshalling room</t>
        </is>
      </c>
      <c r="E2158" s="12" t="inlineStr">
        <is>
          <t>R4</t>
        </is>
      </c>
      <c r="F2158" s="12" t="inlineStr">
        <is>
          <t>R4: ACC electrical (VFD) e-house (60 x 120 ft)</t>
        </is>
      </c>
      <c r="G2158" s="12" t="inlineStr">
        <is>
          <t>JB-T-R4-1: 13.8/0.48 -AI01</t>
        </is>
      </c>
      <c r="H2158" s="12" t="inlineStr">
        <is>
          <t>T-R4-1: 13.8/0.48 kV</t>
        </is>
      </c>
      <c r="I2158" s="12" t="inlineStr">
        <is>
          <t>Instrumentation</t>
        </is>
      </c>
      <c r="J2158" s="12" t="inlineStr">
        <is>
          <t>Instrumentation PLTC / TC-ER 300 V, #18 twisted shielded pairs, overall shield</t>
        </is>
      </c>
      <c r="K2158" s="12" t="inlineStr">
        <is>
          <t>PLTC|24 pr|18</t>
        </is>
      </c>
      <c r="L2158" s="12" t="inlineStr">
        <is>
          <t>24 pr</t>
        </is>
      </c>
      <c r="M2158" s="12" t="inlineStr">
        <is>
          <t>18</t>
        </is>
      </c>
      <c r="N2158" s="12" t="n">
        <v>1</v>
      </c>
      <c r="O2158" s="12" t="n">
        <v>1</v>
      </c>
      <c r="P2158" s="12" t="n"/>
      <c r="Q2158" s="12" t="n"/>
      <c r="R2158" s="12" t="n"/>
      <c r="S2158" s="12" t="inlineStr">
        <is>
          <t>Duct bank</t>
        </is>
      </c>
      <c r="T2158" s="16" t="n">
        <v>159</v>
      </c>
      <c r="U2158" s="16" t="n">
        <v>56</v>
      </c>
      <c r="V2158" s="16">
        <f>ROUNDUP((T2158+U2158+2*'Read Me'!$B$13)*(1+'Read Me'!$B$12),-1)</f>
        <v/>
      </c>
      <c r="W2158" s="16">
        <f>V2158*N2158*O2158</f>
        <v/>
      </c>
      <c r="X2158" s="12">
        <f>IF(LEFT(I2158,2)="MV",2*N2158*IF(L2158="1/C",O2158,1),0)</f>
        <v/>
      </c>
      <c r="Y2158" s="12">
        <f>IF(OR(LEFT(K2158,4)="LVAX",LEFT(K2158,6)="MV15AX",LEFT(K2158,4)="CTAX",LEFT(K2158,2)="W|"),2*N2158*O2158,0)</f>
        <v/>
      </c>
      <c r="Z2158" s="12" t="inlineStr"/>
      <c r="AA2158" s="12">
        <f>N2158*O2158</f>
        <v/>
      </c>
    </row>
    <row r="2159">
      <c r="A2159" s="12" t="inlineStr">
        <is>
          <t>B-I-0055</t>
        </is>
      </c>
      <c r="B2159" s="12" t="inlineStr">
        <is>
          <t>B</t>
        </is>
      </c>
      <c r="C2159" s="12" t="inlineStr">
        <is>
          <t>ACC</t>
        </is>
      </c>
      <c r="D2159" s="12" t="inlineStr">
        <is>
          <t>Discrete device to JB JB-T-R4-1: 13.8/0.48 -DI01: 16 x 1 pr (field cables)</t>
        </is>
      </c>
      <c r="E2159" s="12" t="inlineStr"/>
      <c r="F2159" s="12" t="inlineStr">
        <is>
          <t>T-R4-1: 13.8/0.48 kV</t>
        </is>
      </c>
      <c r="G2159" s="12" t="inlineStr">
        <is>
          <t>JB-T-R4-1: 13.8/0.48 -DI01</t>
        </is>
      </c>
      <c r="H2159" s="12" t="inlineStr">
        <is>
          <t>T-R4-1: 13.8/0.48 kV</t>
        </is>
      </c>
      <c r="I2159" s="12" t="inlineStr">
        <is>
          <t>Instrumentation</t>
        </is>
      </c>
      <c r="J2159" s="12" t="inlineStr">
        <is>
          <t>Instrumentation PLTC / TC-ER 300 V, #18 twisted shielded pairs, overall shield</t>
        </is>
      </c>
      <c r="K2159" s="12" t="inlineStr">
        <is>
          <t>PLTC|1 pr|16</t>
        </is>
      </c>
      <c r="L2159" s="12" t="inlineStr">
        <is>
          <t>1 pr</t>
        </is>
      </c>
      <c r="M2159" s="12" t="inlineStr">
        <is>
          <t>16</t>
        </is>
      </c>
      <c r="N2159" s="12" t="n">
        <v>16</v>
      </c>
      <c r="O2159" s="12" t="n">
        <v>1</v>
      </c>
      <c r="P2159" s="12" t="n"/>
      <c r="Q2159" s="12" t="n"/>
      <c r="R2159" s="12" t="n"/>
      <c r="S2159" s="12" t="inlineStr">
        <is>
          <t>Tray / conduit</t>
        </is>
      </c>
      <c r="T2159" s="16" t="n">
        <v>42</v>
      </c>
      <c r="U2159" s="16" t="n">
        <v>10</v>
      </c>
      <c r="V2159" s="16">
        <f>ROUNDUP((T2159+U2159+2*'Read Me'!$B$13)*(1+'Read Me'!$B$12),-1)</f>
        <v/>
      </c>
      <c r="W2159" s="16">
        <f>V2159*N2159*O2159</f>
        <v/>
      </c>
      <c r="X2159" s="12">
        <f>IF(LEFT(I2159,2)="MV",2*N2159*IF(L2159="1/C",O2159,1),0)</f>
        <v/>
      </c>
      <c r="Y2159" s="12">
        <f>IF(OR(LEFT(K2159,4)="LVAX",LEFT(K2159,6)="MV15AX",LEFT(K2159,4)="CTAX",LEFT(K2159,2)="W|"),2*N2159*O2159,0)</f>
        <v/>
      </c>
      <c r="Z2159" s="12" t="inlineStr">
        <is>
          <t>device-to-JB field wiring, one cable per device</t>
        </is>
      </c>
      <c r="AA2159" s="12">
        <f>N2159*O2159</f>
        <v/>
      </c>
    </row>
    <row r="2160">
      <c r="A2160" s="12" t="inlineStr">
        <is>
          <t>B-I-0056</t>
        </is>
      </c>
      <c r="B2160" s="12" t="inlineStr">
        <is>
          <t>B</t>
        </is>
      </c>
      <c r="C2160" s="12" t="inlineStr">
        <is>
          <t>ACC</t>
        </is>
      </c>
      <c r="D2160" s="12" t="inlineStr">
        <is>
          <t>Home run JB-T-R4-1: 13.8/0.48 -DI01 to the control / marshalling room</t>
        </is>
      </c>
      <c r="E2160" s="12" t="inlineStr">
        <is>
          <t>R4</t>
        </is>
      </c>
      <c r="F2160" s="12" t="inlineStr">
        <is>
          <t>R4: ACC electrical (VFD) e-house (60 x 120 ft)</t>
        </is>
      </c>
      <c r="G2160" s="12" t="inlineStr">
        <is>
          <t>JB-T-R4-1: 13.8/0.48 -DI01</t>
        </is>
      </c>
      <c r="H2160" s="12" t="inlineStr">
        <is>
          <t>T-R4-1: 13.8/0.48 kV</t>
        </is>
      </c>
      <c r="I2160" s="12" t="inlineStr">
        <is>
          <t>Instrumentation</t>
        </is>
      </c>
      <c r="J2160" s="12" t="inlineStr">
        <is>
          <t>Instrumentation PLTC / TC-ER 300 V, #18 twisted shielded pairs, overall shield</t>
        </is>
      </c>
      <c r="K2160" s="12" t="inlineStr">
        <is>
          <t>PLTC|24 pr|18</t>
        </is>
      </c>
      <c r="L2160" s="12" t="inlineStr">
        <is>
          <t>24 pr</t>
        </is>
      </c>
      <c r="M2160" s="12" t="inlineStr">
        <is>
          <t>18</t>
        </is>
      </c>
      <c r="N2160" s="12" t="n">
        <v>1</v>
      </c>
      <c r="O2160" s="12" t="n">
        <v>1</v>
      </c>
      <c r="P2160" s="12" t="n"/>
      <c r="Q2160" s="12" t="n"/>
      <c r="R2160" s="12" t="n"/>
      <c r="S2160" s="12" t="inlineStr">
        <is>
          <t>Duct bank</t>
        </is>
      </c>
      <c r="T2160" s="16" t="n">
        <v>159</v>
      </c>
      <c r="U2160" s="16" t="n">
        <v>56</v>
      </c>
      <c r="V2160" s="16">
        <f>ROUNDUP((T2160+U2160+2*'Read Me'!$B$13)*(1+'Read Me'!$B$12),-1)</f>
        <v/>
      </c>
      <c r="W2160" s="16">
        <f>V2160*N2160*O2160</f>
        <v/>
      </c>
      <c r="X2160" s="12">
        <f>IF(LEFT(I2160,2)="MV",2*N2160*IF(L2160="1/C",O2160,1),0)</f>
        <v/>
      </c>
      <c r="Y2160" s="12">
        <f>IF(OR(LEFT(K2160,4)="LVAX",LEFT(K2160,6)="MV15AX",LEFT(K2160,4)="CTAX",LEFT(K2160,2)="W|"),2*N2160*O2160,0)</f>
        <v/>
      </c>
      <c r="Z2160" s="12" t="inlineStr"/>
      <c r="AA2160" s="12">
        <f>N2160*O2160</f>
        <v/>
      </c>
    </row>
    <row r="2161">
      <c r="A2161" s="12" t="inlineStr">
        <is>
          <t>B-I-0057</t>
        </is>
      </c>
      <c r="B2161" s="12" t="inlineStr">
        <is>
          <t>B</t>
        </is>
      </c>
      <c r="C2161" s="12" t="inlineStr">
        <is>
          <t>ACC</t>
        </is>
      </c>
      <c r="D2161" s="12" t="inlineStr">
        <is>
          <t>Analog instrument to JB JB-T-R4-2: 13.8/0.48 -AI01: 8 x 1 pr (field cables)</t>
        </is>
      </c>
      <c r="E2161" s="12" t="inlineStr"/>
      <c r="F2161" s="12" t="inlineStr">
        <is>
          <t>T-R4-2: 13.8/0.48 kV</t>
        </is>
      </c>
      <c r="G2161" s="12" t="inlineStr">
        <is>
          <t>JB-T-R4-2: 13.8/0.48 -AI01</t>
        </is>
      </c>
      <c r="H2161" s="12" t="inlineStr">
        <is>
          <t>T-R4-2: 13.8/0.48 kV</t>
        </is>
      </c>
      <c r="I2161" s="12" t="inlineStr">
        <is>
          <t>Instrumentation</t>
        </is>
      </c>
      <c r="J2161" s="12" t="inlineStr">
        <is>
          <t>Instrumentation PLTC / TC-ER 300 V, #18 twisted shielded pairs, overall shield</t>
        </is>
      </c>
      <c r="K2161" s="12" t="inlineStr">
        <is>
          <t>PLTC|1 pr|16</t>
        </is>
      </c>
      <c r="L2161" s="12" t="inlineStr">
        <is>
          <t>1 pr</t>
        </is>
      </c>
      <c r="M2161" s="12" t="inlineStr">
        <is>
          <t>16</t>
        </is>
      </c>
      <c r="N2161" s="12" t="n">
        <v>8</v>
      </c>
      <c r="O2161" s="12" t="n">
        <v>1</v>
      </c>
      <c r="P2161" s="12" t="n"/>
      <c r="Q2161" s="12" t="n"/>
      <c r="R2161" s="12" t="n"/>
      <c r="S2161" s="12" t="inlineStr">
        <is>
          <t>Tray / conduit</t>
        </is>
      </c>
      <c r="T2161" s="16" t="n">
        <v>42</v>
      </c>
      <c r="U2161" s="16" t="n">
        <v>10</v>
      </c>
      <c r="V2161" s="16">
        <f>ROUNDUP((T2161+U2161+2*'Read Me'!$B$13)*(1+'Read Me'!$B$12),-1)</f>
        <v/>
      </c>
      <c r="W2161" s="16">
        <f>V2161*N2161*O2161</f>
        <v/>
      </c>
      <c r="X2161" s="12">
        <f>IF(LEFT(I2161,2)="MV",2*N2161*IF(L2161="1/C",O2161,1),0)</f>
        <v/>
      </c>
      <c r="Y2161" s="12">
        <f>IF(OR(LEFT(K2161,4)="LVAX",LEFT(K2161,6)="MV15AX",LEFT(K2161,4)="CTAX",LEFT(K2161,2)="W|"),2*N2161*O2161,0)</f>
        <v/>
      </c>
      <c r="Z2161" s="12" t="inlineStr">
        <is>
          <t>device-to-JB field wiring, one cable per device</t>
        </is>
      </c>
      <c r="AA2161" s="12">
        <f>N2161*O2161</f>
        <v/>
      </c>
    </row>
    <row r="2162">
      <c r="A2162" s="12" t="inlineStr">
        <is>
          <t>B-I-0058</t>
        </is>
      </c>
      <c r="B2162" s="12" t="inlineStr">
        <is>
          <t>B</t>
        </is>
      </c>
      <c r="C2162" s="12" t="inlineStr">
        <is>
          <t>ACC</t>
        </is>
      </c>
      <c r="D2162" s="12" t="inlineStr">
        <is>
          <t>Home run JB-T-R4-2: 13.8/0.48 -AI01 to the control / marshalling room</t>
        </is>
      </c>
      <c r="E2162" s="12" t="inlineStr">
        <is>
          <t>R4</t>
        </is>
      </c>
      <c r="F2162" s="12" t="inlineStr">
        <is>
          <t>R4: ACC electrical (VFD) e-house (60 x 120 ft)</t>
        </is>
      </c>
      <c r="G2162" s="12" t="inlineStr">
        <is>
          <t>JB-T-R4-2: 13.8/0.48 -AI01</t>
        </is>
      </c>
      <c r="H2162" s="12" t="inlineStr">
        <is>
          <t>T-R4-2: 13.8/0.48 kV</t>
        </is>
      </c>
      <c r="I2162" s="12" t="inlineStr">
        <is>
          <t>Instrumentation</t>
        </is>
      </c>
      <c r="J2162" s="12" t="inlineStr">
        <is>
          <t>Instrumentation PLTC / TC-ER 300 V, #18 twisted shielded pairs, overall shield</t>
        </is>
      </c>
      <c r="K2162" s="12" t="inlineStr">
        <is>
          <t>PLTC|24 pr|18</t>
        </is>
      </c>
      <c r="L2162" s="12" t="inlineStr">
        <is>
          <t>24 pr</t>
        </is>
      </c>
      <c r="M2162" s="12" t="inlineStr">
        <is>
          <t>18</t>
        </is>
      </c>
      <c r="N2162" s="12" t="n">
        <v>1</v>
      </c>
      <c r="O2162" s="12" t="n">
        <v>1</v>
      </c>
      <c r="P2162" s="12" t="n"/>
      <c r="Q2162" s="12" t="n"/>
      <c r="R2162" s="12" t="n"/>
      <c r="S2162" s="12" t="inlineStr">
        <is>
          <t>Duct bank</t>
        </is>
      </c>
      <c r="T2162" s="16" t="n">
        <v>185</v>
      </c>
      <c r="U2162" s="16" t="n">
        <v>56</v>
      </c>
      <c r="V2162" s="16">
        <f>ROUNDUP((T2162+U2162+2*'Read Me'!$B$13)*(1+'Read Me'!$B$12),-1)</f>
        <v/>
      </c>
      <c r="W2162" s="16">
        <f>V2162*N2162*O2162</f>
        <v/>
      </c>
      <c r="X2162" s="12">
        <f>IF(LEFT(I2162,2)="MV",2*N2162*IF(L2162="1/C",O2162,1),0)</f>
        <v/>
      </c>
      <c r="Y2162" s="12">
        <f>IF(OR(LEFT(K2162,4)="LVAX",LEFT(K2162,6)="MV15AX",LEFT(K2162,4)="CTAX",LEFT(K2162,2)="W|"),2*N2162*O2162,0)</f>
        <v/>
      </c>
      <c r="Z2162" s="12" t="inlineStr"/>
      <c r="AA2162" s="12">
        <f>N2162*O2162</f>
        <v/>
      </c>
    </row>
    <row r="2163">
      <c r="A2163" s="12" t="inlineStr">
        <is>
          <t>B-I-0059</t>
        </is>
      </c>
      <c r="B2163" s="12" t="inlineStr">
        <is>
          <t>B</t>
        </is>
      </c>
      <c r="C2163" s="12" t="inlineStr">
        <is>
          <t>ACC</t>
        </is>
      </c>
      <c r="D2163" s="12" t="inlineStr">
        <is>
          <t>Discrete device to JB JB-T-R4-2: 13.8/0.48 -DI01: 16 x 1 pr (field cables)</t>
        </is>
      </c>
      <c r="E2163" s="12" t="inlineStr"/>
      <c r="F2163" s="12" t="inlineStr">
        <is>
          <t>T-R4-2: 13.8/0.48 kV</t>
        </is>
      </c>
      <c r="G2163" s="12" t="inlineStr">
        <is>
          <t>JB-T-R4-2: 13.8/0.48 -DI01</t>
        </is>
      </c>
      <c r="H2163" s="12" t="inlineStr">
        <is>
          <t>T-R4-2: 13.8/0.48 kV</t>
        </is>
      </c>
      <c r="I2163" s="12" t="inlineStr">
        <is>
          <t>Instrumentation</t>
        </is>
      </c>
      <c r="J2163" s="12" t="inlineStr">
        <is>
          <t>Instrumentation PLTC / TC-ER 300 V, #18 twisted shielded pairs, overall shield</t>
        </is>
      </c>
      <c r="K2163" s="12" t="inlineStr">
        <is>
          <t>PLTC|1 pr|16</t>
        </is>
      </c>
      <c r="L2163" s="12" t="inlineStr">
        <is>
          <t>1 pr</t>
        </is>
      </c>
      <c r="M2163" s="12" t="inlineStr">
        <is>
          <t>16</t>
        </is>
      </c>
      <c r="N2163" s="12" t="n">
        <v>16</v>
      </c>
      <c r="O2163" s="12" t="n">
        <v>1</v>
      </c>
      <c r="P2163" s="12" t="n"/>
      <c r="Q2163" s="12" t="n"/>
      <c r="R2163" s="12" t="n"/>
      <c r="S2163" s="12" t="inlineStr">
        <is>
          <t>Tray / conduit</t>
        </is>
      </c>
      <c r="T2163" s="16" t="n">
        <v>42</v>
      </c>
      <c r="U2163" s="16" t="n">
        <v>10</v>
      </c>
      <c r="V2163" s="16">
        <f>ROUNDUP((T2163+U2163+2*'Read Me'!$B$13)*(1+'Read Me'!$B$12),-1)</f>
        <v/>
      </c>
      <c r="W2163" s="16">
        <f>V2163*N2163*O2163</f>
        <v/>
      </c>
      <c r="X2163" s="12">
        <f>IF(LEFT(I2163,2)="MV",2*N2163*IF(L2163="1/C",O2163,1),0)</f>
        <v/>
      </c>
      <c r="Y2163" s="12">
        <f>IF(OR(LEFT(K2163,4)="LVAX",LEFT(K2163,6)="MV15AX",LEFT(K2163,4)="CTAX",LEFT(K2163,2)="W|"),2*N2163*O2163,0)</f>
        <v/>
      </c>
      <c r="Z2163" s="12" t="inlineStr">
        <is>
          <t>device-to-JB field wiring, one cable per device</t>
        </is>
      </c>
      <c r="AA2163" s="12">
        <f>N2163*O2163</f>
        <v/>
      </c>
    </row>
    <row r="2164">
      <c r="A2164" s="12" t="inlineStr">
        <is>
          <t>B-I-0060</t>
        </is>
      </c>
      <c r="B2164" s="12" t="inlineStr">
        <is>
          <t>B</t>
        </is>
      </c>
      <c r="C2164" s="12" t="inlineStr">
        <is>
          <t>ACC</t>
        </is>
      </c>
      <c r="D2164" s="12" t="inlineStr">
        <is>
          <t>Home run JB-T-R4-2: 13.8/0.48 -DI01 to the control / marshalling room</t>
        </is>
      </c>
      <c r="E2164" s="12" t="inlineStr">
        <is>
          <t>R4</t>
        </is>
      </c>
      <c r="F2164" s="12" t="inlineStr">
        <is>
          <t>R4: ACC electrical (VFD) e-house (60 x 120 ft)</t>
        </is>
      </c>
      <c r="G2164" s="12" t="inlineStr">
        <is>
          <t>JB-T-R4-2: 13.8/0.48 -DI01</t>
        </is>
      </c>
      <c r="H2164" s="12" t="inlineStr">
        <is>
          <t>T-R4-2: 13.8/0.48 kV</t>
        </is>
      </c>
      <c r="I2164" s="12" t="inlineStr">
        <is>
          <t>Instrumentation</t>
        </is>
      </c>
      <c r="J2164" s="12" t="inlineStr">
        <is>
          <t>Instrumentation PLTC / TC-ER 300 V, #18 twisted shielded pairs, overall shield</t>
        </is>
      </c>
      <c r="K2164" s="12" t="inlineStr">
        <is>
          <t>PLTC|24 pr|18</t>
        </is>
      </c>
      <c r="L2164" s="12" t="inlineStr">
        <is>
          <t>24 pr</t>
        </is>
      </c>
      <c r="M2164" s="12" t="inlineStr">
        <is>
          <t>18</t>
        </is>
      </c>
      <c r="N2164" s="12" t="n">
        <v>1</v>
      </c>
      <c r="O2164" s="12" t="n">
        <v>1</v>
      </c>
      <c r="P2164" s="12" t="n"/>
      <c r="Q2164" s="12" t="n"/>
      <c r="R2164" s="12" t="n"/>
      <c r="S2164" s="12" t="inlineStr">
        <is>
          <t>Duct bank</t>
        </is>
      </c>
      <c r="T2164" s="16" t="n">
        <v>185</v>
      </c>
      <c r="U2164" s="16" t="n">
        <v>56</v>
      </c>
      <c r="V2164" s="16">
        <f>ROUNDUP((T2164+U2164+2*'Read Me'!$B$13)*(1+'Read Me'!$B$12),-1)</f>
        <v/>
      </c>
      <c r="W2164" s="16">
        <f>V2164*N2164*O2164</f>
        <v/>
      </c>
      <c r="X2164" s="12">
        <f>IF(LEFT(I2164,2)="MV",2*N2164*IF(L2164="1/C",O2164,1),0)</f>
        <v/>
      </c>
      <c r="Y2164" s="12">
        <f>IF(OR(LEFT(K2164,4)="LVAX",LEFT(K2164,6)="MV15AX",LEFT(K2164,4)="CTAX",LEFT(K2164,2)="W|"),2*N2164*O2164,0)</f>
        <v/>
      </c>
      <c r="Z2164" s="12" t="inlineStr"/>
      <c r="AA2164" s="12">
        <f>N2164*O2164</f>
        <v/>
      </c>
    </row>
    <row r="2165">
      <c r="A2165" s="12" t="inlineStr">
        <is>
          <t>B-I-0061</t>
        </is>
      </c>
      <c r="B2165" s="12" t="inlineStr">
        <is>
          <t>B</t>
        </is>
      </c>
      <c r="C2165" s="12" t="inlineStr">
        <is>
          <t>ACC</t>
        </is>
      </c>
      <c r="D2165" s="12" t="inlineStr">
        <is>
          <t>Analog instrument to JB JB-T-R4-3: 13.8/0.48 -AI01: 8 x 1 pr (field cables)</t>
        </is>
      </c>
      <c r="E2165" s="12" t="inlineStr"/>
      <c r="F2165" s="12" t="inlineStr">
        <is>
          <t>T-R4-3: 13.8/0.48 kV</t>
        </is>
      </c>
      <c r="G2165" s="12" t="inlineStr">
        <is>
          <t>JB-T-R4-3: 13.8/0.48 -AI01</t>
        </is>
      </c>
      <c r="H2165" s="12" t="inlineStr">
        <is>
          <t>T-R4-3: 13.8/0.48 kV</t>
        </is>
      </c>
      <c r="I2165" s="12" t="inlineStr">
        <is>
          <t>Instrumentation</t>
        </is>
      </c>
      <c r="J2165" s="12" t="inlineStr">
        <is>
          <t>Instrumentation PLTC / TC-ER 300 V, #18 twisted shielded pairs, overall shield</t>
        </is>
      </c>
      <c r="K2165" s="12" t="inlineStr">
        <is>
          <t>PLTC|1 pr|16</t>
        </is>
      </c>
      <c r="L2165" s="12" t="inlineStr">
        <is>
          <t>1 pr</t>
        </is>
      </c>
      <c r="M2165" s="12" t="inlineStr">
        <is>
          <t>16</t>
        </is>
      </c>
      <c r="N2165" s="12" t="n">
        <v>8</v>
      </c>
      <c r="O2165" s="12" t="n">
        <v>1</v>
      </c>
      <c r="P2165" s="12" t="n"/>
      <c r="Q2165" s="12" t="n"/>
      <c r="R2165" s="12" t="n"/>
      <c r="S2165" s="12" t="inlineStr">
        <is>
          <t>Tray / conduit</t>
        </is>
      </c>
      <c r="T2165" s="16" t="n">
        <v>42</v>
      </c>
      <c r="U2165" s="16" t="n">
        <v>10</v>
      </c>
      <c r="V2165" s="16">
        <f>ROUNDUP((T2165+U2165+2*'Read Me'!$B$13)*(1+'Read Me'!$B$12),-1)</f>
        <v/>
      </c>
      <c r="W2165" s="16">
        <f>V2165*N2165*O2165</f>
        <v/>
      </c>
      <c r="X2165" s="12">
        <f>IF(LEFT(I2165,2)="MV",2*N2165*IF(L2165="1/C",O2165,1),0)</f>
        <v/>
      </c>
      <c r="Y2165" s="12">
        <f>IF(OR(LEFT(K2165,4)="LVAX",LEFT(K2165,6)="MV15AX",LEFT(K2165,4)="CTAX",LEFT(K2165,2)="W|"),2*N2165*O2165,0)</f>
        <v/>
      </c>
      <c r="Z2165" s="12" t="inlineStr">
        <is>
          <t>device-to-JB field wiring, one cable per device</t>
        </is>
      </c>
      <c r="AA2165" s="12">
        <f>N2165*O2165</f>
        <v/>
      </c>
    </row>
    <row r="2166">
      <c r="A2166" s="12" t="inlineStr">
        <is>
          <t>B-I-0062</t>
        </is>
      </c>
      <c r="B2166" s="12" t="inlineStr">
        <is>
          <t>B</t>
        </is>
      </c>
      <c r="C2166" s="12" t="inlineStr">
        <is>
          <t>ACC</t>
        </is>
      </c>
      <c r="D2166" s="12" t="inlineStr">
        <is>
          <t>Home run JB-T-R4-3: 13.8/0.48 -AI01 to the control / marshalling room</t>
        </is>
      </c>
      <c r="E2166" s="12" t="inlineStr">
        <is>
          <t>R4</t>
        </is>
      </c>
      <c r="F2166" s="12" t="inlineStr">
        <is>
          <t>R4: ACC electrical (VFD) e-house (60 x 120 ft)</t>
        </is>
      </c>
      <c r="G2166" s="12" t="inlineStr">
        <is>
          <t>JB-T-R4-3: 13.8/0.48 -AI01</t>
        </is>
      </c>
      <c r="H2166" s="12" t="inlineStr">
        <is>
          <t>T-R4-3: 13.8/0.48 kV</t>
        </is>
      </c>
      <c r="I2166" s="12" t="inlineStr">
        <is>
          <t>Instrumentation</t>
        </is>
      </c>
      <c r="J2166" s="12" t="inlineStr">
        <is>
          <t>Instrumentation PLTC / TC-ER 300 V, #18 twisted shielded pairs, overall shield</t>
        </is>
      </c>
      <c r="K2166" s="12" t="inlineStr">
        <is>
          <t>PLTC|24 pr|18</t>
        </is>
      </c>
      <c r="L2166" s="12" t="inlineStr">
        <is>
          <t>24 pr</t>
        </is>
      </c>
      <c r="M2166" s="12" t="inlineStr">
        <is>
          <t>18</t>
        </is>
      </c>
      <c r="N2166" s="12" t="n">
        <v>1</v>
      </c>
      <c r="O2166" s="12" t="n">
        <v>1</v>
      </c>
      <c r="P2166" s="12" t="n"/>
      <c r="Q2166" s="12" t="n"/>
      <c r="R2166" s="12" t="n"/>
      <c r="S2166" s="12" t="inlineStr">
        <is>
          <t>Duct bank</t>
        </is>
      </c>
      <c r="T2166" s="16" t="n">
        <v>214</v>
      </c>
      <c r="U2166" s="16" t="n">
        <v>43</v>
      </c>
      <c r="V2166" s="16">
        <f>ROUNDUP((T2166+U2166+2*'Read Me'!$B$13)*(1+'Read Me'!$B$12),-1)</f>
        <v/>
      </c>
      <c r="W2166" s="16">
        <f>V2166*N2166*O2166</f>
        <v/>
      </c>
      <c r="X2166" s="12">
        <f>IF(LEFT(I2166,2)="MV",2*N2166*IF(L2166="1/C",O2166,1),0)</f>
        <v/>
      </c>
      <c r="Y2166" s="12">
        <f>IF(OR(LEFT(K2166,4)="LVAX",LEFT(K2166,6)="MV15AX",LEFT(K2166,4)="CTAX",LEFT(K2166,2)="W|"),2*N2166*O2166,0)</f>
        <v/>
      </c>
      <c r="Z2166" s="12" t="inlineStr"/>
      <c r="AA2166" s="12">
        <f>N2166*O2166</f>
        <v/>
      </c>
    </row>
    <row r="2167">
      <c r="A2167" s="12" t="inlineStr">
        <is>
          <t>B-I-0063</t>
        </is>
      </c>
      <c r="B2167" s="12" t="inlineStr">
        <is>
          <t>B</t>
        </is>
      </c>
      <c r="C2167" s="12" t="inlineStr">
        <is>
          <t>ACC</t>
        </is>
      </c>
      <c r="D2167" s="12" t="inlineStr">
        <is>
          <t>Discrete device to JB JB-T-R4-3: 13.8/0.48 -DI01: 16 x 1 pr (field cables)</t>
        </is>
      </c>
      <c r="E2167" s="12" t="inlineStr"/>
      <c r="F2167" s="12" t="inlineStr">
        <is>
          <t>T-R4-3: 13.8/0.48 kV</t>
        </is>
      </c>
      <c r="G2167" s="12" t="inlineStr">
        <is>
          <t>JB-T-R4-3: 13.8/0.48 -DI01</t>
        </is>
      </c>
      <c r="H2167" s="12" t="inlineStr">
        <is>
          <t>T-R4-3: 13.8/0.48 kV</t>
        </is>
      </c>
      <c r="I2167" s="12" t="inlineStr">
        <is>
          <t>Instrumentation</t>
        </is>
      </c>
      <c r="J2167" s="12" t="inlineStr">
        <is>
          <t>Instrumentation PLTC / TC-ER 300 V, #18 twisted shielded pairs, overall shield</t>
        </is>
      </c>
      <c r="K2167" s="12" t="inlineStr">
        <is>
          <t>PLTC|1 pr|16</t>
        </is>
      </c>
      <c r="L2167" s="12" t="inlineStr">
        <is>
          <t>1 pr</t>
        </is>
      </c>
      <c r="M2167" s="12" t="inlineStr">
        <is>
          <t>16</t>
        </is>
      </c>
      <c r="N2167" s="12" t="n">
        <v>16</v>
      </c>
      <c r="O2167" s="12" t="n">
        <v>1</v>
      </c>
      <c r="P2167" s="12" t="n"/>
      <c r="Q2167" s="12" t="n"/>
      <c r="R2167" s="12" t="n"/>
      <c r="S2167" s="12" t="inlineStr">
        <is>
          <t>Tray / conduit</t>
        </is>
      </c>
      <c r="T2167" s="16" t="n">
        <v>42</v>
      </c>
      <c r="U2167" s="16" t="n">
        <v>10</v>
      </c>
      <c r="V2167" s="16">
        <f>ROUNDUP((T2167+U2167+2*'Read Me'!$B$13)*(1+'Read Me'!$B$12),-1)</f>
        <v/>
      </c>
      <c r="W2167" s="16">
        <f>V2167*N2167*O2167</f>
        <v/>
      </c>
      <c r="X2167" s="12">
        <f>IF(LEFT(I2167,2)="MV",2*N2167*IF(L2167="1/C",O2167,1),0)</f>
        <v/>
      </c>
      <c r="Y2167" s="12">
        <f>IF(OR(LEFT(K2167,4)="LVAX",LEFT(K2167,6)="MV15AX",LEFT(K2167,4)="CTAX",LEFT(K2167,2)="W|"),2*N2167*O2167,0)</f>
        <v/>
      </c>
      <c r="Z2167" s="12" t="inlineStr">
        <is>
          <t>device-to-JB field wiring, one cable per device</t>
        </is>
      </c>
      <c r="AA2167" s="12">
        <f>N2167*O2167</f>
        <v/>
      </c>
    </row>
    <row r="2168">
      <c r="A2168" s="12" t="inlineStr">
        <is>
          <t>B-I-0064</t>
        </is>
      </c>
      <c r="B2168" s="12" t="inlineStr">
        <is>
          <t>B</t>
        </is>
      </c>
      <c r="C2168" s="12" t="inlineStr">
        <is>
          <t>ACC</t>
        </is>
      </c>
      <c r="D2168" s="12" t="inlineStr">
        <is>
          <t>Home run JB-T-R4-3: 13.8/0.48 -DI01 to the control / marshalling room</t>
        </is>
      </c>
      <c r="E2168" s="12" t="inlineStr">
        <is>
          <t>R4</t>
        </is>
      </c>
      <c r="F2168" s="12" t="inlineStr">
        <is>
          <t>R4: ACC electrical (VFD) e-house (60 x 120 ft)</t>
        </is>
      </c>
      <c r="G2168" s="12" t="inlineStr">
        <is>
          <t>JB-T-R4-3: 13.8/0.48 -DI01</t>
        </is>
      </c>
      <c r="H2168" s="12" t="inlineStr">
        <is>
          <t>T-R4-3: 13.8/0.48 kV</t>
        </is>
      </c>
      <c r="I2168" s="12" t="inlineStr">
        <is>
          <t>Instrumentation</t>
        </is>
      </c>
      <c r="J2168" s="12" t="inlineStr">
        <is>
          <t>Instrumentation PLTC / TC-ER 300 V, #18 twisted shielded pairs, overall shield</t>
        </is>
      </c>
      <c r="K2168" s="12" t="inlineStr">
        <is>
          <t>PLTC|24 pr|18</t>
        </is>
      </c>
      <c r="L2168" s="12" t="inlineStr">
        <is>
          <t>24 pr</t>
        </is>
      </c>
      <c r="M2168" s="12" t="inlineStr">
        <is>
          <t>18</t>
        </is>
      </c>
      <c r="N2168" s="12" t="n">
        <v>1</v>
      </c>
      <c r="O2168" s="12" t="n">
        <v>1</v>
      </c>
      <c r="P2168" s="12" t="n"/>
      <c r="Q2168" s="12" t="n"/>
      <c r="R2168" s="12" t="n"/>
      <c r="S2168" s="12" t="inlineStr">
        <is>
          <t>Duct bank</t>
        </is>
      </c>
      <c r="T2168" s="16" t="n">
        <v>214</v>
      </c>
      <c r="U2168" s="16" t="n">
        <v>43</v>
      </c>
      <c r="V2168" s="16">
        <f>ROUNDUP((T2168+U2168+2*'Read Me'!$B$13)*(1+'Read Me'!$B$12),-1)</f>
        <v/>
      </c>
      <c r="W2168" s="16">
        <f>V2168*N2168*O2168</f>
        <v/>
      </c>
      <c r="X2168" s="12">
        <f>IF(LEFT(I2168,2)="MV",2*N2168*IF(L2168="1/C",O2168,1),0)</f>
        <v/>
      </c>
      <c r="Y2168" s="12">
        <f>IF(OR(LEFT(K2168,4)="LVAX",LEFT(K2168,6)="MV15AX",LEFT(K2168,4)="CTAX",LEFT(K2168,2)="W|"),2*N2168*O2168,0)</f>
        <v/>
      </c>
      <c r="Z2168" s="12" t="inlineStr"/>
      <c r="AA2168" s="12">
        <f>N2168*O2168</f>
        <v/>
      </c>
    </row>
    <row r="2169">
      <c r="A2169" s="12" t="inlineStr">
        <is>
          <t>B-I-0065</t>
        </is>
      </c>
      <c r="B2169" s="12" t="inlineStr">
        <is>
          <t>B</t>
        </is>
      </c>
      <c r="C2169" s="12" t="inlineStr">
        <is>
          <t>ACC</t>
        </is>
      </c>
      <c r="D2169" s="12" t="inlineStr">
        <is>
          <t>Analog instrument to JB JB-T-R4-4: 13.8/0.48 -AI01: 8 x 1 pr (field cables)</t>
        </is>
      </c>
      <c r="E2169" s="12" t="inlineStr"/>
      <c r="F2169" s="12" t="inlineStr">
        <is>
          <t>T-R4-4: 13.8/0.48 kV</t>
        </is>
      </c>
      <c r="G2169" s="12" t="inlineStr">
        <is>
          <t>JB-T-R4-4: 13.8/0.48 -AI01</t>
        </is>
      </c>
      <c r="H2169" s="12" t="inlineStr">
        <is>
          <t>T-R4-4: 13.8/0.48 kV</t>
        </is>
      </c>
      <c r="I2169" s="12" t="inlineStr">
        <is>
          <t>Instrumentation</t>
        </is>
      </c>
      <c r="J2169" s="12" t="inlineStr">
        <is>
          <t>Instrumentation PLTC / TC-ER 300 V, #18 twisted shielded pairs, overall shield</t>
        </is>
      </c>
      <c r="K2169" s="12" t="inlineStr">
        <is>
          <t>PLTC|1 pr|16</t>
        </is>
      </c>
      <c r="L2169" s="12" t="inlineStr">
        <is>
          <t>1 pr</t>
        </is>
      </c>
      <c r="M2169" s="12" t="inlineStr">
        <is>
          <t>16</t>
        </is>
      </c>
      <c r="N2169" s="12" t="n">
        <v>8</v>
      </c>
      <c r="O2169" s="12" t="n">
        <v>1</v>
      </c>
      <c r="P2169" s="12" t="n"/>
      <c r="Q2169" s="12" t="n"/>
      <c r="R2169" s="12" t="n"/>
      <c r="S2169" s="12" t="inlineStr">
        <is>
          <t>Tray / conduit</t>
        </is>
      </c>
      <c r="T2169" s="16" t="n">
        <v>42</v>
      </c>
      <c r="U2169" s="16" t="n">
        <v>10</v>
      </c>
      <c r="V2169" s="16">
        <f>ROUNDUP((T2169+U2169+2*'Read Me'!$B$13)*(1+'Read Me'!$B$12),-1)</f>
        <v/>
      </c>
      <c r="W2169" s="16">
        <f>V2169*N2169*O2169</f>
        <v/>
      </c>
      <c r="X2169" s="12">
        <f>IF(LEFT(I2169,2)="MV",2*N2169*IF(L2169="1/C",O2169,1),0)</f>
        <v/>
      </c>
      <c r="Y2169" s="12">
        <f>IF(OR(LEFT(K2169,4)="LVAX",LEFT(K2169,6)="MV15AX",LEFT(K2169,4)="CTAX",LEFT(K2169,2)="W|"),2*N2169*O2169,0)</f>
        <v/>
      </c>
      <c r="Z2169" s="12" t="inlineStr">
        <is>
          <t>device-to-JB field wiring, one cable per device</t>
        </is>
      </c>
      <c r="AA2169" s="12">
        <f>N2169*O2169</f>
        <v/>
      </c>
    </row>
    <row r="2170">
      <c r="A2170" s="12" t="inlineStr">
        <is>
          <t>B-I-0066</t>
        </is>
      </c>
      <c r="B2170" s="12" t="inlineStr">
        <is>
          <t>B</t>
        </is>
      </c>
      <c r="C2170" s="12" t="inlineStr">
        <is>
          <t>ACC</t>
        </is>
      </c>
      <c r="D2170" s="12" t="inlineStr">
        <is>
          <t>Home run JB-T-R4-4: 13.8/0.48 -AI01 to the control / marshalling room</t>
        </is>
      </c>
      <c r="E2170" s="12" t="inlineStr">
        <is>
          <t>R4</t>
        </is>
      </c>
      <c r="F2170" s="12" t="inlineStr">
        <is>
          <t>R4: ACC electrical (VFD) e-house (60 x 120 ft)</t>
        </is>
      </c>
      <c r="G2170" s="12" t="inlineStr">
        <is>
          <t>JB-T-R4-4: 13.8/0.48 -AI01</t>
        </is>
      </c>
      <c r="H2170" s="12" t="inlineStr">
        <is>
          <t>T-R4-4: 13.8/0.48 kV</t>
        </is>
      </c>
      <c r="I2170" s="12" t="inlineStr">
        <is>
          <t>Instrumentation</t>
        </is>
      </c>
      <c r="J2170" s="12" t="inlineStr">
        <is>
          <t>Instrumentation PLTC / TC-ER 300 V, #18 twisted shielded pairs, overall shield</t>
        </is>
      </c>
      <c r="K2170" s="12" t="inlineStr">
        <is>
          <t>PLTC|24 pr|18</t>
        </is>
      </c>
      <c r="L2170" s="12" t="inlineStr">
        <is>
          <t>24 pr</t>
        </is>
      </c>
      <c r="M2170" s="12" t="inlineStr">
        <is>
          <t>18</t>
        </is>
      </c>
      <c r="N2170" s="12" t="n">
        <v>1</v>
      </c>
      <c r="O2170" s="12" t="n">
        <v>1</v>
      </c>
      <c r="P2170" s="12" t="n"/>
      <c r="Q2170" s="12" t="n"/>
      <c r="R2170" s="12" t="n"/>
      <c r="S2170" s="12" t="inlineStr">
        <is>
          <t>Duct bank</t>
        </is>
      </c>
      <c r="T2170" s="16" t="n">
        <v>208</v>
      </c>
      <c r="U2170" s="16" t="n">
        <v>69</v>
      </c>
      <c r="V2170" s="16">
        <f>ROUNDUP((T2170+U2170+2*'Read Me'!$B$13)*(1+'Read Me'!$B$12),-1)</f>
        <v/>
      </c>
      <c r="W2170" s="16">
        <f>V2170*N2170*O2170</f>
        <v/>
      </c>
      <c r="X2170" s="12">
        <f>IF(LEFT(I2170,2)="MV",2*N2170*IF(L2170="1/C",O2170,1),0)</f>
        <v/>
      </c>
      <c r="Y2170" s="12">
        <f>IF(OR(LEFT(K2170,4)="LVAX",LEFT(K2170,6)="MV15AX",LEFT(K2170,4)="CTAX",LEFT(K2170,2)="W|"),2*N2170*O2170,0)</f>
        <v/>
      </c>
      <c r="Z2170" s="12" t="inlineStr"/>
      <c r="AA2170" s="12">
        <f>N2170*O2170</f>
        <v/>
      </c>
    </row>
    <row r="2171">
      <c r="A2171" s="12" t="inlineStr">
        <is>
          <t>B-I-0067</t>
        </is>
      </c>
      <c r="B2171" s="12" t="inlineStr">
        <is>
          <t>B</t>
        </is>
      </c>
      <c r="C2171" s="12" t="inlineStr">
        <is>
          <t>ACC</t>
        </is>
      </c>
      <c r="D2171" s="12" t="inlineStr">
        <is>
          <t>Discrete device to JB JB-T-R4-4: 13.8/0.48 -DI01: 16 x 1 pr (field cables)</t>
        </is>
      </c>
      <c r="E2171" s="12" t="inlineStr"/>
      <c r="F2171" s="12" t="inlineStr">
        <is>
          <t>T-R4-4: 13.8/0.48 kV</t>
        </is>
      </c>
      <c r="G2171" s="12" t="inlineStr">
        <is>
          <t>JB-T-R4-4: 13.8/0.48 -DI01</t>
        </is>
      </c>
      <c r="H2171" s="12" t="inlineStr">
        <is>
          <t>T-R4-4: 13.8/0.48 kV</t>
        </is>
      </c>
      <c r="I2171" s="12" t="inlineStr">
        <is>
          <t>Instrumentation</t>
        </is>
      </c>
      <c r="J2171" s="12" t="inlineStr">
        <is>
          <t>Instrumentation PLTC / TC-ER 300 V, #18 twisted shielded pairs, overall shield</t>
        </is>
      </c>
      <c r="K2171" s="12" t="inlineStr">
        <is>
          <t>PLTC|1 pr|16</t>
        </is>
      </c>
      <c r="L2171" s="12" t="inlineStr">
        <is>
          <t>1 pr</t>
        </is>
      </c>
      <c r="M2171" s="12" t="inlineStr">
        <is>
          <t>16</t>
        </is>
      </c>
      <c r="N2171" s="12" t="n">
        <v>16</v>
      </c>
      <c r="O2171" s="12" t="n">
        <v>1</v>
      </c>
      <c r="P2171" s="12" t="n"/>
      <c r="Q2171" s="12" t="n"/>
      <c r="R2171" s="12" t="n"/>
      <c r="S2171" s="12" t="inlineStr">
        <is>
          <t>Tray / conduit</t>
        </is>
      </c>
      <c r="T2171" s="16" t="n">
        <v>42</v>
      </c>
      <c r="U2171" s="16" t="n">
        <v>10</v>
      </c>
      <c r="V2171" s="16">
        <f>ROUNDUP((T2171+U2171+2*'Read Me'!$B$13)*(1+'Read Me'!$B$12),-1)</f>
        <v/>
      </c>
      <c r="W2171" s="16">
        <f>V2171*N2171*O2171</f>
        <v/>
      </c>
      <c r="X2171" s="12">
        <f>IF(LEFT(I2171,2)="MV",2*N2171*IF(L2171="1/C",O2171,1),0)</f>
        <v/>
      </c>
      <c r="Y2171" s="12">
        <f>IF(OR(LEFT(K2171,4)="LVAX",LEFT(K2171,6)="MV15AX",LEFT(K2171,4)="CTAX",LEFT(K2171,2)="W|"),2*N2171*O2171,0)</f>
        <v/>
      </c>
      <c r="Z2171" s="12" t="inlineStr">
        <is>
          <t>device-to-JB field wiring, one cable per device</t>
        </is>
      </c>
      <c r="AA2171" s="12">
        <f>N2171*O2171</f>
        <v/>
      </c>
    </row>
    <row r="2172">
      <c r="A2172" s="12" t="inlineStr">
        <is>
          <t>B-I-0068</t>
        </is>
      </c>
      <c r="B2172" s="12" t="inlineStr">
        <is>
          <t>B</t>
        </is>
      </c>
      <c r="C2172" s="12" t="inlineStr">
        <is>
          <t>ACC</t>
        </is>
      </c>
      <c r="D2172" s="12" t="inlineStr">
        <is>
          <t>Home run JB-T-R4-4: 13.8/0.48 -DI01 to the control / marshalling room</t>
        </is>
      </c>
      <c r="E2172" s="12" t="inlineStr">
        <is>
          <t>R4</t>
        </is>
      </c>
      <c r="F2172" s="12" t="inlineStr">
        <is>
          <t>R4: ACC electrical (VFD) e-house (60 x 120 ft)</t>
        </is>
      </c>
      <c r="G2172" s="12" t="inlineStr">
        <is>
          <t>JB-T-R4-4: 13.8/0.48 -DI01</t>
        </is>
      </c>
      <c r="H2172" s="12" t="inlineStr">
        <is>
          <t>T-R4-4: 13.8/0.48 kV</t>
        </is>
      </c>
      <c r="I2172" s="12" t="inlineStr">
        <is>
          <t>Instrumentation</t>
        </is>
      </c>
      <c r="J2172" s="12" t="inlineStr">
        <is>
          <t>Instrumentation PLTC / TC-ER 300 V, #18 twisted shielded pairs, overall shield</t>
        </is>
      </c>
      <c r="K2172" s="12" t="inlineStr">
        <is>
          <t>PLTC|24 pr|18</t>
        </is>
      </c>
      <c r="L2172" s="12" t="inlineStr">
        <is>
          <t>24 pr</t>
        </is>
      </c>
      <c r="M2172" s="12" t="inlineStr">
        <is>
          <t>18</t>
        </is>
      </c>
      <c r="N2172" s="12" t="n">
        <v>1</v>
      </c>
      <c r="O2172" s="12" t="n">
        <v>1</v>
      </c>
      <c r="P2172" s="12" t="n"/>
      <c r="Q2172" s="12" t="n"/>
      <c r="R2172" s="12" t="n"/>
      <c r="S2172" s="12" t="inlineStr">
        <is>
          <t>Duct bank</t>
        </is>
      </c>
      <c r="T2172" s="16" t="n">
        <v>208</v>
      </c>
      <c r="U2172" s="16" t="n">
        <v>69</v>
      </c>
      <c r="V2172" s="16">
        <f>ROUNDUP((T2172+U2172+2*'Read Me'!$B$13)*(1+'Read Me'!$B$12),-1)</f>
        <v/>
      </c>
      <c r="W2172" s="16">
        <f>V2172*N2172*O2172</f>
        <v/>
      </c>
      <c r="X2172" s="12">
        <f>IF(LEFT(I2172,2)="MV",2*N2172*IF(L2172="1/C",O2172,1),0)</f>
        <v/>
      </c>
      <c r="Y2172" s="12">
        <f>IF(OR(LEFT(K2172,4)="LVAX",LEFT(K2172,6)="MV15AX",LEFT(K2172,4)="CTAX",LEFT(K2172,2)="W|"),2*N2172*O2172,0)</f>
        <v/>
      </c>
      <c r="Z2172" s="12" t="inlineStr"/>
      <c r="AA2172" s="12">
        <f>N2172*O2172</f>
        <v/>
      </c>
    </row>
    <row r="2173">
      <c r="A2173" s="12" t="inlineStr">
        <is>
          <t>B-I-0069</t>
        </is>
      </c>
      <c r="B2173" s="12" t="inlineStr">
        <is>
          <t>B</t>
        </is>
      </c>
      <c r="C2173" s="12" t="inlineStr">
        <is>
          <t>ACC</t>
        </is>
      </c>
      <c r="D2173" s="12" t="inlineStr">
        <is>
          <t>Analog instrument to JB JB-VAC-A/B-AI01: 10 x 1 pr (field cables)</t>
        </is>
      </c>
      <c r="E2173" s="12" t="inlineStr">
        <is>
          <t>VAC-A/B</t>
        </is>
      </c>
      <c r="F2173" s="12" t="inlineStr">
        <is>
          <t>VAC-A/B: ACC air-removal vacuum pumps</t>
        </is>
      </c>
      <c r="G2173" s="12" t="inlineStr">
        <is>
          <t>JB-VAC-A/B-AI01</t>
        </is>
      </c>
      <c r="H2173" s="12" t="inlineStr">
        <is>
          <t>VAC-A/B: ACC air-removal vacuum pumps</t>
        </is>
      </c>
      <c r="I2173" s="12" t="inlineStr">
        <is>
          <t>Instrumentation</t>
        </is>
      </c>
      <c r="J2173" s="12" t="inlineStr">
        <is>
          <t>Instrumentation PLTC / TC-ER 300 V, #18 twisted shielded pairs, overall shield</t>
        </is>
      </c>
      <c r="K2173" s="12" t="inlineStr">
        <is>
          <t>PLTC|1 pr|16</t>
        </is>
      </c>
      <c r="L2173" s="12" t="inlineStr">
        <is>
          <t>1 pr</t>
        </is>
      </c>
      <c r="M2173" s="12" t="inlineStr">
        <is>
          <t>16</t>
        </is>
      </c>
      <c r="N2173" s="12" t="n">
        <v>10</v>
      </c>
      <c r="O2173" s="12" t="n">
        <v>1</v>
      </c>
      <c r="P2173" s="12" t="n"/>
      <c r="Q2173" s="12" t="n"/>
      <c r="R2173" s="12" t="n"/>
      <c r="S2173" s="12" t="inlineStr">
        <is>
          <t>Tray / conduit</t>
        </is>
      </c>
      <c r="T2173" s="16" t="n">
        <v>53</v>
      </c>
      <c r="U2173" s="16" t="n">
        <v>10</v>
      </c>
      <c r="V2173" s="16">
        <f>ROUNDUP((T2173+U2173+2*'Read Me'!$B$13)*(1+'Read Me'!$B$12),-1)</f>
        <v/>
      </c>
      <c r="W2173" s="16">
        <f>V2173*N2173*O2173</f>
        <v/>
      </c>
      <c r="X2173" s="12">
        <f>IF(LEFT(I2173,2)="MV",2*N2173*IF(L2173="1/C",O2173,1),0)</f>
        <v/>
      </c>
      <c r="Y2173" s="12">
        <f>IF(OR(LEFT(K2173,4)="LVAX",LEFT(K2173,6)="MV15AX",LEFT(K2173,4)="CTAX",LEFT(K2173,2)="W|"),2*N2173*O2173,0)</f>
        <v/>
      </c>
      <c r="Z2173" s="12" t="inlineStr">
        <is>
          <t>device-to-JB field wiring, one cable per device</t>
        </is>
      </c>
      <c r="AA2173" s="12">
        <f>N2173*O2173</f>
        <v/>
      </c>
    </row>
    <row r="2174">
      <c r="A2174" s="12" t="inlineStr">
        <is>
          <t>B-I-0070</t>
        </is>
      </c>
      <c r="B2174" s="12" t="inlineStr">
        <is>
          <t>B</t>
        </is>
      </c>
      <c r="C2174" s="12" t="inlineStr">
        <is>
          <t>ACC</t>
        </is>
      </c>
      <c r="D2174" s="12" t="inlineStr">
        <is>
          <t>Home run JB-VAC-A/B-AI01 to the control / marshalling room</t>
        </is>
      </c>
      <c r="E2174" s="12" t="inlineStr">
        <is>
          <t>R4</t>
        </is>
      </c>
      <c r="F2174" s="12" t="inlineStr">
        <is>
          <t>R4: ACC electrical (VFD) e-house (60 x 120 ft)</t>
        </is>
      </c>
      <c r="G2174" s="12" t="inlineStr">
        <is>
          <t>JB-VAC-A/B-AI01</t>
        </is>
      </c>
      <c r="H2174" s="12" t="inlineStr">
        <is>
          <t>VAC-A/B: ACC air-removal vacuum pumps</t>
        </is>
      </c>
      <c r="I2174" s="12" t="inlineStr">
        <is>
          <t>Instrumentation</t>
        </is>
      </c>
      <c r="J2174" s="12" t="inlineStr">
        <is>
          <t>Instrumentation PLTC / TC-ER 300 V, #18 twisted shielded pairs, overall shield</t>
        </is>
      </c>
      <c r="K2174" s="12" t="inlineStr">
        <is>
          <t>PLTC|24 pr|18</t>
        </is>
      </c>
      <c r="L2174" s="12" t="inlineStr">
        <is>
          <t>24 pr</t>
        </is>
      </c>
      <c r="M2174" s="12" t="inlineStr">
        <is>
          <t>18</t>
        </is>
      </c>
      <c r="N2174" s="12" t="n">
        <v>1</v>
      </c>
      <c r="O2174" s="12" t="n">
        <v>1</v>
      </c>
      <c r="P2174" s="12" t="n"/>
      <c r="Q2174" s="12" t="n"/>
      <c r="R2174" s="12" t="n"/>
      <c r="S2174" s="12" t="inlineStr">
        <is>
          <t>Tray</t>
        </is>
      </c>
      <c r="T2174" s="16" t="n">
        <v>532</v>
      </c>
      <c r="U2174" s="16" t="n">
        <v>91</v>
      </c>
      <c r="V2174" s="16">
        <f>ROUNDUP((T2174+U2174+2*'Read Me'!$B$13)*(1+'Read Me'!$B$12),-1)</f>
        <v/>
      </c>
      <c r="W2174" s="16">
        <f>V2174*N2174*O2174</f>
        <v/>
      </c>
      <c r="X2174" s="12">
        <f>IF(LEFT(I2174,2)="MV",2*N2174*IF(L2174="1/C",O2174,1),0)</f>
        <v/>
      </c>
      <c r="Y2174" s="12">
        <f>IF(OR(LEFT(K2174,4)="LVAX",LEFT(K2174,6)="MV15AX",LEFT(K2174,4)="CTAX",LEFT(K2174,2)="W|"),2*N2174*O2174,0)</f>
        <v/>
      </c>
      <c r="Z2174" s="12" t="inlineStr"/>
      <c r="AA2174" s="12">
        <f>N2174*O2174</f>
        <v/>
      </c>
    </row>
    <row r="2175">
      <c r="A2175" s="12" t="inlineStr">
        <is>
          <t>B-I-0071</t>
        </is>
      </c>
      <c r="B2175" s="12" t="inlineStr">
        <is>
          <t>B</t>
        </is>
      </c>
      <c r="C2175" s="12" t="inlineStr">
        <is>
          <t>ACC</t>
        </is>
      </c>
      <c r="D2175" s="12" t="inlineStr">
        <is>
          <t>Discrete device to JB JB-VAC-A/B-DI01: 10 x 1 pr (field cables)</t>
        </is>
      </c>
      <c r="E2175" s="12" t="inlineStr">
        <is>
          <t>VAC-A/B</t>
        </is>
      </c>
      <c r="F2175" s="12" t="inlineStr">
        <is>
          <t>VAC-A/B: ACC air-removal vacuum pumps</t>
        </is>
      </c>
      <c r="G2175" s="12" t="inlineStr">
        <is>
          <t>JB-VAC-A/B-DI01</t>
        </is>
      </c>
      <c r="H2175" s="12" t="inlineStr">
        <is>
          <t>VAC-A/B: ACC air-removal vacuum pumps</t>
        </is>
      </c>
      <c r="I2175" s="12" t="inlineStr">
        <is>
          <t>Instrumentation</t>
        </is>
      </c>
      <c r="J2175" s="12" t="inlineStr">
        <is>
          <t>Instrumentation PLTC / TC-ER 300 V, #18 twisted shielded pairs, overall shield</t>
        </is>
      </c>
      <c r="K2175" s="12" t="inlineStr">
        <is>
          <t>PLTC|1 pr|16</t>
        </is>
      </c>
      <c r="L2175" s="12" t="inlineStr">
        <is>
          <t>1 pr</t>
        </is>
      </c>
      <c r="M2175" s="12" t="inlineStr">
        <is>
          <t>16</t>
        </is>
      </c>
      <c r="N2175" s="12" t="n">
        <v>10</v>
      </c>
      <c r="O2175" s="12" t="n">
        <v>1</v>
      </c>
      <c r="P2175" s="12" t="n"/>
      <c r="Q2175" s="12" t="n"/>
      <c r="R2175" s="12" t="n"/>
      <c r="S2175" s="12" t="inlineStr">
        <is>
          <t>Tray / conduit</t>
        </is>
      </c>
      <c r="T2175" s="16" t="n">
        <v>53</v>
      </c>
      <c r="U2175" s="16" t="n">
        <v>10</v>
      </c>
      <c r="V2175" s="16">
        <f>ROUNDUP((T2175+U2175+2*'Read Me'!$B$13)*(1+'Read Me'!$B$12),-1)</f>
        <v/>
      </c>
      <c r="W2175" s="16">
        <f>V2175*N2175*O2175</f>
        <v/>
      </c>
      <c r="X2175" s="12">
        <f>IF(LEFT(I2175,2)="MV",2*N2175*IF(L2175="1/C",O2175,1),0)</f>
        <v/>
      </c>
      <c r="Y2175" s="12">
        <f>IF(OR(LEFT(K2175,4)="LVAX",LEFT(K2175,6)="MV15AX",LEFT(K2175,4)="CTAX",LEFT(K2175,2)="W|"),2*N2175*O2175,0)</f>
        <v/>
      </c>
      <c r="Z2175" s="12" t="inlineStr">
        <is>
          <t>device-to-JB field wiring, one cable per device</t>
        </is>
      </c>
      <c r="AA2175" s="12">
        <f>N2175*O2175</f>
        <v/>
      </c>
    </row>
    <row r="2176">
      <c r="A2176" s="12" t="inlineStr">
        <is>
          <t>B-I-0072</t>
        </is>
      </c>
      <c r="B2176" s="12" t="inlineStr">
        <is>
          <t>B</t>
        </is>
      </c>
      <c r="C2176" s="12" t="inlineStr">
        <is>
          <t>ACC</t>
        </is>
      </c>
      <c r="D2176" s="12" t="inlineStr">
        <is>
          <t>Home run JB-VAC-A/B-DI01 to the control / marshalling room</t>
        </is>
      </c>
      <c r="E2176" s="12" t="inlineStr">
        <is>
          <t>R4</t>
        </is>
      </c>
      <c r="F2176" s="12" t="inlineStr">
        <is>
          <t>R4: ACC electrical (VFD) e-house (60 x 120 ft)</t>
        </is>
      </c>
      <c r="G2176" s="12" t="inlineStr">
        <is>
          <t>JB-VAC-A/B-DI01</t>
        </is>
      </c>
      <c r="H2176" s="12" t="inlineStr">
        <is>
          <t>VAC-A/B: ACC air-removal vacuum pumps</t>
        </is>
      </c>
      <c r="I2176" s="12" t="inlineStr">
        <is>
          <t>Instrumentation</t>
        </is>
      </c>
      <c r="J2176" s="12" t="inlineStr">
        <is>
          <t>Instrumentation PLTC / TC-ER 300 V, #18 twisted shielded pairs, overall shield</t>
        </is>
      </c>
      <c r="K2176" s="12" t="inlineStr">
        <is>
          <t>PLTC|24 pr|18</t>
        </is>
      </c>
      <c r="L2176" s="12" t="inlineStr">
        <is>
          <t>24 pr</t>
        </is>
      </c>
      <c r="M2176" s="12" t="inlineStr">
        <is>
          <t>18</t>
        </is>
      </c>
      <c r="N2176" s="12" t="n">
        <v>1</v>
      </c>
      <c r="O2176" s="12" t="n">
        <v>1</v>
      </c>
      <c r="P2176" s="12" t="n"/>
      <c r="Q2176" s="12" t="n"/>
      <c r="R2176" s="12" t="n"/>
      <c r="S2176" s="12" t="inlineStr">
        <is>
          <t>Tray</t>
        </is>
      </c>
      <c r="T2176" s="16" t="n">
        <v>532</v>
      </c>
      <c r="U2176" s="16" t="n">
        <v>91</v>
      </c>
      <c r="V2176" s="16">
        <f>ROUNDUP((T2176+U2176+2*'Read Me'!$B$13)*(1+'Read Me'!$B$12),-1)</f>
        <v/>
      </c>
      <c r="W2176" s="16">
        <f>V2176*N2176*O2176</f>
        <v/>
      </c>
      <c r="X2176" s="12">
        <f>IF(LEFT(I2176,2)="MV",2*N2176*IF(L2176="1/C",O2176,1),0)</f>
        <v/>
      </c>
      <c r="Y2176" s="12">
        <f>IF(OR(LEFT(K2176,4)="LVAX",LEFT(K2176,6)="MV15AX",LEFT(K2176,4)="CTAX",LEFT(K2176,2)="W|"),2*N2176*O2176,0)</f>
        <v/>
      </c>
      <c r="Z2176" s="12" t="inlineStr"/>
      <c r="AA2176" s="12">
        <f>N2176*O2176</f>
        <v/>
      </c>
    </row>
    <row r="2177">
      <c r="A2177" s="12" t="inlineStr">
        <is>
          <t>B-P-0001</t>
        </is>
      </c>
      <c r="B2177" s="12" t="inlineStr">
        <is>
          <t>B</t>
        </is>
      </c>
      <c r="C2177" s="12" t="inlineStr">
        <is>
          <t>ACC</t>
        </is>
      </c>
      <c r="D2177" s="12" t="inlineStr">
        <is>
          <t>ACC fan F01 motor (VFD output)</t>
        </is>
      </c>
      <c r="E2177" s="12" t="inlineStr">
        <is>
          <t>R4</t>
        </is>
      </c>
      <c r="F2177" s="12" t="inlineStr">
        <is>
          <t>R4: ACC electrical (VFD) e-house (60 x 120 ft)</t>
        </is>
      </c>
      <c r="G2177" s="12" t="inlineStr">
        <is>
          <t>ACC-F01</t>
        </is>
      </c>
      <c r="H2177" s="12" t="inlineStr">
        <is>
          <t>ACC fan motor F01</t>
        </is>
      </c>
      <c r="I2177" s="12" t="inlineStr">
        <is>
          <t>LV 600 V</t>
        </is>
      </c>
      <c r="J2177" s="12" t="inlineStr">
        <is>
          <t>VFD cable 600 V 3/C Cu XHHW-2, 3 symmetrical grounds, overall Cu tape shield, TC-ER</t>
        </is>
      </c>
      <c r="K2177" s="12" t="inlineStr">
        <is>
          <t>VFD|3/C+3G|350</t>
        </is>
      </c>
      <c r="L2177" s="12" t="inlineStr">
        <is>
          <t>3/C+3G</t>
        </is>
      </c>
      <c r="M2177" s="12" t="inlineStr">
        <is>
          <t>350 kcmil</t>
        </is>
      </c>
      <c r="N2177" s="12" t="n">
        <v>1</v>
      </c>
      <c r="O2177" s="12" t="n">
        <v>1</v>
      </c>
      <c r="P2177" s="12" t="n">
        <v>480</v>
      </c>
      <c r="Q2177" s="12" t="n">
        <v>150</v>
      </c>
      <c r="R2177" s="12" t="n">
        <v>212</v>
      </c>
      <c r="S2177" s="12" t="inlineStr">
        <is>
          <t>Tray</t>
        </is>
      </c>
      <c r="T2177" s="16" t="n">
        <v>389</v>
      </c>
      <c r="U2177" s="16" t="n">
        <v>44</v>
      </c>
      <c r="V2177" s="16">
        <f>ROUNDUP((T2177+U2177+2*'Read Me'!$B$13)*(1+'Read Me'!$B$12),-1)</f>
        <v/>
      </c>
      <c r="W2177" s="16">
        <f>V2177*N2177*O2177</f>
        <v/>
      </c>
      <c r="X2177" s="12">
        <f>IF(LEFT(I2177,2)="MV",2*N2177*IF(L2177="1/C",O2177,1),0)</f>
        <v/>
      </c>
      <c r="Y2177" s="12">
        <f>IF(OR(LEFT(K2177,4)="LVAX",LEFT(K2177,6)="MV15AX",LEFT(K2177,4)="CTAX",LEFT(K2177,2)="W|"),2*N2177*O2177,0)</f>
        <v/>
      </c>
      <c r="Z2177" s="12" t="inlineStr">
        <is>
          <t>VD 1.3 %</t>
        </is>
      </c>
      <c r="AA2177" s="12">
        <f>N2177*O2177</f>
        <v/>
      </c>
    </row>
    <row r="2178">
      <c r="A2178" s="12" t="inlineStr">
        <is>
          <t>B-P-0002</t>
        </is>
      </c>
      <c r="B2178" s="12" t="inlineStr">
        <is>
          <t>B</t>
        </is>
      </c>
      <c r="C2178" s="12" t="inlineStr">
        <is>
          <t>ACC</t>
        </is>
      </c>
      <c r="D2178" s="12" t="inlineStr">
        <is>
          <t>ACC fan F02 motor (VFD output)</t>
        </is>
      </c>
      <c r="E2178" s="12" t="inlineStr">
        <is>
          <t>R4</t>
        </is>
      </c>
      <c r="F2178" s="12" t="inlineStr">
        <is>
          <t>R4: ACC electrical (VFD) e-house (60 x 120 ft)</t>
        </is>
      </c>
      <c r="G2178" s="12" t="inlineStr">
        <is>
          <t>ACC-F02</t>
        </is>
      </c>
      <c r="H2178" s="12" t="inlineStr">
        <is>
          <t>ACC fan motor F02</t>
        </is>
      </c>
      <c r="I2178" s="12" t="inlineStr">
        <is>
          <t>LV 600 V</t>
        </is>
      </c>
      <c r="J2178" s="12" t="inlineStr">
        <is>
          <t>VFD cable 600 V 3/C Cu XHHW-2, 3 symmetrical grounds, overall Cu tape shield, TC-ER</t>
        </is>
      </c>
      <c r="K2178" s="12" t="inlineStr">
        <is>
          <t>VFD|3/C+3G|350</t>
        </is>
      </c>
      <c r="L2178" s="12" t="inlineStr">
        <is>
          <t>3/C+3G</t>
        </is>
      </c>
      <c r="M2178" s="12" t="inlineStr">
        <is>
          <t>350 kcmil</t>
        </is>
      </c>
      <c r="N2178" s="12" t="n">
        <v>1</v>
      </c>
      <c r="O2178" s="12" t="n">
        <v>1</v>
      </c>
      <c r="P2178" s="12" t="n">
        <v>480</v>
      </c>
      <c r="Q2178" s="12" t="n">
        <v>150</v>
      </c>
      <c r="R2178" s="12" t="n">
        <v>212</v>
      </c>
      <c r="S2178" s="12" t="inlineStr">
        <is>
          <t>Tray</t>
        </is>
      </c>
      <c r="T2178" s="16" t="n">
        <v>357</v>
      </c>
      <c r="U2178" s="16" t="n">
        <v>44</v>
      </c>
      <c r="V2178" s="16">
        <f>ROUNDUP((T2178+U2178+2*'Read Me'!$B$13)*(1+'Read Me'!$B$12),-1)</f>
        <v/>
      </c>
      <c r="W2178" s="16">
        <f>V2178*N2178*O2178</f>
        <v/>
      </c>
      <c r="X2178" s="12">
        <f>IF(LEFT(I2178,2)="MV",2*N2178*IF(L2178="1/C",O2178,1),0)</f>
        <v/>
      </c>
      <c r="Y2178" s="12">
        <f>IF(OR(LEFT(K2178,4)="LVAX",LEFT(K2178,6)="MV15AX",LEFT(K2178,4)="CTAX",LEFT(K2178,2)="W|"),2*N2178*O2178,0)</f>
        <v/>
      </c>
      <c r="Z2178" s="12" t="inlineStr">
        <is>
          <t>VD 1.2 %</t>
        </is>
      </c>
      <c r="AA2178" s="12">
        <f>N2178*O2178</f>
        <v/>
      </c>
    </row>
    <row r="2179">
      <c r="A2179" s="12" t="inlineStr">
        <is>
          <t>B-P-0003</t>
        </is>
      </c>
      <c r="B2179" s="12" t="inlineStr">
        <is>
          <t>B</t>
        </is>
      </c>
      <c r="C2179" s="12" t="inlineStr">
        <is>
          <t>ACC</t>
        </is>
      </c>
      <c r="D2179" s="12" t="inlineStr">
        <is>
          <t>ACC fan F03 motor (VFD output)</t>
        </is>
      </c>
      <c r="E2179" s="12" t="inlineStr">
        <is>
          <t>R4</t>
        </is>
      </c>
      <c r="F2179" s="12" t="inlineStr">
        <is>
          <t>R4: ACC electrical (VFD) e-house (60 x 120 ft)</t>
        </is>
      </c>
      <c r="G2179" s="12" t="inlineStr">
        <is>
          <t>ACC-F03</t>
        </is>
      </c>
      <c r="H2179" s="12" t="inlineStr">
        <is>
          <t>ACC fan motor F03</t>
        </is>
      </c>
      <c r="I2179" s="12" t="inlineStr">
        <is>
          <t>LV 600 V</t>
        </is>
      </c>
      <c r="J2179" s="12" t="inlineStr">
        <is>
          <t>VFD cable 600 V 3/C Cu XHHW-2, 3 symmetrical grounds, overall Cu tape shield, TC-ER</t>
        </is>
      </c>
      <c r="K2179" s="12" t="inlineStr">
        <is>
          <t>VFD|3/C+3G|350</t>
        </is>
      </c>
      <c r="L2179" s="12" t="inlineStr">
        <is>
          <t>3/C+3G</t>
        </is>
      </c>
      <c r="M2179" s="12" t="inlineStr">
        <is>
          <t>350 kcmil</t>
        </is>
      </c>
      <c r="N2179" s="12" t="n">
        <v>1</v>
      </c>
      <c r="O2179" s="12" t="n">
        <v>1</v>
      </c>
      <c r="P2179" s="12" t="n">
        <v>480</v>
      </c>
      <c r="Q2179" s="12" t="n">
        <v>150</v>
      </c>
      <c r="R2179" s="12" t="n">
        <v>212</v>
      </c>
      <c r="S2179" s="12" t="inlineStr">
        <is>
          <t>Tray</t>
        </is>
      </c>
      <c r="T2179" s="16" t="n">
        <v>325</v>
      </c>
      <c r="U2179" s="16" t="n">
        <v>44</v>
      </c>
      <c r="V2179" s="16">
        <f>ROUNDUP((T2179+U2179+2*'Read Me'!$B$13)*(1+'Read Me'!$B$12),-1)</f>
        <v/>
      </c>
      <c r="W2179" s="16">
        <f>V2179*N2179*O2179</f>
        <v/>
      </c>
      <c r="X2179" s="12">
        <f>IF(LEFT(I2179,2)="MV",2*N2179*IF(L2179="1/C",O2179,1),0)</f>
        <v/>
      </c>
      <c r="Y2179" s="12">
        <f>IF(OR(LEFT(K2179,4)="LVAX",LEFT(K2179,6)="MV15AX",LEFT(K2179,4)="CTAX",LEFT(K2179,2)="W|"),2*N2179*O2179,0)</f>
        <v/>
      </c>
      <c r="Z2179" s="12" t="inlineStr">
        <is>
          <t>VD 1.1 %</t>
        </is>
      </c>
      <c r="AA2179" s="12">
        <f>N2179*O2179</f>
        <v/>
      </c>
    </row>
    <row r="2180">
      <c r="A2180" s="12" t="inlineStr">
        <is>
          <t>B-P-0004</t>
        </is>
      </c>
      <c r="B2180" s="12" t="inlineStr">
        <is>
          <t>B</t>
        </is>
      </c>
      <c r="C2180" s="12" t="inlineStr">
        <is>
          <t>ACC</t>
        </is>
      </c>
      <c r="D2180" s="12" t="inlineStr">
        <is>
          <t>ACC fan F04 motor (VFD output)</t>
        </is>
      </c>
      <c r="E2180" s="12" t="inlineStr">
        <is>
          <t>R4</t>
        </is>
      </c>
      <c r="F2180" s="12" t="inlineStr">
        <is>
          <t>R4: ACC electrical (VFD) e-house (60 x 120 ft)</t>
        </is>
      </c>
      <c r="G2180" s="12" t="inlineStr">
        <is>
          <t>ACC-F04</t>
        </is>
      </c>
      <c r="H2180" s="12" t="inlineStr">
        <is>
          <t>ACC fan motor F04</t>
        </is>
      </c>
      <c r="I2180" s="12" t="inlineStr">
        <is>
          <t>LV 600 V</t>
        </is>
      </c>
      <c r="J2180" s="12" t="inlineStr">
        <is>
          <t>VFD cable 600 V 3/C Cu XHHW-2, 3 symmetrical grounds, overall Cu tape shield, TC-ER</t>
        </is>
      </c>
      <c r="K2180" s="12" t="inlineStr">
        <is>
          <t>VFD|3/C+3G|350</t>
        </is>
      </c>
      <c r="L2180" s="12" t="inlineStr">
        <is>
          <t>3/C+3G</t>
        </is>
      </c>
      <c r="M2180" s="12" t="inlineStr">
        <is>
          <t>350 kcmil</t>
        </is>
      </c>
      <c r="N2180" s="12" t="n">
        <v>1</v>
      </c>
      <c r="O2180" s="12" t="n">
        <v>1</v>
      </c>
      <c r="P2180" s="12" t="n">
        <v>480</v>
      </c>
      <c r="Q2180" s="12" t="n">
        <v>150</v>
      </c>
      <c r="R2180" s="12" t="n">
        <v>212</v>
      </c>
      <c r="S2180" s="12" t="inlineStr">
        <is>
          <t>Tray</t>
        </is>
      </c>
      <c r="T2180" s="16" t="n">
        <v>293</v>
      </c>
      <c r="U2180" s="16" t="n">
        <v>44</v>
      </c>
      <c r="V2180" s="16">
        <f>ROUNDUP((T2180+U2180+2*'Read Me'!$B$13)*(1+'Read Me'!$B$12),-1)</f>
        <v/>
      </c>
      <c r="W2180" s="16">
        <f>V2180*N2180*O2180</f>
        <v/>
      </c>
      <c r="X2180" s="12">
        <f>IF(LEFT(I2180,2)="MV",2*N2180*IF(L2180="1/C",O2180,1),0)</f>
        <v/>
      </c>
      <c r="Y2180" s="12">
        <f>IF(OR(LEFT(K2180,4)="LVAX",LEFT(K2180,6)="MV15AX",LEFT(K2180,4)="CTAX",LEFT(K2180,2)="W|"),2*N2180*O2180,0)</f>
        <v/>
      </c>
      <c r="Z2180" s="12" t="inlineStr">
        <is>
          <t>VD 1.0 %</t>
        </is>
      </c>
      <c r="AA2180" s="12">
        <f>N2180*O2180</f>
        <v/>
      </c>
    </row>
    <row r="2181">
      <c r="A2181" s="12" t="inlineStr">
        <is>
          <t>B-P-0005</t>
        </is>
      </c>
      <c r="B2181" s="12" t="inlineStr">
        <is>
          <t>B</t>
        </is>
      </c>
      <c r="C2181" s="12" t="inlineStr">
        <is>
          <t>ACC</t>
        </is>
      </c>
      <c r="D2181" s="12" t="inlineStr">
        <is>
          <t>ACC fan F05 motor (VFD output)</t>
        </is>
      </c>
      <c r="E2181" s="12" t="inlineStr">
        <is>
          <t>R4</t>
        </is>
      </c>
      <c r="F2181" s="12" t="inlineStr">
        <is>
          <t>R4: ACC electrical (VFD) e-house (60 x 120 ft)</t>
        </is>
      </c>
      <c r="G2181" s="12" t="inlineStr">
        <is>
          <t>ACC-F05</t>
        </is>
      </c>
      <c r="H2181" s="12" t="inlineStr">
        <is>
          <t>ACC fan motor F05</t>
        </is>
      </c>
      <c r="I2181" s="12" t="inlineStr">
        <is>
          <t>LV 600 V</t>
        </is>
      </c>
      <c r="J2181" s="12" t="inlineStr">
        <is>
          <t>VFD cable 600 V 3/C Cu XHHW-2, 3 symmetrical grounds, overall Cu tape shield, TC-ER</t>
        </is>
      </c>
      <c r="K2181" s="12" t="inlineStr">
        <is>
          <t>VFD|3/C+3G|350</t>
        </is>
      </c>
      <c r="L2181" s="12" t="inlineStr">
        <is>
          <t>3/C+3G</t>
        </is>
      </c>
      <c r="M2181" s="12" t="inlineStr">
        <is>
          <t>350 kcmil</t>
        </is>
      </c>
      <c r="N2181" s="12" t="n">
        <v>1</v>
      </c>
      <c r="O2181" s="12" t="n">
        <v>1</v>
      </c>
      <c r="P2181" s="12" t="n">
        <v>480</v>
      </c>
      <c r="Q2181" s="12" t="n">
        <v>150</v>
      </c>
      <c r="R2181" s="12" t="n">
        <v>212</v>
      </c>
      <c r="S2181" s="12" t="inlineStr">
        <is>
          <t>Tray</t>
        </is>
      </c>
      <c r="T2181" s="16" t="n">
        <v>261</v>
      </c>
      <c r="U2181" s="16" t="n">
        <v>44</v>
      </c>
      <c r="V2181" s="16">
        <f>ROUNDUP((T2181+U2181+2*'Read Me'!$B$13)*(1+'Read Me'!$B$12),-1)</f>
        <v/>
      </c>
      <c r="W2181" s="16">
        <f>V2181*N2181*O2181</f>
        <v/>
      </c>
      <c r="X2181" s="12">
        <f>IF(LEFT(I2181,2)="MV",2*N2181*IF(L2181="1/C",O2181,1),0)</f>
        <v/>
      </c>
      <c r="Y2181" s="12">
        <f>IF(OR(LEFT(K2181,4)="LVAX",LEFT(K2181,6)="MV15AX",LEFT(K2181,4)="CTAX",LEFT(K2181,2)="W|"),2*N2181*O2181,0)</f>
        <v/>
      </c>
      <c r="Z2181" s="12" t="inlineStr">
        <is>
          <t>VD 0.9 %</t>
        </is>
      </c>
      <c r="AA2181" s="12">
        <f>N2181*O2181</f>
        <v/>
      </c>
    </row>
    <row r="2182">
      <c r="A2182" s="12" t="inlineStr">
        <is>
          <t>B-P-0006</t>
        </is>
      </c>
      <c r="B2182" s="12" t="inlineStr">
        <is>
          <t>B</t>
        </is>
      </c>
      <c r="C2182" s="12" t="inlineStr">
        <is>
          <t>ACC</t>
        </is>
      </c>
      <c r="D2182" s="12" t="inlineStr">
        <is>
          <t>ACC fan F06 motor (VFD output)</t>
        </is>
      </c>
      <c r="E2182" s="12" t="inlineStr">
        <is>
          <t>R4</t>
        </is>
      </c>
      <c r="F2182" s="12" t="inlineStr">
        <is>
          <t>R4: ACC electrical (VFD) e-house (60 x 120 ft)</t>
        </is>
      </c>
      <c r="G2182" s="12" t="inlineStr">
        <is>
          <t>ACC-F06</t>
        </is>
      </c>
      <c r="H2182" s="12" t="inlineStr">
        <is>
          <t>ACC fan motor F06</t>
        </is>
      </c>
      <c r="I2182" s="12" t="inlineStr">
        <is>
          <t>LV 600 V</t>
        </is>
      </c>
      <c r="J2182" s="12" t="inlineStr">
        <is>
          <t>VFD cable 600 V 3/C Cu XHHW-2, 3 symmetrical grounds, overall Cu tape shield, TC-ER</t>
        </is>
      </c>
      <c r="K2182" s="12" t="inlineStr">
        <is>
          <t>VFD|3/C+3G|350</t>
        </is>
      </c>
      <c r="L2182" s="12" t="inlineStr">
        <is>
          <t>3/C+3G</t>
        </is>
      </c>
      <c r="M2182" s="12" t="inlineStr">
        <is>
          <t>350 kcmil</t>
        </is>
      </c>
      <c r="N2182" s="12" t="n">
        <v>1</v>
      </c>
      <c r="O2182" s="12" t="n">
        <v>1</v>
      </c>
      <c r="P2182" s="12" t="n">
        <v>480</v>
      </c>
      <c r="Q2182" s="12" t="n">
        <v>150</v>
      </c>
      <c r="R2182" s="12" t="n">
        <v>212</v>
      </c>
      <c r="S2182" s="12" t="inlineStr">
        <is>
          <t>Tray</t>
        </is>
      </c>
      <c r="T2182" s="16" t="n">
        <v>261</v>
      </c>
      <c r="U2182" s="16" t="n">
        <v>44</v>
      </c>
      <c r="V2182" s="16">
        <f>ROUNDUP((T2182+U2182+2*'Read Me'!$B$13)*(1+'Read Me'!$B$12),-1)</f>
        <v/>
      </c>
      <c r="W2182" s="16">
        <f>V2182*N2182*O2182</f>
        <v/>
      </c>
      <c r="X2182" s="12">
        <f>IF(LEFT(I2182,2)="MV",2*N2182*IF(L2182="1/C",O2182,1),0)</f>
        <v/>
      </c>
      <c r="Y2182" s="12">
        <f>IF(OR(LEFT(K2182,4)="LVAX",LEFT(K2182,6)="MV15AX",LEFT(K2182,4)="CTAX",LEFT(K2182,2)="W|"),2*N2182*O2182,0)</f>
        <v/>
      </c>
      <c r="Z2182" s="12" t="inlineStr">
        <is>
          <t>VD 0.9 %</t>
        </is>
      </c>
      <c r="AA2182" s="12">
        <f>N2182*O2182</f>
        <v/>
      </c>
    </row>
    <row r="2183">
      <c r="A2183" s="12" t="inlineStr">
        <is>
          <t>B-P-0007</t>
        </is>
      </c>
      <c r="B2183" s="12" t="inlineStr">
        <is>
          <t>B</t>
        </is>
      </c>
      <c r="C2183" s="12" t="inlineStr">
        <is>
          <t>ACC</t>
        </is>
      </c>
      <c r="D2183" s="12" t="inlineStr">
        <is>
          <t>ACC fan F07 motor (VFD output)</t>
        </is>
      </c>
      <c r="E2183" s="12" t="inlineStr">
        <is>
          <t>R4</t>
        </is>
      </c>
      <c r="F2183" s="12" t="inlineStr">
        <is>
          <t>R4: ACC electrical (VFD) e-house (60 x 120 ft)</t>
        </is>
      </c>
      <c r="G2183" s="12" t="inlineStr">
        <is>
          <t>ACC-F07</t>
        </is>
      </c>
      <c r="H2183" s="12" t="inlineStr">
        <is>
          <t>ACC fan motor F07</t>
        </is>
      </c>
      <c r="I2183" s="12" t="inlineStr">
        <is>
          <t>LV 600 V</t>
        </is>
      </c>
      <c r="J2183" s="12" t="inlineStr">
        <is>
          <t>VFD cable 600 V 3/C Cu XHHW-2, 3 symmetrical grounds, overall Cu tape shield, TC-ER</t>
        </is>
      </c>
      <c r="K2183" s="12" t="inlineStr">
        <is>
          <t>VFD|3/C+3G|350</t>
        </is>
      </c>
      <c r="L2183" s="12" t="inlineStr">
        <is>
          <t>3/C+3G</t>
        </is>
      </c>
      <c r="M2183" s="12" t="inlineStr">
        <is>
          <t>350 kcmil</t>
        </is>
      </c>
      <c r="N2183" s="12" t="n">
        <v>1</v>
      </c>
      <c r="O2183" s="12" t="n">
        <v>1</v>
      </c>
      <c r="P2183" s="12" t="n">
        <v>480</v>
      </c>
      <c r="Q2183" s="12" t="n">
        <v>150</v>
      </c>
      <c r="R2183" s="12" t="n">
        <v>212</v>
      </c>
      <c r="S2183" s="12" t="inlineStr">
        <is>
          <t>Tray</t>
        </is>
      </c>
      <c r="T2183" s="16" t="n">
        <v>293</v>
      </c>
      <c r="U2183" s="16" t="n">
        <v>44</v>
      </c>
      <c r="V2183" s="16">
        <f>ROUNDUP((T2183+U2183+2*'Read Me'!$B$13)*(1+'Read Me'!$B$12),-1)</f>
        <v/>
      </c>
      <c r="W2183" s="16">
        <f>V2183*N2183*O2183</f>
        <v/>
      </c>
      <c r="X2183" s="12">
        <f>IF(LEFT(I2183,2)="MV",2*N2183*IF(L2183="1/C",O2183,1),0)</f>
        <v/>
      </c>
      <c r="Y2183" s="12">
        <f>IF(OR(LEFT(K2183,4)="LVAX",LEFT(K2183,6)="MV15AX",LEFT(K2183,4)="CTAX",LEFT(K2183,2)="W|"),2*N2183*O2183,0)</f>
        <v/>
      </c>
      <c r="Z2183" s="12" t="inlineStr">
        <is>
          <t>VD 1.0 %</t>
        </is>
      </c>
      <c r="AA2183" s="12">
        <f>N2183*O2183</f>
        <v/>
      </c>
    </row>
    <row r="2184">
      <c r="A2184" s="12" t="inlineStr">
        <is>
          <t>B-P-0008</t>
        </is>
      </c>
      <c r="B2184" s="12" t="inlineStr">
        <is>
          <t>B</t>
        </is>
      </c>
      <c r="C2184" s="12" t="inlineStr">
        <is>
          <t>ACC</t>
        </is>
      </c>
      <c r="D2184" s="12" t="inlineStr">
        <is>
          <t>ACC fan F08 motor (VFD output)</t>
        </is>
      </c>
      <c r="E2184" s="12" t="inlineStr">
        <is>
          <t>R4</t>
        </is>
      </c>
      <c r="F2184" s="12" t="inlineStr">
        <is>
          <t>R4: ACC electrical (VFD) e-house (60 x 120 ft)</t>
        </is>
      </c>
      <c r="G2184" s="12" t="inlineStr">
        <is>
          <t>ACC-F08</t>
        </is>
      </c>
      <c r="H2184" s="12" t="inlineStr">
        <is>
          <t>ACC fan motor F08</t>
        </is>
      </c>
      <c r="I2184" s="12" t="inlineStr">
        <is>
          <t>LV 600 V</t>
        </is>
      </c>
      <c r="J2184" s="12" t="inlineStr">
        <is>
          <t>VFD cable 600 V 3/C Cu XHHW-2, 3 symmetrical grounds, overall Cu tape shield, TC-ER</t>
        </is>
      </c>
      <c r="K2184" s="12" t="inlineStr">
        <is>
          <t>VFD|3/C+3G|350</t>
        </is>
      </c>
      <c r="L2184" s="12" t="inlineStr">
        <is>
          <t>3/C+3G</t>
        </is>
      </c>
      <c r="M2184" s="12" t="inlineStr">
        <is>
          <t>350 kcmil</t>
        </is>
      </c>
      <c r="N2184" s="12" t="n">
        <v>1</v>
      </c>
      <c r="O2184" s="12" t="n">
        <v>1</v>
      </c>
      <c r="P2184" s="12" t="n">
        <v>480</v>
      </c>
      <c r="Q2184" s="12" t="n">
        <v>150</v>
      </c>
      <c r="R2184" s="12" t="n">
        <v>212</v>
      </c>
      <c r="S2184" s="12" t="inlineStr">
        <is>
          <t>Tray</t>
        </is>
      </c>
      <c r="T2184" s="16" t="n">
        <v>325</v>
      </c>
      <c r="U2184" s="16" t="n">
        <v>44</v>
      </c>
      <c r="V2184" s="16">
        <f>ROUNDUP((T2184+U2184+2*'Read Me'!$B$13)*(1+'Read Me'!$B$12),-1)</f>
        <v/>
      </c>
      <c r="W2184" s="16">
        <f>V2184*N2184*O2184</f>
        <v/>
      </c>
      <c r="X2184" s="12">
        <f>IF(LEFT(I2184,2)="MV",2*N2184*IF(L2184="1/C",O2184,1),0)</f>
        <v/>
      </c>
      <c r="Y2184" s="12">
        <f>IF(OR(LEFT(K2184,4)="LVAX",LEFT(K2184,6)="MV15AX",LEFT(K2184,4)="CTAX",LEFT(K2184,2)="W|"),2*N2184*O2184,0)</f>
        <v/>
      </c>
      <c r="Z2184" s="12" t="inlineStr">
        <is>
          <t>VD 1.1 %</t>
        </is>
      </c>
      <c r="AA2184" s="12">
        <f>N2184*O2184</f>
        <v/>
      </c>
    </row>
    <row r="2185">
      <c r="A2185" s="12" t="inlineStr">
        <is>
          <t>B-P-0009</t>
        </is>
      </c>
      <c r="B2185" s="12" t="inlineStr">
        <is>
          <t>B</t>
        </is>
      </c>
      <c r="C2185" s="12" t="inlineStr">
        <is>
          <t>ACC</t>
        </is>
      </c>
      <c r="D2185" s="12" t="inlineStr">
        <is>
          <t>ACC fan F09 motor (VFD output)</t>
        </is>
      </c>
      <c r="E2185" s="12" t="inlineStr">
        <is>
          <t>R4</t>
        </is>
      </c>
      <c r="F2185" s="12" t="inlineStr">
        <is>
          <t>R4: ACC electrical (VFD) e-house (60 x 120 ft)</t>
        </is>
      </c>
      <c r="G2185" s="12" t="inlineStr">
        <is>
          <t>ACC-F09</t>
        </is>
      </c>
      <c r="H2185" s="12" t="inlineStr">
        <is>
          <t>ACC fan motor F09</t>
        </is>
      </c>
      <c r="I2185" s="12" t="inlineStr">
        <is>
          <t>LV 600 V</t>
        </is>
      </c>
      <c r="J2185" s="12" t="inlineStr">
        <is>
          <t>VFD cable 600 V 3/C Cu XHHW-2, 3 symmetrical grounds, overall Cu tape shield, TC-ER</t>
        </is>
      </c>
      <c r="K2185" s="12" t="inlineStr">
        <is>
          <t>VFD|3/C+3G|350</t>
        </is>
      </c>
      <c r="L2185" s="12" t="inlineStr">
        <is>
          <t>3/C+3G</t>
        </is>
      </c>
      <c r="M2185" s="12" t="inlineStr">
        <is>
          <t>350 kcmil</t>
        </is>
      </c>
      <c r="N2185" s="12" t="n">
        <v>1</v>
      </c>
      <c r="O2185" s="12" t="n">
        <v>1</v>
      </c>
      <c r="P2185" s="12" t="n">
        <v>480</v>
      </c>
      <c r="Q2185" s="12" t="n">
        <v>150</v>
      </c>
      <c r="R2185" s="12" t="n">
        <v>212</v>
      </c>
      <c r="S2185" s="12" t="inlineStr">
        <is>
          <t>Tray</t>
        </is>
      </c>
      <c r="T2185" s="16" t="n">
        <v>357</v>
      </c>
      <c r="U2185" s="16" t="n">
        <v>44</v>
      </c>
      <c r="V2185" s="16">
        <f>ROUNDUP((T2185+U2185+2*'Read Me'!$B$13)*(1+'Read Me'!$B$12),-1)</f>
        <v/>
      </c>
      <c r="W2185" s="16">
        <f>V2185*N2185*O2185</f>
        <v/>
      </c>
      <c r="X2185" s="12">
        <f>IF(LEFT(I2185,2)="MV",2*N2185*IF(L2185="1/C",O2185,1),0)</f>
        <v/>
      </c>
      <c r="Y2185" s="12">
        <f>IF(OR(LEFT(K2185,4)="LVAX",LEFT(K2185,6)="MV15AX",LEFT(K2185,4)="CTAX",LEFT(K2185,2)="W|"),2*N2185*O2185,0)</f>
        <v/>
      </c>
      <c r="Z2185" s="12" t="inlineStr">
        <is>
          <t>VD 1.2 %</t>
        </is>
      </c>
      <c r="AA2185" s="12">
        <f>N2185*O2185</f>
        <v/>
      </c>
    </row>
    <row r="2186">
      <c r="A2186" s="12" t="inlineStr">
        <is>
          <t>B-P-0010</t>
        </is>
      </c>
      <c r="B2186" s="12" t="inlineStr">
        <is>
          <t>B</t>
        </is>
      </c>
      <c r="C2186" s="12" t="inlineStr">
        <is>
          <t>ACC</t>
        </is>
      </c>
      <c r="D2186" s="12" t="inlineStr">
        <is>
          <t>ACC fan F10 motor (VFD output)</t>
        </is>
      </c>
      <c r="E2186" s="12" t="inlineStr">
        <is>
          <t>R4</t>
        </is>
      </c>
      <c r="F2186" s="12" t="inlineStr">
        <is>
          <t>R4: ACC electrical (VFD) e-house (60 x 120 ft)</t>
        </is>
      </c>
      <c r="G2186" s="12" t="inlineStr">
        <is>
          <t>ACC-F10</t>
        </is>
      </c>
      <c r="H2186" s="12" t="inlineStr">
        <is>
          <t>ACC fan motor F10</t>
        </is>
      </c>
      <c r="I2186" s="12" t="inlineStr">
        <is>
          <t>LV 600 V</t>
        </is>
      </c>
      <c r="J2186" s="12" t="inlineStr">
        <is>
          <t>VFD cable 600 V 3/C Cu XHHW-2, 3 symmetrical grounds, overall Cu tape shield, TC-ER</t>
        </is>
      </c>
      <c r="K2186" s="12" t="inlineStr">
        <is>
          <t>VFD|3/C+3G|350</t>
        </is>
      </c>
      <c r="L2186" s="12" t="inlineStr">
        <is>
          <t>3/C+3G</t>
        </is>
      </c>
      <c r="M2186" s="12" t="inlineStr">
        <is>
          <t>350 kcmil</t>
        </is>
      </c>
      <c r="N2186" s="12" t="n">
        <v>1</v>
      </c>
      <c r="O2186" s="12" t="n">
        <v>1</v>
      </c>
      <c r="P2186" s="12" t="n">
        <v>480</v>
      </c>
      <c r="Q2186" s="12" t="n">
        <v>150</v>
      </c>
      <c r="R2186" s="12" t="n">
        <v>212</v>
      </c>
      <c r="S2186" s="12" t="inlineStr">
        <is>
          <t>Tray</t>
        </is>
      </c>
      <c r="T2186" s="16" t="n">
        <v>389</v>
      </c>
      <c r="U2186" s="16" t="n">
        <v>44</v>
      </c>
      <c r="V2186" s="16">
        <f>ROUNDUP((T2186+U2186+2*'Read Me'!$B$13)*(1+'Read Me'!$B$12),-1)</f>
        <v/>
      </c>
      <c r="W2186" s="16">
        <f>V2186*N2186*O2186</f>
        <v/>
      </c>
      <c r="X2186" s="12">
        <f>IF(LEFT(I2186,2)="MV",2*N2186*IF(L2186="1/C",O2186,1),0)</f>
        <v/>
      </c>
      <c r="Y2186" s="12">
        <f>IF(OR(LEFT(K2186,4)="LVAX",LEFT(K2186,6)="MV15AX",LEFT(K2186,4)="CTAX",LEFT(K2186,2)="W|"),2*N2186*O2186,0)</f>
        <v/>
      </c>
      <c r="Z2186" s="12" t="inlineStr">
        <is>
          <t>VD 1.3 %</t>
        </is>
      </c>
      <c r="AA2186" s="12">
        <f>N2186*O2186</f>
        <v/>
      </c>
    </row>
    <row r="2187">
      <c r="A2187" s="12" t="inlineStr">
        <is>
          <t>B-P-0011</t>
        </is>
      </c>
      <c r="B2187" s="12" t="inlineStr">
        <is>
          <t>B</t>
        </is>
      </c>
      <c r="C2187" s="12" t="inlineStr">
        <is>
          <t>ACC</t>
        </is>
      </c>
      <c r="D2187" s="12" t="inlineStr">
        <is>
          <t>ACC fan F11 motor (VFD output)</t>
        </is>
      </c>
      <c r="E2187" s="12" t="inlineStr">
        <is>
          <t>R4</t>
        </is>
      </c>
      <c r="F2187" s="12" t="inlineStr">
        <is>
          <t>R4: ACC electrical (VFD) e-house (60 x 120 ft)</t>
        </is>
      </c>
      <c r="G2187" s="12" t="inlineStr">
        <is>
          <t>ACC-F11</t>
        </is>
      </c>
      <c r="H2187" s="12" t="inlineStr">
        <is>
          <t>ACC fan motor F11</t>
        </is>
      </c>
      <c r="I2187" s="12" t="inlineStr">
        <is>
          <t>LV 600 V</t>
        </is>
      </c>
      <c r="J2187" s="12" t="inlineStr">
        <is>
          <t>VFD cable 600 V 3/C Cu XHHW-2, 3 symmetrical grounds, overall Cu tape shield, TC-ER</t>
        </is>
      </c>
      <c r="K2187" s="12" t="inlineStr">
        <is>
          <t>VFD|3/C+3G|350</t>
        </is>
      </c>
      <c r="L2187" s="12" t="inlineStr">
        <is>
          <t>3/C+3G</t>
        </is>
      </c>
      <c r="M2187" s="12" t="inlineStr">
        <is>
          <t>350 kcmil</t>
        </is>
      </c>
      <c r="N2187" s="12" t="n">
        <v>1</v>
      </c>
      <c r="O2187" s="12" t="n">
        <v>1</v>
      </c>
      <c r="P2187" s="12" t="n">
        <v>480</v>
      </c>
      <c r="Q2187" s="12" t="n">
        <v>150</v>
      </c>
      <c r="R2187" s="12" t="n">
        <v>212</v>
      </c>
      <c r="S2187" s="12" t="inlineStr">
        <is>
          <t>Tray</t>
        </is>
      </c>
      <c r="T2187" s="16" t="n">
        <v>339</v>
      </c>
      <c r="U2187" s="16" t="n">
        <v>44</v>
      </c>
      <c r="V2187" s="16">
        <f>ROUNDUP((T2187+U2187+2*'Read Me'!$B$13)*(1+'Read Me'!$B$12),-1)</f>
        <v/>
      </c>
      <c r="W2187" s="16">
        <f>V2187*N2187*O2187</f>
        <v/>
      </c>
      <c r="X2187" s="12">
        <f>IF(LEFT(I2187,2)="MV",2*N2187*IF(L2187="1/C",O2187,1),0)</f>
        <v/>
      </c>
      <c r="Y2187" s="12">
        <f>IF(OR(LEFT(K2187,4)="LVAX",LEFT(K2187,6)="MV15AX",LEFT(K2187,4)="CTAX",LEFT(K2187,2)="W|"),2*N2187*O2187,0)</f>
        <v/>
      </c>
      <c r="Z2187" s="12" t="inlineStr">
        <is>
          <t>VD 1.2 %</t>
        </is>
      </c>
      <c r="AA2187" s="12">
        <f>N2187*O2187</f>
        <v/>
      </c>
    </row>
    <row r="2188">
      <c r="A2188" s="12" t="inlineStr">
        <is>
          <t>B-P-0012</t>
        </is>
      </c>
      <c r="B2188" s="12" t="inlineStr">
        <is>
          <t>B</t>
        </is>
      </c>
      <c r="C2188" s="12" t="inlineStr">
        <is>
          <t>ACC</t>
        </is>
      </c>
      <c r="D2188" s="12" t="inlineStr">
        <is>
          <t>ACC fan F12 motor (VFD output)</t>
        </is>
      </c>
      <c r="E2188" s="12" t="inlineStr">
        <is>
          <t>R4</t>
        </is>
      </c>
      <c r="F2188" s="12" t="inlineStr">
        <is>
          <t>R4: ACC electrical (VFD) e-house (60 x 120 ft)</t>
        </is>
      </c>
      <c r="G2188" s="12" t="inlineStr">
        <is>
          <t>ACC-F12</t>
        </is>
      </c>
      <c r="H2188" s="12" t="inlineStr">
        <is>
          <t>ACC fan motor F12</t>
        </is>
      </c>
      <c r="I2188" s="12" t="inlineStr">
        <is>
          <t>LV 600 V</t>
        </is>
      </c>
      <c r="J2188" s="12" t="inlineStr">
        <is>
          <t>VFD cable 600 V 3/C Cu XHHW-2, 3 symmetrical grounds, overall Cu tape shield, TC-ER</t>
        </is>
      </c>
      <c r="K2188" s="12" t="inlineStr">
        <is>
          <t>VFD|3/C+3G|350</t>
        </is>
      </c>
      <c r="L2188" s="12" t="inlineStr">
        <is>
          <t>3/C+3G</t>
        </is>
      </c>
      <c r="M2188" s="12" t="inlineStr">
        <is>
          <t>350 kcmil</t>
        </is>
      </c>
      <c r="N2188" s="12" t="n">
        <v>1</v>
      </c>
      <c r="O2188" s="12" t="n">
        <v>1</v>
      </c>
      <c r="P2188" s="12" t="n">
        <v>480</v>
      </c>
      <c r="Q2188" s="12" t="n">
        <v>150</v>
      </c>
      <c r="R2188" s="12" t="n">
        <v>212</v>
      </c>
      <c r="S2188" s="12" t="inlineStr">
        <is>
          <t>Tray</t>
        </is>
      </c>
      <c r="T2188" s="16" t="n">
        <v>307</v>
      </c>
      <c r="U2188" s="16" t="n">
        <v>44</v>
      </c>
      <c r="V2188" s="16">
        <f>ROUNDUP((T2188+U2188+2*'Read Me'!$B$13)*(1+'Read Me'!$B$12),-1)</f>
        <v/>
      </c>
      <c r="W2188" s="16">
        <f>V2188*N2188*O2188</f>
        <v/>
      </c>
      <c r="X2188" s="12">
        <f>IF(LEFT(I2188,2)="MV",2*N2188*IF(L2188="1/C",O2188,1),0)</f>
        <v/>
      </c>
      <c r="Y2188" s="12">
        <f>IF(OR(LEFT(K2188,4)="LVAX",LEFT(K2188,6)="MV15AX",LEFT(K2188,4)="CTAX",LEFT(K2188,2)="W|"),2*N2188*O2188,0)</f>
        <v/>
      </c>
      <c r="Z2188" s="12" t="inlineStr">
        <is>
          <t>VD 1.1 %</t>
        </is>
      </c>
      <c r="AA2188" s="12">
        <f>N2188*O2188</f>
        <v/>
      </c>
    </row>
    <row r="2189">
      <c r="A2189" s="12" t="inlineStr">
        <is>
          <t>B-P-0013</t>
        </is>
      </c>
      <c r="B2189" s="12" t="inlineStr">
        <is>
          <t>B</t>
        </is>
      </c>
      <c r="C2189" s="12" t="inlineStr">
        <is>
          <t>ACC</t>
        </is>
      </c>
      <c r="D2189" s="12" t="inlineStr">
        <is>
          <t>ACC fan F13 motor (VFD output)</t>
        </is>
      </c>
      <c r="E2189" s="12" t="inlineStr">
        <is>
          <t>R4</t>
        </is>
      </c>
      <c r="F2189" s="12" t="inlineStr">
        <is>
          <t>R4: ACC electrical (VFD) e-house (60 x 120 ft)</t>
        </is>
      </c>
      <c r="G2189" s="12" t="inlineStr">
        <is>
          <t>ACC-F13</t>
        </is>
      </c>
      <c r="H2189" s="12" t="inlineStr">
        <is>
          <t>ACC fan motor F13</t>
        </is>
      </c>
      <c r="I2189" s="12" t="inlineStr">
        <is>
          <t>LV 600 V</t>
        </is>
      </c>
      <c r="J2189" s="12" t="inlineStr">
        <is>
          <t>VFD cable 600 V 3/C Cu XHHW-2, 3 symmetrical grounds, overall Cu tape shield, TC-ER</t>
        </is>
      </c>
      <c r="K2189" s="12" t="inlineStr">
        <is>
          <t>VFD|3/C+3G|350</t>
        </is>
      </c>
      <c r="L2189" s="12" t="inlineStr">
        <is>
          <t>3/C+3G</t>
        </is>
      </c>
      <c r="M2189" s="12" t="inlineStr">
        <is>
          <t>350 kcmil</t>
        </is>
      </c>
      <c r="N2189" s="12" t="n">
        <v>1</v>
      </c>
      <c r="O2189" s="12" t="n">
        <v>1</v>
      </c>
      <c r="P2189" s="12" t="n">
        <v>480</v>
      </c>
      <c r="Q2189" s="12" t="n">
        <v>150</v>
      </c>
      <c r="R2189" s="12" t="n">
        <v>212</v>
      </c>
      <c r="S2189" s="12" t="inlineStr">
        <is>
          <t>Tray</t>
        </is>
      </c>
      <c r="T2189" s="16" t="n">
        <v>275</v>
      </c>
      <c r="U2189" s="16" t="n">
        <v>44</v>
      </c>
      <c r="V2189" s="16">
        <f>ROUNDUP((T2189+U2189+2*'Read Me'!$B$13)*(1+'Read Me'!$B$12),-1)</f>
        <v/>
      </c>
      <c r="W2189" s="16">
        <f>V2189*N2189*O2189</f>
        <v/>
      </c>
      <c r="X2189" s="12">
        <f>IF(LEFT(I2189,2)="MV",2*N2189*IF(L2189="1/C",O2189,1),0)</f>
        <v/>
      </c>
      <c r="Y2189" s="12">
        <f>IF(OR(LEFT(K2189,4)="LVAX",LEFT(K2189,6)="MV15AX",LEFT(K2189,4)="CTAX",LEFT(K2189,2)="W|"),2*N2189*O2189,0)</f>
        <v/>
      </c>
      <c r="Z2189" s="12" t="inlineStr">
        <is>
          <t>VD 1.0 %</t>
        </is>
      </c>
      <c r="AA2189" s="12">
        <f>N2189*O2189</f>
        <v/>
      </c>
    </row>
    <row r="2190">
      <c r="A2190" s="12" t="inlineStr">
        <is>
          <t>B-P-0014</t>
        </is>
      </c>
      <c r="B2190" s="12" t="inlineStr">
        <is>
          <t>B</t>
        </is>
      </c>
      <c r="C2190" s="12" t="inlineStr">
        <is>
          <t>ACC</t>
        </is>
      </c>
      <c r="D2190" s="12" t="inlineStr">
        <is>
          <t>ACC fan F14 motor (VFD output)</t>
        </is>
      </c>
      <c r="E2190" s="12" t="inlineStr">
        <is>
          <t>R4</t>
        </is>
      </c>
      <c r="F2190" s="12" t="inlineStr">
        <is>
          <t>R4: ACC electrical (VFD) e-house (60 x 120 ft)</t>
        </is>
      </c>
      <c r="G2190" s="12" t="inlineStr">
        <is>
          <t>ACC-F14</t>
        </is>
      </c>
      <c r="H2190" s="12" t="inlineStr">
        <is>
          <t>ACC fan motor F14</t>
        </is>
      </c>
      <c r="I2190" s="12" t="inlineStr">
        <is>
          <t>LV 600 V</t>
        </is>
      </c>
      <c r="J2190" s="12" t="inlineStr">
        <is>
          <t>VFD cable 600 V 3/C Cu XHHW-2, 3 symmetrical grounds, overall Cu tape shield, TC-ER</t>
        </is>
      </c>
      <c r="K2190" s="12" t="inlineStr">
        <is>
          <t>VFD|3/C+3G|350</t>
        </is>
      </c>
      <c r="L2190" s="12" t="inlineStr">
        <is>
          <t>3/C+3G</t>
        </is>
      </c>
      <c r="M2190" s="12" t="inlineStr">
        <is>
          <t>350 kcmil</t>
        </is>
      </c>
      <c r="N2190" s="12" t="n">
        <v>1</v>
      </c>
      <c r="O2190" s="12" t="n">
        <v>1</v>
      </c>
      <c r="P2190" s="12" t="n">
        <v>480</v>
      </c>
      <c r="Q2190" s="12" t="n">
        <v>150</v>
      </c>
      <c r="R2190" s="12" t="n">
        <v>212</v>
      </c>
      <c r="S2190" s="12" t="inlineStr">
        <is>
          <t>Tray</t>
        </is>
      </c>
      <c r="T2190" s="16" t="n">
        <v>243</v>
      </c>
      <c r="U2190" s="16" t="n">
        <v>44</v>
      </c>
      <c r="V2190" s="16">
        <f>ROUNDUP((T2190+U2190+2*'Read Me'!$B$13)*(1+'Read Me'!$B$12),-1)</f>
        <v/>
      </c>
      <c r="W2190" s="16">
        <f>V2190*N2190*O2190</f>
        <v/>
      </c>
      <c r="X2190" s="12">
        <f>IF(LEFT(I2190,2)="MV",2*N2190*IF(L2190="1/C",O2190,1),0)</f>
        <v/>
      </c>
      <c r="Y2190" s="12">
        <f>IF(OR(LEFT(K2190,4)="LVAX",LEFT(K2190,6)="MV15AX",LEFT(K2190,4)="CTAX",LEFT(K2190,2)="W|"),2*N2190*O2190,0)</f>
        <v/>
      </c>
      <c r="Z2190" s="12" t="inlineStr">
        <is>
          <t>VD 0.9 %</t>
        </is>
      </c>
      <c r="AA2190" s="12">
        <f>N2190*O2190</f>
        <v/>
      </c>
    </row>
    <row r="2191">
      <c r="A2191" s="12" t="inlineStr">
        <is>
          <t>B-P-0015</t>
        </is>
      </c>
      <c r="B2191" s="12" t="inlineStr">
        <is>
          <t>B</t>
        </is>
      </c>
      <c r="C2191" s="12" t="inlineStr">
        <is>
          <t>ACC</t>
        </is>
      </c>
      <c r="D2191" s="12" t="inlineStr">
        <is>
          <t>ACC fan F15 motor (VFD output)</t>
        </is>
      </c>
      <c r="E2191" s="12" t="inlineStr">
        <is>
          <t>R4</t>
        </is>
      </c>
      <c r="F2191" s="12" t="inlineStr">
        <is>
          <t>R4: ACC electrical (VFD) e-house (60 x 120 ft)</t>
        </is>
      </c>
      <c r="G2191" s="12" t="inlineStr">
        <is>
          <t>ACC-F15</t>
        </is>
      </c>
      <c r="H2191" s="12" t="inlineStr">
        <is>
          <t>ACC fan motor F15</t>
        </is>
      </c>
      <c r="I2191" s="12" t="inlineStr">
        <is>
          <t>LV 600 V</t>
        </is>
      </c>
      <c r="J2191" s="12" t="inlineStr">
        <is>
          <t>VFD cable 600 V 3/C Cu XHHW-2, 3 symmetrical grounds, overall Cu tape shield, TC-ER</t>
        </is>
      </c>
      <c r="K2191" s="12" t="inlineStr">
        <is>
          <t>VFD|3/C+3G|350</t>
        </is>
      </c>
      <c r="L2191" s="12" t="inlineStr">
        <is>
          <t>3/C+3G</t>
        </is>
      </c>
      <c r="M2191" s="12" t="inlineStr">
        <is>
          <t>350 kcmil</t>
        </is>
      </c>
      <c r="N2191" s="12" t="n">
        <v>1</v>
      </c>
      <c r="O2191" s="12" t="n">
        <v>1</v>
      </c>
      <c r="P2191" s="12" t="n">
        <v>480</v>
      </c>
      <c r="Q2191" s="12" t="n">
        <v>150</v>
      </c>
      <c r="R2191" s="12" t="n">
        <v>212</v>
      </c>
      <c r="S2191" s="12" t="inlineStr">
        <is>
          <t>Tray</t>
        </is>
      </c>
      <c r="T2191" s="16" t="n">
        <v>211</v>
      </c>
      <c r="U2191" s="16" t="n">
        <v>44</v>
      </c>
      <c r="V2191" s="16">
        <f>ROUNDUP((T2191+U2191+2*'Read Me'!$B$13)*(1+'Read Me'!$B$12),-1)</f>
        <v/>
      </c>
      <c r="W2191" s="16">
        <f>V2191*N2191*O2191</f>
        <v/>
      </c>
      <c r="X2191" s="12">
        <f>IF(LEFT(I2191,2)="MV",2*N2191*IF(L2191="1/C",O2191,1),0)</f>
        <v/>
      </c>
      <c r="Y2191" s="12">
        <f>IF(OR(LEFT(K2191,4)="LVAX",LEFT(K2191,6)="MV15AX",LEFT(K2191,4)="CTAX",LEFT(K2191,2)="W|"),2*N2191*O2191,0)</f>
        <v/>
      </c>
      <c r="Z2191" s="12" t="inlineStr">
        <is>
          <t>VD 0.8 %</t>
        </is>
      </c>
      <c r="AA2191" s="12">
        <f>N2191*O2191</f>
        <v/>
      </c>
    </row>
    <row r="2192">
      <c r="A2192" s="12" t="inlineStr">
        <is>
          <t>B-P-0016</t>
        </is>
      </c>
      <c r="B2192" s="12" t="inlineStr">
        <is>
          <t>B</t>
        </is>
      </c>
      <c r="C2192" s="12" t="inlineStr">
        <is>
          <t>ACC</t>
        </is>
      </c>
      <c r="D2192" s="12" t="inlineStr">
        <is>
          <t>ACC fan F16 motor (VFD output)</t>
        </is>
      </c>
      <c r="E2192" s="12" t="inlineStr">
        <is>
          <t>R4</t>
        </is>
      </c>
      <c r="F2192" s="12" t="inlineStr">
        <is>
          <t>R4: ACC electrical (VFD) e-house (60 x 120 ft)</t>
        </is>
      </c>
      <c r="G2192" s="12" t="inlineStr">
        <is>
          <t>ACC-F16</t>
        </is>
      </c>
      <c r="H2192" s="12" t="inlineStr">
        <is>
          <t>ACC fan motor F16</t>
        </is>
      </c>
      <c r="I2192" s="12" t="inlineStr">
        <is>
          <t>LV 600 V</t>
        </is>
      </c>
      <c r="J2192" s="12" t="inlineStr">
        <is>
          <t>VFD cable 600 V 3/C Cu XHHW-2, 3 symmetrical grounds, overall Cu tape shield, TC-ER</t>
        </is>
      </c>
      <c r="K2192" s="12" t="inlineStr">
        <is>
          <t>VFD|3/C+3G|350</t>
        </is>
      </c>
      <c r="L2192" s="12" t="inlineStr">
        <is>
          <t>3/C+3G</t>
        </is>
      </c>
      <c r="M2192" s="12" t="inlineStr">
        <is>
          <t>350 kcmil</t>
        </is>
      </c>
      <c r="N2192" s="12" t="n">
        <v>1</v>
      </c>
      <c r="O2192" s="12" t="n">
        <v>1</v>
      </c>
      <c r="P2192" s="12" t="n">
        <v>480</v>
      </c>
      <c r="Q2192" s="12" t="n">
        <v>150</v>
      </c>
      <c r="R2192" s="12" t="n">
        <v>212</v>
      </c>
      <c r="S2192" s="12" t="inlineStr">
        <is>
          <t>Tray</t>
        </is>
      </c>
      <c r="T2192" s="16" t="n">
        <v>211</v>
      </c>
      <c r="U2192" s="16" t="n">
        <v>44</v>
      </c>
      <c r="V2192" s="16">
        <f>ROUNDUP((T2192+U2192+2*'Read Me'!$B$13)*(1+'Read Me'!$B$12),-1)</f>
        <v/>
      </c>
      <c r="W2192" s="16">
        <f>V2192*N2192*O2192</f>
        <v/>
      </c>
      <c r="X2192" s="12">
        <f>IF(LEFT(I2192,2)="MV",2*N2192*IF(L2192="1/C",O2192,1),0)</f>
        <v/>
      </c>
      <c r="Y2192" s="12">
        <f>IF(OR(LEFT(K2192,4)="LVAX",LEFT(K2192,6)="MV15AX",LEFT(K2192,4)="CTAX",LEFT(K2192,2)="W|"),2*N2192*O2192,0)</f>
        <v/>
      </c>
      <c r="Z2192" s="12" t="inlineStr">
        <is>
          <t>VD 0.8 %</t>
        </is>
      </c>
      <c r="AA2192" s="12">
        <f>N2192*O2192</f>
        <v/>
      </c>
    </row>
    <row r="2193">
      <c r="A2193" s="12" t="inlineStr">
        <is>
          <t>B-P-0017</t>
        </is>
      </c>
      <c r="B2193" s="12" t="inlineStr">
        <is>
          <t>B</t>
        </is>
      </c>
      <c r="C2193" s="12" t="inlineStr">
        <is>
          <t>ACC</t>
        </is>
      </c>
      <c r="D2193" s="12" t="inlineStr">
        <is>
          <t>ACC fan F17 motor (VFD output)</t>
        </is>
      </c>
      <c r="E2193" s="12" t="inlineStr">
        <is>
          <t>R4</t>
        </is>
      </c>
      <c r="F2193" s="12" t="inlineStr">
        <is>
          <t>R4: ACC electrical (VFD) e-house (60 x 120 ft)</t>
        </is>
      </c>
      <c r="G2193" s="12" t="inlineStr">
        <is>
          <t>ACC-F17</t>
        </is>
      </c>
      <c r="H2193" s="12" t="inlineStr">
        <is>
          <t>ACC fan motor F17</t>
        </is>
      </c>
      <c r="I2193" s="12" t="inlineStr">
        <is>
          <t>LV 600 V</t>
        </is>
      </c>
      <c r="J2193" s="12" t="inlineStr">
        <is>
          <t>VFD cable 600 V 3/C Cu XHHW-2, 3 symmetrical grounds, overall Cu tape shield, TC-ER</t>
        </is>
      </c>
      <c r="K2193" s="12" t="inlineStr">
        <is>
          <t>VFD|3/C+3G|350</t>
        </is>
      </c>
      <c r="L2193" s="12" t="inlineStr">
        <is>
          <t>3/C+3G</t>
        </is>
      </c>
      <c r="M2193" s="12" t="inlineStr">
        <is>
          <t>350 kcmil</t>
        </is>
      </c>
      <c r="N2193" s="12" t="n">
        <v>1</v>
      </c>
      <c r="O2193" s="12" t="n">
        <v>1</v>
      </c>
      <c r="P2193" s="12" t="n">
        <v>480</v>
      </c>
      <c r="Q2193" s="12" t="n">
        <v>150</v>
      </c>
      <c r="R2193" s="12" t="n">
        <v>212</v>
      </c>
      <c r="S2193" s="12" t="inlineStr">
        <is>
          <t>Tray</t>
        </is>
      </c>
      <c r="T2193" s="16" t="n">
        <v>243</v>
      </c>
      <c r="U2193" s="16" t="n">
        <v>44</v>
      </c>
      <c r="V2193" s="16">
        <f>ROUNDUP((T2193+U2193+2*'Read Me'!$B$13)*(1+'Read Me'!$B$12),-1)</f>
        <v/>
      </c>
      <c r="W2193" s="16">
        <f>V2193*N2193*O2193</f>
        <v/>
      </c>
      <c r="X2193" s="12">
        <f>IF(LEFT(I2193,2)="MV",2*N2193*IF(L2193="1/C",O2193,1),0)</f>
        <v/>
      </c>
      <c r="Y2193" s="12">
        <f>IF(OR(LEFT(K2193,4)="LVAX",LEFT(K2193,6)="MV15AX",LEFT(K2193,4)="CTAX",LEFT(K2193,2)="W|"),2*N2193*O2193,0)</f>
        <v/>
      </c>
      <c r="Z2193" s="12" t="inlineStr">
        <is>
          <t>VD 0.9 %</t>
        </is>
      </c>
      <c r="AA2193" s="12">
        <f>N2193*O2193</f>
        <v/>
      </c>
    </row>
    <row r="2194">
      <c r="A2194" s="12" t="inlineStr">
        <is>
          <t>B-P-0018</t>
        </is>
      </c>
      <c r="B2194" s="12" t="inlineStr">
        <is>
          <t>B</t>
        </is>
      </c>
      <c r="C2194" s="12" t="inlineStr">
        <is>
          <t>ACC</t>
        </is>
      </c>
      <c r="D2194" s="12" t="inlineStr">
        <is>
          <t>ACC fan F18 motor (VFD output)</t>
        </is>
      </c>
      <c r="E2194" s="12" t="inlineStr">
        <is>
          <t>R4</t>
        </is>
      </c>
      <c r="F2194" s="12" t="inlineStr">
        <is>
          <t>R4: ACC electrical (VFD) e-house (60 x 120 ft)</t>
        </is>
      </c>
      <c r="G2194" s="12" t="inlineStr">
        <is>
          <t>ACC-F18</t>
        </is>
      </c>
      <c r="H2194" s="12" t="inlineStr">
        <is>
          <t>ACC fan motor F18</t>
        </is>
      </c>
      <c r="I2194" s="12" t="inlineStr">
        <is>
          <t>LV 600 V</t>
        </is>
      </c>
      <c r="J2194" s="12" t="inlineStr">
        <is>
          <t>VFD cable 600 V 3/C Cu XHHW-2, 3 symmetrical grounds, overall Cu tape shield, TC-ER</t>
        </is>
      </c>
      <c r="K2194" s="12" t="inlineStr">
        <is>
          <t>VFD|3/C+3G|350</t>
        </is>
      </c>
      <c r="L2194" s="12" t="inlineStr">
        <is>
          <t>3/C+3G</t>
        </is>
      </c>
      <c r="M2194" s="12" t="inlineStr">
        <is>
          <t>350 kcmil</t>
        </is>
      </c>
      <c r="N2194" s="12" t="n">
        <v>1</v>
      </c>
      <c r="O2194" s="12" t="n">
        <v>1</v>
      </c>
      <c r="P2194" s="12" t="n">
        <v>480</v>
      </c>
      <c r="Q2194" s="12" t="n">
        <v>150</v>
      </c>
      <c r="R2194" s="12" t="n">
        <v>212</v>
      </c>
      <c r="S2194" s="12" t="inlineStr">
        <is>
          <t>Tray</t>
        </is>
      </c>
      <c r="T2194" s="16" t="n">
        <v>275</v>
      </c>
      <c r="U2194" s="16" t="n">
        <v>44</v>
      </c>
      <c r="V2194" s="16">
        <f>ROUNDUP((T2194+U2194+2*'Read Me'!$B$13)*(1+'Read Me'!$B$12),-1)</f>
        <v/>
      </c>
      <c r="W2194" s="16">
        <f>V2194*N2194*O2194</f>
        <v/>
      </c>
      <c r="X2194" s="12">
        <f>IF(LEFT(I2194,2)="MV",2*N2194*IF(L2194="1/C",O2194,1),0)</f>
        <v/>
      </c>
      <c r="Y2194" s="12">
        <f>IF(OR(LEFT(K2194,4)="LVAX",LEFT(K2194,6)="MV15AX",LEFT(K2194,4)="CTAX",LEFT(K2194,2)="W|"),2*N2194*O2194,0)</f>
        <v/>
      </c>
      <c r="Z2194" s="12" t="inlineStr">
        <is>
          <t>VD 1.0 %</t>
        </is>
      </c>
      <c r="AA2194" s="12">
        <f>N2194*O2194</f>
        <v/>
      </c>
    </row>
    <row r="2195">
      <c r="A2195" s="12" t="inlineStr">
        <is>
          <t>B-P-0019</t>
        </is>
      </c>
      <c r="B2195" s="12" t="inlineStr">
        <is>
          <t>B</t>
        </is>
      </c>
      <c r="C2195" s="12" t="inlineStr">
        <is>
          <t>ACC</t>
        </is>
      </c>
      <c r="D2195" s="12" t="inlineStr">
        <is>
          <t>ACC fan F19 motor (VFD output)</t>
        </is>
      </c>
      <c r="E2195" s="12" t="inlineStr">
        <is>
          <t>R4</t>
        </is>
      </c>
      <c r="F2195" s="12" t="inlineStr">
        <is>
          <t>R4: ACC electrical (VFD) e-house (60 x 120 ft)</t>
        </is>
      </c>
      <c r="G2195" s="12" t="inlineStr">
        <is>
          <t>ACC-F19</t>
        </is>
      </c>
      <c r="H2195" s="12" t="inlineStr">
        <is>
          <t>ACC fan motor F19</t>
        </is>
      </c>
      <c r="I2195" s="12" t="inlineStr">
        <is>
          <t>LV 600 V</t>
        </is>
      </c>
      <c r="J2195" s="12" t="inlineStr">
        <is>
          <t>VFD cable 600 V 3/C Cu XHHW-2, 3 symmetrical grounds, overall Cu tape shield, TC-ER</t>
        </is>
      </c>
      <c r="K2195" s="12" t="inlineStr">
        <is>
          <t>VFD|3/C+3G|350</t>
        </is>
      </c>
      <c r="L2195" s="12" t="inlineStr">
        <is>
          <t>3/C+3G</t>
        </is>
      </c>
      <c r="M2195" s="12" t="inlineStr">
        <is>
          <t>350 kcmil</t>
        </is>
      </c>
      <c r="N2195" s="12" t="n">
        <v>1</v>
      </c>
      <c r="O2195" s="12" t="n">
        <v>1</v>
      </c>
      <c r="P2195" s="12" t="n">
        <v>480</v>
      </c>
      <c r="Q2195" s="12" t="n">
        <v>150</v>
      </c>
      <c r="R2195" s="12" t="n">
        <v>212</v>
      </c>
      <c r="S2195" s="12" t="inlineStr">
        <is>
          <t>Tray</t>
        </is>
      </c>
      <c r="T2195" s="16" t="n">
        <v>307</v>
      </c>
      <c r="U2195" s="16" t="n">
        <v>44</v>
      </c>
      <c r="V2195" s="16">
        <f>ROUNDUP((T2195+U2195+2*'Read Me'!$B$13)*(1+'Read Me'!$B$12),-1)</f>
        <v/>
      </c>
      <c r="W2195" s="16">
        <f>V2195*N2195*O2195</f>
        <v/>
      </c>
      <c r="X2195" s="12">
        <f>IF(LEFT(I2195,2)="MV",2*N2195*IF(L2195="1/C",O2195,1),0)</f>
        <v/>
      </c>
      <c r="Y2195" s="12">
        <f>IF(OR(LEFT(K2195,4)="LVAX",LEFT(K2195,6)="MV15AX",LEFT(K2195,4)="CTAX",LEFT(K2195,2)="W|"),2*N2195*O2195,0)</f>
        <v/>
      </c>
      <c r="Z2195" s="12" t="inlineStr">
        <is>
          <t>VD 1.1 %</t>
        </is>
      </c>
      <c r="AA2195" s="12">
        <f>N2195*O2195</f>
        <v/>
      </c>
    </row>
    <row r="2196">
      <c r="A2196" s="12" t="inlineStr">
        <is>
          <t>B-P-0020</t>
        </is>
      </c>
      <c r="B2196" s="12" t="inlineStr">
        <is>
          <t>B</t>
        </is>
      </c>
      <c r="C2196" s="12" t="inlineStr">
        <is>
          <t>ACC</t>
        </is>
      </c>
      <c r="D2196" s="12" t="inlineStr">
        <is>
          <t>ACC fan F20 motor (VFD output)</t>
        </is>
      </c>
      <c r="E2196" s="12" t="inlineStr">
        <is>
          <t>R4</t>
        </is>
      </c>
      <c r="F2196" s="12" t="inlineStr">
        <is>
          <t>R4: ACC electrical (VFD) e-house (60 x 120 ft)</t>
        </is>
      </c>
      <c r="G2196" s="12" t="inlineStr">
        <is>
          <t>ACC-F20</t>
        </is>
      </c>
      <c r="H2196" s="12" t="inlineStr">
        <is>
          <t>ACC fan motor F20</t>
        </is>
      </c>
      <c r="I2196" s="12" t="inlineStr">
        <is>
          <t>LV 600 V</t>
        </is>
      </c>
      <c r="J2196" s="12" t="inlineStr">
        <is>
          <t>VFD cable 600 V 3/C Cu XHHW-2, 3 symmetrical grounds, overall Cu tape shield, TC-ER</t>
        </is>
      </c>
      <c r="K2196" s="12" t="inlineStr">
        <is>
          <t>VFD|3/C+3G|350</t>
        </is>
      </c>
      <c r="L2196" s="12" t="inlineStr">
        <is>
          <t>3/C+3G</t>
        </is>
      </c>
      <c r="M2196" s="12" t="inlineStr">
        <is>
          <t>350 kcmil</t>
        </is>
      </c>
      <c r="N2196" s="12" t="n">
        <v>1</v>
      </c>
      <c r="O2196" s="12" t="n">
        <v>1</v>
      </c>
      <c r="P2196" s="12" t="n">
        <v>480</v>
      </c>
      <c r="Q2196" s="12" t="n">
        <v>150</v>
      </c>
      <c r="R2196" s="12" t="n">
        <v>212</v>
      </c>
      <c r="S2196" s="12" t="inlineStr">
        <is>
          <t>Tray</t>
        </is>
      </c>
      <c r="T2196" s="16" t="n">
        <v>339</v>
      </c>
      <c r="U2196" s="16" t="n">
        <v>44</v>
      </c>
      <c r="V2196" s="16">
        <f>ROUNDUP((T2196+U2196+2*'Read Me'!$B$13)*(1+'Read Me'!$B$12),-1)</f>
        <v/>
      </c>
      <c r="W2196" s="16">
        <f>V2196*N2196*O2196</f>
        <v/>
      </c>
      <c r="X2196" s="12">
        <f>IF(LEFT(I2196,2)="MV",2*N2196*IF(L2196="1/C",O2196,1),0)</f>
        <v/>
      </c>
      <c r="Y2196" s="12">
        <f>IF(OR(LEFT(K2196,4)="LVAX",LEFT(K2196,6)="MV15AX",LEFT(K2196,4)="CTAX",LEFT(K2196,2)="W|"),2*N2196*O2196,0)</f>
        <v/>
      </c>
      <c r="Z2196" s="12" t="inlineStr">
        <is>
          <t>VD 1.2 %</t>
        </is>
      </c>
      <c r="AA2196" s="12">
        <f>N2196*O2196</f>
        <v/>
      </c>
    </row>
    <row r="2197">
      <c r="A2197" s="12" t="inlineStr">
        <is>
          <t>B-P-0021</t>
        </is>
      </c>
      <c r="B2197" s="12" t="inlineStr">
        <is>
          <t>B</t>
        </is>
      </c>
      <c r="C2197" s="12" t="inlineStr">
        <is>
          <t>ACC</t>
        </is>
      </c>
      <c r="D2197" s="12" t="inlineStr">
        <is>
          <t>ACC fan F21 motor (VFD output)</t>
        </is>
      </c>
      <c r="E2197" s="12" t="inlineStr">
        <is>
          <t>R4</t>
        </is>
      </c>
      <c r="F2197" s="12" t="inlineStr">
        <is>
          <t>R4: ACC electrical (VFD) e-house (60 x 120 ft)</t>
        </is>
      </c>
      <c r="G2197" s="12" t="inlineStr">
        <is>
          <t>ACC-F21</t>
        </is>
      </c>
      <c r="H2197" s="12" t="inlineStr">
        <is>
          <t>ACC fan motor F21</t>
        </is>
      </c>
      <c r="I2197" s="12" t="inlineStr">
        <is>
          <t>LV 600 V</t>
        </is>
      </c>
      <c r="J2197" s="12" t="inlineStr">
        <is>
          <t>VFD cable 600 V 3/C Cu XHHW-2, 3 symmetrical grounds, overall Cu tape shield, TC-ER</t>
        </is>
      </c>
      <c r="K2197" s="12" t="inlineStr">
        <is>
          <t>VFD|3/C+3G|350</t>
        </is>
      </c>
      <c r="L2197" s="12" t="inlineStr">
        <is>
          <t>3/C+3G</t>
        </is>
      </c>
      <c r="M2197" s="12" t="inlineStr">
        <is>
          <t>350 kcmil</t>
        </is>
      </c>
      <c r="N2197" s="12" t="n">
        <v>1</v>
      </c>
      <c r="O2197" s="12" t="n">
        <v>1</v>
      </c>
      <c r="P2197" s="12" t="n">
        <v>480</v>
      </c>
      <c r="Q2197" s="12" t="n">
        <v>150</v>
      </c>
      <c r="R2197" s="12" t="n">
        <v>212</v>
      </c>
      <c r="S2197" s="12" t="inlineStr">
        <is>
          <t>Tray</t>
        </is>
      </c>
      <c r="T2197" s="16" t="n">
        <v>289</v>
      </c>
      <c r="U2197" s="16" t="n">
        <v>44</v>
      </c>
      <c r="V2197" s="16">
        <f>ROUNDUP((T2197+U2197+2*'Read Me'!$B$13)*(1+'Read Me'!$B$12),-1)</f>
        <v/>
      </c>
      <c r="W2197" s="16">
        <f>V2197*N2197*O2197</f>
        <v/>
      </c>
      <c r="X2197" s="12">
        <f>IF(LEFT(I2197,2)="MV",2*N2197*IF(L2197="1/C",O2197,1),0)</f>
        <v/>
      </c>
      <c r="Y2197" s="12">
        <f>IF(OR(LEFT(K2197,4)="LVAX",LEFT(K2197,6)="MV15AX",LEFT(K2197,4)="CTAX",LEFT(K2197,2)="W|"),2*N2197*O2197,0)</f>
        <v/>
      </c>
      <c r="Z2197" s="12" t="inlineStr">
        <is>
          <t>VD 1.0 %</t>
        </is>
      </c>
      <c r="AA2197" s="12">
        <f>N2197*O2197</f>
        <v/>
      </c>
    </row>
    <row r="2198">
      <c r="A2198" s="12" t="inlineStr">
        <is>
          <t>B-P-0022</t>
        </is>
      </c>
      <c r="B2198" s="12" t="inlineStr">
        <is>
          <t>B</t>
        </is>
      </c>
      <c r="C2198" s="12" t="inlineStr">
        <is>
          <t>ACC</t>
        </is>
      </c>
      <c r="D2198" s="12" t="inlineStr">
        <is>
          <t>ACC fan F22 motor (VFD output)</t>
        </is>
      </c>
      <c r="E2198" s="12" t="inlineStr">
        <is>
          <t>R4</t>
        </is>
      </c>
      <c r="F2198" s="12" t="inlineStr">
        <is>
          <t>R4: ACC electrical (VFD) e-house (60 x 120 ft)</t>
        </is>
      </c>
      <c r="G2198" s="12" t="inlineStr">
        <is>
          <t>ACC-F22</t>
        </is>
      </c>
      <c r="H2198" s="12" t="inlineStr">
        <is>
          <t>ACC fan motor F22</t>
        </is>
      </c>
      <c r="I2198" s="12" t="inlineStr">
        <is>
          <t>LV 600 V</t>
        </is>
      </c>
      <c r="J2198" s="12" t="inlineStr">
        <is>
          <t>VFD cable 600 V 3/C Cu XHHW-2, 3 symmetrical grounds, overall Cu tape shield, TC-ER</t>
        </is>
      </c>
      <c r="K2198" s="12" t="inlineStr">
        <is>
          <t>VFD|3/C+3G|350</t>
        </is>
      </c>
      <c r="L2198" s="12" t="inlineStr">
        <is>
          <t>3/C+3G</t>
        </is>
      </c>
      <c r="M2198" s="12" t="inlineStr">
        <is>
          <t>350 kcmil</t>
        </is>
      </c>
      <c r="N2198" s="12" t="n">
        <v>1</v>
      </c>
      <c r="O2198" s="12" t="n">
        <v>1</v>
      </c>
      <c r="P2198" s="12" t="n">
        <v>480</v>
      </c>
      <c r="Q2198" s="12" t="n">
        <v>150</v>
      </c>
      <c r="R2198" s="12" t="n">
        <v>212</v>
      </c>
      <c r="S2198" s="12" t="inlineStr">
        <is>
          <t>Tray</t>
        </is>
      </c>
      <c r="T2198" s="16" t="n">
        <v>257</v>
      </c>
      <c r="U2198" s="16" t="n">
        <v>44</v>
      </c>
      <c r="V2198" s="16">
        <f>ROUNDUP((T2198+U2198+2*'Read Me'!$B$13)*(1+'Read Me'!$B$12),-1)</f>
        <v/>
      </c>
      <c r="W2198" s="16">
        <f>V2198*N2198*O2198</f>
        <v/>
      </c>
      <c r="X2198" s="12">
        <f>IF(LEFT(I2198,2)="MV",2*N2198*IF(L2198="1/C",O2198,1),0)</f>
        <v/>
      </c>
      <c r="Y2198" s="12">
        <f>IF(OR(LEFT(K2198,4)="LVAX",LEFT(K2198,6)="MV15AX",LEFT(K2198,4)="CTAX",LEFT(K2198,2)="W|"),2*N2198*O2198,0)</f>
        <v/>
      </c>
      <c r="Z2198" s="12" t="inlineStr">
        <is>
          <t>VD 0.9 %</t>
        </is>
      </c>
      <c r="AA2198" s="12">
        <f>N2198*O2198</f>
        <v/>
      </c>
    </row>
    <row r="2199">
      <c r="A2199" s="12" t="inlineStr">
        <is>
          <t>B-P-0023</t>
        </is>
      </c>
      <c r="B2199" s="12" t="inlineStr">
        <is>
          <t>B</t>
        </is>
      </c>
      <c r="C2199" s="12" t="inlineStr">
        <is>
          <t>ACC</t>
        </is>
      </c>
      <c r="D2199" s="12" t="inlineStr">
        <is>
          <t>ACC fan F23 motor (VFD output)</t>
        </is>
      </c>
      <c r="E2199" s="12" t="inlineStr">
        <is>
          <t>R4</t>
        </is>
      </c>
      <c r="F2199" s="12" t="inlineStr">
        <is>
          <t>R4: ACC electrical (VFD) e-house (60 x 120 ft)</t>
        </is>
      </c>
      <c r="G2199" s="12" t="inlineStr">
        <is>
          <t>ACC-F23</t>
        </is>
      </c>
      <c r="H2199" s="12" t="inlineStr">
        <is>
          <t>ACC fan motor F23</t>
        </is>
      </c>
      <c r="I2199" s="12" t="inlineStr">
        <is>
          <t>LV 600 V</t>
        </is>
      </c>
      <c r="J2199" s="12" t="inlineStr">
        <is>
          <t>VFD cable 600 V 3/C Cu XHHW-2, 3 symmetrical grounds, overall Cu tape shield, TC-ER</t>
        </is>
      </c>
      <c r="K2199" s="12" t="inlineStr">
        <is>
          <t>VFD|3/C+3G|350</t>
        </is>
      </c>
      <c r="L2199" s="12" t="inlineStr">
        <is>
          <t>3/C+3G</t>
        </is>
      </c>
      <c r="M2199" s="12" t="inlineStr">
        <is>
          <t>350 kcmil</t>
        </is>
      </c>
      <c r="N2199" s="12" t="n">
        <v>1</v>
      </c>
      <c r="O2199" s="12" t="n">
        <v>1</v>
      </c>
      <c r="P2199" s="12" t="n">
        <v>480</v>
      </c>
      <c r="Q2199" s="12" t="n">
        <v>150</v>
      </c>
      <c r="R2199" s="12" t="n">
        <v>212</v>
      </c>
      <c r="S2199" s="12" t="inlineStr">
        <is>
          <t>Tray</t>
        </is>
      </c>
      <c r="T2199" s="16" t="n">
        <v>225</v>
      </c>
      <c r="U2199" s="16" t="n">
        <v>44</v>
      </c>
      <c r="V2199" s="16">
        <f>ROUNDUP((T2199+U2199+2*'Read Me'!$B$13)*(1+'Read Me'!$B$12),-1)</f>
        <v/>
      </c>
      <c r="W2199" s="16">
        <f>V2199*N2199*O2199</f>
        <v/>
      </c>
      <c r="X2199" s="12">
        <f>IF(LEFT(I2199,2)="MV",2*N2199*IF(L2199="1/C",O2199,1),0)</f>
        <v/>
      </c>
      <c r="Y2199" s="12">
        <f>IF(OR(LEFT(K2199,4)="LVAX",LEFT(K2199,6)="MV15AX",LEFT(K2199,4)="CTAX",LEFT(K2199,2)="W|"),2*N2199*O2199,0)</f>
        <v/>
      </c>
      <c r="Z2199" s="12" t="inlineStr">
        <is>
          <t>VD 0.8 %</t>
        </is>
      </c>
      <c r="AA2199" s="12">
        <f>N2199*O2199</f>
        <v/>
      </c>
    </row>
    <row r="2200">
      <c r="A2200" s="12" t="inlineStr">
        <is>
          <t>B-P-0024</t>
        </is>
      </c>
      <c r="B2200" s="12" t="inlineStr">
        <is>
          <t>B</t>
        </is>
      </c>
      <c r="C2200" s="12" t="inlineStr">
        <is>
          <t>ACC</t>
        </is>
      </c>
      <c r="D2200" s="12" t="inlineStr">
        <is>
          <t>ACC fan F24 motor (VFD output)</t>
        </is>
      </c>
      <c r="E2200" s="12" t="inlineStr">
        <is>
          <t>R4</t>
        </is>
      </c>
      <c r="F2200" s="12" t="inlineStr">
        <is>
          <t>R4: ACC electrical (VFD) e-house (60 x 120 ft)</t>
        </is>
      </c>
      <c r="G2200" s="12" t="inlineStr">
        <is>
          <t>ACC-F24</t>
        </is>
      </c>
      <c r="H2200" s="12" t="inlineStr">
        <is>
          <t>ACC fan motor F24</t>
        </is>
      </c>
      <c r="I2200" s="12" t="inlineStr">
        <is>
          <t>LV 600 V</t>
        </is>
      </c>
      <c r="J2200" s="12" t="inlineStr">
        <is>
          <t>VFD cable 600 V 3/C Cu XHHW-2, 3 symmetrical grounds, overall Cu tape shield, TC-ER</t>
        </is>
      </c>
      <c r="K2200" s="12" t="inlineStr">
        <is>
          <t>VFD|3/C+3G|350</t>
        </is>
      </c>
      <c r="L2200" s="12" t="inlineStr">
        <is>
          <t>3/C+3G</t>
        </is>
      </c>
      <c r="M2200" s="12" t="inlineStr">
        <is>
          <t>350 kcmil</t>
        </is>
      </c>
      <c r="N2200" s="12" t="n">
        <v>1</v>
      </c>
      <c r="O2200" s="12" t="n">
        <v>1</v>
      </c>
      <c r="P2200" s="12" t="n">
        <v>480</v>
      </c>
      <c r="Q2200" s="12" t="n">
        <v>150</v>
      </c>
      <c r="R2200" s="12" t="n">
        <v>212</v>
      </c>
      <c r="S2200" s="12" t="inlineStr">
        <is>
          <t>Tray</t>
        </is>
      </c>
      <c r="T2200" s="16" t="n">
        <v>193</v>
      </c>
      <c r="U2200" s="16" t="n">
        <v>44</v>
      </c>
      <c r="V2200" s="16">
        <f>ROUNDUP((T2200+U2200+2*'Read Me'!$B$13)*(1+'Read Me'!$B$12),-1)</f>
        <v/>
      </c>
      <c r="W2200" s="16">
        <f>V2200*N2200*O2200</f>
        <v/>
      </c>
      <c r="X2200" s="12">
        <f>IF(LEFT(I2200,2)="MV",2*N2200*IF(L2200="1/C",O2200,1),0)</f>
        <v/>
      </c>
      <c r="Y2200" s="12">
        <f>IF(OR(LEFT(K2200,4)="LVAX",LEFT(K2200,6)="MV15AX",LEFT(K2200,4)="CTAX",LEFT(K2200,2)="W|"),2*N2200*O2200,0)</f>
        <v/>
      </c>
      <c r="Z2200" s="12" t="inlineStr">
        <is>
          <t>VD 0.7 %</t>
        </is>
      </c>
      <c r="AA2200" s="12">
        <f>N2200*O2200</f>
        <v/>
      </c>
    </row>
    <row r="2201">
      <c r="A2201" s="12" t="inlineStr">
        <is>
          <t>B-P-0025</t>
        </is>
      </c>
      <c r="B2201" s="12" t="inlineStr">
        <is>
          <t>B</t>
        </is>
      </c>
      <c r="C2201" s="12" t="inlineStr">
        <is>
          <t>ACC</t>
        </is>
      </c>
      <c r="D2201" s="12" t="inlineStr">
        <is>
          <t>ACC fan F25 motor (VFD output)</t>
        </is>
      </c>
      <c r="E2201" s="12" t="inlineStr">
        <is>
          <t>R4</t>
        </is>
      </c>
      <c r="F2201" s="12" t="inlineStr">
        <is>
          <t>R4: ACC electrical (VFD) e-house (60 x 120 ft)</t>
        </is>
      </c>
      <c r="G2201" s="12" t="inlineStr">
        <is>
          <t>ACC-F25</t>
        </is>
      </c>
      <c r="H2201" s="12" t="inlineStr">
        <is>
          <t>ACC fan motor F25</t>
        </is>
      </c>
      <c r="I2201" s="12" t="inlineStr">
        <is>
          <t>LV 600 V</t>
        </is>
      </c>
      <c r="J2201" s="12" t="inlineStr">
        <is>
          <t>VFD cable 600 V 3/C Cu XHHW-2, 3 symmetrical grounds, overall Cu tape shield, TC-ER</t>
        </is>
      </c>
      <c r="K2201" s="12" t="inlineStr">
        <is>
          <t>VFD|3/C+3G|350</t>
        </is>
      </c>
      <c r="L2201" s="12" t="inlineStr">
        <is>
          <t>3/C+3G</t>
        </is>
      </c>
      <c r="M2201" s="12" t="inlineStr">
        <is>
          <t>350 kcmil</t>
        </is>
      </c>
      <c r="N2201" s="12" t="n">
        <v>1</v>
      </c>
      <c r="O2201" s="12" t="n">
        <v>1</v>
      </c>
      <c r="P2201" s="12" t="n">
        <v>480</v>
      </c>
      <c r="Q2201" s="12" t="n">
        <v>150</v>
      </c>
      <c r="R2201" s="12" t="n">
        <v>212</v>
      </c>
      <c r="S2201" s="12" t="inlineStr">
        <is>
          <t>Tray</t>
        </is>
      </c>
      <c r="T2201" s="16" t="n">
        <v>161</v>
      </c>
      <c r="U2201" s="16" t="n">
        <v>44</v>
      </c>
      <c r="V2201" s="16">
        <f>ROUNDUP((T2201+U2201+2*'Read Me'!$B$13)*(1+'Read Me'!$B$12),-1)</f>
        <v/>
      </c>
      <c r="W2201" s="16">
        <f>V2201*N2201*O2201</f>
        <v/>
      </c>
      <c r="X2201" s="12">
        <f>IF(LEFT(I2201,2)="MV",2*N2201*IF(L2201="1/C",O2201,1),0)</f>
        <v/>
      </c>
      <c r="Y2201" s="12">
        <f>IF(OR(LEFT(K2201,4)="LVAX",LEFT(K2201,6)="MV15AX",LEFT(K2201,4)="CTAX",LEFT(K2201,2)="W|"),2*N2201*O2201,0)</f>
        <v/>
      </c>
      <c r="Z2201" s="12" t="inlineStr">
        <is>
          <t>VD 0.6 %</t>
        </is>
      </c>
      <c r="AA2201" s="12">
        <f>N2201*O2201</f>
        <v/>
      </c>
    </row>
    <row r="2202">
      <c r="A2202" s="12" t="inlineStr">
        <is>
          <t>B-P-0026</t>
        </is>
      </c>
      <c r="B2202" s="12" t="inlineStr">
        <is>
          <t>B</t>
        </is>
      </c>
      <c r="C2202" s="12" t="inlineStr">
        <is>
          <t>ACC</t>
        </is>
      </c>
      <c r="D2202" s="12" t="inlineStr">
        <is>
          <t>ACC fan F26 motor (VFD output)</t>
        </is>
      </c>
      <c r="E2202" s="12" t="inlineStr">
        <is>
          <t>R4</t>
        </is>
      </c>
      <c r="F2202" s="12" t="inlineStr">
        <is>
          <t>R4: ACC electrical (VFD) e-house (60 x 120 ft)</t>
        </is>
      </c>
      <c r="G2202" s="12" t="inlineStr">
        <is>
          <t>ACC-F26</t>
        </is>
      </c>
      <c r="H2202" s="12" t="inlineStr">
        <is>
          <t>ACC fan motor F26</t>
        </is>
      </c>
      <c r="I2202" s="12" t="inlineStr">
        <is>
          <t>LV 600 V</t>
        </is>
      </c>
      <c r="J2202" s="12" t="inlineStr">
        <is>
          <t>VFD cable 600 V 3/C Cu XHHW-2, 3 symmetrical grounds, overall Cu tape shield, TC-ER</t>
        </is>
      </c>
      <c r="K2202" s="12" t="inlineStr">
        <is>
          <t>VFD|3/C+3G|350</t>
        </is>
      </c>
      <c r="L2202" s="12" t="inlineStr">
        <is>
          <t>3/C+3G</t>
        </is>
      </c>
      <c r="M2202" s="12" t="inlineStr">
        <is>
          <t>350 kcmil</t>
        </is>
      </c>
      <c r="N2202" s="12" t="n">
        <v>1</v>
      </c>
      <c r="O2202" s="12" t="n">
        <v>1</v>
      </c>
      <c r="P2202" s="12" t="n">
        <v>480</v>
      </c>
      <c r="Q2202" s="12" t="n">
        <v>150</v>
      </c>
      <c r="R2202" s="12" t="n">
        <v>212</v>
      </c>
      <c r="S2202" s="12" t="inlineStr">
        <is>
          <t>Tray</t>
        </is>
      </c>
      <c r="T2202" s="16" t="n">
        <v>161</v>
      </c>
      <c r="U2202" s="16" t="n">
        <v>44</v>
      </c>
      <c r="V2202" s="16">
        <f>ROUNDUP((T2202+U2202+2*'Read Me'!$B$13)*(1+'Read Me'!$B$12),-1)</f>
        <v/>
      </c>
      <c r="W2202" s="16">
        <f>V2202*N2202*O2202</f>
        <v/>
      </c>
      <c r="X2202" s="12">
        <f>IF(LEFT(I2202,2)="MV",2*N2202*IF(L2202="1/C",O2202,1),0)</f>
        <v/>
      </c>
      <c r="Y2202" s="12">
        <f>IF(OR(LEFT(K2202,4)="LVAX",LEFT(K2202,6)="MV15AX",LEFT(K2202,4)="CTAX",LEFT(K2202,2)="W|"),2*N2202*O2202,0)</f>
        <v/>
      </c>
      <c r="Z2202" s="12" t="inlineStr">
        <is>
          <t>VD 0.6 %</t>
        </is>
      </c>
      <c r="AA2202" s="12">
        <f>N2202*O2202</f>
        <v/>
      </c>
    </row>
    <row r="2203">
      <c r="A2203" s="12" t="inlineStr">
        <is>
          <t>B-P-0027</t>
        </is>
      </c>
      <c r="B2203" s="12" t="inlineStr">
        <is>
          <t>B</t>
        </is>
      </c>
      <c r="C2203" s="12" t="inlineStr">
        <is>
          <t>ACC</t>
        </is>
      </c>
      <c r="D2203" s="12" t="inlineStr">
        <is>
          <t>ACC fan F27 motor (VFD output)</t>
        </is>
      </c>
      <c r="E2203" s="12" t="inlineStr">
        <is>
          <t>R4</t>
        </is>
      </c>
      <c r="F2203" s="12" t="inlineStr">
        <is>
          <t>R4: ACC electrical (VFD) e-house (60 x 120 ft)</t>
        </is>
      </c>
      <c r="G2203" s="12" t="inlineStr">
        <is>
          <t>ACC-F27</t>
        </is>
      </c>
      <c r="H2203" s="12" t="inlineStr">
        <is>
          <t>ACC fan motor F27</t>
        </is>
      </c>
      <c r="I2203" s="12" t="inlineStr">
        <is>
          <t>LV 600 V</t>
        </is>
      </c>
      <c r="J2203" s="12" t="inlineStr">
        <is>
          <t>VFD cable 600 V 3/C Cu XHHW-2, 3 symmetrical grounds, overall Cu tape shield, TC-ER</t>
        </is>
      </c>
      <c r="K2203" s="12" t="inlineStr">
        <is>
          <t>VFD|3/C+3G|350</t>
        </is>
      </c>
      <c r="L2203" s="12" t="inlineStr">
        <is>
          <t>3/C+3G</t>
        </is>
      </c>
      <c r="M2203" s="12" t="inlineStr">
        <is>
          <t>350 kcmil</t>
        </is>
      </c>
      <c r="N2203" s="12" t="n">
        <v>1</v>
      </c>
      <c r="O2203" s="12" t="n">
        <v>1</v>
      </c>
      <c r="P2203" s="12" t="n">
        <v>480</v>
      </c>
      <c r="Q2203" s="12" t="n">
        <v>150</v>
      </c>
      <c r="R2203" s="12" t="n">
        <v>212</v>
      </c>
      <c r="S2203" s="12" t="inlineStr">
        <is>
          <t>Tray</t>
        </is>
      </c>
      <c r="T2203" s="16" t="n">
        <v>193</v>
      </c>
      <c r="U2203" s="16" t="n">
        <v>44</v>
      </c>
      <c r="V2203" s="16">
        <f>ROUNDUP((T2203+U2203+2*'Read Me'!$B$13)*(1+'Read Me'!$B$12),-1)</f>
        <v/>
      </c>
      <c r="W2203" s="16">
        <f>V2203*N2203*O2203</f>
        <v/>
      </c>
      <c r="X2203" s="12">
        <f>IF(LEFT(I2203,2)="MV",2*N2203*IF(L2203="1/C",O2203,1),0)</f>
        <v/>
      </c>
      <c r="Y2203" s="12">
        <f>IF(OR(LEFT(K2203,4)="LVAX",LEFT(K2203,6)="MV15AX",LEFT(K2203,4)="CTAX",LEFT(K2203,2)="W|"),2*N2203*O2203,0)</f>
        <v/>
      </c>
      <c r="Z2203" s="12" t="inlineStr">
        <is>
          <t>VD 0.7 %</t>
        </is>
      </c>
      <c r="AA2203" s="12">
        <f>N2203*O2203</f>
        <v/>
      </c>
    </row>
    <row r="2204">
      <c r="A2204" s="12" t="inlineStr">
        <is>
          <t>B-P-0028</t>
        </is>
      </c>
      <c r="B2204" s="12" t="inlineStr">
        <is>
          <t>B</t>
        </is>
      </c>
      <c r="C2204" s="12" t="inlineStr">
        <is>
          <t>ACC</t>
        </is>
      </c>
      <c r="D2204" s="12" t="inlineStr">
        <is>
          <t>ACC fan F28 motor (VFD output)</t>
        </is>
      </c>
      <c r="E2204" s="12" t="inlineStr">
        <is>
          <t>R4</t>
        </is>
      </c>
      <c r="F2204" s="12" t="inlineStr">
        <is>
          <t>R4: ACC electrical (VFD) e-house (60 x 120 ft)</t>
        </is>
      </c>
      <c r="G2204" s="12" t="inlineStr">
        <is>
          <t>ACC-F28</t>
        </is>
      </c>
      <c r="H2204" s="12" t="inlineStr">
        <is>
          <t>ACC fan motor F28</t>
        </is>
      </c>
      <c r="I2204" s="12" t="inlineStr">
        <is>
          <t>LV 600 V</t>
        </is>
      </c>
      <c r="J2204" s="12" t="inlineStr">
        <is>
          <t>VFD cable 600 V 3/C Cu XHHW-2, 3 symmetrical grounds, overall Cu tape shield, TC-ER</t>
        </is>
      </c>
      <c r="K2204" s="12" t="inlineStr">
        <is>
          <t>VFD|3/C+3G|350</t>
        </is>
      </c>
      <c r="L2204" s="12" t="inlineStr">
        <is>
          <t>3/C+3G</t>
        </is>
      </c>
      <c r="M2204" s="12" t="inlineStr">
        <is>
          <t>350 kcmil</t>
        </is>
      </c>
      <c r="N2204" s="12" t="n">
        <v>1</v>
      </c>
      <c r="O2204" s="12" t="n">
        <v>1</v>
      </c>
      <c r="P2204" s="12" t="n">
        <v>480</v>
      </c>
      <c r="Q2204" s="12" t="n">
        <v>150</v>
      </c>
      <c r="R2204" s="12" t="n">
        <v>212</v>
      </c>
      <c r="S2204" s="12" t="inlineStr">
        <is>
          <t>Tray</t>
        </is>
      </c>
      <c r="T2204" s="16" t="n">
        <v>225</v>
      </c>
      <c r="U2204" s="16" t="n">
        <v>44</v>
      </c>
      <c r="V2204" s="16">
        <f>ROUNDUP((T2204+U2204+2*'Read Me'!$B$13)*(1+'Read Me'!$B$12),-1)</f>
        <v/>
      </c>
      <c r="W2204" s="16">
        <f>V2204*N2204*O2204</f>
        <v/>
      </c>
      <c r="X2204" s="12">
        <f>IF(LEFT(I2204,2)="MV",2*N2204*IF(L2204="1/C",O2204,1),0)</f>
        <v/>
      </c>
      <c r="Y2204" s="12">
        <f>IF(OR(LEFT(K2204,4)="LVAX",LEFT(K2204,6)="MV15AX",LEFT(K2204,4)="CTAX",LEFT(K2204,2)="W|"),2*N2204*O2204,0)</f>
        <v/>
      </c>
      <c r="Z2204" s="12" t="inlineStr">
        <is>
          <t>VD 0.8 %</t>
        </is>
      </c>
      <c r="AA2204" s="12">
        <f>N2204*O2204</f>
        <v/>
      </c>
    </row>
    <row r="2205">
      <c r="A2205" s="12" t="inlineStr">
        <is>
          <t>B-P-0029</t>
        </is>
      </c>
      <c r="B2205" s="12" t="inlineStr">
        <is>
          <t>B</t>
        </is>
      </c>
      <c r="C2205" s="12" t="inlineStr">
        <is>
          <t>ACC</t>
        </is>
      </c>
      <c r="D2205" s="12" t="inlineStr">
        <is>
          <t>ACC fan F29 motor (VFD output)</t>
        </is>
      </c>
      <c r="E2205" s="12" t="inlineStr">
        <is>
          <t>R4</t>
        </is>
      </c>
      <c r="F2205" s="12" t="inlineStr">
        <is>
          <t>R4: ACC electrical (VFD) e-house (60 x 120 ft)</t>
        </is>
      </c>
      <c r="G2205" s="12" t="inlineStr">
        <is>
          <t>ACC-F29</t>
        </is>
      </c>
      <c r="H2205" s="12" t="inlineStr">
        <is>
          <t>ACC fan motor F29</t>
        </is>
      </c>
      <c r="I2205" s="12" t="inlineStr">
        <is>
          <t>LV 600 V</t>
        </is>
      </c>
      <c r="J2205" s="12" t="inlineStr">
        <is>
          <t>VFD cable 600 V 3/C Cu XHHW-2, 3 symmetrical grounds, overall Cu tape shield, TC-ER</t>
        </is>
      </c>
      <c r="K2205" s="12" t="inlineStr">
        <is>
          <t>VFD|3/C+3G|350</t>
        </is>
      </c>
      <c r="L2205" s="12" t="inlineStr">
        <is>
          <t>3/C+3G</t>
        </is>
      </c>
      <c r="M2205" s="12" t="inlineStr">
        <is>
          <t>350 kcmil</t>
        </is>
      </c>
      <c r="N2205" s="12" t="n">
        <v>1</v>
      </c>
      <c r="O2205" s="12" t="n">
        <v>1</v>
      </c>
      <c r="P2205" s="12" t="n">
        <v>480</v>
      </c>
      <c r="Q2205" s="12" t="n">
        <v>150</v>
      </c>
      <c r="R2205" s="12" t="n">
        <v>212</v>
      </c>
      <c r="S2205" s="12" t="inlineStr">
        <is>
          <t>Tray</t>
        </is>
      </c>
      <c r="T2205" s="16" t="n">
        <v>257</v>
      </c>
      <c r="U2205" s="16" t="n">
        <v>44</v>
      </c>
      <c r="V2205" s="16">
        <f>ROUNDUP((T2205+U2205+2*'Read Me'!$B$13)*(1+'Read Me'!$B$12),-1)</f>
        <v/>
      </c>
      <c r="W2205" s="16">
        <f>V2205*N2205*O2205</f>
        <v/>
      </c>
      <c r="X2205" s="12">
        <f>IF(LEFT(I2205,2)="MV",2*N2205*IF(L2205="1/C",O2205,1),0)</f>
        <v/>
      </c>
      <c r="Y2205" s="12">
        <f>IF(OR(LEFT(K2205,4)="LVAX",LEFT(K2205,6)="MV15AX",LEFT(K2205,4)="CTAX",LEFT(K2205,2)="W|"),2*N2205*O2205,0)</f>
        <v/>
      </c>
      <c r="Z2205" s="12" t="inlineStr">
        <is>
          <t>VD 0.9 %</t>
        </is>
      </c>
      <c r="AA2205" s="12">
        <f>N2205*O2205</f>
        <v/>
      </c>
    </row>
    <row r="2206">
      <c r="A2206" s="12" t="inlineStr">
        <is>
          <t>B-P-0030</t>
        </is>
      </c>
      <c r="B2206" s="12" t="inlineStr">
        <is>
          <t>B</t>
        </is>
      </c>
      <c r="C2206" s="12" t="inlineStr">
        <is>
          <t>ACC</t>
        </is>
      </c>
      <c r="D2206" s="12" t="inlineStr">
        <is>
          <t>ACC fan F30 motor (VFD output)</t>
        </is>
      </c>
      <c r="E2206" s="12" t="inlineStr">
        <is>
          <t>R4</t>
        </is>
      </c>
      <c r="F2206" s="12" t="inlineStr">
        <is>
          <t>R4: ACC electrical (VFD) e-house (60 x 120 ft)</t>
        </is>
      </c>
      <c r="G2206" s="12" t="inlineStr">
        <is>
          <t>ACC-F30</t>
        </is>
      </c>
      <c r="H2206" s="12" t="inlineStr">
        <is>
          <t>ACC fan motor F30</t>
        </is>
      </c>
      <c r="I2206" s="12" t="inlineStr">
        <is>
          <t>LV 600 V</t>
        </is>
      </c>
      <c r="J2206" s="12" t="inlineStr">
        <is>
          <t>VFD cable 600 V 3/C Cu XHHW-2, 3 symmetrical grounds, overall Cu tape shield, TC-ER</t>
        </is>
      </c>
      <c r="K2206" s="12" t="inlineStr">
        <is>
          <t>VFD|3/C+3G|350</t>
        </is>
      </c>
      <c r="L2206" s="12" t="inlineStr">
        <is>
          <t>3/C+3G</t>
        </is>
      </c>
      <c r="M2206" s="12" t="inlineStr">
        <is>
          <t>350 kcmil</t>
        </is>
      </c>
      <c r="N2206" s="12" t="n">
        <v>1</v>
      </c>
      <c r="O2206" s="12" t="n">
        <v>1</v>
      </c>
      <c r="P2206" s="12" t="n">
        <v>480</v>
      </c>
      <c r="Q2206" s="12" t="n">
        <v>150</v>
      </c>
      <c r="R2206" s="12" t="n">
        <v>212</v>
      </c>
      <c r="S2206" s="12" t="inlineStr">
        <is>
          <t>Tray</t>
        </is>
      </c>
      <c r="T2206" s="16" t="n">
        <v>289</v>
      </c>
      <c r="U2206" s="16" t="n">
        <v>44</v>
      </c>
      <c r="V2206" s="16">
        <f>ROUNDUP((T2206+U2206+2*'Read Me'!$B$13)*(1+'Read Me'!$B$12),-1)</f>
        <v/>
      </c>
      <c r="W2206" s="16">
        <f>V2206*N2206*O2206</f>
        <v/>
      </c>
      <c r="X2206" s="12">
        <f>IF(LEFT(I2206,2)="MV",2*N2206*IF(L2206="1/C",O2206,1),0)</f>
        <v/>
      </c>
      <c r="Y2206" s="12">
        <f>IF(OR(LEFT(K2206,4)="LVAX",LEFT(K2206,6)="MV15AX",LEFT(K2206,4)="CTAX",LEFT(K2206,2)="W|"),2*N2206*O2206,0)</f>
        <v/>
      </c>
      <c r="Z2206" s="12" t="inlineStr">
        <is>
          <t>VD 1.0 %</t>
        </is>
      </c>
      <c r="AA2206" s="12">
        <f>N2206*O2206</f>
        <v/>
      </c>
    </row>
    <row r="2207">
      <c r="A2207" s="12" t="inlineStr">
        <is>
          <t>B-P-0031</t>
        </is>
      </c>
      <c r="B2207" s="12" t="inlineStr">
        <is>
          <t>B</t>
        </is>
      </c>
      <c r="C2207" s="12" t="inlineStr">
        <is>
          <t>ACC</t>
        </is>
      </c>
      <c r="D2207" s="12" t="inlineStr">
        <is>
          <t>ACC fan F31 motor (VFD output)</t>
        </is>
      </c>
      <c r="E2207" s="12" t="inlineStr">
        <is>
          <t>R4</t>
        </is>
      </c>
      <c r="F2207" s="12" t="inlineStr">
        <is>
          <t>R4: ACC electrical (VFD) e-house (60 x 120 ft)</t>
        </is>
      </c>
      <c r="G2207" s="12" t="inlineStr">
        <is>
          <t>ACC-F31</t>
        </is>
      </c>
      <c r="H2207" s="12" t="inlineStr">
        <is>
          <t>ACC fan motor F31</t>
        </is>
      </c>
      <c r="I2207" s="12" t="inlineStr">
        <is>
          <t>LV 600 V</t>
        </is>
      </c>
      <c r="J2207" s="12" t="inlineStr">
        <is>
          <t>VFD cable 600 V 3/C Cu XHHW-2, 3 symmetrical grounds, overall Cu tape shield, TC-ER</t>
        </is>
      </c>
      <c r="K2207" s="12" t="inlineStr">
        <is>
          <t>VFD|3/C+3G|350</t>
        </is>
      </c>
      <c r="L2207" s="12" t="inlineStr">
        <is>
          <t>3/C+3G</t>
        </is>
      </c>
      <c r="M2207" s="12" t="inlineStr">
        <is>
          <t>350 kcmil</t>
        </is>
      </c>
      <c r="N2207" s="12" t="n">
        <v>1</v>
      </c>
      <c r="O2207" s="12" t="n">
        <v>1</v>
      </c>
      <c r="P2207" s="12" t="n">
        <v>480</v>
      </c>
      <c r="Q2207" s="12" t="n">
        <v>150</v>
      </c>
      <c r="R2207" s="12" t="n">
        <v>212</v>
      </c>
      <c r="S2207" s="12" t="inlineStr">
        <is>
          <t>Tray</t>
        </is>
      </c>
      <c r="T2207" s="16" t="n">
        <v>239</v>
      </c>
      <c r="U2207" s="16" t="n">
        <v>44</v>
      </c>
      <c r="V2207" s="16">
        <f>ROUNDUP((T2207+U2207+2*'Read Me'!$B$13)*(1+'Read Me'!$B$12),-1)</f>
        <v/>
      </c>
      <c r="W2207" s="16">
        <f>V2207*N2207*O2207</f>
        <v/>
      </c>
      <c r="X2207" s="12">
        <f>IF(LEFT(I2207,2)="MV",2*N2207*IF(L2207="1/C",O2207,1),0)</f>
        <v/>
      </c>
      <c r="Y2207" s="12">
        <f>IF(OR(LEFT(K2207,4)="LVAX",LEFT(K2207,6)="MV15AX",LEFT(K2207,4)="CTAX",LEFT(K2207,2)="W|"),2*N2207*O2207,0)</f>
        <v/>
      </c>
      <c r="Z2207" s="12" t="inlineStr">
        <is>
          <t>VD 0.9 %</t>
        </is>
      </c>
      <c r="AA2207" s="12">
        <f>N2207*O2207</f>
        <v/>
      </c>
    </row>
    <row r="2208">
      <c r="A2208" s="12" t="inlineStr">
        <is>
          <t>B-P-0032</t>
        </is>
      </c>
      <c r="B2208" s="12" t="inlineStr">
        <is>
          <t>B</t>
        </is>
      </c>
      <c r="C2208" s="12" t="inlineStr">
        <is>
          <t>ACC</t>
        </is>
      </c>
      <c r="D2208" s="12" t="inlineStr">
        <is>
          <t>ACC fan F32 motor (VFD output)</t>
        </is>
      </c>
      <c r="E2208" s="12" t="inlineStr">
        <is>
          <t>R4</t>
        </is>
      </c>
      <c r="F2208" s="12" t="inlineStr">
        <is>
          <t>R4: ACC electrical (VFD) e-house (60 x 120 ft)</t>
        </is>
      </c>
      <c r="G2208" s="12" t="inlineStr">
        <is>
          <t>ACC-F32</t>
        </is>
      </c>
      <c r="H2208" s="12" t="inlineStr">
        <is>
          <t>ACC fan motor F32</t>
        </is>
      </c>
      <c r="I2208" s="12" t="inlineStr">
        <is>
          <t>LV 600 V</t>
        </is>
      </c>
      <c r="J2208" s="12" t="inlineStr">
        <is>
          <t>VFD cable 600 V 3/C Cu XHHW-2, 3 symmetrical grounds, overall Cu tape shield, TC-ER</t>
        </is>
      </c>
      <c r="K2208" s="12" t="inlineStr">
        <is>
          <t>VFD|3/C+3G|350</t>
        </is>
      </c>
      <c r="L2208" s="12" t="inlineStr">
        <is>
          <t>3/C+3G</t>
        </is>
      </c>
      <c r="M2208" s="12" t="inlineStr">
        <is>
          <t>350 kcmil</t>
        </is>
      </c>
      <c r="N2208" s="12" t="n">
        <v>1</v>
      </c>
      <c r="O2208" s="12" t="n">
        <v>1</v>
      </c>
      <c r="P2208" s="12" t="n">
        <v>480</v>
      </c>
      <c r="Q2208" s="12" t="n">
        <v>150</v>
      </c>
      <c r="R2208" s="12" t="n">
        <v>212</v>
      </c>
      <c r="S2208" s="12" t="inlineStr">
        <is>
          <t>Tray</t>
        </is>
      </c>
      <c r="T2208" s="16" t="n">
        <v>207</v>
      </c>
      <c r="U2208" s="16" t="n">
        <v>44</v>
      </c>
      <c r="V2208" s="16">
        <f>ROUNDUP((T2208+U2208+2*'Read Me'!$B$13)*(1+'Read Me'!$B$12),-1)</f>
        <v/>
      </c>
      <c r="W2208" s="16">
        <f>V2208*N2208*O2208</f>
        <v/>
      </c>
      <c r="X2208" s="12">
        <f>IF(LEFT(I2208,2)="MV",2*N2208*IF(L2208="1/C",O2208,1),0)</f>
        <v/>
      </c>
      <c r="Y2208" s="12">
        <f>IF(OR(LEFT(K2208,4)="LVAX",LEFT(K2208,6)="MV15AX",LEFT(K2208,4)="CTAX",LEFT(K2208,2)="W|"),2*N2208*O2208,0)</f>
        <v/>
      </c>
      <c r="Z2208" s="12" t="inlineStr">
        <is>
          <t>VD 0.8 %</t>
        </is>
      </c>
      <c r="AA2208" s="12">
        <f>N2208*O2208</f>
        <v/>
      </c>
    </row>
    <row r="2209">
      <c r="A2209" s="12" t="inlineStr">
        <is>
          <t>B-P-0033</t>
        </is>
      </c>
      <c r="B2209" s="12" t="inlineStr">
        <is>
          <t>B</t>
        </is>
      </c>
      <c r="C2209" s="12" t="inlineStr">
        <is>
          <t>ACC</t>
        </is>
      </c>
      <c r="D2209" s="12" t="inlineStr">
        <is>
          <t>ACC fan F33 motor (VFD output)</t>
        </is>
      </c>
      <c r="E2209" s="12" t="inlineStr">
        <is>
          <t>R4</t>
        </is>
      </c>
      <c r="F2209" s="12" t="inlineStr">
        <is>
          <t>R4: ACC electrical (VFD) e-house (60 x 120 ft)</t>
        </is>
      </c>
      <c r="G2209" s="12" t="inlineStr">
        <is>
          <t>ACC-F33</t>
        </is>
      </c>
      <c r="H2209" s="12" t="inlineStr">
        <is>
          <t>ACC fan motor F33</t>
        </is>
      </c>
      <c r="I2209" s="12" t="inlineStr">
        <is>
          <t>LV 600 V</t>
        </is>
      </c>
      <c r="J2209" s="12" t="inlineStr">
        <is>
          <t>VFD cable 600 V 3/C Cu XHHW-2, 3 symmetrical grounds, overall Cu tape shield, TC-ER</t>
        </is>
      </c>
      <c r="K2209" s="12" t="inlineStr">
        <is>
          <t>VFD|3/C+3G|350</t>
        </is>
      </c>
      <c r="L2209" s="12" t="inlineStr">
        <is>
          <t>3/C+3G</t>
        </is>
      </c>
      <c r="M2209" s="12" t="inlineStr">
        <is>
          <t>350 kcmil</t>
        </is>
      </c>
      <c r="N2209" s="12" t="n">
        <v>1</v>
      </c>
      <c r="O2209" s="12" t="n">
        <v>1</v>
      </c>
      <c r="P2209" s="12" t="n">
        <v>480</v>
      </c>
      <c r="Q2209" s="12" t="n">
        <v>150</v>
      </c>
      <c r="R2209" s="12" t="n">
        <v>212</v>
      </c>
      <c r="S2209" s="12" t="inlineStr">
        <is>
          <t>Tray</t>
        </is>
      </c>
      <c r="T2209" s="16" t="n">
        <v>175</v>
      </c>
      <c r="U2209" s="16" t="n">
        <v>44</v>
      </c>
      <c r="V2209" s="16">
        <f>ROUNDUP((T2209+U2209+2*'Read Me'!$B$13)*(1+'Read Me'!$B$12),-1)</f>
        <v/>
      </c>
      <c r="W2209" s="16">
        <f>V2209*N2209*O2209</f>
        <v/>
      </c>
      <c r="X2209" s="12">
        <f>IF(LEFT(I2209,2)="MV",2*N2209*IF(L2209="1/C",O2209,1),0)</f>
        <v/>
      </c>
      <c r="Y2209" s="12">
        <f>IF(OR(LEFT(K2209,4)="LVAX",LEFT(K2209,6)="MV15AX",LEFT(K2209,4)="CTAX",LEFT(K2209,2)="W|"),2*N2209*O2209,0)</f>
        <v/>
      </c>
      <c r="Z2209" s="12" t="inlineStr">
        <is>
          <t>VD 0.7 %</t>
        </is>
      </c>
      <c r="AA2209" s="12">
        <f>N2209*O2209</f>
        <v/>
      </c>
    </row>
    <row r="2210">
      <c r="A2210" s="12" t="inlineStr">
        <is>
          <t>B-P-0034</t>
        </is>
      </c>
      <c r="B2210" s="12" t="inlineStr">
        <is>
          <t>B</t>
        </is>
      </c>
      <c r="C2210" s="12" t="inlineStr">
        <is>
          <t>ACC</t>
        </is>
      </c>
      <c r="D2210" s="12" t="inlineStr">
        <is>
          <t>ACC fan F34 motor (VFD output)</t>
        </is>
      </c>
      <c r="E2210" s="12" t="inlineStr">
        <is>
          <t>R4</t>
        </is>
      </c>
      <c r="F2210" s="12" t="inlineStr">
        <is>
          <t>R4: ACC electrical (VFD) e-house (60 x 120 ft)</t>
        </is>
      </c>
      <c r="G2210" s="12" t="inlineStr">
        <is>
          <t>ACC-F34</t>
        </is>
      </c>
      <c r="H2210" s="12" t="inlineStr">
        <is>
          <t>ACC fan motor F34</t>
        </is>
      </c>
      <c r="I2210" s="12" t="inlineStr">
        <is>
          <t>LV 600 V</t>
        </is>
      </c>
      <c r="J2210" s="12" t="inlineStr">
        <is>
          <t>VFD cable 600 V 3/C Cu XHHW-2, 3 symmetrical grounds, overall Cu tape shield, TC-ER</t>
        </is>
      </c>
      <c r="K2210" s="12" t="inlineStr">
        <is>
          <t>VFD|3/C+3G|350</t>
        </is>
      </c>
      <c r="L2210" s="12" t="inlineStr">
        <is>
          <t>3/C+3G</t>
        </is>
      </c>
      <c r="M2210" s="12" t="inlineStr">
        <is>
          <t>350 kcmil</t>
        </is>
      </c>
      <c r="N2210" s="12" t="n">
        <v>1</v>
      </c>
      <c r="O2210" s="12" t="n">
        <v>1</v>
      </c>
      <c r="P2210" s="12" t="n">
        <v>480</v>
      </c>
      <c r="Q2210" s="12" t="n">
        <v>150</v>
      </c>
      <c r="R2210" s="12" t="n">
        <v>212</v>
      </c>
      <c r="S2210" s="12" t="inlineStr">
        <is>
          <t>Tray</t>
        </is>
      </c>
      <c r="T2210" s="16" t="n">
        <v>143</v>
      </c>
      <c r="U2210" s="16" t="n">
        <v>44</v>
      </c>
      <c r="V2210" s="16">
        <f>ROUNDUP((T2210+U2210+2*'Read Me'!$B$13)*(1+'Read Me'!$B$12),-1)</f>
        <v/>
      </c>
      <c r="W2210" s="16">
        <f>V2210*N2210*O2210</f>
        <v/>
      </c>
      <c r="X2210" s="12">
        <f>IF(LEFT(I2210,2)="MV",2*N2210*IF(L2210="1/C",O2210,1),0)</f>
        <v/>
      </c>
      <c r="Y2210" s="12">
        <f>IF(OR(LEFT(K2210,4)="LVAX",LEFT(K2210,6)="MV15AX",LEFT(K2210,4)="CTAX",LEFT(K2210,2)="W|"),2*N2210*O2210,0)</f>
        <v/>
      </c>
      <c r="Z2210" s="12" t="inlineStr">
        <is>
          <t>VD 0.6 %</t>
        </is>
      </c>
      <c r="AA2210" s="12">
        <f>N2210*O2210</f>
        <v/>
      </c>
    </row>
    <row r="2211">
      <c r="A2211" s="12" t="inlineStr">
        <is>
          <t>B-P-0035</t>
        </is>
      </c>
      <c r="B2211" s="12" t="inlineStr">
        <is>
          <t>B</t>
        </is>
      </c>
      <c r="C2211" s="12" t="inlineStr">
        <is>
          <t>ACC</t>
        </is>
      </c>
      <c r="D2211" s="12" t="inlineStr">
        <is>
          <t>ACC fan F35 motor (VFD output)</t>
        </is>
      </c>
      <c r="E2211" s="12" t="inlineStr">
        <is>
          <t>R4</t>
        </is>
      </c>
      <c r="F2211" s="12" t="inlineStr">
        <is>
          <t>R4: ACC electrical (VFD) e-house (60 x 120 ft)</t>
        </is>
      </c>
      <c r="G2211" s="12" t="inlineStr">
        <is>
          <t>ACC-F35</t>
        </is>
      </c>
      <c r="H2211" s="12" t="inlineStr">
        <is>
          <t>ACC fan motor F35</t>
        </is>
      </c>
      <c r="I2211" s="12" t="inlineStr">
        <is>
          <t>LV 600 V</t>
        </is>
      </c>
      <c r="J2211" s="12" t="inlineStr">
        <is>
          <t>VFD cable 600 V 3/C Cu XHHW-2, 3 symmetrical grounds, overall Cu tape shield, TC-ER</t>
        </is>
      </c>
      <c r="K2211" s="12" t="inlineStr">
        <is>
          <t>VFD|3/C+3G|350</t>
        </is>
      </c>
      <c r="L2211" s="12" t="inlineStr">
        <is>
          <t>3/C+3G</t>
        </is>
      </c>
      <c r="M2211" s="12" t="inlineStr">
        <is>
          <t>350 kcmil</t>
        </is>
      </c>
      <c r="N2211" s="12" t="n">
        <v>1</v>
      </c>
      <c r="O2211" s="12" t="n">
        <v>1</v>
      </c>
      <c r="P2211" s="12" t="n">
        <v>480</v>
      </c>
      <c r="Q2211" s="12" t="n">
        <v>150</v>
      </c>
      <c r="R2211" s="12" t="n">
        <v>212</v>
      </c>
      <c r="S2211" s="12" t="inlineStr">
        <is>
          <t>Tray</t>
        </is>
      </c>
      <c r="T2211" s="16" t="n">
        <v>111</v>
      </c>
      <c r="U2211" s="16" t="n">
        <v>44</v>
      </c>
      <c r="V2211" s="16">
        <f>ROUNDUP((T2211+U2211+2*'Read Me'!$B$13)*(1+'Read Me'!$B$12),-1)</f>
        <v/>
      </c>
      <c r="W2211" s="16">
        <f>V2211*N2211*O2211</f>
        <v/>
      </c>
      <c r="X2211" s="12">
        <f>IF(LEFT(I2211,2)="MV",2*N2211*IF(L2211="1/C",O2211,1),0)</f>
        <v/>
      </c>
      <c r="Y2211" s="12">
        <f>IF(OR(LEFT(K2211,4)="LVAX",LEFT(K2211,6)="MV15AX",LEFT(K2211,4)="CTAX",LEFT(K2211,2)="W|"),2*N2211*O2211,0)</f>
        <v/>
      </c>
      <c r="Z2211" s="12" t="inlineStr">
        <is>
          <t>VD 0.5 %</t>
        </is>
      </c>
      <c r="AA2211" s="12">
        <f>N2211*O2211</f>
        <v/>
      </c>
    </row>
    <row r="2212">
      <c r="A2212" s="12" t="inlineStr">
        <is>
          <t>B-P-0036</t>
        </is>
      </c>
      <c r="B2212" s="12" t="inlineStr">
        <is>
          <t>B</t>
        </is>
      </c>
      <c r="C2212" s="12" t="inlineStr">
        <is>
          <t>ACC</t>
        </is>
      </c>
      <c r="D2212" s="12" t="inlineStr">
        <is>
          <t>ACC fan F36 motor (VFD output)</t>
        </is>
      </c>
      <c r="E2212" s="12" t="inlineStr">
        <is>
          <t>R4</t>
        </is>
      </c>
      <c r="F2212" s="12" t="inlineStr">
        <is>
          <t>R4: ACC electrical (VFD) e-house (60 x 120 ft)</t>
        </is>
      </c>
      <c r="G2212" s="12" t="inlineStr">
        <is>
          <t>ACC-F36</t>
        </is>
      </c>
      <c r="H2212" s="12" t="inlineStr">
        <is>
          <t>ACC fan motor F36</t>
        </is>
      </c>
      <c r="I2212" s="12" t="inlineStr">
        <is>
          <t>LV 600 V</t>
        </is>
      </c>
      <c r="J2212" s="12" t="inlineStr">
        <is>
          <t>VFD cable 600 V 3/C Cu XHHW-2, 3 symmetrical grounds, overall Cu tape shield, TC-ER</t>
        </is>
      </c>
      <c r="K2212" s="12" t="inlineStr">
        <is>
          <t>VFD|3/C+3G|350</t>
        </is>
      </c>
      <c r="L2212" s="12" t="inlineStr">
        <is>
          <t>3/C+3G</t>
        </is>
      </c>
      <c r="M2212" s="12" t="inlineStr">
        <is>
          <t>350 kcmil</t>
        </is>
      </c>
      <c r="N2212" s="12" t="n">
        <v>1</v>
      </c>
      <c r="O2212" s="12" t="n">
        <v>1</v>
      </c>
      <c r="P2212" s="12" t="n">
        <v>480</v>
      </c>
      <c r="Q2212" s="12" t="n">
        <v>150</v>
      </c>
      <c r="R2212" s="12" t="n">
        <v>212</v>
      </c>
      <c r="S2212" s="12" t="inlineStr">
        <is>
          <t>Tray</t>
        </is>
      </c>
      <c r="T2212" s="16" t="n">
        <v>111</v>
      </c>
      <c r="U2212" s="16" t="n">
        <v>44</v>
      </c>
      <c r="V2212" s="16">
        <f>ROUNDUP((T2212+U2212+2*'Read Me'!$B$13)*(1+'Read Me'!$B$12),-1)</f>
        <v/>
      </c>
      <c r="W2212" s="16">
        <f>V2212*N2212*O2212</f>
        <v/>
      </c>
      <c r="X2212" s="12">
        <f>IF(LEFT(I2212,2)="MV",2*N2212*IF(L2212="1/C",O2212,1),0)</f>
        <v/>
      </c>
      <c r="Y2212" s="12">
        <f>IF(OR(LEFT(K2212,4)="LVAX",LEFT(K2212,6)="MV15AX",LEFT(K2212,4)="CTAX",LEFT(K2212,2)="W|"),2*N2212*O2212,0)</f>
        <v/>
      </c>
      <c r="Z2212" s="12" t="inlineStr">
        <is>
          <t>VD 0.5 %</t>
        </is>
      </c>
      <c r="AA2212" s="12">
        <f>N2212*O2212</f>
        <v/>
      </c>
    </row>
    <row r="2213">
      <c r="A2213" s="12" t="inlineStr">
        <is>
          <t>B-P-0037</t>
        </is>
      </c>
      <c r="B2213" s="12" t="inlineStr">
        <is>
          <t>B</t>
        </is>
      </c>
      <c r="C2213" s="12" t="inlineStr">
        <is>
          <t>ACC</t>
        </is>
      </c>
      <c r="D2213" s="12" t="inlineStr">
        <is>
          <t>ACC fan F37 motor (VFD output)</t>
        </is>
      </c>
      <c r="E2213" s="12" t="inlineStr">
        <is>
          <t>R4</t>
        </is>
      </c>
      <c r="F2213" s="12" t="inlineStr">
        <is>
          <t>R4: ACC electrical (VFD) e-house (60 x 120 ft)</t>
        </is>
      </c>
      <c r="G2213" s="12" t="inlineStr">
        <is>
          <t>ACC-F37</t>
        </is>
      </c>
      <c r="H2213" s="12" t="inlineStr">
        <is>
          <t>ACC fan motor F37</t>
        </is>
      </c>
      <c r="I2213" s="12" t="inlineStr">
        <is>
          <t>LV 600 V</t>
        </is>
      </c>
      <c r="J2213" s="12" t="inlineStr">
        <is>
          <t>VFD cable 600 V 3/C Cu XHHW-2, 3 symmetrical grounds, overall Cu tape shield, TC-ER</t>
        </is>
      </c>
      <c r="K2213" s="12" t="inlineStr">
        <is>
          <t>VFD|3/C+3G|350</t>
        </is>
      </c>
      <c r="L2213" s="12" t="inlineStr">
        <is>
          <t>3/C+3G</t>
        </is>
      </c>
      <c r="M2213" s="12" t="inlineStr">
        <is>
          <t>350 kcmil</t>
        </is>
      </c>
      <c r="N2213" s="12" t="n">
        <v>1</v>
      </c>
      <c r="O2213" s="12" t="n">
        <v>1</v>
      </c>
      <c r="P2213" s="12" t="n">
        <v>480</v>
      </c>
      <c r="Q2213" s="12" t="n">
        <v>150</v>
      </c>
      <c r="R2213" s="12" t="n">
        <v>212</v>
      </c>
      <c r="S2213" s="12" t="inlineStr">
        <is>
          <t>Tray</t>
        </is>
      </c>
      <c r="T2213" s="16" t="n">
        <v>143</v>
      </c>
      <c r="U2213" s="16" t="n">
        <v>44</v>
      </c>
      <c r="V2213" s="16">
        <f>ROUNDUP((T2213+U2213+2*'Read Me'!$B$13)*(1+'Read Me'!$B$12),-1)</f>
        <v/>
      </c>
      <c r="W2213" s="16">
        <f>V2213*N2213*O2213</f>
        <v/>
      </c>
      <c r="X2213" s="12">
        <f>IF(LEFT(I2213,2)="MV",2*N2213*IF(L2213="1/C",O2213,1),0)</f>
        <v/>
      </c>
      <c r="Y2213" s="12">
        <f>IF(OR(LEFT(K2213,4)="LVAX",LEFT(K2213,6)="MV15AX",LEFT(K2213,4)="CTAX",LEFT(K2213,2)="W|"),2*N2213*O2213,0)</f>
        <v/>
      </c>
      <c r="Z2213" s="12" t="inlineStr">
        <is>
          <t>VD 0.6 %</t>
        </is>
      </c>
      <c r="AA2213" s="12">
        <f>N2213*O2213</f>
        <v/>
      </c>
    </row>
    <row r="2214">
      <c r="A2214" s="12" t="inlineStr">
        <is>
          <t>B-P-0038</t>
        </is>
      </c>
      <c r="B2214" s="12" t="inlineStr">
        <is>
          <t>B</t>
        </is>
      </c>
      <c r="C2214" s="12" t="inlineStr">
        <is>
          <t>ACC</t>
        </is>
      </c>
      <c r="D2214" s="12" t="inlineStr">
        <is>
          <t>ACC fan F38 motor (VFD output)</t>
        </is>
      </c>
      <c r="E2214" s="12" t="inlineStr">
        <is>
          <t>R4</t>
        </is>
      </c>
      <c r="F2214" s="12" t="inlineStr">
        <is>
          <t>R4: ACC electrical (VFD) e-house (60 x 120 ft)</t>
        </is>
      </c>
      <c r="G2214" s="12" t="inlineStr">
        <is>
          <t>ACC-F38</t>
        </is>
      </c>
      <c r="H2214" s="12" t="inlineStr">
        <is>
          <t>ACC fan motor F38</t>
        </is>
      </c>
      <c r="I2214" s="12" t="inlineStr">
        <is>
          <t>LV 600 V</t>
        </is>
      </c>
      <c r="J2214" s="12" t="inlineStr">
        <is>
          <t>VFD cable 600 V 3/C Cu XHHW-2, 3 symmetrical grounds, overall Cu tape shield, TC-ER</t>
        </is>
      </c>
      <c r="K2214" s="12" t="inlineStr">
        <is>
          <t>VFD|3/C+3G|350</t>
        </is>
      </c>
      <c r="L2214" s="12" t="inlineStr">
        <is>
          <t>3/C+3G</t>
        </is>
      </c>
      <c r="M2214" s="12" t="inlineStr">
        <is>
          <t>350 kcmil</t>
        </is>
      </c>
      <c r="N2214" s="12" t="n">
        <v>1</v>
      </c>
      <c r="O2214" s="12" t="n">
        <v>1</v>
      </c>
      <c r="P2214" s="12" t="n">
        <v>480</v>
      </c>
      <c r="Q2214" s="12" t="n">
        <v>150</v>
      </c>
      <c r="R2214" s="12" t="n">
        <v>212</v>
      </c>
      <c r="S2214" s="12" t="inlineStr">
        <is>
          <t>Tray</t>
        </is>
      </c>
      <c r="T2214" s="16" t="n">
        <v>175</v>
      </c>
      <c r="U2214" s="16" t="n">
        <v>44</v>
      </c>
      <c r="V2214" s="16">
        <f>ROUNDUP((T2214+U2214+2*'Read Me'!$B$13)*(1+'Read Me'!$B$12),-1)</f>
        <v/>
      </c>
      <c r="W2214" s="16">
        <f>V2214*N2214*O2214</f>
        <v/>
      </c>
      <c r="X2214" s="12">
        <f>IF(LEFT(I2214,2)="MV",2*N2214*IF(L2214="1/C",O2214,1),0)</f>
        <v/>
      </c>
      <c r="Y2214" s="12">
        <f>IF(OR(LEFT(K2214,4)="LVAX",LEFT(K2214,6)="MV15AX",LEFT(K2214,4)="CTAX",LEFT(K2214,2)="W|"),2*N2214*O2214,0)</f>
        <v/>
      </c>
      <c r="Z2214" s="12" t="inlineStr">
        <is>
          <t>VD 0.7 %</t>
        </is>
      </c>
      <c r="AA2214" s="12">
        <f>N2214*O2214</f>
        <v/>
      </c>
    </row>
    <row r="2215">
      <c r="A2215" s="12" t="inlineStr">
        <is>
          <t>B-P-0039</t>
        </is>
      </c>
      <c r="B2215" s="12" t="inlineStr">
        <is>
          <t>B</t>
        </is>
      </c>
      <c r="C2215" s="12" t="inlineStr">
        <is>
          <t>ACC</t>
        </is>
      </c>
      <c r="D2215" s="12" t="inlineStr">
        <is>
          <t>ACC fan F39 motor (VFD output)</t>
        </is>
      </c>
      <c r="E2215" s="12" t="inlineStr">
        <is>
          <t>R4</t>
        </is>
      </c>
      <c r="F2215" s="12" t="inlineStr">
        <is>
          <t>R4: ACC electrical (VFD) e-house (60 x 120 ft)</t>
        </is>
      </c>
      <c r="G2215" s="12" t="inlineStr">
        <is>
          <t>ACC-F39</t>
        </is>
      </c>
      <c r="H2215" s="12" t="inlineStr">
        <is>
          <t>ACC fan motor F39</t>
        </is>
      </c>
      <c r="I2215" s="12" t="inlineStr">
        <is>
          <t>LV 600 V</t>
        </is>
      </c>
      <c r="J2215" s="12" t="inlineStr">
        <is>
          <t>VFD cable 600 V 3/C Cu XHHW-2, 3 symmetrical grounds, overall Cu tape shield, TC-ER</t>
        </is>
      </c>
      <c r="K2215" s="12" t="inlineStr">
        <is>
          <t>VFD|3/C+3G|350</t>
        </is>
      </c>
      <c r="L2215" s="12" t="inlineStr">
        <is>
          <t>3/C+3G</t>
        </is>
      </c>
      <c r="M2215" s="12" t="inlineStr">
        <is>
          <t>350 kcmil</t>
        </is>
      </c>
      <c r="N2215" s="12" t="n">
        <v>1</v>
      </c>
      <c r="O2215" s="12" t="n">
        <v>1</v>
      </c>
      <c r="P2215" s="12" t="n">
        <v>480</v>
      </c>
      <c r="Q2215" s="12" t="n">
        <v>150</v>
      </c>
      <c r="R2215" s="12" t="n">
        <v>212</v>
      </c>
      <c r="S2215" s="12" t="inlineStr">
        <is>
          <t>Tray</t>
        </is>
      </c>
      <c r="T2215" s="16" t="n">
        <v>207</v>
      </c>
      <c r="U2215" s="16" t="n">
        <v>44</v>
      </c>
      <c r="V2215" s="16">
        <f>ROUNDUP((T2215+U2215+2*'Read Me'!$B$13)*(1+'Read Me'!$B$12),-1)</f>
        <v/>
      </c>
      <c r="W2215" s="16">
        <f>V2215*N2215*O2215</f>
        <v/>
      </c>
      <c r="X2215" s="12">
        <f>IF(LEFT(I2215,2)="MV",2*N2215*IF(L2215="1/C",O2215,1),0)</f>
        <v/>
      </c>
      <c r="Y2215" s="12">
        <f>IF(OR(LEFT(K2215,4)="LVAX",LEFT(K2215,6)="MV15AX",LEFT(K2215,4)="CTAX",LEFT(K2215,2)="W|"),2*N2215*O2215,0)</f>
        <v/>
      </c>
      <c r="Z2215" s="12" t="inlineStr">
        <is>
          <t>VD 0.8 %</t>
        </is>
      </c>
      <c r="AA2215" s="12">
        <f>N2215*O2215</f>
        <v/>
      </c>
    </row>
    <row r="2216">
      <c r="A2216" s="12" t="inlineStr">
        <is>
          <t>B-P-0040</t>
        </is>
      </c>
      <c r="B2216" s="12" t="inlineStr">
        <is>
          <t>B</t>
        </is>
      </c>
      <c r="C2216" s="12" t="inlineStr">
        <is>
          <t>ACC</t>
        </is>
      </c>
      <c r="D2216" s="12" t="inlineStr">
        <is>
          <t>ACC fan F40 motor (VFD output)</t>
        </is>
      </c>
      <c r="E2216" s="12" t="inlineStr">
        <is>
          <t>R4</t>
        </is>
      </c>
      <c r="F2216" s="12" t="inlineStr">
        <is>
          <t>R4: ACC electrical (VFD) e-house (60 x 120 ft)</t>
        </is>
      </c>
      <c r="G2216" s="12" t="inlineStr">
        <is>
          <t>ACC-F40</t>
        </is>
      </c>
      <c r="H2216" s="12" t="inlineStr">
        <is>
          <t>ACC fan motor F40</t>
        </is>
      </c>
      <c r="I2216" s="12" t="inlineStr">
        <is>
          <t>LV 600 V</t>
        </is>
      </c>
      <c r="J2216" s="12" t="inlineStr">
        <is>
          <t>VFD cable 600 V 3/C Cu XHHW-2, 3 symmetrical grounds, overall Cu tape shield, TC-ER</t>
        </is>
      </c>
      <c r="K2216" s="12" t="inlineStr">
        <is>
          <t>VFD|3/C+3G|350</t>
        </is>
      </c>
      <c r="L2216" s="12" t="inlineStr">
        <is>
          <t>3/C+3G</t>
        </is>
      </c>
      <c r="M2216" s="12" t="inlineStr">
        <is>
          <t>350 kcmil</t>
        </is>
      </c>
      <c r="N2216" s="12" t="n">
        <v>1</v>
      </c>
      <c r="O2216" s="12" t="n">
        <v>1</v>
      </c>
      <c r="P2216" s="12" t="n">
        <v>480</v>
      </c>
      <c r="Q2216" s="12" t="n">
        <v>150</v>
      </c>
      <c r="R2216" s="12" t="n">
        <v>212</v>
      </c>
      <c r="S2216" s="12" t="inlineStr">
        <is>
          <t>Tray</t>
        </is>
      </c>
      <c r="T2216" s="16" t="n">
        <v>239</v>
      </c>
      <c r="U2216" s="16" t="n">
        <v>44</v>
      </c>
      <c r="V2216" s="16">
        <f>ROUNDUP((T2216+U2216+2*'Read Me'!$B$13)*(1+'Read Me'!$B$12),-1)</f>
        <v/>
      </c>
      <c r="W2216" s="16">
        <f>V2216*N2216*O2216</f>
        <v/>
      </c>
      <c r="X2216" s="12">
        <f>IF(LEFT(I2216,2)="MV",2*N2216*IF(L2216="1/C",O2216,1),0)</f>
        <v/>
      </c>
      <c r="Y2216" s="12">
        <f>IF(OR(LEFT(K2216,4)="LVAX",LEFT(K2216,6)="MV15AX",LEFT(K2216,4)="CTAX",LEFT(K2216,2)="W|"),2*N2216*O2216,0)</f>
        <v/>
      </c>
      <c r="Z2216" s="12" t="inlineStr">
        <is>
          <t>VD 0.9 %</t>
        </is>
      </c>
      <c r="AA2216" s="12">
        <f>N2216*O2216</f>
        <v/>
      </c>
    </row>
    <row r="2217">
      <c r="A2217" s="12" t="inlineStr">
        <is>
          <t>B-P-0041</t>
        </is>
      </c>
      <c r="B2217" s="12" t="inlineStr">
        <is>
          <t>B</t>
        </is>
      </c>
      <c r="C2217" s="12" t="inlineStr">
        <is>
          <t>ACC</t>
        </is>
      </c>
      <c r="D2217" s="12" t="inlineStr">
        <is>
          <t>ACC fan F41 motor (VFD output)</t>
        </is>
      </c>
      <c r="E2217" s="12" t="inlineStr">
        <is>
          <t>R4</t>
        </is>
      </c>
      <c r="F2217" s="12" t="inlineStr">
        <is>
          <t>R4: ACC electrical (VFD) e-house (60 x 120 ft)</t>
        </is>
      </c>
      <c r="G2217" s="12" t="inlineStr">
        <is>
          <t>ACC-F41</t>
        </is>
      </c>
      <c r="H2217" s="12" t="inlineStr">
        <is>
          <t>ACC fan motor F41</t>
        </is>
      </c>
      <c r="I2217" s="12" t="inlineStr">
        <is>
          <t>LV 600 V</t>
        </is>
      </c>
      <c r="J2217" s="12" t="inlineStr">
        <is>
          <t>VFD cable 600 V 3/C Cu XHHW-2, 3 symmetrical grounds, overall Cu tape shield, TC-ER</t>
        </is>
      </c>
      <c r="K2217" s="12" t="inlineStr">
        <is>
          <t>VFD|3/C+3G|350</t>
        </is>
      </c>
      <c r="L2217" s="12" t="inlineStr">
        <is>
          <t>3/C+3G</t>
        </is>
      </c>
      <c r="M2217" s="12" t="inlineStr">
        <is>
          <t>350 kcmil</t>
        </is>
      </c>
      <c r="N2217" s="12" t="n">
        <v>1</v>
      </c>
      <c r="O2217" s="12" t="n">
        <v>1</v>
      </c>
      <c r="P2217" s="12" t="n">
        <v>480</v>
      </c>
      <c r="Q2217" s="12" t="n">
        <v>150</v>
      </c>
      <c r="R2217" s="12" t="n">
        <v>212</v>
      </c>
      <c r="S2217" s="12" t="inlineStr">
        <is>
          <t>Tray</t>
        </is>
      </c>
      <c r="T2217" s="16" t="n">
        <v>239</v>
      </c>
      <c r="U2217" s="16" t="n">
        <v>44</v>
      </c>
      <c r="V2217" s="16">
        <f>ROUNDUP((T2217+U2217+2*'Read Me'!$B$13)*(1+'Read Me'!$B$12),-1)</f>
        <v/>
      </c>
      <c r="W2217" s="16">
        <f>V2217*N2217*O2217</f>
        <v/>
      </c>
      <c r="X2217" s="12">
        <f>IF(LEFT(I2217,2)="MV",2*N2217*IF(L2217="1/C",O2217,1),0)</f>
        <v/>
      </c>
      <c r="Y2217" s="12">
        <f>IF(OR(LEFT(K2217,4)="LVAX",LEFT(K2217,6)="MV15AX",LEFT(K2217,4)="CTAX",LEFT(K2217,2)="W|"),2*N2217*O2217,0)</f>
        <v/>
      </c>
      <c r="Z2217" s="12" t="inlineStr">
        <is>
          <t>VD 0.9 %</t>
        </is>
      </c>
      <c r="AA2217" s="12">
        <f>N2217*O2217</f>
        <v/>
      </c>
    </row>
    <row r="2218">
      <c r="A2218" s="12" t="inlineStr">
        <is>
          <t>B-P-0042</t>
        </is>
      </c>
      <c r="B2218" s="12" t="inlineStr">
        <is>
          <t>B</t>
        </is>
      </c>
      <c r="C2218" s="12" t="inlineStr">
        <is>
          <t>ACC</t>
        </is>
      </c>
      <c r="D2218" s="12" t="inlineStr">
        <is>
          <t>ACC fan F42 motor (VFD output)</t>
        </is>
      </c>
      <c r="E2218" s="12" t="inlineStr">
        <is>
          <t>R4</t>
        </is>
      </c>
      <c r="F2218" s="12" t="inlineStr">
        <is>
          <t>R4: ACC electrical (VFD) e-house (60 x 120 ft)</t>
        </is>
      </c>
      <c r="G2218" s="12" t="inlineStr">
        <is>
          <t>ACC-F42</t>
        </is>
      </c>
      <c r="H2218" s="12" t="inlineStr">
        <is>
          <t>ACC fan motor F42</t>
        </is>
      </c>
      <c r="I2218" s="12" t="inlineStr">
        <is>
          <t>LV 600 V</t>
        </is>
      </c>
      <c r="J2218" s="12" t="inlineStr">
        <is>
          <t>VFD cable 600 V 3/C Cu XHHW-2, 3 symmetrical grounds, overall Cu tape shield, TC-ER</t>
        </is>
      </c>
      <c r="K2218" s="12" t="inlineStr">
        <is>
          <t>VFD|3/C+3G|350</t>
        </is>
      </c>
      <c r="L2218" s="12" t="inlineStr">
        <is>
          <t>3/C+3G</t>
        </is>
      </c>
      <c r="M2218" s="12" t="inlineStr">
        <is>
          <t>350 kcmil</t>
        </is>
      </c>
      <c r="N2218" s="12" t="n">
        <v>1</v>
      </c>
      <c r="O2218" s="12" t="n">
        <v>1</v>
      </c>
      <c r="P2218" s="12" t="n">
        <v>480</v>
      </c>
      <c r="Q2218" s="12" t="n">
        <v>150</v>
      </c>
      <c r="R2218" s="12" t="n">
        <v>212</v>
      </c>
      <c r="S2218" s="12" t="inlineStr">
        <is>
          <t>Tray</t>
        </is>
      </c>
      <c r="T2218" s="16" t="n">
        <v>207</v>
      </c>
      <c r="U2218" s="16" t="n">
        <v>44</v>
      </c>
      <c r="V2218" s="16">
        <f>ROUNDUP((T2218+U2218+2*'Read Me'!$B$13)*(1+'Read Me'!$B$12),-1)</f>
        <v/>
      </c>
      <c r="W2218" s="16">
        <f>V2218*N2218*O2218</f>
        <v/>
      </c>
      <c r="X2218" s="12">
        <f>IF(LEFT(I2218,2)="MV",2*N2218*IF(L2218="1/C",O2218,1),0)</f>
        <v/>
      </c>
      <c r="Y2218" s="12">
        <f>IF(OR(LEFT(K2218,4)="LVAX",LEFT(K2218,6)="MV15AX",LEFT(K2218,4)="CTAX",LEFT(K2218,2)="W|"),2*N2218*O2218,0)</f>
        <v/>
      </c>
      <c r="Z2218" s="12" t="inlineStr">
        <is>
          <t>VD 0.8 %</t>
        </is>
      </c>
      <c r="AA2218" s="12">
        <f>N2218*O2218</f>
        <v/>
      </c>
    </row>
    <row r="2219">
      <c r="A2219" s="12" t="inlineStr">
        <is>
          <t>B-P-0043</t>
        </is>
      </c>
      <c r="B2219" s="12" t="inlineStr">
        <is>
          <t>B</t>
        </is>
      </c>
      <c r="C2219" s="12" t="inlineStr">
        <is>
          <t>ACC</t>
        </is>
      </c>
      <c r="D2219" s="12" t="inlineStr">
        <is>
          <t>ACC fan F43 motor (VFD output)</t>
        </is>
      </c>
      <c r="E2219" s="12" t="inlineStr">
        <is>
          <t>R4</t>
        </is>
      </c>
      <c r="F2219" s="12" t="inlineStr">
        <is>
          <t>R4: ACC electrical (VFD) e-house (60 x 120 ft)</t>
        </is>
      </c>
      <c r="G2219" s="12" t="inlineStr">
        <is>
          <t>ACC-F43</t>
        </is>
      </c>
      <c r="H2219" s="12" t="inlineStr">
        <is>
          <t>ACC fan motor F43</t>
        </is>
      </c>
      <c r="I2219" s="12" t="inlineStr">
        <is>
          <t>LV 600 V</t>
        </is>
      </c>
      <c r="J2219" s="12" t="inlineStr">
        <is>
          <t>VFD cable 600 V 3/C Cu XHHW-2, 3 symmetrical grounds, overall Cu tape shield, TC-ER</t>
        </is>
      </c>
      <c r="K2219" s="12" t="inlineStr">
        <is>
          <t>VFD|3/C+3G|350</t>
        </is>
      </c>
      <c r="L2219" s="12" t="inlineStr">
        <is>
          <t>3/C+3G</t>
        </is>
      </c>
      <c r="M2219" s="12" t="inlineStr">
        <is>
          <t>350 kcmil</t>
        </is>
      </c>
      <c r="N2219" s="12" t="n">
        <v>1</v>
      </c>
      <c r="O2219" s="12" t="n">
        <v>1</v>
      </c>
      <c r="P2219" s="12" t="n">
        <v>480</v>
      </c>
      <c r="Q2219" s="12" t="n">
        <v>150</v>
      </c>
      <c r="R2219" s="12" t="n">
        <v>212</v>
      </c>
      <c r="S2219" s="12" t="inlineStr">
        <is>
          <t>Tray</t>
        </is>
      </c>
      <c r="T2219" s="16" t="n">
        <v>175</v>
      </c>
      <c r="U2219" s="16" t="n">
        <v>44</v>
      </c>
      <c r="V2219" s="16">
        <f>ROUNDUP((T2219+U2219+2*'Read Me'!$B$13)*(1+'Read Me'!$B$12),-1)</f>
        <v/>
      </c>
      <c r="W2219" s="16">
        <f>V2219*N2219*O2219</f>
        <v/>
      </c>
      <c r="X2219" s="12">
        <f>IF(LEFT(I2219,2)="MV",2*N2219*IF(L2219="1/C",O2219,1),0)</f>
        <v/>
      </c>
      <c r="Y2219" s="12">
        <f>IF(OR(LEFT(K2219,4)="LVAX",LEFT(K2219,6)="MV15AX",LEFT(K2219,4)="CTAX",LEFT(K2219,2)="W|"),2*N2219*O2219,0)</f>
        <v/>
      </c>
      <c r="Z2219" s="12" t="inlineStr">
        <is>
          <t>VD 0.7 %</t>
        </is>
      </c>
      <c r="AA2219" s="12">
        <f>N2219*O2219</f>
        <v/>
      </c>
    </row>
    <row r="2220">
      <c r="A2220" s="12" t="inlineStr">
        <is>
          <t>B-P-0044</t>
        </is>
      </c>
      <c r="B2220" s="12" t="inlineStr">
        <is>
          <t>B</t>
        </is>
      </c>
      <c r="C2220" s="12" t="inlineStr">
        <is>
          <t>ACC</t>
        </is>
      </c>
      <c r="D2220" s="12" t="inlineStr">
        <is>
          <t>ACC fan F44 motor (VFD output)</t>
        </is>
      </c>
      <c r="E2220" s="12" t="inlineStr">
        <is>
          <t>R4</t>
        </is>
      </c>
      <c r="F2220" s="12" t="inlineStr">
        <is>
          <t>R4: ACC electrical (VFD) e-house (60 x 120 ft)</t>
        </is>
      </c>
      <c r="G2220" s="12" t="inlineStr">
        <is>
          <t>ACC-F44</t>
        </is>
      </c>
      <c r="H2220" s="12" t="inlineStr">
        <is>
          <t>ACC fan motor F44</t>
        </is>
      </c>
      <c r="I2220" s="12" t="inlineStr">
        <is>
          <t>LV 600 V</t>
        </is>
      </c>
      <c r="J2220" s="12" t="inlineStr">
        <is>
          <t>VFD cable 600 V 3/C Cu XHHW-2, 3 symmetrical grounds, overall Cu tape shield, TC-ER</t>
        </is>
      </c>
      <c r="K2220" s="12" t="inlineStr">
        <is>
          <t>VFD|3/C+3G|350</t>
        </is>
      </c>
      <c r="L2220" s="12" t="inlineStr">
        <is>
          <t>3/C+3G</t>
        </is>
      </c>
      <c r="M2220" s="12" t="inlineStr">
        <is>
          <t>350 kcmil</t>
        </is>
      </c>
      <c r="N2220" s="12" t="n">
        <v>1</v>
      </c>
      <c r="O2220" s="12" t="n">
        <v>1</v>
      </c>
      <c r="P2220" s="12" t="n">
        <v>480</v>
      </c>
      <c r="Q2220" s="12" t="n">
        <v>150</v>
      </c>
      <c r="R2220" s="12" t="n">
        <v>212</v>
      </c>
      <c r="S2220" s="12" t="inlineStr">
        <is>
          <t>Tray</t>
        </is>
      </c>
      <c r="T2220" s="16" t="n">
        <v>143</v>
      </c>
      <c r="U2220" s="16" t="n">
        <v>44</v>
      </c>
      <c r="V2220" s="16">
        <f>ROUNDUP((T2220+U2220+2*'Read Me'!$B$13)*(1+'Read Me'!$B$12),-1)</f>
        <v/>
      </c>
      <c r="W2220" s="16">
        <f>V2220*N2220*O2220</f>
        <v/>
      </c>
      <c r="X2220" s="12">
        <f>IF(LEFT(I2220,2)="MV",2*N2220*IF(L2220="1/C",O2220,1),0)</f>
        <v/>
      </c>
      <c r="Y2220" s="12">
        <f>IF(OR(LEFT(K2220,4)="LVAX",LEFT(K2220,6)="MV15AX",LEFT(K2220,4)="CTAX",LEFT(K2220,2)="W|"),2*N2220*O2220,0)</f>
        <v/>
      </c>
      <c r="Z2220" s="12" t="inlineStr">
        <is>
          <t>VD 0.6 %</t>
        </is>
      </c>
      <c r="AA2220" s="12">
        <f>N2220*O2220</f>
        <v/>
      </c>
    </row>
    <row r="2221">
      <c r="A2221" s="12" t="inlineStr">
        <is>
          <t>B-P-0045</t>
        </is>
      </c>
      <c r="B2221" s="12" t="inlineStr">
        <is>
          <t>B</t>
        </is>
      </c>
      <c r="C2221" s="12" t="inlineStr">
        <is>
          <t>ACC</t>
        </is>
      </c>
      <c r="D2221" s="12" t="inlineStr">
        <is>
          <t>ACC fan F45 motor (VFD output)</t>
        </is>
      </c>
      <c r="E2221" s="12" t="inlineStr">
        <is>
          <t>R4</t>
        </is>
      </c>
      <c r="F2221" s="12" t="inlineStr">
        <is>
          <t>R4: ACC electrical (VFD) e-house (60 x 120 ft)</t>
        </is>
      </c>
      <c r="G2221" s="12" t="inlineStr">
        <is>
          <t>ACC-F45</t>
        </is>
      </c>
      <c r="H2221" s="12" t="inlineStr">
        <is>
          <t>ACC fan motor F45</t>
        </is>
      </c>
      <c r="I2221" s="12" t="inlineStr">
        <is>
          <t>LV 600 V</t>
        </is>
      </c>
      <c r="J2221" s="12" t="inlineStr">
        <is>
          <t>VFD cable 600 V 3/C Cu XHHW-2, 3 symmetrical grounds, overall Cu tape shield, TC-ER</t>
        </is>
      </c>
      <c r="K2221" s="12" t="inlineStr">
        <is>
          <t>VFD|3/C+3G|350</t>
        </is>
      </c>
      <c r="L2221" s="12" t="inlineStr">
        <is>
          <t>3/C+3G</t>
        </is>
      </c>
      <c r="M2221" s="12" t="inlineStr">
        <is>
          <t>350 kcmil</t>
        </is>
      </c>
      <c r="N2221" s="12" t="n">
        <v>1</v>
      </c>
      <c r="O2221" s="12" t="n">
        <v>1</v>
      </c>
      <c r="P2221" s="12" t="n">
        <v>480</v>
      </c>
      <c r="Q2221" s="12" t="n">
        <v>150</v>
      </c>
      <c r="R2221" s="12" t="n">
        <v>212</v>
      </c>
      <c r="S2221" s="12" t="inlineStr">
        <is>
          <t>Tray</t>
        </is>
      </c>
      <c r="T2221" s="16" t="n">
        <v>111</v>
      </c>
      <c r="U2221" s="16" t="n">
        <v>44</v>
      </c>
      <c r="V2221" s="16">
        <f>ROUNDUP((T2221+U2221+2*'Read Me'!$B$13)*(1+'Read Me'!$B$12),-1)</f>
        <v/>
      </c>
      <c r="W2221" s="16">
        <f>V2221*N2221*O2221</f>
        <v/>
      </c>
      <c r="X2221" s="12">
        <f>IF(LEFT(I2221,2)="MV",2*N2221*IF(L2221="1/C",O2221,1),0)</f>
        <v/>
      </c>
      <c r="Y2221" s="12">
        <f>IF(OR(LEFT(K2221,4)="LVAX",LEFT(K2221,6)="MV15AX",LEFT(K2221,4)="CTAX",LEFT(K2221,2)="W|"),2*N2221*O2221,0)</f>
        <v/>
      </c>
      <c r="Z2221" s="12" t="inlineStr">
        <is>
          <t>VD 0.5 %</t>
        </is>
      </c>
      <c r="AA2221" s="12">
        <f>N2221*O2221</f>
        <v/>
      </c>
    </row>
    <row r="2222">
      <c r="A2222" s="12" t="inlineStr">
        <is>
          <t>B-P-0046</t>
        </is>
      </c>
      <c r="B2222" s="12" t="inlineStr">
        <is>
          <t>B</t>
        </is>
      </c>
      <c r="C2222" s="12" t="inlineStr">
        <is>
          <t>ACC</t>
        </is>
      </c>
      <c r="D2222" s="12" t="inlineStr">
        <is>
          <t>ACC fan F46 motor (VFD output)</t>
        </is>
      </c>
      <c r="E2222" s="12" t="inlineStr">
        <is>
          <t>R4</t>
        </is>
      </c>
      <c r="F2222" s="12" t="inlineStr">
        <is>
          <t>R4: ACC electrical (VFD) e-house (60 x 120 ft)</t>
        </is>
      </c>
      <c r="G2222" s="12" t="inlineStr">
        <is>
          <t>ACC-F46</t>
        </is>
      </c>
      <c r="H2222" s="12" t="inlineStr">
        <is>
          <t>ACC fan motor F46</t>
        </is>
      </c>
      <c r="I2222" s="12" t="inlineStr">
        <is>
          <t>LV 600 V</t>
        </is>
      </c>
      <c r="J2222" s="12" t="inlineStr">
        <is>
          <t>VFD cable 600 V 3/C Cu XHHW-2, 3 symmetrical grounds, overall Cu tape shield, TC-ER</t>
        </is>
      </c>
      <c r="K2222" s="12" t="inlineStr">
        <is>
          <t>VFD|3/C+3G|350</t>
        </is>
      </c>
      <c r="L2222" s="12" t="inlineStr">
        <is>
          <t>3/C+3G</t>
        </is>
      </c>
      <c r="M2222" s="12" t="inlineStr">
        <is>
          <t>350 kcmil</t>
        </is>
      </c>
      <c r="N2222" s="12" t="n">
        <v>1</v>
      </c>
      <c r="O2222" s="12" t="n">
        <v>1</v>
      </c>
      <c r="P2222" s="12" t="n">
        <v>480</v>
      </c>
      <c r="Q2222" s="12" t="n">
        <v>150</v>
      </c>
      <c r="R2222" s="12" t="n">
        <v>212</v>
      </c>
      <c r="S2222" s="12" t="inlineStr">
        <is>
          <t>Tray</t>
        </is>
      </c>
      <c r="T2222" s="16" t="n">
        <v>111</v>
      </c>
      <c r="U2222" s="16" t="n">
        <v>44</v>
      </c>
      <c r="V2222" s="16">
        <f>ROUNDUP((T2222+U2222+2*'Read Me'!$B$13)*(1+'Read Me'!$B$12),-1)</f>
        <v/>
      </c>
      <c r="W2222" s="16">
        <f>V2222*N2222*O2222</f>
        <v/>
      </c>
      <c r="X2222" s="12">
        <f>IF(LEFT(I2222,2)="MV",2*N2222*IF(L2222="1/C",O2222,1),0)</f>
        <v/>
      </c>
      <c r="Y2222" s="12">
        <f>IF(OR(LEFT(K2222,4)="LVAX",LEFT(K2222,6)="MV15AX",LEFT(K2222,4)="CTAX",LEFT(K2222,2)="W|"),2*N2222*O2222,0)</f>
        <v/>
      </c>
      <c r="Z2222" s="12" t="inlineStr">
        <is>
          <t>VD 0.5 %</t>
        </is>
      </c>
      <c r="AA2222" s="12">
        <f>N2222*O2222</f>
        <v/>
      </c>
    </row>
    <row r="2223">
      <c r="A2223" s="12" t="inlineStr">
        <is>
          <t>B-P-0047</t>
        </is>
      </c>
      <c r="B2223" s="12" t="inlineStr">
        <is>
          <t>B</t>
        </is>
      </c>
      <c r="C2223" s="12" t="inlineStr">
        <is>
          <t>ACC</t>
        </is>
      </c>
      <c r="D2223" s="12" t="inlineStr">
        <is>
          <t>ACC fan F47 motor (VFD output)</t>
        </is>
      </c>
      <c r="E2223" s="12" t="inlineStr">
        <is>
          <t>R4</t>
        </is>
      </c>
      <c r="F2223" s="12" t="inlineStr">
        <is>
          <t>R4: ACC electrical (VFD) e-house (60 x 120 ft)</t>
        </is>
      </c>
      <c r="G2223" s="12" t="inlineStr">
        <is>
          <t>ACC-F47</t>
        </is>
      </c>
      <c r="H2223" s="12" t="inlineStr">
        <is>
          <t>ACC fan motor F47</t>
        </is>
      </c>
      <c r="I2223" s="12" t="inlineStr">
        <is>
          <t>LV 600 V</t>
        </is>
      </c>
      <c r="J2223" s="12" t="inlineStr">
        <is>
          <t>VFD cable 600 V 3/C Cu XHHW-2, 3 symmetrical grounds, overall Cu tape shield, TC-ER</t>
        </is>
      </c>
      <c r="K2223" s="12" t="inlineStr">
        <is>
          <t>VFD|3/C+3G|350</t>
        </is>
      </c>
      <c r="L2223" s="12" t="inlineStr">
        <is>
          <t>3/C+3G</t>
        </is>
      </c>
      <c r="M2223" s="12" t="inlineStr">
        <is>
          <t>350 kcmil</t>
        </is>
      </c>
      <c r="N2223" s="12" t="n">
        <v>1</v>
      </c>
      <c r="O2223" s="12" t="n">
        <v>1</v>
      </c>
      <c r="P2223" s="12" t="n">
        <v>480</v>
      </c>
      <c r="Q2223" s="12" t="n">
        <v>150</v>
      </c>
      <c r="R2223" s="12" t="n">
        <v>212</v>
      </c>
      <c r="S2223" s="12" t="inlineStr">
        <is>
          <t>Tray</t>
        </is>
      </c>
      <c r="T2223" s="16" t="n">
        <v>143</v>
      </c>
      <c r="U2223" s="16" t="n">
        <v>44</v>
      </c>
      <c r="V2223" s="16">
        <f>ROUNDUP((T2223+U2223+2*'Read Me'!$B$13)*(1+'Read Me'!$B$12),-1)</f>
        <v/>
      </c>
      <c r="W2223" s="16">
        <f>V2223*N2223*O2223</f>
        <v/>
      </c>
      <c r="X2223" s="12">
        <f>IF(LEFT(I2223,2)="MV",2*N2223*IF(L2223="1/C",O2223,1),0)</f>
        <v/>
      </c>
      <c r="Y2223" s="12">
        <f>IF(OR(LEFT(K2223,4)="LVAX",LEFT(K2223,6)="MV15AX",LEFT(K2223,4)="CTAX",LEFT(K2223,2)="W|"),2*N2223*O2223,0)</f>
        <v/>
      </c>
      <c r="Z2223" s="12" t="inlineStr">
        <is>
          <t>VD 0.6 %</t>
        </is>
      </c>
      <c r="AA2223" s="12">
        <f>N2223*O2223</f>
        <v/>
      </c>
    </row>
    <row r="2224">
      <c r="A2224" s="12" t="inlineStr">
        <is>
          <t>B-P-0048</t>
        </is>
      </c>
      <c r="B2224" s="12" t="inlineStr">
        <is>
          <t>B</t>
        </is>
      </c>
      <c r="C2224" s="12" t="inlineStr">
        <is>
          <t>ACC</t>
        </is>
      </c>
      <c r="D2224" s="12" t="inlineStr">
        <is>
          <t>ACC fan F48 motor (VFD output)</t>
        </is>
      </c>
      <c r="E2224" s="12" t="inlineStr">
        <is>
          <t>R4</t>
        </is>
      </c>
      <c r="F2224" s="12" t="inlineStr">
        <is>
          <t>R4: ACC electrical (VFD) e-house (60 x 120 ft)</t>
        </is>
      </c>
      <c r="G2224" s="12" t="inlineStr">
        <is>
          <t>ACC-F48</t>
        </is>
      </c>
      <c r="H2224" s="12" t="inlineStr">
        <is>
          <t>ACC fan motor F48</t>
        </is>
      </c>
      <c r="I2224" s="12" t="inlineStr">
        <is>
          <t>LV 600 V</t>
        </is>
      </c>
      <c r="J2224" s="12" t="inlineStr">
        <is>
          <t>VFD cable 600 V 3/C Cu XHHW-2, 3 symmetrical grounds, overall Cu tape shield, TC-ER</t>
        </is>
      </c>
      <c r="K2224" s="12" t="inlineStr">
        <is>
          <t>VFD|3/C+3G|350</t>
        </is>
      </c>
      <c r="L2224" s="12" t="inlineStr">
        <is>
          <t>3/C+3G</t>
        </is>
      </c>
      <c r="M2224" s="12" t="inlineStr">
        <is>
          <t>350 kcmil</t>
        </is>
      </c>
      <c r="N2224" s="12" t="n">
        <v>1</v>
      </c>
      <c r="O2224" s="12" t="n">
        <v>1</v>
      </c>
      <c r="P2224" s="12" t="n">
        <v>480</v>
      </c>
      <c r="Q2224" s="12" t="n">
        <v>150</v>
      </c>
      <c r="R2224" s="12" t="n">
        <v>212</v>
      </c>
      <c r="S2224" s="12" t="inlineStr">
        <is>
          <t>Tray</t>
        </is>
      </c>
      <c r="T2224" s="16" t="n">
        <v>175</v>
      </c>
      <c r="U2224" s="16" t="n">
        <v>44</v>
      </c>
      <c r="V2224" s="16">
        <f>ROUNDUP((T2224+U2224+2*'Read Me'!$B$13)*(1+'Read Me'!$B$12),-1)</f>
        <v/>
      </c>
      <c r="W2224" s="16">
        <f>V2224*N2224*O2224</f>
        <v/>
      </c>
      <c r="X2224" s="12">
        <f>IF(LEFT(I2224,2)="MV",2*N2224*IF(L2224="1/C",O2224,1),0)</f>
        <v/>
      </c>
      <c r="Y2224" s="12">
        <f>IF(OR(LEFT(K2224,4)="LVAX",LEFT(K2224,6)="MV15AX",LEFT(K2224,4)="CTAX",LEFT(K2224,2)="W|"),2*N2224*O2224,0)</f>
        <v/>
      </c>
      <c r="Z2224" s="12" t="inlineStr">
        <is>
          <t>VD 0.7 %</t>
        </is>
      </c>
      <c r="AA2224" s="12">
        <f>N2224*O2224</f>
        <v/>
      </c>
    </row>
    <row r="2225">
      <c r="A2225" s="12" t="inlineStr">
        <is>
          <t>B-P-0049</t>
        </is>
      </c>
      <c r="B2225" s="12" t="inlineStr">
        <is>
          <t>B</t>
        </is>
      </c>
      <c r="C2225" s="12" t="inlineStr">
        <is>
          <t>ACC</t>
        </is>
      </c>
      <c r="D2225" s="12" t="inlineStr">
        <is>
          <t>ACC fan F49 motor (VFD output)</t>
        </is>
      </c>
      <c r="E2225" s="12" t="inlineStr">
        <is>
          <t>R4</t>
        </is>
      </c>
      <c r="F2225" s="12" t="inlineStr">
        <is>
          <t>R4: ACC electrical (VFD) e-house (60 x 120 ft)</t>
        </is>
      </c>
      <c r="G2225" s="12" t="inlineStr">
        <is>
          <t>ACC-F49</t>
        </is>
      </c>
      <c r="H2225" s="12" t="inlineStr">
        <is>
          <t>ACC fan motor F49</t>
        </is>
      </c>
      <c r="I2225" s="12" t="inlineStr">
        <is>
          <t>LV 600 V</t>
        </is>
      </c>
      <c r="J2225" s="12" t="inlineStr">
        <is>
          <t>VFD cable 600 V 3/C Cu XHHW-2, 3 symmetrical grounds, overall Cu tape shield, TC-ER</t>
        </is>
      </c>
      <c r="K2225" s="12" t="inlineStr">
        <is>
          <t>VFD|3/C+3G|350</t>
        </is>
      </c>
      <c r="L2225" s="12" t="inlineStr">
        <is>
          <t>3/C+3G</t>
        </is>
      </c>
      <c r="M2225" s="12" t="inlineStr">
        <is>
          <t>350 kcmil</t>
        </is>
      </c>
      <c r="N2225" s="12" t="n">
        <v>1</v>
      </c>
      <c r="O2225" s="12" t="n">
        <v>1</v>
      </c>
      <c r="P2225" s="12" t="n">
        <v>480</v>
      </c>
      <c r="Q2225" s="12" t="n">
        <v>150</v>
      </c>
      <c r="R2225" s="12" t="n">
        <v>212</v>
      </c>
      <c r="S2225" s="12" t="inlineStr">
        <is>
          <t>Tray</t>
        </is>
      </c>
      <c r="T2225" s="16" t="n">
        <v>207</v>
      </c>
      <c r="U2225" s="16" t="n">
        <v>44</v>
      </c>
      <c r="V2225" s="16">
        <f>ROUNDUP((T2225+U2225+2*'Read Me'!$B$13)*(1+'Read Me'!$B$12),-1)</f>
        <v/>
      </c>
      <c r="W2225" s="16">
        <f>V2225*N2225*O2225</f>
        <v/>
      </c>
      <c r="X2225" s="12">
        <f>IF(LEFT(I2225,2)="MV",2*N2225*IF(L2225="1/C",O2225,1),0)</f>
        <v/>
      </c>
      <c r="Y2225" s="12">
        <f>IF(OR(LEFT(K2225,4)="LVAX",LEFT(K2225,6)="MV15AX",LEFT(K2225,4)="CTAX",LEFT(K2225,2)="W|"),2*N2225*O2225,0)</f>
        <v/>
      </c>
      <c r="Z2225" s="12" t="inlineStr">
        <is>
          <t>VD 0.8 %</t>
        </is>
      </c>
      <c r="AA2225" s="12">
        <f>N2225*O2225</f>
        <v/>
      </c>
    </row>
    <row r="2226">
      <c r="A2226" s="12" t="inlineStr">
        <is>
          <t>B-P-0050</t>
        </is>
      </c>
      <c r="B2226" s="12" t="inlineStr">
        <is>
          <t>B</t>
        </is>
      </c>
      <c r="C2226" s="12" t="inlineStr">
        <is>
          <t>ACC</t>
        </is>
      </c>
      <c r="D2226" s="12" t="inlineStr">
        <is>
          <t>ACC fan F50 motor (VFD output)</t>
        </is>
      </c>
      <c r="E2226" s="12" t="inlineStr">
        <is>
          <t>R4</t>
        </is>
      </c>
      <c r="F2226" s="12" t="inlineStr">
        <is>
          <t>R4: ACC electrical (VFD) e-house (60 x 120 ft)</t>
        </is>
      </c>
      <c r="G2226" s="12" t="inlineStr">
        <is>
          <t>ACC-F50</t>
        </is>
      </c>
      <c r="H2226" s="12" t="inlineStr">
        <is>
          <t>ACC fan motor F50</t>
        </is>
      </c>
      <c r="I2226" s="12" t="inlineStr">
        <is>
          <t>LV 600 V</t>
        </is>
      </c>
      <c r="J2226" s="12" t="inlineStr">
        <is>
          <t>VFD cable 600 V 3/C Cu XHHW-2, 3 symmetrical grounds, overall Cu tape shield, TC-ER</t>
        </is>
      </c>
      <c r="K2226" s="12" t="inlineStr">
        <is>
          <t>VFD|3/C+3G|350</t>
        </is>
      </c>
      <c r="L2226" s="12" t="inlineStr">
        <is>
          <t>3/C+3G</t>
        </is>
      </c>
      <c r="M2226" s="12" t="inlineStr">
        <is>
          <t>350 kcmil</t>
        </is>
      </c>
      <c r="N2226" s="12" t="n">
        <v>1</v>
      </c>
      <c r="O2226" s="12" t="n">
        <v>1</v>
      </c>
      <c r="P2226" s="12" t="n">
        <v>480</v>
      </c>
      <c r="Q2226" s="12" t="n">
        <v>150</v>
      </c>
      <c r="R2226" s="12" t="n">
        <v>212</v>
      </c>
      <c r="S2226" s="12" t="inlineStr">
        <is>
          <t>Tray</t>
        </is>
      </c>
      <c r="T2226" s="16" t="n">
        <v>239</v>
      </c>
      <c r="U2226" s="16" t="n">
        <v>44</v>
      </c>
      <c r="V2226" s="16">
        <f>ROUNDUP((T2226+U2226+2*'Read Me'!$B$13)*(1+'Read Me'!$B$12),-1)</f>
        <v/>
      </c>
      <c r="W2226" s="16">
        <f>V2226*N2226*O2226</f>
        <v/>
      </c>
      <c r="X2226" s="12">
        <f>IF(LEFT(I2226,2)="MV",2*N2226*IF(L2226="1/C",O2226,1),0)</f>
        <v/>
      </c>
      <c r="Y2226" s="12">
        <f>IF(OR(LEFT(K2226,4)="LVAX",LEFT(K2226,6)="MV15AX",LEFT(K2226,4)="CTAX",LEFT(K2226,2)="W|"),2*N2226*O2226,0)</f>
        <v/>
      </c>
      <c r="Z2226" s="12" t="inlineStr">
        <is>
          <t>VD 0.9 %</t>
        </is>
      </c>
      <c r="AA2226" s="12">
        <f>N2226*O2226</f>
        <v/>
      </c>
    </row>
    <row r="2227">
      <c r="A2227" s="12" t="inlineStr">
        <is>
          <t>B-P-0051</t>
        </is>
      </c>
      <c r="B2227" s="12" t="inlineStr">
        <is>
          <t>B</t>
        </is>
      </c>
      <c r="C2227" s="12" t="inlineStr">
        <is>
          <t>ACC</t>
        </is>
      </c>
      <c r="D2227" s="12" t="inlineStr">
        <is>
          <t>ACC fan F51 motor (VFD output)</t>
        </is>
      </c>
      <c r="E2227" s="12" t="inlineStr">
        <is>
          <t>R4</t>
        </is>
      </c>
      <c r="F2227" s="12" t="inlineStr">
        <is>
          <t>R4: ACC electrical (VFD) e-house (60 x 120 ft)</t>
        </is>
      </c>
      <c r="G2227" s="12" t="inlineStr">
        <is>
          <t>ACC-F51</t>
        </is>
      </c>
      <c r="H2227" s="12" t="inlineStr">
        <is>
          <t>ACC fan motor F51</t>
        </is>
      </c>
      <c r="I2227" s="12" t="inlineStr">
        <is>
          <t>LV 600 V</t>
        </is>
      </c>
      <c r="J2227" s="12" t="inlineStr">
        <is>
          <t>VFD cable 600 V 3/C Cu XHHW-2, 3 symmetrical grounds, overall Cu tape shield, TC-ER</t>
        </is>
      </c>
      <c r="K2227" s="12" t="inlineStr">
        <is>
          <t>VFD|3/C+3G|350</t>
        </is>
      </c>
      <c r="L2227" s="12" t="inlineStr">
        <is>
          <t>3/C+3G</t>
        </is>
      </c>
      <c r="M2227" s="12" t="inlineStr">
        <is>
          <t>350 kcmil</t>
        </is>
      </c>
      <c r="N2227" s="12" t="n">
        <v>1</v>
      </c>
      <c r="O2227" s="12" t="n">
        <v>1</v>
      </c>
      <c r="P2227" s="12" t="n">
        <v>480</v>
      </c>
      <c r="Q2227" s="12" t="n">
        <v>150</v>
      </c>
      <c r="R2227" s="12" t="n">
        <v>212</v>
      </c>
      <c r="S2227" s="12" t="inlineStr">
        <is>
          <t>Tray</t>
        </is>
      </c>
      <c r="T2227" s="16" t="n">
        <v>289</v>
      </c>
      <c r="U2227" s="16" t="n">
        <v>44</v>
      </c>
      <c r="V2227" s="16">
        <f>ROUNDUP((T2227+U2227+2*'Read Me'!$B$13)*(1+'Read Me'!$B$12),-1)</f>
        <v/>
      </c>
      <c r="W2227" s="16">
        <f>V2227*N2227*O2227</f>
        <v/>
      </c>
      <c r="X2227" s="12">
        <f>IF(LEFT(I2227,2)="MV",2*N2227*IF(L2227="1/C",O2227,1),0)</f>
        <v/>
      </c>
      <c r="Y2227" s="12">
        <f>IF(OR(LEFT(K2227,4)="LVAX",LEFT(K2227,6)="MV15AX",LEFT(K2227,4)="CTAX",LEFT(K2227,2)="W|"),2*N2227*O2227,0)</f>
        <v/>
      </c>
      <c r="Z2227" s="12" t="inlineStr">
        <is>
          <t>VD 1.0 %</t>
        </is>
      </c>
      <c r="AA2227" s="12">
        <f>N2227*O2227</f>
        <v/>
      </c>
    </row>
    <row r="2228">
      <c r="A2228" s="12" t="inlineStr">
        <is>
          <t>B-P-0052</t>
        </is>
      </c>
      <c r="B2228" s="12" t="inlineStr">
        <is>
          <t>B</t>
        </is>
      </c>
      <c r="C2228" s="12" t="inlineStr">
        <is>
          <t>ACC</t>
        </is>
      </c>
      <c r="D2228" s="12" t="inlineStr">
        <is>
          <t>ACC fan F52 motor (VFD output)</t>
        </is>
      </c>
      <c r="E2228" s="12" t="inlineStr">
        <is>
          <t>R4</t>
        </is>
      </c>
      <c r="F2228" s="12" t="inlineStr">
        <is>
          <t>R4: ACC electrical (VFD) e-house (60 x 120 ft)</t>
        </is>
      </c>
      <c r="G2228" s="12" t="inlineStr">
        <is>
          <t>ACC-F52</t>
        </is>
      </c>
      <c r="H2228" s="12" t="inlineStr">
        <is>
          <t>ACC fan motor F52</t>
        </is>
      </c>
      <c r="I2228" s="12" t="inlineStr">
        <is>
          <t>LV 600 V</t>
        </is>
      </c>
      <c r="J2228" s="12" t="inlineStr">
        <is>
          <t>VFD cable 600 V 3/C Cu XHHW-2, 3 symmetrical grounds, overall Cu tape shield, TC-ER</t>
        </is>
      </c>
      <c r="K2228" s="12" t="inlineStr">
        <is>
          <t>VFD|3/C+3G|350</t>
        </is>
      </c>
      <c r="L2228" s="12" t="inlineStr">
        <is>
          <t>3/C+3G</t>
        </is>
      </c>
      <c r="M2228" s="12" t="inlineStr">
        <is>
          <t>350 kcmil</t>
        </is>
      </c>
      <c r="N2228" s="12" t="n">
        <v>1</v>
      </c>
      <c r="O2228" s="12" t="n">
        <v>1</v>
      </c>
      <c r="P2228" s="12" t="n">
        <v>480</v>
      </c>
      <c r="Q2228" s="12" t="n">
        <v>150</v>
      </c>
      <c r="R2228" s="12" t="n">
        <v>212</v>
      </c>
      <c r="S2228" s="12" t="inlineStr">
        <is>
          <t>Tray</t>
        </is>
      </c>
      <c r="T2228" s="16" t="n">
        <v>257</v>
      </c>
      <c r="U2228" s="16" t="n">
        <v>44</v>
      </c>
      <c r="V2228" s="16">
        <f>ROUNDUP((T2228+U2228+2*'Read Me'!$B$13)*(1+'Read Me'!$B$12),-1)</f>
        <v/>
      </c>
      <c r="W2228" s="16">
        <f>V2228*N2228*O2228</f>
        <v/>
      </c>
      <c r="X2228" s="12">
        <f>IF(LEFT(I2228,2)="MV",2*N2228*IF(L2228="1/C",O2228,1),0)</f>
        <v/>
      </c>
      <c r="Y2228" s="12">
        <f>IF(OR(LEFT(K2228,4)="LVAX",LEFT(K2228,6)="MV15AX",LEFT(K2228,4)="CTAX",LEFT(K2228,2)="W|"),2*N2228*O2228,0)</f>
        <v/>
      </c>
      <c r="Z2228" s="12" t="inlineStr">
        <is>
          <t>VD 0.9 %</t>
        </is>
      </c>
      <c r="AA2228" s="12">
        <f>N2228*O2228</f>
        <v/>
      </c>
    </row>
    <row r="2229">
      <c r="A2229" s="12" t="inlineStr">
        <is>
          <t>B-P-0053</t>
        </is>
      </c>
      <c r="B2229" s="12" t="inlineStr">
        <is>
          <t>B</t>
        </is>
      </c>
      <c r="C2229" s="12" t="inlineStr">
        <is>
          <t>ACC</t>
        </is>
      </c>
      <c r="D2229" s="12" t="inlineStr">
        <is>
          <t>ACC fan F53 motor (VFD output)</t>
        </is>
      </c>
      <c r="E2229" s="12" t="inlineStr">
        <is>
          <t>R4</t>
        </is>
      </c>
      <c r="F2229" s="12" t="inlineStr">
        <is>
          <t>R4: ACC electrical (VFD) e-house (60 x 120 ft)</t>
        </is>
      </c>
      <c r="G2229" s="12" t="inlineStr">
        <is>
          <t>ACC-F53</t>
        </is>
      </c>
      <c r="H2229" s="12" t="inlineStr">
        <is>
          <t>ACC fan motor F53</t>
        </is>
      </c>
      <c r="I2229" s="12" t="inlineStr">
        <is>
          <t>LV 600 V</t>
        </is>
      </c>
      <c r="J2229" s="12" t="inlineStr">
        <is>
          <t>VFD cable 600 V 3/C Cu XHHW-2, 3 symmetrical grounds, overall Cu tape shield, TC-ER</t>
        </is>
      </c>
      <c r="K2229" s="12" t="inlineStr">
        <is>
          <t>VFD|3/C+3G|350</t>
        </is>
      </c>
      <c r="L2229" s="12" t="inlineStr">
        <is>
          <t>3/C+3G</t>
        </is>
      </c>
      <c r="M2229" s="12" t="inlineStr">
        <is>
          <t>350 kcmil</t>
        </is>
      </c>
      <c r="N2229" s="12" t="n">
        <v>1</v>
      </c>
      <c r="O2229" s="12" t="n">
        <v>1</v>
      </c>
      <c r="P2229" s="12" t="n">
        <v>480</v>
      </c>
      <c r="Q2229" s="12" t="n">
        <v>150</v>
      </c>
      <c r="R2229" s="12" t="n">
        <v>212</v>
      </c>
      <c r="S2229" s="12" t="inlineStr">
        <is>
          <t>Tray</t>
        </is>
      </c>
      <c r="T2229" s="16" t="n">
        <v>225</v>
      </c>
      <c r="U2229" s="16" t="n">
        <v>44</v>
      </c>
      <c r="V2229" s="16">
        <f>ROUNDUP((T2229+U2229+2*'Read Me'!$B$13)*(1+'Read Me'!$B$12),-1)</f>
        <v/>
      </c>
      <c r="W2229" s="16">
        <f>V2229*N2229*O2229</f>
        <v/>
      </c>
      <c r="X2229" s="12">
        <f>IF(LEFT(I2229,2)="MV",2*N2229*IF(L2229="1/C",O2229,1),0)</f>
        <v/>
      </c>
      <c r="Y2229" s="12">
        <f>IF(OR(LEFT(K2229,4)="LVAX",LEFT(K2229,6)="MV15AX",LEFT(K2229,4)="CTAX",LEFT(K2229,2)="W|"),2*N2229*O2229,0)</f>
        <v/>
      </c>
      <c r="Z2229" s="12" t="inlineStr">
        <is>
          <t>VD 0.8 %</t>
        </is>
      </c>
      <c r="AA2229" s="12">
        <f>N2229*O2229</f>
        <v/>
      </c>
    </row>
    <row r="2230">
      <c r="A2230" s="12" t="inlineStr">
        <is>
          <t>B-P-0054</t>
        </is>
      </c>
      <c r="B2230" s="12" t="inlineStr">
        <is>
          <t>B</t>
        </is>
      </c>
      <c r="C2230" s="12" t="inlineStr">
        <is>
          <t>ACC</t>
        </is>
      </c>
      <c r="D2230" s="12" t="inlineStr">
        <is>
          <t>ACC fan F54 motor (VFD output)</t>
        </is>
      </c>
      <c r="E2230" s="12" t="inlineStr">
        <is>
          <t>R4</t>
        </is>
      </c>
      <c r="F2230" s="12" t="inlineStr">
        <is>
          <t>R4: ACC electrical (VFD) e-house (60 x 120 ft)</t>
        </is>
      </c>
      <c r="G2230" s="12" t="inlineStr">
        <is>
          <t>ACC-F54</t>
        </is>
      </c>
      <c r="H2230" s="12" t="inlineStr">
        <is>
          <t>ACC fan motor F54</t>
        </is>
      </c>
      <c r="I2230" s="12" t="inlineStr">
        <is>
          <t>LV 600 V</t>
        </is>
      </c>
      <c r="J2230" s="12" t="inlineStr">
        <is>
          <t>VFD cable 600 V 3/C Cu XHHW-2, 3 symmetrical grounds, overall Cu tape shield, TC-ER</t>
        </is>
      </c>
      <c r="K2230" s="12" t="inlineStr">
        <is>
          <t>VFD|3/C+3G|350</t>
        </is>
      </c>
      <c r="L2230" s="12" t="inlineStr">
        <is>
          <t>3/C+3G</t>
        </is>
      </c>
      <c r="M2230" s="12" t="inlineStr">
        <is>
          <t>350 kcmil</t>
        </is>
      </c>
      <c r="N2230" s="12" t="n">
        <v>1</v>
      </c>
      <c r="O2230" s="12" t="n">
        <v>1</v>
      </c>
      <c r="P2230" s="12" t="n">
        <v>480</v>
      </c>
      <c r="Q2230" s="12" t="n">
        <v>150</v>
      </c>
      <c r="R2230" s="12" t="n">
        <v>212</v>
      </c>
      <c r="S2230" s="12" t="inlineStr">
        <is>
          <t>Tray</t>
        </is>
      </c>
      <c r="T2230" s="16" t="n">
        <v>193</v>
      </c>
      <c r="U2230" s="16" t="n">
        <v>44</v>
      </c>
      <c r="V2230" s="16">
        <f>ROUNDUP((T2230+U2230+2*'Read Me'!$B$13)*(1+'Read Me'!$B$12),-1)</f>
        <v/>
      </c>
      <c r="W2230" s="16">
        <f>V2230*N2230*O2230</f>
        <v/>
      </c>
      <c r="X2230" s="12">
        <f>IF(LEFT(I2230,2)="MV",2*N2230*IF(L2230="1/C",O2230,1),0)</f>
        <v/>
      </c>
      <c r="Y2230" s="12">
        <f>IF(OR(LEFT(K2230,4)="LVAX",LEFT(K2230,6)="MV15AX",LEFT(K2230,4)="CTAX",LEFT(K2230,2)="W|"),2*N2230*O2230,0)</f>
        <v/>
      </c>
      <c r="Z2230" s="12" t="inlineStr">
        <is>
          <t>VD 0.7 %</t>
        </is>
      </c>
      <c r="AA2230" s="12">
        <f>N2230*O2230</f>
        <v/>
      </c>
    </row>
    <row r="2231">
      <c r="A2231" s="12" t="inlineStr">
        <is>
          <t>B-P-0055</t>
        </is>
      </c>
      <c r="B2231" s="12" t="inlineStr">
        <is>
          <t>B</t>
        </is>
      </c>
      <c r="C2231" s="12" t="inlineStr">
        <is>
          <t>ACC</t>
        </is>
      </c>
      <c r="D2231" s="12" t="inlineStr">
        <is>
          <t>ACC fan F55 motor (VFD output)</t>
        </is>
      </c>
      <c r="E2231" s="12" t="inlineStr">
        <is>
          <t>R4</t>
        </is>
      </c>
      <c r="F2231" s="12" t="inlineStr">
        <is>
          <t>R4: ACC electrical (VFD) e-house (60 x 120 ft)</t>
        </is>
      </c>
      <c r="G2231" s="12" t="inlineStr">
        <is>
          <t>ACC-F55</t>
        </is>
      </c>
      <c r="H2231" s="12" t="inlineStr">
        <is>
          <t>ACC fan motor F55</t>
        </is>
      </c>
      <c r="I2231" s="12" t="inlineStr">
        <is>
          <t>LV 600 V</t>
        </is>
      </c>
      <c r="J2231" s="12" t="inlineStr">
        <is>
          <t>VFD cable 600 V 3/C Cu XHHW-2, 3 symmetrical grounds, overall Cu tape shield, TC-ER</t>
        </is>
      </c>
      <c r="K2231" s="12" t="inlineStr">
        <is>
          <t>VFD|3/C+3G|350</t>
        </is>
      </c>
      <c r="L2231" s="12" t="inlineStr">
        <is>
          <t>3/C+3G</t>
        </is>
      </c>
      <c r="M2231" s="12" t="inlineStr">
        <is>
          <t>350 kcmil</t>
        </is>
      </c>
      <c r="N2231" s="12" t="n">
        <v>1</v>
      </c>
      <c r="O2231" s="12" t="n">
        <v>1</v>
      </c>
      <c r="P2231" s="12" t="n">
        <v>480</v>
      </c>
      <c r="Q2231" s="12" t="n">
        <v>150</v>
      </c>
      <c r="R2231" s="12" t="n">
        <v>212</v>
      </c>
      <c r="S2231" s="12" t="inlineStr">
        <is>
          <t>Tray</t>
        </is>
      </c>
      <c r="T2231" s="16" t="n">
        <v>161</v>
      </c>
      <c r="U2231" s="16" t="n">
        <v>44</v>
      </c>
      <c r="V2231" s="16">
        <f>ROUNDUP((T2231+U2231+2*'Read Me'!$B$13)*(1+'Read Me'!$B$12),-1)</f>
        <v/>
      </c>
      <c r="W2231" s="16">
        <f>V2231*N2231*O2231</f>
        <v/>
      </c>
      <c r="X2231" s="12">
        <f>IF(LEFT(I2231,2)="MV",2*N2231*IF(L2231="1/C",O2231,1),0)</f>
        <v/>
      </c>
      <c r="Y2231" s="12">
        <f>IF(OR(LEFT(K2231,4)="LVAX",LEFT(K2231,6)="MV15AX",LEFT(K2231,4)="CTAX",LEFT(K2231,2)="W|"),2*N2231*O2231,0)</f>
        <v/>
      </c>
      <c r="Z2231" s="12" t="inlineStr">
        <is>
          <t>VD 0.6 %</t>
        </is>
      </c>
      <c r="AA2231" s="12">
        <f>N2231*O2231</f>
        <v/>
      </c>
    </row>
    <row r="2232">
      <c r="A2232" s="12" t="inlineStr">
        <is>
          <t>B-P-0056</t>
        </is>
      </c>
      <c r="B2232" s="12" t="inlineStr">
        <is>
          <t>B</t>
        </is>
      </c>
      <c r="C2232" s="12" t="inlineStr">
        <is>
          <t>ACC</t>
        </is>
      </c>
      <c r="D2232" s="12" t="inlineStr">
        <is>
          <t>ACC fan F56 motor (VFD output)</t>
        </is>
      </c>
      <c r="E2232" s="12" t="inlineStr">
        <is>
          <t>R4</t>
        </is>
      </c>
      <c r="F2232" s="12" t="inlineStr">
        <is>
          <t>R4: ACC electrical (VFD) e-house (60 x 120 ft)</t>
        </is>
      </c>
      <c r="G2232" s="12" t="inlineStr">
        <is>
          <t>ACC-F56</t>
        </is>
      </c>
      <c r="H2232" s="12" t="inlineStr">
        <is>
          <t>ACC fan motor F56</t>
        </is>
      </c>
      <c r="I2232" s="12" t="inlineStr">
        <is>
          <t>LV 600 V</t>
        </is>
      </c>
      <c r="J2232" s="12" t="inlineStr">
        <is>
          <t>VFD cable 600 V 3/C Cu XHHW-2, 3 symmetrical grounds, overall Cu tape shield, TC-ER</t>
        </is>
      </c>
      <c r="K2232" s="12" t="inlineStr">
        <is>
          <t>VFD|3/C+3G|350</t>
        </is>
      </c>
      <c r="L2232" s="12" t="inlineStr">
        <is>
          <t>3/C+3G</t>
        </is>
      </c>
      <c r="M2232" s="12" t="inlineStr">
        <is>
          <t>350 kcmil</t>
        </is>
      </c>
      <c r="N2232" s="12" t="n">
        <v>1</v>
      </c>
      <c r="O2232" s="12" t="n">
        <v>1</v>
      </c>
      <c r="P2232" s="12" t="n">
        <v>480</v>
      </c>
      <c r="Q2232" s="12" t="n">
        <v>150</v>
      </c>
      <c r="R2232" s="12" t="n">
        <v>212</v>
      </c>
      <c r="S2232" s="12" t="inlineStr">
        <is>
          <t>Tray</t>
        </is>
      </c>
      <c r="T2232" s="16" t="n">
        <v>161</v>
      </c>
      <c r="U2232" s="16" t="n">
        <v>44</v>
      </c>
      <c r="V2232" s="16">
        <f>ROUNDUP((T2232+U2232+2*'Read Me'!$B$13)*(1+'Read Me'!$B$12),-1)</f>
        <v/>
      </c>
      <c r="W2232" s="16">
        <f>V2232*N2232*O2232</f>
        <v/>
      </c>
      <c r="X2232" s="12">
        <f>IF(LEFT(I2232,2)="MV",2*N2232*IF(L2232="1/C",O2232,1),0)</f>
        <v/>
      </c>
      <c r="Y2232" s="12">
        <f>IF(OR(LEFT(K2232,4)="LVAX",LEFT(K2232,6)="MV15AX",LEFT(K2232,4)="CTAX",LEFT(K2232,2)="W|"),2*N2232*O2232,0)</f>
        <v/>
      </c>
      <c r="Z2232" s="12" t="inlineStr">
        <is>
          <t>VD 0.6 %</t>
        </is>
      </c>
      <c r="AA2232" s="12">
        <f>N2232*O2232</f>
        <v/>
      </c>
    </row>
    <row r="2233">
      <c r="A2233" s="12" t="inlineStr">
        <is>
          <t>B-P-0057</t>
        </is>
      </c>
      <c r="B2233" s="12" t="inlineStr">
        <is>
          <t>B</t>
        </is>
      </c>
      <c r="C2233" s="12" t="inlineStr">
        <is>
          <t>ACC</t>
        </is>
      </c>
      <c r="D2233" s="12" t="inlineStr">
        <is>
          <t>ACC fan F57 motor (VFD output)</t>
        </is>
      </c>
      <c r="E2233" s="12" t="inlineStr">
        <is>
          <t>R4</t>
        </is>
      </c>
      <c r="F2233" s="12" t="inlineStr">
        <is>
          <t>R4: ACC electrical (VFD) e-house (60 x 120 ft)</t>
        </is>
      </c>
      <c r="G2233" s="12" t="inlineStr">
        <is>
          <t>ACC-F57</t>
        </is>
      </c>
      <c r="H2233" s="12" t="inlineStr">
        <is>
          <t>ACC fan motor F57</t>
        </is>
      </c>
      <c r="I2233" s="12" t="inlineStr">
        <is>
          <t>LV 600 V</t>
        </is>
      </c>
      <c r="J2233" s="12" t="inlineStr">
        <is>
          <t>VFD cable 600 V 3/C Cu XHHW-2, 3 symmetrical grounds, overall Cu tape shield, TC-ER</t>
        </is>
      </c>
      <c r="K2233" s="12" t="inlineStr">
        <is>
          <t>VFD|3/C+3G|350</t>
        </is>
      </c>
      <c r="L2233" s="12" t="inlineStr">
        <is>
          <t>3/C+3G</t>
        </is>
      </c>
      <c r="M2233" s="12" t="inlineStr">
        <is>
          <t>350 kcmil</t>
        </is>
      </c>
      <c r="N2233" s="12" t="n">
        <v>1</v>
      </c>
      <c r="O2233" s="12" t="n">
        <v>1</v>
      </c>
      <c r="P2233" s="12" t="n">
        <v>480</v>
      </c>
      <c r="Q2233" s="12" t="n">
        <v>150</v>
      </c>
      <c r="R2233" s="12" t="n">
        <v>212</v>
      </c>
      <c r="S2233" s="12" t="inlineStr">
        <is>
          <t>Tray</t>
        </is>
      </c>
      <c r="T2233" s="16" t="n">
        <v>193</v>
      </c>
      <c r="U2233" s="16" t="n">
        <v>44</v>
      </c>
      <c r="V2233" s="16">
        <f>ROUNDUP((T2233+U2233+2*'Read Me'!$B$13)*(1+'Read Me'!$B$12),-1)</f>
        <v/>
      </c>
      <c r="W2233" s="16">
        <f>V2233*N2233*O2233</f>
        <v/>
      </c>
      <c r="X2233" s="12">
        <f>IF(LEFT(I2233,2)="MV",2*N2233*IF(L2233="1/C",O2233,1),0)</f>
        <v/>
      </c>
      <c r="Y2233" s="12">
        <f>IF(OR(LEFT(K2233,4)="LVAX",LEFT(K2233,6)="MV15AX",LEFT(K2233,4)="CTAX",LEFT(K2233,2)="W|"),2*N2233*O2233,0)</f>
        <v/>
      </c>
      <c r="Z2233" s="12" t="inlineStr">
        <is>
          <t>VD 0.7 %</t>
        </is>
      </c>
      <c r="AA2233" s="12">
        <f>N2233*O2233</f>
        <v/>
      </c>
    </row>
    <row r="2234">
      <c r="A2234" s="12" t="inlineStr">
        <is>
          <t>B-P-0058</t>
        </is>
      </c>
      <c r="B2234" s="12" t="inlineStr">
        <is>
          <t>B</t>
        </is>
      </c>
      <c r="C2234" s="12" t="inlineStr">
        <is>
          <t>ACC</t>
        </is>
      </c>
      <c r="D2234" s="12" t="inlineStr">
        <is>
          <t>ACC fan F58 motor (VFD output)</t>
        </is>
      </c>
      <c r="E2234" s="12" t="inlineStr">
        <is>
          <t>R4</t>
        </is>
      </c>
      <c r="F2234" s="12" t="inlineStr">
        <is>
          <t>R4: ACC electrical (VFD) e-house (60 x 120 ft)</t>
        </is>
      </c>
      <c r="G2234" s="12" t="inlineStr">
        <is>
          <t>ACC-F58</t>
        </is>
      </c>
      <c r="H2234" s="12" t="inlineStr">
        <is>
          <t>ACC fan motor F58</t>
        </is>
      </c>
      <c r="I2234" s="12" t="inlineStr">
        <is>
          <t>LV 600 V</t>
        </is>
      </c>
      <c r="J2234" s="12" t="inlineStr">
        <is>
          <t>VFD cable 600 V 3/C Cu XHHW-2, 3 symmetrical grounds, overall Cu tape shield, TC-ER</t>
        </is>
      </c>
      <c r="K2234" s="12" t="inlineStr">
        <is>
          <t>VFD|3/C+3G|350</t>
        </is>
      </c>
      <c r="L2234" s="12" t="inlineStr">
        <is>
          <t>3/C+3G</t>
        </is>
      </c>
      <c r="M2234" s="12" t="inlineStr">
        <is>
          <t>350 kcmil</t>
        </is>
      </c>
      <c r="N2234" s="12" t="n">
        <v>1</v>
      </c>
      <c r="O2234" s="12" t="n">
        <v>1</v>
      </c>
      <c r="P2234" s="12" t="n">
        <v>480</v>
      </c>
      <c r="Q2234" s="12" t="n">
        <v>150</v>
      </c>
      <c r="R2234" s="12" t="n">
        <v>212</v>
      </c>
      <c r="S2234" s="12" t="inlineStr">
        <is>
          <t>Tray</t>
        </is>
      </c>
      <c r="T2234" s="16" t="n">
        <v>225</v>
      </c>
      <c r="U2234" s="16" t="n">
        <v>44</v>
      </c>
      <c r="V2234" s="16">
        <f>ROUNDUP((T2234+U2234+2*'Read Me'!$B$13)*(1+'Read Me'!$B$12),-1)</f>
        <v/>
      </c>
      <c r="W2234" s="16">
        <f>V2234*N2234*O2234</f>
        <v/>
      </c>
      <c r="X2234" s="12">
        <f>IF(LEFT(I2234,2)="MV",2*N2234*IF(L2234="1/C",O2234,1),0)</f>
        <v/>
      </c>
      <c r="Y2234" s="12">
        <f>IF(OR(LEFT(K2234,4)="LVAX",LEFT(K2234,6)="MV15AX",LEFT(K2234,4)="CTAX",LEFT(K2234,2)="W|"),2*N2234*O2234,0)</f>
        <v/>
      </c>
      <c r="Z2234" s="12" t="inlineStr">
        <is>
          <t>VD 0.8 %</t>
        </is>
      </c>
      <c r="AA2234" s="12">
        <f>N2234*O2234</f>
        <v/>
      </c>
    </row>
    <row r="2235">
      <c r="A2235" s="12" t="inlineStr">
        <is>
          <t>B-P-0059</t>
        </is>
      </c>
      <c r="B2235" s="12" t="inlineStr">
        <is>
          <t>B</t>
        </is>
      </c>
      <c r="C2235" s="12" t="inlineStr">
        <is>
          <t>ACC</t>
        </is>
      </c>
      <c r="D2235" s="12" t="inlineStr">
        <is>
          <t>ACC fan F59 motor (VFD output)</t>
        </is>
      </c>
      <c r="E2235" s="12" t="inlineStr">
        <is>
          <t>R4</t>
        </is>
      </c>
      <c r="F2235" s="12" t="inlineStr">
        <is>
          <t>R4: ACC electrical (VFD) e-house (60 x 120 ft)</t>
        </is>
      </c>
      <c r="G2235" s="12" t="inlineStr">
        <is>
          <t>ACC-F59</t>
        </is>
      </c>
      <c r="H2235" s="12" t="inlineStr">
        <is>
          <t>ACC fan motor F59</t>
        </is>
      </c>
      <c r="I2235" s="12" t="inlineStr">
        <is>
          <t>LV 600 V</t>
        </is>
      </c>
      <c r="J2235" s="12" t="inlineStr">
        <is>
          <t>VFD cable 600 V 3/C Cu XHHW-2, 3 symmetrical grounds, overall Cu tape shield, TC-ER</t>
        </is>
      </c>
      <c r="K2235" s="12" t="inlineStr">
        <is>
          <t>VFD|3/C+3G|350</t>
        </is>
      </c>
      <c r="L2235" s="12" t="inlineStr">
        <is>
          <t>3/C+3G</t>
        </is>
      </c>
      <c r="M2235" s="12" t="inlineStr">
        <is>
          <t>350 kcmil</t>
        </is>
      </c>
      <c r="N2235" s="12" t="n">
        <v>1</v>
      </c>
      <c r="O2235" s="12" t="n">
        <v>1</v>
      </c>
      <c r="P2235" s="12" t="n">
        <v>480</v>
      </c>
      <c r="Q2235" s="12" t="n">
        <v>150</v>
      </c>
      <c r="R2235" s="12" t="n">
        <v>212</v>
      </c>
      <c r="S2235" s="12" t="inlineStr">
        <is>
          <t>Tray</t>
        </is>
      </c>
      <c r="T2235" s="16" t="n">
        <v>257</v>
      </c>
      <c r="U2235" s="16" t="n">
        <v>44</v>
      </c>
      <c r="V2235" s="16">
        <f>ROUNDUP((T2235+U2235+2*'Read Me'!$B$13)*(1+'Read Me'!$B$12),-1)</f>
        <v/>
      </c>
      <c r="W2235" s="16">
        <f>V2235*N2235*O2235</f>
        <v/>
      </c>
      <c r="X2235" s="12">
        <f>IF(LEFT(I2235,2)="MV",2*N2235*IF(L2235="1/C",O2235,1),0)</f>
        <v/>
      </c>
      <c r="Y2235" s="12">
        <f>IF(OR(LEFT(K2235,4)="LVAX",LEFT(K2235,6)="MV15AX",LEFT(K2235,4)="CTAX",LEFT(K2235,2)="W|"),2*N2235*O2235,0)</f>
        <v/>
      </c>
      <c r="Z2235" s="12" t="inlineStr">
        <is>
          <t>VD 0.9 %</t>
        </is>
      </c>
      <c r="AA2235" s="12">
        <f>N2235*O2235</f>
        <v/>
      </c>
    </row>
    <row r="2236">
      <c r="A2236" s="12" t="inlineStr">
        <is>
          <t>B-P-0060</t>
        </is>
      </c>
      <c r="B2236" s="12" t="inlineStr">
        <is>
          <t>B</t>
        </is>
      </c>
      <c r="C2236" s="12" t="inlineStr">
        <is>
          <t>ACC</t>
        </is>
      </c>
      <c r="D2236" s="12" t="inlineStr">
        <is>
          <t>ACC fan F60 motor (VFD output)</t>
        </is>
      </c>
      <c r="E2236" s="12" t="inlineStr">
        <is>
          <t>R4</t>
        </is>
      </c>
      <c r="F2236" s="12" t="inlineStr">
        <is>
          <t>R4: ACC electrical (VFD) e-house (60 x 120 ft)</t>
        </is>
      </c>
      <c r="G2236" s="12" t="inlineStr">
        <is>
          <t>ACC-F60</t>
        </is>
      </c>
      <c r="H2236" s="12" t="inlineStr">
        <is>
          <t>ACC fan motor F60</t>
        </is>
      </c>
      <c r="I2236" s="12" t="inlineStr">
        <is>
          <t>LV 600 V</t>
        </is>
      </c>
      <c r="J2236" s="12" t="inlineStr">
        <is>
          <t>VFD cable 600 V 3/C Cu XHHW-2, 3 symmetrical grounds, overall Cu tape shield, TC-ER</t>
        </is>
      </c>
      <c r="K2236" s="12" t="inlineStr">
        <is>
          <t>VFD|3/C+3G|350</t>
        </is>
      </c>
      <c r="L2236" s="12" t="inlineStr">
        <is>
          <t>3/C+3G</t>
        </is>
      </c>
      <c r="M2236" s="12" t="inlineStr">
        <is>
          <t>350 kcmil</t>
        </is>
      </c>
      <c r="N2236" s="12" t="n">
        <v>1</v>
      </c>
      <c r="O2236" s="12" t="n">
        <v>1</v>
      </c>
      <c r="P2236" s="12" t="n">
        <v>480</v>
      </c>
      <c r="Q2236" s="12" t="n">
        <v>150</v>
      </c>
      <c r="R2236" s="12" t="n">
        <v>212</v>
      </c>
      <c r="S2236" s="12" t="inlineStr">
        <is>
          <t>Tray</t>
        </is>
      </c>
      <c r="T2236" s="16" t="n">
        <v>289</v>
      </c>
      <c r="U2236" s="16" t="n">
        <v>44</v>
      </c>
      <c r="V2236" s="16">
        <f>ROUNDUP((T2236+U2236+2*'Read Me'!$B$13)*(1+'Read Me'!$B$12),-1)</f>
        <v/>
      </c>
      <c r="W2236" s="16">
        <f>V2236*N2236*O2236</f>
        <v/>
      </c>
      <c r="X2236" s="12">
        <f>IF(LEFT(I2236,2)="MV",2*N2236*IF(L2236="1/C",O2236,1),0)</f>
        <v/>
      </c>
      <c r="Y2236" s="12">
        <f>IF(OR(LEFT(K2236,4)="LVAX",LEFT(K2236,6)="MV15AX",LEFT(K2236,4)="CTAX",LEFT(K2236,2)="W|"),2*N2236*O2236,0)</f>
        <v/>
      </c>
      <c r="Z2236" s="12" t="inlineStr">
        <is>
          <t>VD 1.0 %</t>
        </is>
      </c>
      <c r="AA2236" s="12">
        <f>N2236*O2236</f>
        <v/>
      </c>
    </row>
    <row r="2237">
      <c r="A2237" s="12" t="inlineStr">
        <is>
          <t>B-P-0061</t>
        </is>
      </c>
      <c r="B2237" s="12" t="inlineStr">
        <is>
          <t>B</t>
        </is>
      </c>
      <c r="C2237" s="12" t="inlineStr">
        <is>
          <t>ACC</t>
        </is>
      </c>
      <c r="D2237" s="12" t="inlineStr">
        <is>
          <t>ACC fan F61 motor (VFD output)</t>
        </is>
      </c>
      <c r="E2237" s="12" t="inlineStr">
        <is>
          <t>R4</t>
        </is>
      </c>
      <c r="F2237" s="12" t="inlineStr">
        <is>
          <t>R4: ACC electrical (VFD) e-house (60 x 120 ft)</t>
        </is>
      </c>
      <c r="G2237" s="12" t="inlineStr">
        <is>
          <t>ACC-F61</t>
        </is>
      </c>
      <c r="H2237" s="12" t="inlineStr">
        <is>
          <t>ACC fan motor F61</t>
        </is>
      </c>
      <c r="I2237" s="12" t="inlineStr">
        <is>
          <t>LV 600 V</t>
        </is>
      </c>
      <c r="J2237" s="12" t="inlineStr">
        <is>
          <t>VFD cable 600 V 3/C Cu XHHW-2, 3 symmetrical grounds, overall Cu tape shield, TC-ER</t>
        </is>
      </c>
      <c r="K2237" s="12" t="inlineStr">
        <is>
          <t>VFD|3/C+3G|350</t>
        </is>
      </c>
      <c r="L2237" s="12" t="inlineStr">
        <is>
          <t>3/C+3G</t>
        </is>
      </c>
      <c r="M2237" s="12" t="inlineStr">
        <is>
          <t>350 kcmil</t>
        </is>
      </c>
      <c r="N2237" s="12" t="n">
        <v>1</v>
      </c>
      <c r="O2237" s="12" t="n">
        <v>1</v>
      </c>
      <c r="P2237" s="12" t="n">
        <v>480</v>
      </c>
      <c r="Q2237" s="12" t="n">
        <v>150</v>
      </c>
      <c r="R2237" s="12" t="n">
        <v>212</v>
      </c>
      <c r="S2237" s="12" t="inlineStr">
        <is>
          <t>Tray</t>
        </is>
      </c>
      <c r="T2237" s="16" t="n">
        <v>339</v>
      </c>
      <c r="U2237" s="16" t="n">
        <v>44</v>
      </c>
      <c r="V2237" s="16">
        <f>ROUNDUP((T2237+U2237+2*'Read Me'!$B$13)*(1+'Read Me'!$B$12),-1)</f>
        <v/>
      </c>
      <c r="W2237" s="16">
        <f>V2237*N2237*O2237</f>
        <v/>
      </c>
      <c r="X2237" s="12">
        <f>IF(LEFT(I2237,2)="MV",2*N2237*IF(L2237="1/C",O2237,1),0)</f>
        <v/>
      </c>
      <c r="Y2237" s="12">
        <f>IF(OR(LEFT(K2237,4)="LVAX",LEFT(K2237,6)="MV15AX",LEFT(K2237,4)="CTAX",LEFT(K2237,2)="W|"),2*N2237*O2237,0)</f>
        <v/>
      </c>
      <c r="Z2237" s="12" t="inlineStr">
        <is>
          <t>VD 1.2 %</t>
        </is>
      </c>
      <c r="AA2237" s="12">
        <f>N2237*O2237</f>
        <v/>
      </c>
    </row>
    <row r="2238">
      <c r="A2238" s="12" t="inlineStr">
        <is>
          <t>B-P-0062</t>
        </is>
      </c>
      <c r="B2238" s="12" t="inlineStr">
        <is>
          <t>B</t>
        </is>
      </c>
      <c r="C2238" s="12" t="inlineStr">
        <is>
          <t>ACC</t>
        </is>
      </c>
      <c r="D2238" s="12" t="inlineStr">
        <is>
          <t>ACC fan F62 motor (VFD output)</t>
        </is>
      </c>
      <c r="E2238" s="12" t="inlineStr">
        <is>
          <t>R4</t>
        </is>
      </c>
      <c r="F2238" s="12" t="inlineStr">
        <is>
          <t>R4: ACC electrical (VFD) e-house (60 x 120 ft)</t>
        </is>
      </c>
      <c r="G2238" s="12" t="inlineStr">
        <is>
          <t>ACC-F62</t>
        </is>
      </c>
      <c r="H2238" s="12" t="inlineStr">
        <is>
          <t>ACC fan motor F62</t>
        </is>
      </c>
      <c r="I2238" s="12" t="inlineStr">
        <is>
          <t>LV 600 V</t>
        </is>
      </c>
      <c r="J2238" s="12" t="inlineStr">
        <is>
          <t>VFD cable 600 V 3/C Cu XHHW-2, 3 symmetrical grounds, overall Cu tape shield, TC-ER</t>
        </is>
      </c>
      <c r="K2238" s="12" t="inlineStr">
        <is>
          <t>VFD|3/C+3G|350</t>
        </is>
      </c>
      <c r="L2238" s="12" t="inlineStr">
        <is>
          <t>3/C+3G</t>
        </is>
      </c>
      <c r="M2238" s="12" t="inlineStr">
        <is>
          <t>350 kcmil</t>
        </is>
      </c>
      <c r="N2238" s="12" t="n">
        <v>1</v>
      </c>
      <c r="O2238" s="12" t="n">
        <v>1</v>
      </c>
      <c r="P2238" s="12" t="n">
        <v>480</v>
      </c>
      <c r="Q2238" s="12" t="n">
        <v>150</v>
      </c>
      <c r="R2238" s="12" t="n">
        <v>212</v>
      </c>
      <c r="S2238" s="12" t="inlineStr">
        <is>
          <t>Tray</t>
        </is>
      </c>
      <c r="T2238" s="16" t="n">
        <v>307</v>
      </c>
      <c r="U2238" s="16" t="n">
        <v>44</v>
      </c>
      <c r="V2238" s="16">
        <f>ROUNDUP((T2238+U2238+2*'Read Me'!$B$13)*(1+'Read Me'!$B$12),-1)</f>
        <v/>
      </c>
      <c r="W2238" s="16">
        <f>V2238*N2238*O2238</f>
        <v/>
      </c>
      <c r="X2238" s="12">
        <f>IF(LEFT(I2238,2)="MV",2*N2238*IF(L2238="1/C",O2238,1),0)</f>
        <v/>
      </c>
      <c r="Y2238" s="12">
        <f>IF(OR(LEFT(K2238,4)="LVAX",LEFT(K2238,6)="MV15AX",LEFT(K2238,4)="CTAX",LEFT(K2238,2)="W|"),2*N2238*O2238,0)</f>
        <v/>
      </c>
      <c r="Z2238" s="12" t="inlineStr">
        <is>
          <t>VD 1.1 %</t>
        </is>
      </c>
      <c r="AA2238" s="12">
        <f>N2238*O2238</f>
        <v/>
      </c>
    </row>
    <row r="2239">
      <c r="A2239" s="12" t="inlineStr">
        <is>
          <t>B-P-0063</t>
        </is>
      </c>
      <c r="B2239" s="12" t="inlineStr">
        <is>
          <t>B</t>
        </is>
      </c>
      <c r="C2239" s="12" t="inlineStr">
        <is>
          <t>ACC</t>
        </is>
      </c>
      <c r="D2239" s="12" t="inlineStr">
        <is>
          <t>ACC fan F63 motor (VFD output)</t>
        </is>
      </c>
      <c r="E2239" s="12" t="inlineStr">
        <is>
          <t>R4</t>
        </is>
      </c>
      <c r="F2239" s="12" t="inlineStr">
        <is>
          <t>R4: ACC electrical (VFD) e-house (60 x 120 ft)</t>
        </is>
      </c>
      <c r="G2239" s="12" t="inlineStr">
        <is>
          <t>ACC-F63</t>
        </is>
      </c>
      <c r="H2239" s="12" t="inlineStr">
        <is>
          <t>ACC fan motor F63</t>
        </is>
      </c>
      <c r="I2239" s="12" t="inlineStr">
        <is>
          <t>LV 600 V</t>
        </is>
      </c>
      <c r="J2239" s="12" t="inlineStr">
        <is>
          <t>VFD cable 600 V 3/C Cu XHHW-2, 3 symmetrical grounds, overall Cu tape shield, TC-ER</t>
        </is>
      </c>
      <c r="K2239" s="12" t="inlineStr">
        <is>
          <t>VFD|3/C+3G|350</t>
        </is>
      </c>
      <c r="L2239" s="12" t="inlineStr">
        <is>
          <t>3/C+3G</t>
        </is>
      </c>
      <c r="M2239" s="12" t="inlineStr">
        <is>
          <t>350 kcmil</t>
        </is>
      </c>
      <c r="N2239" s="12" t="n">
        <v>1</v>
      </c>
      <c r="O2239" s="12" t="n">
        <v>1</v>
      </c>
      <c r="P2239" s="12" t="n">
        <v>480</v>
      </c>
      <c r="Q2239" s="12" t="n">
        <v>150</v>
      </c>
      <c r="R2239" s="12" t="n">
        <v>212</v>
      </c>
      <c r="S2239" s="12" t="inlineStr">
        <is>
          <t>Tray</t>
        </is>
      </c>
      <c r="T2239" s="16" t="n">
        <v>275</v>
      </c>
      <c r="U2239" s="16" t="n">
        <v>44</v>
      </c>
      <c r="V2239" s="16">
        <f>ROUNDUP((T2239+U2239+2*'Read Me'!$B$13)*(1+'Read Me'!$B$12),-1)</f>
        <v/>
      </c>
      <c r="W2239" s="16">
        <f>V2239*N2239*O2239</f>
        <v/>
      </c>
      <c r="X2239" s="12">
        <f>IF(LEFT(I2239,2)="MV",2*N2239*IF(L2239="1/C",O2239,1),0)</f>
        <v/>
      </c>
      <c r="Y2239" s="12">
        <f>IF(OR(LEFT(K2239,4)="LVAX",LEFT(K2239,6)="MV15AX",LEFT(K2239,4)="CTAX",LEFT(K2239,2)="W|"),2*N2239*O2239,0)</f>
        <v/>
      </c>
      <c r="Z2239" s="12" t="inlineStr">
        <is>
          <t>VD 1.0 %</t>
        </is>
      </c>
      <c r="AA2239" s="12">
        <f>N2239*O2239</f>
        <v/>
      </c>
    </row>
    <row r="2240">
      <c r="A2240" s="12" t="inlineStr">
        <is>
          <t>B-P-0064</t>
        </is>
      </c>
      <c r="B2240" s="12" t="inlineStr">
        <is>
          <t>B</t>
        </is>
      </c>
      <c r="C2240" s="12" t="inlineStr">
        <is>
          <t>ACC</t>
        </is>
      </c>
      <c r="D2240" s="12" t="inlineStr">
        <is>
          <t>ACC fan F64 motor (VFD output)</t>
        </is>
      </c>
      <c r="E2240" s="12" t="inlineStr">
        <is>
          <t>R4</t>
        </is>
      </c>
      <c r="F2240" s="12" t="inlineStr">
        <is>
          <t>R4: ACC electrical (VFD) e-house (60 x 120 ft)</t>
        </is>
      </c>
      <c r="G2240" s="12" t="inlineStr">
        <is>
          <t>ACC-F64</t>
        </is>
      </c>
      <c r="H2240" s="12" t="inlineStr">
        <is>
          <t>ACC fan motor F64</t>
        </is>
      </c>
      <c r="I2240" s="12" t="inlineStr">
        <is>
          <t>LV 600 V</t>
        </is>
      </c>
      <c r="J2240" s="12" t="inlineStr">
        <is>
          <t>VFD cable 600 V 3/C Cu XHHW-2, 3 symmetrical grounds, overall Cu tape shield, TC-ER</t>
        </is>
      </c>
      <c r="K2240" s="12" t="inlineStr">
        <is>
          <t>VFD|3/C+3G|350</t>
        </is>
      </c>
      <c r="L2240" s="12" t="inlineStr">
        <is>
          <t>3/C+3G</t>
        </is>
      </c>
      <c r="M2240" s="12" t="inlineStr">
        <is>
          <t>350 kcmil</t>
        </is>
      </c>
      <c r="N2240" s="12" t="n">
        <v>1</v>
      </c>
      <c r="O2240" s="12" t="n">
        <v>1</v>
      </c>
      <c r="P2240" s="12" t="n">
        <v>480</v>
      </c>
      <c r="Q2240" s="12" t="n">
        <v>150</v>
      </c>
      <c r="R2240" s="12" t="n">
        <v>212</v>
      </c>
      <c r="S2240" s="12" t="inlineStr">
        <is>
          <t>Tray</t>
        </is>
      </c>
      <c r="T2240" s="16" t="n">
        <v>243</v>
      </c>
      <c r="U2240" s="16" t="n">
        <v>44</v>
      </c>
      <c r="V2240" s="16">
        <f>ROUNDUP((T2240+U2240+2*'Read Me'!$B$13)*(1+'Read Me'!$B$12),-1)</f>
        <v/>
      </c>
      <c r="W2240" s="16">
        <f>V2240*N2240*O2240</f>
        <v/>
      </c>
      <c r="X2240" s="12">
        <f>IF(LEFT(I2240,2)="MV",2*N2240*IF(L2240="1/C",O2240,1),0)</f>
        <v/>
      </c>
      <c r="Y2240" s="12">
        <f>IF(OR(LEFT(K2240,4)="LVAX",LEFT(K2240,6)="MV15AX",LEFT(K2240,4)="CTAX",LEFT(K2240,2)="W|"),2*N2240*O2240,0)</f>
        <v/>
      </c>
      <c r="Z2240" s="12" t="inlineStr">
        <is>
          <t>VD 0.9 %</t>
        </is>
      </c>
      <c r="AA2240" s="12">
        <f>N2240*O2240</f>
        <v/>
      </c>
    </row>
    <row r="2241">
      <c r="A2241" s="12" t="inlineStr">
        <is>
          <t>B-P-0065</t>
        </is>
      </c>
      <c r="B2241" s="12" t="inlineStr">
        <is>
          <t>B</t>
        </is>
      </c>
      <c r="C2241" s="12" t="inlineStr">
        <is>
          <t>ACC</t>
        </is>
      </c>
      <c r="D2241" s="12" t="inlineStr">
        <is>
          <t>ACC fan F65 motor (VFD output)</t>
        </is>
      </c>
      <c r="E2241" s="12" t="inlineStr">
        <is>
          <t>R4</t>
        </is>
      </c>
      <c r="F2241" s="12" t="inlineStr">
        <is>
          <t>R4: ACC electrical (VFD) e-house (60 x 120 ft)</t>
        </is>
      </c>
      <c r="G2241" s="12" t="inlineStr">
        <is>
          <t>ACC-F65</t>
        </is>
      </c>
      <c r="H2241" s="12" t="inlineStr">
        <is>
          <t>ACC fan motor F65</t>
        </is>
      </c>
      <c r="I2241" s="12" t="inlineStr">
        <is>
          <t>LV 600 V</t>
        </is>
      </c>
      <c r="J2241" s="12" t="inlineStr">
        <is>
          <t>VFD cable 600 V 3/C Cu XHHW-2, 3 symmetrical grounds, overall Cu tape shield, TC-ER</t>
        </is>
      </c>
      <c r="K2241" s="12" t="inlineStr">
        <is>
          <t>VFD|3/C+3G|350</t>
        </is>
      </c>
      <c r="L2241" s="12" t="inlineStr">
        <is>
          <t>3/C+3G</t>
        </is>
      </c>
      <c r="M2241" s="12" t="inlineStr">
        <is>
          <t>350 kcmil</t>
        </is>
      </c>
      <c r="N2241" s="12" t="n">
        <v>1</v>
      </c>
      <c r="O2241" s="12" t="n">
        <v>1</v>
      </c>
      <c r="P2241" s="12" t="n">
        <v>480</v>
      </c>
      <c r="Q2241" s="12" t="n">
        <v>150</v>
      </c>
      <c r="R2241" s="12" t="n">
        <v>212</v>
      </c>
      <c r="S2241" s="12" t="inlineStr">
        <is>
          <t>Tray</t>
        </is>
      </c>
      <c r="T2241" s="16" t="n">
        <v>211</v>
      </c>
      <c r="U2241" s="16" t="n">
        <v>44</v>
      </c>
      <c r="V2241" s="16">
        <f>ROUNDUP((T2241+U2241+2*'Read Me'!$B$13)*(1+'Read Me'!$B$12),-1)</f>
        <v/>
      </c>
      <c r="W2241" s="16">
        <f>V2241*N2241*O2241</f>
        <v/>
      </c>
      <c r="X2241" s="12">
        <f>IF(LEFT(I2241,2)="MV",2*N2241*IF(L2241="1/C",O2241,1),0)</f>
        <v/>
      </c>
      <c r="Y2241" s="12">
        <f>IF(OR(LEFT(K2241,4)="LVAX",LEFT(K2241,6)="MV15AX",LEFT(K2241,4)="CTAX",LEFT(K2241,2)="W|"),2*N2241*O2241,0)</f>
        <v/>
      </c>
      <c r="Z2241" s="12" t="inlineStr">
        <is>
          <t>VD 0.8 %</t>
        </is>
      </c>
      <c r="AA2241" s="12">
        <f>N2241*O2241</f>
        <v/>
      </c>
    </row>
    <row r="2242">
      <c r="A2242" s="12" t="inlineStr">
        <is>
          <t>B-P-0066</t>
        </is>
      </c>
      <c r="B2242" s="12" t="inlineStr">
        <is>
          <t>B</t>
        </is>
      </c>
      <c r="C2242" s="12" t="inlineStr">
        <is>
          <t>ACC</t>
        </is>
      </c>
      <c r="D2242" s="12" t="inlineStr">
        <is>
          <t>ACC fan F66 motor (VFD output)</t>
        </is>
      </c>
      <c r="E2242" s="12" t="inlineStr">
        <is>
          <t>R4</t>
        </is>
      </c>
      <c r="F2242" s="12" t="inlineStr">
        <is>
          <t>R4: ACC electrical (VFD) e-house (60 x 120 ft)</t>
        </is>
      </c>
      <c r="G2242" s="12" t="inlineStr">
        <is>
          <t>ACC-F66</t>
        </is>
      </c>
      <c r="H2242" s="12" t="inlineStr">
        <is>
          <t>ACC fan motor F66</t>
        </is>
      </c>
      <c r="I2242" s="12" t="inlineStr">
        <is>
          <t>LV 600 V</t>
        </is>
      </c>
      <c r="J2242" s="12" t="inlineStr">
        <is>
          <t>VFD cable 600 V 3/C Cu XHHW-2, 3 symmetrical grounds, overall Cu tape shield, TC-ER</t>
        </is>
      </c>
      <c r="K2242" s="12" t="inlineStr">
        <is>
          <t>VFD|3/C+3G|350</t>
        </is>
      </c>
      <c r="L2242" s="12" t="inlineStr">
        <is>
          <t>3/C+3G</t>
        </is>
      </c>
      <c r="M2242" s="12" t="inlineStr">
        <is>
          <t>350 kcmil</t>
        </is>
      </c>
      <c r="N2242" s="12" t="n">
        <v>1</v>
      </c>
      <c r="O2242" s="12" t="n">
        <v>1</v>
      </c>
      <c r="P2242" s="12" t="n">
        <v>480</v>
      </c>
      <c r="Q2242" s="12" t="n">
        <v>150</v>
      </c>
      <c r="R2242" s="12" t="n">
        <v>212</v>
      </c>
      <c r="S2242" s="12" t="inlineStr">
        <is>
          <t>Tray</t>
        </is>
      </c>
      <c r="T2242" s="16" t="n">
        <v>211</v>
      </c>
      <c r="U2242" s="16" t="n">
        <v>44</v>
      </c>
      <c r="V2242" s="16">
        <f>ROUNDUP((T2242+U2242+2*'Read Me'!$B$13)*(1+'Read Me'!$B$12),-1)</f>
        <v/>
      </c>
      <c r="W2242" s="16">
        <f>V2242*N2242*O2242</f>
        <v/>
      </c>
      <c r="X2242" s="12">
        <f>IF(LEFT(I2242,2)="MV",2*N2242*IF(L2242="1/C",O2242,1),0)</f>
        <v/>
      </c>
      <c r="Y2242" s="12">
        <f>IF(OR(LEFT(K2242,4)="LVAX",LEFT(K2242,6)="MV15AX",LEFT(K2242,4)="CTAX",LEFT(K2242,2)="W|"),2*N2242*O2242,0)</f>
        <v/>
      </c>
      <c r="Z2242" s="12" t="inlineStr">
        <is>
          <t>VD 0.8 %</t>
        </is>
      </c>
      <c r="AA2242" s="12">
        <f>N2242*O2242</f>
        <v/>
      </c>
    </row>
    <row r="2243">
      <c r="A2243" s="12" t="inlineStr">
        <is>
          <t>B-P-0067</t>
        </is>
      </c>
      <c r="B2243" s="12" t="inlineStr">
        <is>
          <t>B</t>
        </is>
      </c>
      <c r="C2243" s="12" t="inlineStr">
        <is>
          <t>ACC</t>
        </is>
      </c>
      <c r="D2243" s="12" t="inlineStr">
        <is>
          <t>ACC fan F67 motor (VFD output)</t>
        </is>
      </c>
      <c r="E2243" s="12" t="inlineStr">
        <is>
          <t>R4</t>
        </is>
      </c>
      <c r="F2243" s="12" t="inlineStr">
        <is>
          <t>R4: ACC electrical (VFD) e-house (60 x 120 ft)</t>
        </is>
      </c>
      <c r="G2243" s="12" t="inlineStr">
        <is>
          <t>ACC-F67</t>
        </is>
      </c>
      <c r="H2243" s="12" t="inlineStr">
        <is>
          <t>ACC fan motor F67</t>
        </is>
      </c>
      <c r="I2243" s="12" t="inlineStr">
        <is>
          <t>LV 600 V</t>
        </is>
      </c>
      <c r="J2243" s="12" t="inlineStr">
        <is>
          <t>VFD cable 600 V 3/C Cu XHHW-2, 3 symmetrical grounds, overall Cu tape shield, TC-ER</t>
        </is>
      </c>
      <c r="K2243" s="12" t="inlineStr">
        <is>
          <t>VFD|3/C+3G|350</t>
        </is>
      </c>
      <c r="L2243" s="12" t="inlineStr">
        <is>
          <t>3/C+3G</t>
        </is>
      </c>
      <c r="M2243" s="12" t="inlineStr">
        <is>
          <t>350 kcmil</t>
        </is>
      </c>
      <c r="N2243" s="12" t="n">
        <v>1</v>
      </c>
      <c r="O2243" s="12" t="n">
        <v>1</v>
      </c>
      <c r="P2243" s="12" t="n">
        <v>480</v>
      </c>
      <c r="Q2243" s="12" t="n">
        <v>150</v>
      </c>
      <c r="R2243" s="12" t="n">
        <v>212</v>
      </c>
      <c r="S2243" s="12" t="inlineStr">
        <is>
          <t>Tray</t>
        </is>
      </c>
      <c r="T2243" s="16" t="n">
        <v>243</v>
      </c>
      <c r="U2243" s="16" t="n">
        <v>44</v>
      </c>
      <c r="V2243" s="16">
        <f>ROUNDUP((T2243+U2243+2*'Read Me'!$B$13)*(1+'Read Me'!$B$12),-1)</f>
        <v/>
      </c>
      <c r="W2243" s="16">
        <f>V2243*N2243*O2243</f>
        <v/>
      </c>
      <c r="X2243" s="12">
        <f>IF(LEFT(I2243,2)="MV",2*N2243*IF(L2243="1/C",O2243,1),0)</f>
        <v/>
      </c>
      <c r="Y2243" s="12">
        <f>IF(OR(LEFT(K2243,4)="LVAX",LEFT(K2243,6)="MV15AX",LEFT(K2243,4)="CTAX",LEFT(K2243,2)="W|"),2*N2243*O2243,0)</f>
        <v/>
      </c>
      <c r="Z2243" s="12" t="inlineStr">
        <is>
          <t>VD 0.9 %</t>
        </is>
      </c>
      <c r="AA2243" s="12">
        <f>N2243*O2243</f>
        <v/>
      </c>
    </row>
    <row r="2244">
      <c r="A2244" s="12" t="inlineStr">
        <is>
          <t>B-P-0068</t>
        </is>
      </c>
      <c r="B2244" s="12" t="inlineStr">
        <is>
          <t>B</t>
        </is>
      </c>
      <c r="C2244" s="12" t="inlineStr">
        <is>
          <t>ACC</t>
        </is>
      </c>
      <c r="D2244" s="12" t="inlineStr">
        <is>
          <t>ACC fan F68 motor (VFD output)</t>
        </is>
      </c>
      <c r="E2244" s="12" t="inlineStr">
        <is>
          <t>R4</t>
        </is>
      </c>
      <c r="F2244" s="12" t="inlineStr">
        <is>
          <t>R4: ACC electrical (VFD) e-house (60 x 120 ft)</t>
        </is>
      </c>
      <c r="G2244" s="12" t="inlineStr">
        <is>
          <t>ACC-F68</t>
        </is>
      </c>
      <c r="H2244" s="12" t="inlineStr">
        <is>
          <t>ACC fan motor F68</t>
        </is>
      </c>
      <c r="I2244" s="12" t="inlineStr">
        <is>
          <t>LV 600 V</t>
        </is>
      </c>
      <c r="J2244" s="12" t="inlineStr">
        <is>
          <t>VFD cable 600 V 3/C Cu XHHW-2, 3 symmetrical grounds, overall Cu tape shield, TC-ER</t>
        </is>
      </c>
      <c r="K2244" s="12" t="inlineStr">
        <is>
          <t>VFD|3/C+3G|350</t>
        </is>
      </c>
      <c r="L2244" s="12" t="inlineStr">
        <is>
          <t>3/C+3G</t>
        </is>
      </c>
      <c r="M2244" s="12" t="inlineStr">
        <is>
          <t>350 kcmil</t>
        </is>
      </c>
      <c r="N2244" s="12" t="n">
        <v>1</v>
      </c>
      <c r="O2244" s="12" t="n">
        <v>1</v>
      </c>
      <c r="P2244" s="12" t="n">
        <v>480</v>
      </c>
      <c r="Q2244" s="12" t="n">
        <v>150</v>
      </c>
      <c r="R2244" s="12" t="n">
        <v>212</v>
      </c>
      <c r="S2244" s="12" t="inlineStr">
        <is>
          <t>Tray</t>
        </is>
      </c>
      <c r="T2244" s="16" t="n">
        <v>275</v>
      </c>
      <c r="U2244" s="16" t="n">
        <v>44</v>
      </c>
      <c r="V2244" s="16">
        <f>ROUNDUP((T2244+U2244+2*'Read Me'!$B$13)*(1+'Read Me'!$B$12),-1)</f>
        <v/>
      </c>
      <c r="W2244" s="16">
        <f>V2244*N2244*O2244</f>
        <v/>
      </c>
      <c r="X2244" s="12">
        <f>IF(LEFT(I2244,2)="MV",2*N2244*IF(L2244="1/C",O2244,1),0)</f>
        <v/>
      </c>
      <c r="Y2244" s="12">
        <f>IF(OR(LEFT(K2244,4)="LVAX",LEFT(K2244,6)="MV15AX",LEFT(K2244,4)="CTAX",LEFT(K2244,2)="W|"),2*N2244*O2244,0)</f>
        <v/>
      </c>
      <c r="Z2244" s="12" t="inlineStr">
        <is>
          <t>VD 1.0 %</t>
        </is>
      </c>
      <c r="AA2244" s="12">
        <f>N2244*O2244</f>
        <v/>
      </c>
    </row>
    <row r="2245">
      <c r="A2245" s="12" t="inlineStr">
        <is>
          <t>B-P-0069</t>
        </is>
      </c>
      <c r="B2245" s="12" t="inlineStr">
        <is>
          <t>B</t>
        </is>
      </c>
      <c r="C2245" s="12" t="inlineStr">
        <is>
          <t>ACC</t>
        </is>
      </c>
      <c r="D2245" s="12" t="inlineStr">
        <is>
          <t>ACC fan F69 motor (VFD output)</t>
        </is>
      </c>
      <c r="E2245" s="12" t="inlineStr">
        <is>
          <t>R4</t>
        </is>
      </c>
      <c r="F2245" s="12" t="inlineStr">
        <is>
          <t>R4: ACC electrical (VFD) e-house (60 x 120 ft)</t>
        </is>
      </c>
      <c r="G2245" s="12" t="inlineStr">
        <is>
          <t>ACC-F69</t>
        </is>
      </c>
      <c r="H2245" s="12" t="inlineStr">
        <is>
          <t>ACC fan motor F69</t>
        </is>
      </c>
      <c r="I2245" s="12" t="inlineStr">
        <is>
          <t>LV 600 V</t>
        </is>
      </c>
      <c r="J2245" s="12" t="inlineStr">
        <is>
          <t>VFD cable 600 V 3/C Cu XHHW-2, 3 symmetrical grounds, overall Cu tape shield, TC-ER</t>
        </is>
      </c>
      <c r="K2245" s="12" t="inlineStr">
        <is>
          <t>VFD|3/C+3G|350</t>
        </is>
      </c>
      <c r="L2245" s="12" t="inlineStr">
        <is>
          <t>3/C+3G</t>
        </is>
      </c>
      <c r="M2245" s="12" t="inlineStr">
        <is>
          <t>350 kcmil</t>
        </is>
      </c>
      <c r="N2245" s="12" t="n">
        <v>1</v>
      </c>
      <c r="O2245" s="12" t="n">
        <v>1</v>
      </c>
      <c r="P2245" s="12" t="n">
        <v>480</v>
      </c>
      <c r="Q2245" s="12" t="n">
        <v>150</v>
      </c>
      <c r="R2245" s="12" t="n">
        <v>212</v>
      </c>
      <c r="S2245" s="12" t="inlineStr">
        <is>
          <t>Tray</t>
        </is>
      </c>
      <c r="T2245" s="16" t="n">
        <v>307</v>
      </c>
      <c r="U2245" s="16" t="n">
        <v>44</v>
      </c>
      <c r="V2245" s="16">
        <f>ROUNDUP((T2245+U2245+2*'Read Me'!$B$13)*(1+'Read Me'!$B$12),-1)</f>
        <v/>
      </c>
      <c r="W2245" s="16">
        <f>V2245*N2245*O2245</f>
        <v/>
      </c>
      <c r="X2245" s="12">
        <f>IF(LEFT(I2245,2)="MV",2*N2245*IF(L2245="1/C",O2245,1),0)</f>
        <v/>
      </c>
      <c r="Y2245" s="12">
        <f>IF(OR(LEFT(K2245,4)="LVAX",LEFT(K2245,6)="MV15AX",LEFT(K2245,4)="CTAX",LEFT(K2245,2)="W|"),2*N2245*O2245,0)</f>
        <v/>
      </c>
      <c r="Z2245" s="12" t="inlineStr">
        <is>
          <t>VD 1.1 %</t>
        </is>
      </c>
      <c r="AA2245" s="12">
        <f>N2245*O2245</f>
        <v/>
      </c>
    </row>
    <row r="2246">
      <c r="A2246" s="12" t="inlineStr">
        <is>
          <t>B-P-0070</t>
        </is>
      </c>
      <c r="B2246" s="12" t="inlineStr">
        <is>
          <t>B</t>
        </is>
      </c>
      <c r="C2246" s="12" t="inlineStr">
        <is>
          <t>ACC</t>
        </is>
      </c>
      <c r="D2246" s="12" t="inlineStr">
        <is>
          <t>ACC fan F70 motor (VFD output)</t>
        </is>
      </c>
      <c r="E2246" s="12" t="inlineStr">
        <is>
          <t>R4</t>
        </is>
      </c>
      <c r="F2246" s="12" t="inlineStr">
        <is>
          <t>R4: ACC electrical (VFD) e-house (60 x 120 ft)</t>
        </is>
      </c>
      <c r="G2246" s="12" t="inlineStr">
        <is>
          <t>ACC-F70</t>
        </is>
      </c>
      <c r="H2246" s="12" t="inlineStr">
        <is>
          <t>ACC fan motor F70</t>
        </is>
      </c>
      <c r="I2246" s="12" t="inlineStr">
        <is>
          <t>LV 600 V</t>
        </is>
      </c>
      <c r="J2246" s="12" t="inlineStr">
        <is>
          <t>VFD cable 600 V 3/C Cu XHHW-2, 3 symmetrical grounds, overall Cu tape shield, TC-ER</t>
        </is>
      </c>
      <c r="K2246" s="12" t="inlineStr">
        <is>
          <t>VFD|3/C+3G|350</t>
        </is>
      </c>
      <c r="L2246" s="12" t="inlineStr">
        <is>
          <t>3/C+3G</t>
        </is>
      </c>
      <c r="M2246" s="12" t="inlineStr">
        <is>
          <t>350 kcmil</t>
        </is>
      </c>
      <c r="N2246" s="12" t="n">
        <v>1</v>
      </c>
      <c r="O2246" s="12" t="n">
        <v>1</v>
      </c>
      <c r="P2246" s="12" t="n">
        <v>480</v>
      </c>
      <c r="Q2246" s="12" t="n">
        <v>150</v>
      </c>
      <c r="R2246" s="12" t="n">
        <v>212</v>
      </c>
      <c r="S2246" s="12" t="inlineStr">
        <is>
          <t>Tray</t>
        </is>
      </c>
      <c r="T2246" s="16" t="n">
        <v>339</v>
      </c>
      <c r="U2246" s="16" t="n">
        <v>44</v>
      </c>
      <c r="V2246" s="16">
        <f>ROUNDUP((T2246+U2246+2*'Read Me'!$B$13)*(1+'Read Me'!$B$12),-1)</f>
        <v/>
      </c>
      <c r="W2246" s="16">
        <f>V2246*N2246*O2246</f>
        <v/>
      </c>
      <c r="X2246" s="12">
        <f>IF(LEFT(I2246,2)="MV",2*N2246*IF(L2246="1/C",O2246,1),0)</f>
        <v/>
      </c>
      <c r="Y2246" s="12">
        <f>IF(OR(LEFT(K2246,4)="LVAX",LEFT(K2246,6)="MV15AX",LEFT(K2246,4)="CTAX",LEFT(K2246,2)="W|"),2*N2246*O2246,0)</f>
        <v/>
      </c>
      <c r="Z2246" s="12" t="inlineStr">
        <is>
          <t>VD 1.2 %</t>
        </is>
      </c>
      <c r="AA2246" s="12">
        <f>N2246*O2246</f>
        <v/>
      </c>
    </row>
    <row r="2247">
      <c r="A2247" s="12" t="inlineStr">
        <is>
          <t>B-P-0071</t>
        </is>
      </c>
      <c r="B2247" s="12" t="inlineStr">
        <is>
          <t>B</t>
        </is>
      </c>
      <c r="C2247" s="12" t="inlineStr">
        <is>
          <t>ACC</t>
        </is>
      </c>
      <c r="D2247" s="12" t="inlineStr">
        <is>
          <t>ACC fan F71 motor (VFD output)</t>
        </is>
      </c>
      <c r="E2247" s="12" t="inlineStr">
        <is>
          <t>R4</t>
        </is>
      </c>
      <c r="F2247" s="12" t="inlineStr">
        <is>
          <t>R4: ACC electrical (VFD) e-house (60 x 120 ft)</t>
        </is>
      </c>
      <c r="G2247" s="12" t="inlineStr">
        <is>
          <t>ACC-F71</t>
        </is>
      </c>
      <c r="H2247" s="12" t="inlineStr">
        <is>
          <t>ACC fan motor F71</t>
        </is>
      </c>
      <c r="I2247" s="12" t="inlineStr">
        <is>
          <t>LV 600 V</t>
        </is>
      </c>
      <c r="J2247" s="12" t="inlineStr">
        <is>
          <t>VFD cable 600 V 3/C Cu XHHW-2, 3 symmetrical grounds, overall Cu tape shield, TC-ER</t>
        </is>
      </c>
      <c r="K2247" s="12" t="inlineStr">
        <is>
          <t>VFD|3/C+3G|350</t>
        </is>
      </c>
      <c r="L2247" s="12" t="inlineStr">
        <is>
          <t>3/C+3G</t>
        </is>
      </c>
      <c r="M2247" s="12" t="inlineStr">
        <is>
          <t>350 kcmil</t>
        </is>
      </c>
      <c r="N2247" s="12" t="n">
        <v>1</v>
      </c>
      <c r="O2247" s="12" t="n">
        <v>1</v>
      </c>
      <c r="P2247" s="12" t="n">
        <v>480</v>
      </c>
      <c r="Q2247" s="12" t="n">
        <v>150</v>
      </c>
      <c r="R2247" s="12" t="n">
        <v>212</v>
      </c>
      <c r="S2247" s="12" t="inlineStr">
        <is>
          <t>Tray</t>
        </is>
      </c>
      <c r="T2247" s="16" t="n">
        <v>389</v>
      </c>
      <c r="U2247" s="16" t="n">
        <v>44</v>
      </c>
      <c r="V2247" s="16">
        <f>ROUNDUP((T2247+U2247+2*'Read Me'!$B$13)*(1+'Read Me'!$B$12),-1)</f>
        <v/>
      </c>
      <c r="W2247" s="16">
        <f>V2247*N2247*O2247</f>
        <v/>
      </c>
      <c r="X2247" s="12">
        <f>IF(LEFT(I2247,2)="MV",2*N2247*IF(L2247="1/C",O2247,1),0)</f>
        <v/>
      </c>
      <c r="Y2247" s="12">
        <f>IF(OR(LEFT(K2247,4)="LVAX",LEFT(K2247,6)="MV15AX",LEFT(K2247,4)="CTAX",LEFT(K2247,2)="W|"),2*N2247*O2247,0)</f>
        <v/>
      </c>
      <c r="Z2247" s="12" t="inlineStr">
        <is>
          <t>VD 1.3 %</t>
        </is>
      </c>
      <c r="AA2247" s="12">
        <f>N2247*O2247</f>
        <v/>
      </c>
    </row>
    <row r="2248">
      <c r="A2248" s="12" t="inlineStr">
        <is>
          <t>B-P-0072</t>
        </is>
      </c>
      <c r="B2248" s="12" t="inlineStr">
        <is>
          <t>B</t>
        </is>
      </c>
      <c r="C2248" s="12" t="inlineStr">
        <is>
          <t>ACC</t>
        </is>
      </c>
      <c r="D2248" s="12" t="inlineStr">
        <is>
          <t>ACC fan F72 motor (VFD output)</t>
        </is>
      </c>
      <c r="E2248" s="12" t="inlineStr">
        <is>
          <t>R4</t>
        </is>
      </c>
      <c r="F2248" s="12" t="inlineStr">
        <is>
          <t>R4: ACC electrical (VFD) e-house (60 x 120 ft)</t>
        </is>
      </c>
      <c r="G2248" s="12" t="inlineStr">
        <is>
          <t>ACC-F72</t>
        </is>
      </c>
      <c r="H2248" s="12" t="inlineStr">
        <is>
          <t>ACC fan motor F72</t>
        </is>
      </c>
      <c r="I2248" s="12" t="inlineStr">
        <is>
          <t>LV 600 V</t>
        </is>
      </c>
      <c r="J2248" s="12" t="inlineStr">
        <is>
          <t>VFD cable 600 V 3/C Cu XHHW-2, 3 symmetrical grounds, overall Cu tape shield, TC-ER</t>
        </is>
      </c>
      <c r="K2248" s="12" t="inlineStr">
        <is>
          <t>VFD|3/C+3G|350</t>
        </is>
      </c>
      <c r="L2248" s="12" t="inlineStr">
        <is>
          <t>3/C+3G</t>
        </is>
      </c>
      <c r="M2248" s="12" t="inlineStr">
        <is>
          <t>350 kcmil</t>
        </is>
      </c>
      <c r="N2248" s="12" t="n">
        <v>1</v>
      </c>
      <c r="O2248" s="12" t="n">
        <v>1</v>
      </c>
      <c r="P2248" s="12" t="n">
        <v>480</v>
      </c>
      <c r="Q2248" s="12" t="n">
        <v>150</v>
      </c>
      <c r="R2248" s="12" t="n">
        <v>212</v>
      </c>
      <c r="S2248" s="12" t="inlineStr">
        <is>
          <t>Tray</t>
        </is>
      </c>
      <c r="T2248" s="16" t="n">
        <v>357</v>
      </c>
      <c r="U2248" s="16" t="n">
        <v>44</v>
      </c>
      <c r="V2248" s="16">
        <f>ROUNDUP((T2248+U2248+2*'Read Me'!$B$13)*(1+'Read Me'!$B$12),-1)</f>
        <v/>
      </c>
      <c r="W2248" s="16">
        <f>V2248*N2248*O2248</f>
        <v/>
      </c>
      <c r="X2248" s="12">
        <f>IF(LEFT(I2248,2)="MV",2*N2248*IF(L2248="1/C",O2248,1),0)</f>
        <v/>
      </c>
      <c r="Y2248" s="12">
        <f>IF(OR(LEFT(K2248,4)="LVAX",LEFT(K2248,6)="MV15AX",LEFT(K2248,4)="CTAX",LEFT(K2248,2)="W|"),2*N2248*O2248,0)</f>
        <v/>
      </c>
      <c r="Z2248" s="12" t="inlineStr">
        <is>
          <t>VD 1.2 %</t>
        </is>
      </c>
      <c r="AA2248" s="12">
        <f>N2248*O2248</f>
        <v/>
      </c>
    </row>
    <row r="2249">
      <c r="A2249" s="12" t="inlineStr">
        <is>
          <t>B-P-0073</t>
        </is>
      </c>
      <c r="B2249" s="12" t="inlineStr">
        <is>
          <t>B</t>
        </is>
      </c>
      <c r="C2249" s="12" t="inlineStr">
        <is>
          <t>ACC</t>
        </is>
      </c>
      <c r="D2249" s="12" t="inlineStr">
        <is>
          <t>ACC fan F73 motor (VFD output)</t>
        </is>
      </c>
      <c r="E2249" s="12" t="inlineStr">
        <is>
          <t>R4</t>
        </is>
      </c>
      <c r="F2249" s="12" t="inlineStr">
        <is>
          <t>R4: ACC electrical (VFD) e-house (60 x 120 ft)</t>
        </is>
      </c>
      <c r="G2249" s="12" t="inlineStr">
        <is>
          <t>ACC-F73</t>
        </is>
      </c>
      <c r="H2249" s="12" t="inlineStr">
        <is>
          <t>ACC fan motor F73</t>
        </is>
      </c>
      <c r="I2249" s="12" t="inlineStr">
        <is>
          <t>LV 600 V</t>
        </is>
      </c>
      <c r="J2249" s="12" t="inlineStr">
        <is>
          <t>VFD cable 600 V 3/C Cu XHHW-2, 3 symmetrical grounds, overall Cu tape shield, TC-ER</t>
        </is>
      </c>
      <c r="K2249" s="12" t="inlineStr">
        <is>
          <t>VFD|3/C+3G|350</t>
        </is>
      </c>
      <c r="L2249" s="12" t="inlineStr">
        <is>
          <t>3/C+3G</t>
        </is>
      </c>
      <c r="M2249" s="12" t="inlineStr">
        <is>
          <t>350 kcmil</t>
        </is>
      </c>
      <c r="N2249" s="12" t="n">
        <v>1</v>
      </c>
      <c r="O2249" s="12" t="n">
        <v>1</v>
      </c>
      <c r="P2249" s="12" t="n">
        <v>480</v>
      </c>
      <c r="Q2249" s="12" t="n">
        <v>150</v>
      </c>
      <c r="R2249" s="12" t="n">
        <v>212</v>
      </c>
      <c r="S2249" s="12" t="inlineStr">
        <is>
          <t>Tray</t>
        </is>
      </c>
      <c r="T2249" s="16" t="n">
        <v>325</v>
      </c>
      <c r="U2249" s="16" t="n">
        <v>44</v>
      </c>
      <c r="V2249" s="16">
        <f>ROUNDUP((T2249+U2249+2*'Read Me'!$B$13)*(1+'Read Me'!$B$12),-1)</f>
        <v/>
      </c>
      <c r="W2249" s="16">
        <f>V2249*N2249*O2249</f>
        <v/>
      </c>
      <c r="X2249" s="12">
        <f>IF(LEFT(I2249,2)="MV",2*N2249*IF(L2249="1/C",O2249,1),0)</f>
        <v/>
      </c>
      <c r="Y2249" s="12">
        <f>IF(OR(LEFT(K2249,4)="LVAX",LEFT(K2249,6)="MV15AX",LEFT(K2249,4)="CTAX",LEFT(K2249,2)="W|"),2*N2249*O2249,0)</f>
        <v/>
      </c>
      <c r="Z2249" s="12" t="inlineStr">
        <is>
          <t>VD 1.1 %</t>
        </is>
      </c>
      <c r="AA2249" s="12">
        <f>N2249*O2249</f>
        <v/>
      </c>
    </row>
    <row r="2250">
      <c r="A2250" s="12" t="inlineStr">
        <is>
          <t>B-P-0074</t>
        </is>
      </c>
      <c r="B2250" s="12" t="inlineStr">
        <is>
          <t>B</t>
        </is>
      </c>
      <c r="C2250" s="12" t="inlineStr">
        <is>
          <t>ACC</t>
        </is>
      </c>
      <c r="D2250" s="12" t="inlineStr">
        <is>
          <t>ACC fan F74 motor (VFD output)</t>
        </is>
      </c>
      <c r="E2250" s="12" t="inlineStr">
        <is>
          <t>R4</t>
        </is>
      </c>
      <c r="F2250" s="12" t="inlineStr">
        <is>
          <t>R4: ACC electrical (VFD) e-house (60 x 120 ft)</t>
        </is>
      </c>
      <c r="G2250" s="12" t="inlineStr">
        <is>
          <t>ACC-F74</t>
        </is>
      </c>
      <c r="H2250" s="12" t="inlineStr">
        <is>
          <t>ACC fan motor F74</t>
        </is>
      </c>
      <c r="I2250" s="12" t="inlineStr">
        <is>
          <t>LV 600 V</t>
        </is>
      </c>
      <c r="J2250" s="12" t="inlineStr">
        <is>
          <t>VFD cable 600 V 3/C Cu XHHW-2, 3 symmetrical grounds, overall Cu tape shield, TC-ER</t>
        </is>
      </c>
      <c r="K2250" s="12" t="inlineStr">
        <is>
          <t>VFD|3/C+3G|350</t>
        </is>
      </c>
      <c r="L2250" s="12" t="inlineStr">
        <is>
          <t>3/C+3G</t>
        </is>
      </c>
      <c r="M2250" s="12" t="inlineStr">
        <is>
          <t>350 kcmil</t>
        </is>
      </c>
      <c r="N2250" s="12" t="n">
        <v>1</v>
      </c>
      <c r="O2250" s="12" t="n">
        <v>1</v>
      </c>
      <c r="P2250" s="12" t="n">
        <v>480</v>
      </c>
      <c r="Q2250" s="12" t="n">
        <v>150</v>
      </c>
      <c r="R2250" s="12" t="n">
        <v>212</v>
      </c>
      <c r="S2250" s="12" t="inlineStr">
        <is>
          <t>Tray</t>
        </is>
      </c>
      <c r="T2250" s="16" t="n">
        <v>293</v>
      </c>
      <c r="U2250" s="16" t="n">
        <v>44</v>
      </c>
      <c r="V2250" s="16">
        <f>ROUNDUP((T2250+U2250+2*'Read Me'!$B$13)*(1+'Read Me'!$B$12),-1)</f>
        <v/>
      </c>
      <c r="W2250" s="16">
        <f>V2250*N2250*O2250</f>
        <v/>
      </c>
      <c r="X2250" s="12">
        <f>IF(LEFT(I2250,2)="MV",2*N2250*IF(L2250="1/C",O2250,1),0)</f>
        <v/>
      </c>
      <c r="Y2250" s="12">
        <f>IF(OR(LEFT(K2250,4)="LVAX",LEFT(K2250,6)="MV15AX",LEFT(K2250,4)="CTAX",LEFT(K2250,2)="W|"),2*N2250*O2250,0)</f>
        <v/>
      </c>
      <c r="Z2250" s="12" t="inlineStr">
        <is>
          <t>VD 1.0 %</t>
        </is>
      </c>
      <c r="AA2250" s="12">
        <f>N2250*O2250</f>
        <v/>
      </c>
    </row>
    <row r="2251">
      <c r="A2251" s="12" t="inlineStr">
        <is>
          <t>B-P-0075</t>
        </is>
      </c>
      <c r="B2251" s="12" t="inlineStr">
        <is>
          <t>B</t>
        </is>
      </c>
      <c r="C2251" s="12" t="inlineStr">
        <is>
          <t>ACC</t>
        </is>
      </c>
      <c r="D2251" s="12" t="inlineStr">
        <is>
          <t>ACC fan F75 motor (VFD output)</t>
        </is>
      </c>
      <c r="E2251" s="12" t="inlineStr">
        <is>
          <t>R4</t>
        </is>
      </c>
      <c r="F2251" s="12" t="inlineStr">
        <is>
          <t>R4: ACC electrical (VFD) e-house (60 x 120 ft)</t>
        </is>
      </c>
      <c r="G2251" s="12" t="inlineStr">
        <is>
          <t>ACC-F75</t>
        </is>
      </c>
      <c r="H2251" s="12" t="inlineStr">
        <is>
          <t>ACC fan motor F75</t>
        </is>
      </c>
      <c r="I2251" s="12" t="inlineStr">
        <is>
          <t>LV 600 V</t>
        </is>
      </c>
      <c r="J2251" s="12" t="inlineStr">
        <is>
          <t>VFD cable 600 V 3/C Cu XHHW-2, 3 symmetrical grounds, overall Cu tape shield, TC-ER</t>
        </is>
      </c>
      <c r="K2251" s="12" t="inlineStr">
        <is>
          <t>VFD|3/C+3G|350</t>
        </is>
      </c>
      <c r="L2251" s="12" t="inlineStr">
        <is>
          <t>3/C+3G</t>
        </is>
      </c>
      <c r="M2251" s="12" t="inlineStr">
        <is>
          <t>350 kcmil</t>
        </is>
      </c>
      <c r="N2251" s="12" t="n">
        <v>1</v>
      </c>
      <c r="O2251" s="12" t="n">
        <v>1</v>
      </c>
      <c r="P2251" s="12" t="n">
        <v>480</v>
      </c>
      <c r="Q2251" s="12" t="n">
        <v>150</v>
      </c>
      <c r="R2251" s="12" t="n">
        <v>212</v>
      </c>
      <c r="S2251" s="12" t="inlineStr">
        <is>
          <t>Tray</t>
        </is>
      </c>
      <c r="T2251" s="16" t="n">
        <v>261</v>
      </c>
      <c r="U2251" s="16" t="n">
        <v>44</v>
      </c>
      <c r="V2251" s="16">
        <f>ROUNDUP((T2251+U2251+2*'Read Me'!$B$13)*(1+'Read Me'!$B$12),-1)</f>
        <v/>
      </c>
      <c r="W2251" s="16">
        <f>V2251*N2251*O2251</f>
        <v/>
      </c>
      <c r="X2251" s="12">
        <f>IF(LEFT(I2251,2)="MV",2*N2251*IF(L2251="1/C",O2251,1),0)</f>
        <v/>
      </c>
      <c r="Y2251" s="12">
        <f>IF(OR(LEFT(K2251,4)="LVAX",LEFT(K2251,6)="MV15AX",LEFT(K2251,4)="CTAX",LEFT(K2251,2)="W|"),2*N2251*O2251,0)</f>
        <v/>
      </c>
      <c r="Z2251" s="12" t="inlineStr">
        <is>
          <t>VD 0.9 %</t>
        </is>
      </c>
      <c r="AA2251" s="12">
        <f>N2251*O2251</f>
        <v/>
      </c>
    </row>
    <row r="2252">
      <c r="A2252" s="12" t="inlineStr">
        <is>
          <t>B-P-0076</t>
        </is>
      </c>
      <c r="B2252" s="12" t="inlineStr">
        <is>
          <t>B</t>
        </is>
      </c>
      <c r="C2252" s="12" t="inlineStr">
        <is>
          <t>ACC</t>
        </is>
      </c>
      <c r="D2252" s="12" t="inlineStr">
        <is>
          <t>ACC fan F76 motor (VFD output)</t>
        </is>
      </c>
      <c r="E2252" s="12" t="inlineStr">
        <is>
          <t>R4</t>
        </is>
      </c>
      <c r="F2252" s="12" t="inlineStr">
        <is>
          <t>R4: ACC electrical (VFD) e-house (60 x 120 ft)</t>
        </is>
      </c>
      <c r="G2252" s="12" t="inlineStr">
        <is>
          <t>ACC-F76</t>
        </is>
      </c>
      <c r="H2252" s="12" t="inlineStr">
        <is>
          <t>ACC fan motor F76</t>
        </is>
      </c>
      <c r="I2252" s="12" t="inlineStr">
        <is>
          <t>LV 600 V</t>
        </is>
      </c>
      <c r="J2252" s="12" t="inlineStr">
        <is>
          <t>VFD cable 600 V 3/C Cu XHHW-2, 3 symmetrical grounds, overall Cu tape shield, TC-ER</t>
        </is>
      </c>
      <c r="K2252" s="12" t="inlineStr">
        <is>
          <t>VFD|3/C+3G|350</t>
        </is>
      </c>
      <c r="L2252" s="12" t="inlineStr">
        <is>
          <t>3/C+3G</t>
        </is>
      </c>
      <c r="M2252" s="12" t="inlineStr">
        <is>
          <t>350 kcmil</t>
        </is>
      </c>
      <c r="N2252" s="12" t="n">
        <v>1</v>
      </c>
      <c r="O2252" s="12" t="n">
        <v>1</v>
      </c>
      <c r="P2252" s="12" t="n">
        <v>480</v>
      </c>
      <c r="Q2252" s="12" t="n">
        <v>150</v>
      </c>
      <c r="R2252" s="12" t="n">
        <v>212</v>
      </c>
      <c r="S2252" s="12" t="inlineStr">
        <is>
          <t>Tray</t>
        </is>
      </c>
      <c r="T2252" s="16" t="n">
        <v>261</v>
      </c>
      <c r="U2252" s="16" t="n">
        <v>44</v>
      </c>
      <c r="V2252" s="16">
        <f>ROUNDUP((T2252+U2252+2*'Read Me'!$B$13)*(1+'Read Me'!$B$12),-1)</f>
        <v/>
      </c>
      <c r="W2252" s="16">
        <f>V2252*N2252*O2252</f>
        <v/>
      </c>
      <c r="X2252" s="12">
        <f>IF(LEFT(I2252,2)="MV",2*N2252*IF(L2252="1/C",O2252,1),0)</f>
        <v/>
      </c>
      <c r="Y2252" s="12">
        <f>IF(OR(LEFT(K2252,4)="LVAX",LEFT(K2252,6)="MV15AX",LEFT(K2252,4)="CTAX",LEFT(K2252,2)="W|"),2*N2252*O2252,0)</f>
        <v/>
      </c>
      <c r="Z2252" s="12" t="inlineStr">
        <is>
          <t>VD 0.9 %</t>
        </is>
      </c>
      <c r="AA2252" s="12">
        <f>N2252*O2252</f>
        <v/>
      </c>
    </row>
    <row r="2253">
      <c r="A2253" s="12" t="inlineStr">
        <is>
          <t>B-P-0077</t>
        </is>
      </c>
      <c r="B2253" s="12" t="inlineStr">
        <is>
          <t>B</t>
        </is>
      </c>
      <c r="C2253" s="12" t="inlineStr">
        <is>
          <t>ACC</t>
        </is>
      </c>
      <c r="D2253" s="12" t="inlineStr">
        <is>
          <t>ACC fan F77 motor (VFD output)</t>
        </is>
      </c>
      <c r="E2253" s="12" t="inlineStr">
        <is>
          <t>R4</t>
        </is>
      </c>
      <c r="F2253" s="12" t="inlineStr">
        <is>
          <t>R4: ACC electrical (VFD) e-house (60 x 120 ft)</t>
        </is>
      </c>
      <c r="G2253" s="12" t="inlineStr">
        <is>
          <t>ACC-F77</t>
        </is>
      </c>
      <c r="H2253" s="12" t="inlineStr">
        <is>
          <t>ACC fan motor F77</t>
        </is>
      </c>
      <c r="I2253" s="12" t="inlineStr">
        <is>
          <t>LV 600 V</t>
        </is>
      </c>
      <c r="J2253" s="12" t="inlineStr">
        <is>
          <t>VFD cable 600 V 3/C Cu XHHW-2, 3 symmetrical grounds, overall Cu tape shield, TC-ER</t>
        </is>
      </c>
      <c r="K2253" s="12" t="inlineStr">
        <is>
          <t>VFD|3/C+3G|350</t>
        </is>
      </c>
      <c r="L2253" s="12" t="inlineStr">
        <is>
          <t>3/C+3G</t>
        </is>
      </c>
      <c r="M2253" s="12" t="inlineStr">
        <is>
          <t>350 kcmil</t>
        </is>
      </c>
      <c r="N2253" s="12" t="n">
        <v>1</v>
      </c>
      <c r="O2253" s="12" t="n">
        <v>1</v>
      </c>
      <c r="P2253" s="12" t="n">
        <v>480</v>
      </c>
      <c r="Q2253" s="12" t="n">
        <v>150</v>
      </c>
      <c r="R2253" s="12" t="n">
        <v>212</v>
      </c>
      <c r="S2253" s="12" t="inlineStr">
        <is>
          <t>Tray</t>
        </is>
      </c>
      <c r="T2253" s="16" t="n">
        <v>293</v>
      </c>
      <c r="U2253" s="16" t="n">
        <v>44</v>
      </c>
      <c r="V2253" s="16">
        <f>ROUNDUP((T2253+U2253+2*'Read Me'!$B$13)*(1+'Read Me'!$B$12),-1)</f>
        <v/>
      </c>
      <c r="W2253" s="16">
        <f>V2253*N2253*O2253</f>
        <v/>
      </c>
      <c r="X2253" s="12">
        <f>IF(LEFT(I2253,2)="MV",2*N2253*IF(L2253="1/C",O2253,1),0)</f>
        <v/>
      </c>
      <c r="Y2253" s="12">
        <f>IF(OR(LEFT(K2253,4)="LVAX",LEFT(K2253,6)="MV15AX",LEFT(K2253,4)="CTAX",LEFT(K2253,2)="W|"),2*N2253*O2253,0)</f>
        <v/>
      </c>
      <c r="Z2253" s="12" t="inlineStr">
        <is>
          <t>VD 1.0 %</t>
        </is>
      </c>
      <c r="AA2253" s="12">
        <f>N2253*O2253</f>
        <v/>
      </c>
    </row>
    <row r="2254">
      <c r="A2254" s="12" t="inlineStr">
        <is>
          <t>B-P-0078</t>
        </is>
      </c>
      <c r="B2254" s="12" t="inlineStr">
        <is>
          <t>B</t>
        </is>
      </c>
      <c r="C2254" s="12" t="inlineStr">
        <is>
          <t>ACC</t>
        </is>
      </c>
      <c r="D2254" s="12" t="inlineStr">
        <is>
          <t>ACC fan F78 motor (VFD output)</t>
        </is>
      </c>
      <c r="E2254" s="12" t="inlineStr">
        <is>
          <t>R4</t>
        </is>
      </c>
      <c r="F2254" s="12" t="inlineStr">
        <is>
          <t>R4: ACC electrical (VFD) e-house (60 x 120 ft)</t>
        </is>
      </c>
      <c r="G2254" s="12" t="inlineStr">
        <is>
          <t>ACC-F78</t>
        </is>
      </c>
      <c r="H2254" s="12" t="inlineStr">
        <is>
          <t>ACC fan motor F78</t>
        </is>
      </c>
      <c r="I2254" s="12" t="inlineStr">
        <is>
          <t>LV 600 V</t>
        </is>
      </c>
      <c r="J2254" s="12" t="inlineStr">
        <is>
          <t>VFD cable 600 V 3/C Cu XHHW-2, 3 symmetrical grounds, overall Cu tape shield, TC-ER</t>
        </is>
      </c>
      <c r="K2254" s="12" t="inlineStr">
        <is>
          <t>VFD|3/C+3G|350</t>
        </is>
      </c>
      <c r="L2254" s="12" t="inlineStr">
        <is>
          <t>3/C+3G</t>
        </is>
      </c>
      <c r="M2254" s="12" t="inlineStr">
        <is>
          <t>350 kcmil</t>
        </is>
      </c>
      <c r="N2254" s="12" t="n">
        <v>1</v>
      </c>
      <c r="O2254" s="12" t="n">
        <v>1</v>
      </c>
      <c r="P2254" s="12" t="n">
        <v>480</v>
      </c>
      <c r="Q2254" s="12" t="n">
        <v>150</v>
      </c>
      <c r="R2254" s="12" t="n">
        <v>212</v>
      </c>
      <c r="S2254" s="12" t="inlineStr">
        <is>
          <t>Tray</t>
        </is>
      </c>
      <c r="T2254" s="16" t="n">
        <v>325</v>
      </c>
      <c r="U2254" s="16" t="n">
        <v>44</v>
      </c>
      <c r="V2254" s="16">
        <f>ROUNDUP((T2254+U2254+2*'Read Me'!$B$13)*(1+'Read Me'!$B$12),-1)</f>
        <v/>
      </c>
      <c r="W2254" s="16">
        <f>V2254*N2254*O2254</f>
        <v/>
      </c>
      <c r="X2254" s="12">
        <f>IF(LEFT(I2254,2)="MV",2*N2254*IF(L2254="1/C",O2254,1),0)</f>
        <v/>
      </c>
      <c r="Y2254" s="12">
        <f>IF(OR(LEFT(K2254,4)="LVAX",LEFT(K2254,6)="MV15AX",LEFT(K2254,4)="CTAX",LEFT(K2254,2)="W|"),2*N2254*O2254,0)</f>
        <v/>
      </c>
      <c r="Z2254" s="12" t="inlineStr">
        <is>
          <t>VD 1.1 %</t>
        </is>
      </c>
      <c r="AA2254" s="12">
        <f>N2254*O2254</f>
        <v/>
      </c>
    </row>
    <row r="2255">
      <c r="A2255" s="12" t="inlineStr">
        <is>
          <t>B-P-0079</t>
        </is>
      </c>
      <c r="B2255" s="12" t="inlineStr">
        <is>
          <t>B</t>
        </is>
      </c>
      <c r="C2255" s="12" t="inlineStr">
        <is>
          <t>ACC</t>
        </is>
      </c>
      <c r="D2255" s="12" t="inlineStr">
        <is>
          <t>ACC fan F79 motor (VFD output)</t>
        </is>
      </c>
      <c r="E2255" s="12" t="inlineStr">
        <is>
          <t>R4</t>
        </is>
      </c>
      <c r="F2255" s="12" t="inlineStr">
        <is>
          <t>R4: ACC electrical (VFD) e-house (60 x 120 ft)</t>
        </is>
      </c>
      <c r="G2255" s="12" t="inlineStr">
        <is>
          <t>ACC-F79</t>
        </is>
      </c>
      <c r="H2255" s="12" t="inlineStr">
        <is>
          <t>ACC fan motor F79</t>
        </is>
      </c>
      <c r="I2255" s="12" t="inlineStr">
        <is>
          <t>LV 600 V</t>
        </is>
      </c>
      <c r="J2255" s="12" t="inlineStr">
        <is>
          <t>VFD cable 600 V 3/C Cu XHHW-2, 3 symmetrical grounds, overall Cu tape shield, TC-ER</t>
        </is>
      </c>
      <c r="K2255" s="12" t="inlineStr">
        <is>
          <t>VFD|3/C+3G|350</t>
        </is>
      </c>
      <c r="L2255" s="12" t="inlineStr">
        <is>
          <t>3/C+3G</t>
        </is>
      </c>
      <c r="M2255" s="12" t="inlineStr">
        <is>
          <t>350 kcmil</t>
        </is>
      </c>
      <c r="N2255" s="12" t="n">
        <v>1</v>
      </c>
      <c r="O2255" s="12" t="n">
        <v>1</v>
      </c>
      <c r="P2255" s="12" t="n">
        <v>480</v>
      </c>
      <c r="Q2255" s="12" t="n">
        <v>150</v>
      </c>
      <c r="R2255" s="12" t="n">
        <v>212</v>
      </c>
      <c r="S2255" s="12" t="inlineStr">
        <is>
          <t>Tray</t>
        </is>
      </c>
      <c r="T2255" s="16" t="n">
        <v>357</v>
      </c>
      <c r="U2255" s="16" t="n">
        <v>44</v>
      </c>
      <c r="V2255" s="16">
        <f>ROUNDUP((T2255+U2255+2*'Read Me'!$B$13)*(1+'Read Me'!$B$12),-1)</f>
        <v/>
      </c>
      <c r="W2255" s="16">
        <f>V2255*N2255*O2255</f>
        <v/>
      </c>
      <c r="X2255" s="12">
        <f>IF(LEFT(I2255,2)="MV",2*N2255*IF(L2255="1/C",O2255,1),0)</f>
        <v/>
      </c>
      <c r="Y2255" s="12">
        <f>IF(OR(LEFT(K2255,4)="LVAX",LEFT(K2255,6)="MV15AX",LEFT(K2255,4)="CTAX",LEFT(K2255,2)="W|"),2*N2255*O2255,0)</f>
        <v/>
      </c>
      <c r="Z2255" s="12" t="inlineStr">
        <is>
          <t>VD 1.2 %</t>
        </is>
      </c>
      <c r="AA2255" s="12">
        <f>N2255*O2255</f>
        <v/>
      </c>
    </row>
    <row r="2256">
      <c r="A2256" s="12" t="inlineStr">
        <is>
          <t>B-P-0080</t>
        </is>
      </c>
      <c r="B2256" s="12" t="inlineStr">
        <is>
          <t>B</t>
        </is>
      </c>
      <c r="C2256" s="12" t="inlineStr">
        <is>
          <t>ACC</t>
        </is>
      </c>
      <c r="D2256" s="12" t="inlineStr">
        <is>
          <t>ACC fan F80 motor (VFD output)</t>
        </is>
      </c>
      <c r="E2256" s="12" t="inlineStr">
        <is>
          <t>R4</t>
        </is>
      </c>
      <c r="F2256" s="12" t="inlineStr">
        <is>
          <t>R4: ACC electrical (VFD) e-house (60 x 120 ft)</t>
        </is>
      </c>
      <c r="G2256" s="12" t="inlineStr">
        <is>
          <t>ACC-F80</t>
        </is>
      </c>
      <c r="H2256" s="12" t="inlineStr">
        <is>
          <t>ACC fan motor F80</t>
        </is>
      </c>
      <c r="I2256" s="12" t="inlineStr">
        <is>
          <t>LV 600 V</t>
        </is>
      </c>
      <c r="J2256" s="12" t="inlineStr">
        <is>
          <t>VFD cable 600 V 3/C Cu XHHW-2, 3 symmetrical grounds, overall Cu tape shield, TC-ER</t>
        </is>
      </c>
      <c r="K2256" s="12" t="inlineStr">
        <is>
          <t>VFD|3/C+3G|350</t>
        </is>
      </c>
      <c r="L2256" s="12" t="inlineStr">
        <is>
          <t>3/C+3G</t>
        </is>
      </c>
      <c r="M2256" s="12" t="inlineStr">
        <is>
          <t>350 kcmil</t>
        </is>
      </c>
      <c r="N2256" s="12" t="n">
        <v>1</v>
      </c>
      <c r="O2256" s="12" t="n">
        <v>1</v>
      </c>
      <c r="P2256" s="12" t="n">
        <v>480</v>
      </c>
      <c r="Q2256" s="12" t="n">
        <v>150</v>
      </c>
      <c r="R2256" s="12" t="n">
        <v>212</v>
      </c>
      <c r="S2256" s="12" t="inlineStr">
        <is>
          <t>Tray</t>
        </is>
      </c>
      <c r="T2256" s="16" t="n">
        <v>389</v>
      </c>
      <c r="U2256" s="16" t="n">
        <v>44</v>
      </c>
      <c r="V2256" s="16">
        <f>ROUNDUP((T2256+U2256+2*'Read Me'!$B$13)*(1+'Read Me'!$B$12),-1)</f>
        <v/>
      </c>
      <c r="W2256" s="16">
        <f>V2256*N2256*O2256</f>
        <v/>
      </c>
      <c r="X2256" s="12">
        <f>IF(LEFT(I2256,2)="MV",2*N2256*IF(L2256="1/C",O2256,1),0)</f>
        <v/>
      </c>
      <c r="Y2256" s="12">
        <f>IF(OR(LEFT(K2256,4)="LVAX",LEFT(K2256,6)="MV15AX",LEFT(K2256,4)="CTAX",LEFT(K2256,2)="W|"),2*N2256*O2256,0)</f>
        <v/>
      </c>
      <c r="Z2256" s="12" t="inlineStr">
        <is>
          <t>VD 1.3 %</t>
        </is>
      </c>
      <c r="AA2256" s="12">
        <f>N2256*O2256</f>
        <v/>
      </c>
    </row>
    <row r="2257">
      <c r="A2257" s="12" t="inlineStr">
        <is>
          <t>B-P-0081</t>
        </is>
      </c>
      <c r="B2257" s="12" t="inlineStr">
        <is>
          <t>B</t>
        </is>
      </c>
      <c r="C2257" s="12" t="inlineStr">
        <is>
          <t>ACC</t>
        </is>
      </c>
      <c r="D2257" s="12" t="inlineStr">
        <is>
          <t>MOV 1: power</t>
        </is>
      </c>
      <c r="E2257" s="12" t="inlineStr"/>
      <c r="F2257" s="12" t="inlineStr">
        <is>
          <t>R4 480 V switchgear + vacuum-pump MCC</t>
        </is>
      </c>
      <c r="G2257" s="12" t="inlineStr">
        <is>
          <t>ACC</t>
        </is>
      </c>
      <c r="H2257" s="12" t="inlineStr">
        <is>
          <t>Air-cooled condenser, 80 cells (steam-cycle heat rejection)</t>
        </is>
      </c>
      <c r="I2257" s="12" t="inlineStr">
        <is>
          <t>LV 600 V</t>
        </is>
      </c>
      <c r="J2257" s="12" t="inlineStr">
        <is>
          <t>Type TC-ER 600 V 3/C Cu XHHW-2 + ground, PVC jacket</t>
        </is>
      </c>
      <c r="K2257" s="12" t="inlineStr">
        <is>
          <t>LV|3/C+G|10</t>
        </is>
      </c>
      <c r="L2257" s="12" t="inlineStr">
        <is>
          <t>3/C+G</t>
        </is>
      </c>
      <c r="M2257" s="12" t="inlineStr">
        <is>
          <t>10</t>
        </is>
      </c>
      <c r="N2257" s="12" t="n">
        <v>1</v>
      </c>
      <c r="O2257" s="12" t="n">
        <v>1</v>
      </c>
      <c r="P2257" s="12" t="n">
        <v>480</v>
      </c>
      <c r="Q2257" s="12" t="n">
        <v>2.5</v>
      </c>
      <c r="R2257" s="12" t="n">
        <v>3.5</v>
      </c>
      <c r="S2257" s="12" t="inlineStr">
        <is>
          <t>Tray</t>
        </is>
      </c>
      <c r="T2257" s="16" t="n">
        <v>0</v>
      </c>
      <c r="U2257" s="16" t="n">
        <v>52</v>
      </c>
      <c r="V2257" s="16">
        <f>ROUNDUP((T2257+U2257+2*'Read Me'!$B$13)*(1+'Read Me'!$B$12),-1)</f>
        <v/>
      </c>
      <c r="W2257" s="16">
        <f>V2257*N2257*O2257</f>
        <v/>
      </c>
      <c r="X2257" s="12">
        <f>IF(LEFT(I2257,2)="MV",2*N2257*IF(L2257="1/C",O2257,1),0)</f>
        <v/>
      </c>
      <c r="Y2257" s="12">
        <f>IF(OR(LEFT(K2257,4)="LVAX",LEFT(K2257,6)="MV15AX",LEFT(K2257,4)="CTAX",LEFT(K2257,2)="W|"),2*N2257*O2257,0)</f>
        <v/>
      </c>
      <c r="Z2257" s="12" t="inlineStr">
        <is>
          <t>VD 0.1 %</t>
        </is>
      </c>
      <c r="AA2257" s="12">
        <f>N2257*O2257</f>
        <v/>
      </c>
    </row>
    <row r="2258">
      <c r="A2258" s="12" t="inlineStr">
        <is>
          <t>B-P-0082</t>
        </is>
      </c>
      <c r="B2258" s="12" t="inlineStr">
        <is>
          <t>B</t>
        </is>
      </c>
      <c r="C2258" s="12" t="inlineStr">
        <is>
          <t>ACC</t>
        </is>
      </c>
      <c r="D2258" s="12" t="inlineStr">
        <is>
          <t>MOV 2: power</t>
        </is>
      </c>
      <c r="E2258" s="12" t="inlineStr"/>
      <c r="F2258" s="12" t="inlineStr">
        <is>
          <t>R4 480 V switchgear + vacuum-pump MCC</t>
        </is>
      </c>
      <c r="G2258" s="12" t="inlineStr">
        <is>
          <t>ACC</t>
        </is>
      </c>
      <c r="H2258" s="12" t="inlineStr">
        <is>
          <t>Air-cooled condenser, 80 cells (steam-cycle heat rejection)</t>
        </is>
      </c>
      <c r="I2258" s="12" t="inlineStr">
        <is>
          <t>LV 600 V</t>
        </is>
      </c>
      <c r="J2258" s="12" t="inlineStr">
        <is>
          <t>Type TC-ER 600 V 3/C Cu XHHW-2 + ground, PVC jacket</t>
        </is>
      </c>
      <c r="K2258" s="12" t="inlineStr">
        <is>
          <t>LV|3/C+G|10</t>
        </is>
      </c>
      <c r="L2258" s="12" t="inlineStr">
        <is>
          <t>3/C+G</t>
        </is>
      </c>
      <c r="M2258" s="12" t="inlineStr">
        <is>
          <t>10</t>
        </is>
      </c>
      <c r="N2258" s="12" t="n">
        <v>1</v>
      </c>
      <c r="O2258" s="12" t="n">
        <v>1</v>
      </c>
      <c r="P2258" s="12" t="n">
        <v>480</v>
      </c>
      <c r="Q2258" s="12" t="n">
        <v>2.5</v>
      </c>
      <c r="R2258" s="12" t="n">
        <v>3.5</v>
      </c>
      <c r="S2258" s="12" t="inlineStr">
        <is>
          <t>Tray</t>
        </is>
      </c>
      <c r="T2258" s="16" t="n">
        <v>0</v>
      </c>
      <c r="U2258" s="16" t="n">
        <v>52</v>
      </c>
      <c r="V2258" s="16">
        <f>ROUNDUP((T2258+U2258+2*'Read Me'!$B$13)*(1+'Read Me'!$B$12),-1)</f>
        <v/>
      </c>
      <c r="W2258" s="16">
        <f>V2258*N2258*O2258</f>
        <v/>
      </c>
      <c r="X2258" s="12">
        <f>IF(LEFT(I2258,2)="MV",2*N2258*IF(L2258="1/C",O2258,1),0)</f>
        <v/>
      </c>
      <c r="Y2258" s="12">
        <f>IF(OR(LEFT(K2258,4)="LVAX",LEFT(K2258,6)="MV15AX",LEFT(K2258,4)="CTAX",LEFT(K2258,2)="W|"),2*N2258*O2258,0)</f>
        <v/>
      </c>
      <c r="Z2258" s="12" t="inlineStr">
        <is>
          <t>VD 0.1 %</t>
        </is>
      </c>
      <c r="AA2258" s="12">
        <f>N2258*O2258</f>
        <v/>
      </c>
    </row>
    <row r="2259">
      <c r="A2259" s="12" t="inlineStr">
        <is>
          <t>B-P-0083</t>
        </is>
      </c>
      <c r="B2259" s="12" t="inlineStr">
        <is>
          <t>B</t>
        </is>
      </c>
      <c r="C2259" s="12" t="inlineStr">
        <is>
          <t>ACC</t>
        </is>
      </c>
      <c r="D2259" s="12" t="inlineStr">
        <is>
          <t>MOV 3: power</t>
        </is>
      </c>
      <c r="E2259" s="12" t="inlineStr"/>
      <c r="F2259" s="12" t="inlineStr">
        <is>
          <t>R4 480 V switchgear + vacuum-pump MCC</t>
        </is>
      </c>
      <c r="G2259" s="12" t="inlineStr">
        <is>
          <t>ACC</t>
        </is>
      </c>
      <c r="H2259" s="12" t="inlineStr">
        <is>
          <t>Air-cooled condenser, 80 cells (steam-cycle heat rejection)</t>
        </is>
      </c>
      <c r="I2259" s="12" t="inlineStr">
        <is>
          <t>LV 600 V</t>
        </is>
      </c>
      <c r="J2259" s="12" t="inlineStr">
        <is>
          <t>Type TC-ER 600 V 3/C Cu XHHW-2 + ground, PVC jacket</t>
        </is>
      </c>
      <c r="K2259" s="12" t="inlineStr">
        <is>
          <t>LV|3/C+G|10</t>
        </is>
      </c>
      <c r="L2259" s="12" t="inlineStr">
        <is>
          <t>3/C+G</t>
        </is>
      </c>
      <c r="M2259" s="12" t="inlineStr">
        <is>
          <t>10</t>
        </is>
      </c>
      <c r="N2259" s="12" t="n">
        <v>1</v>
      </c>
      <c r="O2259" s="12" t="n">
        <v>1</v>
      </c>
      <c r="P2259" s="12" t="n">
        <v>480</v>
      </c>
      <c r="Q2259" s="12" t="n">
        <v>2.5</v>
      </c>
      <c r="R2259" s="12" t="n">
        <v>3.5</v>
      </c>
      <c r="S2259" s="12" t="inlineStr">
        <is>
          <t>Tray</t>
        </is>
      </c>
      <c r="T2259" s="16" t="n">
        <v>0</v>
      </c>
      <c r="U2259" s="16" t="n">
        <v>52</v>
      </c>
      <c r="V2259" s="16">
        <f>ROUNDUP((T2259+U2259+2*'Read Me'!$B$13)*(1+'Read Me'!$B$12),-1)</f>
        <v/>
      </c>
      <c r="W2259" s="16">
        <f>V2259*N2259*O2259</f>
        <v/>
      </c>
      <c r="X2259" s="12">
        <f>IF(LEFT(I2259,2)="MV",2*N2259*IF(L2259="1/C",O2259,1),0)</f>
        <v/>
      </c>
      <c r="Y2259" s="12">
        <f>IF(OR(LEFT(K2259,4)="LVAX",LEFT(K2259,6)="MV15AX",LEFT(K2259,4)="CTAX",LEFT(K2259,2)="W|"),2*N2259*O2259,0)</f>
        <v/>
      </c>
      <c r="Z2259" s="12" t="inlineStr">
        <is>
          <t>VD 0.1 %</t>
        </is>
      </c>
      <c r="AA2259" s="12">
        <f>N2259*O2259</f>
        <v/>
      </c>
    </row>
    <row r="2260">
      <c r="A2260" s="12" t="inlineStr">
        <is>
          <t>B-P-0084</t>
        </is>
      </c>
      <c r="B2260" s="12" t="inlineStr">
        <is>
          <t>B</t>
        </is>
      </c>
      <c r="C2260" s="12" t="inlineStr">
        <is>
          <t>ACC</t>
        </is>
      </c>
      <c r="D2260" s="12" t="inlineStr">
        <is>
          <t>MOV 4: power</t>
        </is>
      </c>
      <c r="E2260" s="12" t="inlineStr"/>
      <c r="F2260" s="12" t="inlineStr">
        <is>
          <t>R4 480 V switchgear + vacuum-pump MCC</t>
        </is>
      </c>
      <c r="G2260" s="12" t="inlineStr">
        <is>
          <t>ACC</t>
        </is>
      </c>
      <c r="H2260" s="12" t="inlineStr">
        <is>
          <t>Air-cooled condenser, 80 cells (steam-cycle heat rejection)</t>
        </is>
      </c>
      <c r="I2260" s="12" t="inlineStr">
        <is>
          <t>LV 600 V</t>
        </is>
      </c>
      <c r="J2260" s="12" t="inlineStr">
        <is>
          <t>Type TC-ER 600 V 3/C Cu XHHW-2 + ground, PVC jacket</t>
        </is>
      </c>
      <c r="K2260" s="12" t="inlineStr">
        <is>
          <t>LV|3/C+G|10</t>
        </is>
      </c>
      <c r="L2260" s="12" t="inlineStr">
        <is>
          <t>3/C+G</t>
        </is>
      </c>
      <c r="M2260" s="12" t="inlineStr">
        <is>
          <t>10</t>
        </is>
      </c>
      <c r="N2260" s="12" t="n">
        <v>1</v>
      </c>
      <c r="O2260" s="12" t="n">
        <v>1</v>
      </c>
      <c r="P2260" s="12" t="n">
        <v>480</v>
      </c>
      <c r="Q2260" s="12" t="n">
        <v>2.5</v>
      </c>
      <c r="R2260" s="12" t="n">
        <v>3.5</v>
      </c>
      <c r="S2260" s="12" t="inlineStr">
        <is>
          <t>Tray</t>
        </is>
      </c>
      <c r="T2260" s="16" t="n">
        <v>0</v>
      </c>
      <c r="U2260" s="16" t="n">
        <v>52</v>
      </c>
      <c r="V2260" s="16">
        <f>ROUNDUP((T2260+U2260+2*'Read Me'!$B$13)*(1+'Read Me'!$B$12),-1)</f>
        <v/>
      </c>
      <c r="W2260" s="16">
        <f>V2260*N2260*O2260</f>
        <v/>
      </c>
      <c r="X2260" s="12">
        <f>IF(LEFT(I2260,2)="MV",2*N2260*IF(L2260="1/C",O2260,1),0)</f>
        <v/>
      </c>
      <c r="Y2260" s="12">
        <f>IF(OR(LEFT(K2260,4)="LVAX",LEFT(K2260,6)="MV15AX",LEFT(K2260,4)="CTAX",LEFT(K2260,2)="W|"),2*N2260*O2260,0)</f>
        <v/>
      </c>
      <c r="Z2260" s="12" t="inlineStr">
        <is>
          <t>VD 0.1 %</t>
        </is>
      </c>
      <c r="AA2260" s="12">
        <f>N2260*O2260</f>
        <v/>
      </c>
    </row>
    <row r="2261">
      <c r="A2261" s="12" t="inlineStr">
        <is>
          <t>B-P-0085</t>
        </is>
      </c>
      <c r="B2261" s="12" t="inlineStr">
        <is>
          <t>B</t>
        </is>
      </c>
      <c r="C2261" s="12" t="inlineStr">
        <is>
          <t>ACC</t>
        </is>
      </c>
      <c r="D2261" s="12" t="inlineStr">
        <is>
          <t>MOV 5: power</t>
        </is>
      </c>
      <c r="E2261" s="12" t="inlineStr"/>
      <c r="F2261" s="12" t="inlineStr">
        <is>
          <t>R4 480 V switchgear + vacuum-pump MCC</t>
        </is>
      </c>
      <c r="G2261" s="12" t="inlineStr">
        <is>
          <t>ACC</t>
        </is>
      </c>
      <c r="H2261" s="12" t="inlineStr">
        <is>
          <t>Air-cooled condenser, 80 cells (steam-cycle heat rejection)</t>
        </is>
      </c>
      <c r="I2261" s="12" t="inlineStr">
        <is>
          <t>LV 600 V</t>
        </is>
      </c>
      <c r="J2261" s="12" t="inlineStr">
        <is>
          <t>Type TC-ER 600 V 3/C Cu XHHW-2 + ground, PVC jacket</t>
        </is>
      </c>
      <c r="K2261" s="12" t="inlineStr">
        <is>
          <t>LV|3/C+G|10</t>
        </is>
      </c>
      <c r="L2261" s="12" t="inlineStr">
        <is>
          <t>3/C+G</t>
        </is>
      </c>
      <c r="M2261" s="12" t="inlineStr">
        <is>
          <t>10</t>
        </is>
      </c>
      <c r="N2261" s="12" t="n">
        <v>1</v>
      </c>
      <c r="O2261" s="12" t="n">
        <v>1</v>
      </c>
      <c r="P2261" s="12" t="n">
        <v>480</v>
      </c>
      <c r="Q2261" s="12" t="n">
        <v>2.5</v>
      </c>
      <c r="R2261" s="12" t="n">
        <v>3.5</v>
      </c>
      <c r="S2261" s="12" t="inlineStr">
        <is>
          <t>Tray</t>
        </is>
      </c>
      <c r="T2261" s="16" t="n">
        <v>0</v>
      </c>
      <c r="U2261" s="16" t="n">
        <v>52</v>
      </c>
      <c r="V2261" s="16">
        <f>ROUNDUP((T2261+U2261+2*'Read Me'!$B$13)*(1+'Read Me'!$B$12),-1)</f>
        <v/>
      </c>
      <c r="W2261" s="16">
        <f>V2261*N2261*O2261</f>
        <v/>
      </c>
      <c r="X2261" s="12">
        <f>IF(LEFT(I2261,2)="MV",2*N2261*IF(L2261="1/C",O2261,1),0)</f>
        <v/>
      </c>
      <c r="Y2261" s="12">
        <f>IF(OR(LEFT(K2261,4)="LVAX",LEFT(K2261,6)="MV15AX",LEFT(K2261,4)="CTAX",LEFT(K2261,2)="W|"),2*N2261*O2261,0)</f>
        <v/>
      </c>
      <c r="Z2261" s="12" t="inlineStr">
        <is>
          <t>VD 0.1 %</t>
        </is>
      </c>
      <c r="AA2261" s="12">
        <f>N2261*O2261</f>
        <v/>
      </c>
    </row>
    <row r="2262">
      <c r="A2262" s="12" t="inlineStr">
        <is>
          <t>B-P-0086</t>
        </is>
      </c>
      <c r="B2262" s="12" t="inlineStr">
        <is>
          <t>B</t>
        </is>
      </c>
      <c r="C2262" s="12" t="inlineStr">
        <is>
          <t>ACC</t>
        </is>
      </c>
      <c r="D2262" s="12" t="inlineStr">
        <is>
          <t>MOV 6: power</t>
        </is>
      </c>
      <c r="E2262" s="12" t="inlineStr"/>
      <c r="F2262" s="12" t="inlineStr">
        <is>
          <t>R4 480 V switchgear + vacuum-pump MCC</t>
        </is>
      </c>
      <c r="G2262" s="12" t="inlineStr">
        <is>
          <t>ACC</t>
        </is>
      </c>
      <c r="H2262" s="12" t="inlineStr">
        <is>
          <t>Air-cooled condenser, 80 cells (steam-cycle heat rejection)</t>
        </is>
      </c>
      <c r="I2262" s="12" t="inlineStr">
        <is>
          <t>LV 600 V</t>
        </is>
      </c>
      <c r="J2262" s="12" t="inlineStr">
        <is>
          <t>Type TC-ER 600 V 3/C Cu XHHW-2 + ground, PVC jacket</t>
        </is>
      </c>
      <c r="K2262" s="12" t="inlineStr">
        <is>
          <t>LV|3/C+G|10</t>
        </is>
      </c>
      <c r="L2262" s="12" t="inlineStr">
        <is>
          <t>3/C+G</t>
        </is>
      </c>
      <c r="M2262" s="12" t="inlineStr">
        <is>
          <t>10</t>
        </is>
      </c>
      <c r="N2262" s="12" t="n">
        <v>1</v>
      </c>
      <c r="O2262" s="12" t="n">
        <v>1</v>
      </c>
      <c r="P2262" s="12" t="n">
        <v>480</v>
      </c>
      <c r="Q2262" s="12" t="n">
        <v>2.5</v>
      </c>
      <c r="R2262" s="12" t="n">
        <v>3.5</v>
      </c>
      <c r="S2262" s="12" t="inlineStr">
        <is>
          <t>Tray</t>
        </is>
      </c>
      <c r="T2262" s="16" t="n">
        <v>0</v>
      </c>
      <c r="U2262" s="16" t="n">
        <v>52</v>
      </c>
      <c r="V2262" s="16">
        <f>ROUNDUP((T2262+U2262+2*'Read Me'!$B$13)*(1+'Read Me'!$B$12),-1)</f>
        <v/>
      </c>
      <c r="W2262" s="16">
        <f>V2262*N2262*O2262</f>
        <v/>
      </c>
      <c r="X2262" s="12">
        <f>IF(LEFT(I2262,2)="MV",2*N2262*IF(L2262="1/C",O2262,1),0)</f>
        <v/>
      </c>
      <c r="Y2262" s="12">
        <f>IF(OR(LEFT(K2262,4)="LVAX",LEFT(K2262,6)="MV15AX",LEFT(K2262,4)="CTAX",LEFT(K2262,2)="W|"),2*N2262*O2262,0)</f>
        <v/>
      </c>
      <c r="Z2262" s="12" t="inlineStr">
        <is>
          <t>VD 0.1 %</t>
        </is>
      </c>
      <c r="AA2262" s="12">
        <f>N2262*O2262</f>
        <v/>
      </c>
    </row>
    <row r="2263">
      <c r="A2263" s="12" t="inlineStr">
        <is>
          <t>B-P-0087</t>
        </is>
      </c>
      <c r="B2263" s="12" t="inlineStr">
        <is>
          <t>B</t>
        </is>
      </c>
      <c r="C2263" s="12" t="inlineStr">
        <is>
          <t>ACC</t>
        </is>
      </c>
      <c r="D2263" s="12" t="inlineStr">
        <is>
          <t>MOV 7: power</t>
        </is>
      </c>
      <c r="E2263" s="12" t="inlineStr"/>
      <c r="F2263" s="12" t="inlineStr">
        <is>
          <t>R4 480 V switchgear + vacuum-pump MCC</t>
        </is>
      </c>
      <c r="G2263" s="12" t="inlineStr">
        <is>
          <t>ACC</t>
        </is>
      </c>
      <c r="H2263" s="12" t="inlineStr">
        <is>
          <t>Air-cooled condenser, 80 cells (steam-cycle heat rejection)</t>
        </is>
      </c>
      <c r="I2263" s="12" t="inlineStr">
        <is>
          <t>LV 600 V</t>
        </is>
      </c>
      <c r="J2263" s="12" t="inlineStr">
        <is>
          <t>Type TC-ER 600 V 3/C Cu XHHW-2 + ground, PVC jacket</t>
        </is>
      </c>
      <c r="K2263" s="12" t="inlineStr">
        <is>
          <t>LV|3/C+G|10</t>
        </is>
      </c>
      <c r="L2263" s="12" t="inlineStr">
        <is>
          <t>3/C+G</t>
        </is>
      </c>
      <c r="M2263" s="12" t="inlineStr">
        <is>
          <t>10</t>
        </is>
      </c>
      <c r="N2263" s="12" t="n">
        <v>1</v>
      </c>
      <c r="O2263" s="12" t="n">
        <v>1</v>
      </c>
      <c r="P2263" s="12" t="n">
        <v>480</v>
      </c>
      <c r="Q2263" s="12" t="n">
        <v>2.5</v>
      </c>
      <c r="R2263" s="12" t="n">
        <v>3.5</v>
      </c>
      <c r="S2263" s="12" t="inlineStr">
        <is>
          <t>Tray</t>
        </is>
      </c>
      <c r="T2263" s="16" t="n">
        <v>0</v>
      </c>
      <c r="U2263" s="16" t="n">
        <v>52</v>
      </c>
      <c r="V2263" s="16">
        <f>ROUNDUP((T2263+U2263+2*'Read Me'!$B$13)*(1+'Read Me'!$B$12),-1)</f>
        <v/>
      </c>
      <c r="W2263" s="16">
        <f>V2263*N2263*O2263</f>
        <v/>
      </c>
      <c r="X2263" s="12">
        <f>IF(LEFT(I2263,2)="MV",2*N2263*IF(L2263="1/C",O2263,1),0)</f>
        <v/>
      </c>
      <c r="Y2263" s="12">
        <f>IF(OR(LEFT(K2263,4)="LVAX",LEFT(K2263,6)="MV15AX",LEFT(K2263,4)="CTAX",LEFT(K2263,2)="W|"),2*N2263*O2263,0)</f>
        <v/>
      </c>
      <c r="Z2263" s="12" t="inlineStr">
        <is>
          <t>VD 0.1 %</t>
        </is>
      </c>
      <c r="AA2263" s="12">
        <f>N2263*O2263</f>
        <v/>
      </c>
    </row>
    <row r="2264">
      <c r="A2264" s="12" t="inlineStr">
        <is>
          <t>B-P-0088</t>
        </is>
      </c>
      <c r="B2264" s="12" t="inlineStr">
        <is>
          <t>B</t>
        </is>
      </c>
      <c r="C2264" s="12" t="inlineStr">
        <is>
          <t>ACC</t>
        </is>
      </c>
      <c r="D2264" s="12" t="inlineStr">
        <is>
          <t>MOV 8: power</t>
        </is>
      </c>
      <c r="E2264" s="12" t="inlineStr"/>
      <c r="F2264" s="12" t="inlineStr">
        <is>
          <t>R4 480 V switchgear + vacuum-pump MCC</t>
        </is>
      </c>
      <c r="G2264" s="12" t="inlineStr">
        <is>
          <t>ACC</t>
        </is>
      </c>
      <c r="H2264" s="12" t="inlineStr">
        <is>
          <t>Air-cooled condenser, 80 cells (steam-cycle heat rejection)</t>
        </is>
      </c>
      <c r="I2264" s="12" t="inlineStr">
        <is>
          <t>LV 600 V</t>
        </is>
      </c>
      <c r="J2264" s="12" t="inlineStr">
        <is>
          <t>Type TC-ER 600 V 3/C Cu XHHW-2 + ground, PVC jacket</t>
        </is>
      </c>
      <c r="K2264" s="12" t="inlineStr">
        <is>
          <t>LV|3/C+G|10</t>
        </is>
      </c>
      <c r="L2264" s="12" t="inlineStr">
        <is>
          <t>3/C+G</t>
        </is>
      </c>
      <c r="M2264" s="12" t="inlineStr">
        <is>
          <t>10</t>
        </is>
      </c>
      <c r="N2264" s="12" t="n">
        <v>1</v>
      </c>
      <c r="O2264" s="12" t="n">
        <v>1</v>
      </c>
      <c r="P2264" s="12" t="n">
        <v>480</v>
      </c>
      <c r="Q2264" s="12" t="n">
        <v>2.5</v>
      </c>
      <c r="R2264" s="12" t="n">
        <v>3.5</v>
      </c>
      <c r="S2264" s="12" t="inlineStr">
        <is>
          <t>Tray</t>
        </is>
      </c>
      <c r="T2264" s="16" t="n">
        <v>0</v>
      </c>
      <c r="U2264" s="16" t="n">
        <v>52</v>
      </c>
      <c r="V2264" s="16">
        <f>ROUNDUP((T2264+U2264+2*'Read Me'!$B$13)*(1+'Read Me'!$B$12),-1)</f>
        <v/>
      </c>
      <c r="W2264" s="16">
        <f>V2264*N2264*O2264</f>
        <v/>
      </c>
      <c r="X2264" s="12">
        <f>IF(LEFT(I2264,2)="MV",2*N2264*IF(L2264="1/C",O2264,1),0)</f>
        <v/>
      </c>
      <c r="Y2264" s="12">
        <f>IF(OR(LEFT(K2264,4)="LVAX",LEFT(K2264,6)="MV15AX",LEFT(K2264,4)="CTAX",LEFT(K2264,2)="W|"),2*N2264*O2264,0)</f>
        <v/>
      </c>
      <c r="Z2264" s="12" t="inlineStr">
        <is>
          <t>VD 0.1 %</t>
        </is>
      </c>
      <c r="AA2264" s="12">
        <f>N2264*O2264</f>
        <v/>
      </c>
    </row>
    <row r="2265">
      <c r="A2265" s="12" t="inlineStr">
        <is>
          <t>B-P-0089</t>
        </is>
      </c>
      <c r="B2265" s="12" t="inlineStr">
        <is>
          <t>B</t>
        </is>
      </c>
      <c r="C2265" s="12" t="inlineStr">
        <is>
          <t>ACC</t>
        </is>
      </c>
      <c r="D2265" s="12" t="inlineStr">
        <is>
          <t>MOV 9: power</t>
        </is>
      </c>
      <c r="E2265" s="12" t="inlineStr"/>
      <c r="F2265" s="12" t="inlineStr">
        <is>
          <t>R4 480 V switchgear + vacuum-pump MCC</t>
        </is>
      </c>
      <c r="G2265" s="12" t="inlineStr">
        <is>
          <t>ACC</t>
        </is>
      </c>
      <c r="H2265" s="12" t="inlineStr">
        <is>
          <t>Air-cooled condenser, 80 cells (steam-cycle heat rejection)</t>
        </is>
      </c>
      <c r="I2265" s="12" t="inlineStr">
        <is>
          <t>LV 600 V</t>
        </is>
      </c>
      <c r="J2265" s="12" t="inlineStr">
        <is>
          <t>Type TC-ER 600 V 3/C Cu XHHW-2 + ground, PVC jacket</t>
        </is>
      </c>
      <c r="K2265" s="12" t="inlineStr">
        <is>
          <t>LV|3/C+G|10</t>
        </is>
      </c>
      <c r="L2265" s="12" t="inlineStr">
        <is>
          <t>3/C+G</t>
        </is>
      </c>
      <c r="M2265" s="12" t="inlineStr">
        <is>
          <t>10</t>
        </is>
      </c>
      <c r="N2265" s="12" t="n">
        <v>1</v>
      </c>
      <c r="O2265" s="12" t="n">
        <v>1</v>
      </c>
      <c r="P2265" s="12" t="n">
        <v>480</v>
      </c>
      <c r="Q2265" s="12" t="n">
        <v>2.5</v>
      </c>
      <c r="R2265" s="12" t="n">
        <v>3.5</v>
      </c>
      <c r="S2265" s="12" t="inlineStr">
        <is>
          <t>Tray</t>
        </is>
      </c>
      <c r="T2265" s="16" t="n">
        <v>0</v>
      </c>
      <c r="U2265" s="16" t="n">
        <v>52</v>
      </c>
      <c r="V2265" s="16">
        <f>ROUNDUP((T2265+U2265+2*'Read Me'!$B$13)*(1+'Read Me'!$B$12),-1)</f>
        <v/>
      </c>
      <c r="W2265" s="16">
        <f>V2265*N2265*O2265</f>
        <v/>
      </c>
      <c r="X2265" s="12">
        <f>IF(LEFT(I2265,2)="MV",2*N2265*IF(L2265="1/C",O2265,1),0)</f>
        <v/>
      </c>
      <c r="Y2265" s="12">
        <f>IF(OR(LEFT(K2265,4)="LVAX",LEFT(K2265,6)="MV15AX",LEFT(K2265,4)="CTAX",LEFT(K2265,2)="W|"),2*N2265*O2265,0)</f>
        <v/>
      </c>
      <c r="Z2265" s="12" t="inlineStr">
        <is>
          <t>VD 0.1 %</t>
        </is>
      </c>
      <c r="AA2265" s="12">
        <f>N2265*O2265</f>
        <v/>
      </c>
    </row>
    <row r="2266">
      <c r="A2266" s="12" t="inlineStr">
        <is>
          <t>B-P-0090</t>
        </is>
      </c>
      <c r="B2266" s="12" t="inlineStr">
        <is>
          <t>B</t>
        </is>
      </c>
      <c r="C2266" s="12" t="inlineStr">
        <is>
          <t>ACC</t>
        </is>
      </c>
      <c r="D2266" s="12" t="inlineStr">
        <is>
          <t>MOV 10: power</t>
        </is>
      </c>
      <c r="E2266" s="12" t="inlineStr"/>
      <c r="F2266" s="12" t="inlineStr">
        <is>
          <t>R4 480 V switchgear + vacuum-pump MCC</t>
        </is>
      </c>
      <c r="G2266" s="12" t="inlineStr">
        <is>
          <t>ACC</t>
        </is>
      </c>
      <c r="H2266" s="12" t="inlineStr">
        <is>
          <t>Air-cooled condenser, 80 cells (steam-cycle heat rejection)</t>
        </is>
      </c>
      <c r="I2266" s="12" t="inlineStr">
        <is>
          <t>LV 600 V</t>
        </is>
      </c>
      <c r="J2266" s="12" t="inlineStr">
        <is>
          <t>Type TC-ER 600 V 3/C Cu XHHW-2 + ground, PVC jacket</t>
        </is>
      </c>
      <c r="K2266" s="12" t="inlineStr">
        <is>
          <t>LV|3/C+G|10</t>
        </is>
      </c>
      <c r="L2266" s="12" t="inlineStr">
        <is>
          <t>3/C+G</t>
        </is>
      </c>
      <c r="M2266" s="12" t="inlineStr">
        <is>
          <t>10</t>
        </is>
      </c>
      <c r="N2266" s="12" t="n">
        <v>1</v>
      </c>
      <c r="O2266" s="12" t="n">
        <v>1</v>
      </c>
      <c r="P2266" s="12" t="n">
        <v>480</v>
      </c>
      <c r="Q2266" s="12" t="n">
        <v>2.5</v>
      </c>
      <c r="R2266" s="12" t="n">
        <v>3.5</v>
      </c>
      <c r="S2266" s="12" t="inlineStr">
        <is>
          <t>Tray</t>
        </is>
      </c>
      <c r="T2266" s="16" t="n">
        <v>0</v>
      </c>
      <c r="U2266" s="16" t="n">
        <v>52</v>
      </c>
      <c r="V2266" s="16">
        <f>ROUNDUP((T2266+U2266+2*'Read Me'!$B$13)*(1+'Read Me'!$B$12),-1)</f>
        <v/>
      </c>
      <c r="W2266" s="16">
        <f>V2266*N2266*O2266</f>
        <v/>
      </c>
      <c r="X2266" s="12">
        <f>IF(LEFT(I2266,2)="MV",2*N2266*IF(L2266="1/C",O2266,1),0)</f>
        <v/>
      </c>
      <c r="Y2266" s="12">
        <f>IF(OR(LEFT(K2266,4)="LVAX",LEFT(K2266,6)="MV15AX",LEFT(K2266,4)="CTAX",LEFT(K2266,2)="W|"),2*N2266*O2266,0)</f>
        <v/>
      </c>
      <c r="Z2266" s="12" t="inlineStr">
        <is>
          <t>VD 0.1 %</t>
        </is>
      </c>
      <c r="AA2266" s="12">
        <f>N2266*O2266</f>
        <v/>
      </c>
    </row>
    <row r="2267">
      <c r="A2267" s="12" t="inlineStr">
        <is>
          <t>B-P-0091</t>
        </is>
      </c>
      <c r="B2267" s="12" t="inlineStr">
        <is>
          <t>B</t>
        </is>
      </c>
      <c r="C2267" s="12" t="inlineStr">
        <is>
          <t>ACC</t>
        </is>
      </c>
      <c r="D2267" s="12" t="inlineStr">
        <is>
          <t>MOV 11: power</t>
        </is>
      </c>
      <c r="E2267" s="12" t="inlineStr"/>
      <c r="F2267" s="12" t="inlineStr">
        <is>
          <t>R4 480 V switchgear + vacuum-pump MCC</t>
        </is>
      </c>
      <c r="G2267" s="12" t="inlineStr">
        <is>
          <t>ACC</t>
        </is>
      </c>
      <c r="H2267" s="12" t="inlineStr">
        <is>
          <t>Air-cooled condenser, 80 cells (steam-cycle heat rejection)</t>
        </is>
      </c>
      <c r="I2267" s="12" t="inlineStr">
        <is>
          <t>LV 600 V</t>
        </is>
      </c>
      <c r="J2267" s="12" t="inlineStr">
        <is>
          <t>Type TC-ER 600 V 3/C Cu XHHW-2 + ground, PVC jacket</t>
        </is>
      </c>
      <c r="K2267" s="12" t="inlineStr">
        <is>
          <t>LV|3/C+G|10</t>
        </is>
      </c>
      <c r="L2267" s="12" t="inlineStr">
        <is>
          <t>3/C+G</t>
        </is>
      </c>
      <c r="M2267" s="12" t="inlineStr">
        <is>
          <t>10</t>
        </is>
      </c>
      <c r="N2267" s="12" t="n">
        <v>1</v>
      </c>
      <c r="O2267" s="12" t="n">
        <v>1</v>
      </c>
      <c r="P2267" s="12" t="n">
        <v>480</v>
      </c>
      <c r="Q2267" s="12" t="n">
        <v>2.5</v>
      </c>
      <c r="R2267" s="12" t="n">
        <v>3.5</v>
      </c>
      <c r="S2267" s="12" t="inlineStr">
        <is>
          <t>Tray</t>
        </is>
      </c>
      <c r="T2267" s="16" t="n">
        <v>0</v>
      </c>
      <c r="U2267" s="16" t="n">
        <v>52</v>
      </c>
      <c r="V2267" s="16">
        <f>ROUNDUP((T2267+U2267+2*'Read Me'!$B$13)*(1+'Read Me'!$B$12),-1)</f>
        <v/>
      </c>
      <c r="W2267" s="16">
        <f>V2267*N2267*O2267</f>
        <v/>
      </c>
      <c r="X2267" s="12">
        <f>IF(LEFT(I2267,2)="MV",2*N2267*IF(L2267="1/C",O2267,1),0)</f>
        <v/>
      </c>
      <c r="Y2267" s="12">
        <f>IF(OR(LEFT(K2267,4)="LVAX",LEFT(K2267,6)="MV15AX",LEFT(K2267,4)="CTAX",LEFT(K2267,2)="W|"),2*N2267*O2267,0)</f>
        <v/>
      </c>
      <c r="Z2267" s="12" t="inlineStr">
        <is>
          <t>VD 0.1 %</t>
        </is>
      </c>
      <c r="AA2267" s="12">
        <f>N2267*O2267</f>
        <v/>
      </c>
    </row>
    <row r="2268">
      <c r="A2268" s="12" t="inlineStr">
        <is>
          <t>B-P-0092</t>
        </is>
      </c>
      <c r="B2268" s="12" t="inlineStr">
        <is>
          <t>B</t>
        </is>
      </c>
      <c r="C2268" s="12" t="inlineStr">
        <is>
          <t>ACC</t>
        </is>
      </c>
      <c r="D2268" s="12" t="inlineStr">
        <is>
          <t>MOV 12: power</t>
        </is>
      </c>
      <c r="E2268" s="12" t="inlineStr"/>
      <c r="F2268" s="12" t="inlineStr">
        <is>
          <t>R4 480 V switchgear + vacuum-pump MCC</t>
        </is>
      </c>
      <c r="G2268" s="12" t="inlineStr">
        <is>
          <t>ACC</t>
        </is>
      </c>
      <c r="H2268" s="12" t="inlineStr">
        <is>
          <t>Air-cooled condenser, 80 cells (steam-cycle heat rejection)</t>
        </is>
      </c>
      <c r="I2268" s="12" t="inlineStr">
        <is>
          <t>LV 600 V</t>
        </is>
      </c>
      <c r="J2268" s="12" t="inlineStr">
        <is>
          <t>Type TC-ER 600 V 3/C Cu XHHW-2 + ground, PVC jacket</t>
        </is>
      </c>
      <c r="K2268" s="12" t="inlineStr">
        <is>
          <t>LV|3/C+G|10</t>
        </is>
      </c>
      <c r="L2268" s="12" t="inlineStr">
        <is>
          <t>3/C+G</t>
        </is>
      </c>
      <c r="M2268" s="12" t="inlineStr">
        <is>
          <t>10</t>
        </is>
      </c>
      <c r="N2268" s="12" t="n">
        <v>1</v>
      </c>
      <c r="O2268" s="12" t="n">
        <v>1</v>
      </c>
      <c r="P2268" s="12" t="n">
        <v>480</v>
      </c>
      <c r="Q2268" s="12" t="n">
        <v>2.5</v>
      </c>
      <c r="R2268" s="12" t="n">
        <v>3.5</v>
      </c>
      <c r="S2268" s="12" t="inlineStr">
        <is>
          <t>Tray</t>
        </is>
      </c>
      <c r="T2268" s="16" t="n">
        <v>0</v>
      </c>
      <c r="U2268" s="16" t="n">
        <v>52</v>
      </c>
      <c r="V2268" s="16">
        <f>ROUNDUP((T2268+U2268+2*'Read Me'!$B$13)*(1+'Read Me'!$B$12),-1)</f>
        <v/>
      </c>
      <c r="W2268" s="16">
        <f>V2268*N2268*O2268</f>
        <v/>
      </c>
      <c r="X2268" s="12">
        <f>IF(LEFT(I2268,2)="MV",2*N2268*IF(L2268="1/C",O2268,1),0)</f>
        <v/>
      </c>
      <c r="Y2268" s="12">
        <f>IF(OR(LEFT(K2268,4)="LVAX",LEFT(K2268,6)="MV15AX",LEFT(K2268,4)="CTAX",LEFT(K2268,2)="W|"),2*N2268*O2268,0)</f>
        <v/>
      </c>
      <c r="Z2268" s="12" t="inlineStr">
        <is>
          <t>VD 0.1 %</t>
        </is>
      </c>
      <c r="AA2268" s="12">
        <f>N2268*O2268</f>
        <v/>
      </c>
    </row>
    <row r="2269">
      <c r="A2269" s="12" t="inlineStr">
        <is>
          <t>B-P-0093</t>
        </is>
      </c>
      <c r="B2269" s="12" t="inlineStr">
        <is>
          <t>B</t>
        </is>
      </c>
      <c r="C2269" s="12" t="inlineStr">
        <is>
          <t>ACC</t>
        </is>
      </c>
      <c r="D2269" s="12" t="inlineStr">
        <is>
          <t>MOV 13: power</t>
        </is>
      </c>
      <c r="E2269" s="12" t="inlineStr"/>
      <c r="F2269" s="12" t="inlineStr">
        <is>
          <t>R4 480 V switchgear + vacuum-pump MCC</t>
        </is>
      </c>
      <c r="G2269" s="12" t="inlineStr">
        <is>
          <t>ACC</t>
        </is>
      </c>
      <c r="H2269" s="12" t="inlineStr">
        <is>
          <t>Air-cooled condenser, 80 cells (steam-cycle heat rejection)</t>
        </is>
      </c>
      <c r="I2269" s="12" t="inlineStr">
        <is>
          <t>LV 600 V</t>
        </is>
      </c>
      <c r="J2269" s="12" t="inlineStr">
        <is>
          <t>Type TC-ER 600 V 3/C Cu XHHW-2 + ground, PVC jacket</t>
        </is>
      </c>
      <c r="K2269" s="12" t="inlineStr">
        <is>
          <t>LV|3/C+G|10</t>
        </is>
      </c>
      <c r="L2269" s="12" t="inlineStr">
        <is>
          <t>3/C+G</t>
        </is>
      </c>
      <c r="M2269" s="12" t="inlineStr">
        <is>
          <t>10</t>
        </is>
      </c>
      <c r="N2269" s="12" t="n">
        <v>1</v>
      </c>
      <c r="O2269" s="12" t="n">
        <v>1</v>
      </c>
      <c r="P2269" s="12" t="n">
        <v>480</v>
      </c>
      <c r="Q2269" s="12" t="n">
        <v>2.5</v>
      </c>
      <c r="R2269" s="12" t="n">
        <v>3.5</v>
      </c>
      <c r="S2269" s="12" t="inlineStr">
        <is>
          <t>Tray</t>
        </is>
      </c>
      <c r="T2269" s="16" t="n">
        <v>0</v>
      </c>
      <c r="U2269" s="16" t="n">
        <v>52</v>
      </c>
      <c r="V2269" s="16">
        <f>ROUNDUP((T2269+U2269+2*'Read Me'!$B$13)*(1+'Read Me'!$B$12),-1)</f>
        <v/>
      </c>
      <c r="W2269" s="16">
        <f>V2269*N2269*O2269</f>
        <v/>
      </c>
      <c r="X2269" s="12">
        <f>IF(LEFT(I2269,2)="MV",2*N2269*IF(L2269="1/C",O2269,1),0)</f>
        <v/>
      </c>
      <c r="Y2269" s="12">
        <f>IF(OR(LEFT(K2269,4)="LVAX",LEFT(K2269,6)="MV15AX",LEFT(K2269,4)="CTAX",LEFT(K2269,2)="W|"),2*N2269*O2269,0)</f>
        <v/>
      </c>
      <c r="Z2269" s="12" t="inlineStr">
        <is>
          <t>VD 0.1 %</t>
        </is>
      </c>
      <c r="AA2269" s="12">
        <f>N2269*O2269</f>
        <v/>
      </c>
    </row>
    <row r="2270">
      <c r="A2270" s="12" t="inlineStr">
        <is>
          <t>B-P-0094</t>
        </is>
      </c>
      <c r="B2270" s="12" t="inlineStr">
        <is>
          <t>B</t>
        </is>
      </c>
      <c r="C2270" s="12" t="inlineStr">
        <is>
          <t>ACC</t>
        </is>
      </c>
      <c r="D2270" s="12" t="inlineStr">
        <is>
          <t>MOV 14: power</t>
        </is>
      </c>
      <c r="E2270" s="12" t="inlineStr"/>
      <c r="F2270" s="12" t="inlineStr">
        <is>
          <t>R4 480 V switchgear + vacuum-pump MCC</t>
        </is>
      </c>
      <c r="G2270" s="12" t="inlineStr">
        <is>
          <t>ACC</t>
        </is>
      </c>
      <c r="H2270" s="12" t="inlineStr">
        <is>
          <t>Air-cooled condenser, 80 cells (steam-cycle heat rejection)</t>
        </is>
      </c>
      <c r="I2270" s="12" t="inlineStr">
        <is>
          <t>LV 600 V</t>
        </is>
      </c>
      <c r="J2270" s="12" t="inlineStr">
        <is>
          <t>Type TC-ER 600 V 3/C Cu XHHW-2 + ground, PVC jacket</t>
        </is>
      </c>
      <c r="K2270" s="12" t="inlineStr">
        <is>
          <t>LV|3/C+G|10</t>
        </is>
      </c>
      <c r="L2270" s="12" t="inlineStr">
        <is>
          <t>3/C+G</t>
        </is>
      </c>
      <c r="M2270" s="12" t="inlineStr">
        <is>
          <t>10</t>
        </is>
      </c>
      <c r="N2270" s="12" t="n">
        <v>1</v>
      </c>
      <c r="O2270" s="12" t="n">
        <v>1</v>
      </c>
      <c r="P2270" s="12" t="n">
        <v>480</v>
      </c>
      <c r="Q2270" s="12" t="n">
        <v>2.5</v>
      </c>
      <c r="R2270" s="12" t="n">
        <v>3.5</v>
      </c>
      <c r="S2270" s="12" t="inlineStr">
        <is>
          <t>Tray</t>
        </is>
      </c>
      <c r="T2270" s="16" t="n">
        <v>0</v>
      </c>
      <c r="U2270" s="16" t="n">
        <v>52</v>
      </c>
      <c r="V2270" s="16">
        <f>ROUNDUP((T2270+U2270+2*'Read Me'!$B$13)*(1+'Read Me'!$B$12),-1)</f>
        <v/>
      </c>
      <c r="W2270" s="16">
        <f>V2270*N2270*O2270</f>
        <v/>
      </c>
      <c r="X2270" s="12">
        <f>IF(LEFT(I2270,2)="MV",2*N2270*IF(L2270="1/C",O2270,1),0)</f>
        <v/>
      </c>
      <c r="Y2270" s="12">
        <f>IF(OR(LEFT(K2270,4)="LVAX",LEFT(K2270,6)="MV15AX",LEFT(K2270,4)="CTAX",LEFT(K2270,2)="W|"),2*N2270*O2270,0)</f>
        <v/>
      </c>
      <c r="Z2270" s="12" t="inlineStr">
        <is>
          <t>VD 0.1 %</t>
        </is>
      </c>
      <c r="AA2270" s="12">
        <f>N2270*O2270</f>
        <v/>
      </c>
    </row>
    <row r="2271">
      <c r="A2271" s="12" t="inlineStr">
        <is>
          <t>B-P-0095</t>
        </is>
      </c>
      <c r="B2271" s="12" t="inlineStr">
        <is>
          <t>B</t>
        </is>
      </c>
      <c r="C2271" s="12" t="inlineStr">
        <is>
          <t>ACC</t>
        </is>
      </c>
      <c r="D2271" s="12" t="inlineStr">
        <is>
          <t>MOV 15: power</t>
        </is>
      </c>
      <c r="E2271" s="12" t="inlineStr"/>
      <c r="F2271" s="12" t="inlineStr">
        <is>
          <t>R4 480 V switchgear + vacuum-pump MCC</t>
        </is>
      </c>
      <c r="G2271" s="12" t="inlineStr">
        <is>
          <t>ACC</t>
        </is>
      </c>
      <c r="H2271" s="12" t="inlineStr">
        <is>
          <t>Air-cooled condenser, 80 cells (steam-cycle heat rejection)</t>
        </is>
      </c>
      <c r="I2271" s="12" t="inlineStr">
        <is>
          <t>LV 600 V</t>
        </is>
      </c>
      <c r="J2271" s="12" t="inlineStr">
        <is>
          <t>Type TC-ER 600 V 3/C Cu XHHW-2 + ground, PVC jacket</t>
        </is>
      </c>
      <c r="K2271" s="12" t="inlineStr">
        <is>
          <t>LV|3/C+G|10</t>
        </is>
      </c>
      <c r="L2271" s="12" t="inlineStr">
        <is>
          <t>3/C+G</t>
        </is>
      </c>
      <c r="M2271" s="12" t="inlineStr">
        <is>
          <t>10</t>
        </is>
      </c>
      <c r="N2271" s="12" t="n">
        <v>1</v>
      </c>
      <c r="O2271" s="12" t="n">
        <v>1</v>
      </c>
      <c r="P2271" s="12" t="n">
        <v>480</v>
      </c>
      <c r="Q2271" s="12" t="n">
        <v>2.5</v>
      </c>
      <c r="R2271" s="12" t="n">
        <v>3.5</v>
      </c>
      <c r="S2271" s="12" t="inlineStr">
        <is>
          <t>Tray</t>
        </is>
      </c>
      <c r="T2271" s="16" t="n">
        <v>0</v>
      </c>
      <c r="U2271" s="16" t="n">
        <v>52</v>
      </c>
      <c r="V2271" s="16">
        <f>ROUNDUP((T2271+U2271+2*'Read Me'!$B$13)*(1+'Read Me'!$B$12),-1)</f>
        <v/>
      </c>
      <c r="W2271" s="16">
        <f>V2271*N2271*O2271</f>
        <v/>
      </c>
      <c r="X2271" s="12">
        <f>IF(LEFT(I2271,2)="MV",2*N2271*IF(L2271="1/C",O2271,1),0)</f>
        <v/>
      </c>
      <c r="Y2271" s="12">
        <f>IF(OR(LEFT(K2271,4)="LVAX",LEFT(K2271,6)="MV15AX",LEFT(K2271,4)="CTAX",LEFT(K2271,2)="W|"),2*N2271*O2271,0)</f>
        <v/>
      </c>
      <c r="Z2271" s="12" t="inlineStr">
        <is>
          <t>VD 0.1 %</t>
        </is>
      </c>
      <c r="AA2271" s="12">
        <f>N2271*O2271</f>
        <v/>
      </c>
    </row>
    <row r="2272">
      <c r="A2272" s="12" t="inlineStr">
        <is>
          <t>B-P-0096</t>
        </is>
      </c>
      <c r="B2272" s="12" t="inlineStr">
        <is>
          <t>B</t>
        </is>
      </c>
      <c r="C2272" s="12" t="inlineStr">
        <is>
          <t>ACC</t>
        </is>
      </c>
      <c r="D2272" s="12" t="inlineStr">
        <is>
          <t>MOV 16: power</t>
        </is>
      </c>
      <c r="E2272" s="12" t="inlineStr"/>
      <c r="F2272" s="12" t="inlineStr">
        <is>
          <t>R4 480 V switchgear + vacuum-pump MCC</t>
        </is>
      </c>
      <c r="G2272" s="12" t="inlineStr">
        <is>
          <t>ACC</t>
        </is>
      </c>
      <c r="H2272" s="12" t="inlineStr">
        <is>
          <t>Air-cooled condenser, 80 cells (steam-cycle heat rejection)</t>
        </is>
      </c>
      <c r="I2272" s="12" t="inlineStr">
        <is>
          <t>LV 600 V</t>
        </is>
      </c>
      <c r="J2272" s="12" t="inlineStr">
        <is>
          <t>Type TC-ER 600 V 3/C Cu XHHW-2 + ground, PVC jacket</t>
        </is>
      </c>
      <c r="K2272" s="12" t="inlineStr">
        <is>
          <t>LV|3/C+G|10</t>
        </is>
      </c>
      <c r="L2272" s="12" t="inlineStr">
        <is>
          <t>3/C+G</t>
        </is>
      </c>
      <c r="M2272" s="12" t="inlineStr">
        <is>
          <t>10</t>
        </is>
      </c>
      <c r="N2272" s="12" t="n">
        <v>1</v>
      </c>
      <c r="O2272" s="12" t="n">
        <v>1</v>
      </c>
      <c r="P2272" s="12" t="n">
        <v>480</v>
      </c>
      <c r="Q2272" s="12" t="n">
        <v>2.5</v>
      </c>
      <c r="R2272" s="12" t="n">
        <v>3.5</v>
      </c>
      <c r="S2272" s="12" t="inlineStr">
        <is>
          <t>Tray</t>
        </is>
      </c>
      <c r="T2272" s="16" t="n">
        <v>0</v>
      </c>
      <c r="U2272" s="16" t="n">
        <v>52</v>
      </c>
      <c r="V2272" s="16">
        <f>ROUNDUP((T2272+U2272+2*'Read Me'!$B$13)*(1+'Read Me'!$B$12),-1)</f>
        <v/>
      </c>
      <c r="W2272" s="16">
        <f>V2272*N2272*O2272</f>
        <v/>
      </c>
      <c r="X2272" s="12">
        <f>IF(LEFT(I2272,2)="MV",2*N2272*IF(L2272="1/C",O2272,1),0)</f>
        <v/>
      </c>
      <c r="Y2272" s="12">
        <f>IF(OR(LEFT(K2272,4)="LVAX",LEFT(K2272,6)="MV15AX",LEFT(K2272,4)="CTAX",LEFT(K2272,2)="W|"),2*N2272*O2272,0)</f>
        <v/>
      </c>
      <c r="Z2272" s="12" t="inlineStr">
        <is>
          <t>VD 0.1 %</t>
        </is>
      </c>
      <c r="AA2272" s="12">
        <f>N2272*O2272</f>
        <v/>
      </c>
    </row>
    <row r="2273">
      <c r="A2273" s="12" t="inlineStr">
        <is>
          <t>B-P-0097</t>
        </is>
      </c>
      <c r="B2273" s="12" t="inlineStr">
        <is>
          <t>B</t>
        </is>
      </c>
      <c r="C2273" s="12" t="inlineStr">
        <is>
          <t>ACC</t>
        </is>
      </c>
      <c r="D2273" s="12" t="inlineStr">
        <is>
          <t>MOV 17: power</t>
        </is>
      </c>
      <c r="E2273" s="12" t="inlineStr"/>
      <c r="F2273" s="12" t="inlineStr">
        <is>
          <t>R4 480 V switchgear + vacuum-pump MCC</t>
        </is>
      </c>
      <c r="G2273" s="12" t="inlineStr">
        <is>
          <t>ACC</t>
        </is>
      </c>
      <c r="H2273" s="12" t="inlineStr">
        <is>
          <t>Air-cooled condenser, 80 cells (steam-cycle heat rejection)</t>
        </is>
      </c>
      <c r="I2273" s="12" t="inlineStr">
        <is>
          <t>LV 600 V</t>
        </is>
      </c>
      <c r="J2273" s="12" t="inlineStr">
        <is>
          <t>Type TC-ER 600 V 3/C Cu XHHW-2 + ground, PVC jacket</t>
        </is>
      </c>
      <c r="K2273" s="12" t="inlineStr">
        <is>
          <t>LV|3/C+G|10</t>
        </is>
      </c>
      <c r="L2273" s="12" t="inlineStr">
        <is>
          <t>3/C+G</t>
        </is>
      </c>
      <c r="M2273" s="12" t="inlineStr">
        <is>
          <t>10</t>
        </is>
      </c>
      <c r="N2273" s="12" t="n">
        <v>1</v>
      </c>
      <c r="O2273" s="12" t="n">
        <v>1</v>
      </c>
      <c r="P2273" s="12" t="n">
        <v>480</v>
      </c>
      <c r="Q2273" s="12" t="n">
        <v>2.5</v>
      </c>
      <c r="R2273" s="12" t="n">
        <v>3.5</v>
      </c>
      <c r="S2273" s="12" t="inlineStr">
        <is>
          <t>Tray</t>
        </is>
      </c>
      <c r="T2273" s="16" t="n">
        <v>0</v>
      </c>
      <c r="U2273" s="16" t="n">
        <v>52</v>
      </c>
      <c r="V2273" s="16">
        <f>ROUNDUP((T2273+U2273+2*'Read Me'!$B$13)*(1+'Read Me'!$B$12),-1)</f>
        <v/>
      </c>
      <c r="W2273" s="16">
        <f>V2273*N2273*O2273</f>
        <v/>
      </c>
      <c r="X2273" s="12">
        <f>IF(LEFT(I2273,2)="MV",2*N2273*IF(L2273="1/C",O2273,1),0)</f>
        <v/>
      </c>
      <c r="Y2273" s="12">
        <f>IF(OR(LEFT(K2273,4)="LVAX",LEFT(K2273,6)="MV15AX",LEFT(K2273,4)="CTAX",LEFT(K2273,2)="W|"),2*N2273*O2273,0)</f>
        <v/>
      </c>
      <c r="Z2273" s="12" t="inlineStr">
        <is>
          <t>VD 0.1 %</t>
        </is>
      </c>
      <c r="AA2273" s="12">
        <f>N2273*O2273</f>
        <v/>
      </c>
    </row>
    <row r="2274">
      <c r="A2274" s="12" t="inlineStr">
        <is>
          <t>B-P-0098</t>
        </is>
      </c>
      <c r="B2274" s="12" t="inlineStr">
        <is>
          <t>B</t>
        </is>
      </c>
      <c r="C2274" s="12" t="inlineStr">
        <is>
          <t>ACC</t>
        </is>
      </c>
      <c r="D2274" s="12" t="inlineStr">
        <is>
          <t>MOV 18: power</t>
        </is>
      </c>
      <c r="E2274" s="12" t="inlineStr"/>
      <c r="F2274" s="12" t="inlineStr">
        <is>
          <t>R4 480 V switchgear + vacuum-pump MCC</t>
        </is>
      </c>
      <c r="G2274" s="12" t="inlineStr">
        <is>
          <t>ACC</t>
        </is>
      </c>
      <c r="H2274" s="12" t="inlineStr">
        <is>
          <t>Air-cooled condenser, 80 cells (steam-cycle heat rejection)</t>
        </is>
      </c>
      <c r="I2274" s="12" t="inlineStr">
        <is>
          <t>LV 600 V</t>
        </is>
      </c>
      <c r="J2274" s="12" t="inlineStr">
        <is>
          <t>Type TC-ER 600 V 3/C Cu XHHW-2 + ground, PVC jacket</t>
        </is>
      </c>
      <c r="K2274" s="12" t="inlineStr">
        <is>
          <t>LV|3/C+G|10</t>
        </is>
      </c>
      <c r="L2274" s="12" t="inlineStr">
        <is>
          <t>3/C+G</t>
        </is>
      </c>
      <c r="M2274" s="12" t="inlineStr">
        <is>
          <t>10</t>
        </is>
      </c>
      <c r="N2274" s="12" t="n">
        <v>1</v>
      </c>
      <c r="O2274" s="12" t="n">
        <v>1</v>
      </c>
      <c r="P2274" s="12" t="n">
        <v>480</v>
      </c>
      <c r="Q2274" s="12" t="n">
        <v>2.5</v>
      </c>
      <c r="R2274" s="12" t="n">
        <v>3.5</v>
      </c>
      <c r="S2274" s="12" t="inlineStr">
        <is>
          <t>Tray</t>
        </is>
      </c>
      <c r="T2274" s="16" t="n">
        <v>0</v>
      </c>
      <c r="U2274" s="16" t="n">
        <v>52</v>
      </c>
      <c r="V2274" s="16">
        <f>ROUNDUP((T2274+U2274+2*'Read Me'!$B$13)*(1+'Read Me'!$B$12),-1)</f>
        <v/>
      </c>
      <c r="W2274" s="16">
        <f>V2274*N2274*O2274</f>
        <v/>
      </c>
      <c r="X2274" s="12">
        <f>IF(LEFT(I2274,2)="MV",2*N2274*IF(L2274="1/C",O2274,1),0)</f>
        <v/>
      </c>
      <c r="Y2274" s="12">
        <f>IF(OR(LEFT(K2274,4)="LVAX",LEFT(K2274,6)="MV15AX",LEFT(K2274,4)="CTAX",LEFT(K2274,2)="W|"),2*N2274*O2274,0)</f>
        <v/>
      </c>
      <c r="Z2274" s="12" t="inlineStr">
        <is>
          <t>VD 0.1 %</t>
        </is>
      </c>
      <c r="AA2274" s="12">
        <f>N2274*O2274</f>
        <v/>
      </c>
    </row>
    <row r="2275">
      <c r="A2275" s="12" t="inlineStr">
        <is>
          <t>B-P-0099</t>
        </is>
      </c>
      <c r="B2275" s="12" t="inlineStr">
        <is>
          <t>B</t>
        </is>
      </c>
      <c r="C2275" s="12" t="inlineStr">
        <is>
          <t>ACC</t>
        </is>
      </c>
      <c r="D2275" s="12" t="inlineStr">
        <is>
          <t>MOV 19: power</t>
        </is>
      </c>
      <c r="E2275" s="12" t="inlineStr"/>
      <c r="F2275" s="12" t="inlineStr">
        <is>
          <t>R4 480 V switchgear + vacuum-pump MCC</t>
        </is>
      </c>
      <c r="G2275" s="12" t="inlineStr">
        <is>
          <t>ACC</t>
        </is>
      </c>
      <c r="H2275" s="12" t="inlineStr">
        <is>
          <t>Air-cooled condenser, 80 cells (steam-cycle heat rejection)</t>
        </is>
      </c>
      <c r="I2275" s="12" t="inlineStr">
        <is>
          <t>LV 600 V</t>
        </is>
      </c>
      <c r="J2275" s="12" t="inlineStr">
        <is>
          <t>Type TC-ER 600 V 3/C Cu XHHW-2 + ground, PVC jacket</t>
        </is>
      </c>
      <c r="K2275" s="12" t="inlineStr">
        <is>
          <t>LV|3/C+G|10</t>
        </is>
      </c>
      <c r="L2275" s="12" t="inlineStr">
        <is>
          <t>3/C+G</t>
        </is>
      </c>
      <c r="M2275" s="12" t="inlineStr">
        <is>
          <t>10</t>
        </is>
      </c>
      <c r="N2275" s="12" t="n">
        <v>1</v>
      </c>
      <c r="O2275" s="12" t="n">
        <v>1</v>
      </c>
      <c r="P2275" s="12" t="n">
        <v>480</v>
      </c>
      <c r="Q2275" s="12" t="n">
        <v>2.5</v>
      </c>
      <c r="R2275" s="12" t="n">
        <v>3.5</v>
      </c>
      <c r="S2275" s="12" t="inlineStr">
        <is>
          <t>Tray</t>
        </is>
      </c>
      <c r="T2275" s="16" t="n">
        <v>0</v>
      </c>
      <c r="U2275" s="16" t="n">
        <v>52</v>
      </c>
      <c r="V2275" s="16">
        <f>ROUNDUP((T2275+U2275+2*'Read Me'!$B$13)*(1+'Read Me'!$B$12),-1)</f>
        <v/>
      </c>
      <c r="W2275" s="16">
        <f>V2275*N2275*O2275</f>
        <v/>
      </c>
      <c r="X2275" s="12">
        <f>IF(LEFT(I2275,2)="MV",2*N2275*IF(L2275="1/C",O2275,1),0)</f>
        <v/>
      </c>
      <c r="Y2275" s="12">
        <f>IF(OR(LEFT(K2275,4)="LVAX",LEFT(K2275,6)="MV15AX",LEFT(K2275,4)="CTAX",LEFT(K2275,2)="W|"),2*N2275*O2275,0)</f>
        <v/>
      </c>
      <c r="Z2275" s="12" t="inlineStr">
        <is>
          <t>VD 0.1 %</t>
        </is>
      </c>
      <c r="AA2275" s="12">
        <f>N2275*O2275</f>
        <v/>
      </c>
    </row>
    <row r="2276">
      <c r="A2276" s="12" t="inlineStr">
        <is>
          <t>B-P-0100</t>
        </is>
      </c>
      <c r="B2276" s="12" t="inlineStr">
        <is>
          <t>B</t>
        </is>
      </c>
      <c r="C2276" s="12" t="inlineStr">
        <is>
          <t>ACC</t>
        </is>
      </c>
      <c r="D2276" s="12" t="inlineStr">
        <is>
          <t>MOV 20: power</t>
        </is>
      </c>
      <c r="E2276" s="12" t="inlineStr"/>
      <c r="F2276" s="12" t="inlineStr">
        <is>
          <t>R4 480 V switchgear + vacuum-pump MCC</t>
        </is>
      </c>
      <c r="G2276" s="12" t="inlineStr">
        <is>
          <t>ACC</t>
        </is>
      </c>
      <c r="H2276" s="12" t="inlineStr">
        <is>
          <t>Air-cooled condenser, 80 cells (steam-cycle heat rejection)</t>
        </is>
      </c>
      <c r="I2276" s="12" t="inlineStr">
        <is>
          <t>LV 600 V</t>
        </is>
      </c>
      <c r="J2276" s="12" t="inlineStr">
        <is>
          <t>Type TC-ER 600 V 3/C Cu XHHW-2 + ground, PVC jacket</t>
        </is>
      </c>
      <c r="K2276" s="12" t="inlineStr">
        <is>
          <t>LV|3/C+G|10</t>
        </is>
      </c>
      <c r="L2276" s="12" t="inlineStr">
        <is>
          <t>3/C+G</t>
        </is>
      </c>
      <c r="M2276" s="12" t="inlineStr">
        <is>
          <t>10</t>
        </is>
      </c>
      <c r="N2276" s="12" t="n">
        <v>1</v>
      </c>
      <c r="O2276" s="12" t="n">
        <v>1</v>
      </c>
      <c r="P2276" s="12" t="n">
        <v>480</v>
      </c>
      <c r="Q2276" s="12" t="n">
        <v>2.5</v>
      </c>
      <c r="R2276" s="12" t="n">
        <v>3.5</v>
      </c>
      <c r="S2276" s="12" t="inlineStr">
        <is>
          <t>Tray</t>
        </is>
      </c>
      <c r="T2276" s="16" t="n">
        <v>0</v>
      </c>
      <c r="U2276" s="16" t="n">
        <v>52</v>
      </c>
      <c r="V2276" s="16">
        <f>ROUNDUP((T2276+U2276+2*'Read Me'!$B$13)*(1+'Read Me'!$B$12),-1)</f>
        <v/>
      </c>
      <c r="W2276" s="16">
        <f>V2276*N2276*O2276</f>
        <v/>
      </c>
      <c r="X2276" s="12">
        <f>IF(LEFT(I2276,2)="MV",2*N2276*IF(L2276="1/C",O2276,1),0)</f>
        <v/>
      </c>
      <c r="Y2276" s="12">
        <f>IF(OR(LEFT(K2276,4)="LVAX",LEFT(K2276,6)="MV15AX",LEFT(K2276,4)="CTAX",LEFT(K2276,2)="W|"),2*N2276*O2276,0)</f>
        <v/>
      </c>
      <c r="Z2276" s="12" t="inlineStr">
        <is>
          <t>VD 0.1 %</t>
        </is>
      </c>
      <c r="AA2276" s="12">
        <f>N2276*O2276</f>
        <v/>
      </c>
    </row>
    <row r="2277">
      <c r="A2277" s="12" t="inlineStr">
        <is>
          <t>B-P-0101</t>
        </is>
      </c>
      <c r="B2277" s="12" t="inlineStr">
        <is>
          <t>B</t>
        </is>
      </c>
      <c r="C2277" s="12" t="inlineStr">
        <is>
          <t>ACC</t>
        </is>
      </c>
      <c r="D2277" s="12" t="inlineStr">
        <is>
          <t>MOV 21: power</t>
        </is>
      </c>
      <c r="E2277" s="12" t="inlineStr"/>
      <c r="F2277" s="12" t="inlineStr">
        <is>
          <t>R4 480 V switchgear + vacuum-pump MCC</t>
        </is>
      </c>
      <c r="G2277" s="12" t="inlineStr">
        <is>
          <t>ACC</t>
        </is>
      </c>
      <c r="H2277" s="12" t="inlineStr">
        <is>
          <t>Air-cooled condenser, 80 cells (steam-cycle heat rejection)</t>
        </is>
      </c>
      <c r="I2277" s="12" t="inlineStr">
        <is>
          <t>LV 600 V</t>
        </is>
      </c>
      <c r="J2277" s="12" t="inlineStr">
        <is>
          <t>Type TC-ER 600 V 3/C Cu XHHW-2 + ground, PVC jacket</t>
        </is>
      </c>
      <c r="K2277" s="12" t="inlineStr">
        <is>
          <t>LV|3/C+G|10</t>
        </is>
      </c>
      <c r="L2277" s="12" t="inlineStr">
        <is>
          <t>3/C+G</t>
        </is>
      </c>
      <c r="M2277" s="12" t="inlineStr">
        <is>
          <t>10</t>
        </is>
      </c>
      <c r="N2277" s="12" t="n">
        <v>1</v>
      </c>
      <c r="O2277" s="12" t="n">
        <v>1</v>
      </c>
      <c r="P2277" s="12" t="n">
        <v>480</v>
      </c>
      <c r="Q2277" s="12" t="n">
        <v>2.5</v>
      </c>
      <c r="R2277" s="12" t="n">
        <v>3.5</v>
      </c>
      <c r="S2277" s="12" t="inlineStr">
        <is>
          <t>Tray</t>
        </is>
      </c>
      <c r="T2277" s="16" t="n">
        <v>0</v>
      </c>
      <c r="U2277" s="16" t="n">
        <v>52</v>
      </c>
      <c r="V2277" s="16">
        <f>ROUNDUP((T2277+U2277+2*'Read Me'!$B$13)*(1+'Read Me'!$B$12),-1)</f>
        <v/>
      </c>
      <c r="W2277" s="16">
        <f>V2277*N2277*O2277</f>
        <v/>
      </c>
      <c r="X2277" s="12">
        <f>IF(LEFT(I2277,2)="MV",2*N2277*IF(L2277="1/C",O2277,1),0)</f>
        <v/>
      </c>
      <c r="Y2277" s="12">
        <f>IF(OR(LEFT(K2277,4)="LVAX",LEFT(K2277,6)="MV15AX",LEFT(K2277,4)="CTAX",LEFT(K2277,2)="W|"),2*N2277*O2277,0)</f>
        <v/>
      </c>
      <c r="Z2277" s="12" t="inlineStr">
        <is>
          <t>VD 0.1 %</t>
        </is>
      </c>
      <c r="AA2277" s="12">
        <f>N2277*O2277</f>
        <v/>
      </c>
    </row>
    <row r="2278">
      <c r="A2278" s="12" t="inlineStr">
        <is>
          <t>B-P-0102</t>
        </is>
      </c>
      <c r="B2278" s="12" t="inlineStr">
        <is>
          <t>B</t>
        </is>
      </c>
      <c r="C2278" s="12" t="inlineStr">
        <is>
          <t>ACC</t>
        </is>
      </c>
      <c r="D2278" s="12" t="inlineStr">
        <is>
          <t>MOV 22: power</t>
        </is>
      </c>
      <c r="E2278" s="12" t="inlineStr"/>
      <c r="F2278" s="12" t="inlineStr">
        <is>
          <t>R4 480 V switchgear + vacuum-pump MCC</t>
        </is>
      </c>
      <c r="G2278" s="12" t="inlineStr">
        <is>
          <t>ACC</t>
        </is>
      </c>
      <c r="H2278" s="12" t="inlineStr">
        <is>
          <t>Air-cooled condenser, 80 cells (steam-cycle heat rejection)</t>
        </is>
      </c>
      <c r="I2278" s="12" t="inlineStr">
        <is>
          <t>LV 600 V</t>
        </is>
      </c>
      <c r="J2278" s="12" t="inlineStr">
        <is>
          <t>Type TC-ER 600 V 3/C Cu XHHW-2 + ground, PVC jacket</t>
        </is>
      </c>
      <c r="K2278" s="12" t="inlineStr">
        <is>
          <t>LV|3/C+G|10</t>
        </is>
      </c>
      <c r="L2278" s="12" t="inlineStr">
        <is>
          <t>3/C+G</t>
        </is>
      </c>
      <c r="M2278" s="12" t="inlineStr">
        <is>
          <t>10</t>
        </is>
      </c>
      <c r="N2278" s="12" t="n">
        <v>1</v>
      </c>
      <c r="O2278" s="12" t="n">
        <v>1</v>
      </c>
      <c r="P2278" s="12" t="n">
        <v>480</v>
      </c>
      <c r="Q2278" s="12" t="n">
        <v>2.5</v>
      </c>
      <c r="R2278" s="12" t="n">
        <v>3.5</v>
      </c>
      <c r="S2278" s="12" t="inlineStr">
        <is>
          <t>Tray</t>
        </is>
      </c>
      <c r="T2278" s="16" t="n">
        <v>0</v>
      </c>
      <c r="U2278" s="16" t="n">
        <v>52</v>
      </c>
      <c r="V2278" s="16">
        <f>ROUNDUP((T2278+U2278+2*'Read Me'!$B$13)*(1+'Read Me'!$B$12),-1)</f>
        <v/>
      </c>
      <c r="W2278" s="16">
        <f>V2278*N2278*O2278</f>
        <v/>
      </c>
      <c r="X2278" s="12">
        <f>IF(LEFT(I2278,2)="MV",2*N2278*IF(L2278="1/C",O2278,1),0)</f>
        <v/>
      </c>
      <c r="Y2278" s="12">
        <f>IF(OR(LEFT(K2278,4)="LVAX",LEFT(K2278,6)="MV15AX",LEFT(K2278,4)="CTAX",LEFT(K2278,2)="W|"),2*N2278*O2278,0)</f>
        <v/>
      </c>
      <c r="Z2278" s="12" t="inlineStr">
        <is>
          <t>VD 0.1 %</t>
        </is>
      </c>
      <c r="AA2278" s="12">
        <f>N2278*O2278</f>
        <v/>
      </c>
    </row>
    <row r="2279">
      <c r="A2279" s="12" t="inlineStr">
        <is>
          <t>B-P-0103</t>
        </is>
      </c>
      <c r="B2279" s="12" t="inlineStr">
        <is>
          <t>B</t>
        </is>
      </c>
      <c r="C2279" s="12" t="inlineStr">
        <is>
          <t>ACC</t>
        </is>
      </c>
      <c r="D2279" s="12" t="inlineStr">
        <is>
          <t>MOV 23: power</t>
        </is>
      </c>
      <c r="E2279" s="12" t="inlineStr"/>
      <c r="F2279" s="12" t="inlineStr">
        <is>
          <t>R4 480 V switchgear + vacuum-pump MCC</t>
        </is>
      </c>
      <c r="G2279" s="12" t="inlineStr">
        <is>
          <t>ACC</t>
        </is>
      </c>
      <c r="H2279" s="12" t="inlineStr">
        <is>
          <t>Air-cooled condenser, 80 cells (steam-cycle heat rejection)</t>
        </is>
      </c>
      <c r="I2279" s="12" t="inlineStr">
        <is>
          <t>LV 600 V</t>
        </is>
      </c>
      <c r="J2279" s="12" t="inlineStr">
        <is>
          <t>Type TC-ER 600 V 3/C Cu XHHW-2 + ground, PVC jacket</t>
        </is>
      </c>
      <c r="K2279" s="12" t="inlineStr">
        <is>
          <t>LV|3/C+G|10</t>
        </is>
      </c>
      <c r="L2279" s="12" t="inlineStr">
        <is>
          <t>3/C+G</t>
        </is>
      </c>
      <c r="M2279" s="12" t="inlineStr">
        <is>
          <t>10</t>
        </is>
      </c>
      <c r="N2279" s="12" t="n">
        <v>1</v>
      </c>
      <c r="O2279" s="12" t="n">
        <v>1</v>
      </c>
      <c r="P2279" s="12" t="n">
        <v>480</v>
      </c>
      <c r="Q2279" s="12" t="n">
        <v>2.5</v>
      </c>
      <c r="R2279" s="12" t="n">
        <v>3.5</v>
      </c>
      <c r="S2279" s="12" t="inlineStr">
        <is>
          <t>Tray</t>
        </is>
      </c>
      <c r="T2279" s="16" t="n">
        <v>0</v>
      </c>
      <c r="U2279" s="16" t="n">
        <v>52</v>
      </c>
      <c r="V2279" s="16">
        <f>ROUNDUP((T2279+U2279+2*'Read Me'!$B$13)*(1+'Read Me'!$B$12),-1)</f>
        <v/>
      </c>
      <c r="W2279" s="16">
        <f>V2279*N2279*O2279</f>
        <v/>
      </c>
      <c r="X2279" s="12">
        <f>IF(LEFT(I2279,2)="MV",2*N2279*IF(L2279="1/C",O2279,1),0)</f>
        <v/>
      </c>
      <c r="Y2279" s="12">
        <f>IF(OR(LEFT(K2279,4)="LVAX",LEFT(K2279,6)="MV15AX",LEFT(K2279,4)="CTAX",LEFT(K2279,2)="W|"),2*N2279*O2279,0)</f>
        <v/>
      </c>
      <c r="Z2279" s="12" t="inlineStr">
        <is>
          <t>VD 0.1 %</t>
        </is>
      </c>
      <c r="AA2279" s="12">
        <f>N2279*O2279</f>
        <v/>
      </c>
    </row>
    <row r="2280">
      <c r="A2280" s="12" t="inlineStr">
        <is>
          <t>B-P-0104</t>
        </is>
      </c>
      <c r="B2280" s="12" t="inlineStr">
        <is>
          <t>B</t>
        </is>
      </c>
      <c r="C2280" s="12" t="inlineStr">
        <is>
          <t>ACC</t>
        </is>
      </c>
      <c r="D2280" s="12" t="inlineStr">
        <is>
          <t>MOV 24: power</t>
        </is>
      </c>
      <c r="E2280" s="12" t="inlineStr"/>
      <c r="F2280" s="12" t="inlineStr">
        <is>
          <t>R4 480 V switchgear + vacuum-pump MCC</t>
        </is>
      </c>
      <c r="G2280" s="12" t="inlineStr">
        <is>
          <t>ACC</t>
        </is>
      </c>
      <c r="H2280" s="12" t="inlineStr">
        <is>
          <t>Air-cooled condenser, 80 cells (steam-cycle heat rejection)</t>
        </is>
      </c>
      <c r="I2280" s="12" t="inlineStr">
        <is>
          <t>LV 600 V</t>
        </is>
      </c>
      <c r="J2280" s="12" t="inlineStr">
        <is>
          <t>Type TC-ER 600 V 3/C Cu XHHW-2 + ground, PVC jacket</t>
        </is>
      </c>
      <c r="K2280" s="12" t="inlineStr">
        <is>
          <t>LV|3/C+G|10</t>
        </is>
      </c>
      <c r="L2280" s="12" t="inlineStr">
        <is>
          <t>3/C+G</t>
        </is>
      </c>
      <c r="M2280" s="12" t="inlineStr">
        <is>
          <t>10</t>
        </is>
      </c>
      <c r="N2280" s="12" t="n">
        <v>1</v>
      </c>
      <c r="O2280" s="12" t="n">
        <v>1</v>
      </c>
      <c r="P2280" s="12" t="n">
        <v>480</v>
      </c>
      <c r="Q2280" s="12" t="n">
        <v>2.5</v>
      </c>
      <c r="R2280" s="12" t="n">
        <v>3.5</v>
      </c>
      <c r="S2280" s="12" t="inlineStr">
        <is>
          <t>Tray</t>
        </is>
      </c>
      <c r="T2280" s="16" t="n">
        <v>0</v>
      </c>
      <c r="U2280" s="16" t="n">
        <v>52</v>
      </c>
      <c r="V2280" s="16">
        <f>ROUNDUP((T2280+U2280+2*'Read Me'!$B$13)*(1+'Read Me'!$B$12),-1)</f>
        <v/>
      </c>
      <c r="W2280" s="16">
        <f>V2280*N2280*O2280</f>
        <v/>
      </c>
      <c r="X2280" s="12">
        <f>IF(LEFT(I2280,2)="MV",2*N2280*IF(L2280="1/C",O2280,1),0)</f>
        <v/>
      </c>
      <c r="Y2280" s="12">
        <f>IF(OR(LEFT(K2280,4)="LVAX",LEFT(K2280,6)="MV15AX",LEFT(K2280,4)="CTAX",LEFT(K2280,2)="W|"),2*N2280*O2280,0)</f>
        <v/>
      </c>
      <c r="Z2280" s="12" t="inlineStr">
        <is>
          <t>VD 0.1 %</t>
        </is>
      </c>
      <c r="AA2280" s="12">
        <f>N2280*O2280</f>
        <v/>
      </c>
    </row>
    <row r="2281">
      <c r="A2281" s="12" t="inlineStr">
        <is>
          <t>B-P-0105</t>
        </is>
      </c>
      <c r="B2281" s="12" t="inlineStr">
        <is>
          <t>B</t>
        </is>
      </c>
      <c r="C2281" s="12" t="inlineStr">
        <is>
          <t>ACC</t>
        </is>
      </c>
      <c r="D2281" s="12" t="inlineStr">
        <is>
          <t>MOV 25: power</t>
        </is>
      </c>
      <c r="E2281" s="12" t="inlineStr"/>
      <c r="F2281" s="12" t="inlineStr">
        <is>
          <t>R4 480 V switchgear + vacuum-pump MCC</t>
        </is>
      </c>
      <c r="G2281" s="12" t="inlineStr">
        <is>
          <t>ACC</t>
        </is>
      </c>
      <c r="H2281" s="12" t="inlineStr">
        <is>
          <t>Air-cooled condenser, 80 cells (steam-cycle heat rejection)</t>
        </is>
      </c>
      <c r="I2281" s="12" t="inlineStr">
        <is>
          <t>LV 600 V</t>
        </is>
      </c>
      <c r="J2281" s="12" t="inlineStr">
        <is>
          <t>Type TC-ER 600 V 3/C Cu XHHW-2 + ground, PVC jacket</t>
        </is>
      </c>
      <c r="K2281" s="12" t="inlineStr">
        <is>
          <t>LV|3/C+G|10</t>
        </is>
      </c>
      <c r="L2281" s="12" t="inlineStr">
        <is>
          <t>3/C+G</t>
        </is>
      </c>
      <c r="M2281" s="12" t="inlineStr">
        <is>
          <t>10</t>
        </is>
      </c>
      <c r="N2281" s="12" t="n">
        <v>1</v>
      </c>
      <c r="O2281" s="12" t="n">
        <v>1</v>
      </c>
      <c r="P2281" s="12" t="n">
        <v>480</v>
      </c>
      <c r="Q2281" s="12" t="n">
        <v>2.5</v>
      </c>
      <c r="R2281" s="12" t="n">
        <v>3.5</v>
      </c>
      <c r="S2281" s="12" t="inlineStr">
        <is>
          <t>Tray</t>
        </is>
      </c>
      <c r="T2281" s="16" t="n">
        <v>0</v>
      </c>
      <c r="U2281" s="16" t="n">
        <v>52</v>
      </c>
      <c r="V2281" s="16">
        <f>ROUNDUP((T2281+U2281+2*'Read Me'!$B$13)*(1+'Read Me'!$B$12),-1)</f>
        <v/>
      </c>
      <c r="W2281" s="16">
        <f>V2281*N2281*O2281</f>
        <v/>
      </c>
      <c r="X2281" s="12">
        <f>IF(LEFT(I2281,2)="MV",2*N2281*IF(L2281="1/C",O2281,1),0)</f>
        <v/>
      </c>
      <c r="Y2281" s="12">
        <f>IF(OR(LEFT(K2281,4)="LVAX",LEFT(K2281,6)="MV15AX",LEFT(K2281,4)="CTAX",LEFT(K2281,2)="W|"),2*N2281*O2281,0)</f>
        <v/>
      </c>
      <c r="Z2281" s="12" t="inlineStr">
        <is>
          <t>VD 0.1 %</t>
        </is>
      </c>
      <c r="AA2281" s="12">
        <f>N2281*O2281</f>
        <v/>
      </c>
    </row>
    <row r="2282">
      <c r="A2282" s="12" t="inlineStr">
        <is>
          <t>B-P-0106</t>
        </is>
      </c>
      <c r="B2282" s="12" t="inlineStr">
        <is>
          <t>B</t>
        </is>
      </c>
      <c r="C2282" s="12" t="inlineStr">
        <is>
          <t>ACC</t>
        </is>
      </c>
      <c r="D2282" s="12" t="inlineStr">
        <is>
          <t>MOV 26: power</t>
        </is>
      </c>
      <c r="E2282" s="12" t="inlineStr"/>
      <c r="F2282" s="12" t="inlineStr">
        <is>
          <t>R4 480 V switchgear + vacuum-pump MCC</t>
        </is>
      </c>
      <c r="G2282" s="12" t="inlineStr">
        <is>
          <t>ACC</t>
        </is>
      </c>
      <c r="H2282" s="12" t="inlineStr">
        <is>
          <t>Air-cooled condenser, 80 cells (steam-cycle heat rejection)</t>
        </is>
      </c>
      <c r="I2282" s="12" t="inlineStr">
        <is>
          <t>LV 600 V</t>
        </is>
      </c>
      <c r="J2282" s="12" t="inlineStr">
        <is>
          <t>Type TC-ER 600 V 3/C Cu XHHW-2 + ground, PVC jacket</t>
        </is>
      </c>
      <c r="K2282" s="12" t="inlineStr">
        <is>
          <t>LV|3/C+G|10</t>
        </is>
      </c>
      <c r="L2282" s="12" t="inlineStr">
        <is>
          <t>3/C+G</t>
        </is>
      </c>
      <c r="M2282" s="12" t="inlineStr">
        <is>
          <t>10</t>
        </is>
      </c>
      <c r="N2282" s="12" t="n">
        <v>1</v>
      </c>
      <c r="O2282" s="12" t="n">
        <v>1</v>
      </c>
      <c r="P2282" s="12" t="n">
        <v>480</v>
      </c>
      <c r="Q2282" s="12" t="n">
        <v>2.5</v>
      </c>
      <c r="R2282" s="12" t="n">
        <v>3.5</v>
      </c>
      <c r="S2282" s="12" t="inlineStr">
        <is>
          <t>Tray</t>
        </is>
      </c>
      <c r="T2282" s="16" t="n">
        <v>0</v>
      </c>
      <c r="U2282" s="16" t="n">
        <v>52</v>
      </c>
      <c r="V2282" s="16">
        <f>ROUNDUP((T2282+U2282+2*'Read Me'!$B$13)*(1+'Read Me'!$B$12),-1)</f>
        <v/>
      </c>
      <c r="W2282" s="16">
        <f>V2282*N2282*O2282</f>
        <v/>
      </c>
      <c r="X2282" s="12">
        <f>IF(LEFT(I2282,2)="MV",2*N2282*IF(L2282="1/C",O2282,1),0)</f>
        <v/>
      </c>
      <c r="Y2282" s="12">
        <f>IF(OR(LEFT(K2282,4)="LVAX",LEFT(K2282,6)="MV15AX",LEFT(K2282,4)="CTAX",LEFT(K2282,2)="W|"),2*N2282*O2282,0)</f>
        <v/>
      </c>
      <c r="Z2282" s="12" t="inlineStr">
        <is>
          <t>VD 0.1 %</t>
        </is>
      </c>
      <c r="AA2282" s="12">
        <f>N2282*O2282</f>
        <v/>
      </c>
    </row>
    <row r="2283">
      <c r="A2283" s="12" t="inlineStr">
        <is>
          <t>B-P-0107</t>
        </is>
      </c>
      <c r="B2283" s="12" t="inlineStr">
        <is>
          <t>B</t>
        </is>
      </c>
      <c r="C2283" s="12" t="inlineStr">
        <is>
          <t>ACC</t>
        </is>
      </c>
      <c r="D2283" s="12" t="inlineStr">
        <is>
          <t>MOV 27: power</t>
        </is>
      </c>
      <c r="E2283" s="12" t="inlineStr"/>
      <c r="F2283" s="12" t="inlineStr">
        <is>
          <t>R4 480 V switchgear + vacuum-pump MCC</t>
        </is>
      </c>
      <c r="G2283" s="12" t="inlineStr">
        <is>
          <t>ACC</t>
        </is>
      </c>
      <c r="H2283" s="12" t="inlineStr">
        <is>
          <t>Air-cooled condenser, 80 cells (steam-cycle heat rejection)</t>
        </is>
      </c>
      <c r="I2283" s="12" t="inlineStr">
        <is>
          <t>LV 600 V</t>
        </is>
      </c>
      <c r="J2283" s="12" t="inlineStr">
        <is>
          <t>Type TC-ER 600 V 3/C Cu XHHW-2 + ground, PVC jacket</t>
        </is>
      </c>
      <c r="K2283" s="12" t="inlineStr">
        <is>
          <t>LV|3/C+G|10</t>
        </is>
      </c>
      <c r="L2283" s="12" t="inlineStr">
        <is>
          <t>3/C+G</t>
        </is>
      </c>
      <c r="M2283" s="12" t="inlineStr">
        <is>
          <t>10</t>
        </is>
      </c>
      <c r="N2283" s="12" t="n">
        <v>1</v>
      </c>
      <c r="O2283" s="12" t="n">
        <v>1</v>
      </c>
      <c r="P2283" s="12" t="n">
        <v>480</v>
      </c>
      <c r="Q2283" s="12" t="n">
        <v>2.5</v>
      </c>
      <c r="R2283" s="12" t="n">
        <v>3.5</v>
      </c>
      <c r="S2283" s="12" t="inlineStr">
        <is>
          <t>Tray</t>
        </is>
      </c>
      <c r="T2283" s="16" t="n">
        <v>0</v>
      </c>
      <c r="U2283" s="16" t="n">
        <v>52</v>
      </c>
      <c r="V2283" s="16">
        <f>ROUNDUP((T2283+U2283+2*'Read Me'!$B$13)*(1+'Read Me'!$B$12),-1)</f>
        <v/>
      </c>
      <c r="W2283" s="16">
        <f>V2283*N2283*O2283</f>
        <v/>
      </c>
      <c r="X2283" s="12">
        <f>IF(LEFT(I2283,2)="MV",2*N2283*IF(L2283="1/C",O2283,1),0)</f>
        <v/>
      </c>
      <c r="Y2283" s="12">
        <f>IF(OR(LEFT(K2283,4)="LVAX",LEFT(K2283,6)="MV15AX",LEFT(K2283,4)="CTAX",LEFT(K2283,2)="W|"),2*N2283*O2283,0)</f>
        <v/>
      </c>
      <c r="Z2283" s="12" t="inlineStr">
        <is>
          <t>VD 0.1 %</t>
        </is>
      </c>
      <c r="AA2283" s="12">
        <f>N2283*O2283</f>
        <v/>
      </c>
    </row>
    <row r="2284">
      <c r="A2284" s="12" t="inlineStr">
        <is>
          <t>B-P-0108</t>
        </is>
      </c>
      <c r="B2284" s="12" t="inlineStr">
        <is>
          <t>B</t>
        </is>
      </c>
      <c r="C2284" s="12" t="inlineStr">
        <is>
          <t>ACC</t>
        </is>
      </c>
      <c r="D2284" s="12" t="inlineStr">
        <is>
          <t>MOV 28: power</t>
        </is>
      </c>
      <c r="E2284" s="12" t="inlineStr"/>
      <c r="F2284" s="12" t="inlineStr">
        <is>
          <t>R4 480 V switchgear + vacuum-pump MCC</t>
        </is>
      </c>
      <c r="G2284" s="12" t="inlineStr">
        <is>
          <t>ACC</t>
        </is>
      </c>
      <c r="H2284" s="12" t="inlineStr">
        <is>
          <t>Air-cooled condenser, 80 cells (steam-cycle heat rejection)</t>
        </is>
      </c>
      <c r="I2284" s="12" t="inlineStr">
        <is>
          <t>LV 600 V</t>
        </is>
      </c>
      <c r="J2284" s="12" t="inlineStr">
        <is>
          <t>Type TC-ER 600 V 3/C Cu XHHW-2 + ground, PVC jacket</t>
        </is>
      </c>
      <c r="K2284" s="12" t="inlineStr">
        <is>
          <t>LV|3/C+G|10</t>
        </is>
      </c>
      <c r="L2284" s="12" t="inlineStr">
        <is>
          <t>3/C+G</t>
        </is>
      </c>
      <c r="M2284" s="12" t="inlineStr">
        <is>
          <t>10</t>
        </is>
      </c>
      <c r="N2284" s="12" t="n">
        <v>1</v>
      </c>
      <c r="O2284" s="12" t="n">
        <v>1</v>
      </c>
      <c r="P2284" s="12" t="n">
        <v>480</v>
      </c>
      <c r="Q2284" s="12" t="n">
        <v>2.5</v>
      </c>
      <c r="R2284" s="12" t="n">
        <v>3.5</v>
      </c>
      <c r="S2284" s="12" t="inlineStr">
        <is>
          <t>Tray</t>
        </is>
      </c>
      <c r="T2284" s="16" t="n">
        <v>0</v>
      </c>
      <c r="U2284" s="16" t="n">
        <v>52</v>
      </c>
      <c r="V2284" s="16">
        <f>ROUNDUP((T2284+U2284+2*'Read Me'!$B$13)*(1+'Read Me'!$B$12),-1)</f>
        <v/>
      </c>
      <c r="W2284" s="16">
        <f>V2284*N2284*O2284</f>
        <v/>
      </c>
      <c r="X2284" s="12">
        <f>IF(LEFT(I2284,2)="MV",2*N2284*IF(L2284="1/C",O2284,1),0)</f>
        <v/>
      </c>
      <c r="Y2284" s="12">
        <f>IF(OR(LEFT(K2284,4)="LVAX",LEFT(K2284,6)="MV15AX",LEFT(K2284,4)="CTAX",LEFT(K2284,2)="W|"),2*N2284*O2284,0)</f>
        <v/>
      </c>
      <c r="Z2284" s="12" t="inlineStr">
        <is>
          <t>VD 0.1 %</t>
        </is>
      </c>
      <c r="AA2284" s="12">
        <f>N2284*O2284</f>
        <v/>
      </c>
    </row>
    <row r="2285">
      <c r="A2285" s="12" t="inlineStr">
        <is>
          <t>B-P-0109</t>
        </is>
      </c>
      <c r="B2285" s="12" t="inlineStr">
        <is>
          <t>B</t>
        </is>
      </c>
      <c r="C2285" s="12" t="inlineStr">
        <is>
          <t>ACC</t>
        </is>
      </c>
      <c r="D2285" s="12" t="inlineStr">
        <is>
          <t>MOV 29: power</t>
        </is>
      </c>
      <c r="E2285" s="12" t="inlineStr"/>
      <c r="F2285" s="12" t="inlineStr">
        <is>
          <t>R4 480 V switchgear + vacuum-pump MCC</t>
        </is>
      </c>
      <c r="G2285" s="12" t="inlineStr">
        <is>
          <t>ACC</t>
        </is>
      </c>
      <c r="H2285" s="12" t="inlineStr">
        <is>
          <t>Air-cooled condenser, 80 cells (steam-cycle heat rejection)</t>
        </is>
      </c>
      <c r="I2285" s="12" t="inlineStr">
        <is>
          <t>LV 600 V</t>
        </is>
      </c>
      <c r="J2285" s="12" t="inlineStr">
        <is>
          <t>Type TC-ER 600 V 3/C Cu XHHW-2 + ground, PVC jacket</t>
        </is>
      </c>
      <c r="K2285" s="12" t="inlineStr">
        <is>
          <t>LV|3/C+G|10</t>
        </is>
      </c>
      <c r="L2285" s="12" t="inlineStr">
        <is>
          <t>3/C+G</t>
        </is>
      </c>
      <c r="M2285" s="12" t="inlineStr">
        <is>
          <t>10</t>
        </is>
      </c>
      <c r="N2285" s="12" t="n">
        <v>1</v>
      </c>
      <c r="O2285" s="12" t="n">
        <v>1</v>
      </c>
      <c r="P2285" s="12" t="n">
        <v>480</v>
      </c>
      <c r="Q2285" s="12" t="n">
        <v>2.5</v>
      </c>
      <c r="R2285" s="12" t="n">
        <v>3.5</v>
      </c>
      <c r="S2285" s="12" t="inlineStr">
        <is>
          <t>Tray</t>
        </is>
      </c>
      <c r="T2285" s="16" t="n">
        <v>0</v>
      </c>
      <c r="U2285" s="16" t="n">
        <v>52</v>
      </c>
      <c r="V2285" s="16">
        <f>ROUNDUP((T2285+U2285+2*'Read Me'!$B$13)*(1+'Read Me'!$B$12),-1)</f>
        <v/>
      </c>
      <c r="W2285" s="16">
        <f>V2285*N2285*O2285</f>
        <v/>
      </c>
      <c r="X2285" s="12">
        <f>IF(LEFT(I2285,2)="MV",2*N2285*IF(L2285="1/C",O2285,1),0)</f>
        <v/>
      </c>
      <c r="Y2285" s="12">
        <f>IF(OR(LEFT(K2285,4)="LVAX",LEFT(K2285,6)="MV15AX",LEFT(K2285,4)="CTAX",LEFT(K2285,2)="W|"),2*N2285*O2285,0)</f>
        <v/>
      </c>
      <c r="Z2285" s="12" t="inlineStr">
        <is>
          <t>VD 0.1 %</t>
        </is>
      </c>
      <c r="AA2285" s="12">
        <f>N2285*O2285</f>
        <v/>
      </c>
    </row>
    <row r="2286">
      <c r="A2286" s="12" t="inlineStr">
        <is>
          <t>B-P-0110</t>
        </is>
      </c>
      <c r="B2286" s="12" t="inlineStr">
        <is>
          <t>B</t>
        </is>
      </c>
      <c r="C2286" s="12" t="inlineStr">
        <is>
          <t>ACC</t>
        </is>
      </c>
      <c r="D2286" s="12" t="inlineStr">
        <is>
          <t>MOV 30: power</t>
        </is>
      </c>
      <c r="E2286" s="12" t="inlineStr"/>
      <c r="F2286" s="12" t="inlineStr">
        <is>
          <t>R4 480 V switchgear + vacuum-pump MCC</t>
        </is>
      </c>
      <c r="G2286" s="12" t="inlineStr">
        <is>
          <t>ACC</t>
        </is>
      </c>
      <c r="H2286" s="12" t="inlineStr">
        <is>
          <t>Air-cooled condenser, 80 cells (steam-cycle heat rejection)</t>
        </is>
      </c>
      <c r="I2286" s="12" t="inlineStr">
        <is>
          <t>LV 600 V</t>
        </is>
      </c>
      <c r="J2286" s="12" t="inlineStr">
        <is>
          <t>Type TC-ER 600 V 3/C Cu XHHW-2 + ground, PVC jacket</t>
        </is>
      </c>
      <c r="K2286" s="12" t="inlineStr">
        <is>
          <t>LV|3/C+G|10</t>
        </is>
      </c>
      <c r="L2286" s="12" t="inlineStr">
        <is>
          <t>3/C+G</t>
        </is>
      </c>
      <c r="M2286" s="12" t="inlineStr">
        <is>
          <t>10</t>
        </is>
      </c>
      <c r="N2286" s="12" t="n">
        <v>1</v>
      </c>
      <c r="O2286" s="12" t="n">
        <v>1</v>
      </c>
      <c r="P2286" s="12" t="n">
        <v>480</v>
      </c>
      <c r="Q2286" s="12" t="n">
        <v>2.5</v>
      </c>
      <c r="R2286" s="12" t="n">
        <v>3.5</v>
      </c>
      <c r="S2286" s="12" t="inlineStr">
        <is>
          <t>Tray</t>
        </is>
      </c>
      <c r="T2286" s="16" t="n">
        <v>0</v>
      </c>
      <c r="U2286" s="16" t="n">
        <v>52</v>
      </c>
      <c r="V2286" s="16">
        <f>ROUNDUP((T2286+U2286+2*'Read Me'!$B$13)*(1+'Read Me'!$B$12),-1)</f>
        <v/>
      </c>
      <c r="W2286" s="16">
        <f>V2286*N2286*O2286</f>
        <v/>
      </c>
      <c r="X2286" s="12">
        <f>IF(LEFT(I2286,2)="MV",2*N2286*IF(L2286="1/C",O2286,1),0)</f>
        <v/>
      </c>
      <c r="Y2286" s="12">
        <f>IF(OR(LEFT(K2286,4)="LVAX",LEFT(K2286,6)="MV15AX",LEFT(K2286,4)="CTAX",LEFT(K2286,2)="W|"),2*N2286*O2286,0)</f>
        <v/>
      </c>
      <c r="Z2286" s="12" t="inlineStr">
        <is>
          <t>VD 0.1 %</t>
        </is>
      </c>
      <c r="AA2286" s="12">
        <f>N2286*O2286</f>
        <v/>
      </c>
    </row>
    <row r="2287">
      <c r="A2287" s="12" t="inlineStr">
        <is>
          <t>B-P-0111</t>
        </is>
      </c>
      <c r="B2287" s="12" t="inlineStr">
        <is>
          <t>B</t>
        </is>
      </c>
      <c r="C2287" s="12" t="inlineStr">
        <is>
          <t>ACC</t>
        </is>
      </c>
      <c r="D2287" s="12" t="inlineStr">
        <is>
          <t>Area / platform lighting circuit 1 (12 fixtures)</t>
        </is>
      </c>
      <c r="E2287" s="12" t="inlineStr"/>
      <c r="F2287" s="12" t="inlineStr">
        <is>
          <t>R4 480 V switchgear + vacuum-pump MCC</t>
        </is>
      </c>
      <c r="G2287" s="12" t="inlineStr">
        <is>
          <t>ACC</t>
        </is>
      </c>
      <c r="H2287" s="12" t="inlineStr">
        <is>
          <t>Air-cooled condenser, 80 cells (steam-cycle heat rejection)</t>
        </is>
      </c>
      <c r="I2287" s="12" t="inlineStr">
        <is>
          <t>LV 600 V</t>
        </is>
      </c>
      <c r="J2287" s="12" t="inlineStr">
        <is>
          <t>Type TC-ER 600 V 3/C Cu XHHW-2 + ground, PVC jacket</t>
        </is>
      </c>
      <c r="K2287" s="12" t="inlineStr">
        <is>
          <t>LV|3/C+G|10</t>
        </is>
      </c>
      <c r="L2287" s="12" t="inlineStr">
        <is>
          <t>3/C+G</t>
        </is>
      </c>
      <c r="M2287" s="12" t="inlineStr">
        <is>
          <t>10</t>
        </is>
      </c>
      <c r="N2287" s="12" t="n">
        <v>1</v>
      </c>
      <c r="O2287" s="12" t="n">
        <v>1</v>
      </c>
      <c r="P2287" s="12" t="n">
        <v>480</v>
      </c>
      <c r="Q2287" s="12" t="n">
        <v>3</v>
      </c>
      <c r="R2287" s="12" t="n">
        <v>5</v>
      </c>
      <c r="S2287" s="12" t="inlineStr">
        <is>
          <t>Tray</t>
        </is>
      </c>
      <c r="T2287" s="16" t="n">
        <v>300</v>
      </c>
      <c r="U2287" s="16" t="n">
        <v>52</v>
      </c>
      <c r="V2287" s="16">
        <f>ROUNDUP((T2287+U2287+2*'Read Me'!$B$13)*(1+'Read Me'!$B$12),-1)</f>
        <v/>
      </c>
      <c r="W2287" s="16">
        <f>V2287*N2287*O2287</f>
        <v/>
      </c>
      <c r="X2287" s="12">
        <f>IF(LEFT(I2287,2)="MV",2*N2287*IF(L2287="1/C",O2287,1),0)</f>
        <v/>
      </c>
      <c r="Y2287" s="12">
        <f>IF(OR(LEFT(K2287,4)="LVAX",LEFT(K2287,6)="MV15AX",LEFT(K2287,4)="CTAX",LEFT(K2287,2)="W|"),2*N2287*O2287,0)</f>
        <v/>
      </c>
      <c r="Z2287" s="12" t="inlineStr">
        <is>
          <t>fixture-to-fixture run included</t>
        </is>
      </c>
      <c r="AA2287" s="12">
        <f>N2287*O2287</f>
        <v/>
      </c>
    </row>
    <row r="2288">
      <c r="A2288" s="12" t="inlineStr">
        <is>
          <t>B-P-0112</t>
        </is>
      </c>
      <c r="B2288" s="12" t="inlineStr">
        <is>
          <t>B</t>
        </is>
      </c>
      <c r="C2288" s="12" t="inlineStr">
        <is>
          <t>ACC</t>
        </is>
      </c>
      <c r="D2288" s="12" t="inlineStr">
        <is>
          <t>Area / platform lighting circuit 2 (12 fixtures)</t>
        </is>
      </c>
      <c r="E2288" s="12" t="inlineStr"/>
      <c r="F2288" s="12" t="inlineStr">
        <is>
          <t>R4 480 V switchgear + vacuum-pump MCC</t>
        </is>
      </c>
      <c r="G2288" s="12" t="inlineStr">
        <is>
          <t>ACC</t>
        </is>
      </c>
      <c r="H2288" s="12" t="inlineStr">
        <is>
          <t>Air-cooled condenser, 80 cells (steam-cycle heat rejection)</t>
        </is>
      </c>
      <c r="I2288" s="12" t="inlineStr">
        <is>
          <t>LV 600 V</t>
        </is>
      </c>
      <c r="J2288" s="12" t="inlineStr">
        <is>
          <t>Type TC-ER 600 V 3/C Cu XHHW-2 + ground, PVC jacket</t>
        </is>
      </c>
      <c r="K2288" s="12" t="inlineStr">
        <is>
          <t>LV|3/C+G|10</t>
        </is>
      </c>
      <c r="L2288" s="12" t="inlineStr">
        <is>
          <t>3/C+G</t>
        </is>
      </c>
      <c r="M2288" s="12" t="inlineStr">
        <is>
          <t>10</t>
        </is>
      </c>
      <c r="N2288" s="12" t="n">
        <v>1</v>
      </c>
      <c r="O2288" s="12" t="n">
        <v>1</v>
      </c>
      <c r="P2288" s="12" t="n">
        <v>480</v>
      </c>
      <c r="Q2288" s="12" t="n">
        <v>3</v>
      </c>
      <c r="R2288" s="12" t="n">
        <v>5</v>
      </c>
      <c r="S2288" s="12" t="inlineStr">
        <is>
          <t>Tray</t>
        </is>
      </c>
      <c r="T2288" s="16" t="n">
        <v>300</v>
      </c>
      <c r="U2288" s="16" t="n">
        <v>52</v>
      </c>
      <c r="V2288" s="16">
        <f>ROUNDUP((T2288+U2288+2*'Read Me'!$B$13)*(1+'Read Me'!$B$12),-1)</f>
        <v/>
      </c>
      <c r="W2288" s="16">
        <f>V2288*N2288*O2288</f>
        <v/>
      </c>
      <c r="X2288" s="12">
        <f>IF(LEFT(I2288,2)="MV",2*N2288*IF(L2288="1/C",O2288,1),0)</f>
        <v/>
      </c>
      <c r="Y2288" s="12">
        <f>IF(OR(LEFT(K2288,4)="LVAX",LEFT(K2288,6)="MV15AX",LEFT(K2288,4)="CTAX",LEFT(K2288,2)="W|"),2*N2288*O2288,0)</f>
        <v/>
      </c>
      <c r="Z2288" s="12" t="inlineStr">
        <is>
          <t>fixture-to-fixture run included</t>
        </is>
      </c>
      <c r="AA2288" s="12">
        <f>N2288*O2288</f>
        <v/>
      </c>
    </row>
    <row r="2289">
      <c r="A2289" s="12" t="inlineStr">
        <is>
          <t>B-P-0113</t>
        </is>
      </c>
      <c r="B2289" s="12" t="inlineStr">
        <is>
          <t>B</t>
        </is>
      </c>
      <c r="C2289" s="12" t="inlineStr">
        <is>
          <t>ACC</t>
        </is>
      </c>
      <c r="D2289" s="12" t="inlineStr">
        <is>
          <t>Area / platform lighting circuit 3 (12 fixtures)</t>
        </is>
      </c>
      <c r="E2289" s="12" t="inlineStr"/>
      <c r="F2289" s="12" t="inlineStr">
        <is>
          <t>R4 480 V switchgear + vacuum-pump MCC</t>
        </is>
      </c>
      <c r="G2289" s="12" t="inlineStr">
        <is>
          <t>ACC</t>
        </is>
      </c>
      <c r="H2289" s="12" t="inlineStr">
        <is>
          <t>Air-cooled condenser, 80 cells (steam-cycle heat rejection)</t>
        </is>
      </c>
      <c r="I2289" s="12" t="inlineStr">
        <is>
          <t>LV 600 V</t>
        </is>
      </c>
      <c r="J2289" s="12" t="inlineStr">
        <is>
          <t>Type TC-ER 600 V 3/C Cu XHHW-2 + ground, PVC jacket</t>
        </is>
      </c>
      <c r="K2289" s="12" t="inlineStr">
        <is>
          <t>LV|3/C+G|10</t>
        </is>
      </c>
      <c r="L2289" s="12" t="inlineStr">
        <is>
          <t>3/C+G</t>
        </is>
      </c>
      <c r="M2289" s="12" t="inlineStr">
        <is>
          <t>10</t>
        </is>
      </c>
      <c r="N2289" s="12" t="n">
        <v>1</v>
      </c>
      <c r="O2289" s="12" t="n">
        <v>1</v>
      </c>
      <c r="P2289" s="12" t="n">
        <v>480</v>
      </c>
      <c r="Q2289" s="12" t="n">
        <v>3</v>
      </c>
      <c r="R2289" s="12" t="n">
        <v>5</v>
      </c>
      <c r="S2289" s="12" t="inlineStr">
        <is>
          <t>Tray</t>
        </is>
      </c>
      <c r="T2289" s="16" t="n">
        <v>300</v>
      </c>
      <c r="U2289" s="16" t="n">
        <v>52</v>
      </c>
      <c r="V2289" s="16">
        <f>ROUNDUP((T2289+U2289+2*'Read Me'!$B$13)*(1+'Read Me'!$B$12),-1)</f>
        <v/>
      </c>
      <c r="W2289" s="16">
        <f>V2289*N2289*O2289</f>
        <v/>
      </c>
      <c r="X2289" s="12">
        <f>IF(LEFT(I2289,2)="MV",2*N2289*IF(L2289="1/C",O2289,1),0)</f>
        <v/>
      </c>
      <c r="Y2289" s="12">
        <f>IF(OR(LEFT(K2289,4)="LVAX",LEFT(K2289,6)="MV15AX",LEFT(K2289,4)="CTAX",LEFT(K2289,2)="W|"),2*N2289*O2289,0)</f>
        <v/>
      </c>
      <c r="Z2289" s="12" t="inlineStr">
        <is>
          <t>fixture-to-fixture run included</t>
        </is>
      </c>
      <c r="AA2289" s="12">
        <f>N2289*O2289</f>
        <v/>
      </c>
    </row>
    <row r="2290">
      <c r="A2290" s="12" t="inlineStr">
        <is>
          <t>B-P-0114</t>
        </is>
      </c>
      <c r="B2290" s="12" t="inlineStr">
        <is>
          <t>B</t>
        </is>
      </c>
      <c r="C2290" s="12" t="inlineStr">
        <is>
          <t>ACC</t>
        </is>
      </c>
      <c r="D2290" s="12" t="inlineStr">
        <is>
          <t>Area / platform lighting circuit 4 (12 fixtures)</t>
        </is>
      </c>
      <c r="E2290" s="12" t="inlineStr"/>
      <c r="F2290" s="12" t="inlineStr">
        <is>
          <t>R4 480 V switchgear + vacuum-pump MCC</t>
        </is>
      </c>
      <c r="G2290" s="12" t="inlineStr">
        <is>
          <t>ACC</t>
        </is>
      </c>
      <c r="H2290" s="12" t="inlineStr">
        <is>
          <t>Air-cooled condenser, 80 cells (steam-cycle heat rejection)</t>
        </is>
      </c>
      <c r="I2290" s="12" t="inlineStr">
        <is>
          <t>LV 600 V</t>
        </is>
      </c>
      <c r="J2290" s="12" t="inlineStr">
        <is>
          <t>Type TC-ER 600 V 3/C Cu XHHW-2 + ground, PVC jacket</t>
        </is>
      </c>
      <c r="K2290" s="12" t="inlineStr">
        <is>
          <t>LV|3/C+G|10</t>
        </is>
      </c>
      <c r="L2290" s="12" t="inlineStr">
        <is>
          <t>3/C+G</t>
        </is>
      </c>
      <c r="M2290" s="12" t="inlineStr">
        <is>
          <t>10</t>
        </is>
      </c>
      <c r="N2290" s="12" t="n">
        <v>1</v>
      </c>
      <c r="O2290" s="12" t="n">
        <v>1</v>
      </c>
      <c r="P2290" s="12" t="n">
        <v>480</v>
      </c>
      <c r="Q2290" s="12" t="n">
        <v>3</v>
      </c>
      <c r="R2290" s="12" t="n">
        <v>5</v>
      </c>
      <c r="S2290" s="12" t="inlineStr">
        <is>
          <t>Tray</t>
        </is>
      </c>
      <c r="T2290" s="16" t="n">
        <v>300</v>
      </c>
      <c r="U2290" s="16" t="n">
        <v>52</v>
      </c>
      <c r="V2290" s="16">
        <f>ROUNDUP((T2290+U2290+2*'Read Me'!$B$13)*(1+'Read Me'!$B$12),-1)</f>
        <v/>
      </c>
      <c r="W2290" s="16">
        <f>V2290*N2290*O2290</f>
        <v/>
      </c>
      <c r="X2290" s="12">
        <f>IF(LEFT(I2290,2)="MV",2*N2290*IF(L2290="1/C",O2290,1),0)</f>
        <v/>
      </c>
      <c r="Y2290" s="12">
        <f>IF(OR(LEFT(K2290,4)="LVAX",LEFT(K2290,6)="MV15AX",LEFT(K2290,4)="CTAX",LEFT(K2290,2)="W|"),2*N2290*O2290,0)</f>
        <v/>
      </c>
      <c r="Z2290" s="12" t="inlineStr">
        <is>
          <t>fixture-to-fixture run included</t>
        </is>
      </c>
      <c r="AA2290" s="12">
        <f>N2290*O2290</f>
        <v/>
      </c>
    </row>
    <row r="2291">
      <c r="A2291" s="12" t="inlineStr">
        <is>
          <t>B-P-0115</t>
        </is>
      </c>
      <c r="B2291" s="12" t="inlineStr">
        <is>
          <t>B</t>
        </is>
      </c>
      <c r="C2291" s="12" t="inlineStr">
        <is>
          <t>ACC</t>
        </is>
      </c>
      <c r="D2291" s="12" t="inlineStr">
        <is>
          <t>Area / platform lighting circuit 5 (12 fixtures)</t>
        </is>
      </c>
      <c r="E2291" s="12" t="inlineStr"/>
      <c r="F2291" s="12" t="inlineStr">
        <is>
          <t>R4 480 V switchgear + vacuum-pump MCC</t>
        </is>
      </c>
      <c r="G2291" s="12" t="inlineStr">
        <is>
          <t>ACC</t>
        </is>
      </c>
      <c r="H2291" s="12" t="inlineStr">
        <is>
          <t>Air-cooled condenser, 80 cells (steam-cycle heat rejection)</t>
        </is>
      </c>
      <c r="I2291" s="12" t="inlineStr">
        <is>
          <t>LV 600 V</t>
        </is>
      </c>
      <c r="J2291" s="12" t="inlineStr">
        <is>
          <t>Type TC-ER 600 V 3/C Cu XHHW-2 + ground, PVC jacket</t>
        </is>
      </c>
      <c r="K2291" s="12" t="inlineStr">
        <is>
          <t>LV|3/C+G|10</t>
        </is>
      </c>
      <c r="L2291" s="12" t="inlineStr">
        <is>
          <t>3/C+G</t>
        </is>
      </c>
      <c r="M2291" s="12" t="inlineStr">
        <is>
          <t>10</t>
        </is>
      </c>
      <c r="N2291" s="12" t="n">
        <v>1</v>
      </c>
      <c r="O2291" s="12" t="n">
        <v>1</v>
      </c>
      <c r="P2291" s="12" t="n">
        <v>480</v>
      </c>
      <c r="Q2291" s="12" t="n">
        <v>3</v>
      </c>
      <c r="R2291" s="12" t="n">
        <v>5</v>
      </c>
      <c r="S2291" s="12" t="inlineStr">
        <is>
          <t>Tray</t>
        </is>
      </c>
      <c r="T2291" s="16" t="n">
        <v>300</v>
      </c>
      <c r="U2291" s="16" t="n">
        <v>52</v>
      </c>
      <c r="V2291" s="16">
        <f>ROUNDUP((T2291+U2291+2*'Read Me'!$B$13)*(1+'Read Me'!$B$12),-1)</f>
        <v/>
      </c>
      <c r="W2291" s="16">
        <f>V2291*N2291*O2291</f>
        <v/>
      </c>
      <c r="X2291" s="12">
        <f>IF(LEFT(I2291,2)="MV",2*N2291*IF(L2291="1/C",O2291,1),0)</f>
        <v/>
      </c>
      <c r="Y2291" s="12">
        <f>IF(OR(LEFT(K2291,4)="LVAX",LEFT(K2291,6)="MV15AX",LEFT(K2291,4)="CTAX",LEFT(K2291,2)="W|"),2*N2291*O2291,0)</f>
        <v/>
      </c>
      <c r="Z2291" s="12" t="inlineStr">
        <is>
          <t>fixture-to-fixture run included</t>
        </is>
      </c>
      <c r="AA2291" s="12">
        <f>N2291*O2291</f>
        <v/>
      </c>
    </row>
    <row r="2292">
      <c r="A2292" s="12" t="inlineStr">
        <is>
          <t>B-P-0116</t>
        </is>
      </c>
      <c r="B2292" s="12" t="inlineStr">
        <is>
          <t>B</t>
        </is>
      </c>
      <c r="C2292" s="12" t="inlineStr">
        <is>
          <t>ACC</t>
        </is>
      </c>
      <c r="D2292" s="12" t="inlineStr">
        <is>
          <t>Area / platform lighting circuit 6 (12 fixtures)</t>
        </is>
      </c>
      <c r="E2292" s="12" t="inlineStr"/>
      <c r="F2292" s="12" t="inlineStr">
        <is>
          <t>R4 480 V switchgear + vacuum-pump MCC</t>
        </is>
      </c>
      <c r="G2292" s="12" t="inlineStr">
        <is>
          <t>ACC</t>
        </is>
      </c>
      <c r="H2292" s="12" t="inlineStr">
        <is>
          <t>Air-cooled condenser, 80 cells (steam-cycle heat rejection)</t>
        </is>
      </c>
      <c r="I2292" s="12" t="inlineStr">
        <is>
          <t>LV 600 V</t>
        </is>
      </c>
      <c r="J2292" s="12" t="inlineStr">
        <is>
          <t>Type TC-ER 600 V 3/C Cu XHHW-2 + ground, PVC jacket</t>
        </is>
      </c>
      <c r="K2292" s="12" t="inlineStr">
        <is>
          <t>LV|3/C+G|10</t>
        </is>
      </c>
      <c r="L2292" s="12" t="inlineStr">
        <is>
          <t>3/C+G</t>
        </is>
      </c>
      <c r="M2292" s="12" t="inlineStr">
        <is>
          <t>10</t>
        </is>
      </c>
      <c r="N2292" s="12" t="n">
        <v>1</v>
      </c>
      <c r="O2292" s="12" t="n">
        <v>1</v>
      </c>
      <c r="P2292" s="12" t="n">
        <v>480</v>
      </c>
      <c r="Q2292" s="12" t="n">
        <v>3</v>
      </c>
      <c r="R2292" s="12" t="n">
        <v>5</v>
      </c>
      <c r="S2292" s="12" t="inlineStr">
        <is>
          <t>Tray</t>
        </is>
      </c>
      <c r="T2292" s="16" t="n">
        <v>300</v>
      </c>
      <c r="U2292" s="16" t="n">
        <v>52</v>
      </c>
      <c r="V2292" s="16">
        <f>ROUNDUP((T2292+U2292+2*'Read Me'!$B$13)*(1+'Read Me'!$B$12),-1)</f>
        <v/>
      </c>
      <c r="W2292" s="16">
        <f>V2292*N2292*O2292</f>
        <v/>
      </c>
      <c r="X2292" s="12">
        <f>IF(LEFT(I2292,2)="MV",2*N2292*IF(L2292="1/C",O2292,1),0)</f>
        <v/>
      </c>
      <c r="Y2292" s="12">
        <f>IF(OR(LEFT(K2292,4)="LVAX",LEFT(K2292,6)="MV15AX",LEFT(K2292,4)="CTAX",LEFT(K2292,2)="W|"),2*N2292*O2292,0)</f>
        <v/>
      </c>
      <c r="Z2292" s="12" t="inlineStr">
        <is>
          <t>fixture-to-fixture run included</t>
        </is>
      </c>
      <c r="AA2292" s="12">
        <f>N2292*O2292</f>
        <v/>
      </c>
    </row>
    <row r="2293">
      <c r="A2293" s="12" t="inlineStr">
        <is>
          <t>B-P-0117</t>
        </is>
      </c>
      <c r="B2293" s="12" t="inlineStr">
        <is>
          <t>B</t>
        </is>
      </c>
      <c r="C2293" s="12" t="inlineStr">
        <is>
          <t>ACC</t>
        </is>
      </c>
      <c r="D2293" s="12" t="inlineStr">
        <is>
          <t>Area / platform lighting circuit 7 (8 fixtures)</t>
        </is>
      </c>
      <c r="E2293" s="12" t="inlineStr"/>
      <c r="F2293" s="12" t="inlineStr">
        <is>
          <t>R4 480 V switchgear + vacuum-pump MCC</t>
        </is>
      </c>
      <c r="G2293" s="12" t="inlineStr">
        <is>
          <t>ACC</t>
        </is>
      </c>
      <c r="H2293" s="12" t="inlineStr">
        <is>
          <t>Air-cooled condenser, 80 cells (steam-cycle heat rejection)</t>
        </is>
      </c>
      <c r="I2293" s="12" t="inlineStr">
        <is>
          <t>LV 600 V</t>
        </is>
      </c>
      <c r="J2293" s="12" t="inlineStr">
        <is>
          <t>Type TC-ER 600 V 3/C Cu XHHW-2 + ground, PVC jacket</t>
        </is>
      </c>
      <c r="K2293" s="12" t="inlineStr">
        <is>
          <t>LV|3/C+G|10</t>
        </is>
      </c>
      <c r="L2293" s="12" t="inlineStr">
        <is>
          <t>3/C+G</t>
        </is>
      </c>
      <c r="M2293" s="12" t="inlineStr">
        <is>
          <t>10</t>
        </is>
      </c>
      <c r="N2293" s="12" t="n">
        <v>1</v>
      </c>
      <c r="O2293" s="12" t="n">
        <v>1</v>
      </c>
      <c r="P2293" s="12" t="n">
        <v>480</v>
      </c>
      <c r="Q2293" s="12" t="n">
        <v>3</v>
      </c>
      <c r="R2293" s="12" t="n">
        <v>5</v>
      </c>
      <c r="S2293" s="12" t="inlineStr">
        <is>
          <t>Tray</t>
        </is>
      </c>
      <c r="T2293" s="16" t="n">
        <v>300</v>
      </c>
      <c r="U2293" s="16" t="n">
        <v>52</v>
      </c>
      <c r="V2293" s="16">
        <f>ROUNDUP((T2293+U2293+2*'Read Me'!$B$13)*(1+'Read Me'!$B$12),-1)</f>
        <v/>
      </c>
      <c r="W2293" s="16">
        <f>V2293*N2293*O2293</f>
        <v/>
      </c>
      <c r="X2293" s="12">
        <f>IF(LEFT(I2293,2)="MV",2*N2293*IF(L2293="1/C",O2293,1),0)</f>
        <v/>
      </c>
      <c r="Y2293" s="12">
        <f>IF(OR(LEFT(K2293,4)="LVAX",LEFT(K2293,6)="MV15AX",LEFT(K2293,4)="CTAX",LEFT(K2293,2)="W|"),2*N2293*O2293,0)</f>
        <v/>
      </c>
      <c r="Z2293" s="12" t="inlineStr">
        <is>
          <t>fixture-to-fixture run included</t>
        </is>
      </c>
      <c r="AA2293" s="12">
        <f>N2293*O2293</f>
        <v/>
      </c>
    </row>
    <row r="2294">
      <c r="A2294" s="12" t="inlineStr">
        <is>
          <t>B-P-0118</t>
        </is>
      </c>
      <c r="B2294" s="12" t="inlineStr">
        <is>
          <t>B</t>
        </is>
      </c>
      <c r="C2294" s="12" t="inlineStr">
        <is>
          <t>ACC</t>
        </is>
      </c>
      <c r="D2294" s="12" t="inlineStr">
        <is>
          <t>480 V welding receptacle 1</t>
        </is>
      </c>
      <c r="E2294" s="12" t="inlineStr"/>
      <c r="F2294" s="12" t="inlineStr">
        <is>
          <t>R4 480 V switchgear + vacuum-pump MCC</t>
        </is>
      </c>
      <c r="G2294" s="12" t="inlineStr">
        <is>
          <t>ACC</t>
        </is>
      </c>
      <c r="H2294" s="12" t="inlineStr">
        <is>
          <t>Air-cooled condenser, 80 cells (steam-cycle heat rejection)</t>
        </is>
      </c>
      <c r="I2294" s="12" t="inlineStr">
        <is>
          <t>LV 600 V</t>
        </is>
      </c>
      <c r="J2294" s="12" t="inlineStr">
        <is>
          <t>Type TC-ER 600 V 3/C Cu XHHW-2 + ground, PVC jacket</t>
        </is>
      </c>
      <c r="K2294" s="12" t="inlineStr">
        <is>
          <t>LV|3/C+G|2</t>
        </is>
      </c>
      <c r="L2294" s="12" t="inlineStr">
        <is>
          <t>3/C+G</t>
        </is>
      </c>
      <c r="M2294" s="12" t="inlineStr">
        <is>
          <t>2</t>
        </is>
      </c>
      <c r="N2294" s="12" t="n">
        <v>1</v>
      </c>
      <c r="O2294" s="12" t="n">
        <v>1</v>
      </c>
      <c r="P2294" s="12" t="n">
        <v>480</v>
      </c>
      <c r="Q2294" s="12" t="n">
        <v>60</v>
      </c>
      <c r="R2294" s="12" t="n">
        <v>76</v>
      </c>
      <c r="S2294" s="12" t="inlineStr">
        <is>
          <t>Tray</t>
        </is>
      </c>
      <c r="T2294" s="16" t="n">
        <v>0</v>
      </c>
      <c r="U2294" s="16" t="n">
        <v>52</v>
      </c>
      <c r="V2294" s="16">
        <f>ROUNDUP((T2294+U2294+2*'Read Me'!$B$13)*(1+'Read Me'!$B$12),-1)</f>
        <v/>
      </c>
      <c r="W2294" s="16">
        <f>V2294*N2294*O2294</f>
        <v/>
      </c>
      <c r="X2294" s="12">
        <f>IF(LEFT(I2294,2)="MV",2*N2294*IF(L2294="1/C",O2294,1),0)</f>
        <v/>
      </c>
      <c r="Y2294" s="12">
        <f>IF(OR(LEFT(K2294,4)="LVAX",LEFT(K2294,6)="MV15AX",LEFT(K2294,4)="CTAX",LEFT(K2294,2)="W|"),2*N2294*O2294,0)</f>
        <v/>
      </c>
      <c r="Z2294" s="12" t="inlineStr">
        <is>
          <t>VD 0.3 %</t>
        </is>
      </c>
      <c r="AA2294" s="12">
        <f>N2294*O2294</f>
        <v/>
      </c>
    </row>
    <row r="2295">
      <c r="A2295" s="12" t="inlineStr">
        <is>
          <t>B-P-0119</t>
        </is>
      </c>
      <c r="B2295" s="12" t="inlineStr">
        <is>
          <t>B</t>
        </is>
      </c>
      <c r="C2295" s="12" t="inlineStr">
        <is>
          <t>ACC</t>
        </is>
      </c>
      <c r="D2295" s="12" t="inlineStr">
        <is>
          <t>480 V welding receptacle 2</t>
        </is>
      </c>
      <c r="E2295" s="12" t="inlineStr"/>
      <c r="F2295" s="12" t="inlineStr">
        <is>
          <t>R4 480 V switchgear + vacuum-pump MCC</t>
        </is>
      </c>
      <c r="G2295" s="12" t="inlineStr">
        <is>
          <t>ACC</t>
        </is>
      </c>
      <c r="H2295" s="12" t="inlineStr">
        <is>
          <t>Air-cooled condenser, 80 cells (steam-cycle heat rejection)</t>
        </is>
      </c>
      <c r="I2295" s="12" t="inlineStr">
        <is>
          <t>LV 600 V</t>
        </is>
      </c>
      <c r="J2295" s="12" t="inlineStr">
        <is>
          <t>Type TC-ER 600 V 3/C Cu XHHW-2 + ground, PVC jacket</t>
        </is>
      </c>
      <c r="K2295" s="12" t="inlineStr">
        <is>
          <t>LV|3/C+G|2</t>
        </is>
      </c>
      <c r="L2295" s="12" t="inlineStr">
        <is>
          <t>3/C+G</t>
        </is>
      </c>
      <c r="M2295" s="12" t="inlineStr">
        <is>
          <t>2</t>
        </is>
      </c>
      <c r="N2295" s="12" t="n">
        <v>1</v>
      </c>
      <c r="O2295" s="12" t="n">
        <v>1</v>
      </c>
      <c r="P2295" s="12" t="n">
        <v>480</v>
      </c>
      <c r="Q2295" s="12" t="n">
        <v>60</v>
      </c>
      <c r="R2295" s="12" t="n">
        <v>76</v>
      </c>
      <c r="S2295" s="12" t="inlineStr">
        <is>
          <t>Tray</t>
        </is>
      </c>
      <c r="T2295" s="16" t="n">
        <v>0</v>
      </c>
      <c r="U2295" s="16" t="n">
        <v>52</v>
      </c>
      <c r="V2295" s="16">
        <f>ROUNDUP((T2295+U2295+2*'Read Me'!$B$13)*(1+'Read Me'!$B$12),-1)</f>
        <v/>
      </c>
      <c r="W2295" s="16">
        <f>V2295*N2295*O2295</f>
        <v/>
      </c>
      <c r="X2295" s="12">
        <f>IF(LEFT(I2295,2)="MV",2*N2295*IF(L2295="1/C",O2295,1),0)</f>
        <v/>
      </c>
      <c r="Y2295" s="12">
        <f>IF(OR(LEFT(K2295,4)="LVAX",LEFT(K2295,6)="MV15AX",LEFT(K2295,4)="CTAX",LEFT(K2295,2)="W|"),2*N2295*O2295,0)</f>
        <v/>
      </c>
      <c r="Z2295" s="12" t="inlineStr">
        <is>
          <t>VD 0.3 %</t>
        </is>
      </c>
      <c r="AA2295" s="12">
        <f>N2295*O2295</f>
        <v/>
      </c>
    </row>
    <row r="2296">
      <c r="A2296" s="12" t="inlineStr">
        <is>
          <t>B-P-0120</t>
        </is>
      </c>
      <c r="B2296" s="12" t="inlineStr">
        <is>
          <t>B</t>
        </is>
      </c>
      <c r="C2296" s="12" t="inlineStr">
        <is>
          <t>ACC</t>
        </is>
      </c>
      <c r="D2296" s="12" t="inlineStr">
        <is>
          <t>480 V welding receptacle 3</t>
        </is>
      </c>
      <c r="E2296" s="12" t="inlineStr"/>
      <c r="F2296" s="12" t="inlineStr">
        <is>
          <t>R4 480 V switchgear + vacuum-pump MCC</t>
        </is>
      </c>
      <c r="G2296" s="12" t="inlineStr">
        <is>
          <t>ACC</t>
        </is>
      </c>
      <c r="H2296" s="12" t="inlineStr">
        <is>
          <t>Air-cooled condenser, 80 cells (steam-cycle heat rejection)</t>
        </is>
      </c>
      <c r="I2296" s="12" t="inlineStr">
        <is>
          <t>LV 600 V</t>
        </is>
      </c>
      <c r="J2296" s="12" t="inlineStr">
        <is>
          <t>Type TC-ER 600 V 3/C Cu XHHW-2 + ground, PVC jacket</t>
        </is>
      </c>
      <c r="K2296" s="12" t="inlineStr">
        <is>
          <t>LV|3/C+G|2</t>
        </is>
      </c>
      <c r="L2296" s="12" t="inlineStr">
        <is>
          <t>3/C+G</t>
        </is>
      </c>
      <c r="M2296" s="12" t="inlineStr">
        <is>
          <t>2</t>
        </is>
      </c>
      <c r="N2296" s="12" t="n">
        <v>1</v>
      </c>
      <c r="O2296" s="12" t="n">
        <v>1</v>
      </c>
      <c r="P2296" s="12" t="n">
        <v>480</v>
      </c>
      <c r="Q2296" s="12" t="n">
        <v>60</v>
      </c>
      <c r="R2296" s="12" t="n">
        <v>76</v>
      </c>
      <c r="S2296" s="12" t="inlineStr">
        <is>
          <t>Tray</t>
        </is>
      </c>
      <c r="T2296" s="16" t="n">
        <v>0</v>
      </c>
      <c r="U2296" s="16" t="n">
        <v>52</v>
      </c>
      <c r="V2296" s="16">
        <f>ROUNDUP((T2296+U2296+2*'Read Me'!$B$13)*(1+'Read Me'!$B$12),-1)</f>
        <v/>
      </c>
      <c r="W2296" s="16">
        <f>V2296*N2296*O2296</f>
        <v/>
      </c>
      <c r="X2296" s="12">
        <f>IF(LEFT(I2296,2)="MV",2*N2296*IF(L2296="1/C",O2296,1),0)</f>
        <v/>
      </c>
      <c r="Y2296" s="12">
        <f>IF(OR(LEFT(K2296,4)="LVAX",LEFT(K2296,6)="MV15AX",LEFT(K2296,4)="CTAX",LEFT(K2296,2)="W|"),2*N2296*O2296,0)</f>
        <v/>
      </c>
      <c r="Z2296" s="12" t="inlineStr">
        <is>
          <t>VD 0.3 %</t>
        </is>
      </c>
      <c r="AA2296" s="12">
        <f>N2296*O2296</f>
        <v/>
      </c>
    </row>
    <row r="2297">
      <c r="A2297" s="12" t="inlineStr">
        <is>
          <t>B-P-0121</t>
        </is>
      </c>
      <c r="B2297" s="12" t="inlineStr">
        <is>
          <t>B</t>
        </is>
      </c>
      <c r="C2297" s="12" t="inlineStr">
        <is>
          <t>ACC</t>
        </is>
      </c>
      <c r="D2297" s="12" t="inlineStr">
        <is>
          <t>480 V welding receptacle 4</t>
        </is>
      </c>
      <c r="E2297" s="12" t="inlineStr"/>
      <c r="F2297" s="12" t="inlineStr">
        <is>
          <t>R4 480 V switchgear + vacuum-pump MCC</t>
        </is>
      </c>
      <c r="G2297" s="12" t="inlineStr">
        <is>
          <t>ACC</t>
        </is>
      </c>
      <c r="H2297" s="12" t="inlineStr">
        <is>
          <t>Air-cooled condenser, 80 cells (steam-cycle heat rejection)</t>
        </is>
      </c>
      <c r="I2297" s="12" t="inlineStr">
        <is>
          <t>LV 600 V</t>
        </is>
      </c>
      <c r="J2297" s="12" t="inlineStr">
        <is>
          <t>Type TC-ER 600 V 3/C Cu XHHW-2 + ground, PVC jacket</t>
        </is>
      </c>
      <c r="K2297" s="12" t="inlineStr">
        <is>
          <t>LV|3/C+G|2</t>
        </is>
      </c>
      <c r="L2297" s="12" t="inlineStr">
        <is>
          <t>3/C+G</t>
        </is>
      </c>
      <c r="M2297" s="12" t="inlineStr">
        <is>
          <t>2</t>
        </is>
      </c>
      <c r="N2297" s="12" t="n">
        <v>1</v>
      </c>
      <c r="O2297" s="12" t="n">
        <v>1</v>
      </c>
      <c r="P2297" s="12" t="n">
        <v>480</v>
      </c>
      <c r="Q2297" s="12" t="n">
        <v>60</v>
      </c>
      <c r="R2297" s="12" t="n">
        <v>76</v>
      </c>
      <c r="S2297" s="12" t="inlineStr">
        <is>
          <t>Tray</t>
        </is>
      </c>
      <c r="T2297" s="16" t="n">
        <v>0</v>
      </c>
      <c r="U2297" s="16" t="n">
        <v>52</v>
      </c>
      <c r="V2297" s="16">
        <f>ROUNDUP((T2297+U2297+2*'Read Me'!$B$13)*(1+'Read Me'!$B$12),-1)</f>
        <v/>
      </c>
      <c r="W2297" s="16">
        <f>V2297*N2297*O2297</f>
        <v/>
      </c>
      <c r="X2297" s="12">
        <f>IF(LEFT(I2297,2)="MV",2*N2297*IF(L2297="1/C",O2297,1),0)</f>
        <v/>
      </c>
      <c r="Y2297" s="12">
        <f>IF(OR(LEFT(K2297,4)="LVAX",LEFT(K2297,6)="MV15AX",LEFT(K2297,4)="CTAX",LEFT(K2297,2)="W|"),2*N2297*O2297,0)</f>
        <v/>
      </c>
      <c r="Z2297" s="12" t="inlineStr">
        <is>
          <t>VD 0.3 %</t>
        </is>
      </c>
      <c r="AA2297" s="12">
        <f>N2297*O2297</f>
        <v/>
      </c>
    </row>
    <row r="2298">
      <c r="A2298" s="12" t="inlineStr">
        <is>
          <t>B-P-0122</t>
        </is>
      </c>
      <c r="B2298" s="12" t="inlineStr">
        <is>
          <t>B</t>
        </is>
      </c>
      <c r="C2298" s="12" t="inlineStr">
        <is>
          <t>ACC</t>
        </is>
      </c>
      <c r="D2298" s="12" t="inlineStr">
        <is>
          <t>Motor 1 of 12, 22 kW (VFD output)</t>
        </is>
      </c>
      <c r="E2298" s="12" t="inlineStr"/>
      <c r="F2298" s="12" t="inlineStr">
        <is>
          <t>R4 480 V switchgear + vacuum-pump MCC</t>
        </is>
      </c>
      <c r="G2298" s="12" t="inlineStr">
        <is>
          <t>AUXC</t>
        </is>
      </c>
      <c r="H2298" s="12" t="inlineStr">
        <is>
          <t>Aux dry coolers AUXC-F01..12 (closed cooling water)</t>
        </is>
      </c>
      <c r="I2298" s="12" t="inlineStr">
        <is>
          <t>LV 600 V</t>
        </is>
      </c>
      <c r="J2298" s="12" t="inlineStr">
        <is>
          <t>VFD cable 600 V 3/C Cu XHHW-2, 3 symmetrical grounds, overall Cu tape shield, TC-ER</t>
        </is>
      </c>
      <c r="K2298" s="12" t="inlineStr">
        <is>
          <t>VFD|3/C+3G|2</t>
        </is>
      </c>
      <c r="L2298" s="12" t="inlineStr">
        <is>
          <t>3/C+3G</t>
        </is>
      </c>
      <c r="M2298" s="12" t="inlineStr">
        <is>
          <t>2</t>
        </is>
      </c>
      <c r="N2298" s="12" t="n">
        <v>1</v>
      </c>
      <c r="O2298" s="12" t="n">
        <v>1</v>
      </c>
      <c r="P2298" s="12" t="n">
        <v>480</v>
      </c>
      <c r="Q2298" s="12" t="n">
        <v>22</v>
      </c>
      <c r="R2298" s="12" t="n">
        <v>31</v>
      </c>
      <c r="S2298" s="12" t="inlineStr">
        <is>
          <t>Tray</t>
        </is>
      </c>
      <c r="T2298" s="16" t="n">
        <v>765</v>
      </c>
      <c r="U2298" s="16" t="n">
        <v>211</v>
      </c>
      <c r="V2298" s="16">
        <f>ROUNDUP((T2298+U2298+2*'Read Me'!$B$13)*(1+'Read Me'!$B$12),-1)</f>
        <v/>
      </c>
      <c r="W2298" s="16">
        <f>V2298*N2298*O2298</f>
        <v/>
      </c>
      <c r="X2298" s="12">
        <f>IF(LEFT(I2298,2)="MV",2*N2298*IF(L2298="1/C",O2298,1),0)</f>
        <v/>
      </c>
      <c r="Y2298" s="12">
        <f>IF(OR(LEFT(K2298,4)="LVAX",LEFT(K2298,6)="MV15AX",LEFT(K2298,4)="CTAX",LEFT(K2298,2)="W|"),2*N2298*O2298,0)</f>
        <v/>
      </c>
      <c r="Z2298" s="12" t="inlineStr">
        <is>
          <t>VD 2.3 %</t>
        </is>
      </c>
      <c r="AA2298" s="12">
        <f>N2298*O2298</f>
        <v/>
      </c>
    </row>
    <row r="2299">
      <c r="A2299" s="12" t="inlineStr">
        <is>
          <t>B-P-0123</t>
        </is>
      </c>
      <c r="B2299" s="12" t="inlineStr">
        <is>
          <t>B</t>
        </is>
      </c>
      <c r="C2299" s="12" t="inlineStr">
        <is>
          <t>ACC</t>
        </is>
      </c>
      <c r="D2299" s="12" t="inlineStr">
        <is>
          <t>Motor 2 of 12, 22 kW (VFD output)</t>
        </is>
      </c>
      <c r="E2299" s="12" t="inlineStr"/>
      <c r="F2299" s="12" t="inlineStr">
        <is>
          <t>R4 480 V switchgear + vacuum-pump MCC</t>
        </is>
      </c>
      <c r="G2299" s="12" t="inlineStr">
        <is>
          <t>AUXC</t>
        </is>
      </c>
      <c r="H2299" s="12" t="inlineStr">
        <is>
          <t>Aux dry coolers AUXC-F01..12 (closed cooling water)</t>
        </is>
      </c>
      <c r="I2299" s="12" t="inlineStr">
        <is>
          <t>LV 600 V</t>
        </is>
      </c>
      <c r="J2299" s="12" t="inlineStr">
        <is>
          <t>VFD cable 600 V 3/C Cu XHHW-2, 3 symmetrical grounds, overall Cu tape shield, TC-ER</t>
        </is>
      </c>
      <c r="K2299" s="12" t="inlineStr">
        <is>
          <t>VFD|3/C+3G|2</t>
        </is>
      </c>
      <c r="L2299" s="12" t="inlineStr">
        <is>
          <t>3/C+3G</t>
        </is>
      </c>
      <c r="M2299" s="12" t="inlineStr">
        <is>
          <t>2</t>
        </is>
      </c>
      <c r="N2299" s="12" t="n">
        <v>1</v>
      </c>
      <c r="O2299" s="12" t="n">
        <v>1</v>
      </c>
      <c r="P2299" s="12" t="n">
        <v>480</v>
      </c>
      <c r="Q2299" s="12" t="n">
        <v>22</v>
      </c>
      <c r="R2299" s="12" t="n">
        <v>31</v>
      </c>
      <c r="S2299" s="12" t="inlineStr">
        <is>
          <t>Tray</t>
        </is>
      </c>
      <c r="T2299" s="16" t="n">
        <v>765</v>
      </c>
      <c r="U2299" s="16" t="n">
        <v>211</v>
      </c>
      <c r="V2299" s="16">
        <f>ROUNDUP((T2299+U2299+2*'Read Me'!$B$13)*(1+'Read Me'!$B$12),-1)</f>
        <v/>
      </c>
      <c r="W2299" s="16">
        <f>V2299*N2299*O2299</f>
        <v/>
      </c>
      <c r="X2299" s="12">
        <f>IF(LEFT(I2299,2)="MV",2*N2299*IF(L2299="1/C",O2299,1),0)</f>
        <v/>
      </c>
      <c r="Y2299" s="12">
        <f>IF(OR(LEFT(K2299,4)="LVAX",LEFT(K2299,6)="MV15AX",LEFT(K2299,4)="CTAX",LEFT(K2299,2)="W|"),2*N2299*O2299,0)</f>
        <v/>
      </c>
      <c r="Z2299" s="12" t="inlineStr">
        <is>
          <t>VD 2.3 %</t>
        </is>
      </c>
      <c r="AA2299" s="12">
        <f>N2299*O2299</f>
        <v/>
      </c>
    </row>
    <row r="2300">
      <c r="A2300" s="12" t="inlineStr">
        <is>
          <t>B-P-0124</t>
        </is>
      </c>
      <c r="B2300" s="12" t="inlineStr">
        <is>
          <t>B</t>
        </is>
      </c>
      <c r="C2300" s="12" t="inlineStr">
        <is>
          <t>ACC</t>
        </is>
      </c>
      <c r="D2300" s="12" t="inlineStr">
        <is>
          <t>Motor 3 of 12, 22 kW (VFD output)</t>
        </is>
      </c>
      <c r="E2300" s="12" t="inlineStr"/>
      <c r="F2300" s="12" t="inlineStr">
        <is>
          <t>R4 480 V switchgear + vacuum-pump MCC</t>
        </is>
      </c>
      <c r="G2300" s="12" t="inlineStr">
        <is>
          <t>AUXC</t>
        </is>
      </c>
      <c r="H2300" s="12" t="inlineStr">
        <is>
          <t>Aux dry coolers AUXC-F01..12 (closed cooling water)</t>
        </is>
      </c>
      <c r="I2300" s="12" t="inlineStr">
        <is>
          <t>LV 600 V</t>
        </is>
      </c>
      <c r="J2300" s="12" t="inlineStr">
        <is>
          <t>VFD cable 600 V 3/C Cu XHHW-2, 3 symmetrical grounds, overall Cu tape shield, TC-ER</t>
        </is>
      </c>
      <c r="K2300" s="12" t="inlineStr">
        <is>
          <t>VFD|3/C+3G|2</t>
        </is>
      </c>
      <c r="L2300" s="12" t="inlineStr">
        <is>
          <t>3/C+3G</t>
        </is>
      </c>
      <c r="M2300" s="12" t="inlineStr">
        <is>
          <t>2</t>
        </is>
      </c>
      <c r="N2300" s="12" t="n">
        <v>1</v>
      </c>
      <c r="O2300" s="12" t="n">
        <v>1</v>
      </c>
      <c r="P2300" s="12" t="n">
        <v>480</v>
      </c>
      <c r="Q2300" s="12" t="n">
        <v>22</v>
      </c>
      <c r="R2300" s="12" t="n">
        <v>31</v>
      </c>
      <c r="S2300" s="12" t="inlineStr">
        <is>
          <t>Tray</t>
        </is>
      </c>
      <c r="T2300" s="16" t="n">
        <v>765</v>
      </c>
      <c r="U2300" s="16" t="n">
        <v>211</v>
      </c>
      <c r="V2300" s="16">
        <f>ROUNDUP((T2300+U2300+2*'Read Me'!$B$13)*(1+'Read Me'!$B$12),-1)</f>
        <v/>
      </c>
      <c r="W2300" s="16">
        <f>V2300*N2300*O2300</f>
        <v/>
      </c>
      <c r="X2300" s="12">
        <f>IF(LEFT(I2300,2)="MV",2*N2300*IF(L2300="1/C",O2300,1),0)</f>
        <v/>
      </c>
      <c r="Y2300" s="12">
        <f>IF(OR(LEFT(K2300,4)="LVAX",LEFT(K2300,6)="MV15AX",LEFT(K2300,4)="CTAX",LEFT(K2300,2)="W|"),2*N2300*O2300,0)</f>
        <v/>
      </c>
      <c r="Z2300" s="12" t="inlineStr">
        <is>
          <t>VD 2.3 %</t>
        </is>
      </c>
      <c r="AA2300" s="12">
        <f>N2300*O2300</f>
        <v/>
      </c>
    </row>
    <row r="2301">
      <c r="A2301" s="12" t="inlineStr">
        <is>
          <t>B-P-0125</t>
        </is>
      </c>
      <c r="B2301" s="12" t="inlineStr">
        <is>
          <t>B</t>
        </is>
      </c>
      <c r="C2301" s="12" t="inlineStr">
        <is>
          <t>ACC</t>
        </is>
      </c>
      <c r="D2301" s="12" t="inlineStr">
        <is>
          <t>Motor 4 of 12, 22 kW (VFD output)</t>
        </is>
      </c>
      <c r="E2301" s="12" t="inlineStr"/>
      <c r="F2301" s="12" t="inlineStr">
        <is>
          <t>R4 480 V switchgear + vacuum-pump MCC</t>
        </is>
      </c>
      <c r="G2301" s="12" t="inlineStr">
        <is>
          <t>AUXC</t>
        </is>
      </c>
      <c r="H2301" s="12" t="inlineStr">
        <is>
          <t>Aux dry coolers AUXC-F01..12 (closed cooling water)</t>
        </is>
      </c>
      <c r="I2301" s="12" t="inlineStr">
        <is>
          <t>LV 600 V</t>
        </is>
      </c>
      <c r="J2301" s="12" t="inlineStr">
        <is>
          <t>VFD cable 600 V 3/C Cu XHHW-2, 3 symmetrical grounds, overall Cu tape shield, TC-ER</t>
        </is>
      </c>
      <c r="K2301" s="12" t="inlineStr">
        <is>
          <t>VFD|3/C+3G|2</t>
        </is>
      </c>
      <c r="L2301" s="12" t="inlineStr">
        <is>
          <t>3/C+3G</t>
        </is>
      </c>
      <c r="M2301" s="12" t="inlineStr">
        <is>
          <t>2</t>
        </is>
      </c>
      <c r="N2301" s="12" t="n">
        <v>1</v>
      </c>
      <c r="O2301" s="12" t="n">
        <v>1</v>
      </c>
      <c r="P2301" s="12" t="n">
        <v>480</v>
      </c>
      <c r="Q2301" s="12" t="n">
        <v>22</v>
      </c>
      <c r="R2301" s="12" t="n">
        <v>31</v>
      </c>
      <c r="S2301" s="12" t="inlineStr">
        <is>
          <t>Tray</t>
        </is>
      </c>
      <c r="T2301" s="16" t="n">
        <v>765</v>
      </c>
      <c r="U2301" s="16" t="n">
        <v>211</v>
      </c>
      <c r="V2301" s="16">
        <f>ROUNDUP((T2301+U2301+2*'Read Me'!$B$13)*(1+'Read Me'!$B$12),-1)</f>
        <v/>
      </c>
      <c r="W2301" s="16">
        <f>V2301*N2301*O2301</f>
        <v/>
      </c>
      <c r="X2301" s="12">
        <f>IF(LEFT(I2301,2)="MV",2*N2301*IF(L2301="1/C",O2301,1),0)</f>
        <v/>
      </c>
      <c r="Y2301" s="12">
        <f>IF(OR(LEFT(K2301,4)="LVAX",LEFT(K2301,6)="MV15AX",LEFT(K2301,4)="CTAX",LEFT(K2301,2)="W|"),2*N2301*O2301,0)</f>
        <v/>
      </c>
      <c r="Z2301" s="12" t="inlineStr">
        <is>
          <t>VD 2.3 %</t>
        </is>
      </c>
      <c r="AA2301" s="12">
        <f>N2301*O2301</f>
        <v/>
      </c>
    </row>
    <row r="2302">
      <c r="A2302" s="12" t="inlineStr">
        <is>
          <t>B-P-0126</t>
        </is>
      </c>
      <c r="B2302" s="12" t="inlineStr">
        <is>
          <t>B</t>
        </is>
      </c>
      <c r="C2302" s="12" t="inlineStr">
        <is>
          <t>ACC</t>
        </is>
      </c>
      <c r="D2302" s="12" t="inlineStr">
        <is>
          <t>Motor 5 of 12, 22 kW (VFD output)</t>
        </is>
      </c>
      <c r="E2302" s="12" t="inlineStr"/>
      <c r="F2302" s="12" t="inlineStr">
        <is>
          <t>R4 480 V switchgear + vacuum-pump MCC</t>
        </is>
      </c>
      <c r="G2302" s="12" t="inlineStr">
        <is>
          <t>AUXC</t>
        </is>
      </c>
      <c r="H2302" s="12" t="inlineStr">
        <is>
          <t>Aux dry coolers AUXC-F01..12 (closed cooling water)</t>
        </is>
      </c>
      <c r="I2302" s="12" t="inlineStr">
        <is>
          <t>LV 600 V</t>
        </is>
      </c>
      <c r="J2302" s="12" t="inlineStr">
        <is>
          <t>VFD cable 600 V 3/C Cu XHHW-2, 3 symmetrical grounds, overall Cu tape shield, TC-ER</t>
        </is>
      </c>
      <c r="K2302" s="12" t="inlineStr">
        <is>
          <t>VFD|3/C+3G|2</t>
        </is>
      </c>
      <c r="L2302" s="12" t="inlineStr">
        <is>
          <t>3/C+3G</t>
        </is>
      </c>
      <c r="M2302" s="12" t="inlineStr">
        <is>
          <t>2</t>
        </is>
      </c>
      <c r="N2302" s="12" t="n">
        <v>1</v>
      </c>
      <c r="O2302" s="12" t="n">
        <v>1</v>
      </c>
      <c r="P2302" s="12" t="n">
        <v>480</v>
      </c>
      <c r="Q2302" s="12" t="n">
        <v>22</v>
      </c>
      <c r="R2302" s="12" t="n">
        <v>31</v>
      </c>
      <c r="S2302" s="12" t="inlineStr">
        <is>
          <t>Tray</t>
        </is>
      </c>
      <c r="T2302" s="16" t="n">
        <v>765</v>
      </c>
      <c r="U2302" s="16" t="n">
        <v>211</v>
      </c>
      <c r="V2302" s="16">
        <f>ROUNDUP((T2302+U2302+2*'Read Me'!$B$13)*(1+'Read Me'!$B$12),-1)</f>
        <v/>
      </c>
      <c r="W2302" s="16">
        <f>V2302*N2302*O2302</f>
        <v/>
      </c>
      <c r="X2302" s="12">
        <f>IF(LEFT(I2302,2)="MV",2*N2302*IF(L2302="1/C",O2302,1),0)</f>
        <v/>
      </c>
      <c r="Y2302" s="12">
        <f>IF(OR(LEFT(K2302,4)="LVAX",LEFT(K2302,6)="MV15AX",LEFT(K2302,4)="CTAX",LEFT(K2302,2)="W|"),2*N2302*O2302,0)</f>
        <v/>
      </c>
      <c r="Z2302" s="12" t="inlineStr">
        <is>
          <t>VD 2.3 %</t>
        </is>
      </c>
      <c r="AA2302" s="12">
        <f>N2302*O2302</f>
        <v/>
      </c>
    </row>
    <row r="2303">
      <c r="A2303" s="12" t="inlineStr">
        <is>
          <t>B-P-0127</t>
        </is>
      </c>
      <c r="B2303" s="12" t="inlineStr">
        <is>
          <t>B</t>
        </is>
      </c>
      <c r="C2303" s="12" t="inlineStr">
        <is>
          <t>ACC</t>
        </is>
      </c>
      <c r="D2303" s="12" t="inlineStr">
        <is>
          <t>Motor 6 of 12, 22 kW (VFD output)</t>
        </is>
      </c>
      <c r="E2303" s="12" t="inlineStr"/>
      <c r="F2303" s="12" t="inlineStr">
        <is>
          <t>R4 480 V switchgear + vacuum-pump MCC</t>
        </is>
      </c>
      <c r="G2303" s="12" t="inlineStr">
        <is>
          <t>AUXC</t>
        </is>
      </c>
      <c r="H2303" s="12" t="inlineStr">
        <is>
          <t>Aux dry coolers AUXC-F01..12 (closed cooling water)</t>
        </is>
      </c>
      <c r="I2303" s="12" t="inlineStr">
        <is>
          <t>LV 600 V</t>
        </is>
      </c>
      <c r="J2303" s="12" t="inlineStr">
        <is>
          <t>VFD cable 600 V 3/C Cu XHHW-2, 3 symmetrical grounds, overall Cu tape shield, TC-ER</t>
        </is>
      </c>
      <c r="K2303" s="12" t="inlineStr">
        <is>
          <t>VFD|3/C+3G|2</t>
        </is>
      </c>
      <c r="L2303" s="12" t="inlineStr">
        <is>
          <t>3/C+3G</t>
        </is>
      </c>
      <c r="M2303" s="12" t="inlineStr">
        <is>
          <t>2</t>
        </is>
      </c>
      <c r="N2303" s="12" t="n">
        <v>1</v>
      </c>
      <c r="O2303" s="12" t="n">
        <v>1</v>
      </c>
      <c r="P2303" s="12" t="n">
        <v>480</v>
      </c>
      <c r="Q2303" s="12" t="n">
        <v>22</v>
      </c>
      <c r="R2303" s="12" t="n">
        <v>31</v>
      </c>
      <c r="S2303" s="12" t="inlineStr">
        <is>
          <t>Tray</t>
        </is>
      </c>
      <c r="T2303" s="16" t="n">
        <v>765</v>
      </c>
      <c r="U2303" s="16" t="n">
        <v>211</v>
      </c>
      <c r="V2303" s="16">
        <f>ROUNDUP((T2303+U2303+2*'Read Me'!$B$13)*(1+'Read Me'!$B$12),-1)</f>
        <v/>
      </c>
      <c r="W2303" s="16">
        <f>V2303*N2303*O2303</f>
        <v/>
      </c>
      <c r="X2303" s="12">
        <f>IF(LEFT(I2303,2)="MV",2*N2303*IF(L2303="1/C",O2303,1),0)</f>
        <v/>
      </c>
      <c r="Y2303" s="12">
        <f>IF(OR(LEFT(K2303,4)="LVAX",LEFT(K2303,6)="MV15AX",LEFT(K2303,4)="CTAX",LEFT(K2303,2)="W|"),2*N2303*O2303,0)</f>
        <v/>
      </c>
      <c r="Z2303" s="12" t="inlineStr">
        <is>
          <t>VD 2.3 %</t>
        </is>
      </c>
      <c r="AA2303" s="12">
        <f>N2303*O2303</f>
        <v/>
      </c>
    </row>
    <row r="2304">
      <c r="A2304" s="12" t="inlineStr">
        <is>
          <t>B-P-0128</t>
        </is>
      </c>
      <c r="B2304" s="12" t="inlineStr">
        <is>
          <t>B</t>
        </is>
      </c>
      <c r="C2304" s="12" t="inlineStr">
        <is>
          <t>ACC</t>
        </is>
      </c>
      <c r="D2304" s="12" t="inlineStr">
        <is>
          <t>Motor 7 of 12, 22 kW (VFD output)</t>
        </is>
      </c>
      <c r="E2304" s="12" t="inlineStr"/>
      <c r="F2304" s="12" t="inlineStr">
        <is>
          <t>R4 480 V switchgear + vacuum-pump MCC</t>
        </is>
      </c>
      <c r="G2304" s="12" t="inlineStr">
        <is>
          <t>AUXC</t>
        </is>
      </c>
      <c r="H2304" s="12" t="inlineStr">
        <is>
          <t>Aux dry coolers AUXC-F01..12 (closed cooling water)</t>
        </is>
      </c>
      <c r="I2304" s="12" t="inlineStr">
        <is>
          <t>LV 600 V</t>
        </is>
      </c>
      <c r="J2304" s="12" t="inlineStr">
        <is>
          <t>VFD cable 600 V 3/C Cu XHHW-2, 3 symmetrical grounds, overall Cu tape shield, TC-ER</t>
        </is>
      </c>
      <c r="K2304" s="12" t="inlineStr">
        <is>
          <t>VFD|3/C+3G|2</t>
        </is>
      </c>
      <c r="L2304" s="12" t="inlineStr">
        <is>
          <t>3/C+3G</t>
        </is>
      </c>
      <c r="M2304" s="12" t="inlineStr">
        <is>
          <t>2</t>
        </is>
      </c>
      <c r="N2304" s="12" t="n">
        <v>1</v>
      </c>
      <c r="O2304" s="12" t="n">
        <v>1</v>
      </c>
      <c r="P2304" s="12" t="n">
        <v>480</v>
      </c>
      <c r="Q2304" s="12" t="n">
        <v>22</v>
      </c>
      <c r="R2304" s="12" t="n">
        <v>31</v>
      </c>
      <c r="S2304" s="12" t="inlineStr">
        <is>
          <t>Tray</t>
        </is>
      </c>
      <c r="T2304" s="16" t="n">
        <v>765</v>
      </c>
      <c r="U2304" s="16" t="n">
        <v>211</v>
      </c>
      <c r="V2304" s="16">
        <f>ROUNDUP((T2304+U2304+2*'Read Me'!$B$13)*(1+'Read Me'!$B$12),-1)</f>
        <v/>
      </c>
      <c r="W2304" s="16">
        <f>V2304*N2304*O2304</f>
        <v/>
      </c>
      <c r="X2304" s="12">
        <f>IF(LEFT(I2304,2)="MV",2*N2304*IF(L2304="1/C",O2304,1),0)</f>
        <v/>
      </c>
      <c r="Y2304" s="12">
        <f>IF(OR(LEFT(K2304,4)="LVAX",LEFT(K2304,6)="MV15AX",LEFT(K2304,4)="CTAX",LEFT(K2304,2)="W|"),2*N2304*O2304,0)</f>
        <v/>
      </c>
      <c r="Z2304" s="12" t="inlineStr">
        <is>
          <t>VD 2.3 %</t>
        </is>
      </c>
      <c r="AA2304" s="12">
        <f>N2304*O2304</f>
        <v/>
      </c>
    </row>
    <row r="2305">
      <c r="A2305" s="12" t="inlineStr">
        <is>
          <t>B-P-0129</t>
        </is>
      </c>
      <c r="B2305" s="12" t="inlineStr">
        <is>
          <t>B</t>
        </is>
      </c>
      <c r="C2305" s="12" t="inlineStr">
        <is>
          <t>ACC</t>
        </is>
      </c>
      <c r="D2305" s="12" t="inlineStr">
        <is>
          <t>Motor 8 of 12, 22 kW (VFD output)</t>
        </is>
      </c>
      <c r="E2305" s="12" t="inlineStr"/>
      <c r="F2305" s="12" t="inlineStr">
        <is>
          <t>R4 480 V switchgear + vacuum-pump MCC</t>
        </is>
      </c>
      <c r="G2305" s="12" t="inlineStr">
        <is>
          <t>AUXC</t>
        </is>
      </c>
      <c r="H2305" s="12" t="inlineStr">
        <is>
          <t>Aux dry coolers AUXC-F01..12 (closed cooling water)</t>
        </is>
      </c>
      <c r="I2305" s="12" t="inlineStr">
        <is>
          <t>LV 600 V</t>
        </is>
      </c>
      <c r="J2305" s="12" t="inlineStr">
        <is>
          <t>VFD cable 600 V 3/C Cu XHHW-2, 3 symmetrical grounds, overall Cu tape shield, TC-ER</t>
        </is>
      </c>
      <c r="K2305" s="12" t="inlineStr">
        <is>
          <t>VFD|3/C+3G|2</t>
        </is>
      </c>
      <c r="L2305" s="12" t="inlineStr">
        <is>
          <t>3/C+3G</t>
        </is>
      </c>
      <c r="M2305" s="12" t="inlineStr">
        <is>
          <t>2</t>
        </is>
      </c>
      <c r="N2305" s="12" t="n">
        <v>1</v>
      </c>
      <c r="O2305" s="12" t="n">
        <v>1</v>
      </c>
      <c r="P2305" s="12" t="n">
        <v>480</v>
      </c>
      <c r="Q2305" s="12" t="n">
        <v>22</v>
      </c>
      <c r="R2305" s="12" t="n">
        <v>31</v>
      </c>
      <c r="S2305" s="12" t="inlineStr">
        <is>
          <t>Tray</t>
        </is>
      </c>
      <c r="T2305" s="16" t="n">
        <v>765</v>
      </c>
      <c r="U2305" s="16" t="n">
        <v>211</v>
      </c>
      <c r="V2305" s="16">
        <f>ROUNDUP((T2305+U2305+2*'Read Me'!$B$13)*(1+'Read Me'!$B$12),-1)</f>
        <v/>
      </c>
      <c r="W2305" s="16">
        <f>V2305*N2305*O2305</f>
        <v/>
      </c>
      <c r="X2305" s="12">
        <f>IF(LEFT(I2305,2)="MV",2*N2305*IF(L2305="1/C",O2305,1),0)</f>
        <v/>
      </c>
      <c r="Y2305" s="12">
        <f>IF(OR(LEFT(K2305,4)="LVAX",LEFT(K2305,6)="MV15AX",LEFT(K2305,4)="CTAX",LEFT(K2305,2)="W|"),2*N2305*O2305,0)</f>
        <v/>
      </c>
      <c r="Z2305" s="12" t="inlineStr">
        <is>
          <t>VD 2.3 %</t>
        </is>
      </c>
      <c r="AA2305" s="12">
        <f>N2305*O2305</f>
        <v/>
      </c>
    </row>
    <row r="2306">
      <c r="A2306" s="12" t="inlineStr">
        <is>
          <t>B-P-0130</t>
        </is>
      </c>
      <c r="B2306" s="12" t="inlineStr">
        <is>
          <t>B</t>
        </is>
      </c>
      <c r="C2306" s="12" t="inlineStr">
        <is>
          <t>ACC</t>
        </is>
      </c>
      <c r="D2306" s="12" t="inlineStr">
        <is>
          <t>Motor 9 of 12, 22 kW (VFD output)</t>
        </is>
      </c>
      <c r="E2306" s="12" t="inlineStr"/>
      <c r="F2306" s="12" t="inlineStr">
        <is>
          <t>R4 480 V switchgear + vacuum-pump MCC</t>
        </is>
      </c>
      <c r="G2306" s="12" t="inlineStr">
        <is>
          <t>AUXC</t>
        </is>
      </c>
      <c r="H2306" s="12" t="inlineStr">
        <is>
          <t>Aux dry coolers AUXC-F01..12 (closed cooling water)</t>
        </is>
      </c>
      <c r="I2306" s="12" t="inlineStr">
        <is>
          <t>LV 600 V</t>
        </is>
      </c>
      <c r="J2306" s="12" t="inlineStr">
        <is>
          <t>VFD cable 600 V 3/C Cu XHHW-2, 3 symmetrical grounds, overall Cu tape shield, TC-ER</t>
        </is>
      </c>
      <c r="K2306" s="12" t="inlineStr">
        <is>
          <t>VFD|3/C+3G|2</t>
        </is>
      </c>
      <c r="L2306" s="12" t="inlineStr">
        <is>
          <t>3/C+3G</t>
        </is>
      </c>
      <c r="M2306" s="12" t="inlineStr">
        <is>
          <t>2</t>
        </is>
      </c>
      <c r="N2306" s="12" t="n">
        <v>1</v>
      </c>
      <c r="O2306" s="12" t="n">
        <v>1</v>
      </c>
      <c r="P2306" s="12" t="n">
        <v>480</v>
      </c>
      <c r="Q2306" s="12" t="n">
        <v>22</v>
      </c>
      <c r="R2306" s="12" t="n">
        <v>31</v>
      </c>
      <c r="S2306" s="12" t="inlineStr">
        <is>
          <t>Tray</t>
        </is>
      </c>
      <c r="T2306" s="16" t="n">
        <v>765</v>
      </c>
      <c r="U2306" s="16" t="n">
        <v>211</v>
      </c>
      <c r="V2306" s="16">
        <f>ROUNDUP((T2306+U2306+2*'Read Me'!$B$13)*(1+'Read Me'!$B$12),-1)</f>
        <v/>
      </c>
      <c r="W2306" s="16">
        <f>V2306*N2306*O2306</f>
        <v/>
      </c>
      <c r="X2306" s="12">
        <f>IF(LEFT(I2306,2)="MV",2*N2306*IF(L2306="1/C",O2306,1),0)</f>
        <v/>
      </c>
      <c r="Y2306" s="12">
        <f>IF(OR(LEFT(K2306,4)="LVAX",LEFT(K2306,6)="MV15AX",LEFT(K2306,4)="CTAX",LEFT(K2306,2)="W|"),2*N2306*O2306,0)</f>
        <v/>
      </c>
      <c r="Z2306" s="12" t="inlineStr">
        <is>
          <t>VD 2.3 %</t>
        </is>
      </c>
      <c r="AA2306" s="12">
        <f>N2306*O2306</f>
        <v/>
      </c>
    </row>
    <row r="2307">
      <c r="A2307" s="12" t="inlineStr">
        <is>
          <t>B-P-0131</t>
        </is>
      </c>
      <c r="B2307" s="12" t="inlineStr">
        <is>
          <t>B</t>
        </is>
      </c>
      <c r="C2307" s="12" t="inlineStr">
        <is>
          <t>ACC</t>
        </is>
      </c>
      <c r="D2307" s="12" t="inlineStr">
        <is>
          <t>Motor 10 of 12, 22 kW (VFD output)</t>
        </is>
      </c>
      <c r="E2307" s="12" t="inlineStr"/>
      <c r="F2307" s="12" t="inlineStr">
        <is>
          <t>R4 480 V switchgear + vacuum-pump MCC</t>
        </is>
      </c>
      <c r="G2307" s="12" t="inlineStr">
        <is>
          <t>AUXC</t>
        </is>
      </c>
      <c r="H2307" s="12" t="inlineStr">
        <is>
          <t>Aux dry coolers AUXC-F01..12 (closed cooling water)</t>
        </is>
      </c>
      <c r="I2307" s="12" t="inlineStr">
        <is>
          <t>LV 600 V</t>
        </is>
      </c>
      <c r="J2307" s="12" t="inlineStr">
        <is>
          <t>VFD cable 600 V 3/C Cu XHHW-2, 3 symmetrical grounds, overall Cu tape shield, TC-ER</t>
        </is>
      </c>
      <c r="K2307" s="12" t="inlineStr">
        <is>
          <t>VFD|3/C+3G|2</t>
        </is>
      </c>
      <c r="L2307" s="12" t="inlineStr">
        <is>
          <t>3/C+3G</t>
        </is>
      </c>
      <c r="M2307" s="12" t="inlineStr">
        <is>
          <t>2</t>
        </is>
      </c>
      <c r="N2307" s="12" t="n">
        <v>1</v>
      </c>
      <c r="O2307" s="12" t="n">
        <v>1</v>
      </c>
      <c r="P2307" s="12" t="n">
        <v>480</v>
      </c>
      <c r="Q2307" s="12" t="n">
        <v>22</v>
      </c>
      <c r="R2307" s="12" t="n">
        <v>31</v>
      </c>
      <c r="S2307" s="12" t="inlineStr">
        <is>
          <t>Tray</t>
        </is>
      </c>
      <c r="T2307" s="16" t="n">
        <v>765</v>
      </c>
      <c r="U2307" s="16" t="n">
        <v>211</v>
      </c>
      <c r="V2307" s="16">
        <f>ROUNDUP((T2307+U2307+2*'Read Me'!$B$13)*(1+'Read Me'!$B$12),-1)</f>
        <v/>
      </c>
      <c r="W2307" s="16">
        <f>V2307*N2307*O2307</f>
        <v/>
      </c>
      <c r="X2307" s="12">
        <f>IF(LEFT(I2307,2)="MV",2*N2307*IF(L2307="1/C",O2307,1),0)</f>
        <v/>
      </c>
      <c r="Y2307" s="12">
        <f>IF(OR(LEFT(K2307,4)="LVAX",LEFT(K2307,6)="MV15AX",LEFT(K2307,4)="CTAX",LEFT(K2307,2)="W|"),2*N2307*O2307,0)</f>
        <v/>
      </c>
      <c r="Z2307" s="12" t="inlineStr">
        <is>
          <t>VD 2.3 %</t>
        </is>
      </c>
      <c r="AA2307" s="12">
        <f>N2307*O2307</f>
        <v/>
      </c>
    </row>
    <row r="2308">
      <c r="A2308" s="12" t="inlineStr">
        <is>
          <t>B-P-0132</t>
        </is>
      </c>
      <c r="B2308" s="12" t="inlineStr">
        <is>
          <t>B</t>
        </is>
      </c>
      <c r="C2308" s="12" t="inlineStr">
        <is>
          <t>ACC</t>
        </is>
      </c>
      <c r="D2308" s="12" t="inlineStr">
        <is>
          <t>Motor 11 of 12, 22 kW (VFD output)</t>
        </is>
      </c>
      <c r="E2308" s="12" t="inlineStr"/>
      <c r="F2308" s="12" t="inlineStr">
        <is>
          <t>R4 480 V switchgear + vacuum-pump MCC</t>
        </is>
      </c>
      <c r="G2308" s="12" t="inlineStr">
        <is>
          <t>AUXC</t>
        </is>
      </c>
      <c r="H2308" s="12" t="inlineStr">
        <is>
          <t>Aux dry coolers AUXC-F01..12 (closed cooling water)</t>
        </is>
      </c>
      <c r="I2308" s="12" t="inlineStr">
        <is>
          <t>LV 600 V</t>
        </is>
      </c>
      <c r="J2308" s="12" t="inlineStr">
        <is>
          <t>VFD cable 600 V 3/C Cu XHHW-2, 3 symmetrical grounds, overall Cu tape shield, TC-ER</t>
        </is>
      </c>
      <c r="K2308" s="12" t="inlineStr">
        <is>
          <t>VFD|3/C+3G|2</t>
        </is>
      </c>
      <c r="L2308" s="12" t="inlineStr">
        <is>
          <t>3/C+3G</t>
        </is>
      </c>
      <c r="M2308" s="12" t="inlineStr">
        <is>
          <t>2</t>
        </is>
      </c>
      <c r="N2308" s="12" t="n">
        <v>1</v>
      </c>
      <c r="O2308" s="12" t="n">
        <v>1</v>
      </c>
      <c r="P2308" s="12" t="n">
        <v>480</v>
      </c>
      <c r="Q2308" s="12" t="n">
        <v>22</v>
      </c>
      <c r="R2308" s="12" t="n">
        <v>31</v>
      </c>
      <c r="S2308" s="12" t="inlineStr">
        <is>
          <t>Tray</t>
        </is>
      </c>
      <c r="T2308" s="16" t="n">
        <v>765</v>
      </c>
      <c r="U2308" s="16" t="n">
        <v>211</v>
      </c>
      <c r="V2308" s="16">
        <f>ROUNDUP((T2308+U2308+2*'Read Me'!$B$13)*(1+'Read Me'!$B$12),-1)</f>
        <v/>
      </c>
      <c r="W2308" s="16">
        <f>V2308*N2308*O2308</f>
        <v/>
      </c>
      <c r="X2308" s="12">
        <f>IF(LEFT(I2308,2)="MV",2*N2308*IF(L2308="1/C",O2308,1),0)</f>
        <v/>
      </c>
      <c r="Y2308" s="12">
        <f>IF(OR(LEFT(K2308,4)="LVAX",LEFT(K2308,6)="MV15AX",LEFT(K2308,4)="CTAX",LEFT(K2308,2)="W|"),2*N2308*O2308,0)</f>
        <v/>
      </c>
      <c r="Z2308" s="12" t="inlineStr">
        <is>
          <t>VD 2.3 %</t>
        </is>
      </c>
      <c r="AA2308" s="12">
        <f>N2308*O2308</f>
        <v/>
      </c>
    </row>
    <row r="2309">
      <c r="A2309" s="12" t="inlineStr">
        <is>
          <t>B-P-0133</t>
        </is>
      </c>
      <c r="B2309" s="12" t="inlineStr">
        <is>
          <t>B</t>
        </is>
      </c>
      <c r="C2309" s="12" t="inlineStr">
        <is>
          <t>ACC</t>
        </is>
      </c>
      <c r="D2309" s="12" t="inlineStr">
        <is>
          <t>Motor 12 of 12, 22 kW (VFD output)</t>
        </is>
      </c>
      <c r="E2309" s="12" t="inlineStr"/>
      <c r="F2309" s="12" t="inlineStr">
        <is>
          <t>R4 480 V switchgear + vacuum-pump MCC</t>
        </is>
      </c>
      <c r="G2309" s="12" t="inlineStr">
        <is>
          <t>AUXC</t>
        </is>
      </c>
      <c r="H2309" s="12" t="inlineStr">
        <is>
          <t>Aux dry coolers AUXC-F01..12 (closed cooling water)</t>
        </is>
      </c>
      <c r="I2309" s="12" t="inlineStr">
        <is>
          <t>LV 600 V</t>
        </is>
      </c>
      <c r="J2309" s="12" t="inlineStr">
        <is>
          <t>VFD cable 600 V 3/C Cu XHHW-2, 3 symmetrical grounds, overall Cu tape shield, TC-ER</t>
        </is>
      </c>
      <c r="K2309" s="12" t="inlineStr">
        <is>
          <t>VFD|3/C+3G|2</t>
        </is>
      </c>
      <c r="L2309" s="12" t="inlineStr">
        <is>
          <t>3/C+3G</t>
        </is>
      </c>
      <c r="M2309" s="12" t="inlineStr">
        <is>
          <t>2</t>
        </is>
      </c>
      <c r="N2309" s="12" t="n">
        <v>1</v>
      </c>
      <c r="O2309" s="12" t="n">
        <v>1</v>
      </c>
      <c r="P2309" s="12" t="n">
        <v>480</v>
      </c>
      <c r="Q2309" s="12" t="n">
        <v>22</v>
      </c>
      <c r="R2309" s="12" t="n">
        <v>31</v>
      </c>
      <c r="S2309" s="12" t="inlineStr">
        <is>
          <t>Tray</t>
        </is>
      </c>
      <c r="T2309" s="16" t="n">
        <v>765</v>
      </c>
      <c r="U2309" s="16" t="n">
        <v>211</v>
      </c>
      <c r="V2309" s="16">
        <f>ROUNDUP((T2309+U2309+2*'Read Me'!$B$13)*(1+'Read Me'!$B$12),-1)</f>
        <v/>
      </c>
      <c r="W2309" s="16">
        <f>V2309*N2309*O2309</f>
        <v/>
      </c>
      <c r="X2309" s="12">
        <f>IF(LEFT(I2309,2)="MV",2*N2309*IF(L2309="1/C",O2309,1),0)</f>
        <v/>
      </c>
      <c r="Y2309" s="12">
        <f>IF(OR(LEFT(K2309,4)="LVAX",LEFT(K2309,6)="MV15AX",LEFT(K2309,4)="CTAX",LEFT(K2309,2)="W|"),2*N2309*O2309,0)</f>
        <v/>
      </c>
      <c r="Z2309" s="12" t="inlineStr">
        <is>
          <t>VD 2.3 %</t>
        </is>
      </c>
      <c r="AA2309" s="12">
        <f>N2309*O2309</f>
        <v/>
      </c>
    </row>
    <row r="2310">
      <c r="A2310" s="12" t="inlineStr">
        <is>
          <t>B-P-0134</t>
        </is>
      </c>
      <c r="B2310" s="12" t="inlineStr">
        <is>
          <t>B</t>
        </is>
      </c>
      <c r="C2310" s="12" t="inlineStr">
        <is>
          <t>ACC</t>
        </is>
      </c>
      <c r="D2310" s="12" t="inlineStr">
        <is>
          <t>Motor 1 of 2, 150 kW</t>
        </is>
      </c>
      <c r="E2310" s="12" t="inlineStr"/>
      <c r="F2310" s="12" t="inlineStr">
        <is>
          <t>R4 480 V switchgear + vacuum-pump MCC</t>
        </is>
      </c>
      <c r="G2310" s="12" t="inlineStr">
        <is>
          <t>CCW-A/B</t>
        </is>
      </c>
      <c r="H2310" s="12" t="inlineStr">
        <is>
          <t>CCW-A/B: closed cooling water pumps</t>
        </is>
      </c>
      <c r="I2310" s="12" t="inlineStr">
        <is>
          <t>LV 600 V</t>
        </is>
      </c>
      <c r="J2310" s="12" t="inlineStr">
        <is>
          <t>Type TC-ER 600 V 3/C Cu XHHW-2 + ground, PVC jacket</t>
        </is>
      </c>
      <c r="K2310" s="12" t="inlineStr">
        <is>
          <t>LV|3/C+G|350</t>
        </is>
      </c>
      <c r="L2310" s="12" t="inlineStr">
        <is>
          <t>3/C+G</t>
        </is>
      </c>
      <c r="M2310" s="12" t="inlineStr">
        <is>
          <t>350 kcmil</t>
        </is>
      </c>
      <c r="N2310" s="12" t="n">
        <v>1</v>
      </c>
      <c r="O2310" s="12" t="n">
        <v>1</v>
      </c>
      <c r="P2310" s="12" t="n">
        <v>480</v>
      </c>
      <c r="Q2310" s="12" t="n">
        <v>150</v>
      </c>
      <c r="R2310" s="12" t="n">
        <v>212.3</v>
      </c>
      <c r="S2310" s="12" t="inlineStr">
        <is>
          <t>Tray</t>
        </is>
      </c>
      <c r="T2310" s="16" t="n">
        <v>664</v>
      </c>
      <c r="U2310" s="16" t="n">
        <v>175</v>
      </c>
      <c r="V2310" s="16">
        <f>ROUNDUP((T2310+U2310+2*'Read Me'!$B$13)*(1+'Read Me'!$B$12),-1)</f>
        <v/>
      </c>
      <c r="W2310" s="16">
        <f>V2310*N2310*O2310</f>
        <v/>
      </c>
      <c r="X2310" s="12">
        <f>IF(LEFT(I2310,2)="MV",2*N2310*IF(L2310="1/C",O2310,1),0)</f>
        <v/>
      </c>
      <c r="Y2310" s="12">
        <f>IF(OR(LEFT(K2310,4)="LVAX",LEFT(K2310,6)="MV15AX",LEFT(K2310,4)="CTAX",LEFT(K2310,2)="W|"),2*N2310*O2310,0)</f>
        <v/>
      </c>
      <c r="Z2310" s="12" t="inlineStr">
        <is>
          <t>VD 2.6 %</t>
        </is>
      </c>
      <c r="AA2310" s="12">
        <f>N2310*O2310</f>
        <v/>
      </c>
    </row>
    <row r="2311">
      <c r="A2311" s="12" t="inlineStr">
        <is>
          <t>B-P-0135</t>
        </is>
      </c>
      <c r="B2311" s="12" t="inlineStr">
        <is>
          <t>B</t>
        </is>
      </c>
      <c r="C2311" s="12" t="inlineStr">
        <is>
          <t>ACC</t>
        </is>
      </c>
      <c r="D2311" s="12" t="inlineStr">
        <is>
          <t>Motor 2 of 2, 150 kW</t>
        </is>
      </c>
      <c r="E2311" s="12" t="inlineStr"/>
      <c r="F2311" s="12" t="inlineStr">
        <is>
          <t>R4 480 V switchgear + vacuum-pump MCC</t>
        </is>
      </c>
      <c r="G2311" s="12" t="inlineStr">
        <is>
          <t>CCW-A/B</t>
        </is>
      </c>
      <c r="H2311" s="12" t="inlineStr">
        <is>
          <t>CCW-A/B: closed cooling water pumps</t>
        </is>
      </c>
      <c r="I2311" s="12" t="inlineStr">
        <is>
          <t>LV 600 V</t>
        </is>
      </c>
      <c r="J2311" s="12" t="inlineStr">
        <is>
          <t>Type TC-ER 600 V 3/C Cu XHHW-2 + ground, PVC jacket</t>
        </is>
      </c>
      <c r="K2311" s="12" t="inlineStr">
        <is>
          <t>LV|3/C+G|350</t>
        </is>
      </c>
      <c r="L2311" s="12" t="inlineStr">
        <is>
          <t>3/C+G</t>
        </is>
      </c>
      <c r="M2311" s="12" t="inlineStr">
        <is>
          <t>350 kcmil</t>
        </is>
      </c>
      <c r="N2311" s="12" t="n">
        <v>1</v>
      </c>
      <c r="O2311" s="12" t="n">
        <v>1</v>
      </c>
      <c r="P2311" s="12" t="n">
        <v>480</v>
      </c>
      <c r="Q2311" s="12" t="n">
        <v>150</v>
      </c>
      <c r="R2311" s="12" t="n">
        <v>212.3</v>
      </c>
      <c r="S2311" s="12" t="inlineStr">
        <is>
          <t>Tray</t>
        </is>
      </c>
      <c r="T2311" s="16" t="n">
        <v>664</v>
      </c>
      <c r="U2311" s="16" t="n">
        <v>175</v>
      </c>
      <c r="V2311" s="16">
        <f>ROUNDUP((T2311+U2311+2*'Read Me'!$B$13)*(1+'Read Me'!$B$12),-1)</f>
        <v/>
      </c>
      <c r="W2311" s="16">
        <f>V2311*N2311*O2311</f>
        <v/>
      </c>
      <c r="X2311" s="12">
        <f>IF(LEFT(I2311,2)="MV",2*N2311*IF(L2311="1/C",O2311,1),0)</f>
        <v/>
      </c>
      <c r="Y2311" s="12">
        <f>IF(OR(LEFT(K2311,4)="LVAX",LEFT(K2311,6)="MV15AX",LEFT(K2311,4)="CTAX",LEFT(K2311,2)="W|"),2*N2311*O2311,0)</f>
        <v/>
      </c>
      <c r="Z2311" s="12" t="inlineStr">
        <is>
          <t>VD 2.6 %</t>
        </is>
      </c>
      <c r="AA2311" s="12">
        <f>N2311*O2311</f>
        <v/>
      </c>
    </row>
    <row r="2312">
      <c r="A2312" s="12" t="inlineStr">
        <is>
          <t>B-P-0136</t>
        </is>
      </c>
      <c r="B2312" s="12" t="inlineStr">
        <is>
          <t>B</t>
        </is>
      </c>
      <c r="C2312" s="12" t="inlineStr">
        <is>
          <t>ACC</t>
        </is>
      </c>
      <c r="D2312" s="12" t="inlineStr">
        <is>
          <t>LV power feeder</t>
        </is>
      </c>
      <c r="E2312" s="12" t="inlineStr"/>
      <c r="F2312" s="12" t="inlineStr">
        <is>
          <t>R4 480 V switchgear + vacuum-pump MCC</t>
        </is>
      </c>
      <c r="G2312" s="12" t="inlineStr"/>
      <c r="H2312" s="12" t="inlineStr">
        <is>
          <t>Condensate storage tank</t>
        </is>
      </c>
      <c r="I2312" s="12" t="inlineStr">
        <is>
          <t>LV 600 V</t>
        </is>
      </c>
      <c r="J2312" s="12" t="inlineStr">
        <is>
          <t>Type TC-ER 600 V 3/C Cu XHHW-2 + ground, PVC jacket</t>
        </is>
      </c>
      <c r="K2312" s="12" t="inlineStr">
        <is>
          <t>LV|3/C+G|8</t>
        </is>
      </c>
      <c r="L2312" s="12" t="inlineStr">
        <is>
          <t>3/C+G</t>
        </is>
      </c>
      <c r="M2312" s="12" t="inlineStr">
        <is>
          <t>8</t>
        </is>
      </c>
      <c r="N2312" s="12" t="n">
        <v>1</v>
      </c>
      <c r="O2312" s="12" t="n">
        <v>1</v>
      </c>
      <c r="P2312" s="12" t="n">
        <v>480</v>
      </c>
      <c r="Q2312" s="12" t="n">
        <v>10</v>
      </c>
      <c r="R2312" s="12" t="n">
        <v>14.2</v>
      </c>
      <c r="S2312" s="12" t="inlineStr">
        <is>
          <t>Tray</t>
        </is>
      </c>
      <c r="T2312" s="16" t="n">
        <v>398</v>
      </c>
      <c r="U2312" s="16" t="n">
        <v>113</v>
      </c>
      <c r="V2312" s="16">
        <f>ROUNDUP((T2312+U2312+2*'Read Me'!$B$13)*(1+'Read Me'!$B$12),-1)</f>
        <v/>
      </c>
      <c r="W2312" s="16">
        <f>V2312*N2312*O2312</f>
        <v/>
      </c>
      <c r="X2312" s="12">
        <f>IF(LEFT(I2312,2)="MV",2*N2312*IF(L2312="1/C",O2312,1),0)</f>
        <v/>
      </c>
      <c r="Y2312" s="12">
        <f>IF(OR(LEFT(K2312,4)="LVAX",LEFT(K2312,6)="MV15AX",LEFT(K2312,4)="CTAX",LEFT(K2312,2)="W|"),2*N2312*O2312,0)</f>
        <v/>
      </c>
      <c r="Z2312" s="12" t="inlineStr">
        <is>
          <t>VD 2.2 %</t>
        </is>
      </c>
      <c r="AA2312" s="12">
        <f>N2312*O2312</f>
        <v/>
      </c>
    </row>
    <row r="2313">
      <c r="A2313" s="12" t="inlineStr">
        <is>
          <t>B-P-0137</t>
        </is>
      </c>
      <c r="B2313" s="12" t="inlineStr">
        <is>
          <t>B</t>
        </is>
      </c>
      <c r="C2313" s="12" t="inlineStr">
        <is>
          <t>ACC</t>
        </is>
      </c>
      <c r="D2313" s="12" t="inlineStr">
        <is>
          <t>LV panel / distribution feeder</t>
        </is>
      </c>
      <c r="E2313" s="12" t="inlineStr"/>
      <c r="F2313" s="12" t="inlineStr">
        <is>
          <t>R4 480 V switchgear + vacuum-pump MCC</t>
        </is>
      </c>
      <c r="G2313" s="12" t="inlineStr">
        <is>
          <t>R4</t>
        </is>
      </c>
      <c r="H2313" s="12" t="inlineStr">
        <is>
          <t>R4: ACC electrical (VFD) e-house (60 x 120 ft)</t>
        </is>
      </c>
      <c r="I2313" s="12" t="inlineStr">
        <is>
          <t>LV 600 V</t>
        </is>
      </c>
      <c r="J2313" s="12" t="inlineStr">
        <is>
          <t>Type TC-ER 600 V 3/C Cu XHHW-2 + ground, PVC jacket</t>
        </is>
      </c>
      <c r="K2313" s="12" t="inlineStr">
        <is>
          <t>LV|3/C+G|2/0</t>
        </is>
      </c>
      <c r="L2313" s="12" t="inlineStr">
        <is>
          <t>3/C+G</t>
        </is>
      </c>
      <c r="M2313" s="12" t="inlineStr">
        <is>
          <t>2/0</t>
        </is>
      </c>
      <c r="N2313" s="12" t="n">
        <v>1</v>
      </c>
      <c r="O2313" s="12" t="n">
        <v>1</v>
      </c>
      <c r="P2313" s="12" t="n">
        <v>480</v>
      </c>
      <c r="Q2313" s="12" t="n">
        <v>86</v>
      </c>
      <c r="R2313" s="12" t="n">
        <v>121.7</v>
      </c>
      <c r="S2313" s="12" t="inlineStr">
        <is>
          <t>Tray</t>
        </is>
      </c>
      <c r="T2313" s="16" t="n">
        <v>0</v>
      </c>
      <c r="U2313" s="16" t="n">
        <v>54</v>
      </c>
      <c r="V2313" s="16">
        <f>ROUNDUP((T2313+U2313+2*'Read Me'!$B$13)*(1+'Read Me'!$B$12),-1)</f>
        <v/>
      </c>
      <c r="W2313" s="16">
        <f>V2313*N2313*O2313</f>
        <v/>
      </c>
      <c r="X2313" s="12">
        <f>IF(LEFT(I2313,2)="MV",2*N2313*IF(L2313="1/C",O2313,1),0)</f>
        <v/>
      </c>
      <c r="Y2313" s="12">
        <f>IF(OR(LEFT(K2313,4)="LVAX",LEFT(K2313,6)="MV15AX",LEFT(K2313,4)="CTAX",LEFT(K2313,2)="W|"),2*N2313*O2313,0)</f>
        <v/>
      </c>
      <c r="Z2313" s="12" t="inlineStr">
        <is>
          <t>VD 0.3 %</t>
        </is>
      </c>
      <c r="AA2313" s="12">
        <f>N2313*O2313</f>
        <v/>
      </c>
    </row>
    <row r="2314">
      <c r="A2314" s="12" t="inlineStr">
        <is>
          <t>B-P-0138</t>
        </is>
      </c>
      <c r="B2314" s="12" t="inlineStr">
        <is>
          <t>B</t>
        </is>
      </c>
      <c r="C2314" s="12" t="inlineStr">
        <is>
          <t>ACC</t>
        </is>
      </c>
      <c r="D2314" s="12" t="inlineStr">
        <is>
          <t>Motor 1 of 6, 2 kW</t>
        </is>
      </c>
      <c r="E2314" s="12" t="inlineStr"/>
      <c r="F2314" s="12" t="inlineStr">
        <is>
          <t>R4 480 V switchgear + vacuum-pump MCC</t>
        </is>
      </c>
      <c r="G2314" s="12" t="inlineStr"/>
      <c r="H2314" s="12" t="inlineStr">
        <is>
          <t>T-R4-1: 13.8/0.48 kV</t>
        </is>
      </c>
      <c r="I2314" s="12" t="inlineStr">
        <is>
          <t>LV 600 V</t>
        </is>
      </c>
      <c r="J2314" s="12" t="inlineStr">
        <is>
          <t>Type TC-ER 600 V 3/C Cu XHHW-2 + ground, PVC jacket</t>
        </is>
      </c>
      <c r="K2314" s="12" t="inlineStr">
        <is>
          <t>LV|3/C+G|10</t>
        </is>
      </c>
      <c r="L2314" s="12" t="inlineStr">
        <is>
          <t>3/C+G</t>
        </is>
      </c>
      <c r="M2314" s="12" t="inlineStr">
        <is>
          <t>10</t>
        </is>
      </c>
      <c r="N2314" s="12" t="n">
        <v>1</v>
      </c>
      <c r="O2314" s="12" t="n">
        <v>1</v>
      </c>
      <c r="P2314" s="12" t="n">
        <v>480</v>
      </c>
      <c r="Q2314" s="12" t="n">
        <v>2</v>
      </c>
      <c r="R2314" s="12" t="n">
        <v>2.8</v>
      </c>
      <c r="S2314" s="12" t="inlineStr">
        <is>
          <t>Duct bank</t>
        </is>
      </c>
      <c r="T2314" s="16" t="n">
        <v>160</v>
      </c>
      <c r="U2314" s="16" t="n">
        <v>64</v>
      </c>
      <c r="V2314" s="16">
        <f>ROUNDUP((T2314+U2314+2*'Read Me'!$B$13)*(1+'Read Me'!$B$12),-1)</f>
        <v/>
      </c>
      <c r="W2314" s="16">
        <f>V2314*N2314*O2314</f>
        <v/>
      </c>
      <c r="X2314" s="12">
        <f>IF(LEFT(I2314,2)="MV",2*N2314*IF(L2314="1/C",O2314,1),0)</f>
        <v/>
      </c>
      <c r="Y2314" s="12">
        <f>IF(OR(LEFT(K2314,4)="LVAX",LEFT(K2314,6)="MV15AX",LEFT(K2314,4)="CTAX",LEFT(K2314,2)="W|"),2*N2314*O2314,0)</f>
        <v/>
      </c>
      <c r="Z2314" s="12" t="inlineStr">
        <is>
          <t>VD 0.3 %</t>
        </is>
      </c>
      <c r="AA2314" s="12">
        <f>N2314*O2314</f>
        <v/>
      </c>
    </row>
    <row r="2315">
      <c r="A2315" s="12" t="inlineStr">
        <is>
          <t>B-P-0139</t>
        </is>
      </c>
      <c r="B2315" s="12" t="inlineStr">
        <is>
          <t>B</t>
        </is>
      </c>
      <c r="C2315" s="12" t="inlineStr">
        <is>
          <t>ACC</t>
        </is>
      </c>
      <c r="D2315" s="12" t="inlineStr">
        <is>
          <t>Motor 2 of 6, 2 kW</t>
        </is>
      </c>
      <c r="E2315" s="12" t="inlineStr"/>
      <c r="F2315" s="12" t="inlineStr">
        <is>
          <t>R4 480 V switchgear + vacuum-pump MCC</t>
        </is>
      </c>
      <c r="G2315" s="12" t="inlineStr"/>
      <c r="H2315" s="12" t="inlineStr">
        <is>
          <t>T-R4-1: 13.8/0.48 kV</t>
        </is>
      </c>
      <c r="I2315" s="12" t="inlineStr">
        <is>
          <t>LV 600 V</t>
        </is>
      </c>
      <c r="J2315" s="12" t="inlineStr">
        <is>
          <t>Type TC-ER 600 V 3/C Cu XHHW-2 + ground, PVC jacket</t>
        </is>
      </c>
      <c r="K2315" s="12" t="inlineStr">
        <is>
          <t>LV|3/C+G|10</t>
        </is>
      </c>
      <c r="L2315" s="12" t="inlineStr">
        <is>
          <t>3/C+G</t>
        </is>
      </c>
      <c r="M2315" s="12" t="inlineStr">
        <is>
          <t>10</t>
        </is>
      </c>
      <c r="N2315" s="12" t="n">
        <v>1</v>
      </c>
      <c r="O2315" s="12" t="n">
        <v>1</v>
      </c>
      <c r="P2315" s="12" t="n">
        <v>480</v>
      </c>
      <c r="Q2315" s="12" t="n">
        <v>2</v>
      </c>
      <c r="R2315" s="12" t="n">
        <v>2.8</v>
      </c>
      <c r="S2315" s="12" t="inlineStr">
        <is>
          <t>Duct bank</t>
        </is>
      </c>
      <c r="T2315" s="16" t="n">
        <v>160</v>
      </c>
      <c r="U2315" s="16" t="n">
        <v>64</v>
      </c>
      <c r="V2315" s="16">
        <f>ROUNDUP((T2315+U2315+2*'Read Me'!$B$13)*(1+'Read Me'!$B$12),-1)</f>
        <v/>
      </c>
      <c r="W2315" s="16">
        <f>V2315*N2315*O2315</f>
        <v/>
      </c>
      <c r="X2315" s="12">
        <f>IF(LEFT(I2315,2)="MV",2*N2315*IF(L2315="1/C",O2315,1),0)</f>
        <v/>
      </c>
      <c r="Y2315" s="12">
        <f>IF(OR(LEFT(K2315,4)="LVAX",LEFT(K2315,6)="MV15AX",LEFT(K2315,4)="CTAX",LEFT(K2315,2)="W|"),2*N2315*O2315,0)</f>
        <v/>
      </c>
      <c r="Z2315" s="12" t="inlineStr">
        <is>
          <t>VD 0.3 %</t>
        </is>
      </c>
      <c r="AA2315" s="12">
        <f>N2315*O2315</f>
        <v/>
      </c>
    </row>
    <row r="2316">
      <c r="A2316" s="12" t="inlineStr">
        <is>
          <t>B-P-0140</t>
        </is>
      </c>
      <c r="B2316" s="12" t="inlineStr">
        <is>
          <t>B</t>
        </is>
      </c>
      <c r="C2316" s="12" t="inlineStr">
        <is>
          <t>ACC</t>
        </is>
      </c>
      <c r="D2316" s="12" t="inlineStr">
        <is>
          <t>Motor 3 of 6, 2 kW</t>
        </is>
      </c>
      <c r="E2316" s="12" t="inlineStr"/>
      <c r="F2316" s="12" t="inlineStr">
        <is>
          <t>R4 480 V switchgear + vacuum-pump MCC</t>
        </is>
      </c>
      <c r="G2316" s="12" t="inlineStr"/>
      <c r="H2316" s="12" t="inlineStr">
        <is>
          <t>T-R4-1: 13.8/0.48 kV</t>
        </is>
      </c>
      <c r="I2316" s="12" t="inlineStr">
        <is>
          <t>LV 600 V</t>
        </is>
      </c>
      <c r="J2316" s="12" t="inlineStr">
        <is>
          <t>Type TC-ER 600 V 3/C Cu XHHW-2 + ground, PVC jacket</t>
        </is>
      </c>
      <c r="K2316" s="12" t="inlineStr">
        <is>
          <t>LV|3/C+G|10</t>
        </is>
      </c>
      <c r="L2316" s="12" t="inlineStr">
        <is>
          <t>3/C+G</t>
        </is>
      </c>
      <c r="M2316" s="12" t="inlineStr">
        <is>
          <t>10</t>
        </is>
      </c>
      <c r="N2316" s="12" t="n">
        <v>1</v>
      </c>
      <c r="O2316" s="12" t="n">
        <v>1</v>
      </c>
      <c r="P2316" s="12" t="n">
        <v>480</v>
      </c>
      <c r="Q2316" s="12" t="n">
        <v>2</v>
      </c>
      <c r="R2316" s="12" t="n">
        <v>2.8</v>
      </c>
      <c r="S2316" s="12" t="inlineStr">
        <is>
          <t>Duct bank</t>
        </is>
      </c>
      <c r="T2316" s="16" t="n">
        <v>160</v>
      </c>
      <c r="U2316" s="16" t="n">
        <v>64</v>
      </c>
      <c r="V2316" s="16">
        <f>ROUNDUP((T2316+U2316+2*'Read Me'!$B$13)*(1+'Read Me'!$B$12),-1)</f>
        <v/>
      </c>
      <c r="W2316" s="16">
        <f>V2316*N2316*O2316</f>
        <v/>
      </c>
      <c r="X2316" s="12">
        <f>IF(LEFT(I2316,2)="MV",2*N2316*IF(L2316="1/C",O2316,1),0)</f>
        <v/>
      </c>
      <c r="Y2316" s="12">
        <f>IF(OR(LEFT(K2316,4)="LVAX",LEFT(K2316,6)="MV15AX",LEFT(K2316,4)="CTAX",LEFT(K2316,2)="W|"),2*N2316*O2316,0)</f>
        <v/>
      </c>
      <c r="Z2316" s="12" t="inlineStr">
        <is>
          <t>VD 0.3 %</t>
        </is>
      </c>
      <c r="AA2316" s="12">
        <f>N2316*O2316</f>
        <v/>
      </c>
    </row>
    <row r="2317">
      <c r="A2317" s="12" t="inlineStr">
        <is>
          <t>B-P-0141</t>
        </is>
      </c>
      <c r="B2317" s="12" t="inlineStr">
        <is>
          <t>B</t>
        </is>
      </c>
      <c r="C2317" s="12" t="inlineStr">
        <is>
          <t>ACC</t>
        </is>
      </c>
      <c r="D2317" s="12" t="inlineStr">
        <is>
          <t>Motor 4 of 6, 2 kW</t>
        </is>
      </c>
      <c r="E2317" s="12" t="inlineStr"/>
      <c r="F2317" s="12" t="inlineStr">
        <is>
          <t>R4 480 V switchgear + vacuum-pump MCC</t>
        </is>
      </c>
      <c r="G2317" s="12" t="inlineStr"/>
      <c r="H2317" s="12" t="inlineStr">
        <is>
          <t>T-R4-1: 13.8/0.48 kV</t>
        </is>
      </c>
      <c r="I2317" s="12" t="inlineStr">
        <is>
          <t>LV 600 V</t>
        </is>
      </c>
      <c r="J2317" s="12" t="inlineStr">
        <is>
          <t>Type TC-ER 600 V 3/C Cu XHHW-2 + ground, PVC jacket</t>
        </is>
      </c>
      <c r="K2317" s="12" t="inlineStr">
        <is>
          <t>LV|3/C+G|10</t>
        </is>
      </c>
      <c r="L2317" s="12" t="inlineStr">
        <is>
          <t>3/C+G</t>
        </is>
      </c>
      <c r="M2317" s="12" t="inlineStr">
        <is>
          <t>10</t>
        </is>
      </c>
      <c r="N2317" s="12" t="n">
        <v>1</v>
      </c>
      <c r="O2317" s="12" t="n">
        <v>1</v>
      </c>
      <c r="P2317" s="12" t="n">
        <v>480</v>
      </c>
      <c r="Q2317" s="12" t="n">
        <v>2</v>
      </c>
      <c r="R2317" s="12" t="n">
        <v>2.8</v>
      </c>
      <c r="S2317" s="12" t="inlineStr">
        <is>
          <t>Duct bank</t>
        </is>
      </c>
      <c r="T2317" s="16" t="n">
        <v>160</v>
      </c>
      <c r="U2317" s="16" t="n">
        <v>64</v>
      </c>
      <c r="V2317" s="16">
        <f>ROUNDUP((T2317+U2317+2*'Read Me'!$B$13)*(1+'Read Me'!$B$12),-1)</f>
        <v/>
      </c>
      <c r="W2317" s="16">
        <f>V2317*N2317*O2317</f>
        <v/>
      </c>
      <c r="X2317" s="12">
        <f>IF(LEFT(I2317,2)="MV",2*N2317*IF(L2317="1/C",O2317,1),0)</f>
        <v/>
      </c>
      <c r="Y2317" s="12">
        <f>IF(OR(LEFT(K2317,4)="LVAX",LEFT(K2317,6)="MV15AX",LEFT(K2317,4)="CTAX",LEFT(K2317,2)="W|"),2*N2317*O2317,0)</f>
        <v/>
      </c>
      <c r="Z2317" s="12" t="inlineStr">
        <is>
          <t>VD 0.3 %</t>
        </is>
      </c>
      <c r="AA2317" s="12">
        <f>N2317*O2317</f>
        <v/>
      </c>
    </row>
    <row r="2318">
      <c r="A2318" s="12" t="inlineStr">
        <is>
          <t>B-P-0142</t>
        </is>
      </c>
      <c r="B2318" s="12" t="inlineStr">
        <is>
          <t>B</t>
        </is>
      </c>
      <c r="C2318" s="12" t="inlineStr">
        <is>
          <t>ACC</t>
        </is>
      </c>
      <c r="D2318" s="12" t="inlineStr">
        <is>
          <t>Motor 5 of 6, 2 kW</t>
        </is>
      </c>
      <c r="E2318" s="12" t="inlineStr"/>
      <c r="F2318" s="12" t="inlineStr">
        <is>
          <t>R4 480 V switchgear + vacuum-pump MCC</t>
        </is>
      </c>
      <c r="G2318" s="12" t="inlineStr"/>
      <c r="H2318" s="12" t="inlineStr">
        <is>
          <t>T-R4-1: 13.8/0.48 kV</t>
        </is>
      </c>
      <c r="I2318" s="12" t="inlineStr">
        <is>
          <t>LV 600 V</t>
        </is>
      </c>
      <c r="J2318" s="12" t="inlineStr">
        <is>
          <t>Type TC-ER 600 V 3/C Cu XHHW-2 + ground, PVC jacket</t>
        </is>
      </c>
      <c r="K2318" s="12" t="inlineStr">
        <is>
          <t>LV|3/C+G|10</t>
        </is>
      </c>
      <c r="L2318" s="12" t="inlineStr">
        <is>
          <t>3/C+G</t>
        </is>
      </c>
      <c r="M2318" s="12" t="inlineStr">
        <is>
          <t>10</t>
        </is>
      </c>
      <c r="N2318" s="12" t="n">
        <v>1</v>
      </c>
      <c r="O2318" s="12" t="n">
        <v>1</v>
      </c>
      <c r="P2318" s="12" t="n">
        <v>480</v>
      </c>
      <c r="Q2318" s="12" t="n">
        <v>2</v>
      </c>
      <c r="R2318" s="12" t="n">
        <v>2.8</v>
      </c>
      <c r="S2318" s="12" t="inlineStr">
        <is>
          <t>Duct bank</t>
        </is>
      </c>
      <c r="T2318" s="16" t="n">
        <v>160</v>
      </c>
      <c r="U2318" s="16" t="n">
        <v>64</v>
      </c>
      <c r="V2318" s="16">
        <f>ROUNDUP((T2318+U2318+2*'Read Me'!$B$13)*(1+'Read Me'!$B$12),-1)</f>
        <v/>
      </c>
      <c r="W2318" s="16">
        <f>V2318*N2318*O2318</f>
        <v/>
      </c>
      <c r="X2318" s="12">
        <f>IF(LEFT(I2318,2)="MV",2*N2318*IF(L2318="1/C",O2318,1),0)</f>
        <v/>
      </c>
      <c r="Y2318" s="12">
        <f>IF(OR(LEFT(K2318,4)="LVAX",LEFT(K2318,6)="MV15AX",LEFT(K2318,4)="CTAX",LEFT(K2318,2)="W|"),2*N2318*O2318,0)</f>
        <v/>
      </c>
      <c r="Z2318" s="12" t="inlineStr">
        <is>
          <t>VD 0.3 %</t>
        </is>
      </c>
      <c r="AA2318" s="12">
        <f>N2318*O2318</f>
        <v/>
      </c>
    </row>
    <row r="2319">
      <c r="A2319" s="12" t="inlineStr">
        <is>
          <t>B-P-0143</t>
        </is>
      </c>
      <c r="B2319" s="12" t="inlineStr">
        <is>
          <t>B</t>
        </is>
      </c>
      <c r="C2319" s="12" t="inlineStr">
        <is>
          <t>ACC</t>
        </is>
      </c>
      <c r="D2319" s="12" t="inlineStr">
        <is>
          <t>Motor 6 of 6, 2 kW</t>
        </is>
      </c>
      <c r="E2319" s="12" t="inlineStr"/>
      <c r="F2319" s="12" t="inlineStr">
        <is>
          <t>R4 480 V switchgear + vacuum-pump MCC</t>
        </is>
      </c>
      <c r="G2319" s="12" t="inlineStr"/>
      <c r="H2319" s="12" t="inlineStr">
        <is>
          <t>T-R4-1: 13.8/0.48 kV</t>
        </is>
      </c>
      <c r="I2319" s="12" t="inlineStr">
        <is>
          <t>LV 600 V</t>
        </is>
      </c>
      <c r="J2319" s="12" t="inlineStr">
        <is>
          <t>Type TC-ER 600 V 3/C Cu XHHW-2 + ground, PVC jacket</t>
        </is>
      </c>
      <c r="K2319" s="12" t="inlineStr">
        <is>
          <t>LV|3/C+G|10</t>
        </is>
      </c>
      <c r="L2319" s="12" t="inlineStr">
        <is>
          <t>3/C+G</t>
        </is>
      </c>
      <c r="M2319" s="12" t="inlineStr">
        <is>
          <t>10</t>
        </is>
      </c>
      <c r="N2319" s="12" t="n">
        <v>1</v>
      </c>
      <c r="O2319" s="12" t="n">
        <v>1</v>
      </c>
      <c r="P2319" s="12" t="n">
        <v>480</v>
      </c>
      <c r="Q2319" s="12" t="n">
        <v>2</v>
      </c>
      <c r="R2319" s="12" t="n">
        <v>2.8</v>
      </c>
      <c r="S2319" s="12" t="inlineStr">
        <is>
          <t>Duct bank</t>
        </is>
      </c>
      <c r="T2319" s="16" t="n">
        <v>160</v>
      </c>
      <c r="U2319" s="16" t="n">
        <v>64</v>
      </c>
      <c r="V2319" s="16">
        <f>ROUNDUP((T2319+U2319+2*'Read Me'!$B$13)*(1+'Read Me'!$B$12),-1)</f>
        <v/>
      </c>
      <c r="W2319" s="16">
        <f>V2319*N2319*O2319</f>
        <v/>
      </c>
      <c r="X2319" s="12">
        <f>IF(LEFT(I2319,2)="MV",2*N2319*IF(L2319="1/C",O2319,1),0)</f>
        <v/>
      </c>
      <c r="Y2319" s="12">
        <f>IF(OR(LEFT(K2319,4)="LVAX",LEFT(K2319,6)="MV15AX",LEFT(K2319,4)="CTAX",LEFT(K2319,2)="W|"),2*N2319*O2319,0)</f>
        <v/>
      </c>
      <c r="Z2319" s="12" t="inlineStr">
        <is>
          <t>VD 0.3 %</t>
        </is>
      </c>
      <c r="AA2319" s="12">
        <f>N2319*O2319</f>
        <v/>
      </c>
    </row>
    <row r="2320">
      <c r="A2320" s="12" t="inlineStr">
        <is>
          <t>B-P-0144</t>
        </is>
      </c>
      <c r="B2320" s="12" t="inlineStr">
        <is>
          <t>B</t>
        </is>
      </c>
      <c r="C2320" s="12" t="inlineStr">
        <is>
          <t>ACC</t>
        </is>
      </c>
      <c r="D2320" s="12" t="inlineStr">
        <is>
          <t>Motor 1 of 6, 2 kW</t>
        </is>
      </c>
      <c r="E2320" s="12" t="inlineStr"/>
      <c r="F2320" s="12" t="inlineStr">
        <is>
          <t>R4 480 V switchgear + vacuum-pump MCC</t>
        </is>
      </c>
      <c r="G2320" s="12" t="inlineStr"/>
      <c r="H2320" s="12" t="inlineStr">
        <is>
          <t>T-R4-2: 13.8/0.48 kV</t>
        </is>
      </c>
      <c r="I2320" s="12" t="inlineStr">
        <is>
          <t>LV 600 V</t>
        </is>
      </c>
      <c r="J2320" s="12" t="inlineStr">
        <is>
          <t>Type TC-ER 600 V 3/C Cu XHHW-2 + ground, PVC jacket</t>
        </is>
      </c>
      <c r="K2320" s="12" t="inlineStr">
        <is>
          <t>LV|3/C+G|10</t>
        </is>
      </c>
      <c r="L2320" s="12" t="inlineStr">
        <is>
          <t>3/C+G</t>
        </is>
      </c>
      <c r="M2320" s="12" t="inlineStr">
        <is>
          <t>10</t>
        </is>
      </c>
      <c r="N2320" s="12" t="n">
        <v>1</v>
      </c>
      <c r="O2320" s="12" t="n">
        <v>1</v>
      </c>
      <c r="P2320" s="12" t="n">
        <v>480</v>
      </c>
      <c r="Q2320" s="12" t="n">
        <v>2</v>
      </c>
      <c r="R2320" s="12" t="n">
        <v>2.8</v>
      </c>
      <c r="S2320" s="12" t="inlineStr">
        <is>
          <t>Duct bank</t>
        </is>
      </c>
      <c r="T2320" s="16" t="n">
        <v>186</v>
      </c>
      <c r="U2320" s="16" t="n">
        <v>64</v>
      </c>
      <c r="V2320" s="16">
        <f>ROUNDUP((T2320+U2320+2*'Read Me'!$B$13)*(1+'Read Me'!$B$12),-1)</f>
        <v/>
      </c>
      <c r="W2320" s="16">
        <f>V2320*N2320*O2320</f>
        <v/>
      </c>
      <c r="X2320" s="12">
        <f>IF(LEFT(I2320,2)="MV",2*N2320*IF(L2320="1/C",O2320,1),0)</f>
        <v/>
      </c>
      <c r="Y2320" s="12">
        <f>IF(OR(LEFT(K2320,4)="LVAX",LEFT(K2320,6)="MV15AX",LEFT(K2320,4)="CTAX",LEFT(K2320,2)="W|"),2*N2320*O2320,0)</f>
        <v/>
      </c>
      <c r="Z2320" s="12" t="inlineStr">
        <is>
          <t>VD 0.3 %</t>
        </is>
      </c>
      <c r="AA2320" s="12">
        <f>N2320*O2320</f>
        <v/>
      </c>
    </row>
    <row r="2321">
      <c r="A2321" s="12" t="inlineStr">
        <is>
          <t>B-P-0145</t>
        </is>
      </c>
      <c r="B2321" s="12" t="inlineStr">
        <is>
          <t>B</t>
        </is>
      </c>
      <c r="C2321" s="12" t="inlineStr">
        <is>
          <t>ACC</t>
        </is>
      </c>
      <c r="D2321" s="12" t="inlineStr">
        <is>
          <t>Motor 2 of 6, 2 kW</t>
        </is>
      </c>
      <c r="E2321" s="12" t="inlineStr"/>
      <c r="F2321" s="12" t="inlineStr">
        <is>
          <t>R4 480 V switchgear + vacuum-pump MCC</t>
        </is>
      </c>
      <c r="G2321" s="12" t="inlineStr"/>
      <c r="H2321" s="12" t="inlineStr">
        <is>
          <t>T-R4-2: 13.8/0.48 kV</t>
        </is>
      </c>
      <c r="I2321" s="12" t="inlineStr">
        <is>
          <t>LV 600 V</t>
        </is>
      </c>
      <c r="J2321" s="12" t="inlineStr">
        <is>
          <t>Type TC-ER 600 V 3/C Cu XHHW-2 + ground, PVC jacket</t>
        </is>
      </c>
      <c r="K2321" s="12" t="inlineStr">
        <is>
          <t>LV|3/C+G|10</t>
        </is>
      </c>
      <c r="L2321" s="12" t="inlineStr">
        <is>
          <t>3/C+G</t>
        </is>
      </c>
      <c r="M2321" s="12" t="inlineStr">
        <is>
          <t>10</t>
        </is>
      </c>
      <c r="N2321" s="12" t="n">
        <v>1</v>
      </c>
      <c r="O2321" s="12" t="n">
        <v>1</v>
      </c>
      <c r="P2321" s="12" t="n">
        <v>480</v>
      </c>
      <c r="Q2321" s="12" t="n">
        <v>2</v>
      </c>
      <c r="R2321" s="12" t="n">
        <v>2.8</v>
      </c>
      <c r="S2321" s="12" t="inlineStr">
        <is>
          <t>Duct bank</t>
        </is>
      </c>
      <c r="T2321" s="16" t="n">
        <v>186</v>
      </c>
      <c r="U2321" s="16" t="n">
        <v>64</v>
      </c>
      <c r="V2321" s="16">
        <f>ROUNDUP((T2321+U2321+2*'Read Me'!$B$13)*(1+'Read Me'!$B$12),-1)</f>
        <v/>
      </c>
      <c r="W2321" s="16">
        <f>V2321*N2321*O2321</f>
        <v/>
      </c>
      <c r="X2321" s="12">
        <f>IF(LEFT(I2321,2)="MV",2*N2321*IF(L2321="1/C",O2321,1),0)</f>
        <v/>
      </c>
      <c r="Y2321" s="12">
        <f>IF(OR(LEFT(K2321,4)="LVAX",LEFT(K2321,6)="MV15AX",LEFT(K2321,4)="CTAX",LEFT(K2321,2)="W|"),2*N2321*O2321,0)</f>
        <v/>
      </c>
      <c r="Z2321" s="12" t="inlineStr">
        <is>
          <t>VD 0.3 %</t>
        </is>
      </c>
      <c r="AA2321" s="12">
        <f>N2321*O2321</f>
        <v/>
      </c>
    </row>
    <row r="2322">
      <c r="A2322" s="12" t="inlineStr">
        <is>
          <t>B-P-0146</t>
        </is>
      </c>
      <c r="B2322" s="12" t="inlineStr">
        <is>
          <t>B</t>
        </is>
      </c>
      <c r="C2322" s="12" t="inlineStr">
        <is>
          <t>ACC</t>
        </is>
      </c>
      <c r="D2322" s="12" t="inlineStr">
        <is>
          <t>Motor 3 of 6, 2 kW</t>
        </is>
      </c>
      <c r="E2322" s="12" t="inlineStr"/>
      <c r="F2322" s="12" t="inlineStr">
        <is>
          <t>R4 480 V switchgear + vacuum-pump MCC</t>
        </is>
      </c>
      <c r="G2322" s="12" t="inlineStr"/>
      <c r="H2322" s="12" t="inlineStr">
        <is>
          <t>T-R4-2: 13.8/0.48 kV</t>
        </is>
      </c>
      <c r="I2322" s="12" t="inlineStr">
        <is>
          <t>LV 600 V</t>
        </is>
      </c>
      <c r="J2322" s="12" t="inlineStr">
        <is>
          <t>Type TC-ER 600 V 3/C Cu XHHW-2 + ground, PVC jacket</t>
        </is>
      </c>
      <c r="K2322" s="12" t="inlineStr">
        <is>
          <t>LV|3/C+G|10</t>
        </is>
      </c>
      <c r="L2322" s="12" t="inlineStr">
        <is>
          <t>3/C+G</t>
        </is>
      </c>
      <c r="M2322" s="12" t="inlineStr">
        <is>
          <t>10</t>
        </is>
      </c>
      <c r="N2322" s="12" t="n">
        <v>1</v>
      </c>
      <c r="O2322" s="12" t="n">
        <v>1</v>
      </c>
      <c r="P2322" s="12" t="n">
        <v>480</v>
      </c>
      <c r="Q2322" s="12" t="n">
        <v>2</v>
      </c>
      <c r="R2322" s="12" t="n">
        <v>2.8</v>
      </c>
      <c r="S2322" s="12" t="inlineStr">
        <is>
          <t>Duct bank</t>
        </is>
      </c>
      <c r="T2322" s="16" t="n">
        <v>186</v>
      </c>
      <c r="U2322" s="16" t="n">
        <v>64</v>
      </c>
      <c r="V2322" s="16">
        <f>ROUNDUP((T2322+U2322+2*'Read Me'!$B$13)*(1+'Read Me'!$B$12),-1)</f>
        <v/>
      </c>
      <c r="W2322" s="16">
        <f>V2322*N2322*O2322</f>
        <v/>
      </c>
      <c r="X2322" s="12">
        <f>IF(LEFT(I2322,2)="MV",2*N2322*IF(L2322="1/C",O2322,1),0)</f>
        <v/>
      </c>
      <c r="Y2322" s="12">
        <f>IF(OR(LEFT(K2322,4)="LVAX",LEFT(K2322,6)="MV15AX",LEFT(K2322,4)="CTAX",LEFT(K2322,2)="W|"),2*N2322*O2322,0)</f>
        <v/>
      </c>
      <c r="Z2322" s="12" t="inlineStr">
        <is>
          <t>VD 0.3 %</t>
        </is>
      </c>
      <c r="AA2322" s="12">
        <f>N2322*O2322</f>
        <v/>
      </c>
    </row>
    <row r="2323">
      <c r="A2323" s="12" t="inlineStr">
        <is>
          <t>B-P-0147</t>
        </is>
      </c>
      <c r="B2323" s="12" t="inlineStr">
        <is>
          <t>B</t>
        </is>
      </c>
      <c r="C2323" s="12" t="inlineStr">
        <is>
          <t>ACC</t>
        </is>
      </c>
      <c r="D2323" s="12" t="inlineStr">
        <is>
          <t>Motor 4 of 6, 2 kW</t>
        </is>
      </c>
      <c r="E2323" s="12" t="inlineStr"/>
      <c r="F2323" s="12" t="inlineStr">
        <is>
          <t>R4 480 V switchgear + vacuum-pump MCC</t>
        </is>
      </c>
      <c r="G2323" s="12" t="inlineStr"/>
      <c r="H2323" s="12" t="inlineStr">
        <is>
          <t>T-R4-2: 13.8/0.48 kV</t>
        </is>
      </c>
      <c r="I2323" s="12" t="inlineStr">
        <is>
          <t>LV 600 V</t>
        </is>
      </c>
      <c r="J2323" s="12" t="inlineStr">
        <is>
          <t>Type TC-ER 600 V 3/C Cu XHHW-2 + ground, PVC jacket</t>
        </is>
      </c>
      <c r="K2323" s="12" t="inlineStr">
        <is>
          <t>LV|3/C+G|10</t>
        </is>
      </c>
      <c r="L2323" s="12" t="inlineStr">
        <is>
          <t>3/C+G</t>
        </is>
      </c>
      <c r="M2323" s="12" t="inlineStr">
        <is>
          <t>10</t>
        </is>
      </c>
      <c r="N2323" s="12" t="n">
        <v>1</v>
      </c>
      <c r="O2323" s="12" t="n">
        <v>1</v>
      </c>
      <c r="P2323" s="12" t="n">
        <v>480</v>
      </c>
      <c r="Q2323" s="12" t="n">
        <v>2</v>
      </c>
      <c r="R2323" s="12" t="n">
        <v>2.8</v>
      </c>
      <c r="S2323" s="12" t="inlineStr">
        <is>
          <t>Duct bank</t>
        </is>
      </c>
      <c r="T2323" s="16" t="n">
        <v>186</v>
      </c>
      <c r="U2323" s="16" t="n">
        <v>64</v>
      </c>
      <c r="V2323" s="16">
        <f>ROUNDUP((T2323+U2323+2*'Read Me'!$B$13)*(1+'Read Me'!$B$12),-1)</f>
        <v/>
      </c>
      <c r="W2323" s="16">
        <f>V2323*N2323*O2323</f>
        <v/>
      </c>
      <c r="X2323" s="12">
        <f>IF(LEFT(I2323,2)="MV",2*N2323*IF(L2323="1/C",O2323,1),0)</f>
        <v/>
      </c>
      <c r="Y2323" s="12">
        <f>IF(OR(LEFT(K2323,4)="LVAX",LEFT(K2323,6)="MV15AX",LEFT(K2323,4)="CTAX",LEFT(K2323,2)="W|"),2*N2323*O2323,0)</f>
        <v/>
      </c>
      <c r="Z2323" s="12" t="inlineStr">
        <is>
          <t>VD 0.3 %</t>
        </is>
      </c>
      <c r="AA2323" s="12">
        <f>N2323*O2323</f>
        <v/>
      </c>
    </row>
    <row r="2324">
      <c r="A2324" s="12" t="inlineStr">
        <is>
          <t>B-P-0148</t>
        </is>
      </c>
      <c r="B2324" s="12" t="inlineStr">
        <is>
          <t>B</t>
        </is>
      </c>
      <c r="C2324" s="12" t="inlineStr">
        <is>
          <t>ACC</t>
        </is>
      </c>
      <c r="D2324" s="12" t="inlineStr">
        <is>
          <t>Motor 5 of 6, 2 kW</t>
        </is>
      </c>
      <c r="E2324" s="12" t="inlineStr"/>
      <c r="F2324" s="12" t="inlineStr">
        <is>
          <t>R4 480 V switchgear + vacuum-pump MCC</t>
        </is>
      </c>
      <c r="G2324" s="12" t="inlineStr"/>
      <c r="H2324" s="12" t="inlineStr">
        <is>
          <t>T-R4-2: 13.8/0.48 kV</t>
        </is>
      </c>
      <c r="I2324" s="12" t="inlineStr">
        <is>
          <t>LV 600 V</t>
        </is>
      </c>
      <c r="J2324" s="12" t="inlineStr">
        <is>
          <t>Type TC-ER 600 V 3/C Cu XHHW-2 + ground, PVC jacket</t>
        </is>
      </c>
      <c r="K2324" s="12" t="inlineStr">
        <is>
          <t>LV|3/C+G|10</t>
        </is>
      </c>
      <c r="L2324" s="12" t="inlineStr">
        <is>
          <t>3/C+G</t>
        </is>
      </c>
      <c r="M2324" s="12" t="inlineStr">
        <is>
          <t>10</t>
        </is>
      </c>
      <c r="N2324" s="12" t="n">
        <v>1</v>
      </c>
      <c r="O2324" s="12" t="n">
        <v>1</v>
      </c>
      <c r="P2324" s="12" t="n">
        <v>480</v>
      </c>
      <c r="Q2324" s="12" t="n">
        <v>2</v>
      </c>
      <c r="R2324" s="12" t="n">
        <v>2.8</v>
      </c>
      <c r="S2324" s="12" t="inlineStr">
        <is>
          <t>Duct bank</t>
        </is>
      </c>
      <c r="T2324" s="16" t="n">
        <v>186</v>
      </c>
      <c r="U2324" s="16" t="n">
        <v>64</v>
      </c>
      <c r="V2324" s="16">
        <f>ROUNDUP((T2324+U2324+2*'Read Me'!$B$13)*(1+'Read Me'!$B$12),-1)</f>
        <v/>
      </c>
      <c r="W2324" s="16">
        <f>V2324*N2324*O2324</f>
        <v/>
      </c>
      <c r="X2324" s="12">
        <f>IF(LEFT(I2324,2)="MV",2*N2324*IF(L2324="1/C",O2324,1),0)</f>
        <v/>
      </c>
      <c r="Y2324" s="12">
        <f>IF(OR(LEFT(K2324,4)="LVAX",LEFT(K2324,6)="MV15AX",LEFT(K2324,4)="CTAX",LEFT(K2324,2)="W|"),2*N2324*O2324,0)</f>
        <v/>
      </c>
      <c r="Z2324" s="12" t="inlineStr">
        <is>
          <t>VD 0.3 %</t>
        </is>
      </c>
      <c r="AA2324" s="12">
        <f>N2324*O2324</f>
        <v/>
      </c>
    </row>
    <row r="2325">
      <c r="A2325" s="12" t="inlineStr">
        <is>
          <t>B-P-0149</t>
        </is>
      </c>
      <c r="B2325" s="12" t="inlineStr">
        <is>
          <t>B</t>
        </is>
      </c>
      <c r="C2325" s="12" t="inlineStr">
        <is>
          <t>ACC</t>
        </is>
      </c>
      <c r="D2325" s="12" t="inlineStr">
        <is>
          <t>Motor 6 of 6, 2 kW</t>
        </is>
      </c>
      <c r="E2325" s="12" t="inlineStr"/>
      <c r="F2325" s="12" t="inlineStr">
        <is>
          <t>R4 480 V switchgear + vacuum-pump MCC</t>
        </is>
      </c>
      <c r="G2325" s="12" t="inlineStr"/>
      <c r="H2325" s="12" t="inlineStr">
        <is>
          <t>T-R4-2: 13.8/0.48 kV</t>
        </is>
      </c>
      <c r="I2325" s="12" t="inlineStr">
        <is>
          <t>LV 600 V</t>
        </is>
      </c>
      <c r="J2325" s="12" t="inlineStr">
        <is>
          <t>Type TC-ER 600 V 3/C Cu XHHW-2 + ground, PVC jacket</t>
        </is>
      </c>
      <c r="K2325" s="12" t="inlineStr">
        <is>
          <t>LV|3/C+G|10</t>
        </is>
      </c>
      <c r="L2325" s="12" t="inlineStr">
        <is>
          <t>3/C+G</t>
        </is>
      </c>
      <c r="M2325" s="12" t="inlineStr">
        <is>
          <t>10</t>
        </is>
      </c>
      <c r="N2325" s="12" t="n">
        <v>1</v>
      </c>
      <c r="O2325" s="12" t="n">
        <v>1</v>
      </c>
      <c r="P2325" s="12" t="n">
        <v>480</v>
      </c>
      <c r="Q2325" s="12" t="n">
        <v>2</v>
      </c>
      <c r="R2325" s="12" t="n">
        <v>2.8</v>
      </c>
      <c r="S2325" s="12" t="inlineStr">
        <is>
          <t>Duct bank</t>
        </is>
      </c>
      <c r="T2325" s="16" t="n">
        <v>186</v>
      </c>
      <c r="U2325" s="16" t="n">
        <v>64</v>
      </c>
      <c r="V2325" s="16">
        <f>ROUNDUP((T2325+U2325+2*'Read Me'!$B$13)*(1+'Read Me'!$B$12),-1)</f>
        <v/>
      </c>
      <c r="W2325" s="16">
        <f>V2325*N2325*O2325</f>
        <v/>
      </c>
      <c r="X2325" s="12">
        <f>IF(LEFT(I2325,2)="MV",2*N2325*IF(L2325="1/C",O2325,1),0)</f>
        <v/>
      </c>
      <c r="Y2325" s="12">
        <f>IF(OR(LEFT(K2325,4)="LVAX",LEFT(K2325,6)="MV15AX",LEFT(K2325,4)="CTAX",LEFT(K2325,2)="W|"),2*N2325*O2325,0)</f>
        <v/>
      </c>
      <c r="Z2325" s="12" t="inlineStr">
        <is>
          <t>VD 0.3 %</t>
        </is>
      </c>
      <c r="AA2325" s="12">
        <f>N2325*O2325</f>
        <v/>
      </c>
    </row>
    <row r="2326">
      <c r="A2326" s="12" t="inlineStr">
        <is>
          <t>B-P-0150</t>
        </is>
      </c>
      <c r="B2326" s="12" t="inlineStr">
        <is>
          <t>B</t>
        </is>
      </c>
      <c r="C2326" s="12" t="inlineStr">
        <is>
          <t>ACC</t>
        </is>
      </c>
      <c r="D2326" s="12" t="inlineStr">
        <is>
          <t>Motor 1 of 6, 2 kW</t>
        </is>
      </c>
      <c r="E2326" s="12" t="inlineStr"/>
      <c r="F2326" s="12" t="inlineStr">
        <is>
          <t>R4 480 V switchgear + vacuum-pump MCC</t>
        </is>
      </c>
      <c r="G2326" s="12" t="inlineStr"/>
      <c r="H2326" s="12" t="inlineStr">
        <is>
          <t>T-R4-3: 13.8/0.48 kV</t>
        </is>
      </c>
      <c r="I2326" s="12" t="inlineStr">
        <is>
          <t>LV 600 V</t>
        </is>
      </c>
      <c r="J2326" s="12" t="inlineStr">
        <is>
          <t>Type TC-ER 600 V 3/C Cu XHHW-2 + ground, PVC jacket</t>
        </is>
      </c>
      <c r="K2326" s="12" t="inlineStr">
        <is>
          <t>LV|3/C+G|10</t>
        </is>
      </c>
      <c r="L2326" s="12" t="inlineStr">
        <is>
          <t>3/C+G</t>
        </is>
      </c>
      <c r="M2326" s="12" t="inlineStr">
        <is>
          <t>10</t>
        </is>
      </c>
      <c r="N2326" s="12" t="n">
        <v>1</v>
      </c>
      <c r="O2326" s="12" t="n">
        <v>1</v>
      </c>
      <c r="P2326" s="12" t="n">
        <v>480</v>
      </c>
      <c r="Q2326" s="12" t="n">
        <v>2</v>
      </c>
      <c r="R2326" s="12" t="n">
        <v>2.8</v>
      </c>
      <c r="S2326" s="12" t="inlineStr">
        <is>
          <t>Duct bank</t>
        </is>
      </c>
      <c r="T2326" s="16" t="n">
        <v>215</v>
      </c>
      <c r="U2326" s="16" t="n">
        <v>51</v>
      </c>
      <c r="V2326" s="16">
        <f>ROUNDUP((T2326+U2326+2*'Read Me'!$B$13)*(1+'Read Me'!$B$12),-1)</f>
        <v/>
      </c>
      <c r="W2326" s="16">
        <f>V2326*N2326*O2326</f>
        <v/>
      </c>
      <c r="X2326" s="12">
        <f>IF(LEFT(I2326,2)="MV",2*N2326*IF(L2326="1/C",O2326,1),0)</f>
        <v/>
      </c>
      <c r="Y2326" s="12">
        <f>IF(OR(LEFT(K2326,4)="LVAX",LEFT(K2326,6)="MV15AX",LEFT(K2326,4)="CTAX",LEFT(K2326,2)="W|"),2*N2326*O2326,0)</f>
        <v/>
      </c>
      <c r="Z2326" s="12" t="inlineStr">
        <is>
          <t>VD 0.4 %</t>
        </is>
      </c>
      <c r="AA2326" s="12">
        <f>N2326*O2326</f>
        <v/>
      </c>
    </row>
    <row r="2327">
      <c r="A2327" s="12" t="inlineStr">
        <is>
          <t>B-P-0151</t>
        </is>
      </c>
      <c r="B2327" s="12" t="inlineStr">
        <is>
          <t>B</t>
        </is>
      </c>
      <c r="C2327" s="12" t="inlineStr">
        <is>
          <t>ACC</t>
        </is>
      </c>
      <c r="D2327" s="12" t="inlineStr">
        <is>
          <t>Motor 2 of 6, 2 kW</t>
        </is>
      </c>
      <c r="E2327" s="12" t="inlineStr"/>
      <c r="F2327" s="12" t="inlineStr">
        <is>
          <t>R4 480 V switchgear + vacuum-pump MCC</t>
        </is>
      </c>
      <c r="G2327" s="12" t="inlineStr"/>
      <c r="H2327" s="12" t="inlineStr">
        <is>
          <t>T-R4-3: 13.8/0.48 kV</t>
        </is>
      </c>
      <c r="I2327" s="12" t="inlineStr">
        <is>
          <t>LV 600 V</t>
        </is>
      </c>
      <c r="J2327" s="12" t="inlineStr">
        <is>
          <t>Type TC-ER 600 V 3/C Cu XHHW-2 + ground, PVC jacket</t>
        </is>
      </c>
      <c r="K2327" s="12" t="inlineStr">
        <is>
          <t>LV|3/C+G|10</t>
        </is>
      </c>
      <c r="L2327" s="12" t="inlineStr">
        <is>
          <t>3/C+G</t>
        </is>
      </c>
      <c r="M2327" s="12" t="inlineStr">
        <is>
          <t>10</t>
        </is>
      </c>
      <c r="N2327" s="12" t="n">
        <v>1</v>
      </c>
      <c r="O2327" s="12" t="n">
        <v>1</v>
      </c>
      <c r="P2327" s="12" t="n">
        <v>480</v>
      </c>
      <c r="Q2327" s="12" t="n">
        <v>2</v>
      </c>
      <c r="R2327" s="12" t="n">
        <v>2.8</v>
      </c>
      <c r="S2327" s="12" t="inlineStr">
        <is>
          <t>Duct bank</t>
        </is>
      </c>
      <c r="T2327" s="16" t="n">
        <v>215</v>
      </c>
      <c r="U2327" s="16" t="n">
        <v>51</v>
      </c>
      <c r="V2327" s="16">
        <f>ROUNDUP((T2327+U2327+2*'Read Me'!$B$13)*(1+'Read Me'!$B$12),-1)</f>
        <v/>
      </c>
      <c r="W2327" s="16">
        <f>V2327*N2327*O2327</f>
        <v/>
      </c>
      <c r="X2327" s="12">
        <f>IF(LEFT(I2327,2)="MV",2*N2327*IF(L2327="1/C",O2327,1),0)</f>
        <v/>
      </c>
      <c r="Y2327" s="12">
        <f>IF(OR(LEFT(K2327,4)="LVAX",LEFT(K2327,6)="MV15AX",LEFT(K2327,4)="CTAX",LEFT(K2327,2)="W|"),2*N2327*O2327,0)</f>
        <v/>
      </c>
      <c r="Z2327" s="12" t="inlineStr">
        <is>
          <t>VD 0.4 %</t>
        </is>
      </c>
      <c r="AA2327" s="12">
        <f>N2327*O2327</f>
        <v/>
      </c>
    </row>
    <row r="2328">
      <c r="A2328" s="12" t="inlineStr">
        <is>
          <t>B-P-0152</t>
        </is>
      </c>
      <c r="B2328" s="12" t="inlineStr">
        <is>
          <t>B</t>
        </is>
      </c>
      <c r="C2328" s="12" t="inlineStr">
        <is>
          <t>ACC</t>
        </is>
      </c>
      <c r="D2328" s="12" t="inlineStr">
        <is>
          <t>Motor 3 of 6, 2 kW</t>
        </is>
      </c>
      <c r="E2328" s="12" t="inlineStr"/>
      <c r="F2328" s="12" t="inlineStr">
        <is>
          <t>R4 480 V switchgear + vacuum-pump MCC</t>
        </is>
      </c>
      <c r="G2328" s="12" t="inlineStr"/>
      <c r="H2328" s="12" t="inlineStr">
        <is>
          <t>T-R4-3: 13.8/0.48 kV</t>
        </is>
      </c>
      <c r="I2328" s="12" t="inlineStr">
        <is>
          <t>LV 600 V</t>
        </is>
      </c>
      <c r="J2328" s="12" t="inlineStr">
        <is>
          <t>Type TC-ER 600 V 3/C Cu XHHW-2 + ground, PVC jacket</t>
        </is>
      </c>
      <c r="K2328" s="12" t="inlineStr">
        <is>
          <t>LV|3/C+G|10</t>
        </is>
      </c>
      <c r="L2328" s="12" t="inlineStr">
        <is>
          <t>3/C+G</t>
        </is>
      </c>
      <c r="M2328" s="12" t="inlineStr">
        <is>
          <t>10</t>
        </is>
      </c>
      <c r="N2328" s="12" t="n">
        <v>1</v>
      </c>
      <c r="O2328" s="12" t="n">
        <v>1</v>
      </c>
      <c r="P2328" s="12" t="n">
        <v>480</v>
      </c>
      <c r="Q2328" s="12" t="n">
        <v>2</v>
      </c>
      <c r="R2328" s="12" t="n">
        <v>2.8</v>
      </c>
      <c r="S2328" s="12" t="inlineStr">
        <is>
          <t>Duct bank</t>
        </is>
      </c>
      <c r="T2328" s="16" t="n">
        <v>215</v>
      </c>
      <c r="U2328" s="16" t="n">
        <v>51</v>
      </c>
      <c r="V2328" s="16">
        <f>ROUNDUP((T2328+U2328+2*'Read Me'!$B$13)*(1+'Read Me'!$B$12),-1)</f>
        <v/>
      </c>
      <c r="W2328" s="16">
        <f>V2328*N2328*O2328</f>
        <v/>
      </c>
      <c r="X2328" s="12">
        <f>IF(LEFT(I2328,2)="MV",2*N2328*IF(L2328="1/C",O2328,1),0)</f>
        <v/>
      </c>
      <c r="Y2328" s="12">
        <f>IF(OR(LEFT(K2328,4)="LVAX",LEFT(K2328,6)="MV15AX",LEFT(K2328,4)="CTAX",LEFT(K2328,2)="W|"),2*N2328*O2328,0)</f>
        <v/>
      </c>
      <c r="Z2328" s="12" t="inlineStr">
        <is>
          <t>VD 0.4 %</t>
        </is>
      </c>
      <c r="AA2328" s="12">
        <f>N2328*O2328</f>
        <v/>
      </c>
    </row>
    <row r="2329">
      <c r="A2329" s="12" t="inlineStr">
        <is>
          <t>B-P-0153</t>
        </is>
      </c>
      <c r="B2329" s="12" t="inlineStr">
        <is>
          <t>B</t>
        </is>
      </c>
      <c r="C2329" s="12" t="inlineStr">
        <is>
          <t>ACC</t>
        </is>
      </c>
      <c r="D2329" s="12" t="inlineStr">
        <is>
          <t>Motor 4 of 6, 2 kW</t>
        </is>
      </c>
      <c r="E2329" s="12" t="inlineStr"/>
      <c r="F2329" s="12" t="inlineStr">
        <is>
          <t>R4 480 V switchgear + vacuum-pump MCC</t>
        </is>
      </c>
      <c r="G2329" s="12" t="inlineStr"/>
      <c r="H2329" s="12" t="inlineStr">
        <is>
          <t>T-R4-3: 13.8/0.48 kV</t>
        </is>
      </c>
      <c r="I2329" s="12" t="inlineStr">
        <is>
          <t>LV 600 V</t>
        </is>
      </c>
      <c r="J2329" s="12" t="inlineStr">
        <is>
          <t>Type TC-ER 600 V 3/C Cu XHHW-2 + ground, PVC jacket</t>
        </is>
      </c>
      <c r="K2329" s="12" t="inlineStr">
        <is>
          <t>LV|3/C+G|10</t>
        </is>
      </c>
      <c r="L2329" s="12" t="inlineStr">
        <is>
          <t>3/C+G</t>
        </is>
      </c>
      <c r="M2329" s="12" t="inlineStr">
        <is>
          <t>10</t>
        </is>
      </c>
      <c r="N2329" s="12" t="n">
        <v>1</v>
      </c>
      <c r="O2329" s="12" t="n">
        <v>1</v>
      </c>
      <c r="P2329" s="12" t="n">
        <v>480</v>
      </c>
      <c r="Q2329" s="12" t="n">
        <v>2</v>
      </c>
      <c r="R2329" s="12" t="n">
        <v>2.8</v>
      </c>
      <c r="S2329" s="12" t="inlineStr">
        <is>
          <t>Duct bank</t>
        </is>
      </c>
      <c r="T2329" s="16" t="n">
        <v>215</v>
      </c>
      <c r="U2329" s="16" t="n">
        <v>51</v>
      </c>
      <c r="V2329" s="16">
        <f>ROUNDUP((T2329+U2329+2*'Read Me'!$B$13)*(1+'Read Me'!$B$12),-1)</f>
        <v/>
      </c>
      <c r="W2329" s="16">
        <f>V2329*N2329*O2329</f>
        <v/>
      </c>
      <c r="X2329" s="12">
        <f>IF(LEFT(I2329,2)="MV",2*N2329*IF(L2329="1/C",O2329,1),0)</f>
        <v/>
      </c>
      <c r="Y2329" s="12">
        <f>IF(OR(LEFT(K2329,4)="LVAX",LEFT(K2329,6)="MV15AX",LEFT(K2329,4)="CTAX",LEFT(K2329,2)="W|"),2*N2329*O2329,0)</f>
        <v/>
      </c>
      <c r="Z2329" s="12" t="inlineStr">
        <is>
          <t>VD 0.4 %</t>
        </is>
      </c>
      <c r="AA2329" s="12">
        <f>N2329*O2329</f>
        <v/>
      </c>
    </row>
    <row r="2330">
      <c r="A2330" s="12" t="inlineStr">
        <is>
          <t>B-P-0154</t>
        </is>
      </c>
      <c r="B2330" s="12" t="inlineStr">
        <is>
          <t>B</t>
        </is>
      </c>
      <c r="C2330" s="12" t="inlineStr">
        <is>
          <t>ACC</t>
        </is>
      </c>
      <c r="D2330" s="12" t="inlineStr">
        <is>
          <t>Motor 5 of 6, 2 kW</t>
        </is>
      </c>
      <c r="E2330" s="12" t="inlineStr"/>
      <c r="F2330" s="12" t="inlineStr">
        <is>
          <t>R4 480 V switchgear + vacuum-pump MCC</t>
        </is>
      </c>
      <c r="G2330" s="12" t="inlineStr"/>
      <c r="H2330" s="12" t="inlineStr">
        <is>
          <t>T-R4-3: 13.8/0.48 kV</t>
        </is>
      </c>
      <c r="I2330" s="12" t="inlineStr">
        <is>
          <t>LV 600 V</t>
        </is>
      </c>
      <c r="J2330" s="12" t="inlineStr">
        <is>
          <t>Type TC-ER 600 V 3/C Cu XHHW-2 + ground, PVC jacket</t>
        </is>
      </c>
      <c r="K2330" s="12" t="inlineStr">
        <is>
          <t>LV|3/C+G|10</t>
        </is>
      </c>
      <c r="L2330" s="12" t="inlineStr">
        <is>
          <t>3/C+G</t>
        </is>
      </c>
      <c r="M2330" s="12" t="inlineStr">
        <is>
          <t>10</t>
        </is>
      </c>
      <c r="N2330" s="12" t="n">
        <v>1</v>
      </c>
      <c r="O2330" s="12" t="n">
        <v>1</v>
      </c>
      <c r="P2330" s="12" t="n">
        <v>480</v>
      </c>
      <c r="Q2330" s="12" t="n">
        <v>2</v>
      </c>
      <c r="R2330" s="12" t="n">
        <v>2.8</v>
      </c>
      <c r="S2330" s="12" t="inlineStr">
        <is>
          <t>Duct bank</t>
        </is>
      </c>
      <c r="T2330" s="16" t="n">
        <v>215</v>
      </c>
      <c r="U2330" s="16" t="n">
        <v>51</v>
      </c>
      <c r="V2330" s="16">
        <f>ROUNDUP((T2330+U2330+2*'Read Me'!$B$13)*(1+'Read Me'!$B$12),-1)</f>
        <v/>
      </c>
      <c r="W2330" s="16">
        <f>V2330*N2330*O2330</f>
        <v/>
      </c>
      <c r="X2330" s="12">
        <f>IF(LEFT(I2330,2)="MV",2*N2330*IF(L2330="1/C",O2330,1),0)</f>
        <v/>
      </c>
      <c r="Y2330" s="12">
        <f>IF(OR(LEFT(K2330,4)="LVAX",LEFT(K2330,6)="MV15AX",LEFT(K2330,4)="CTAX",LEFT(K2330,2)="W|"),2*N2330*O2330,0)</f>
        <v/>
      </c>
      <c r="Z2330" s="12" t="inlineStr">
        <is>
          <t>VD 0.4 %</t>
        </is>
      </c>
      <c r="AA2330" s="12">
        <f>N2330*O2330</f>
        <v/>
      </c>
    </row>
    <row r="2331">
      <c r="A2331" s="12" t="inlineStr">
        <is>
          <t>B-P-0155</t>
        </is>
      </c>
      <c r="B2331" s="12" t="inlineStr">
        <is>
          <t>B</t>
        </is>
      </c>
      <c r="C2331" s="12" t="inlineStr">
        <is>
          <t>ACC</t>
        </is>
      </c>
      <c r="D2331" s="12" t="inlineStr">
        <is>
          <t>Motor 6 of 6, 2 kW</t>
        </is>
      </c>
      <c r="E2331" s="12" t="inlineStr"/>
      <c r="F2331" s="12" t="inlineStr">
        <is>
          <t>R4 480 V switchgear + vacuum-pump MCC</t>
        </is>
      </c>
      <c r="G2331" s="12" t="inlineStr"/>
      <c r="H2331" s="12" t="inlineStr">
        <is>
          <t>T-R4-3: 13.8/0.48 kV</t>
        </is>
      </c>
      <c r="I2331" s="12" t="inlineStr">
        <is>
          <t>LV 600 V</t>
        </is>
      </c>
      <c r="J2331" s="12" t="inlineStr">
        <is>
          <t>Type TC-ER 600 V 3/C Cu XHHW-2 + ground, PVC jacket</t>
        </is>
      </c>
      <c r="K2331" s="12" t="inlineStr">
        <is>
          <t>LV|3/C+G|10</t>
        </is>
      </c>
      <c r="L2331" s="12" t="inlineStr">
        <is>
          <t>3/C+G</t>
        </is>
      </c>
      <c r="M2331" s="12" t="inlineStr">
        <is>
          <t>10</t>
        </is>
      </c>
      <c r="N2331" s="12" t="n">
        <v>1</v>
      </c>
      <c r="O2331" s="12" t="n">
        <v>1</v>
      </c>
      <c r="P2331" s="12" t="n">
        <v>480</v>
      </c>
      <c r="Q2331" s="12" t="n">
        <v>2</v>
      </c>
      <c r="R2331" s="12" t="n">
        <v>2.8</v>
      </c>
      <c r="S2331" s="12" t="inlineStr">
        <is>
          <t>Duct bank</t>
        </is>
      </c>
      <c r="T2331" s="16" t="n">
        <v>215</v>
      </c>
      <c r="U2331" s="16" t="n">
        <v>51</v>
      </c>
      <c r="V2331" s="16">
        <f>ROUNDUP((T2331+U2331+2*'Read Me'!$B$13)*(1+'Read Me'!$B$12),-1)</f>
        <v/>
      </c>
      <c r="W2331" s="16">
        <f>V2331*N2331*O2331</f>
        <v/>
      </c>
      <c r="X2331" s="12">
        <f>IF(LEFT(I2331,2)="MV",2*N2331*IF(L2331="1/C",O2331,1),0)</f>
        <v/>
      </c>
      <c r="Y2331" s="12">
        <f>IF(OR(LEFT(K2331,4)="LVAX",LEFT(K2331,6)="MV15AX",LEFT(K2331,4)="CTAX",LEFT(K2331,2)="W|"),2*N2331*O2331,0)</f>
        <v/>
      </c>
      <c r="Z2331" s="12" t="inlineStr">
        <is>
          <t>VD 0.4 %</t>
        </is>
      </c>
      <c r="AA2331" s="12">
        <f>N2331*O2331</f>
        <v/>
      </c>
    </row>
    <row r="2332">
      <c r="A2332" s="12" t="inlineStr">
        <is>
          <t>B-P-0156</t>
        </is>
      </c>
      <c r="B2332" s="12" t="inlineStr">
        <is>
          <t>B</t>
        </is>
      </c>
      <c r="C2332" s="12" t="inlineStr">
        <is>
          <t>ACC</t>
        </is>
      </c>
      <c r="D2332" s="12" t="inlineStr">
        <is>
          <t>Motor 1 of 6, 2 kW</t>
        </is>
      </c>
      <c r="E2332" s="12" t="inlineStr"/>
      <c r="F2332" s="12" t="inlineStr">
        <is>
          <t>R4 480 V switchgear + vacuum-pump MCC</t>
        </is>
      </c>
      <c r="G2332" s="12" t="inlineStr"/>
      <c r="H2332" s="12" t="inlineStr">
        <is>
          <t>T-R4-4: 13.8/0.48 kV</t>
        </is>
      </c>
      <c r="I2332" s="12" t="inlineStr">
        <is>
          <t>LV 600 V</t>
        </is>
      </c>
      <c r="J2332" s="12" t="inlineStr">
        <is>
          <t>Type TC-ER 600 V 3/C Cu XHHW-2 + ground, PVC jacket</t>
        </is>
      </c>
      <c r="K2332" s="12" t="inlineStr">
        <is>
          <t>LV|3/C+G|10</t>
        </is>
      </c>
      <c r="L2332" s="12" t="inlineStr">
        <is>
          <t>3/C+G</t>
        </is>
      </c>
      <c r="M2332" s="12" t="inlineStr">
        <is>
          <t>10</t>
        </is>
      </c>
      <c r="N2332" s="12" t="n">
        <v>1</v>
      </c>
      <c r="O2332" s="12" t="n">
        <v>1</v>
      </c>
      <c r="P2332" s="12" t="n">
        <v>480</v>
      </c>
      <c r="Q2332" s="12" t="n">
        <v>2</v>
      </c>
      <c r="R2332" s="12" t="n">
        <v>2.8</v>
      </c>
      <c r="S2332" s="12" t="inlineStr">
        <is>
          <t>Duct bank</t>
        </is>
      </c>
      <c r="T2332" s="16" t="n">
        <v>209</v>
      </c>
      <c r="U2332" s="16" t="n">
        <v>77</v>
      </c>
      <c r="V2332" s="16">
        <f>ROUNDUP((T2332+U2332+2*'Read Me'!$B$13)*(1+'Read Me'!$B$12),-1)</f>
        <v/>
      </c>
      <c r="W2332" s="16">
        <f>V2332*N2332*O2332</f>
        <v/>
      </c>
      <c r="X2332" s="12">
        <f>IF(LEFT(I2332,2)="MV",2*N2332*IF(L2332="1/C",O2332,1),0)</f>
        <v/>
      </c>
      <c r="Y2332" s="12">
        <f>IF(OR(LEFT(K2332,4)="LVAX",LEFT(K2332,6)="MV15AX",LEFT(K2332,4)="CTAX",LEFT(K2332,2)="W|"),2*N2332*O2332,0)</f>
        <v/>
      </c>
      <c r="Z2332" s="12" t="inlineStr">
        <is>
          <t>VD 0.4 %</t>
        </is>
      </c>
      <c r="AA2332" s="12">
        <f>N2332*O2332</f>
        <v/>
      </c>
    </row>
    <row r="2333">
      <c r="A2333" s="12" t="inlineStr">
        <is>
          <t>B-P-0157</t>
        </is>
      </c>
      <c r="B2333" s="12" t="inlineStr">
        <is>
          <t>B</t>
        </is>
      </c>
      <c r="C2333" s="12" t="inlineStr">
        <is>
          <t>ACC</t>
        </is>
      </c>
      <c r="D2333" s="12" t="inlineStr">
        <is>
          <t>Motor 2 of 6, 2 kW</t>
        </is>
      </c>
      <c r="E2333" s="12" t="inlineStr"/>
      <c r="F2333" s="12" t="inlineStr">
        <is>
          <t>R4 480 V switchgear + vacuum-pump MCC</t>
        </is>
      </c>
      <c r="G2333" s="12" t="inlineStr"/>
      <c r="H2333" s="12" t="inlineStr">
        <is>
          <t>T-R4-4: 13.8/0.48 kV</t>
        </is>
      </c>
      <c r="I2333" s="12" t="inlineStr">
        <is>
          <t>LV 600 V</t>
        </is>
      </c>
      <c r="J2333" s="12" t="inlineStr">
        <is>
          <t>Type TC-ER 600 V 3/C Cu XHHW-2 + ground, PVC jacket</t>
        </is>
      </c>
      <c r="K2333" s="12" t="inlineStr">
        <is>
          <t>LV|3/C+G|10</t>
        </is>
      </c>
      <c r="L2333" s="12" t="inlineStr">
        <is>
          <t>3/C+G</t>
        </is>
      </c>
      <c r="M2333" s="12" t="inlineStr">
        <is>
          <t>10</t>
        </is>
      </c>
      <c r="N2333" s="12" t="n">
        <v>1</v>
      </c>
      <c r="O2333" s="12" t="n">
        <v>1</v>
      </c>
      <c r="P2333" s="12" t="n">
        <v>480</v>
      </c>
      <c r="Q2333" s="12" t="n">
        <v>2</v>
      </c>
      <c r="R2333" s="12" t="n">
        <v>2.8</v>
      </c>
      <c r="S2333" s="12" t="inlineStr">
        <is>
          <t>Duct bank</t>
        </is>
      </c>
      <c r="T2333" s="16" t="n">
        <v>209</v>
      </c>
      <c r="U2333" s="16" t="n">
        <v>77</v>
      </c>
      <c r="V2333" s="16">
        <f>ROUNDUP((T2333+U2333+2*'Read Me'!$B$13)*(1+'Read Me'!$B$12),-1)</f>
        <v/>
      </c>
      <c r="W2333" s="16">
        <f>V2333*N2333*O2333</f>
        <v/>
      </c>
      <c r="X2333" s="12">
        <f>IF(LEFT(I2333,2)="MV",2*N2333*IF(L2333="1/C",O2333,1),0)</f>
        <v/>
      </c>
      <c r="Y2333" s="12">
        <f>IF(OR(LEFT(K2333,4)="LVAX",LEFT(K2333,6)="MV15AX",LEFT(K2333,4)="CTAX",LEFT(K2333,2)="W|"),2*N2333*O2333,0)</f>
        <v/>
      </c>
      <c r="Z2333" s="12" t="inlineStr">
        <is>
          <t>VD 0.4 %</t>
        </is>
      </c>
      <c r="AA2333" s="12">
        <f>N2333*O2333</f>
        <v/>
      </c>
    </row>
    <row r="2334">
      <c r="A2334" s="12" t="inlineStr">
        <is>
          <t>B-P-0158</t>
        </is>
      </c>
      <c r="B2334" s="12" t="inlineStr">
        <is>
          <t>B</t>
        </is>
      </c>
      <c r="C2334" s="12" t="inlineStr">
        <is>
          <t>ACC</t>
        </is>
      </c>
      <c r="D2334" s="12" t="inlineStr">
        <is>
          <t>Motor 3 of 6, 2 kW</t>
        </is>
      </c>
      <c r="E2334" s="12" t="inlineStr"/>
      <c r="F2334" s="12" t="inlineStr">
        <is>
          <t>R4 480 V switchgear + vacuum-pump MCC</t>
        </is>
      </c>
      <c r="G2334" s="12" t="inlineStr"/>
      <c r="H2334" s="12" t="inlineStr">
        <is>
          <t>T-R4-4: 13.8/0.48 kV</t>
        </is>
      </c>
      <c r="I2334" s="12" t="inlineStr">
        <is>
          <t>LV 600 V</t>
        </is>
      </c>
      <c r="J2334" s="12" t="inlineStr">
        <is>
          <t>Type TC-ER 600 V 3/C Cu XHHW-2 + ground, PVC jacket</t>
        </is>
      </c>
      <c r="K2334" s="12" t="inlineStr">
        <is>
          <t>LV|3/C+G|10</t>
        </is>
      </c>
      <c r="L2334" s="12" t="inlineStr">
        <is>
          <t>3/C+G</t>
        </is>
      </c>
      <c r="M2334" s="12" t="inlineStr">
        <is>
          <t>10</t>
        </is>
      </c>
      <c r="N2334" s="12" t="n">
        <v>1</v>
      </c>
      <c r="O2334" s="12" t="n">
        <v>1</v>
      </c>
      <c r="P2334" s="12" t="n">
        <v>480</v>
      </c>
      <c r="Q2334" s="12" t="n">
        <v>2</v>
      </c>
      <c r="R2334" s="12" t="n">
        <v>2.8</v>
      </c>
      <c r="S2334" s="12" t="inlineStr">
        <is>
          <t>Duct bank</t>
        </is>
      </c>
      <c r="T2334" s="16" t="n">
        <v>209</v>
      </c>
      <c r="U2334" s="16" t="n">
        <v>77</v>
      </c>
      <c r="V2334" s="16">
        <f>ROUNDUP((T2334+U2334+2*'Read Me'!$B$13)*(1+'Read Me'!$B$12),-1)</f>
        <v/>
      </c>
      <c r="W2334" s="16">
        <f>V2334*N2334*O2334</f>
        <v/>
      </c>
      <c r="X2334" s="12">
        <f>IF(LEFT(I2334,2)="MV",2*N2334*IF(L2334="1/C",O2334,1),0)</f>
        <v/>
      </c>
      <c r="Y2334" s="12">
        <f>IF(OR(LEFT(K2334,4)="LVAX",LEFT(K2334,6)="MV15AX",LEFT(K2334,4)="CTAX",LEFT(K2334,2)="W|"),2*N2334*O2334,0)</f>
        <v/>
      </c>
      <c r="Z2334" s="12" t="inlineStr">
        <is>
          <t>VD 0.4 %</t>
        </is>
      </c>
      <c r="AA2334" s="12">
        <f>N2334*O2334</f>
        <v/>
      </c>
    </row>
    <row r="2335">
      <c r="A2335" s="12" t="inlineStr">
        <is>
          <t>B-P-0159</t>
        </is>
      </c>
      <c r="B2335" s="12" t="inlineStr">
        <is>
          <t>B</t>
        </is>
      </c>
      <c r="C2335" s="12" t="inlineStr">
        <is>
          <t>ACC</t>
        </is>
      </c>
      <c r="D2335" s="12" t="inlineStr">
        <is>
          <t>Motor 4 of 6, 2 kW</t>
        </is>
      </c>
      <c r="E2335" s="12" t="inlineStr"/>
      <c r="F2335" s="12" t="inlineStr">
        <is>
          <t>R4 480 V switchgear + vacuum-pump MCC</t>
        </is>
      </c>
      <c r="G2335" s="12" t="inlineStr"/>
      <c r="H2335" s="12" t="inlineStr">
        <is>
          <t>T-R4-4: 13.8/0.48 kV</t>
        </is>
      </c>
      <c r="I2335" s="12" t="inlineStr">
        <is>
          <t>LV 600 V</t>
        </is>
      </c>
      <c r="J2335" s="12" t="inlineStr">
        <is>
          <t>Type TC-ER 600 V 3/C Cu XHHW-2 + ground, PVC jacket</t>
        </is>
      </c>
      <c r="K2335" s="12" t="inlineStr">
        <is>
          <t>LV|3/C+G|10</t>
        </is>
      </c>
      <c r="L2335" s="12" t="inlineStr">
        <is>
          <t>3/C+G</t>
        </is>
      </c>
      <c r="M2335" s="12" t="inlineStr">
        <is>
          <t>10</t>
        </is>
      </c>
      <c r="N2335" s="12" t="n">
        <v>1</v>
      </c>
      <c r="O2335" s="12" t="n">
        <v>1</v>
      </c>
      <c r="P2335" s="12" t="n">
        <v>480</v>
      </c>
      <c r="Q2335" s="12" t="n">
        <v>2</v>
      </c>
      <c r="R2335" s="12" t="n">
        <v>2.8</v>
      </c>
      <c r="S2335" s="12" t="inlineStr">
        <is>
          <t>Duct bank</t>
        </is>
      </c>
      <c r="T2335" s="16" t="n">
        <v>209</v>
      </c>
      <c r="U2335" s="16" t="n">
        <v>77</v>
      </c>
      <c r="V2335" s="16">
        <f>ROUNDUP((T2335+U2335+2*'Read Me'!$B$13)*(1+'Read Me'!$B$12),-1)</f>
        <v/>
      </c>
      <c r="W2335" s="16">
        <f>V2335*N2335*O2335</f>
        <v/>
      </c>
      <c r="X2335" s="12">
        <f>IF(LEFT(I2335,2)="MV",2*N2335*IF(L2335="1/C",O2335,1),0)</f>
        <v/>
      </c>
      <c r="Y2335" s="12">
        <f>IF(OR(LEFT(K2335,4)="LVAX",LEFT(K2335,6)="MV15AX",LEFT(K2335,4)="CTAX",LEFT(K2335,2)="W|"),2*N2335*O2335,0)</f>
        <v/>
      </c>
      <c r="Z2335" s="12" t="inlineStr">
        <is>
          <t>VD 0.4 %</t>
        </is>
      </c>
      <c r="AA2335" s="12">
        <f>N2335*O2335</f>
        <v/>
      </c>
    </row>
    <row r="2336">
      <c r="A2336" s="12" t="inlineStr">
        <is>
          <t>B-P-0160</t>
        </is>
      </c>
      <c r="B2336" s="12" t="inlineStr">
        <is>
          <t>B</t>
        </is>
      </c>
      <c r="C2336" s="12" t="inlineStr">
        <is>
          <t>ACC</t>
        </is>
      </c>
      <c r="D2336" s="12" t="inlineStr">
        <is>
          <t>Motor 5 of 6, 2 kW</t>
        </is>
      </c>
      <c r="E2336" s="12" t="inlineStr"/>
      <c r="F2336" s="12" t="inlineStr">
        <is>
          <t>R4 480 V switchgear + vacuum-pump MCC</t>
        </is>
      </c>
      <c r="G2336" s="12" t="inlineStr"/>
      <c r="H2336" s="12" t="inlineStr">
        <is>
          <t>T-R4-4: 13.8/0.48 kV</t>
        </is>
      </c>
      <c r="I2336" s="12" t="inlineStr">
        <is>
          <t>LV 600 V</t>
        </is>
      </c>
      <c r="J2336" s="12" t="inlineStr">
        <is>
          <t>Type TC-ER 600 V 3/C Cu XHHW-2 + ground, PVC jacket</t>
        </is>
      </c>
      <c r="K2336" s="12" t="inlineStr">
        <is>
          <t>LV|3/C+G|10</t>
        </is>
      </c>
      <c r="L2336" s="12" t="inlineStr">
        <is>
          <t>3/C+G</t>
        </is>
      </c>
      <c r="M2336" s="12" t="inlineStr">
        <is>
          <t>10</t>
        </is>
      </c>
      <c r="N2336" s="12" t="n">
        <v>1</v>
      </c>
      <c r="O2336" s="12" t="n">
        <v>1</v>
      </c>
      <c r="P2336" s="12" t="n">
        <v>480</v>
      </c>
      <c r="Q2336" s="12" t="n">
        <v>2</v>
      </c>
      <c r="R2336" s="12" t="n">
        <v>2.8</v>
      </c>
      <c r="S2336" s="12" t="inlineStr">
        <is>
          <t>Duct bank</t>
        </is>
      </c>
      <c r="T2336" s="16" t="n">
        <v>209</v>
      </c>
      <c r="U2336" s="16" t="n">
        <v>77</v>
      </c>
      <c r="V2336" s="16">
        <f>ROUNDUP((T2336+U2336+2*'Read Me'!$B$13)*(1+'Read Me'!$B$12),-1)</f>
        <v/>
      </c>
      <c r="W2336" s="16">
        <f>V2336*N2336*O2336</f>
        <v/>
      </c>
      <c r="X2336" s="12">
        <f>IF(LEFT(I2336,2)="MV",2*N2336*IF(L2336="1/C",O2336,1),0)</f>
        <v/>
      </c>
      <c r="Y2336" s="12">
        <f>IF(OR(LEFT(K2336,4)="LVAX",LEFT(K2336,6)="MV15AX",LEFT(K2336,4)="CTAX",LEFT(K2336,2)="W|"),2*N2336*O2336,0)</f>
        <v/>
      </c>
      <c r="Z2336" s="12" t="inlineStr">
        <is>
          <t>VD 0.4 %</t>
        </is>
      </c>
      <c r="AA2336" s="12">
        <f>N2336*O2336</f>
        <v/>
      </c>
    </row>
    <row r="2337">
      <c r="A2337" s="12" t="inlineStr">
        <is>
          <t>B-P-0161</t>
        </is>
      </c>
      <c r="B2337" s="12" t="inlineStr">
        <is>
          <t>B</t>
        </is>
      </c>
      <c r="C2337" s="12" t="inlineStr">
        <is>
          <t>ACC</t>
        </is>
      </c>
      <c r="D2337" s="12" t="inlineStr">
        <is>
          <t>Motor 6 of 6, 2 kW</t>
        </is>
      </c>
      <c r="E2337" s="12" t="inlineStr"/>
      <c r="F2337" s="12" t="inlineStr">
        <is>
          <t>R4 480 V switchgear + vacuum-pump MCC</t>
        </is>
      </c>
      <c r="G2337" s="12" t="inlineStr"/>
      <c r="H2337" s="12" t="inlineStr">
        <is>
          <t>T-R4-4: 13.8/0.48 kV</t>
        </is>
      </c>
      <c r="I2337" s="12" t="inlineStr">
        <is>
          <t>LV 600 V</t>
        </is>
      </c>
      <c r="J2337" s="12" t="inlineStr">
        <is>
          <t>Type TC-ER 600 V 3/C Cu XHHW-2 + ground, PVC jacket</t>
        </is>
      </c>
      <c r="K2337" s="12" t="inlineStr">
        <is>
          <t>LV|3/C+G|10</t>
        </is>
      </c>
      <c r="L2337" s="12" t="inlineStr">
        <is>
          <t>3/C+G</t>
        </is>
      </c>
      <c r="M2337" s="12" t="inlineStr">
        <is>
          <t>10</t>
        </is>
      </c>
      <c r="N2337" s="12" t="n">
        <v>1</v>
      </c>
      <c r="O2337" s="12" t="n">
        <v>1</v>
      </c>
      <c r="P2337" s="12" t="n">
        <v>480</v>
      </c>
      <c r="Q2337" s="12" t="n">
        <v>2</v>
      </c>
      <c r="R2337" s="12" t="n">
        <v>2.8</v>
      </c>
      <c r="S2337" s="12" t="inlineStr">
        <is>
          <t>Duct bank</t>
        </is>
      </c>
      <c r="T2337" s="16" t="n">
        <v>209</v>
      </c>
      <c r="U2337" s="16" t="n">
        <v>77</v>
      </c>
      <c r="V2337" s="16">
        <f>ROUNDUP((T2337+U2337+2*'Read Me'!$B$13)*(1+'Read Me'!$B$12),-1)</f>
        <v/>
      </c>
      <c r="W2337" s="16">
        <f>V2337*N2337*O2337</f>
        <v/>
      </c>
      <c r="X2337" s="12">
        <f>IF(LEFT(I2337,2)="MV",2*N2337*IF(L2337="1/C",O2337,1),0)</f>
        <v/>
      </c>
      <c r="Y2337" s="12">
        <f>IF(OR(LEFT(K2337,4)="LVAX",LEFT(K2337,6)="MV15AX",LEFT(K2337,4)="CTAX",LEFT(K2337,2)="W|"),2*N2337*O2337,0)</f>
        <v/>
      </c>
      <c r="Z2337" s="12" t="inlineStr">
        <is>
          <t>VD 0.4 %</t>
        </is>
      </c>
      <c r="AA2337" s="12">
        <f>N2337*O2337</f>
        <v/>
      </c>
    </row>
    <row r="2338">
      <c r="A2338" s="12" t="inlineStr">
        <is>
          <t>B-P-0162</t>
        </is>
      </c>
      <c r="B2338" s="12" t="inlineStr">
        <is>
          <t>B</t>
        </is>
      </c>
      <c r="C2338" s="12" t="inlineStr">
        <is>
          <t>ACC</t>
        </is>
      </c>
      <c r="D2338" s="12" t="inlineStr">
        <is>
          <t>Motor 1 of 2, 75 kW</t>
        </is>
      </c>
      <c r="E2338" s="12" t="inlineStr"/>
      <c r="F2338" s="12" t="inlineStr">
        <is>
          <t>R4 480 V switchgear + vacuum-pump MCC</t>
        </is>
      </c>
      <c r="G2338" s="12" t="inlineStr">
        <is>
          <t>VAC-A/B</t>
        </is>
      </c>
      <c r="H2338" s="12" t="inlineStr">
        <is>
          <t>VAC-A/B: ACC air-removal vacuum pumps</t>
        </is>
      </c>
      <c r="I2338" s="12" t="inlineStr">
        <is>
          <t>LV 600 V</t>
        </is>
      </c>
      <c r="J2338" s="12" t="inlineStr">
        <is>
          <t>Type TC-ER 600 V 3/C Cu XHHW-2 + ground, PVC jacket</t>
        </is>
      </c>
      <c r="K2338" s="12" t="inlineStr">
        <is>
          <t>LV|3/C+G|2/0</t>
        </is>
      </c>
      <c r="L2338" s="12" t="inlineStr">
        <is>
          <t>3/C+G</t>
        </is>
      </c>
      <c r="M2338" s="12" t="inlineStr">
        <is>
          <t>2/0</t>
        </is>
      </c>
      <c r="N2338" s="12" t="n">
        <v>1</v>
      </c>
      <c r="O2338" s="12" t="n">
        <v>1</v>
      </c>
      <c r="P2338" s="12" t="n">
        <v>480</v>
      </c>
      <c r="Q2338" s="12" t="n">
        <v>75</v>
      </c>
      <c r="R2338" s="12" t="n">
        <v>106.1</v>
      </c>
      <c r="S2338" s="12" t="inlineStr">
        <is>
          <t>Tray</t>
        </is>
      </c>
      <c r="T2338" s="16" t="n">
        <v>520</v>
      </c>
      <c r="U2338" s="16" t="n">
        <v>99</v>
      </c>
      <c r="V2338" s="16">
        <f>ROUNDUP((T2338+U2338+2*'Read Me'!$B$13)*(1+'Read Me'!$B$12),-1)</f>
        <v/>
      </c>
      <c r="W2338" s="16">
        <f>V2338*N2338*O2338</f>
        <v/>
      </c>
      <c r="X2338" s="12">
        <f>IF(LEFT(I2338,2)="MV",2*N2338*IF(L2338="1/C",O2338,1),0)</f>
        <v/>
      </c>
      <c r="Y2338" s="12">
        <f>IF(OR(LEFT(K2338,4)="LVAX",LEFT(K2338,6)="MV15AX",LEFT(K2338,4)="CTAX",LEFT(K2338,2)="W|"),2*N2338*O2338,0)</f>
        <v/>
      </c>
      <c r="Z2338" s="12" t="inlineStr">
        <is>
          <t>VD 2.5 %</t>
        </is>
      </c>
      <c r="AA2338" s="12">
        <f>N2338*O2338</f>
        <v/>
      </c>
    </row>
    <row r="2339">
      <c r="A2339" s="12" t="inlineStr">
        <is>
          <t>B-P-0163</t>
        </is>
      </c>
      <c r="B2339" s="12" t="inlineStr">
        <is>
          <t>B</t>
        </is>
      </c>
      <c r="C2339" s="12" t="inlineStr">
        <is>
          <t>ACC</t>
        </is>
      </c>
      <c r="D2339" s="12" t="inlineStr">
        <is>
          <t>Motor 2 of 2, 75 kW</t>
        </is>
      </c>
      <c r="E2339" s="12" t="inlineStr"/>
      <c r="F2339" s="12" t="inlineStr">
        <is>
          <t>R4 480 V switchgear + vacuum-pump MCC</t>
        </is>
      </c>
      <c r="G2339" s="12" t="inlineStr">
        <is>
          <t>VAC-A/B</t>
        </is>
      </c>
      <c r="H2339" s="12" t="inlineStr">
        <is>
          <t>VAC-A/B: ACC air-removal vacuum pumps</t>
        </is>
      </c>
      <c r="I2339" s="12" t="inlineStr">
        <is>
          <t>LV 600 V</t>
        </is>
      </c>
      <c r="J2339" s="12" t="inlineStr">
        <is>
          <t>Type TC-ER 600 V 3/C Cu XHHW-2 + ground, PVC jacket</t>
        </is>
      </c>
      <c r="K2339" s="12" t="inlineStr">
        <is>
          <t>LV|3/C+G|2/0</t>
        </is>
      </c>
      <c r="L2339" s="12" t="inlineStr">
        <is>
          <t>3/C+G</t>
        </is>
      </c>
      <c r="M2339" s="12" t="inlineStr">
        <is>
          <t>2/0</t>
        </is>
      </c>
      <c r="N2339" s="12" t="n">
        <v>1</v>
      </c>
      <c r="O2339" s="12" t="n">
        <v>1</v>
      </c>
      <c r="P2339" s="12" t="n">
        <v>480</v>
      </c>
      <c r="Q2339" s="12" t="n">
        <v>75</v>
      </c>
      <c r="R2339" s="12" t="n">
        <v>106.1</v>
      </c>
      <c r="S2339" s="12" t="inlineStr">
        <is>
          <t>Tray</t>
        </is>
      </c>
      <c r="T2339" s="16" t="n">
        <v>520</v>
      </c>
      <c r="U2339" s="16" t="n">
        <v>99</v>
      </c>
      <c r="V2339" s="16">
        <f>ROUNDUP((T2339+U2339+2*'Read Me'!$B$13)*(1+'Read Me'!$B$12),-1)</f>
        <v/>
      </c>
      <c r="W2339" s="16">
        <f>V2339*N2339*O2339</f>
        <v/>
      </c>
      <c r="X2339" s="12">
        <f>IF(LEFT(I2339,2)="MV",2*N2339*IF(L2339="1/C",O2339,1),0)</f>
        <v/>
      </c>
      <c r="Y2339" s="12">
        <f>IF(OR(LEFT(K2339,4)="LVAX",LEFT(K2339,6)="MV15AX",LEFT(K2339,4)="CTAX",LEFT(K2339,2)="W|"),2*N2339*O2339,0)</f>
        <v/>
      </c>
      <c r="Z2339" s="12" t="inlineStr">
        <is>
          <t>VD 2.5 %</t>
        </is>
      </c>
      <c r="AA2339" s="12">
        <f>N2339*O2339</f>
        <v/>
      </c>
    </row>
    <row r="2340">
      <c r="A2340" s="12" t="inlineStr">
        <is>
          <t>B-MV-0001</t>
        </is>
      </c>
      <c r="B2340" s="12" t="inlineStr">
        <is>
          <t>B</t>
        </is>
      </c>
      <c r="C2340" s="12" t="inlineStr">
        <is>
          <t>ACC</t>
        </is>
      </c>
      <c r="D2340" s="12" t="inlineStr">
        <is>
          <t>T-R4-1 ACC VFD transformer primary</t>
        </is>
      </c>
      <c r="E2340" s="12" t="inlineStr">
        <is>
          <t>SWGR-13.8-1</t>
        </is>
      </c>
      <c r="F2340" s="12" t="inlineStr">
        <is>
          <t>R1 SWGR-13.8-1 (11 x 36 in cubicles, 15 kV metal-clad)</t>
        </is>
      </c>
      <c r="G2340" s="12" t="inlineStr"/>
      <c r="H2340" s="12" t="inlineStr">
        <is>
          <t>T-R4-1: 13.8/0.48 kV</t>
        </is>
      </c>
      <c r="I2340" s="12" t="inlineStr">
        <is>
          <t>MV 15 kV</t>
        </is>
      </c>
      <c r="J2340" s="12" t="inlineStr">
        <is>
          <t>MV-105 15 kV 1/C Cu, EPR 133%, Cu tape shield, PVC jacket (triplexed)</t>
        </is>
      </c>
      <c r="K2340" s="12" t="inlineStr">
        <is>
          <t>MV15|1/C|2/0</t>
        </is>
      </c>
      <c r="L2340" s="12" t="inlineStr">
        <is>
          <t>1/C</t>
        </is>
      </c>
      <c r="M2340" s="12" t="inlineStr">
        <is>
          <t>2/0</t>
        </is>
      </c>
      <c r="N2340" s="12" t="n">
        <v>1</v>
      </c>
      <c r="O2340" s="12" t="n">
        <v>3</v>
      </c>
      <c r="P2340" s="12" t="n">
        <v>13800</v>
      </c>
      <c r="Q2340" s="12" t="n">
        <v>3750</v>
      </c>
      <c r="R2340" s="12" t="n">
        <v>157</v>
      </c>
      <c r="S2340" s="12" t="inlineStr">
        <is>
          <t>Tray</t>
        </is>
      </c>
      <c r="T2340" s="16" t="n">
        <v>1173</v>
      </c>
      <c r="U2340" s="16" t="n">
        <v>147</v>
      </c>
      <c r="V2340" s="16">
        <f>ROUNDUP((T2340+U2340+2*'Read Me'!$B$13)*(1+'Read Me'!$B$12),-1)</f>
        <v/>
      </c>
      <c r="W2340" s="16">
        <f>V2340*N2340*O2340</f>
        <v/>
      </c>
      <c r="X2340" s="12">
        <f>IF(LEFT(I2340,2)="MV",2*N2340*IF(L2340="1/C",O2340,1),0)</f>
        <v/>
      </c>
      <c r="Y2340" s="12">
        <f>IF(OR(LEFT(K2340,4)="LVAX",LEFT(K2340,6)="MV15AX",LEFT(K2340,4)="CTAX",LEFT(K2340,2)="W|"),2*N2340*O2340,0)</f>
        <v/>
      </c>
      <c r="Z2340" s="12" t="inlineStr"/>
      <c r="AA2340" s="12">
        <f>N2340*O2340</f>
        <v/>
      </c>
    </row>
    <row r="2341">
      <c r="A2341" s="12" t="inlineStr">
        <is>
          <t>B-MV-0002</t>
        </is>
      </c>
      <c r="B2341" s="12" t="inlineStr">
        <is>
          <t>B</t>
        </is>
      </c>
      <c r="C2341" s="12" t="inlineStr">
        <is>
          <t>ACC</t>
        </is>
      </c>
      <c r="D2341" s="12" t="inlineStr">
        <is>
          <t>T-R4-2 ACC VFD transformer primary</t>
        </is>
      </c>
      <c r="E2341" s="12" t="inlineStr">
        <is>
          <t>SWGR-13.8-2</t>
        </is>
      </c>
      <c r="F2341" s="12" t="inlineStr">
        <is>
          <t>R1 SWGR-13.8-2 (11 x 36 in cubicles, 15 kV metal-clad)</t>
        </is>
      </c>
      <c r="G2341" s="12" t="inlineStr"/>
      <c r="H2341" s="12" t="inlineStr">
        <is>
          <t>T-R4-2: 13.8/0.48 kV</t>
        </is>
      </c>
      <c r="I2341" s="12" t="inlineStr">
        <is>
          <t>MV 15 kV</t>
        </is>
      </c>
      <c r="J2341" s="12" t="inlineStr">
        <is>
          <t>MV-105 15 kV 1/C Cu, EPR 133%, Cu tape shield, PVC jacket (triplexed)</t>
        </is>
      </c>
      <c r="K2341" s="12" t="inlineStr">
        <is>
          <t>MV15|1/C|2/0</t>
        </is>
      </c>
      <c r="L2341" s="12" t="inlineStr">
        <is>
          <t>1/C</t>
        </is>
      </c>
      <c r="M2341" s="12" t="inlineStr">
        <is>
          <t>2/0</t>
        </is>
      </c>
      <c r="N2341" s="12" t="n">
        <v>1</v>
      </c>
      <c r="O2341" s="12" t="n">
        <v>3</v>
      </c>
      <c r="P2341" s="12" t="n">
        <v>13800</v>
      </c>
      <c r="Q2341" s="12" t="n">
        <v>3750</v>
      </c>
      <c r="R2341" s="12" t="n">
        <v>157</v>
      </c>
      <c r="S2341" s="12" t="inlineStr">
        <is>
          <t>Tray</t>
        </is>
      </c>
      <c r="T2341" s="16" t="n">
        <v>1228</v>
      </c>
      <c r="U2341" s="16" t="n">
        <v>163</v>
      </c>
      <c r="V2341" s="16">
        <f>ROUNDUP((T2341+U2341+2*'Read Me'!$B$13)*(1+'Read Me'!$B$12),-1)</f>
        <v/>
      </c>
      <c r="W2341" s="16">
        <f>V2341*N2341*O2341</f>
        <v/>
      </c>
      <c r="X2341" s="12">
        <f>IF(LEFT(I2341,2)="MV",2*N2341*IF(L2341="1/C",O2341,1),0)</f>
        <v/>
      </c>
      <c r="Y2341" s="12">
        <f>IF(OR(LEFT(K2341,4)="LVAX",LEFT(K2341,6)="MV15AX",LEFT(K2341,4)="CTAX",LEFT(K2341,2)="W|"),2*N2341*O2341,0)</f>
        <v/>
      </c>
      <c r="Z2341" s="12" t="inlineStr"/>
      <c r="AA2341" s="12">
        <f>N2341*O2341</f>
        <v/>
      </c>
    </row>
    <row r="2342">
      <c r="A2342" s="12" t="inlineStr">
        <is>
          <t>B-MV-0003</t>
        </is>
      </c>
      <c r="B2342" s="12" t="inlineStr">
        <is>
          <t>B</t>
        </is>
      </c>
      <c r="C2342" s="12" t="inlineStr">
        <is>
          <t>ACC</t>
        </is>
      </c>
      <c r="D2342" s="12" t="inlineStr">
        <is>
          <t>T-R4-3 ACC VFD transformer primary</t>
        </is>
      </c>
      <c r="E2342" s="12" t="inlineStr">
        <is>
          <t>SWGR-13.8-3</t>
        </is>
      </c>
      <c r="F2342" s="12" t="inlineStr">
        <is>
          <t>R1 SWGR-13.8-3 (11 x 36 in cubicles, 15 kV metal-clad)</t>
        </is>
      </c>
      <c r="G2342" s="12" t="inlineStr"/>
      <c r="H2342" s="12" t="inlineStr">
        <is>
          <t>T-R4-3: 13.8/0.48 kV</t>
        </is>
      </c>
      <c r="I2342" s="12" t="inlineStr">
        <is>
          <t>MV 15 kV</t>
        </is>
      </c>
      <c r="J2342" s="12" t="inlineStr">
        <is>
          <t>MV-105 15 kV 1/C Cu, EPR 133%, Cu tape shield, PVC jacket (triplexed)</t>
        </is>
      </c>
      <c r="K2342" s="12" t="inlineStr">
        <is>
          <t>MV15|1/C|2/0</t>
        </is>
      </c>
      <c r="L2342" s="12" t="inlineStr">
        <is>
          <t>1/C</t>
        </is>
      </c>
      <c r="M2342" s="12" t="inlineStr">
        <is>
          <t>2/0</t>
        </is>
      </c>
      <c r="N2342" s="12" t="n">
        <v>1</v>
      </c>
      <c r="O2342" s="12" t="n">
        <v>3</v>
      </c>
      <c r="P2342" s="12" t="n">
        <v>13800</v>
      </c>
      <c r="Q2342" s="12" t="n">
        <v>3750</v>
      </c>
      <c r="R2342" s="12" t="n">
        <v>157</v>
      </c>
      <c r="S2342" s="12" t="inlineStr">
        <is>
          <t>Tray</t>
        </is>
      </c>
      <c r="T2342" s="16" t="n">
        <v>1310</v>
      </c>
      <c r="U2342" s="16" t="n">
        <v>128</v>
      </c>
      <c r="V2342" s="16">
        <f>ROUNDUP((T2342+U2342+2*'Read Me'!$B$13)*(1+'Read Me'!$B$12),-1)</f>
        <v/>
      </c>
      <c r="W2342" s="16">
        <f>V2342*N2342*O2342</f>
        <v/>
      </c>
      <c r="X2342" s="12">
        <f>IF(LEFT(I2342,2)="MV",2*N2342*IF(L2342="1/C",O2342,1),0)</f>
        <v/>
      </c>
      <c r="Y2342" s="12">
        <f>IF(OR(LEFT(K2342,4)="LVAX",LEFT(K2342,6)="MV15AX",LEFT(K2342,4)="CTAX",LEFT(K2342,2)="W|"),2*N2342*O2342,0)</f>
        <v/>
      </c>
      <c r="Z2342" s="12" t="inlineStr"/>
      <c r="AA2342" s="12">
        <f>N2342*O2342</f>
        <v/>
      </c>
    </row>
    <row r="2343">
      <c r="A2343" s="12" t="inlineStr">
        <is>
          <t>B-MV-0004</t>
        </is>
      </c>
      <c r="B2343" s="12" t="inlineStr">
        <is>
          <t>B</t>
        </is>
      </c>
      <c r="C2343" s="12" t="inlineStr">
        <is>
          <t>ACC</t>
        </is>
      </c>
      <c r="D2343" s="12" t="inlineStr">
        <is>
          <t>T-R4-4 ACC VFD transformer primary</t>
        </is>
      </c>
      <c r="E2343" s="12" t="inlineStr">
        <is>
          <t>SWGR-13.8-1</t>
        </is>
      </c>
      <c r="F2343" s="12" t="inlineStr">
        <is>
          <t>R1 SWGR-13.8-1 (11 x 36 in cubicles, 15 kV metal-clad)</t>
        </is>
      </c>
      <c r="G2343" s="12" t="inlineStr"/>
      <c r="H2343" s="12" t="inlineStr">
        <is>
          <t>T-R4-4: 13.8/0.48 kV</t>
        </is>
      </c>
      <c r="I2343" s="12" t="inlineStr">
        <is>
          <t>MV 15 kV</t>
        </is>
      </c>
      <c r="J2343" s="12" t="inlineStr">
        <is>
          <t>MV-105 15 kV 1/C Cu, EPR 133%, Cu tape shield, PVC jacket (triplexed)</t>
        </is>
      </c>
      <c r="K2343" s="12" t="inlineStr">
        <is>
          <t>MV15|1/C|2/0</t>
        </is>
      </c>
      <c r="L2343" s="12" t="inlineStr">
        <is>
          <t>1/C</t>
        </is>
      </c>
      <c r="M2343" s="12" t="inlineStr">
        <is>
          <t>2/0</t>
        </is>
      </c>
      <c r="N2343" s="12" t="n">
        <v>1</v>
      </c>
      <c r="O2343" s="12" t="n">
        <v>3</v>
      </c>
      <c r="P2343" s="12" t="n">
        <v>13800</v>
      </c>
      <c r="Q2343" s="12" t="n">
        <v>3750</v>
      </c>
      <c r="R2343" s="12" t="n">
        <v>157</v>
      </c>
      <c r="S2343" s="12" t="inlineStr">
        <is>
          <t>Tray</t>
        </is>
      </c>
      <c r="T2343" s="16" t="n">
        <v>1222</v>
      </c>
      <c r="U2343" s="16" t="n">
        <v>160</v>
      </c>
      <c r="V2343" s="16">
        <f>ROUNDUP((T2343+U2343+2*'Read Me'!$B$13)*(1+'Read Me'!$B$12),-1)</f>
        <v/>
      </c>
      <c r="W2343" s="16">
        <f>V2343*N2343*O2343</f>
        <v/>
      </c>
      <c r="X2343" s="12">
        <f>IF(LEFT(I2343,2)="MV",2*N2343*IF(L2343="1/C",O2343,1),0)</f>
        <v/>
      </c>
      <c r="Y2343" s="12">
        <f>IF(OR(LEFT(K2343,4)="LVAX",LEFT(K2343,6)="MV15AX",LEFT(K2343,4)="CTAX",LEFT(K2343,2)="W|"),2*N2343*O2343,0)</f>
        <v/>
      </c>
      <c r="Z2343" s="12" t="inlineStr"/>
      <c r="AA2343" s="12">
        <f>N2343*O2343</f>
        <v/>
      </c>
    </row>
    <row r="2344">
      <c r="A2344" s="12" t="inlineStr">
        <is>
          <t>B-MV-0005</t>
        </is>
      </c>
      <c r="B2344" s="12" t="inlineStr">
        <is>
          <t>B</t>
        </is>
      </c>
      <c r="C2344" s="12" t="inlineStr">
        <is>
          <t>ACC</t>
        </is>
      </c>
      <c r="D2344" s="12" t="inlineStr">
        <is>
          <t>Condensate pump CP-A</t>
        </is>
      </c>
      <c r="E2344" s="12" t="inlineStr">
        <is>
          <t>SWGR-4.16-A</t>
        </is>
      </c>
      <c r="F2344" s="12" t="inlineStr">
        <is>
          <t>R1 SWGR-4.16-A (9 x 36 in cubicles, 5 kV metal-clad)</t>
        </is>
      </c>
      <c r="G2344" s="12" t="inlineStr">
        <is>
          <t>CP-A/B/C</t>
        </is>
      </c>
      <c r="H2344" s="12" t="inlineStr">
        <is>
          <t>CP-A/B/C: condensate pumps (4.16 kV)</t>
        </is>
      </c>
      <c r="I2344" s="12" t="inlineStr">
        <is>
          <t>MV 5 kV</t>
        </is>
      </c>
      <c r="J2344" s="12" t="inlineStr">
        <is>
          <t>MV-105 5 kV 3/C Cu, EPR 133%, tape shield, gnd, PVC jacket</t>
        </is>
      </c>
      <c r="K2344" s="12" t="inlineStr">
        <is>
          <t>MV5|3/C|1/0</t>
        </is>
      </c>
      <c r="L2344" s="12" t="inlineStr">
        <is>
          <t>3/C</t>
        </is>
      </c>
      <c r="M2344" s="12" t="inlineStr">
        <is>
          <t>1/0</t>
        </is>
      </c>
      <c r="N2344" s="12" t="n">
        <v>1</v>
      </c>
      <c r="O2344" s="12" t="n">
        <v>1</v>
      </c>
      <c r="P2344" s="12" t="n">
        <v>4160</v>
      </c>
      <c r="Q2344" s="12" t="n">
        <v>900</v>
      </c>
      <c r="R2344" s="12" t="n">
        <v>139</v>
      </c>
      <c r="S2344" s="12" t="inlineStr">
        <is>
          <t>Tray</t>
        </is>
      </c>
      <c r="T2344" s="16" t="n">
        <v>1215</v>
      </c>
      <c r="U2344" s="16" t="n">
        <v>274</v>
      </c>
      <c r="V2344" s="16">
        <f>ROUNDUP((T2344+U2344+2*'Read Me'!$B$13)*(1+'Read Me'!$B$12),-1)</f>
        <v/>
      </c>
      <c r="W2344" s="16">
        <f>V2344*N2344*O2344</f>
        <v/>
      </c>
      <c r="X2344" s="12">
        <f>IF(LEFT(I2344,2)="MV",2*N2344*IF(L2344="1/C",O2344,1),0)</f>
        <v/>
      </c>
      <c r="Y2344" s="12">
        <f>IF(OR(LEFT(K2344,4)="LVAX",LEFT(K2344,6)="MV15AX",LEFT(K2344,4)="CTAX",LEFT(K2344,2)="W|"),2*N2344*O2344,0)</f>
        <v/>
      </c>
      <c r="Z2344" s="12" t="inlineStr"/>
      <c r="AA2344" s="12">
        <f>N2344*O2344</f>
        <v/>
      </c>
    </row>
    <row r="2345">
      <c r="A2345" s="12" t="inlineStr">
        <is>
          <t>B-MV-0006</t>
        </is>
      </c>
      <c r="B2345" s="12" t="inlineStr">
        <is>
          <t>B</t>
        </is>
      </c>
      <c r="C2345" s="12" t="inlineStr">
        <is>
          <t>ACC</t>
        </is>
      </c>
      <c r="D2345" s="12" t="inlineStr">
        <is>
          <t>Condensate pump CP-B</t>
        </is>
      </c>
      <c r="E2345" s="12" t="inlineStr">
        <is>
          <t>SWGR-4.16-B</t>
        </is>
      </c>
      <c r="F2345" s="12" t="inlineStr">
        <is>
          <t>R1 SWGR-4.16-B (5 kV metal-clad)</t>
        </is>
      </c>
      <c r="G2345" s="12" t="inlineStr">
        <is>
          <t>CP-A/B/C</t>
        </is>
      </c>
      <c r="H2345" s="12" t="inlineStr">
        <is>
          <t>CP-A/B/C: condensate pumps (4.16 kV)</t>
        </is>
      </c>
      <c r="I2345" s="12" t="inlineStr">
        <is>
          <t>MV 5 kV</t>
        </is>
      </c>
      <c r="J2345" s="12" t="inlineStr">
        <is>
          <t>MV-105 5 kV 3/C Cu, EPR 133%, tape shield, gnd, PVC jacket</t>
        </is>
      </c>
      <c r="K2345" s="12" t="inlineStr">
        <is>
          <t>MV5|3/C|1/0</t>
        </is>
      </c>
      <c r="L2345" s="12" t="inlineStr">
        <is>
          <t>3/C</t>
        </is>
      </c>
      <c r="M2345" s="12" t="inlineStr">
        <is>
          <t>1/0</t>
        </is>
      </c>
      <c r="N2345" s="12" t="n">
        <v>1</v>
      </c>
      <c r="O2345" s="12" t="n">
        <v>1</v>
      </c>
      <c r="P2345" s="12" t="n">
        <v>4160</v>
      </c>
      <c r="Q2345" s="12" t="n">
        <v>900</v>
      </c>
      <c r="R2345" s="12" t="n">
        <v>139</v>
      </c>
      <c r="S2345" s="12" t="inlineStr">
        <is>
          <t>Tray</t>
        </is>
      </c>
      <c r="T2345" s="16" t="n">
        <v>855</v>
      </c>
      <c r="U2345" s="16" t="n">
        <v>155</v>
      </c>
      <c r="V2345" s="16">
        <f>ROUNDUP((T2345+U2345+2*'Read Me'!$B$13)*(1+'Read Me'!$B$12),-1)</f>
        <v/>
      </c>
      <c r="W2345" s="16">
        <f>V2345*N2345*O2345</f>
        <v/>
      </c>
      <c r="X2345" s="12">
        <f>IF(LEFT(I2345,2)="MV",2*N2345*IF(L2345="1/C",O2345,1),0)</f>
        <v/>
      </c>
      <c r="Y2345" s="12">
        <f>IF(OR(LEFT(K2345,4)="LVAX",LEFT(K2345,6)="MV15AX",LEFT(K2345,4)="CTAX",LEFT(K2345,2)="W|"),2*N2345*O2345,0)</f>
        <v/>
      </c>
      <c r="Z2345" s="12" t="inlineStr"/>
      <c r="AA2345" s="12">
        <f>N2345*O2345</f>
        <v/>
      </c>
    </row>
    <row r="2346">
      <c r="A2346" s="12" t="inlineStr">
        <is>
          <t>B-MV-0007</t>
        </is>
      </c>
      <c r="B2346" s="12" t="inlineStr">
        <is>
          <t>B</t>
        </is>
      </c>
      <c r="C2346" s="12" t="inlineStr">
        <is>
          <t>ACC</t>
        </is>
      </c>
      <c r="D2346" s="12" t="inlineStr">
        <is>
          <t>Condensate pump CP-C</t>
        </is>
      </c>
      <c r="E2346" s="12" t="inlineStr">
        <is>
          <t>SWGR-4.16-A</t>
        </is>
      </c>
      <c r="F2346" s="12" t="inlineStr">
        <is>
          <t>R1 SWGR-4.16-A (9 x 36 in cubicles, 5 kV metal-clad)</t>
        </is>
      </c>
      <c r="G2346" s="12" t="inlineStr">
        <is>
          <t>CP-A/B/C</t>
        </is>
      </c>
      <c r="H2346" s="12" t="inlineStr">
        <is>
          <t>CP-A/B/C: condensate pumps (4.16 kV)</t>
        </is>
      </c>
      <c r="I2346" s="12" t="inlineStr">
        <is>
          <t>MV 5 kV</t>
        </is>
      </c>
      <c r="J2346" s="12" t="inlineStr">
        <is>
          <t>MV-105 5 kV 3/C Cu, EPR 133%, tape shield, gnd, PVC jacket</t>
        </is>
      </c>
      <c r="K2346" s="12" t="inlineStr">
        <is>
          <t>MV5|3/C|1/0</t>
        </is>
      </c>
      <c r="L2346" s="12" t="inlineStr">
        <is>
          <t>3/C</t>
        </is>
      </c>
      <c r="M2346" s="12" t="inlineStr">
        <is>
          <t>1/0</t>
        </is>
      </c>
      <c r="N2346" s="12" t="n">
        <v>1</v>
      </c>
      <c r="O2346" s="12" t="n">
        <v>1</v>
      </c>
      <c r="P2346" s="12" t="n">
        <v>4160</v>
      </c>
      <c r="Q2346" s="12" t="n">
        <v>900</v>
      </c>
      <c r="R2346" s="12" t="n">
        <v>139</v>
      </c>
      <c r="S2346" s="12" t="inlineStr">
        <is>
          <t>Tray</t>
        </is>
      </c>
      <c r="T2346" s="16" t="n">
        <v>1215</v>
      </c>
      <c r="U2346" s="16" t="n">
        <v>274</v>
      </c>
      <c r="V2346" s="16">
        <f>ROUNDUP((T2346+U2346+2*'Read Me'!$B$13)*(1+'Read Me'!$B$12),-1)</f>
        <v/>
      </c>
      <c r="W2346" s="16">
        <f>V2346*N2346*O2346</f>
        <v/>
      </c>
      <c r="X2346" s="12">
        <f>IF(LEFT(I2346,2)="MV",2*N2346*IF(L2346="1/C",O2346,1),0)</f>
        <v/>
      </c>
      <c r="Y2346" s="12">
        <f>IF(OR(LEFT(K2346,4)="LVAX",LEFT(K2346,6)="MV15AX",LEFT(K2346,4)="CTAX",LEFT(K2346,2)="W|"),2*N2346*O2346,0)</f>
        <v/>
      </c>
      <c r="Z2346" s="12" t="inlineStr"/>
      <c r="AA2346" s="12">
        <f>N2346*O2346</f>
        <v/>
      </c>
    </row>
    <row r="2347">
      <c r="A2347" s="12" t="inlineStr">
        <is>
          <t>C-L-0001</t>
        </is>
      </c>
      <c r="B2347" s="12" t="inlineStr">
        <is>
          <t>C</t>
        </is>
      </c>
      <c r="C2347" s="12" t="inlineStr">
        <is>
          <t>Grid interface</t>
        </is>
      </c>
      <c r="D2347" s="12" t="inlineStr">
        <is>
          <t>Lighting, receptacles and small power branch circuits (allowance)</t>
        </is>
      </c>
      <c r="E2347" s="12" t="inlineStr">
        <is>
          <t>RH</t>
        </is>
      </c>
      <c r="F2347" s="12" t="inlineStr">
        <is>
          <t>RH: switchyard relay / control house (52 x 70 ft)</t>
        </is>
      </c>
      <c r="G2347" s="12" t="inlineStr">
        <is>
          <t>RH</t>
        </is>
      </c>
      <c r="H2347" s="12" t="inlineStr">
        <is>
          <t>RH: switchyard relay / control house (52 x 70 ft)</t>
        </is>
      </c>
      <c r="I2347" s="12" t="inlineStr">
        <is>
          <t>Building wire</t>
        </is>
      </c>
      <c r="J2347" s="12" t="inlineStr">
        <is>
          <t>SIMpull THHN/THWN-2 600 V 1/C Cu (lighting, receptacles, small power)</t>
        </is>
      </c>
      <c r="K2347" s="12" t="inlineStr">
        <is>
          <t>THHN|1/C|12</t>
        </is>
      </c>
      <c r="L2347" s="12" t="inlineStr">
        <is>
          <t>1/C</t>
        </is>
      </c>
      <c r="M2347" s="12" t="inlineStr">
        <is>
          <t>12</t>
        </is>
      </c>
      <c r="N2347" s="12" t="n">
        <v>1</v>
      </c>
      <c r="O2347" s="12" t="n">
        <v>1</v>
      </c>
      <c r="P2347" s="12" t="n">
        <v>277</v>
      </c>
      <c r="Q2347" s="12" t="n"/>
      <c r="R2347" s="12" t="n"/>
      <c r="S2347" s="12" t="inlineStr">
        <is>
          <t>Conduit</t>
        </is>
      </c>
      <c r="T2347" s="16" t="n">
        <v>5824</v>
      </c>
      <c r="U2347" s="16" t="n">
        <v>0</v>
      </c>
      <c r="V2347" s="16">
        <f>ROUNDUP((T2347+U2347+2*'Read Me'!$B$13)*(1+'Read Me'!$B$12),-1)</f>
        <v/>
      </c>
      <c r="W2347" s="16">
        <f>V2347*N2347*O2347</f>
        <v/>
      </c>
      <c r="X2347" s="12">
        <f>IF(LEFT(I2347,2)="MV",2*N2347*IF(L2347="1/C",O2347,1),0)</f>
        <v/>
      </c>
      <c r="Y2347" s="12">
        <f>IF(OR(LEFT(K2347,4)="LVAX",LEFT(K2347,6)="MV15AX",LEFT(K2347,4)="CTAX",LEFT(K2347,2)="W|"),2*N2347*O2347,0)</f>
        <v/>
      </c>
      <c r="Z2347" s="12" t="inlineStr">
        <is>
          <t>allowance: 1.6 ft of conductor per ft2 of floor</t>
        </is>
      </c>
      <c r="AA2347" s="12">
        <f>N2347*O2347</f>
        <v/>
      </c>
    </row>
    <row r="2348">
      <c r="A2348" s="12" t="inlineStr">
        <is>
          <t>C-C-0001</t>
        </is>
      </c>
      <c r="B2348" s="12" t="inlineStr">
        <is>
          <t>C</t>
        </is>
      </c>
      <c r="C2348" s="12" t="inlineStr">
        <is>
          <t>Grid interface</t>
        </is>
      </c>
      <c r="D2348" s="12" t="inlineStr">
        <is>
          <t>Control</t>
        </is>
      </c>
      <c r="E2348" s="12" t="inlineStr">
        <is>
          <t>RH</t>
        </is>
      </c>
      <c r="F2348" s="12" t="inlineStr">
        <is>
          <t>RH: switchyard relay / control house (52 x 70 ft)</t>
        </is>
      </c>
      <c r="G2348" s="12" t="inlineStr">
        <is>
          <t>D1-CB1</t>
        </is>
      </c>
      <c r="H2348" s="12" t="inlineStr">
        <is>
          <t>D1 230 kV breaker 1</t>
        </is>
      </c>
      <c r="I2348" s="12" t="inlineStr">
        <is>
          <t>Control</t>
        </is>
      </c>
      <c r="J2348" s="12" t="inlineStr">
        <is>
          <t>Control cable 600 V Type TC-ER, Cu #14 AWG, PVC jacket</t>
        </is>
      </c>
      <c r="K2348" s="12" t="inlineStr">
        <is>
          <t>CT|12/C|14</t>
        </is>
      </c>
      <c r="L2348" s="12" t="inlineStr">
        <is>
          <t>12/C</t>
        </is>
      </c>
      <c r="M2348" s="12" t="inlineStr">
        <is>
          <t>14</t>
        </is>
      </c>
      <c r="N2348" s="12" t="n">
        <v>1</v>
      </c>
      <c r="O2348" s="12" t="n">
        <v>1</v>
      </c>
      <c r="P2348" s="12" t="n"/>
      <c r="Q2348" s="12" t="n"/>
      <c r="R2348" s="12" t="n"/>
      <c r="S2348" s="12" t="inlineStr">
        <is>
          <t>Trench</t>
        </is>
      </c>
      <c r="T2348" s="16" t="n">
        <v>274</v>
      </c>
      <c r="U2348" s="16" t="n">
        <v>40</v>
      </c>
      <c r="V2348" s="16">
        <f>ROUNDUP((T2348+U2348+2*'Read Me'!$B$13)*(1+'Read Me'!$B$12),-1)</f>
        <v/>
      </c>
      <c r="W2348" s="16">
        <f>V2348*N2348*O2348</f>
        <v/>
      </c>
      <c r="X2348" s="12">
        <f>IF(LEFT(I2348,2)="MV",2*N2348*IF(L2348="1/C",O2348,1),0)</f>
        <v/>
      </c>
      <c r="Y2348" s="12">
        <f>IF(OR(LEFT(K2348,4)="LVAX",LEFT(K2348,6)="MV15AX",LEFT(K2348,4)="CTAX",LEFT(K2348,2)="W|"),2*N2348*O2348,0)</f>
        <v/>
      </c>
      <c r="Z2348" s="12" t="inlineStr"/>
      <c r="AA2348" s="12">
        <f>N2348*O2348</f>
        <v/>
      </c>
    </row>
    <row r="2349">
      <c r="A2349" s="12" t="inlineStr">
        <is>
          <t>C-C-0002</t>
        </is>
      </c>
      <c r="B2349" s="12" t="inlineStr">
        <is>
          <t>C</t>
        </is>
      </c>
      <c r="C2349" s="12" t="inlineStr">
        <is>
          <t>Grid interface</t>
        </is>
      </c>
      <c r="D2349" s="12" t="inlineStr">
        <is>
          <t>Control</t>
        </is>
      </c>
      <c r="E2349" s="12" t="inlineStr">
        <is>
          <t>RH</t>
        </is>
      </c>
      <c r="F2349" s="12" t="inlineStr">
        <is>
          <t>RH: switchyard relay / control house (52 x 70 ft)</t>
        </is>
      </c>
      <c r="G2349" s="12" t="inlineStr">
        <is>
          <t>D1-CB1</t>
        </is>
      </c>
      <c r="H2349" s="12" t="inlineStr">
        <is>
          <t>D1 230 kV breaker 1</t>
        </is>
      </c>
      <c r="I2349" s="12" t="inlineStr">
        <is>
          <t>Control</t>
        </is>
      </c>
      <c r="J2349" s="12" t="inlineStr">
        <is>
          <t>Control cable 600 V Type TC-ER, Cu #14 AWG, PVC jacket</t>
        </is>
      </c>
      <c r="K2349" s="12" t="inlineStr">
        <is>
          <t>CT|12/C|14</t>
        </is>
      </c>
      <c r="L2349" s="12" t="inlineStr">
        <is>
          <t>12/C</t>
        </is>
      </c>
      <c r="M2349" s="12" t="inlineStr">
        <is>
          <t>14</t>
        </is>
      </c>
      <c r="N2349" s="12" t="n">
        <v>1</v>
      </c>
      <c r="O2349" s="12" t="n">
        <v>1</v>
      </c>
      <c r="P2349" s="12" t="n"/>
      <c r="Q2349" s="12" t="n"/>
      <c r="R2349" s="12" t="n"/>
      <c r="S2349" s="12" t="inlineStr">
        <is>
          <t>Trench</t>
        </is>
      </c>
      <c r="T2349" s="16" t="n">
        <v>274</v>
      </c>
      <c r="U2349" s="16" t="n">
        <v>40</v>
      </c>
      <c r="V2349" s="16">
        <f>ROUNDUP((T2349+U2349+2*'Read Me'!$B$13)*(1+'Read Me'!$B$12),-1)</f>
        <v/>
      </c>
      <c r="W2349" s="16">
        <f>V2349*N2349*O2349</f>
        <v/>
      </c>
      <c r="X2349" s="12">
        <f>IF(LEFT(I2349,2)="MV",2*N2349*IF(L2349="1/C",O2349,1),0)</f>
        <v/>
      </c>
      <c r="Y2349" s="12">
        <f>IF(OR(LEFT(K2349,4)="LVAX",LEFT(K2349,6)="MV15AX",LEFT(K2349,4)="CTAX",LEFT(K2349,2)="W|"),2*N2349*O2349,0)</f>
        <v/>
      </c>
      <c r="Z2349" s="12" t="inlineStr"/>
      <c r="AA2349" s="12">
        <f>N2349*O2349</f>
        <v/>
      </c>
    </row>
    <row r="2350">
      <c r="A2350" s="12" t="inlineStr">
        <is>
          <t>C-C-0003</t>
        </is>
      </c>
      <c r="B2350" s="12" t="inlineStr">
        <is>
          <t>C</t>
        </is>
      </c>
      <c r="C2350" s="12" t="inlineStr">
        <is>
          <t>Grid interface</t>
        </is>
      </c>
      <c r="D2350" s="12" t="inlineStr">
        <is>
          <t>Control</t>
        </is>
      </c>
      <c r="E2350" s="12" t="inlineStr">
        <is>
          <t>RH</t>
        </is>
      </c>
      <c r="F2350" s="12" t="inlineStr">
        <is>
          <t>RH: switchyard relay / control house (52 x 70 ft)</t>
        </is>
      </c>
      <c r="G2350" s="12" t="inlineStr">
        <is>
          <t>D1-CB1</t>
        </is>
      </c>
      <c r="H2350" s="12" t="inlineStr">
        <is>
          <t>D1 230 kV breaker 1</t>
        </is>
      </c>
      <c r="I2350" s="12" t="inlineStr">
        <is>
          <t>Control</t>
        </is>
      </c>
      <c r="J2350" s="12" t="inlineStr">
        <is>
          <t>Control cable 600 V Type TC-ER, Cu #14 AWG, PVC jacket</t>
        </is>
      </c>
      <c r="K2350" s="12" t="inlineStr">
        <is>
          <t>CT|12/C|14</t>
        </is>
      </c>
      <c r="L2350" s="12" t="inlineStr">
        <is>
          <t>12/C</t>
        </is>
      </c>
      <c r="M2350" s="12" t="inlineStr">
        <is>
          <t>14</t>
        </is>
      </c>
      <c r="N2350" s="12" t="n">
        <v>1</v>
      </c>
      <c r="O2350" s="12" t="n">
        <v>1</v>
      </c>
      <c r="P2350" s="12" t="n"/>
      <c r="Q2350" s="12" t="n"/>
      <c r="R2350" s="12" t="n"/>
      <c r="S2350" s="12" t="inlineStr">
        <is>
          <t>Trench</t>
        </is>
      </c>
      <c r="T2350" s="16" t="n">
        <v>274</v>
      </c>
      <c r="U2350" s="16" t="n">
        <v>40</v>
      </c>
      <c r="V2350" s="16">
        <f>ROUNDUP((T2350+U2350+2*'Read Me'!$B$13)*(1+'Read Me'!$B$12),-1)</f>
        <v/>
      </c>
      <c r="W2350" s="16">
        <f>V2350*N2350*O2350</f>
        <v/>
      </c>
      <c r="X2350" s="12">
        <f>IF(LEFT(I2350,2)="MV",2*N2350*IF(L2350="1/C",O2350,1),0)</f>
        <v/>
      </c>
      <c r="Y2350" s="12">
        <f>IF(OR(LEFT(K2350,4)="LVAX",LEFT(K2350,6)="MV15AX",LEFT(K2350,4)="CTAX",LEFT(K2350,2)="W|"),2*N2350*O2350,0)</f>
        <v/>
      </c>
      <c r="Z2350" s="12" t="inlineStr"/>
      <c r="AA2350" s="12">
        <f>N2350*O2350</f>
        <v/>
      </c>
    </row>
    <row r="2351">
      <c r="A2351" s="12" t="inlineStr">
        <is>
          <t>C-C-0004</t>
        </is>
      </c>
      <c r="B2351" s="12" t="inlineStr">
        <is>
          <t>C</t>
        </is>
      </c>
      <c r="C2351" s="12" t="inlineStr">
        <is>
          <t>Grid interface</t>
        </is>
      </c>
      <c r="D2351" s="12" t="inlineStr">
        <is>
          <t>Control</t>
        </is>
      </c>
      <c r="E2351" s="12" t="inlineStr">
        <is>
          <t>RH</t>
        </is>
      </c>
      <c r="F2351" s="12" t="inlineStr">
        <is>
          <t>RH: switchyard relay / control house (52 x 70 ft)</t>
        </is>
      </c>
      <c r="G2351" s="12" t="inlineStr">
        <is>
          <t>D1-CB1</t>
        </is>
      </c>
      <c r="H2351" s="12" t="inlineStr">
        <is>
          <t>D1 230 kV breaker 1</t>
        </is>
      </c>
      <c r="I2351" s="12" t="inlineStr">
        <is>
          <t>Control</t>
        </is>
      </c>
      <c r="J2351" s="12" t="inlineStr">
        <is>
          <t>Control cable 600 V Type TC-ER, Cu #14 AWG, PVC jacket</t>
        </is>
      </c>
      <c r="K2351" s="12" t="inlineStr">
        <is>
          <t>CT|12/C|14</t>
        </is>
      </c>
      <c r="L2351" s="12" t="inlineStr">
        <is>
          <t>12/C</t>
        </is>
      </c>
      <c r="M2351" s="12" t="inlineStr">
        <is>
          <t>14</t>
        </is>
      </c>
      <c r="N2351" s="12" t="n">
        <v>1</v>
      </c>
      <c r="O2351" s="12" t="n">
        <v>1</v>
      </c>
      <c r="P2351" s="12" t="n"/>
      <c r="Q2351" s="12" t="n"/>
      <c r="R2351" s="12" t="n"/>
      <c r="S2351" s="12" t="inlineStr">
        <is>
          <t>Trench</t>
        </is>
      </c>
      <c r="T2351" s="16" t="n">
        <v>274</v>
      </c>
      <c r="U2351" s="16" t="n">
        <v>40</v>
      </c>
      <c r="V2351" s="16">
        <f>ROUNDUP((T2351+U2351+2*'Read Me'!$B$13)*(1+'Read Me'!$B$12),-1)</f>
        <v/>
      </c>
      <c r="W2351" s="16">
        <f>V2351*N2351*O2351</f>
        <v/>
      </c>
      <c r="X2351" s="12">
        <f>IF(LEFT(I2351,2)="MV",2*N2351*IF(L2351="1/C",O2351,1),0)</f>
        <v/>
      </c>
      <c r="Y2351" s="12">
        <f>IF(OR(LEFT(K2351,4)="LVAX",LEFT(K2351,6)="MV15AX",LEFT(K2351,4)="CTAX",LEFT(K2351,2)="W|"),2*N2351*O2351,0)</f>
        <v/>
      </c>
      <c r="Z2351" s="12" t="inlineStr"/>
      <c r="AA2351" s="12">
        <f>N2351*O2351</f>
        <v/>
      </c>
    </row>
    <row r="2352">
      <c r="A2352" s="12" t="inlineStr">
        <is>
          <t>C-C-0005</t>
        </is>
      </c>
      <c r="B2352" s="12" t="inlineStr">
        <is>
          <t>C</t>
        </is>
      </c>
      <c r="C2352" s="12" t="inlineStr">
        <is>
          <t>Grid interface</t>
        </is>
      </c>
      <c r="D2352" s="12" t="inlineStr">
        <is>
          <t>CT / VT</t>
        </is>
      </c>
      <c r="E2352" s="12" t="inlineStr">
        <is>
          <t>RH</t>
        </is>
      </c>
      <c r="F2352" s="12" t="inlineStr">
        <is>
          <t>RH: switchyard relay / control house (52 x 70 ft)</t>
        </is>
      </c>
      <c r="G2352" s="12" t="inlineStr">
        <is>
          <t>D1-CB1</t>
        </is>
      </c>
      <c r="H2352" s="12" t="inlineStr">
        <is>
          <t>D1 230 kV breaker 1</t>
        </is>
      </c>
      <c r="I2352" s="12" t="inlineStr">
        <is>
          <t>Control</t>
        </is>
      </c>
      <c r="J2352" s="12" t="inlineStr">
        <is>
          <t>Control cable 600 V Type TC-ER, Cu #10 AWG (CT / VT circuits)</t>
        </is>
      </c>
      <c r="K2352" s="12" t="inlineStr">
        <is>
          <t>CTCT|4/C|10</t>
        </is>
      </c>
      <c r="L2352" s="12" t="inlineStr">
        <is>
          <t>4/C</t>
        </is>
      </c>
      <c r="M2352" s="12" t="inlineStr">
        <is>
          <t>10</t>
        </is>
      </c>
      <c r="N2352" s="12" t="n">
        <v>1</v>
      </c>
      <c r="O2352" s="12" t="n">
        <v>1</v>
      </c>
      <c r="P2352" s="12" t="n"/>
      <c r="Q2352" s="12" t="n"/>
      <c r="R2352" s="12" t="n"/>
      <c r="S2352" s="12" t="inlineStr">
        <is>
          <t>Trench</t>
        </is>
      </c>
      <c r="T2352" s="16" t="n">
        <v>274</v>
      </c>
      <c r="U2352" s="16" t="n">
        <v>40</v>
      </c>
      <c r="V2352" s="16">
        <f>ROUNDUP((T2352+U2352+2*'Read Me'!$B$13)*(1+'Read Me'!$B$12),-1)</f>
        <v/>
      </c>
      <c r="W2352" s="16">
        <f>V2352*N2352*O2352</f>
        <v/>
      </c>
      <c r="X2352" s="12">
        <f>IF(LEFT(I2352,2)="MV",2*N2352*IF(L2352="1/C",O2352,1),0)</f>
        <v/>
      </c>
      <c r="Y2352" s="12">
        <f>IF(OR(LEFT(K2352,4)="LVAX",LEFT(K2352,6)="MV15AX",LEFT(K2352,4)="CTAX",LEFT(K2352,2)="W|"),2*N2352*O2352,0)</f>
        <v/>
      </c>
      <c r="Z2352" s="12" t="inlineStr"/>
      <c r="AA2352" s="12">
        <f>N2352*O2352</f>
        <v/>
      </c>
    </row>
    <row r="2353">
      <c r="A2353" s="12" t="inlineStr">
        <is>
          <t>C-C-0006</t>
        </is>
      </c>
      <c r="B2353" s="12" t="inlineStr">
        <is>
          <t>C</t>
        </is>
      </c>
      <c r="C2353" s="12" t="inlineStr">
        <is>
          <t>Grid interface</t>
        </is>
      </c>
      <c r="D2353" s="12" t="inlineStr">
        <is>
          <t>CT / VT</t>
        </is>
      </c>
      <c r="E2353" s="12" t="inlineStr">
        <is>
          <t>RH</t>
        </is>
      </c>
      <c r="F2353" s="12" t="inlineStr">
        <is>
          <t>RH: switchyard relay / control house (52 x 70 ft)</t>
        </is>
      </c>
      <c r="G2353" s="12" t="inlineStr">
        <is>
          <t>D1-CB1</t>
        </is>
      </c>
      <c r="H2353" s="12" t="inlineStr">
        <is>
          <t>D1 230 kV breaker 1</t>
        </is>
      </c>
      <c r="I2353" s="12" t="inlineStr">
        <is>
          <t>Control</t>
        </is>
      </c>
      <c r="J2353" s="12" t="inlineStr">
        <is>
          <t>Control cable 600 V Type TC-ER, Cu #10 AWG (CT / VT circuits)</t>
        </is>
      </c>
      <c r="K2353" s="12" t="inlineStr">
        <is>
          <t>CTCT|4/C|10</t>
        </is>
      </c>
      <c r="L2353" s="12" t="inlineStr">
        <is>
          <t>4/C</t>
        </is>
      </c>
      <c r="M2353" s="12" t="inlineStr">
        <is>
          <t>10</t>
        </is>
      </c>
      <c r="N2353" s="12" t="n">
        <v>1</v>
      </c>
      <c r="O2353" s="12" t="n">
        <v>1</v>
      </c>
      <c r="P2353" s="12" t="n"/>
      <c r="Q2353" s="12" t="n"/>
      <c r="R2353" s="12" t="n"/>
      <c r="S2353" s="12" t="inlineStr">
        <is>
          <t>Trench</t>
        </is>
      </c>
      <c r="T2353" s="16" t="n">
        <v>274</v>
      </c>
      <c r="U2353" s="16" t="n">
        <v>40</v>
      </c>
      <c r="V2353" s="16">
        <f>ROUNDUP((T2353+U2353+2*'Read Me'!$B$13)*(1+'Read Me'!$B$12),-1)</f>
        <v/>
      </c>
      <c r="W2353" s="16">
        <f>V2353*N2353*O2353</f>
        <v/>
      </c>
      <c r="X2353" s="12">
        <f>IF(LEFT(I2353,2)="MV",2*N2353*IF(L2353="1/C",O2353,1),0)</f>
        <v/>
      </c>
      <c r="Y2353" s="12">
        <f>IF(OR(LEFT(K2353,4)="LVAX",LEFT(K2353,6)="MV15AX",LEFT(K2353,4)="CTAX",LEFT(K2353,2)="W|"),2*N2353*O2353,0)</f>
        <v/>
      </c>
      <c r="Z2353" s="12" t="inlineStr"/>
      <c r="AA2353" s="12">
        <f>N2353*O2353</f>
        <v/>
      </c>
    </row>
    <row r="2354">
      <c r="A2354" s="12" t="inlineStr">
        <is>
          <t>C-C-0007</t>
        </is>
      </c>
      <c r="B2354" s="12" t="inlineStr">
        <is>
          <t>C</t>
        </is>
      </c>
      <c r="C2354" s="12" t="inlineStr">
        <is>
          <t>Grid interface</t>
        </is>
      </c>
      <c r="D2354" s="12" t="inlineStr">
        <is>
          <t>CT / VT</t>
        </is>
      </c>
      <c r="E2354" s="12" t="inlineStr">
        <is>
          <t>RH</t>
        </is>
      </c>
      <c r="F2354" s="12" t="inlineStr">
        <is>
          <t>RH: switchyard relay / control house (52 x 70 ft)</t>
        </is>
      </c>
      <c r="G2354" s="12" t="inlineStr">
        <is>
          <t>D1-CB1</t>
        </is>
      </c>
      <c r="H2354" s="12" t="inlineStr">
        <is>
          <t>D1 230 kV breaker 1</t>
        </is>
      </c>
      <c r="I2354" s="12" t="inlineStr">
        <is>
          <t>Control</t>
        </is>
      </c>
      <c r="J2354" s="12" t="inlineStr">
        <is>
          <t>Control cable 600 V Type TC-ER, Cu #10 AWG (CT / VT circuits)</t>
        </is>
      </c>
      <c r="K2354" s="12" t="inlineStr">
        <is>
          <t>CTCT|4/C|10</t>
        </is>
      </c>
      <c r="L2354" s="12" t="inlineStr">
        <is>
          <t>4/C</t>
        </is>
      </c>
      <c r="M2354" s="12" t="inlineStr">
        <is>
          <t>10</t>
        </is>
      </c>
      <c r="N2354" s="12" t="n">
        <v>1</v>
      </c>
      <c r="O2354" s="12" t="n">
        <v>1</v>
      </c>
      <c r="P2354" s="12" t="n"/>
      <c r="Q2354" s="12" t="n"/>
      <c r="R2354" s="12" t="n"/>
      <c r="S2354" s="12" t="inlineStr">
        <is>
          <t>Trench</t>
        </is>
      </c>
      <c r="T2354" s="16" t="n">
        <v>274</v>
      </c>
      <c r="U2354" s="16" t="n">
        <v>40</v>
      </c>
      <c r="V2354" s="16">
        <f>ROUNDUP((T2354+U2354+2*'Read Me'!$B$13)*(1+'Read Me'!$B$12),-1)</f>
        <v/>
      </c>
      <c r="W2354" s="16">
        <f>V2354*N2354*O2354</f>
        <v/>
      </c>
      <c r="X2354" s="12">
        <f>IF(LEFT(I2354,2)="MV",2*N2354*IF(L2354="1/C",O2354,1),0)</f>
        <v/>
      </c>
      <c r="Y2354" s="12">
        <f>IF(OR(LEFT(K2354,4)="LVAX",LEFT(K2354,6)="MV15AX",LEFT(K2354,4)="CTAX",LEFT(K2354,2)="W|"),2*N2354*O2354,0)</f>
        <v/>
      </c>
      <c r="Z2354" s="12" t="inlineStr"/>
      <c r="AA2354" s="12">
        <f>N2354*O2354</f>
        <v/>
      </c>
    </row>
    <row r="2355">
      <c r="A2355" s="12" t="inlineStr">
        <is>
          <t>C-C-0008</t>
        </is>
      </c>
      <c r="B2355" s="12" t="inlineStr">
        <is>
          <t>C</t>
        </is>
      </c>
      <c r="C2355" s="12" t="inlineStr">
        <is>
          <t>Grid interface</t>
        </is>
      </c>
      <c r="D2355" s="12" t="inlineStr">
        <is>
          <t>Control</t>
        </is>
      </c>
      <c r="E2355" s="12" t="inlineStr">
        <is>
          <t>RH</t>
        </is>
      </c>
      <c r="F2355" s="12" t="inlineStr">
        <is>
          <t>RH: switchyard relay / control house (52 x 70 ft)</t>
        </is>
      </c>
      <c r="G2355" s="12" t="inlineStr">
        <is>
          <t>D1-CB2</t>
        </is>
      </c>
      <c r="H2355" s="12" t="inlineStr">
        <is>
          <t>D1 230 kV breaker 2</t>
        </is>
      </c>
      <c r="I2355" s="12" t="inlineStr">
        <is>
          <t>Control</t>
        </is>
      </c>
      <c r="J2355" s="12" t="inlineStr">
        <is>
          <t>Control cable 600 V Type TC-ER, Cu #14 AWG, PVC jacket</t>
        </is>
      </c>
      <c r="K2355" s="12" t="inlineStr">
        <is>
          <t>CT|12/C|14</t>
        </is>
      </c>
      <c r="L2355" s="12" t="inlineStr">
        <is>
          <t>12/C</t>
        </is>
      </c>
      <c r="M2355" s="12" t="inlineStr">
        <is>
          <t>14</t>
        </is>
      </c>
      <c r="N2355" s="12" t="n">
        <v>1</v>
      </c>
      <c r="O2355" s="12" t="n">
        <v>1</v>
      </c>
      <c r="P2355" s="12" t="n"/>
      <c r="Q2355" s="12" t="n"/>
      <c r="R2355" s="12" t="n"/>
      <c r="S2355" s="12" t="inlineStr">
        <is>
          <t>Trench</t>
        </is>
      </c>
      <c r="T2355" s="16" t="n">
        <v>274</v>
      </c>
      <c r="U2355" s="16" t="n">
        <v>52</v>
      </c>
      <c r="V2355" s="16">
        <f>ROUNDUP((T2355+U2355+2*'Read Me'!$B$13)*(1+'Read Me'!$B$12),-1)</f>
        <v/>
      </c>
      <c r="W2355" s="16">
        <f>V2355*N2355*O2355</f>
        <v/>
      </c>
      <c r="X2355" s="12">
        <f>IF(LEFT(I2355,2)="MV",2*N2355*IF(L2355="1/C",O2355,1),0)</f>
        <v/>
      </c>
      <c r="Y2355" s="12">
        <f>IF(OR(LEFT(K2355,4)="LVAX",LEFT(K2355,6)="MV15AX",LEFT(K2355,4)="CTAX",LEFT(K2355,2)="W|"),2*N2355*O2355,0)</f>
        <v/>
      </c>
      <c r="Z2355" s="12" t="inlineStr"/>
      <c r="AA2355" s="12">
        <f>N2355*O2355</f>
        <v/>
      </c>
    </row>
    <row r="2356">
      <c r="A2356" s="12" t="inlineStr">
        <is>
          <t>C-C-0009</t>
        </is>
      </c>
      <c r="B2356" s="12" t="inlineStr">
        <is>
          <t>C</t>
        </is>
      </c>
      <c r="C2356" s="12" t="inlineStr">
        <is>
          <t>Grid interface</t>
        </is>
      </c>
      <c r="D2356" s="12" t="inlineStr">
        <is>
          <t>Control</t>
        </is>
      </c>
      <c r="E2356" s="12" t="inlineStr">
        <is>
          <t>RH</t>
        </is>
      </c>
      <c r="F2356" s="12" t="inlineStr">
        <is>
          <t>RH: switchyard relay / control house (52 x 70 ft)</t>
        </is>
      </c>
      <c r="G2356" s="12" t="inlineStr">
        <is>
          <t>D1-CB2</t>
        </is>
      </c>
      <c r="H2356" s="12" t="inlineStr">
        <is>
          <t>D1 230 kV breaker 2</t>
        </is>
      </c>
      <c r="I2356" s="12" t="inlineStr">
        <is>
          <t>Control</t>
        </is>
      </c>
      <c r="J2356" s="12" t="inlineStr">
        <is>
          <t>Control cable 600 V Type TC-ER, Cu #14 AWG, PVC jacket</t>
        </is>
      </c>
      <c r="K2356" s="12" t="inlineStr">
        <is>
          <t>CT|12/C|14</t>
        </is>
      </c>
      <c r="L2356" s="12" t="inlineStr">
        <is>
          <t>12/C</t>
        </is>
      </c>
      <c r="M2356" s="12" t="inlineStr">
        <is>
          <t>14</t>
        </is>
      </c>
      <c r="N2356" s="12" t="n">
        <v>1</v>
      </c>
      <c r="O2356" s="12" t="n">
        <v>1</v>
      </c>
      <c r="P2356" s="12" t="n"/>
      <c r="Q2356" s="12" t="n"/>
      <c r="R2356" s="12" t="n"/>
      <c r="S2356" s="12" t="inlineStr">
        <is>
          <t>Trench</t>
        </is>
      </c>
      <c r="T2356" s="16" t="n">
        <v>274</v>
      </c>
      <c r="U2356" s="16" t="n">
        <v>52</v>
      </c>
      <c r="V2356" s="16">
        <f>ROUNDUP((T2356+U2356+2*'Read Me'!$B$13)*(1+'Read Me'!$B$12),-1)</f>
        <v/>
      </c>
      <c r="W2356" s="16">
        <f>V2356*N2356*O2356</f>
        <v/>
      </c>
      <c r="X2356" s="12">
        <f>IF(LEFT(I2356,2)="MV",2*N2356*IF(L2356="1/C",O2356,1),0)</f>
        <v/>
      </c>
      <c r="Y2356" s="12">
        <f>IF(OR(LEFT(K2356,4)="LVAX",LEFT(K2356,6)="MV15AX",LEFT(K2356,4)="CTAX",LEFT(K2356,2)="W|"),2*N2356*O2356,0)</f>
        <v/>
      </c>
      <c r="Z2356" s="12" t="inlineStr"/>
      <c r="AA2356" s="12">
        <f>N2356*O2356</f>
        <v/>
      </c>
    </row>
    <row r="2357">
      <c r="A2357" s="12" t="inlineStr">
        <is>
          <t>C-C-0010</t>
        </is>
      </c>
      <c r="B2357" s="12" t="inlineStr">
        <is>
          <t>C</t>
        </is>
      </c>
      <c r="C2357" s="12" t="inlineStr">
        <is>
          <t>Grid interface</t>
        </is>
      </c>
      <c r="D2357" s="12" t="inlineStr">
        <is>
          <t>Control</t>
        </is>
      </c>
      <c r="E2357" s="12" t="inlineStr">
        <is>
          <t>RH</t>
        </is>
      </c>
      <c r="F2357" s="12" t="inlineStr">
        <is>
          <t>RH: switchyard relay / control house (52 x 70 ft)</t>
        </is>
      </c>
      <c r="G2357" s="12" t="inlineStr">
        <is>
          <t>D1-CB2</t>
        </is>
      </c>
      <c r="H2357" s="12" t="inlineStr">
        <is>
          <t>D1 230 kV breaker 2</t>
        </is>
      </c>
      <c r="I2357" s="12" t="inlineStr">
        <is>
          <t>Control</t>
        </is>
      </c>
      <c r="J2357" s="12" t="inlineStr">
        <is>
          <t>Control cable 600 V Type TC-ER, Cu #14 AWG, PVC jacket</t>
        </is>
      </c>
      <c r="K2357" s="12" t="inlineStr">
        <is>
          <t>CT|12/C|14</t>
        </is>
      </c>
      <c r="L2357" s="12" t="inlineStr">
        <is>
          <t>12/C</t>
        </is>
      </c>
      <c r="M2357" s="12" t="inlineStr">
        <is>
          <t>14</t>
        </is>
      </c>
      <c r="N2357" s="12" t="n">
        <v>1</v>
      </c>
      <c r="O2357" s="12" t="n">
        <v>1</v>
      </c>
      <c r="P2357" s="12" t="n"/>
      <c r="Q2357" s="12" t="n"/>
      <c r="R2357" s="12" t="n"/>
      <c r="S2357" s="12" t="inlineStr">
        <is>
          <t>Trench</t>
        </is>
      </c>
      <c r="T2357" s="16" t="n">
        <v>274</v>
      </c>
      <c r="U2357" s="16" t="n">
        <v>52</v>
      </c>
      <c r="V2357" s="16">
        <f>ROUNDUP((T2357+U2357+2*'Read Me'!$B$13)*(1+'Read Me'!$B$12),-1)</f>
        <v/>
      </c>
      <c r="W2357" s="16">
        <f>V2357*N2357*O2357</f>
        <v/>
      </c>
      <c r="X2357" s="12">
        <f>IF(LEFT(I2357,2)="MV",2*N2357*IF(L2357="1/C",O2357,1),0)</f>
        <v/>
      </c>
      <c r="Y2357" s="12">
        <f>IF(OR(LEFT(K2357,4)="LVAX",LEFT(K2357,6)="MV15AX",LEFT(K2357,4)="CTAX",LEFT(K2357,2)="W|"),2*N2357*O2357,0)</f>
        <v/>
      </c>
      <c r="Z2357" s="12" t="inlineStr"/>
      <c r="AA2357" s="12">
        <f>N2357*O2357</f>
        <v/>
      </c>
    </row>
    <row r="2358">
      <c r="A2358" s="12" t="inlineStr">
        <is>
          <t>C-C-0011</t>
        </is>
      </c>
      <c r="B2358" s="12" t="inlineStr">
        <is>
          <t>C</t>
        </is>
      </c>
      <c r="C2358" s="12" t="inlineStr">
        <is>
          <t>Grid interface</t>
        </is>
      </c>
      <c r="D2358" s="12" t="inlineStr">
        <is>
          <t>Control</t>
        </is>
      </c>
      <c r="E2358" s="12" t="inlineStr">
        <is>
          <t>RH</t>
        </is>
      </c>
      <c r="F2358" s="12" t="inlineStr">
        <is>
          <t>RH: switchyard relay / control house (52 x 70 ft)</t>
        </is>
      </c>
      <c r="G2358" s="12" t="inlineStr">
        <is>
          <t>D1-CB2</t>
        </is>
      </c>
      <c r="H2358" s="12" t="inlineStr">
        <is>
          <t>D1 230 kV breaker 2</t>
        </is>
      </c>
      <c r="I2358" s="12" t="inlineStr">
        <is>
          <t>Control</t>
        </is>
      </c>
      <c r="J2358" s="12" t="inlineStr">
        <is>
          <t>Control cable 600 V Type TC-ER, Cu #14 AWG, PVC jacket</t>
        </is>
      </c>
      <c r="K2358" s="12" t="inlineStr">
        <is>
          <t>CT|12/C|14</t>
        </is>
      </c>
      <c r="L2358" s="12" t="inlineStr">
        <is>
          <t>12/C</t>
        </is>
      </c>
      <c r="M2358" s="12" t="inlineStr">
        <is>
          <t>14</t>
        </is>
      </c>
      <c r="N2358" s="12" t="n">
        <v>1</v>
      </c>
      <c r="O2358" s="12" t="n">
        <v>1</v>
      </c>
      <c r="P2358" s="12" t="n"/>
      <c r="Q2358" s="12" t="n"/>
      <c r="R2358" s="12" t="n"/>
      <c r="S2358" s="12" t="inlineStr">
        <is>
          <t>Trench</t>
        </is>
      </c>
      <c r="T2358" s="16" t="n">
        <v>274</v>
      </c>
      <c r="U2358" s="16" t="n">
        <v>52</v>
      </c>
      <c r="V2358" s="16">
        <f>ROUNDUP((T2358+U2358+2*'Read Me'!$B$13)*(1+'Read Me'!$B$12),-1)</f>
        <v/>
      </c>
      <c r="W2358" s="16">
        <f>V2358*N2358*O2358</f>
        <v/>
      </c>
      <c r="X2358" s="12">
        <f>IF(LEFT(I2358,2)="MV",2*N2358*IF(L2358="1/C",O2358,1),0)</f>
        <v/>
      </c>
      <c r="Y2358" s="12">
        <f>IF(OR(LEFT(K2358,4)="LVAX",LEFT(K2358,6)="MV15AX",LEFT(K2358,4)="CTAX",LEFT(K2358,2)="W|"),2*N2358*O2358,0)</f>
        <v/>
      </c>
      <c r="Z2358" s="12" t="inlineStr"/>
      <c r="AA2358" s="12">
        <f>N2358*O2358</f>
        <v/>
      </c>
    </row>
    <row r="2359">
      <c r="A2359" s="12" t="inlineStr">
        <is>
          <t>C-C-0012</t>
        </is>
      </c>
      <c r="B2359" s="12" t="inlineStr">
        <is>
          <t>C</t>
        </is>
      </c>
      <c r="C2359" s="12" t="inlineStr">
        <is>
          <t>Grid interface</t>
        </is>
      </c>
      <c r="D2359" s="12" t="inlineStr">
        <is>
          <t>CT / VT</t>
        </is>
      </c>
      <c r="E2359" s="12" t="inlineStr">
        <is>
          <t>RH</t>
        </is>
      </c>
      <c r="F2359" s="12" t="inlineStr">
        <is>
          <t>RH: switchyard relay / control house (52 x 70 ft)</t>
        </is>
      </c>
      <c r="G2359" s="12" t="inlineStr">
        <is>
          <t>D1-CB2</t>
        </is>
      </c>
      <c r="H2359" s="12" t="inlineStr">
        <is>
          <t>D1 230 kV breaker 2</t>
        </is>
      </c>
      <c r="I2359" s="12" t="inlineStr">
        <is>
          <t>Control</t>
        </is>
      </c>
      <c r="J2359" s="12" t="inlineStr">
        <is>
          <t>Control cable 600 V Type TC-ER, Cu #10 AWG (CT / VT circuits)</t>
        </is>
      </c>
      <c r="K2359" s="12" t="inlineStr">
        <is>
          <t>CTCT|4/C|10</t>
        </is>
      </c>
      <c r="L2359" s="12" t="inlineStr">
        <is>
          <t>4/C</t>
        </is>
      </c>
      <c r="M2359" s="12" t="inlineStr">
        <is>
          <t>10</t>
        </is>
      </c>
      <c r="N2359" s="12" t="n">
        <v>1</v>
      </c>
      <c r="O2359" s="12" t="n">
        <v>1</v>
      </c>
      <c r="P2359" s="12" t="n"/>
      <c r="Q2359" s="12" t="n"/>
      <c r="R2359" s="12" t="n"/>
      <c r="S2359" s="12" t="inlineStr">
        <is>
          <t>Trench</t>
        </is>
      </c>
      <c r="T2359" s="16" t="n">
        <v>274</v>
      </c>
      <c r="U2359" s="16" t="n">
        <v>52</v>
      </c>
      <c r="V2359" s="16">
        <f>ROUNDUP((T2359+U2359+2*'Read Me'!$B$13)*(1+'Read Me'!$B$12),-1)</f>
        <v/>
      </c>
      <c r="W2359" s="16">
        <f>V2359*N2359*O2359</f>
        <v/>
      </c>
      <c r="X2359" s="12">
        <f>IF(LEFT(I2359,2)="MV",2*N2359*IF(L2359="1/C",O2359,1),0)</f>
        <v/>
      </c>
      <c r="Y2359" s="12">
        <f>IF(OR(LEFT(K2359,4)="LVAX",LEFT(K2359,6)="MV15AX",LEFT(K2359,4)="CTAX",LEFT(K2359,2)="W|"),2*N2359*O2359,0)</f>
        <v/>
      </c>
      <c r="Z2359" s="12" t="inlineStr"/>
      <c r="AA2359" s="12">
        <f>N2359*O2359</f>
        <v/>
      </c>
    </row>
    <row r="2360">
      <c r="A2360" s="12" t="inlineStr">
        <is>
          <t>C-C-0013</t>
        </is>
      </c>
      <c r="B2360" s="12" t="inlineStr">
        <is>
          <t>C</t>
        </is>
      </c>
      <c r="C2360" s="12" t="inlineStr">
        <is>
          <t>Grid interface</t>
        </is>
      </c>
      <c r="D2360" s="12" t="inlineStr">
        <is>
          <t>CT / VT</t>
        </is>
      </c>
      <c r="E2360" s="12" t="inlineStr">
        <is>
          <t>RH</t>
        </is>
      </c>
      <c r="F2360" s="12" t="inlineStr">
        <is>
          <t>RH: switchyard relay / control house (52 x 70 ft)</t>
        </is>
      </c>
      <c r="G2360" s="12" t="inlineStr">
        <is>
          <t>D1-CB2</t>
        </is>
      </c>
      <c r="H2360" s="12" t="inlineStr">
        <is>
          <t>D1 230 kV breaker 2</t>
        </is>
      </c>
      <c r="I2360" s="12" t="inlineStr">
        <is>
          <t>Control</t>
        </is>
      </c>
      <c r="J2360" s="12" t="inlineStr">
        <is>
          <t>Control cable 600 V Type TC-ER, Cu #10 AWG (CT / VT circuits)</t>
        </is>
      </c>
      <c r="K2360" s="12" t="inlineStr">
        <is>
          <t>CTCT|4/C|10</t>
        </is>
      </c>
      <c r="L2360" s="12" t="inlineStr">
        <is>
          <t>4/C</t>
        </is>
      </c>
      <c r="M2360" s="12" t="inlineStr">
        <is>
          <t>10</t>
        </is>
      </c>
      <c r="N2360" s="12" t="n">
        <v>1</v>
      </c>
      <c r="O2360" s="12" t="n">
        <v>1</v>
      </c>
      <c r="P2360" s="12" t="n"/>
      <c r="Q2360" s="12" t="n"/>
      <c r="R2360" s="12" t="n"/>
      <c r="S2360" s="12" t="inlineStr">
        <is>
          <t>Trench</t>
        </is>
      </c>
      <c r="T2360" s="16" t="n">
        <v>274</v>
      </c>
      <c r="U2360" s="16" t="n">
        <v>52</v>
      </c>
      <c r="V2360" s="16">
        <f>ROUNDUP((T2360+U2360+2*'Read Me'!$B$13)*(1+'Read Me'!$B$12),-1)</f>
        <v/>
      </c>
      <c r="W2360" s="16">
        <f>V2360*N2360*O2360</f>
        <v/>
      </c>
      <c r="X2360" s="12">
        <f>IF(LEFT(I2360,2)="MV",2*N2360*IF(L2360="1/C",O2360,1),0)</f>
        <v/>
      </c>
      <c r="Y2360" s="12">
        <f>IF(OR(LEFT(K2360,4)="LVAX",LEFT(K2360,6)="MV15AX",LEFT(K2360,4)="CTAX",LEFT(K2360,2)="W|"),2*N2360*O2360,0)</f>
        <v/>
      </c>
      <c r="Z2360" s="12" t="inlineStr"/>
      <c r="AA2360" s="12">
        <f>N2360*O2360</f>
        <v/>
      </c>
    </row>
    <row r="2361">
      <c r="A2361" s="12" t="inlineStr">
        <is>
          <t>C-C-0014</t>
        </is>
      </c>
      <c r="B2361" s="12" t="inlineStr">
        <is>
          <t>C</t>
        </is>
      </c>
      <c r="C2361" s="12" t="inlineStr">
        <is>
          <t>Grid interface</t>
        </is>
      </c>
      <c r="D2361" s="12" t="inlineStr">
        <is>
          <t>CT / VT</t>
        </is>
      </c>
      <c r="E2361" s="12" t="inlineStr">
        <is>
          <t>RH</t>
        </is>
      </c>
      <c r="F2361" s="12" t="inlineStr">
        <is>
          <t>RH: switchyard relay / control house (52 x 70 ft)</t>
        </is>
      </c>
      <c r="G2361" s="12" t="inlineStr">
        <is>
          <t>D1-CB2</t>
        </is>
      </c>
      <c r="H2361" s="12" t="inlineStr">
        <is>
          <t>D1 230 kV breaker 2</t>
        </is>
      </c>
      <c r="I2361" s="12" t="inlineStr">
        <is>
          <t>Control</t>
        </is>
      </c>
      <c r="J2361" s="12" t="inlineStr">
        <is>
          <t>Control cable 600 V Type TC-ER, Cu #10 AWG (CT / VT circuits)</t>
        </is>
      </c>
      <c r="K2361" s="12" t="inlineStr">
        <is>
          <t>CTCT|4/C|10</t>
        </is>
      </c>
      <c r="L2361" s="12" t="inlineStr">
        <is>
          <t>4/C</t>
        </is>
      </c>
      <c r="M2361" s="12" t="inlineStr">
        <is>
          <t>10</t>
        </is>
      </c>
      <c r="N2361" s="12" t="n">
        <v>1</v>
      </c>
      <c r="O2361" s="12" t="n">
        <v>1</v>
      </c>
      <c r="P2361" s="12" t="n"/>
      <c r="Q2361" s="12" t="n"/>
      <c r="R2361" s="12" t="n"/>
      <c r="S2361" s="12" t="inlineStr">
        <is>
          <t>Trench</t>
        </is>
      </c>
      <c r="T2361" s="16" t="n">
        <v>274</v>
      </c>
      <c r="U2361" s="16" t="n">
        <v>52</v>
      </c>
      <c r="V2361" s="16">
        <f>ROUNDUP((T2361+U2361+2*'Read Me'!$B$13)*(1+'Read Me'!$B$12),-1)</f>
        <v/>
      </c>
      <c r="W2361" s="16">
        <f>V2361*N2361*O2361</f>
        <v/>
      </c>
      <c r="X2361" s="12">
        <f>IF(LEFT(I2361,2)="MV",2*N2361*IF(L2361="1/C",O2361,1),0)</f>
        <v/>
      </c>
      <c r="Y2361" s="12">
        <f>IF(OR(LEFT(K2361,4)="LVAX",LEFT(K2361,6)="MV15AX",LEFT(K2361,4)="CTAX",LEFT(K2361,2)="W|"),2*N2361*O2361,0)</f>
        <v/>
      </c>
      <c r="Z2361" s="12" t="inlineStr"/>
      <c r="AA2361" s="12">
        <f>N2361*O2361</f>
        <v/>
      </c>
    </row>
    <row r="2362">
      <c r="A2362" s="12" t="inlineStr">
        <is>
          <t>C-C-0015</t>
        </is>
      </c>
      <c r="B2362" s="12" t="inlineStr">
        <is>
          <t>C</t>
        </is>
      </c>
      <c r="C2362" s="12" t="inlineStr">
        <is>
          <t>Grid interface</t>
        </is>
      </c>
      <c r="D2362" s="12" t="inlineStr">
        <is>
          <t>Control</t>
        </is>
      </c>
      <c r="E2362" s="12" t="inlineStr">
        <is>
          <t>RH</t>
        </is>
      </c>
      <c r="F2362" s="12" t="inlineStr">
        <is>
          <t>RH: switchyard relay / control house (52 x 70 ft)</t>
        </is>
      </c>
      <c r="G2362" s="12" t="inlineStr">
        <is>
          <t>D1-CB3</t>
        </is>
      </c>
      <c r="H2362" s="12" t="inlineStr">
        <is>
          <t>D1 230 kV breaker 3</t>
        </is>
      </c>
      <c r="I2362" s="12" t="inlineStr">
        <is>
          <t>Control</t>
        </is>
      </c>
      <c r="J2362" s="12" t="inlineStr">
        <is>
          <t>Control cable 600 V Type TC-ER, Cu #14 AWG, PVC jacket</t>
        </is>
      </c>
      <c r="K2362" s="12" t="inlineStr">
        <is>
          <t>CT|12/C|14</t>
        </is>
      </c>
      <c r="L2362" s="12" t="inlineStr">
        <is>
          <t>12/C</t>
        </is>
      </c>
      <c r="M2362" s="12" t="inlineStr">
        <is>
          <t>14</t>
        </is>
      </c>
      <c r="N2362" s="12" t="n">
        <v>1</v>
      </c>
      <c r="O2362" s="12" t="n">
        <v>1</v>
      </c>
      <c r="P2362" s="12" t="n"/>
      <c r="Q2362" s="12" t="n"/>
      <c r="R2362" s="12" t="n"/>
      <c r="S2362" s="12" t="inlineStr">
        <is>
          <t>Trench</t>
        </is>
      </c>
      <c r="T2362" s="16" t="n">
        <v>274</v>
      </c>
      <c r="U2362" s="16" t="n">
        <v>92</v>
      </c>
      <c r="V2362" s="16">
        <f>ROUNDUP((T2362+U2362+2*'Read Me'!$B$13)*(1+'Read Me'!$B$12),-1)</f>
        <v/>
      </c>
      <c r="W2362" s="16">
        <f>V2362*N2362*O2362</f>
        <v/>
      </c>
      <c r="X2362" s="12">
        <f>IF(LEFT(I2362,2)="MV",2*N2362*IF(L2362="1/C",O2362,1),0)</f>
        <v/>
      </c>
      <c r="Y2362" s="12">
        <f>IF(OR(LEFT(K2362,4)="LVAX",LEFT(K2362,6)="MV15AX",LEFT(K2362,4)="CTAX",LEFT(K2362,2)="W|"),2*N2362*O2362,0)</f>
        <v/>
      </c>
      <c r="Z2362" s="12" t="inlineStr"/>
      <c r="AA2362" s="12">
        <f>N2362*O2362</f>
        <v/>
      </c>
    </row>
    <row r="2363">
      <c r="A2363" s="12" t="inlineStr">
        <is>
          <t>C-C-0016</t>
        </is>
      </c>
      <c r="B2363" s="12" t="inlineStr">
        <is>
          <t>C</t>
        </is>
      </c>
      <c r="C2363" s="12" t="inlineStr">
        <is>
          <t>Grid interface</t>
        </is>
      </c>
      <c r="D2363" s="12" t="inlineStr">
        <is>
          <t>Control</t>
        </is>
      </c>
      <c r="E2363" s="12" t="inlineStr">
        <is>
          <t>RH</t>
        </is>
      </c>
      <c r="F2363" s="12" t="inlineStr">
        <is>
          <t>RH: switchyard relay / control house (52 x 70 ft)</t>
        </is>
      </c>
      <c r="G2363" s="12" t="inlineStr">
        <is>
          <t>D1-CB3</t>
        </is>
      </c>
      <c r="H2363" s="12" t="inlineStr">
        <is>
          <t>D1 230 kV breaker 3</t>
        </is>
      </c>
      <c r="I2363" s="12" t="inlineStr">
        <is>
          <t>Control</t>
        </is>
      </c>
      <c r="J2363" s="12" t="inlineStr">
        <is>
          <t>Control cable 600 V Type TC-ER, Cu #14 AWG, PVC jacket</t>
        </is>
      </c>
      <c r="K2363" s="12" t="inlineStr">
        <is>
          <t>CT|12/C|14</t>
        </is>
      </c>
      <c r="L2363" s="12" t="inlineStr">
        <is>
          <t>12/C</t>
        </is>
      </c>
      <c r="M2363" s="12" t="inlineStr">
        <is>
          <t>14</t>
        </is>
      </c>
      <c r="N2363" s="12" t="n">
        <v>1</v>
      </c>
      <c r="O2363" s="12" t="n">
        <v>1</v>
      </c>
      <c r="P2363" s="12" t="n"/>
      <c r="Q2363" s="12" t="n"/>
      <c r="R2363" s="12" t="n"/>
      <c r="S2363" s="12" t="inlineStr">
        <is>
          <t>Trench</t>
        </is>
      </c>
      <c r="T2363" s="16" t="n">
        <v>274</v>
      </c>
      <c r="U2363" s="16" t="n">
        <v>92</v>
      </c>
      <c r="V2363" s="16">
        <f>ROUNDUP((T2363+U2363+2*'Read Me'!$B$13)*(1+'Read Me'!$B$12),-1)</f>
        <v/>
      </c>
      <c r="W2363" s="16">
        <f>V2363*N2363*O2363</f>
        <v/>
      </c>
      <c r="X2363" s="12">
        <f>IF(LEFT(I2363,2)="MV",2*N2363*IF(L2363="1/C",O2363,1),0)</f>
        <v/>
      </c>
      <c r="Y2363" s="12">
        <f>IF(OR(LEFT(K2363,4)="LVAX",LEFT(K2363,6)="MV15AX",LEFT(K2363,4)="CTAX",LEFT(K2363,2)="W|"),2*N2363*O2363,0)</f>
        <v/>
      </c>
      <c r="Z2363" s="12" t="inlineStr"/>
      <c r="AA2363" s="12">
        <f>N2363*O2363</f>
        <v/>
      </c>
    </row>
    <row r="2364">
      <c r="A2364" s="12" t="inlineStr">
        <is>
          <t>C-C-0017</t>
        </is>
      </c>
      <c r="B2364" s="12" t="inlineStr">
        <is>
          <t>C</t>
        </is>
      </c>
      <c r="C2364" s="12" t="inlineStr">
        <is>
          <t>Grid interface</t>
        </is>
      </c>
      <c r="D2364" s="12" t="inlineStr">
        <is>
          <t>Control</t>
        </is>
      </c>
      <c r="E2364" s="12" t="inlineStr">
        <is>
          <t>RH</t>
        </is>
      </c>
      <c r="F2364" s="12" t="inlineStr">
        <is>
          <t>RH: switchyard relay / control house (52 x 70 ft)</t>
        </is>
      </c>
      <c r="G2364" s="12" t="inlineStr">
        <is>
          <t>D1-CB3</t>
        </is>
      </c>
      <c r="H2364" s="12" t="inlineStr">
        <is>
          <t>D1 230 kV breaker 3</t>
        </is>
      </c>
      <c r="I2364" s="12" t="inlineStr">
        <is>
          <t>Control</t>
        </is>
      </c>
      <c r="J2364" s="12" t="inlineStr">
        <is>
          <t>Control cable 600 V Type TC-ER, Cu #14 AWG, PVC jacket</t>
        </is>
      </c>
      <c r="K2364" s="12" t="inlineStr">
        <is>
          <t>CT|12/C|14</t>
        </is>
      </c>
      <c r="L2364" s="12" t="inlineStr">
        <is>
          <t>12/C</t>
        </is>
      </c>
      <c r="M2364" s="12" t="inlineStr">
        <is>
          <t>14</t>
        </is>
      </c>
      <c r="N2364" s="12" t="n">
        <v>1</v>
      </c>
      <c r="O2364" s="12" t="n">
        <v>1</v>
      </c>
      <c r="P2364" s="12" t="n"/>
      <c r="Q2364" s="12" t="n"/>
      <c r="R2364" s="12" t="n"/>
      <c r="S2364" s="12" t="inlineStr">
        <is>
          <t>Trench</t>
        </is>
      </c>
      <c r="T2364" s="16" t="n">
        <v>274</v>
      </c>
      <c r="U2364" s="16" t="n">
        <v>92</v>
      </c>
      <c r="V2364" s="16">
        <f>ROUNDUP((T2364+U2364+2*'Read Me'!$B$13)*(1+'Read Me'!$B$12),-1)</f>
        <v/>
      </c>
      <c r="W2364" s="16">
        <f>V2364*N2364*O2364</f>
        <v/>
      </c>
      <c r="X2364" s="12">
        <f>IF(LEFT(I2364,2)="MV",2*N2364*IF(L2364="1/C",O2364,1),0)</f>
        <v/>
      </c>
      <c r="Y2364" s="12">
        <f>IF(OR(LEFT(K2364,4)="LVAX",LEFT(K2364,6)="MV15AX",LEFT(K2364,4)="CTAX",LEFT(K2364,2)="W|"),2*N2364*O2364,0)</f>
        <v/>
      </c>
      <c r="Z2364" s="12" t="inlineStr"/>
      <c r="AA2364" s="12">
        <f>N2364*O2364</f>
        <v/>
      </c>
    </row>
    <row r="2365">
      <c r="A2365" s="12" t="inlineStr">
        <is>
          <t>C-C-0018</t>
        </is>
      </c>
      <c r="B2365" s="12" t="inlineStr">
        <is>
          <t>C</t>
        </is>
      </c>
      <c r="C2365" s="12" t="inlineStr">
        <is>
          <t>Grid interface</t>
        </is>
      </c>
      <c r="D2365" s="12" t="inlineStr">
        <is>
          <t>Control</t>
        </is>
      </c>
      <c r="E2365" s="12" t="inlineStr">
        <is>
          <t>RH</t>
        </is>
      </c>
      <c r="F2365" s="12" t="inlineStr">
        <is>
          <t>RH: switchyard relay / control house (52 x 70 ft)</t>
        </is>
      </c>
      <c r="G2365" s="12" t="inlineStr">
        <is>
          <t>D1-CB3</t>
        </is>
      </c>
      <c r="H2365" s="12" t="inlineStr">
        <is>
          <t>D1 230 kV breaker 3</t>
        </is>
      </c>
      <c r="I2365" s="12" t="inlineStr">
        <is>
          <t>Control</t>
        </is>
      </c>
      <c r="J2365" s="12" t="inlineStr">
        <is>
          <t>Control cable 600 V Type TC-ER, Cu #14 AWG, PVC jacket</t>
        </is>
      </c>
      <c r="K2365" s="12" t="inlineStr">
        <is>
          <t>CT|12/C|14</t>
        </is>
      </c>
      <c r="L2365" s="12" t="inlineStr">
        <is>
          <t>12/C</t>
        </is>
      </c>
      <c r="M2365" s="12" t="inlineStr">
        <is>
          <t>14</t>
        </is>
      </c>
      <c r="N2365" s="12" t="n">
        <v>1</v>
      </c>
      <c r="O2365" s="12" t="n">
        <v>1</v>
      </c>
      <c r="P2365" s="12" t="n"/>
      <c r="Q2365" s="12" t="n"/>
      <c r="R2365" s="12" t="n"/>
      <c r="S2365" s="12" t="inlineStr">
        <is>
          <t>Trench</t>
        </is>
      </c>
      <c r="T2365" s="16" t="n">
        <v>274</v>
      </c>
      <c r="U2365" s="16" t="n">
        <v>92</v>
      </c>
      <c r="V2365" s="16">
        <f>ROUNDUP((T2365+U2365+2*'Read Me'!$B$13)*(1+'Read Me'!$B$12),-1)</f>
        <v/>
      </c>
      <c r="W2365" s="16">
        <f>V2365*N2365*O2365</f>
        <v/>
      </c>
      <c r="X2365" s="12">
        <f>IF(LEFT(I2365,2)="MV",2*N2365*IF(L2365="1/C",O2365,1),0)</f>
        <v/>
      </c>
      <c r="Y2365" s="12">
        <f>IF(OR(LEFT(K2365,4)="LVAX",LEFT(K2365,6)="MV15AX",LEFT(K2365,4)="CTAX",LEFT(K2365,2)="W|"),2*N2365*O2365,0)</f>
        <v/>
      </c>
      <c r="Z2365" s="12" t="inlineStr"/>
      <c r="AA2365" s="12">
        <f>N2365*O2365</f>
        <v/>
      </c>
    </row>
    <row r="2366">
      <c r="A2366" s="12" t="inlineStr">
        <is>
          <t>C-C-0019</t>
        </is>
      </c>
      <c r="B2366" s="12" t="inlineStr">
        <is>
          <t>C</t>
        </is>
      </c>
      <c r="C2366" s="12" t="inlineStr">
        <is>
          <t>Grid interface</t>
        </is>
      </c>
      <c r="D2366" s="12" t="inlineStr">
        <is>
          <t>CT / VT</t>
        </is>
      </c>
      <c r="E2366" s="12" t="inlineStr">
        <is>
          <t>RH</t>
        </is>
      </c>
      <c r="F2366" s="12" t="inlineStr">
        <is>
          <t>RH: switchyard relay / control house (52 x 70 ft)</t>
        </is>
      </c>
      <c r="G2366" s="12" t="inlineStr">
        <is>
          <t>D1-CB3</t>
        </is>
      </c>
      <c r="H2366" s="12" t="inlineStr">
        <is>
          <t>D1 230 kV breaker 3</t>
        </is>
      </c>
      <c r="I2366" s="12" t="inlineStr">
        <is>
          <t>Control</t>
        </is>
      </c>
      <c r="J2366" s="12" t="inlineStr">
        <is>
          <t>Control cable 600 V Type TC-ER, Cu #10 AWG (CT / VT circuits)</t>
        </is>
      </c>
      <c r="K2366" s="12" t="inlineStr">
        <is>
          <t>CTCT|4/C|10</t>
        </is>
      </c>
      <c r="L2366" s="12" t="inlineStr">
        <is>
          <t>4/C</t>
        </is>
      </c>
      <c r="M2366" s="12" t="inlineStr">
        <is>
          <t>10</t>
        </is>
      </c>
      <c r="N2366" s="12" t="n">
        <v>1</v>
      </c>
      <c r="O2366" s="12" t="n">
        <v>1</v>
      </c>
      <c r="P2366" s="12" t="n"/>
      <c r="Q2366" s="12" t="n"/>
      <c r="R2366" s="12" t="n"/>
      <c r="S2366" s="12" t="inlineStr">
        <is>
          <t>Trench</t>
        </is>
      </c>
      <c r="T2366" s="16" t="n">
        <v>274</v>
      </c>
      <c r="U2366" s="16" t="n">
        <v>92</v>
      </c>
      <c r="V2366" s="16">
        <f>ROUNDUP((T2366+U2366+2*'Read Me'!$B$13)*(1+'Read Me'!$B$12),-1)</f>
        <v/>
      </c>
      <c r="W2366" s="16">
        <f>V2366*N2366*O2366</f>
        <v/>
      </c>
      <c r="X2366" s="12">
        <f>IF(LEFT(I2366,2)="MV",2*N2366*IF(L2366="1/C",O2366,1),0)</f>
        <v/>
      </c>
      <c r="Y2366" s="12">
        <f>IF(OR(LEFT(K2366,4)="LVAX",LEFT(K2366,6)="MV15AX",LEFT(K2366,4)="CTAX",LEFT(K2366,2)="W|"),2*N2366*O2366,0)</f>
        <v/>
      </c>
      <c r="Z2366" s="12" t="inlineStr"/>
      <c r="AA2366" s="12">
        <f>N2366*O2366</f>
        <v/>
      </c>
    </row>
    <row r="2367">
      <c r="A2367" s="12" t="inlineStr">
        <is>
          <t>C-C-0020</t>
        </is>
      </c>
      <c r="B2367" s="12" t="inlineStr">
        <is>
          <t>C</t>
        </is>
      </c>
      <c r="C2367" s="12" t="inlineStr">
        <is>
          <t>Grid interface</t>
        </is>
      </c>
      <c r="D2367" s="12" t="inlineStr">
        <is>
          <t>CT / VT</t>
        </is>
      </c>
      <c r="E2367" s="12" t="inlineStr">
        <is>
          <t>RH</t>
        </is>
      </c>
      <c r="F2367" s="12" t="inlineStr">
        <is>
          <t>RH: switchyard relay / control house (52 x 70 ft)</t>
        </is>
      </c>
      <c r="G2367" s="12" t="inlineStr">
        <is>
          <t>D1-CB3</t>
        </is>
      </c>
      <c r="H2367" s="12" t="inlineStr">
        <is>
          <t>D1 230 kV breaker 3</t>
        </is>
      </c>
      <c r="I2367" s="12" t="inlineStr">
        <is>
          <t>Control</t>
        </is>
      </c>
      <c r="J2367" s="12" t="inlineStr">
        <is>
          <t>Control cable 600 V Type TC-ER, Cu #10 AWG (CT / VT circuits)</t>
        </is>
      </c>
      <c r="K2367" s="12" t="inlineStr">
        <is>
          <t>CTCT|4/C|10</t>
        </is>
      </c>
      <c r="L2367" s="12" t="inlineStr">
        <is>
          <t>4/C</t>
        </is>
      </c>
      <c r="M2367" s="12" t="inlineStr">
        <is>
          <t>10</t>
        </is>
      </c>
      <c r="N2367" s="12" t="n">
        <v>1</v>
      </c>
      <c r="O2367" s="12" t="n">
        <v>1</v>
      </c>
      <c r="P2367" s="12" t="n"/>
      <c r="Q2367" s="12" t="n"/>
      <c r="R2367" s="12" t="n"/>
      <c r="S2367" s="12" t="inlineStr">
        <is>
          <t>Trench</t>
        </is>
      </c>
      <c r="T2367" s="16" t="n">
        <v>274</v>
      </c>
      <c r="U2367" s="16" t="n">
        <v>92</v>
      </c>
      <c r="V2367" s="16">
        <f>ROUNDUP((T2367+U2367+2*'Read Me'!$B$13)*(1+'Read Me'!$B$12),-1)</f>
        <v/>
      </c>
      <c r="W2367" s="16">
        <f>V2367*N2367*O2367</f>
        <v/>
      </c>
      <c r="X2367" s="12">
        <f>IF(LEFT(I2367,2)="MV",2*N2367*IF(L2367="1/C",O2367,1),0)</f>
        <v/>
      </c>
      <c r="Y2367" s="12">
        <f>IF(OR(LEFT(K2367,4)="LVAX",LEFT(K2367,6)="MV15AX",LEFT(K2367,4)="CTAX",LEFT(K2367,2)="W|"),2*N2367*O2367,0)</f>
        <v/>
      </c>
      <c r="Z2367" s="12" t="inlineStr"/>
      <c r="AA2367" s="12">
        <f>N2367*O2367</f>
        <v/>
      </c>
    </row>
    <row r="2368">
      <c r="A2368" s="12" t="inlineStr">
        <is>
          <t>C-C-0021</t>
        </is>
      </c>
      <c r="B2368" s="12" t="inlineStr">
        <is>
          <t>C</t>
        </is>
      </c>
      <c r="C2368" s="12" t="inlineStr">
        <is>
          <t>Grid interface</t>
        </is>
      </c>
      <c r="D2368" s="12" t="inlineStr">
        <is>
          <t>CT / VT</t>
        </is>
      </c>
      <c r="E2368" s="12" t="inlineStr">
        <is>
          <t>RH</t>
        </is>
      </c>
      <c r="F2368" s="12" t="inlineStr">
        <is>
          <t>RH: switchyard relay / control house (52 x 70 ft)</t>
        </is>
      </c>
      <c r="G2368" s="12" t="inlineStr">
        <is>
          <t>D1-CB3</t>
        </is>
      </c>
      <c r="H2368" s="12" t="inlineStr">
        <is>
          <t>D1 230 kV breaker 3</t>
        </is>
      </c>
      <c r="I2368" s="12" t="inlineStr">
        <is>
          <t>Control</t>
        </is>
      </c>
      <c r="J2368" s="12" t="inlineStr">
        <is>
          <t>Control cable 600 V Type TC-ER, Cu #10 AWG (CT / VT circuits)</t>
        </is>
      </c>
      <c r="K2368" s="12" t="inlineStr">
        <is>
          <t>CTCT|4/C|10</t>
        </is>
      </c>
      <c r="L2368" s="12" t="inlineStr">
        <is>
          <t>4/C</t>
        </is>
      </c>
      <c r="M2368" s="12" t="inlineStr">
        <is>
          <t>10</t>
        </is>
      </c>
      <c r="N2368" s="12" t="n">
        <v>1</v>
      </c>
      <c r="O2368" s="12" t="n">
        <v>1</v>
      </c>
      <c r="P2368" s="12" t="n"/>
      <c r="Q2368" s="12" t="n"/>
      <c r="R2368" s="12" t="n"/>
      <c r="S2368" s="12" t="inlineStr">
        <is>
          <t>Trench</t>
        </is>
      </c>
      <c r="T2368" s="16" t="n">
        <v>274</v>
      </c>
      <c r="U2368" s="16" t="n">
        <v>92</v>
      </c>
      <c r="V2368" s="16">
        <f>ROUNDUP((T2368+U2368+2*'Read Me'!$B$13)*(1+'Read Me'!$B$12),-1)</f>
        <v/>
      </c>
      <c r="W2368" s="16">
        <f>V2368*N2368*O2368</f>
        <v/>
      </c>
      <c r="X2368" s="12">
        <f>IF(LEFT(I2368,2)="MV",2*N2368*IF(L2368="1/C",O2368,1),0)</f>
        <v/>
      </c>
      <c r="Y2368" s="12">
        <f>IF(OR(LEFT(K2368,4)="LVAX",LEFT(K2368,6)="MV15AX",LEFT(K2368,4)="CTAX",LEFT(K2368,2)="W|"),2*N2368*O2368,0)</f>
        <v/>
      </c>
      <c r="Z2368" s="12" t="inlineStr"/>
      <c r="AA2368" s="12">
        <f>N2368*O2368</f>
        <v/>
      </c>
    </row>
    <row r="2369">
      <c r="A2369" s="12" t="inlineStr">
        <is>
          <t>C-C-0022</t>
        </is>
      </c>
      <c r="B2369" s="12" t="inlineStr">
        <is>
          <t>C</t>
        </is>
      </c>
      <c r="C2369" s="12" t="inlineStr">
        <is>
          <t>Grid interface</t>
        </is>
      </c>
      <c r="D2369" s="12" t="inlineStr">
        <is>
          <t>Control</t>
        </is>
      </c>
      <c r="E2369" s="12" t="inlineStr">
        <is>
          <t>RH</t>
        </is>
      </c>
      <c r="F2369" s="12" t="inlineStr">
        <is>
          <t>RH: switchyard relay / control house (52 x 70 ft)</t>
        </is>
      </c>
      <c r="G2369" s="12" t="inlineStr">
        <is>
          <t>D2-CB1</t>
        </is>
      </c>
      <c r="H2369" s="12" t="inlineStr">
        <is>
          <t>D2 230 kV breaker 1</t>
        </is>
      </c>
      <c r="I2369" s="12" t="inlineStr">
        <is>
          <t>Control</t>
        </is>
      </c>
      <c r="J2369" s="12" t="inlineStr">
        <is>
          <t>Control cable 600 V Type TC-ER, Cu #14 AWG, PVC jacket</t>
        </is>
      </c>
      <c r="K2369" s="12" t="inlineStr">
        <is>
          <t>CT|12/C|14</t>
        </is>
      </c>
      <c r="L2369" s="12" t="inlineStr">
        <is>
          <t>12/C</t>
        </is>
      </c>
      <c r="M2369" s="12" t="inlineStr">
        <is>
          <t>14</t>
        </is>
      </c>
      <c r="N2369" s="12" t="n">
        <v>1</v>
      </c>
      <c r="O2369" s="12" t="n">
        <v>1</v>
      </c>
      <c r="P2369" s="12" t="n"/>
      <c r="Q2369" s="12" t="n"/>
      <c r="R2369" s="12" t="n"/>
      <c r="S2369" s="12" t="inlineStr">
        <is>
          <t>Trench</t>
        </is>
      </c>
      <c r="T2369" s="16" t="n">
        <v>474</v>
      </c>
      <c r="U2369" s="16" t="n">
        <v>40</v>
      </c>
      <c r="V2369" s="16">
        <f>ROUNDUP((T2369+U2369+2*'Read Me'!$B$13)*(1+'Read Me'!$B$12),-1)</f>
        <v/>
      </c>
      <c r="W2369" s="16">
        <f>V2369*N2369*O2369</f>
        <v/>
      </c>
      <c r="X2369" s="12">
        <f>IF(LEFT(I2369,2)="MV",2*N2369*IF(L2369="1/C",O2369,1),0)</f>
        <v/>
      </c>
      <c r="Y2369" s="12">
        <f>IF(OR(LEFT(K2369,4)="LVAX",LEFT(K2369,6)="MV15AX",LEFT(K2369,4)="CTAX",LEFT(K2369,2)="W|"),2*N2369*O2369,0)</f>
        <v/>
      </c>
      <c r="Z2369" s="12" t="inlineStr"/>
      <c r="AA2369" s="12">
        <f>N2369*O2369</f>
        <v/>
      </c>
    </row>
    <row r="2370">
      <c r="A2370" s="12" t="inlineStr">
        <is>
          <t>C-C-0023</t>
        </is>
      </c>
      <c r="B2370" s="12" t="inlineStr">
        <is>
          <t>C</t>
        </is>
      </c>
      <c r="C2370" s="12" t="inlineStr">
        <is>
          <t>Grid interface</t>
        </is>
      </c>
      <c r="D2370" s="12" t="inlineStr">
        <is>
          <t>Control</t>
        </is>
      </c>
      <c r="E2370" s="12" t="inlineStr">
        <is>
          <t>RH</t>
        </is>
      </c>
      <c r="F2370" s="12" t="inlineStr">
        <is>
          <t>RH: switchyard relay / control house (52 x 70 ft)</t>
        </is>
      </c>
      <c r="G2370" s="12" t="inlineStr">
        <is>
          <t>D2-CB1</t>
        </is>
      </c>
      <c r="H2370" s="12" t="inlineStr">
        <is>
          <t>D2 230 kV breaker 1</t>
        </is>
      </c>
      <c r="I2370" s="12" t="inlineStr">
        <is>
          <t>Control</t>
        </is>
      </c>
      <c r="J2370" s="12" t="inlineStr">
        <is>
          <t>Control cable 600 V Type TC-ER, Cu #14 AWG, PVC jacket</t>
        </is>
      </c>
      <c r="K2370" s="12" t="inlineStr">
        <is>
          <t>CT|12/C|14</t>
        </is>
      </c>
      <c r="L2370" s="12" t="inlineStr">
        <is>
          <t>12/C</t>
        </is>
      </c>
      <c r="M2370" s="12" t="inlineStr">
        <is>
          <t>14</t>
        </is>
      </c>
      <c r="N2370" s="12" t="n">
        <v>1</v>
      </c>
      <c r="O2370" s="12" t="n">
        <v>1</v>
      </c>
      <c r="P2370" s="12" t="n"/>
      <c r="Q2370" s="12" t="n"/>
      <c r="R2370" s="12" t="n"/>
      <c r="S2370" s="12" t="inlineStr">
        <is>
          <t>Trench</t>
        </is>
      </c>
      <c r="T2370" s="16" t="n">
        <v>474</v>
      </c>
      <c r="U2370" s="16" t="n">
        <v>40</v>
      </c>
      <c r="V2370" s="16">
        <f>ROUNDUP((T2370+U2370+2*'Read Me'!$B$13)*(1+'Read Me'!$B$12),-1)</f>
        <v/>
      </c>
      <c r="W2370" s="16">
        <f>V2370*N2370*O2370</f>
        <v/>
      </c>
      <c r="X2370" s="12">
        <f>IF(LEFT(I2370,2)="MV",2*N2370*IF(L2370="1/C",O2370,1),0)</f>
        <v/>
      </c>
      <c r="Y2370" s="12">
        <f>IF(OR(LEFT(K2370,4)="LVAX",LEFT(K2370,6)="MV15AX",LEFT(K2370,4)="CTAX",LEFT(K2370,2)="W|"),2*N2370*O2370,0)</f>
        <v/>
      </c>
      <c r="Z2370" s="12" t="inlineStr"/>
      <c r="AA2370" s="12">
        <f>N2370*O2370</f>
        <v/>
      </c>
    </row>
    <row r="2371">
      <c r="A2371" s="12" t="inlineStr">
        <is>
          <t>C-C-0024</t>
        </is>
      </c>
      <c r="B2371" s="12" t="inlineStr">
        <is>
          <t>C</t>
        </is>
      </c>
      <c r="C2371" s="12" t="inlineStr">
        <is>
          <t>Grid interface</t>
        </is>
      </c>
      <c r="D2371" s="12" t="inlineStr">
        <is>
          <t>Control</t>
        </is>
      </c>
      <c r="E2371" s="12" t="inlineStr">
        <is>
          <t>RH</t>
        </is>
      </c>
      <c r="F2371" s="12" t="inlineStr">
        <is>
          <t>RH: switchyard relay / control house (52 x 70 ft)</t>
        </is>
      </c>
      <c r="G2371" s="12" t="inlineStr">
        <is>
          <t>D2-CB1</t>
        </is>
      </c>
      <c r="H2371" s="12" t="inlineStr">
        <is>
          <t>D2 230 kV breaker 1</t>
        </is>
      </c>
      <c r="I2371" s="12" t="inlineStr">
        <is>
          <t>Control</t>
        </is>
      </c>
      <c r="J2371" s="12" t="inlineStr">
        <is>
          <t>Control cable 600 V Type TC-ER, Cu #14 AWG, PVC jacket</t>
        </is>
      </c>
      <c r="K2371" s="12" t="inlineStr">
        <is>
          <t>CT|12/C|14</t>
        </is>
      </c>
      <c r="L2371" s="12" t="inlineStr">
        <is>
          <t>12/C</t>
        </is>
      </c>
      <c r="M2371" s="12" t="inlineStr">
        <is>
          <t>14</t>
        </is>
      </c>
      <c r="N2371" s="12" t="n">
        <v>1</v>
      </c>
      <c r="O2371" s="12" t="n">
        <v>1</v>
      </c>
      <c r="P2371" s="12" t="n"/>
      <c r="Q2371" s="12" t="n"/>
      <c r="R2371" s="12" t="n"/>
      <c r="S2371" s="12" t="inlineStr">
        <is>
          <t>Trench</t>
        </is>
      </c>
      <c r="T2371" s="16" t="n">
        <v>474</v>
      </c>
      <c r="U2371" s="16" t="n">
        <v>40</v>
      </c>
      <c r="V2371" s="16">
        <f>ROUNDUP((T2371+U2371+2*'Read Me'!$B$13)*(1+'Read Me'!$B$12),-1)</f>
        <v/>
      </c>
      <c r="W2371" s="16">
        <f>V2371*N2371*O2371</f>
        <v/>
      </c>
      <c r="X2371" s="12">
        <f>IF(LEFT(I2371,2)="MV",2*N2371*IF(L2371="1/C",O2371,1),0)</f>
        <v/>
      </c>
      <c r="Y2371" s="12">
        <f>IF(OR(LEFT(K2371,4)="LVAX",LEFT(K2371,6)="MV15AX",LEFT(K2371,4)="CTAX",LEFT(K2371,2)="W|"),2*N2371*O2371,0)</f>
        <v/>
      </c>
      <c r="Z2371" s="12" t="inlineStr"/>
      <c r="AA2371" s="12">
        <f>N2371*O2371</f>
        <v/>
      </c>
    </row>
    <row r="2372">
      <c r="A2372" s="12" t="inlineStr">
        <is>
          <t>C-C-0025</t>
        </is>
      </c>
      <c r="B2372" s="12" t="inlineStr">
        <is>
          <t>C</t>
        </is>
      </c>
      <c r="C2372" s="12" t="inlineStr">
        <is>
          <t>Grid interface</t>
        </is>
      </c>
      <c r="D2372" s="12" t="inlineStr">
        <is>
          <t>Control</t>
        </is>
      </c>
      <c r="E2372" s="12" t="inlineStr">
        <is>
          <t>RH</t>
        </is>
      </c>
      <c r="F2372" s="12" t="inlineStr">
        <is>
          <t>RH: switchyard relay / control house (52 x 70 ft)</t>
        </is>
      </c>
      <c r="G2372" s="12" t="inlineStr">
        <is>
          <t>D2-CB1</t>
        </is>
      </c>
      <c r="H2372" s="12" t="inlineStr">
        <is>
          <t>D2 230 kV breaker 1</t>
        </is>
      </c>
      <c r="I2372" s="12" t="inlineStr">
        <is>
          <t>Control</t>
        </is>
      </c>
      <c r="J2372" s="12" t="inlineStr">
        <is>
          <t>Control cable 600 V Type TC-ER, Cu #14 AWG, PVC jacket</t>
        </is>
      </c>
      <c r="K2372" s="12" t="inlineStr">
        <is>
          <t>CT|12/C|14</t>
        </is>
      </c>
      <c r="L2372" s="12" t="inlineStr">
        <is>
          <t>12/C</t>
        </is>
      </c>
      <c r="M2372" s="12" t="inlineStr">
        <is>
          <t>14</t>
        </is>
      </c>
      <c r="N2372" s="12" t="n">
        <v>1</v>
      </c>
      <c r="O2372" s="12" t="n">
        <v>1</v>
      </c>
      <c r="P2372" s="12" t="n"/>
      <c r="Q2372" s="12" t="n"/>
      <c r="R2372" s="12" t="n"/>
      <c r="S2372" s="12" t="inlineStr">
        <is>
          <t>Trench</t>
        </is>
      </c>
      <c r="T2372" s="16" t="n">
        <v>474</v>
      </c>
      <c r="U2372" s="16" t="n">
        <v>40</v>
      </c>
      <c r="V2372" s="16">
        <f>ROUNDUP((T2372+U2372+2*'Read Me'!$B$13)*(1+'Read Me'!$B$12),-1)</f>
        <v/>
      </c>
      <c r="W2372" s="16">
        <f>V2372*N2372*O2372</f>
        <v/>
      </c>
      <c r="X2372" s="12">
        <f>IF(LEFT(I2372,2)="MV",2*N2372*IF(L2372="1/C",O2372,1),0)</f>
        <v/>
      </c>
      <c r="Y2372" s="12">
        <f>IF(OR(LEFT(K2372,4)="LVAX",LEFT(K2372,6)="MV15AX",LEFT(K2372,4)="CTAX",LEFT(K2372,2)="W|"),2*N2372*O2372,0)</f>
        <v/>
      </c>
      <c r="Z2372" s="12" t="inlineStr"/>
      <c r="AA2372" s="12">
        <f>N2372*O2372</f>
        <v/>
      </c>
    </row>
    <row r="2373">
      <c r="A2373" s="12" t="inlineStr">
        <is>
          <t>C-C-0026</t>
        </is>
      </c>
      <c r="B2373" s="12" t="inlineStr">
        <is>
          <t>C</t>
        </is>
      </c>
      <c r="C2373" s="12" t="inlineStr">
        <is>
          <t>Grid interface</t>
        </is>
      </c>
      <c r="D2373" s="12" t="inlineStr">
        <is>
          <t>CT / VT</t>
        </is>
      </c>
      <c r="E2373" s="12" t="inlineStr">
        <is>
          <t>RH</t>
        </is>
      </c>
      <c r="F2373" s="12" t="inlineStr">
        <is>
          <t>RH: switchyard relay / control house (52 x 70 ft)</t>
        </is>
      </c>
      <c r="G2373" s="12" t="inlineStr">
        <is>
          <t>D2-CB1</t>
        </is>
      </c>
      <c r="H2373" s="12" t="inlineStr">
        <is>
          <t>D2 230 kV breaker 1</t>
        </is>
      </c>
      <c r="I2373" s="12" t="inlineStr">
        <is>
          <t>Control</t>
        </is>
      </c>
      <c r="J2373" s="12" t="inlineStr">
        <is>
          <t>Control cable 600 V Type TC-ER, Cu #10 AWG (CT / VT circuits)</t>
        </is>
      </c>
      <c r="K2373" s="12" t="inlineStr">
        <is>
          <t>CTCT|4/C|10</t>
        </is>
      </c>
      <c r="L2373" s="12" t="inlineStr">
        <is>
          <t>4/C</t>
        </is>
      </c>
      <c r="M2373" s="12" t="inlineStr">
        <is>
          <t>10</t>
        </is>
      </c>
      <c r="N2373" s="12" t="n">
        <v>1</v>
      </c>
      <c r="O2373" s="12" t="n">
        <v>1</v>
      </c>
      <c r="P2373" s="12" t="n"/>
      <c r="Q2373" s="12" t="n"/>
      <c r="R2373" s="12" t="n"/>
      <c r="S2373" s="12" t="inlineStr">
        <is>
          <t>Trench</t>
        </is>
      </c>
      <c r="T2373" s="16" t="n">
        <v>474</v>
      </c>
      <c r="U2373" s="16" t="n">
        <v>40</v>
      </c>
      <c r="V2373" s="16">
        <f>ROUNDUP((T2373+U2373+2*'Read Me'!$B$13)*(1+'Read Me'!$B$12),-1)</f>
        <v/>
      </c>
      <c r="W2373" s="16">
        <f>V2373*N2373*O2373</f>
        <v/>
      </c>
      <c r="X2373" s="12">
        <f>IF(LEFT(I2373,2)="MV",2*N2373*IF(L2373="1/C",O2373,1),0)</f>
        <v/>
      </c>
      <c r="Y2373" s="12">
        <f>IF(OR(LEFT(K2373,4)="LVAX",LEFT(K2373,6)="MV15AX",LEFT(K2373,4)="CTAX",LEFT(K2373,2)="W|"),2*N2373*O2373,0)</f>
        <v/>
      </c>
      <c r="Z2373" s="12" t="inlineStr"/>
      <c r="AA2373" s="12">
        <f>N2373*O2373</f>
        <v/>
      </c>
    </row>
    <row r="2374">
      <c r="A2374" s="12" t="inlineStr">
        <is>
          <t>C-C-0027</t>
        </is>
      </c>
      <c r="B2374" s="12" t="inlineStr">
        <is>
          <t>C</t>
        </is>
      </c>
      <c r="C2374" s="12" t="inlineStr">
        <is>
          <t>Grid interface</t>
        </is>
      </c>
      <c r="D2374" s="12" t="inlineStr">
        <is>
          <t>CT / VT</t>
        </is>
      </c>
      <c r="E2374" s="12" t="inlineStr">
        <is>
          <t>RH</t>
        </is>
      </c>
      <c r="F2374" s="12" t="inlineStr">
        <is>
          <t>RH: switchyard relay / control house (52 x 70 ft)</t>
        </is>
      </c>
      <c r="G2374" s="12" t="inlineStr">
        <is>
          <t>D2-CB1</t>
        </is>
      </c>
      <c r="H2374" s="12" t="inlineStr">
        <is>
          <t>D2 230 kV breaker 1</t>
        </is>
      </c>
      <c r="I2374" s="12" t="inlineStr">
        <is>
          <t>Control</t>
        </is>
      </c>
      <c r="J2374" s="12" t="inlineStr">
        <is>
          <t>Control cable 600 V Type TC-ER, Cu #10 AWG (CT / VT circuits)</t>
        </is>
      </c>
      <c r="K2374" s="12" t="inlineStr">
        <is>
          <t>CTCT|4/C|10</t>
        </is>
      </c>
      <c r="L2374" s="12" t="inlineStr">
        <is>
          <t>4/C</t>
        </is>
      </c>
      <c r="M2374" s="12" t="inlineStr">
        <is>
          <t>10</t>
        </is>
      </c>
      <c r="N2374" s="12" t="n">
        <v>1</v>
      </c>
      <c r="O2374" s="12" t="n">
        <v>1</v>
      </c>
      <c r="P2374" s="12" t="n"/>
      <c r="Q2374" s="12" t="n"/>
      <c r="R2374" s="12" t="n"/>
      <c r="S2374" s="12" t="inlineStr">
        <is>
          <t>Trench</t>
        </is>
      </c>
      <c r="T2374" s="16" t="n">
        <v>474</v>
      </c>
      <c r="U2374" s="16" t="n">
        <v>40</v>
      </c>
      <c r="V2374" s="16">
        <f>ROUNDUP((T2374+U2374+2*'Read Me'!$B$13)*(1+'Read Me'!$B$12),-1)</f>
        <v/>
      </c>
      <c r="W2374" s="16">
        <f>V2374*N2374*O2374</f>
        <v/>
      </c>
      <c r="X2374" s="12">
        <f>IF(LEFT(I2374,2)="MV",2*N2374*IF(L2374="1/C",O2374,1),0)</f>
        <v/>
      </c>
      <c r="Y2374" s="12">
        <f>IF(OR(LEFT(K2374,4)="LVAX",LEFT(K2374,6)="MV15AX",LEFT(K2374,4)="CTAX",LEFT(K2374,2)="W|"),2*N2374*O2374,0)</f>
        <v/>
      </c>
      <c r="Z2374" s="12" t="inlineStr"/>
      <c r="AA2374" s="12">
        <f>N2374*O2374</f>
        <v/>
      </c>
    </row>
    <row r="2375">
      <c r="A2375" s="12" t="inlineStr">
        <is>
          <t>C-C-0028</t>
        </is>
      </c>
      <c r="B2375" s="12" t="inlineStr">
        <is>
          <t>C</t>
        </is>
      </c>
      <c r="C2375" s="12" t="inlineStr">
        <is>
          <t>Grid interface</t>
        </is>
      </c>
      <c r="D2375" s="12" t="inlineStr">
        <is>
          <t>CT / VT</t>
        </is>
      </c>
      <c r="E2375" s="12" t="inlineStr">
        <is>
          <t>RH</t>
        </is>
      </c>
      <c r="F2375" s="12" t="inlineStr">
        <is>
          <t>RH: switchyard relay / control house (52 x 70 ft)</t>
        </is>
      </c>
      <c r="G2375" s="12" t="inlineStr">
        <is>
          <t>D2-CB1</t>
        </is>
      </c>
      <c r="H2375" s="12" t="inlineStr">
        <is>
          <t>D2 230 kV breaker 1</t>
        </is>
      </c>
      <c r="I2375" s="12" t="inlineStr">
        <is>
          <t>Control</t>
        </is>
      </c>
      <c r="J2375" s="12" t="inlineStr">
        <is>
          <t>Control cable 600 V Type TC-ER, Cu #10 AWG (CT / VT circuits)</t>
        </is>
      </c>
      <c r="K2375" s="12" t="inlineStr">
        <is>
          <t>CTCT|4/C|10</t>
        </is>
      </c>
      <c r="L2375" s="12" t="inlineStr">
        <is>
          <t>4/C</t>
        </is>
      </c>
      <c r="M2375" s="12" t="inlineStr">
        <is>
          <t>10</t>
        </is>
      </c>
      <c r="N2375" s="12" t="n">
        <v>1</v>
      </c>
      <c r="O2375" s="12" t="n">
        <v>1</v>
      </c>
      <c r="P2375" s="12" t="n"/>
      <c r="Q2375" s="12" t="n"/>
      <c r="R2375" s="12" t="n"/>
      <c r="S2375" s="12" t="inlineStr">
        <is>
          <t>Trench</t>
        </is>
      </c>
      <c r="T2375" s="16" t="n">
        <v>474</v>
      </c>
      <c r="U2375" s="16" t="n">
        <v>40</v>
      </c>
      <c r="V2375" s="16">
        <f>ROUNDUP((T2375+U2375+2*'Read Me'!$B$13)*(1+'Read Me'!$B$12),-1)</f>
        <v/>
      </c>
      <c r="W2375" s="16">
        <f>V2375*N2375*O2375</f>
        <v/>
      </c>
      <c r="X2375" s="12">
        <f>IF(LEFT(I2375,2)="MV",2*N2375*IF(L2375="1/C",O2375,1),0)</f>
        <v/>
      </c>
      <c r="Y2375" s="12">
        <f>IF(OR(LEFT(K2375,4)="LVAX",LEFT(K2375,6)="MV15AX",LEFT(K2375,4)="CTAX",LEFT(K2375,2)="W|"),2*N2375*O2375,0)</f>
        <v/>
      </c>
      <c r="Z2375" s="12" t="inlineStr"/>
      <c r="AA2375" s="12">
        <f>N2375*O2375</f>
        <v/>
      </c>
    </row>
    <row r="2376">
      <c r="A2376" s="12" t="inlineStr">
        <is>
          <t>C-C-0029</t>
        </is>
      </c>
      <c r="B2376" s="12" t="inlineStr">
        <is>
          <t>C</t>
        </is>
      </c>
      <c r="C2376" s="12" t="inlineStr">
        <is>
          <t>Grid interface</t>
        </is>
      </c>
      <c r="D2376" s="12" t="inlineStr">
        <is>
          <t>Control</t>
        </is>
      </c>
      <c r="E2376" s="12" t="inlineStr">
        <is>
          <t>RH</t>
        </is>
      </c>
      <c r="F2376" s="12" t="inlineStr">
        <is>
          <t>RH: switchyard relay / control house (52 x 70 ft)</t>
        </is>
      </c>
      <c r="G2376" s="12" t="inlineStr">
        <is>
          <t>D2-CB2</t>
        </is>
      </c>
      <c r="H2376" s="12" t="inlineStr">
        <is>
          <t>D2 230 kV breaker 2</t>
        </is>
      </c>
      <c r="I2376" s="12" t="inlineStr">
        <is>
          <t>Control</t>
        </is>
      </c>
      <c r="J2376" s="12" t="inlineStr">
        <is>
          <t>Control cable 600 V Type TC-ER, Cu #14 AWG, PVC jacket</t>
        </is>
      </c>
      <c r="K2376" s="12" t="inlineStr">
        <is>
          <t>CT|12/C|14</t>
        </is>
      </c>
      <c r="L2376" s="12" t="inlineStr">
        <is>
          <t>12/C</t>
        </is>
      </c>
      <c r="M2376" s="12" t="inlineStr">
        <is>
          <t>14</t>
        </is>
      </c>
      <c r="N2376" s="12" t="n">
        <v>1</v>
      </c>
      <c r="O2376" s="12" t="n">
        <v>1</v>
      </c>
      <c r="P2376" s="12" t="n"/>
      <c r="Q2376" s="12" t="n"/>
      <c r="R2376" s="12" t="n"/>
      <c r="S2376" s="12" t="inlineStr">
        <is>
          <t>Trench</t>
        </is>
      </c>
      <c r="T2376" s="16" t="n">
        <v>474</v>
      </c>
      <c r="U2376" s="16" t="n">
        <v>52</v>
      </c>
      <c r="V2376" s="16">
        <f>ROUNDUP((T2376+U2376+2*'Read Me'!$B$13)*(1+'Read Me'!$B$12),-1)</f>
        <v/>
      </c>
      <c r="W2376" s="16">
        <f>V2376*N2376*O2376</f>
        <v/>
      </c>
      <c r="X2376" s="12">
        <f>IF(LEFT(I2376,2)="MV",2*N2376*IF(L2376="1/C",O2376,1),0)</f>
        <v/>
      </c>
      <c r="Y2376" s="12">
        <f>IF(OR(LEFT(K2376,4)="LVAX",LEFT(K2376,6)="MV15AX",LEFT(K2376,4)="CTAX",LEFT(K2376,2)="W|"),2*N2376*O2376,0)</f>
        <v/>
      </c>
      <c r="Z2376" s="12" t="inlineStr"/>
      <c r="AA2376" s="12">
        <f>N2376*O2376</f>
        <v/>
      </c>
    </row>
    <row r="2377">
      <c r="A2377" s="12" t="inlineStr">
        <is>
          <t>C-C-0030</t>
        </is>
      </c>
      <c r="B2377" s="12" t="inlineStr">
        <is>
          <t>C</t>
        </is>
      </c>
      <c r="C2377" s="12" t="inlineStr">
        <is>
          <t>Grid interface</t>
        </is>
      </c>
      <c r="D2377" s="12" t="inlineStr">
        <is>
          <t>Control</t>
        </is>
      </c>
      <c r="E2377" s="12" t="inlineStr">
        <is>
          <t>RH</t>
        </is>
      </c>
      <c r="F2377" s="12" t="inlineStr">
        <is>
          <t>RH: switchyard relay / control house (52 x 70 ft)</t>
        </is>
      </c>
      <c r="G2377" s="12" t="inlineStr">
        <is>
          <t>D2-CB2</t>
        </is>
      </c>
      <c r="H2377" s="12" t="inlineStr">
        <is>
          <t>D2 230 kV breaker 2</t>
        </is>
      </c>
      <c r="I2377" s="12" t="inlineStr">
        <is>
          <t>Control</t>
        </is>
      </c>
      <c r="J2377" s="12" t="inlineStr">
        <is>
          <t>Control cable 600 V Type TC-ER, Cu #14 AWG, PVC jacket</t>
        </is>
      </c>
      <c r="K2377" s="12" t="inlineStr">
        <is>
          <t>CT|12/C|14</t>
        </is>
      </c>
      <c r="L2377" s="12" t="inlineStr">
        <is>
          <t>12/C</t>
        </is>
      </c>
      <c r="M2377" s="12" t="inlineStr">
        <is>
          <t>14</t>
        </is>
      </c>
      <c r="N2377" s="12" t="n">
        <v>1</v>
      </c>
      <c r="O2377" s="12" t="n">
        <v>1</v>
      </c>
      <c r="P2377" s="12" t="n"/>
      <c r="Q2377" s="12" t="n"/>
      <c r="R2377" s="12" t="n"/>
      <c r="S2377" s="12" t="inlineStr">
        <is>
          <t>Trench</t>
        </is>
      </c>
      <c r="T2377" s="16" t="n">
        <v>474</v>
      </c>
      <c r="U2377" s="16" t="n">
        <v>52</v>
      </c>
      <c r="V2377" s="16">
        <f>ROUNDUP((T2377+U2377+2*'Read Me'!$B$13)*(1+'Read Me'!$B$12),-1)</f>
        <v/>
      </c>
      <c r="W2377" s="16">
        <f>V2377*N2377*O2377</f>
        <v/>
      </c>
      <c r="X2377" s="12">
        <f>IF(LEFT(I2377,2)="MV",2*N2377*IF(L2377="1/C",O2377,1),0)</f>
        <v/>
      </c>
      <c r="Y2377" s="12">
        <f>IF(OR(LEFT(K2377,4)="LVAX",LEFT(K2377,6)="MV15AX",LEFT(K2377,4)="CTAX",LEFT(K2377,2)="W|"),2*N2377*O2377,0)</f>
        <v/>
      </c>
      <c r="Z2377" s="12" t="inlineStr"/>
      <c r="AA2377" s="12">
        <f>N2377*O2377</f>
        <v/>
      </c>
    </row>
    <row r="2378">
      <c r="A2378" s="12" t="inlineStr">
        <is>
          <t>C-C-0031</t>
        </is>
      </c>
      <c r="B2378" s="12" t="inlineStr">
        <is>
          <t>C</t>
        </is>
      </c>
      <c r="C2378" s="12" t="inlineStr">
        <is>
          <t>Grid interface</t>
        </is>
      </c>
      <c r="D2378" s="12" t="inlineStr">
        <is>
          <t>Control</t>
        </is>
      </c>
      <c r="E2378" s="12" t="inlineStr">
        <is>
          <t>RH</t>
        </is>
      </c>
      <c r="F2378" s="12" t="inlineStr">
        <is>
          <t>RH: switchyard relay / control house (52 x 70 ft)</t>
        </is>
      </c>
      <c r="G2378" s="12" t="inlineStr">
        <is>
          <t>D2-CB2</t>
        </is>
      </c>
      <c r="H2378" s="12" t="inlineStr">
        <is>
          <t>D2 230 kV breaker 2</t>
        </is>
      </c>
      <c r="I2378" s="12" t="inlineStr">
        <is>
          <t>Control</t>
        </is>
      </c>
      <c r="J2378" s="12" t="inlineStr">
        <is>
          <t>Control cable 600 V Type TC-ER, Cu #14 AWG, PVC jacket</t>
        </is>
      </c>
      <c r="K2378" s="12" t="inlineStr">
        <is>
          <t>CT|12/C|14</t>
        </is>
      </c>
      <c r="L2378" s="12" t="inlineStr">
        <is>
          <t>12/C</t>
        </is>
      </c>
      <c r="M2378" s="12" t="inlineStr">
        <is>
          <t>14</t>
        </is>
      </c>
      <c r="N2378" s="12" t="n">
        <v>1</v>
      </c>
      <c r="O2378" s="12" t="n">
        <v>1</v>
      </c>
      <c r="P2378" s="12" t="n"/>
      <c r="Q2378" s="12" t="n"/>
      <c r="R2378" s="12" t="n"/>
      <c r="S2378" s="12" t="inlineStr">
        <is>
          <t>Trench</t>
        </is>
      </c>
      <c r="T2378" s="16" t="n">
        <v>474</v>
      </c>
      <c r="U2378" s="16" t="n">
        <v>52</v>
      </c>
      <c r="V2378" s="16">
        <f>ROUNDUP((T2378+U2378+2*'Read Me'!$B$13)*(1+'Read Me'!$B$12),-1)</f>
        <v/>
      </c>
      <c r="W2378" s="16">
        <f>V2378*N2378*O2378</f>
        <v/>
      </c>
      <c r="X2378" s="12">
        <f>IF(LEFT(I2378,2)="MV",2*N2378*IF(L2378="1/C",O2378,1),0)</f>
        <v/>
      </c>
      <c r="Y2378" s="12">
        <f>IF(OR(LEFT(K2378,4)="LVAX",LEFT(K2378,6)="MV15AX",LEFT(K2378,4)="CTAX",LEFT(K2378,2)="W|"),2*N2378*O2378,0)</f>
        <v/>
      </c>
      <c r="Z2378" s="12" t="inlineStr"/>
      <c r="AA2378" s="12">
        <f>N2378*O2378</f>
        <v/>
      </c>
    </row>
    <row r="2379">
      <c r="A2379" s="12" t="inlineStr">
        <is>
          <t>C-C-0032</t>
        </is>
      </c>
      <c r="B2379" s="12" t="inlineStr">
        <is>
          <t>C</t>
        </is>
      </c>
      <c r="C2379" s="12" t="inlineStr">
        <is>
          <t>Grid interface</t>
        </is>
      </c>
      <c r="D2379" s="12" t="inlineStr">
        <is>
          <t>Control</t>
        </is>
      </c>
      <c r="E2379" s="12" t="inlineStr">
        <is>
          <t>RH</t>
        </is>
      </c>
      <c r="F2379" s="12" t="inlineStr">
        <is>
          <t>RH: switchyard relay / control house (52 x 70 ft)</t>
        </is>
      </c>
      <c r="G2379" s="12" t="inlineStr">
        <is>
          <t>D2-CB2</t>
        </is>
      </c>
      <c r="H2379" s="12" t="inlineStr">
        <is>
          <t>D2 230 kV breaker 2</t>
        </is>
      </c>
      <c r="I2379" s="12" t="inlineStr">
        <is>
          <t>Control</t>
        </is>
      </c>
      <c r="J2379" s="12" t="inlineStr">
        <is>
          <t>Control cable 600 V Type TC-ER, Cu #14 AWG, PVC jacket</t>
        </is>
      </c>
      <c r="K2379" s="12" t="inlineStr">
        <is>
          <t>CT|12/C|14</t>
        </is>
      </c>
      <c r="L2379" s="12" t="inlineStr">
        <is>
          <t>12/C</t>
        </is>
      </c>
      <c r="M2379" s="12" t="inlineStr">
        <is>
          <t>14</t>
        </is>
      </c>
      <c r="N2379" s="12" t="n">
        <v>1</v>
      </c>
      <c r="O2379" s="12" t="n">
        <v>1</v>
      </c>
      <c r="P2379" s="12" t="n"/>
      <c r="Q2379" s="12" t="n"/>
      <c r="R2379" s="12" t="n"/>
      <c r="S2379" s="12" t="inlineStr">
        <is>
          <t>Trench</t>
        </is>
      </c>
      <c r="T2379" s="16" t="n">
        <v>474</v>
      </c>
      <c r="U2379" s="16" t="n">
        <v>52</v>
      </c>
      <c r="V2379" s="16">
        <f>ROUNDUP((T2379+U2379+2*'Read Me'!$B$13)*(1+'Read Me'!$B$12),-1)</f>
        <v/>
      </c>
      <c r="W2379" s="16">
        <f>V2379*N2379*O2379</f>
        <v/>
      </c>
      <c r="X2379" s="12">
        <f>IF(LEFT(I2379,2)="MV",2*N2379*IF(L2379="1/C",O2379,1),0)</f>
        <v/>
      </c>
      <c r="Y2379" s="12">
        <f>IF(OR(LEFT(K2379,4)="LVAX",LEFT(K2379,6)="MV15AX",LEFT(K2379,4)="CTAX",LEFT(K2379,2)="W|"),2*N2379*O2379,0)</f>
        <v/>
      </c>
      <c r="Z2379" s="12" t="inlineStr"/>
      <c r="AA2379" s="12">
        <f>N2379*O2379</f>
        <v/>
      </c>
    </row>
    <row r="2380">
      <c r="A2380" s="12" t="inlineStr">
        <is>
          <t>C-C-0033</t>
        </is>
      </c>
      <c r="B2380" s="12" t="inlineStr">
        <is>
          <t>C</t>
        </is>
      </c>
      <c r="C2380" s="12" t="inlineStr">
        <is>
          <t>Grid interface</t>
        </is>
      </c>
      <c r="D2380" s="12" t="inlineStr">
        <is>
          <t>CT / VT</t>
        </is>
      </c>
      <c r="E2380" s="12" t="inlineStr">
        <is>
          <t>RH</t>
        </is>
      </c>
      <c r="F2380" s="12" t="inlineStr">
        <is>
          <t>RH: switchyard relay / control house (52 x 70 ft)</t>
        </is>
      </c>
      <c r="G2380" s="12" t="inlineStr">
        <is>
          <t>D2-CB2</t>
        </is>
      </c>
      <c r="H2380" s="12" t="inlineStr">
        <is>
          <t>D2 230 kV breaker 2</t>
        </is>
      </c>
      <c r="I2380" s="12" t="inlineStr">
        <is>
          <t>Control</t>
        </is>
      </c>
      <c r="J2380" s="12" t="inlineStr">
        <is>
          <t>Control cable 600 V Type TC-ER, Cu #10 AWG (CT / VT circuits)</t>
        </is>
      </c>
      <c r="K2380" s="12" t="inlineStr">
        <is>
          <t>CTCT|4/C|10</t>
        </is>
      </c>
      <c r="L2380" s="12" t="inlineStr">
        <is>
          <t>4/C</t>
        </is>
      </c>
      <c r="M2380" s="12" t="inlineStr">
        <is>
          <t>10</t>
        </is>
      </c>
      <c r="N2380" s="12" t="n">
        <v>1</v>
      </c>
      <c r="O2380" s="12" t="n">
        <v>1</v>
      </c>
      <c r="P2380" s="12" t="n"/>
      <c r="Q2380" s="12" t="n"/>
      <c r="R2380" s="12" t="n"/>
      <c r="S2380" s="12" t="inlineStr">
        <is>
          <t>Trench</t>
        </is>
      </c>
      <c r="T2380" s="16" t="n">
        <v>474</v>
      </c>
      <c r="U2380" s="16" t="n">
        <v>52</v>
      </c>
      <c r="V2380" s="16">
        <f>ROUNDUP((T2380+U2380+2*'Read Me'!$B$13)*(1+'Read Me'!$B$12),-1)</f>
        <v/>
      </c>
      <c r="W2380" s="16">
        <f>V2380*N2380*O2380</f>
        <v/>
      </c>
      <c r="X2380" s="12">
        <f>IF(LEFT(I2380,2)="MV",2*N2380*IF(L2380="1/C",O2380,1),0)</f>
        <v/>
      </c>
      <c r="Y2380" s="12">
        <f>IF(OR(LEFT(K2380,4)="LVAX",LEFT(K2380,6)="MV15AX",LEFT(K2380,4)="CTAX",LEFT(K2380,2)="W|"),2*N2380*O2380,0)</f>
        <v/>
      </c>
      <c r="Z2380" s="12" t="inlineStr"/>
      <c r="AA2380" s="12">
        <f>N2380*O2380</f>
        <v/>
      </c>
    </row>
    <row r="2381">
      <c r="A2381" s="12" t="inlineStr">
        <is>
          <t>C-C-0034</t>
        </is>
      </c>
      <c r="B2381" s="12" t="inlineStr">
        <is>
          <t>C</t>
        </is>
      </c>
      <c r="C2381" s="12" t="inlineStr">
        <is>
          <t>Grid interface</t>
        </is>
      </c>
      <c r="D2381" s="12" t="inlineStr">
        <is>
          <t>CT / VT</t>
        </is>
      </c>
      <c r="E2381" s="12" t="inlineStr">
        <is>
          <t>RH</t>
        </is>
      </c>
      <c r="F2381" s="12" t="inlineStr">
        <is>
          <t>RH: switchyard relay / control house (52 x 70 ft)</t>
        </is>
      </c>
      <c r="G2381" s="12" t="inlineStr">
        <is>
          <t>D2-CB2</t>
        </is>
      </c>
      <c r="H2381" s="12" t="inlineStr">
        <is>
          <t>D2 230 kV breaker 2</t>
        </is>
      </c>
      <c r="I2381" s="12" t="inlineStr">
        <is>
          <t>Control</t>
        </is>
      </c>
      <c r="J2381" s="12" t="inlineStr">
        <is>
          <t>Control cable 600 V Type TC-ER, Cu #10 AWG (CT / VT circuits)</t>
        </is>
      </c>
      <c r="K2381" s="12" t="inlineStr">
        <is>
          <t>CTCT|4/C|10</t>
        </is>
      </c>
      <c r="L2381" s="12" t="inlineStr">
        <is>
          <t>4/C</t>
        </is>
      </c>
      <c r="M2381" s="12" t="inlineStr">
        <is>
          <t>10</t>
        </is>
      </c>
      <c r="N2381" s="12" t="n">
        <v>1</v>
      </c>
      <c r="O2381" s="12" t="n">
        <v>1</v>
      </c>
      <c r="P2381" s="12" t="n"/>
      <c r="Q2381" s="12" t="n"/>
      <c r="R2381" s="12" t="n"/>
      <c r="S2381" s="12" t="inlineStr">
        <is>
          <t>Trench</t>
        </is>
      </c>
      <c r="T2381" s="16" t="n">
        <v>474</v>
      </c>
      <c r="U2381" s="16" t="n">
        <v>52</v>
      </c>
      <c r="V2381" s="16">
        <f>ROUNDUP((T2381+U2381+2*'Read Me'!$B$13)*(1+'Read Me'!$B$12),-1)</f>
        <v/>
      </c>
      <c r="W2381" s="16">
        <f>V2381*N2381*O2381</f>
        <v/>
      </c>
      <c r="X2381" s="12">
        <f>IF(LEFT(I2381,2)="MV",2*N2381*IF(L2381="1/C",O2381,1),0)</f>
        <v/>
      </c>
      <c r="Y2381" s="12">
        <f>IF(OR(LEFT(K2381,4)="LVAX",LEFT(K2381,6)="MV15AX",LEFT(K2381,4)="CTAX",LEFT(K2381,2)="W|"),2*N2381*O2381,0)</f>
        <v/>
      </c>
      <c r="Z2381" s="12" t="inlineStr"/>
      <c r="AA2381" s="12">
        <f>N2381*O2381</f>
        <v/>
      </c>
    </row>
    <row r="2382">
      <c r="A2382" s="12" t="inlineStr">
        <is>
          <t>C-C-0035</t>
        </is>
      </c>
      <c r="B2382" s="12" t="inlineStr">
        <is>
          <t>C</t>
        </is>
      </c>
      <c r="C2382" s="12" t="inlineStr">
        <is>
          <t>Grid interface</t>
        </is>
      </c>
      <c r="D2382" s="12" t="inlineStr">
        <is>
          <t>CT / VT</t>
        </is>
      </c>
      <c r="E2382" s="12" t="inlineStr">
        <is>
          <t>RH</t>
        </is>
      </c>
      <c r="F2382" s="12" t="inlineStr">
        <is>
          <t>RH: switchyard relay / control house (52 x 70 ft)</t>
        </is>
      </c>
      <c r="G2382" s="12" t="inlineStr">
        <is>
          <t>D2-CB2</t>
        </is>
      </c>
      <c r="H2382" s="12" t="inlineStr">
        <is>
          <t>D2 230 kV breaker 2</t>
        </is>
      </c>
      <c r="I2382" s="12" t="inlineStr">
        <is>
          <t>Control</t>
        </is>
      </c>
      <c r="J2382" s="12" t="inlineStr">
        <is>
          <t>Control cable 600 V Type TC-ER, Cu #10 AWG (CT / VT circuits)</t>
        </is>
      </c>
      <c r="K2382" s="12" t="inlineStr">
        <is>
          <t>CTCT|4/C|10</t>
        </is>
      </c>
      <c r="L2382" s="12" t="inlineStr">
        <is>
          <t>4/C</t>
        </is>
      </c>
      <c r="M2382" s="12" t="inlineStr">
        <is>
          <t>10</t>
        </is>
      </c>
      <c r="N2382" s="12" t="n">
        <v>1</v>
      </c>
      <c r="O2382" s="12" t="n">
        <v>1</v>
      </c>
      <c r="P2382" s="12" t="n"/>
      <c r="Q2382" s="12" t="n"/>
      <c r="R2382" s="12" t="n"/>
      <c r="S2382" s="12" t="inlineStr">
        <is>
          <t>Trench</t>
        </is>
      </c>
      <c r="T2382" s="16" t="n">
        <v>474</v>
      </c>
      <c r="U2382" s="16" t="n">
        <v>52</v>
      </c>
      <c r="V2382" s="16">
        <f>ROUNDUP((T2382+U2382+2*'Read Me'!$B$13)*(1+'Read Me'!$B$12),-1)</f>
        <v/>
      </c>
      <c r="W2382" s="16">
        <f>V2382*N2382*O2382</f>
        <v/>
      </c>
      <c r="X2382" s="12">
        <f>IF(LEFT(I2382,2)="MV",2*N2382*IF(L2382="1/C",O2382,1),0)</f>
        <v/>
      </c>
      <c r="Y2382" s="12">
        <f>IF(OR(LEFT(K2382,4)="LVAX",LEFT(K2382,6)="MV15AX",LEFT(K2382,4)="CTAX",LEFT(K2382,2)="W|"),2*N2382*O2382,0)</f>
        <v/>
      </c>
      <c r="Z2382" s="12" t="inlineStr"/>
      <c r="AA2382" s="12">
        <f>N2382*O2382</f>
        <v/>
      </c>
    </row>
    <row r="2383">
      <c r="A2383" s="12" t="inlineStr">
        <is>
          <t>C-C-0036</t>
        </is>
      </c>
      <c r="B2383" s="12" t="inlineStr">
        <is>
          <t>C</t>
        </is>
      </c>
      <c r="C2383" s="12" t="inlineStr">
        <is>
          <t>Grid interface</t>
        </is>
      </c>
      <c r="D2383" s="12" t="inlineStr">
        <is>
          <t>Control</t>
        </is>
      </c>
      <c r="E2383" s="12" t="inlineStr">
        <is>
          <t>RH</t>
        </is>
      </c>
      <c r="F2383" s="12" t="inlineStr">
        <is>
          <t>RH: switchyard relay / control house (52 x 70 ft)</t>
        </is>
      </c>
      <c r="G2383" s="12" t="inlineStr">
        <is>
          <t>D2-CB3</t>
        </is>
      </c>
      <c r="H2383" s="12" t="inlineStr">
        <is>
          <t>D2 230 kV breaker 3</t>
        </is>
      </c>
      <c r="I2383" s="12" t="inlineStr">
        <is>
          <t>Control</t>
        </is>
      </c>
      <c r="J2383" s="12" t="inlineStr">
        <is>
          <t>Control cable 600 V Type TC-ER, Cu #14 AWG, PVC jacket</t>
        </is>
      </c>
      <c r="K2383" s="12" t="inlineStr">
        <is>
          <t>CT|12/C|14</t>
        </is>
      </c>
      <c r="L2383" s="12" t="inlineStr">
        <is>
          <t>12/C</t>
        </is>
      </c>
      <c r="M2383" s="12" t="inlineStr">
        <is>
          <t>14</t>
        </is>
      </c>
      <c r="N2383" s="12" t="n">
        <v>1</v>
      </c>
      <c r="O2383" s="12" t="n">
        <v>1</v>
      </c>
      <c r="P2383" s="12" t="n"/>
      <c r="Q2383" s="12" t="n"/>
      <c r="R2383" s="12" t="n"/>
      <c r="S2383" s="12" t="inlineStr">
        <is>
          <t>Trench</t>
        </is>
      </c>
      <c r="T2383" s="16" t="n">
        <v>474</v>
      </c>
      <c r="U2383" s="16" t="n">
        <v>92</v>
      </c>
      <c r="V2383" s="16">
        <f>ROUNDUP((T2383+U2383+2*'Read Me'!$B$13)*(1+'Read Me'!$B$12),-1)</f>
        <v/>
      </c>
      <c r="W2383" s="16">
        <f>V2383*N2383*O2383</f>
        <v/>
      </c>
      <c r="X2383" s="12">
        <f>IF(LEFT(I2383,2)="MV",2*N2383*IF(L2383="1/C",O2383,1),0)</f>
        <v/>
      </c>
      <c r="Y2383" s="12">
        <f>IF(OR(LEFT(K2383,4)="LVAX",LEFT(K2383,6)="MV15AX",LEFT(K2383,4)="CTAX",LEFT(K2383,2)="W|"),2*N2383*O2383,0)</f>
        <v/>
      </c>
      <c r="Z2383" s="12" t="inlineStr"/>
      <c r="AA2383" s="12">
        <f>N2383*O2383</f>
        <v/>
      </c>
    </row>
    <row r="2384">
      <c r="A2384" s="12" t="inlineStr">
        <is>
          <t>C-C-0037</t>
        </is>
      </c>
      <c r="B2384" s="12" t="inlineStr">
        <is>
          <t>C</t>
        </is>
      </c>
      <c r="C2384" s="12" t="inlineStr">
        <is>
          <t>Grid interface</t>
        </is>
      </c>
      <c r="D2384" s="12" t="inlineStr">
        <is>
          <t>Control</t>
        </is>
      </c>
      <c r="E2384" s="12" t="inlineStr">
        <is>
          <t>RH</t>
        </is>
      </c>
      <c r="F2384" s="12" t="inlineStr">
        <is>
          <t>RH: switchyard relay / control house (52 x 70 ft)</t>
        </is>
      </c>
      <c r="G2384" s="12" t="inlineStr">
        <is>
          <t>D2-CB3</t>
        </is>
      </c>
      <c r="H2384" s="12" t="inlineStr">
        <is>
          <t>D2 230 kV breaker 3</t>
        </is>
      </c>
      <c r="I2384" s="12" t="inlineStr">
        <is>
          <t>Control</t>
        </is>
      </c>
      <c r="J2384" s="12" t="inlineStr">
        <is>
          <t>Control cable 600 V Type TC-ER, Cu #14 AWG, PVC jacket</t>
        </is>
      </c>
      <c r="K2384" s="12" t="inlineStr">
        <is>
          <t>CT|12/C|14</t>
        </is>
      </c>
      <c r="L2384" s="12" t="inlineStr">
        <is>
          <t>12/C</t>
        </is>
      </c>
      <c r="M2384" s="12" t="inlineStr">
        <is>
          <t>14</t>
        </is>
      </c>
      <c r="N2384" s="12" t="n">
        <v>1</v>
      </c>
      <c r="O2384" s="12" t="n">
        <v>1</v>
      </c>
      <c r="P2384" s="12" t="n"/>
      <c r="Q2384" s="12" t="n"/>
      <c r="R2384" s="12" t="n"/>
      <c r="S2384" s="12" t="inlineStr">
        <is>
          <t>Trench</t>
        </is>
      </c>
      <c r="T2384" s="16" t="n">
        <v>474</v>
      </c>
      <c r="U2384" s="16" t="n">
        <v>92</v>
      </c>
      <c r="V2384" s="16">
        <f>ROUNDUP((T2384+U2384+2*'Read Me'!$B$13)*(1+'Read Me'!$B$12),-1)</f>
        <v/>
      </c>
      <c r="W2384" s="16">
        <f>V2384*N2384*O2384</f>
        <v/>
      </c>
      <c r="X2384" s="12">
        <f>IF(LEFT(I2384,2)="MV",2*N2384*IF(L2384="1/C",O2384,1),0)</f>
        <v/>
      </c>
      <c r="Y2384" s="12">
        <f>IF(OR(LEFT(K2384,4)="LVAX",LEFT(K2384,6)="MV15AX",LEFT(K2384,4)="CTAX",LEFT(K2384,2)="W|"),2*N2384*O2384,0)</f>
        <v/>
      </c>
      <c r="Z2384" s="12" t="inlineStr"/>
      <c r="AA2384" s="12">
        <f>N2384*O2384</f>
        <v/>
      </c>
    </row>
    <row r="2385">
      <c r="A2385" s="12" t="inlineStr">
        <is>
          <t>C-C-0038</t>
        </is>
      </c>
      <c r="B2385" s="12" t="inlineStr">
        <is>
          <t>C</t>
        </is>
      </c>
      <c r="C2385" s="12" t="inlineStr">
        <is>
          <t>Grid interface</t>
        </is>
      </c>
      <c r="D2385" s="12" t="inlineStr">
        <is>
          <t>Control</t>
        </is>
      </c>
      <c r="E2385" s="12" t="inlineStr">
        <is>
          <t>RH</t>
        </is>
      </c>
      <c r="F2385" s="12" t="inlineStr">
        <is>
          <t>RH: switchyard relay / control house (52 x 70 ft)</t>
        </is>
      </c>
      <c r="G2385" s="12" t="inlineStr">
        <is>
          <t>D2-CB3</t>
        </is>
      </c>
      <c r="H2385" s="12" t="inlineStr">
        <is>
          <t>D2 230 kV breaker 3</t>
        </is>
      </c>
      <c r="I2385" s="12" t="inlineStr">
        <is>
          <t>Control</t>
        </is>
      </c>
      <c r="J2385" s="12" t="inlineStr">
        <is>
          <t>Control cable 600 V Type TC-ER, Cu #14 AWG, PVC jacket</t>
        </is>
      </c>
      <c r="K2385" s="12" t="inlineStr">
        <is>
          <t>CT|12/C|14</t>
        </is>
      </c>
      <c r="L2385" s="12" t="inlineStr">
        <is>
          <t>12/C</t>
        </is>
      </c>
      <c r="M2385" s="12" t="inlineStr">
        <is>
          <t>14</t>
        </is>
      </c>
      <c r="N2385" s="12" t="n">
        <v>1</v>
      </c>
      <c r="O2385" s="12" t="n">
        <v>1</v>
      </c>
      <c r="P2385" s="12" t="n"/>
      <c r="Q2385" s="12" t="n"/>
      <c r="R2385" s="12" t="n"/>
      <c r="S2385" s="12" t="inlineStr">
        <is>
          <t>Trench</t>
        </is>
      </c>
      <c r="T2385" s="16" t="n">
        <v>474</v>
      </c>
      <c r="U2385" s="16" t="n">
        <v>92</v>
      </c>
      <c r="V2385" s="16">
        <f>ROUNDUP((T2385+U2385+2*'Read Me'!$B$13)*(1+'Read Me'!$B$12),-1)</f>
        <v/>
      </c>
      <c r="W2385" s="16">
        <f>V2385*N2385*O2385</f>
        <v/>
      </c>
      <c r="X2385" s="12">
        <f>IF(LEFT(I2385,2)="MV",2*N2385*IF(L2385="1/C",O2385,1),0)</f>
        <v/>
      </c>
      <c r="Y2385" s="12">
        <f>IF(OR(LEFT(K2385,4)="LVAX",LEFT(K2385,6)="MV15AX",LEFT(K2385,4)="CTAX",LEFT(K2385,2)="W|"),2*N2385*O2385,0)</f>
        <v/>
      </c>
      <c r="Z2385" s="12" t="inlineStr"/>
      <c r="AA2385" s="12">
        <f>N2385*O2385</f>
        <v/>
      </c>
    </row>
    <row r="2386">
      <c r="A2386" s="12" t="inlineStr">
        <is>
          <t>C-C-0039</t>
        </is>
      </c>
      <c r="B2386" s="12" t="inlineStr">
        <is>
          <t>C</t>
        </is>
      </c>
      <c r="C2386" s="12" t="inlineStr">
        <is>
          <t>Grid interface</t>
        </is>
      </c>
      <c r="D2386" s="12" t="inlineStr">
        <is>
          <t>Control</t>
        </is>
      </c>
      <c r="E2386" s="12" t="inlineStr">
        <is>
          <t>RH</t>
        </is>
      </c>
      <c r="F2386" s="12" t="inlineStr">
        <is>
          <t>RH: switchyard relay / control house (52 x 70 ft)</t>
        </is>
      </c>
      <c r="G2386" s="12" t="inlineStr">
        <is>
          <t>D2-CB3</t>
        </is>
      </c>
      <c r="H2386" s="12" t="inlineStr">
        <is>
          <t>D2 230 kV breaker 3</t>
        </is>
      </c>
      <c r="I2386" s="12" t="inlineStr">
        <is>
          <t>Control</t>
        </is>
      </c>
      <c r="J2386" s="12" t="inlineStr">
        <is>
          <t>Control cable 600 V Type TC-ER, Cu #14 AWG, PVC jacket</t>
        </is>
      </c>
      <c r="K2386" s="12" t="inlineStr">
        <is>
          <t>CT|12/C|14</t>
        </is>
      </c>
      <c r="L2386" s="12" t="inlineStr">
        <is>
          <t>12/C</t>
        </is>
      </c>
      <c r="M2386" s="12" t="inlineStr">
        <is>
          <t>14</t>
        </is>
      </c>
      <c r="N2386" s="12" t="n">
        <v>1</v>
      </c>
      <c r="O2386" s="12" t="n">
        <v>1</v>
      </c>
      <c r="P2386" s="12" t="n"/>
      <c r="Q2386" s="12" t="n"/>
      <c r="R2386" s="12" t="n"/>
      <c r="S2386" s="12" t="inlineStr">
        <is>
          <t>Trench</t>
        </is>
      </c>
      <c r="T2386" s="16" t="n">
        <v>474</v>
      </c>
      <c r="U2386" s="16" t="n">
        <v>92</v>
      </c>
      <c r="V2386" s="16">
        <f>ROUNDUP((T2386+U2386+2*'Read Me'!$B$13)*(1+'Read Me'!$B$12),-1)</f>
        <v/>
      </c>
      <c r="W2386" s="16">
        <f>V2386*N2386*O2386</f>
        <v/>
      </c>
      <c r="X2386" s="12">
        <f>IF(LEFT(I2386,2)="MV",2*N2386*IF(L2386="1/C",O2386,1),0)</f>
        <v/>
      </c>
      <c r="Y2386" s="12">
        <f>IF(OR(LEFT(K2386,4)="LVAX",LEFT(K2386,6)="MV15AX",LEFT(K2386,4)="CTAX",LEFT(K2386,2)="W|"),2*N2386*O2386,0)</f>
        <v/>
      </c>
      <c r="Z2386" s="12" t="inlineStr"/>
      <c r="AA2386" s="12">
        <f>N2386*O2386</f>
        <v/>
      </c>
    </row>
    <row r="2387">
      <c r="A2387" s="12" t="inlineStr">
        <is>
          <t>C-C-0040</t>
        </is>
      </c>
      <c r="B2387" s="12" t="inlineStr">
        <is>
          <t>C</t>
        </is>
      </c>
      <c r="C2387" s="12" t="inlineStr">
        <is>
          <t>Grid interface</t>
        </is>
      </c>
      <c r="D2387" s="12" t="inlineStr">
        <is>
          <t>CT / VT</t>
        </is>
      </c>
      <c r="E2387" s="12" t="inlineStr">
        <is>
          <t>RH</t>
        </is>
      </c>
      <c r="F2387" s="12" t="inlineStr">
        <is>
          <t>RH: switchyard relay / control house (52 x 70 ft)</t>
        </is>
      </c>
      <c r="G2387" s="12" t="inlineStr">
        <is>
          <t>D2-CB3</t>
        </is>
      </c>
      <c r="H2387" s="12" t="inlineStr">
        <is>
          <t>D2 230 kV breaker 3</t>
        </is>
      </c>
      <c r="I2387" s="12" t="inlineStr">
        <is>
          <t>Control</t>
        </is>
      </c>
      <c r="J2387" s="12" t="inlineStr">
        <is>
          <t>Control cable 600 V Type TC-ER, Cu #10 AWG (CT / VT circuits)</t>
        </is>
      </c>
      <c r="K2387" s="12" t="inlineStr">
        <is>
          <t>CTCT|4/C|10</t>
        </is>
      </c>
      <c r="L2387" s="12" t="inlineStr">
        <is>
          <t>4/C</t>
        </is>
      </c>
      <c r="M2387" s="12" t="inlineStr">
        <is>
          <t>10</t>
        </is>
      </c>
      <c r="N2387" s="12" t="n">
        <v>1</v>
      </c>
      <c r="O2387" s="12" t="n">
        <v>1</v>
      </c>
      <c r="P2387" s="12" t="n"/>
      <c r="Q2387" s="12" t="n"/>
      <c r="R2387" s="12" t="n"/>
      <c r="S2387" s="12" t="inlineStr">
        <is>
          <t>Trench</t>
        </is>
      </c>
      <c r="T2387" s="16" t="n">
        <v>474</v>
      </c>
      <c r="U2387" s="16" t="n">
        <v>92</v>
      </c>
      <c r="V2387" s="16">
        <f>ROUNDUP((T2387+U2387+2*'Read Me'!$B$13)*(1+'Read Me'!$B$12),-1)</f>
        <v/>
      </c>
      <c r="W2387" s="16">
        <f>V2387*N2387*O2387</f>
        <v/>
      </c>
      <c r="X2387" s="12">
        <f>IF(LEFT(I2387,2)="MV",2*N2387*IF(L2387="1/C",O2387,1),0)</f>
        <v/>
      </c>
      <c r="Y2387" s="12">
        <f>IF(OR(LEFT(K2387,4)="LVAX",LEFT(K2387,6)="MV15AX",LEFT(K2387,4)="CTAX",LEFT(K2387,2)="W|"),2*N2387*O2387,0)</f>
        <v/>
      </c>
      <c r="Z2387" s="12" t="inlineStr"/>
      <c r="AA2387" s="12">
        <f>N2387*O2387</f>
        <v/>
      </c>
    </row>
    <row r="2388">
      <c r="A2388" s="12" t="inlineStr">
        <is>
          <t>C-C-0041</t>
        </is>
      </c>
      <c r="B2388" s="12" t="inlineStr">
        <is>
          <t>C</t>
        </is>
      </c>
      <c r="C2388" s="12" t="inlineStr">
        <is>
          <t>Grid interface</t>
        </is>
      </c>
      <c r="D2388" s="12" t="inlineStr">
        <is>
          <t>CT / VT</t>
        </is>
      </c>
      <c r="E2388" s="12" t="inlineStr">
        <is>
          <t>RH</t>
        </is>
      </c>
      <c r="F2388" s="12" t="inlineStr">
        <is>
          <t>RH: switchyard relay / control house (52 x 70 ft)</t>
        </is>
      </c>
      <c r="G2388" s="12" t="inlineStr">
        <is>
          <t>D2-CB3</t>
        </is>
      </c>
      <c r="H2388" s="12" t="inlineStr">
        <is>
          <t>D2 230 kV breaker 3</t>
        </is>
      </c>
      <c r="I2388" s="12" t="inlineStr">
        <is>
          <t>Control</t>
        </is>
      </c>
      <c r="J2388" s="12" t="inlineStr">
        <is>
          <t>Control cable 600 V Type TC-ER, Cu #10 AWG (CT / VT circuits)</t>
        </is>
      </c>
      <c r="K2388" s="12" t="inlineStr">
        <is>
          <t>CTCT|4/C|10</t>
        </is>
      </c>
      <c r="L2388" s="12" t="inlineStr">
        <is>
          <t>4/C</t>
        </is>
      </c>
      <c r="M2388" s="12" t="inlineStr">
        <is>
          <t>10</t>
        </is>
      </c>
      <c r="N2388" s="12" t="n">
        <v>1</v>
      </c>
      <c r="O2388" s="12" t="n">
        <v>1</v>
      </c>
      <c r="P2388" s="12" t="n"/>
      <c r="Q2388" s="12" t="n"/>
      <c r="R2388" s="12" t="n"/>
      <c r="S2388" s="12" t="inlineStr">
        <is>
          <t>Trench</t>
        </is>
      </c>
      <c r="T2388" s="16" t="n">
        <v>474</v>
      </c>
      <c r="U2388" s="16" t="n">
        <v>92</v>
      </c>
      <c r="V2388" s="16">
        <f>ROUNDUP((T2388+U2388+2*'Read Me'!$B$13)*(1+'Read Me'!$B$12),-1)</f>
        <v/>
      </c>
      <c r="W2388" s="16">
        <f>V2388*N2388*O2388</f>
        <v/>
      </c>
      <c r="X2388" s="12">
        <f>IF(LEFT(I2388,2)="MV",2*N2388*IF(L2388="1/C",O2388,1),0)</f>
        <v/>
      </c>
      <c r="Y2388" s="12">
        <f>IF(OR(LEFT(K2388,4)="LVAX",LEFT(K2388,6)="MV15AX",LEFT(K2388,4)="CTAX",LEFT(K2388,2)="W|"),2*N2388*O2388,0)</f>
        <v/>
      </c>
      <c r="Z2388" s="12" t="inlineStr"/>
      <c r="AA2388" s="12">
        <f>N2388*O2388</f>
        <v/>
      </c>
    </row>
    <row r="2389">
      <c r="A2389" s="12" t="inlineStr">
        <is>
          <t>C-C-0042</t>
        </is>
      </c>
      <c r="B2389" s="12" t="inlineStr">
        <is>
          <t>C</t>
        </is>
      </c>
      <c r="C2389" s="12" t="inlineStr">
        <is>
          <t>Grid interface</t>
        </is>
      </c>
      <c r="D2389" s="12" t="inlineStr">
        <is>
          <t>CT / VT</t>
        </is>
      </c>
      <c r="E2389" s="12" t="inlineStr">
        <is>
          <t>RH</t>
        </is>
      </c>
      <c r="F2389" s="12" t="inlineStr">
        <is>
          <t>RH: switchyard relay / control house (52 x 70 ft)</t>
        </is>
      </c>
      <c r="G2389" s="12" t="inlineStr">
        <is>
          <t>D2-CB3</t>
        </is>
      </c>
      <c r="H2389" s="12" t="inlineStr">
        <is>
          <t>D2 230 kV breaker 3</t>
        </is>
      </c>
      <c r="I2389" s="12" t="inlineStr">
        <is>
          <t>Control</t>
        </is>
      </c>
      <c r="J2389" s="12" t="inlineStr">
        <is>
          <t>Control cable 600 V Type TC-ER, Cu #10 AWG (CT / VT circuits)</t>
        </is>
      </c>
      <c r="K2389" s="12" t="inlineStr">
        <is>
          <t>CTCT|4/C|10</t>
        </is>
      </c>
      <c r="L2389" s="12" t="inlineStr">
        <is>
          <t>4/C</t>
        </is>
      </c>
      <c r="M2389" s="12" t="inlineStr">
        <is>
          <t>10</t>
        </is>
      </c>
      <c r="N2389" s="12" t="n">
        <v>1</v>
      </c>
      <c r="O2389" s="12" t="n">
        <v>1</v>
      </c>
      <c r="P2389" s="12" t="n"/>
      <c r="Q2389" s="12" t="n"/>
      <c r="R2389" s="12" t="n"/>
      <c r="S2389" s="12" t="inlineStr">
        <is>
          <t>Trench</t>
        </is>
      </c>
      <c r="T2389" s="16" t="n">
        <v>474</v>
      </c>
      <c r="U2389" s="16" t="n">
        <v>92</v>
      </c>
      <c r="V2389" s="16">
        <f>ROUNDUP((T2389+U2389+2*'Read Me'!$B$13)*(1+'Read Me'!$B$12),-1)</f>
        <v/>
      </c>
      <c r="W2389" s="16">
        <f>V2389*N2389*O2389</f>
        <v/>
      </c>
      <c r="X2389" s="12">
        <f>IF(LEFT(I2389,2)="MV",2*N2389*IF(L2389="1/C",O2389,1),0)</f>
        <v/>
      </c>
      <c r="Y2389" s="12">
        <f>IF(OR(LEFT(K2389,4)="LVAX",LEFT(K2389,6)="MV15AX",LEFT(K2389,4)="CTAX",LEFT(K2389,2)="W|"),2*N2389*O2389,0)</f>
        <v/>
      </c>
      <c r="Z2389" s="12" t="inlineStr"/>
      <c r="AA2389" s="12">
        <f>N2389*O2389</f>
        <v/>
      </c>
    </row>
    <row r="2390">
      <c r="A2390" s="12" t="inlineStr">
        <is>
          <t>C-C-0043</t>
        </is>
      </c>
      <c r="B2390" s="12" t="inlineStr">
        <is>
          <t>C</t>
        </is>
      </c>
      <c r="C2390" s="12" t="inlineStr">
        <is>
          <t>Grid interface</t>
        </is>
      </c>
      <c r="D2390" s="12" t="inlineStr">
        <is>
          <t>Control</t>
        </is>
      </c>
      <c r="E2390" s="12" t="inlineStr">
        <is>
          <t>RH</t>
        </is>
      </c>
      <c r="F2390" s="12" t="inlineStr">
        <is>
          <t>RH: switchyard relay / control house (52 x 70 ft)</t>
        </is>
      </c>
      <c r="G2390" s="12" t="inlineStr">
        <is>
          <t>D3-CB1</t>
        </is>
      </c>
      <c r="H2390" s="12" t="inlineStr">
        <is>
          <t>D3 230 kV breaker 1</t>
        </is>
      </c>
      <c r="I2390" s="12" t="inlineStr">
        <is>
          <t>Control</t>
        </is>
      </c>
      <c r="J2390" s="12" t="inlineStr">
        <is>
          <t>Control cable 600 V Type TC-ER, Cu #14 AWG, PVC jacket</t>
        </is>
      </c>
      <c r="K2390" s="12" t="inlineStr">
        <is>
          <t>CT|12/C|14</t>
        </is>
      </c>
      <c r="L2390" s="12" t="inlineStr">
        <is>
          <t>12/C</t>
        </is>
      </c>
      <c r="M2390" s="12" t="inlineStr">
        <is>
          <t>14</t>
        </is>
      </c>
      <c r="N2390" s="12" t="n">
        <v>1</v>
      </c>
      <c r="O2390" s="12" t="n">
        <v>1</v>
      </c>
      <c r="P2390" s="12" t="n"/>
      <c r="Q2390" s="12" t="n"/>
      <c r="R2390" s="12" t="n"/>
      <c r="S2390" s="12" t="inlineStr">
        <is>
          <t>Trench</t>
        </is>
      </c>
      <c r="T2390" s="16" t="n">
        <v>674</v>
      </c>
      <c r="U2390" s="16" t="n">
        <v>40</v>
      </c>
      <c r="V2390" s="16">
        <f>ROUNDUP((T2390+U2390+2*'Read Me'!$B$13)*(1+'Read Me'!$B$12),-1)</f>
        <v/>
      </c>
      <c r="W2390" s="16">
        <f>V2390*N2390*O2390</f>
        <v/>
      </c>
      <c r="X2390" s="12">
        <f>IF(LEFT(I2390,2)="MV",2*N2390*IF(L2390="1/C",O2390,1),0)</f>
        <v/>
      </c>
      <c r="Y2390" s="12">
        <f>IF(OR(LEFT(K2390,4)="LVAX",LEFT(K2390,6)="MV15AX",LEFT(K2390,4)="CTAX",LEFT(K2390,2)="W|"),2*N2390*O2390,0)</f>
        <v/>
      </c>
      <c r="Z2390" s="12" t="inlineStr"/>
      <c r="AA2390" s="12">
        <f>N2390*O2390</f>
        <v/>
      </c>
    </row>
    <row r="2391">
      <c r="A2391" s="12" t="inlineStr">
        <is>
          <t>C-C-0044</t>
        </is>
      </c>
      <c r="B2391" s="12" t="inlineStr">
        <is>
          <t>C</t>
        </is>
      </c>
      <c r="C2391" s="12" t="inlineStr">
        <is>
          <t>Grid interface</t>
        </is>
      </c>
      <c r="D2391" s="12" t="inlineStr">
        <is>
          <t>Control</t>
        </is>
      </c>
      <c r="E2391" s="12" t="inlineStr">
        <is>
          <t>RH</t>
        </is>
      </c>
      <c r="F2391" s="12" t="inlineStr">
        <is>
          <t>RH: switchyard relay / control house (52 x 70 ft)</t>
        </is>
      </c>
      <c r="G2391" s="12" t="inlineStr">
        <is>
          <t>D3-CB1</t>
        </is>
      </c>
      <c r="H2391" s="12" t="inlineStr">
        <is>
          <t>D3 230 kV breaker 1</t>
        </is>
      </c>
      <c r="I2391" s="12" t="inlineStr">
        <is>
          <t>Control</t>
        </is>
      </c>
      <c r="J2391" s="12" t="inlineStr">
        <is>
          <t>Control cable 600 V Type TC-ER, Cu #14 AWG, PVC jacket</t>
        </is>
      </c>
      <c r="K2391" s="12" t="inlineStr">
        <is>
          <t>CT|12/C|14</t>
        </is>
      </c>
      <c r="L2391" s="12" t="inlineStr">
        <is>
          <t>12/C</t>
        </is>
      </c>
      <c r="M2391" s="12" t="inlineStr">
        <is>
          <t>14</t>
        </is>
      </c>
      <c r="N2391" s="12" t="n">
        <v>1</v>
      </c>
      <c r="O2391" s="12" t="n">
        <v>1</v>
      </c>
      <c r="P2391" s="12" t="n"/>
      <c r="Q2391" s="12" t="n"/>
      <c r="R2391" s="12" t="n"/>
      <c r="S2391" s="12" t="inlineStr">
        <is>
          <t>Trench</t>
        </is>
      </c>
      <c r="T2391" s="16" t="n">
        <v>674</v>
      </c>
      <c r="U2391" s="16" t="n">
        <v>40</v>
      </c>
      <c r="V2391" s="16">
        <f>ROUNDUP((T2391+U2391+2*'Read Me'!$B$13)*(1+'Read Me'!$B$12),-1)</f>
        <v/>
      </c>
      <c r="W2391" s="16">
        <f>V2391*N2391*O2391</f>
        <v/>
      </c>
      <c r="X2391" s="12">
        <f>IF(LEFT(I2391,2)="MV",2*N2391*IF(L2391="1/C",O2391,1),0)</f>
        <v/>
      </c>
      <c r="Y2391" s="12">
        <f>IF(OR(LEFT(K2391,4)="LVAX",LEFT(K2391,6)="MV15AX",LEFT(K2391,4)="CTAX",LEFT(K2391,2)="W|"),2*N2391*O2391,0)</f>
        <v/>
      </c>
      <c r="Z2391" s="12" t="inlineStr"/>
      <c r="AA2391" s="12">
        <f>N2391*O2391</f>
        <v/>
      </c>
    </row>
    <row r="2392">
      <c r="A2392" s="12" t="inlineStr">
        <is>
          <t>C-C-0045</t>
        </is>
      </c>
      <c r="B2392" s="12" t="inlineStr">
        <is>
          <t>C</t>
        </is>
      </c>
      <c r="C2392" s="12" t="inlineStr">
        <is>
          <t>Grid interface</t>
        </is>
      </c>
      <c r="D2392" s="12" t="inlineStr">
        <is>
          <t>Control</t>
        </is>
      </c>
      <c r="E2392" s="12" t="inlineStr">
        <is>
          <t>RH</t>
        </is>
      </c>
      <c r="F2392" s="12" t="inlineStr">
        <is>
          <t>RH: switchyard relay / control house (52 x 70 ft)</t>
        </is>
      </c>
      <c r="G2392" s="12" t="inlineStr">
        <is>
          <t>D3-CB1</t>
        </is>
      </c>
      <c r="H2392" s="12" t="inlineStr">
        <is>
          <t>D3 230 kV breaker 1</t>
        </is>
      </c>
      <c r="I2392" s="12" t="inlineStr">
        <is>
          <t>Control</t>
        </is>
      </c>
      <c r="J2392" s="12" t="inlineStr">
        <is>
          <t>Control cable 600 V Type TC-ER, Cu #14 AWG, PVC jacket</t>
        </is>
      </c>
      <c r="K2392" s="12" t="inlineStr">
        <is>
          <t>CT|12/C|14</t>
        </is>
      </c>
      <c r="L2392" s="12" t="inlineStr">
        <is>
          <t>12/C</t>
        </is>
      </c>
      <c r="M2392" s="12" t="inlineStr">
        <is>
          <t>14</t>
        </is>
      </c>
      <c r="N2392" s="12" t="n">
        <v>1</v>
      </c>
      <c r="O2392" s="12" t="n">
        <v>1</v>
      </c>
      <c r="P2392" s="12" t="n"/>
      <c r="Q2392" s="12" t="n"/>
      <c r="R2392" s="12" t="n"/>
      <c r="S2392" s="12" t="inlineStr">
        <is>
          <t>Trench</t>
        </is>
      </c>
      <c r="T2392" s="16" t="n">
        <v>674</v>
      </c>
      <c r="U2392" s="16" t="n">
        <v>40</v>
      </c>
      <c r="V2392" s="16">
        <f>ROUNDUP((T2392+U2392+2*'Read Me'!$B$13)*(1+'Read Me'!$B$12),-1)</f>
        <v/>
      </c>
      <c r="W2392" s="16">
        <f>V2392*N2392*O2392</f>
        <v/>
      </c>
      <c r="X2392" s="12">
        <f>IF(LEFT(I2392,2)="MV",2*N2392*IF(L2392="1/C",O2392,1),0)</f>
        <v/>
      </c>
      <c r="Y2392" s="12">
        <f>IF(OR(LEFT(K2392,4)="LVAX",LEFT(K2392,6)="MV15AX",LEFT(K2392,4)="CTAX",LEFT(K2392,2)="W|"),2*N2392*O2392,0)</f>
        <v/>
      </c>
      <c r="Z2392" s="12" t="inlineStr"/>
      <c r="AA2392" s="12">
        <f>N2392*O2392</f>
        <v/>
      </c>
    </row>
    <row r="2393">
      <c r="A2393" s="12" t="inlineStr">
        <is>
          <t>C-C-0046</t>
        </is>
      </c>
      <c r="B2393" s="12" t="inlineStr">
        <is>
          <t>C</t>
        </is>
      </c>
      <c r="C2393" s="12" t="inlineStr">
        <is>
          <t>Grid interface</t>
        </is>
      </c>
      <c r="D2393" s="12" t="inlineStr">
        <is>
          <t>Control</t>
        </is>
      </c>
      <c r="E2393" s="12" t="inlineStr">
        <is>
          <t>RH</t>
        </is>
      </c>
      <c r="F2393" s="12" t="inlineStr">
        <is>
          <t>RH: switchyard relay / control house (52 x 70 ft)</t>
        </is>
      </c>
      <c r="G2393" s="12" t="inlineStr">
        <is>
          <t>D3-CB1</t>
        </is>
      </c>
      <c r="H2393" s="12" t="inlineStr">
        <is>
          <t>D3 230 kV breaker 1</t>
        </is>
      </c>
      <c r="I2393" s="12" t="inlineStr">
        <is>
          <t>Control</t>
        </is>
      </c>
      <c r="J2393" s="12" t="inlineStr">
        <is>
          <t>Control cable 600 V Type TC-ER, Cu #14 AWG, PVC jacket</t>
        </is>
      </c>
      <c r="K2393" s="12" t="inlineStr">
        <is>
          <t>CT|12/C|14</t>
        </is>
      </c>
      <c r="L2393" s="12" t="inlineStr">
        <is>
          <t>12/C</t>
        </is>
      </c>
      <c r="M2393" s="12" t="inlineStr">
        <is>
          <t>14</t>
        </is>
      </c>
      <c r="N2393" s="12" t="n">
        <v>1</v>
      </c>
      <c r="O2393" s="12" t="n">
        <v>1</v>
      </c>
      <c r="P2393" s="12" t="n"/>
      <c r="Q2393" s="12" t="n"/>
      <c r="R2393" s="12" t="n"/>
      <c r="S2393" s="12" t="inlineStr">
        <is>
          <t>Trench</t>
        </is>
      </c>
      <c r="T2393" s="16" t="n">
        <v>674</v>
      </c>
      <c r="U2393" s="16" t="n">
        <v>40</v>
      </c>
      <c r="V2393" s="16">
        <f>ROUNDUP((T2393+U2393+2*'Read Me'!$B$13)*(1+'Read Me'!$B$12),-1)</f>
        <v/>
      </c>
      <c r="W2393" s="16">
        <f>V2393*N2393*O2393</f>
        <v/>
      </c>
      <c r="X2393" s="12">
        <f>IF(LEFT(I2393,2)="MV",2*N2393*IF(L2393="1/C",O2393,1),0)</f>
        <v/>
      </c>
      <c r="Y2393" s="12">
        <f>IF(OR(LEFT(K2393,4)="LVAX",LEFT(K2393,6)="MV15AX",LEFT(K2393,4)="CTAX",LEFT(K2393,2)="W|"),2*N2393*O2393,0)</f>
        <v/>
      </c>
      <c r="Z2393" s="12" t="inlineStr"/>
      <c r="AA2393" s="12">
        <f>N2393*O2393</f>
        <v/>
      </c>
    </row>
    <row r="2394">
      <c r="A2394" s="12" t="inlineStr">
        <is>
          <t>C-C-0047</t>
        </is>
      </c>
      <c r="B2394" s="12" t="inlineStr">
        <is>
          <t>C</t>
        </is>
      </c>
      <c r="C2394" s="12" t="inlineStr">
        <is>
          <t>Grid interface</t>
        </is>
      </c>
      <c r="D2394" s="12" t="inlineStr">
        <is>
          <t>CT / VT</t>
        </is>
      </c>
      <c r="E2394" s="12" t="inlineStr">
        <is>
          <t>RH</t>
        </is>
      </c>
      <c r="F2394" s="12" t="inlineStr">
        <is>
          <t>RH: switchyard relay / control house (52 x 70 ft)</t>
        </is>
      </c>
      <c r="G2394" s="12" t="inlineStr">
        <is>
          <t>D3-CB1</t>
        </is>
      </c>
      <c r="H2394" s="12" t="inlineStr">
        <is>
          <t>D3 230 kV breaker 1</t>
        </is>
      </c>
      <c r="I2394" s="12" t="inlineStr">
        <is>
          <t>Control</t>
        </is>
      </c>
      <c r="J2394" s="12" t="inlineStr">
        <is>
          <t>Control cable 600 V Type TC-ER, Cu #10 AWG (CT / VT circuits)</t>
        </is>
      </c>
      <c r="K2394" s="12" t="inlineStr">
        <is>
          <t>CTCT|4/C|10</t>
        </is>
      </c>
      <c r="L2394" s="12" t="inlineStr">
        <is>
          <t>4/C</t>
        </is>
      </c>
      <c r="M2394" s="12" t="inlineStr">
        <is>
          <t>10</t>
        </is>
      </c>
      <c r="N2394" s="12" t="n">
        <v>1</v>
      </c>
      <c r="O2394" s="12" t="n">
        <v>1</v>
      </c>
      <c r="P2394" s="12" t="n"/>
      <c r="Q2394" s="12" t="n"/>
      <c r="R2394" s="12" t="n"/>
      <c r="S2394" s="12" t="inlineStr">
        <is>
          <t>Trench</t>
        </is>
      </c>
      <c r="T2394" s="16" t="n">
        <v>674</v>
      </c>
      <c r="U2394" s="16" t="n">
        <v>40</v>
      </c>
      <c r="V2394" s="16">
        <f>ROUNDUP((T2394+U2394+2*'Read Me'!$B$13)*(1+'Read Me'!$B$12),-1)</f>
        <v/>
      </c>
      <c r="W2394" s="16">
        <f>V2394*N2394*O2394</f>
        <v/>
      </c>
      <c r="X2394" s="12">
        <f>IF(LEFT(I2394,2)="MV",2*N2394*IF(L2394="1/C",O2394,1),0)</f>
        <v/>
      </c>
      <c r="Y2394" s="12">
        <f>IF(OR(LEFT(K2394,4)="LVAX",LEFT(K2394,6)="MV15AX",LEFT(K2394,4)="CTAX",LEFT(K2394,2)="W|"),2*N2394*O2394,0)</f>
        <v/>
      </c>
      <c r="Z2394" s="12" t="inlineStr"/>
      <c r="AA2394" s="12">
        <f>N2394*O2394</f>
        <v/>
      </c>
    </row>
    <row r="2395">
      <c r="A2395" s="12" t="inlineStr">
        <is>
          <t>C-C-0048</t>
        </is>
      </c>
      <c r="B2395" s="12" t="inlineStr">
        <is>
          <t>C</t>
        </is>
      </c>
      <c r="C2395" s="12" t="inlineStr">
        <is>
          <t>Grid interface</t>
        </is>
      </c>
      <c r="D2395" s="12" t="inlineStr">
        <is>
          <t>CT / VT</t>
        </is>
      </c>
      <c r="E2395" s="12" t="inlineStr">
        <is>
          <t>RH</t>
        </is>
      </c>
      <c r="F2395" s="12" t="inlineStr">
        <is>
          <t>RH: switchyard relay / control house (52 x 70 ft)</t>
        </is>
      </c>
      <c r="G2395" s="12" t="inlineStr">
        <is>
          <t>D3-CB1</t>
        </is>
      </c>
      <c r="H2395" s="12" t="inlineStr">
        <is>
          <t>D3 230 kV breaker 1</t>
        </is>
      </c>
      <c r="I2395" s="12" t="inlineStr">
        <is>
          <t>Control</t>
        </is>
      </c>
      <c r="J2395" s="12" t="inlineStr">
        <is>
          <t>Control cable 600 V Type TC-ER, Cu #10 AWG (CT / VT circuits)</t>
        </is>
      </c>
      <c r="K2395" s="12" t="inlineStr">
        <is>
          <t>CTCT|4/C|10</t>
        </is>
      </c>
      <c r="L2395" s="12" t="inlineStr">
        <is>
          <t>4/C</t>
        </is>
      </c>
      <c r="M2395" s="12" t="inlineStr">
        <is>
          <t>10</t>
        </is>
      </c>
      <c r="N2395" s="12" t="n">
        <v>1</v>
      </c>
      <c r="O2395" s="12" t="n">
        <v>1</v>
      </c>
      <c r="P2395" s="12" t="n"/>
      <c r="Q2395" s="12" t="n"/>
      <c r="R2395" s="12" t="n"/>
      <c r="S2395" s="12" t="inlineStr">
        <is>
          <t>Trench</t>
        </is>
      </c>
      <c r="T2395" s="16" t="n">
        <v>674</v>
      </c>
      <c r="U2395" s="16" t="n">
        <v>40</v>
      </c>
      <c r="V2395" s="16">
        <f>ROUNDUP((T2395+U2395+2*'Read Me'!$B$13)*(1+'Read Me'!$B$12),-1)</f>
        <v/>
      </c>
      <c r="W2395" s="16">
        <f>V2395*N2395*O2395</f>
        <v/>
      </c>
      <c r="X2395" s="12">
        <f>IF(LEFT(I2395,2)="MV",2*N2395*IF(L2395="1/C",O2395,1),0)</f>
        <v/>
      </c>
      <c r="Y2395" s="12">
        <f>IF(OR(LEFT(K2395,4)="LVAX",LEFT(K2395,6)="MV15AX",LEFT(K2395,4)="CTAX",LEFT(K2395,2)="W|"),2*N2395*O2395,0)</f>
        <v/>
      </c>
      <c r="Z2395" s="12" t="inlineStr"/>
      <c r="AA2395" s="12">
        <f>N2395*O2395</f>
        <v/>
      </c>
    </row>
    <row r="2396">
      <c r="A2396" s="12" t="inlineStr">
        <is>
          <t>C-C-0049</t>
        </is>
      </c>
      <c r="B2396" s="12" t="inlineStr">
        <is>
          <t>C</t>
        </is>
      </c>
      <c r="C2396" s="12" t="inlineStr">
        <is>
          <t>Grid interface</t>
        </is>
      </c>
      <c r="D2396" s="12" t="inlineStr">
        <is>
          <t>CT / VT</t>
        </is>
      </c>
      <c r="E2396" s="12" t="inlineStr">
        <is>
          <t>RH</t>
        </is>
      </c>
      <c r="F2396" s="12" t="inlineStr">
        <is>
          <t>RH: switchyard relay / control house (52 x 70 ft)</t>
        </is>
      </c>
      <c r="G2396" s="12" t="inlineStr">
        <is>
          <t>D3-CB1</t>
        </is>
      </c>
      <c r="H2396" s="12" t="inlineStr">
        <is>
          <t>D3 230 kV breaker 1</t>
        </is>
      </c>
      <c r="I2396" s="12" t="inlineStr">
        <is>
          <t>Control</t>
        </is>
      </c>
      <c r="J2396" s="12" t="inlineStr">
        <is>
          <t>Control cable 600 V Type TC-ER, Cu #10 AWG (CT / VT circuits)</t>
        </is>
      </c>
      <c r="K2396" s="12" t="inlineStr">
        <is>
          <t>CTCT|4/C|10</t>
        </is>
      </c>
      <c r="L2396" s="12" t="inlineStr">
        <is>
          <t>4/C</t>
        </is>
      </c>
      <c r="M2396" s="12" t="inlineStr">
        <is>
          <t>10</t>
        </is>
      </c>
      <c r="N2396" s="12" t="n">
        <v>1</v>
      </c>
      <c r="O2396" s="12" t="n">
        <v>1</v>
      </c>
      <c r="P2396" s="12" t="n"/>
      <c r="Q2396" s="12" t="n"/>
      <c r="R2396" s="12" t="n"/>
      <c r="S2396" s="12" t="inlineStr">
        <is>
          <t>Trench</t>
        </is>
      </c>
      <c r="T2396" s="16" t="n">
        <v>674</v>
      </c>
      <c r="U2396" s="16" t="n">
        <v>40</v>
      </c>
      <c r="V2396" s="16">
        <f>ROUNDUP((T2396+U2396+2*'Read Me'!$B$13)*(1+'Read Me'!$B$12),-1)</f>
        <v/>
      </c>
      <c r="W2396" s="16">
        <f>V2396*N2396*O2396</f>
        <v/>
      </c>
      <c r="X2396" s="12">
        <f>IF(LEFT(I2396,2)="MV",2*N2396*IF(L2396="1/C",O2396,1),0)</f>
        <v/>
      </c>
      <c r="Y2396" s="12">
        <f>IF(OR(LEFT(K2396,4)="LVAX",LEFT(K2396,6)="MV15AX",LEFT(K2396,4)="CTAX",LEFT(K2396,2)="W|"),2*N2396*O2396,0)</f>
        <v/>
      </c>
      <c r="Z2396" s="12" t="inlineStr"/>
      <c r="AA2396" s="12">
        <f>N2396*O2396</f>
        <v/>
      </c>
    </row>
    <row r="2397">
      <c r="A2397" s="12" t="inlineStr">
        <is>
          <t>C-C-0050</t>
        </is>
      </c>
      <c r="B2397" s="12" t="inlineStr">
        <is>
          <t>C</t>
        </is>
      </c>
      <c r="C2397" s="12" t="inlineStr">
        <is>
          <t>Grid interface</t>
        </is>
      </c>
      <c r="D2397" s="12" t="inlineStr">
        <is>
          <t>Control</t>
        </is>
      </c>
      <c r="E2397" s="12" t="inlineStr">
        <is>
          <t>RH</t>
        </is>
      </c>
      <c r="F2397" s="12" t="inlineStr">
        <is>
          <t>RH: switchyard relay / control house (52 x 70 ft)</t>
        </is>
      </c>
      <c r="G2397" s="12" t="inlineStr">
        <is>
          <t>D3-CB2</t>
        </is>
      </c>
      <c r="H2397" s="12" t="inlineStr">
        <is>
          <t>D3 230 kV breaker 2</t>
        </is>
      </c>
      <c r="I2397" s="12" t="inlineStr">
        <is>
          <t>Control</t>
        </is>
      </c>
      <c r="J2397" s="12" t="inlineStr">
        <is>
          <t>Control cable 600 V Type TC-ER, Cu #14 AWG, PVC jacket</t>
        </is>
      </c>
      <c r="K2397" s="12" t="inlineStr">
        <is>
          <t>CT|12/C|14</t>
        </is>
      </c>
      <c r="L2397" s="12" t="inlineStr">
        <is>
          <t>12/C</t>
        </is>
      </c>
      <c r="M2397" s="12" t="inlineStr">
        <is>
          <t>14</t>
        </is>
      </c>
      <c r="N2397" s="12" t="n">
        <v>1</v>
      </c>
      <c r="O2397" s="12" t="n">
        <v>1</v>
      </c>
      <c r="P2397" s="12" t="n"/>
      <c r="Q2397" s="12" t="n"/>
      <c r="R2397" s="12" t="n"/>
      <c r="S2397" s="12" t="inlineStr">
        <is>
          <t>Trench</t>
        </is>
      </c>
      <c r="T2397" s="16" t="n">
        <v>674</v>
      </c>
      <c r="U2397" s="16" t="n">
        <v>52</v>
      </c>
      <c r="V2397" s="16">
        <f>ROUNDUP((T2397+U2397+2*'Read Me'!$B$13)*(1+'Read Me'!$B$12),-1)</f>
        <v/>
      </c>
      <c r="W2397" s="16">
        <f>V2397*N2397*O2397</f>
        <v/>
      </c>
      <c r="X2397" s="12">
        <f>IF(LEFT(I2397,2)="MV",2*N2397*IF(L2397="1/C",O2397,1),0)</f>
        <v/>
      </c>
      <c r="Y2397" s="12">
        <f>IF(OR(LEFT(K2397,4)="LVAX",LEFT(K2397,6)="MV15AX",LEFT(K2397,4)="CTAX",LEFT(K2397,2)="W|"),2*N2397*O2397,0)</f>
        <v/>
      </c>
      <c r="Z2397" s="12" t="inlineStr"/>
      <c r="AA2397" s="12">
        <f>N2397*O2397</f>
        <v/>
      </c>
    </row>
    <row r="2398">
      <c r="A2398" s="12" t="inlineStr">
        <is>
          <t>C-C-0051</t>
        </is>
      </c>
      <c r="B2398" s="12" t="inlineStr">
        <is>
          <t>C</t>
        </is>
      </c>
      <c r="C2398" s="12" t="inlineStr">
        <is>
          <t>Grid interface</t>
        </is>
      </c>
      <c r="D2398" s="12" t="inlineStr">
        <is>
          <t>Control</t>
        </is>
      </c>
      <c r="E2398" s="12" t="inlineStr">
        <is>
          <t>RH</t>
        </is>
      </c>
      <c r="F2398" s="12" t="inlineStr">
        <is>
          <t>RH: switchyard relay / control house (52 x 70 ft)</t>
        </is>
      </c>
      <c r="G2398" s="12" t="inlineStr">
        <is>
          <t>D3-CB2</t>
        </is>
      </c>
      <c r="H2398" s="12" t="inlineStr">
        <is>
          <t>D3 230 kV breaker 2</t>
        </is>
      </c>
      <c r="I2398" s="12" t="inlineStr">
        <is>
          <t>Control</t>
        </is>
      </c>
      <c r="J2398" s="12" t="inlineStr">
        <is>
          <t>Control cable 600 V Type TC-ER, Cu #14 AWG, PVC jacket</t>
        </is>
      </c>
      <c r="K2398" s="12" t="inlineStr">
        <is>
          <t>CT|12/C|14</t>
        </is>
      </c>
      <c r="L2398" s="12" t="inlineStr">
        <is>
          <t>12/C</t>
        </is>
      </c>
      <c r="M2398" s="12" t="inlineStr">
        <is>
          <t>14</t>
        </is>
      </c>
      <c r="N2398" s="12" t="n">
        <v>1</v>
      </c>
      <c r="O2398" s="12" t="n">
        <v>1</v>
      </c>
      <c r="P2398" s="12" t="n"/>
      <c r="Q2398" s="12" t="n"/>
      <c r="R2398" s="12" t="n"/>
      <c r="S2398" s="12" t="inlineStr">
        <is>
          <t>Trench</t>
        </is>
      </c>
      <c r="T2398" s="16" t="n">
        <v>674</v>
      </c>
      <c r="U2398" s="16" t="n">
        <v>52</v>
      </c>
      <c r="V2398" s="16">
        <f>ROUNDUP((T2398+U2398+2*'Read Me'!$B$13)*(1+'Read Me'!$B$12),-1)</f>
        <v/>
      </c>
      <c r="W2398" s="16">
        <f>V2398*N2398*O2398</f>
        <v/>
      </c>
      <c r="X2398" s="12">
        <f>IF(LEFT(I2398,2)="MV",2*N2398*IF(L2398="1/C",O2398,1),0)</f>
        <v/>
      </c>
      <c r="Y2398" s="12">
        <f>IF(OR(LEFT(K2398,4)="LVAX",LEFT(K2398,6)="MV15AX",LEFT(K2398,4)="CTAX",LEFT(K2398,2)="W|"),2*N2398*O2398,0)</f>
        <v/>
      </c>
      <c r="Z2398" s="12" t="inlineStr"/>
      <c r="AA2398" s="12">
        <f>N2398*O2398</f>
        <v/>
      </c>
    </row>
    <row r="2399">
      <c r="A2399" s="12" t="inlineStr">
        <is>
          <t>C-C-0052</t>
        </is>
      </c>
      <c r="B2399" s="12" t="inlineStr">
        <is>
          <t>C</t>
        </is>
      </c>
      <c r="C2399" s="12" t="inlineStr">
        <is>
          <t>Grid interface</t>
        </is>
      </c>
      <c r="D2399" s="12" t="inlineStr">
        <is>
          <t>Control</t>
        </is>
      </c>
      <c r="E2399" s="12" t="inlineStr">
        <is>
          <t>RH</t>
        </is>
      </c>
      <c r="F2399" s="12" t="inlineStr">
        <is>
          <t>RH: switchyard relay / control house (52 x 70 ft)</t>
        </is>
      </c>
      <c r="G2399" s="12" t="inlineStr">
        <is>
          <t>D3-CB2</t>
        </is>
      </c>
      <c r="H2399" s="12" t="inlineStr">
        <is>
          <t>D3 230 kV breaker 2</t>
        </is>
      </c>
      <c r="I2399" s="12" t="inlineStr">
        <is>
          <t>Control</t>
        </is>
      </c>
      <c r="J2399" s="12" t="inlineStr">
        <is>
          <t>Control cable 600 V Type TC-ER, Cu #14 AWG, PVC jacket</t>
        </is>
      </c>
      <c r="K2399" s="12" t="inlineStr">
        <is>
          <t>CT|12/C|14</t>
        </is>
      </c>
      <c r="L2399" s="12" t="inlineStr">
        <is>
          <t>12/C</t>
        </is>
      </c>
      <c r="M2399" s="12" t="inlineStr">
        <is>
          <t>14</t>
        </is>
      </c>
      <c r="N2399" s="12" t="n">
        <v>1</v>
      </c>
      <c r="O2399" s="12" t="n">
        <v>1</v>
      </c>
      <c r="P2399" s="12" t="n"/>
      <c r="Q2399" s="12" t="n"/>
      <c r="R2399" s="12" t="n"/>
      <c r="S2399" s="12" t="inlineStr">
        <is>
          <t>Trench</t>
        </is>
      </c>
      <c r="T2399" s="16" t="n">
        <v>674</v>
      </c>
      <c r="U2399" s="16" t="n">
        <v>52</v>
      </c>
      <c r="V2399" s="16">
        <f>ROUNDUP((T2399+U2399+2*'Read Me'!$B$13)*(1+'Read Me'!$B$12),-1)</f>
        <v/>
      </c>
      <c r="W2399" s="16">
        <f>V2399*N2399*O2399</f>
        <v/>
      </c>
      <c r="X2399" s="12">
        <f>IF(LEFT(I2399,2)="MV",2*N2399*IF(L2399="1/C",O2399,1),0)</f>
        <v/>
      </c>
      <c r="Y2399" s="12">
        <f>IF(OR(LEFT(K2399,4)="LVAX",LEFT(K2399,6)="MV15AX",LEFT(K2399,4)="CTAX",LEFT(K2399,2)="W|"),2*N2399*O2399,0)</f>
        <v/>
      </c>
      <c r="Z2399" s="12" t="inlineStr"/>
      <c r="AA2399" s="12">
        <f>N2399*O2399</f>
        <v/>
      </c>
    </row>
    <row r="2400">
      <c r="A2400" s="12" t="inlineStr">
        <is>
          <t>C-C-0053</t>
        </is>
      </c>
      <c r="B2400" s="12" t="inlineStr">
        <is>
          <t>C</t>
        </is>
      </c>
      <c r="C2400" s="12" t="inlineStr">
        <is>
          <t>Grid interface</t>
        </is>
      </c>
      <c r="D2400" s="12" t="inlineStr">
        <is>
          <t>Control</t>
        </is>
      </c>
      <c r="E2400" s="12" t="inlineStr">
        <is>
          <t>RH</t>
        </is>
      </c>
      <c r="F2400" s="12" t="inlineStr">
        <is>
          <t>RH: switchyard relay / control house (52 x 70 ft)</t>
        </is>
      </c>
      <c r="G2400" s="12" t="inlineStr">
        <is>
          <t>D3-CB2</t>
        </is>
      </c>
      <c r="H2400" s="12" t="inlineStr">
        <is>
          <t>D3 230 kV breaker 2</t>
        </is>
      </c>
      <c r="I2400" s="12" t="inlineStr">
        <is>
          <t>Control</t>
        </is>
      </c>
      <c r="J2400" s="12" t="inlineStr">
        <is>
          <t>Control cable 600 V Type TC-ER, Cu #14 AWG, PVC jacket</t>
        </is>
      </c>
      <c r="K2400" s="12" t="inlineStr">
        <is>
          <t>CT|12/C|14</t>
        </is>
      </c>
      <c r="L2400" s="12" t="inlineStr">
        <is>
          <t>12/C</t>
        </is>
      </c>
      <c r="M2400" s="12" t="inlineStr">
        <is>
          <t>14</t>
        </is>
      </c>
      <c r="N2400" s="12" t="n">
        <v>1</v>
      </c>
      <c r="O2400" s="12" t="n">
        <v>1</v>
      </c>
      <c r="P2400" s="12" t="n"/>
      <c r="Q2400" s="12" t="n"/>
      <c r="R2400" s="12" t="n"/>
      <c r="S2400" s="12" t="inlineStr">
        <is>
          <t>Trench</t>
        </is>
      </c>
      <c r="T2400" s="16" t="n">
        <v>674</v>
      </c>
      <c r="U2400" s="16" t="n">
        <v>52</v>
      </c>
      <c r="V2400" s="16">
        <f>ROUNDUP((T2400+U2400+2*'Read Me'!$B$13)*(1+'Read Me'!$B$12),-1)</f>
        <v/>
      </c>
      <c r="W2400" s="16">
        <f>V2400*N2400*O2400</f>
        <v/>
      </c>
      <c r="X2400" s="12">
        <f>IF(LEFT(I2400,2)="MV",2*N2400*IF(L2400="1/C",O2400,1),0)</f>
        <v/>
      </c>
      <c r="Y2400" s="12">
        <f>IF(OR(LEFT(K2400,4)="LVAX",LEFT(K2400,6)="MV15AX",LEFT(K2400,4)="CTAX",LEFT(K2400,2)="W|"),2*N2400*O2400,0)</f>
        <v/>
      </c>
      <c r="Z2400" s="12" t="inlineStr"/>
      <c r="AA2400" s="12">
        <f>N2400*O2400</f>
        <v/>
      </c>
    </row>
    <row r="2401">
      <c r="A2401" s="12" t="inlineStr">
        <is>
          <t>C-C-0054</t>
        </is>
      </c>
      <c r="B2401" s="12" t="inlineStr">
        <is>
          <t>C</t>
        </is>
      </c>
      <c r="C2401" s="12" t="inlineStr">
        <is>
          <t>Grid interface</t>
        </is>
      </c>
      <c r="D2401" s="12" t="inlineStr">
        <is>
          <t>CT / VT</t>
        </is>
      </c>
      <c r="E2401" s="12" t="inlineStr">
        <is>
          <t>RH</t>
        </is>
      </c>
      <c r="F2401" s="12" t="inlineStr">
        <is>
          <t>RH: switchyard relay / control house (52 x 70 ft)</t>
        </is>
      </c>
      <c r="G2401" s="12" t="inlineStr">
        <is>
          <t>D3-CB2</t>
        </is>
      </c>
      <c r="H2401" s="12" t="inlineStr">
        <is>
          <t>D3 230 kV breaker 2</t>
        </is>
      </c>
      <c r="I2401" s="12" t="inlineStr">
        <is>
          <t>Control</t>
        </is>
      </c>
      <c r="J2401" s="12" t="inlineStr">
        <is>
          <t>Control cable 600 V Type TC-ER, Cu #10 AWG (CT / VT circuits)</t>
        </is>
      </c>
      <c r="K2401" s="12" t="inlineStr">
        <is>
          <t>CTCT|4/C|10</t>
        </is>
      </c>
      <c r="L2401" s="12" t="inlineStr">
        <is>
          <t>4/C</t>
        </is>
      </c>
      <c r="M2401" s="12" t="inlineStr">
        <is>
          <t>10</t>
        </is>
      </c>
      <c r="N2401" s="12" t="n">
        <v>1</v>
      </c>
      <c r="O2401" s="12" t="n">
        <v>1</v>
      </c>
      <c r="P2401" s="12" t="n"/>
      <c r="Q2401" s="12" t="n"/>
      <c r="R2401" s="12" t="n"/>
      <c r="S2401" s="12" t="inlineStr">
        <is>
          <t>Trench</t>
        </is>
      </c>
      <c r="T2401" s="16" t="n">
        <v>674</v>
      </c>
      <c r="U2401" s="16" t="n">
        <v>52</v>
      </c>
      <c r="V2401" s="16">
        <f>ROUNDUP((T2401+U2401+2*'Read Me'!$B$13)*(1+'Read Me'!$B$12),-1)</f>
        <v/>
      </c>
      <c r="W2401" s="16">
        <f>V2401*N2401*O2401</f>
        <v/>
      </c>
      <c r="X2401" s="12">
        <f>IF(LEFT(I2401,2)="MV",2*N2401*IF(L2401="1/C",O2401,1),0)</f>
        <v/>
      </c>
      <c r="Y2401" s="12">
        <f>IF(OR(LEFT(K2401,4)="LVAX",LEFT(K2401,6)="MV15AX",LEFT(K2401,4)="CTAX",LEFT(K2401,2)="W|"),2*N2401*O2401,0)</f>
        <v/>
      </c>
      <c r="Z2401" s="12" t="inlineStr"/>
      <c r="AA2401" s="12">
        <f>N2401*O2401</f>
        <v/>
      </c>
    </row>
    <row r="2402">
      <c r="A2402" s="12" t="inlineStr">
        <is>
          <t>C-C-0055</t>
        </is>
      </c>
      <c r="B2402" s="12" t="inlineStr">
        <is>
          <t>C</t>
        </is>
      </c>
      <c r="C2402" s="12" t="inlineStr">
        <is>
          <t>Grid interface</t>
        </is>
      </c>
      <c r="D2402" s="12" t="inlineStr">
        <is>
          <t>CT / VT</t>
        </is>
      </c>
      <c r="E2402" s="12" t="inlineStr">
        <is>
          <t>RH</t>
        </is>
      </c>
      <c r="F2402" s="12" t="inlineStr">
        <is>
          <t>RH: switchyard relay / control house (52 x 70 ft)</t>
        </is>
      </c>
      <c r="G2402" s="12" t="inlineStr">
        <is>
          <t>D3-CB2</t>
        </is>
      </c>
      <c r="H2402" s="12" t="inlineStr">
        <is>
          <t>D3 230 kV breaker 2</t>
        </is>
      </c>
      <c r="I2402" s="12" t="inlineStr">
        <is>
          <t>Control</t>
        </is>
      </c>
      <c r="J2402" s="12" t="inlineStr">
        <is>
          <t>Control cable 600 V Type TC-ER, Cu #10 AWG (CT / VT circuits)</t>
        </is>
      </c>
      <c r="K2402" s="12" t="inlineStr">
        <is>
          <t>CTCT|4/C|10</t>
        </is>
      </c>
      <c r="L2402" s="12" t="inlineStr">
        <is>
          <t>4/C</t>
        </is>
      </c>
      <c r="M2402" s="12" t="inlineStr">
        <is>
          <t>10</t>
        </is>
      </c>
      <c r="N2402" s="12" t="n">
        <v>1</v>
      </c>
      <c r="O2402" s="12" t="n">
        <v>1</v>
      </c>
      <c r="P2402" s="12" t="n"/>
      <c r="Q2402" s="12" t="n"/>
      <c r="R2402" s="12" t="n"/>
      <c r="S2402" s="12" t="inlineStr">
        <is>
          <t>Trench</t>
        </is>
      </c>
      <c r="T2402" s="16" t="n">
        <v>674</v>
      </c>
      <c r="U2402" s="16" t="n">
        <v>52</v>
      </c>
      <c r="V2402" s="16">
        <f>ROUNDUP((T2402+U2402+2*'Read Me'!$B$13)*(1+'Read Me'!$B$12),-1)</f>
        <v/>
      </c>
      <c r="W2402" s="16">
        <f>V2402*N2402*O2402</f>
        <v/>
      </c>
      <c r="X2402" s="12">
        <f>IF(LEFT(I2402,2)="MV",2*N2402*IF(L2402="1/C",O2402,1),0)</f>
        <v/>
      </c>
      <c r="Y2402" s="12">
        <f>IF(OR(LEFT(K2402,4)="LVAX",LEFT(K2402,6)="MV15AX",LEFT(K2402,4)="CTAX",LEFT(K2402,2)="W|"),2*N2402*O2402,0)</f>
        <v/>
      </c>
      <c r="Z2402" s="12" t="inlineStr"/>
      <c r="AA2402" s="12">
        <f>N2402*O2402</f>
        <v/>
      </c>
    </row>
    <row r="2403">
      <c r="A2403" s="12" t="inlineStr">
        <is>
          <t>C-C-0056</t>
        </is>
      </c>
      <c r="B2403" s="12" t="inlineStr">
        <is>
          <t>C</t>
        </is>
      </c>
      <c r="C2403" s="12" t="inlineStr">
        <is>
          <t>Grid interface</t>
        </is>
      </c>
      <c r="D2403" s="12" t="inlineStr">
        <is>
          <t>CT / VT</t>
        </is>
      </c>
      <c r="E2403" s="12" t="inlineStr">
        <is>
          <t>RH</t>
        </is>
      </c>
      <c r="F2403" s="12" t="inlineStr">
        <is>
          <t>RH: switchyard relay / control house (52 x 70 ft)</t>
        </is>
      </c>
      <c r="G2403" s="12" t="inlineStr">
        <is>
          <t>D3-CB2</t>
        </is>
      </c>
      <c r="H2403" s="12" t="inlineStr">
        <is>
          <t>D3 230 kV breaker 2</t>
        </is>
      </c>
      <c r="I2403" s="12" t="inlineStr">
        <is>
          <t>Control</t>
        </is>
      </c>
      <c r="J2403" s="12" t="inlineStr">
        <is>
          <t>Control cable 600 V Type TC-ER, Cu #10 AWG (CT / VT circuits)</t>
        </is>
      </c>
      <c r="K2403" s="12" t="inlineStr">
        <is>
          <t>CTCT|4/C|10</t>
        </is>
      </c>
      <c r="L2403" s="12" t="inlineStr">
        <is>
          <t>4/C</t>
        </is>
      </c>
      <c r="M2403" s="12" t="inlineStr">
        <is>
          <t>10</t>
        </is>
      </c>
      <c r="N2403" s="12" t="n">
        <v>1</v>
      </c>
      <c r="O2403" s="12" t="n">
        <v>1</v>
      </c>
      <c r="P2403" s="12" t="n"/>
      <c r="Q2403" s="12" t="n"/>
      <c r="R2403" s="12" t="n"/>
      <c r="S2403" s="12" t="inlineStr">
        <is>
          <t>Trench</t>
        </is>
      </c>
      <c r="T2403" s="16" t="n">
        <v>674</v>
      </c>
      <c r="U2403" s="16" t="n">
        <v>52</v>
      </c>
      <c r="V2403" s="16">
        <f>ROUNDUP((T2403+U2403+2*'Read Me'!$B$13)*(1+'Read Me'!$B$12),-1)</f>
        <v/>
      </c>
      <c r="W2403" s="16">
        <f>V2403*N2403*O2403</f>
        <v/>
      </c>
      <c r="X2403" s="12">
        <f>IF(LEFT(I2403,2)="MV",2*N2403*IF(L2403="1/C",O2403,1),0)</f>
        <v/>
      </c>
      <c r="Y2403" s="12">
        <f>IF(OR(LEFT(K2403,4)="LVAX",LEFT(K2403,6)="MV15AX",LEFT(K2403,4)="CTAX",LEFT(K2403,2)="W|"),2*N2403*O2403,0)</f>
        <v/>
      </c>
      <c r="Z2403" s="12" t="inlineStr"/>
      <c r="AA2403" s="12">
        <f>N2403*O2403</f>
        <v/>
      </c>
    </row>
    <row r="2404">
      <c r="A2404" s="12" t="inlineStr">
        <is>
          <t>C-C-0057</t>
        </is>
      </c>
      <c r="B2404" s="12" t="inlineStr">
        <is>
          <t>C</t>
        </is>
      </c>
      <c r="C2404" s="12" t="inlineStr">
        <is>
          <t>Grid interface</t>
        </is>
      </c>
      <c r="D2404" s="12" t="inlineStr">
        <is>
          <t>Control</t>
        </is>
      </c>
      <c r="E2404" s="12" t="inlineStr">
        <is>
          <t>RH</t>
        </is>
      </c>
      <c r="F2404" s="12" t="inlineStr">
        <is>
          <t>RH: switchyard relay / control house (52 x 70 ft)</t>
        </is>
      </c>
      <c r="G2404" s="12" t="inlineStr">
        <is>
          <t>D3-CB3</t>
        </is>
      </c>
      <c r="H2404" s="12" t="inlineStr">
        <is>
          <t>D3 230 kV breaker 3</t>
        </is>
      </c>
      <c r="I2404" s="12" t="inlineStr">
        <is>
          <t>Control</t>
        </is>
      </c>
      <c r="J2404" s="12" t="inlineStr">
        <is>
          <t>Control cable 600 V Type TC-ER, Cu #14 AWG, PVC jacket</t>
        </is>
      </c>
      <c r="K2404" s="12" t="inlineStr">
        <is>
          <t>CT|12/C|14</t>
        </is>
      </c>
      <c r="L2404" s="12" t="inlineStr">
        <is>
          <t>12/C</t>
        </is>
      </c>
      <c r="M2404" s="12" t="inlineStr">
        <is>
          <t>14</t>
        </is>
      </c>
      <c r="N2404" s="12" t="n">
        <v>1</v>
      </c>
      <c r="O2404" s="12" t="n">
        <v>1</v>
      </c>
      <c r="P2404" s="12" t="n"/>
      <c r="Q2404" s="12" t="n"/>
      <c r="R2404" s="12" t="n"/>
      <c r="S2404" s="12" t="inlineStr">
        <is>
          <t>Trench</t>
        </is>
      </c>
      <c r="T2404" s="16" t="n">
        <v>674</v>
      </c>
      <c r="U2404" s="16" t="n">
        <v>92</v>
      </c>
      <c r="V2404" s="16">
        <f>ROUNDUP((T2404+U2404+2*'Read Me'!$B$13)*(1+'Read Me'!$B$12),-1)</f>
        <v/>
      </c>
      <c r="W2404" s="16">
        <f>V2404*N2404*O2404</f>
        <v/>
      </c>
      <c r="X2404" s="12">
        <f>IF(LEFT(I2404,2)="MV",2*N2404*IF(L2404="1/C",O2404,1),0)</f>
        <v/>
      </c>
      <c r="Y2404" s="12">
        <f>IF(OR(LEFT(K2404,4)="LVAX",LEFT(K2404,6)="MV15AX",LEFT(K2404,4)="CTAX",LEFT(K2404,2)="W|"),2*N2404*O2404,0)</f>
        <v/>
      </c>
      <c r="Z2404" s="12" t="inlineStr"/>
      <c r="AA2404" s="12">
        <f>N2404*O2404</f>
        <v/>
      </c>
    </row>
    <row r="2405">
      <c r="A2405" s="12" t="inlineStr">
        <is>
          <t>C-C-0058</t>
        </is>
      </c>
      <c r="B2405" s="12" t="inlineStr">
        <is>
          <t>C</t>
        </is>
      </c>
      <c r="C2405" s="12" t="inlineStr">
        <is>
          <t>Grid interface</t>
        </is>
      </c>
      <c r="D2405" s="12" t="inlineStr">
        <is>
          <t>Control</t>
        </is>
      </c>
      <c r="E2405" s="12" t="inlineStr">
        <is>
          <t>RH</t>
        </is>
      </c>
      <c r="F2405" s="12" t="inlineStr">
        <is>
          <t>RH: switchyard relay / control house (52 x 70 ft)</t>
        </is>
      </c>
      <c r="G2405" s="12" t="inlineStr">
        <is>
          <t>D3-CB3</t>
        </is>
      </c>
      <c r="H2405" s="12" t="inlineStr">
        <is>
          <t>D3 230 kV breaker 3</t>
        </is>
      </c>
      <c r="I2405" s="12" t="inlineStr">
        <is>
          <t>Control</t>
        </is>
      </c>
      <c r="J2405" s="12" t="inlineStr">
        <is>
          <t>Control cable 600 V Type TC-ER, Cu #14 AWG, PVC jacket</t>
        </is>
      </c>
      <c r="K2405" s="12" t="inlineStr">
        <is>
          <t>CT|12/C|14</t>
        </is>
      </c>
      <c r="L2405" s="12" t="inlineStr">
        <is>
          <t>12/C</t>
        </is>
      </c>
      <c r="M2405" s="12" t="inlineStr">
        <is>
          <t>14</t>
        </is>
      </c>
      <c r="N2405" s="12" t="n">
        <v>1</v>
      </c>
      <c r="O2405" s="12" t="n">
        <v>1</v>
      </c>
      <c r="P2405" s="12" t="n"/>
      <c r="Q2405" s="12" t="n"/>
      <c r="R2405" s="12" t="n"/>
      <c r="S2405" s="12" t="inlineStr">
        <is>
          <t>Trench</t>
        </is>
      </c>
      <c r="T2405" s="16" t="n">
        <v>674</v>
      </c>
      <c r="U2405" s="16" t="n">
        <v>92</v>
      </c>
      <c r="V2405" s="16">
        <f>ROUNDUP((T2405+U2405+2*'Read Me'!$B$13)*(1+'Read Me'!$B$12),-1)</f>
        <v/>
      </c>
      <c r="W2405" s="16">
        <f>V2405*N2405*O2405</f>
        <v/>
      </c>
      <c r="X2405" s="12">
        <f>IF(LEFT(I2405,2)="MV",2*N2405*IF(L2405="1/C",O2405,1),0)</f>
        <v/>
      </c>
      <c r="Y2405" s="12">
        <f>IF(OR(LEFT(K2405,4)="LVAX",LEFT(K2405,6)="MV15AX",LEFT(K2405,4)="CTAX",LEFT(K2405,2)="W|"),2*N2405*O2405,0)</f>
        <v/>
      </c>
      <c r="Z2405" s="12" t="inlineStr"/>
      <c r="AA2405" s="12">
        <f>N2405*O2405</f>
        <v/>
      </c>
    </row>
    <row r="2406">
      <c r="A2406" s="12" t="inlineStr">
        <is>
          <t>C-C-0059</t>
        </is>
      </c>
      <c r="B2406" s="12" t="inlineStr">
        <is>
          <t>C</t>
        </is>
      </c>
      <c r="C2406" s="12" t="inlineStr">
        <is>
          <t>Grid interface</t>
        </is>
      </c>
      <c r="D2406" s="12" t="inlineStr">
        <is>
          <t>Control</t>
        </is>
      </c>
      <c r="E2406" s="12" t="inlineStr">
        <is>
          <t>RH</t>
        </is>
      </c>
      <c r="F2406" s="12" t="inlineStr">
        <is>
          <t>RH: switchyard relay / control house (52 x 70 ft)</t>
        </is>
      </c>
      <c r="G2406" s="12" t="inlineStr">
        <is>
          <t>D3-CB3</t>
        </is>
      </c>
      <c r="H2406" s="12" t="inlineStr">
        <is>
          <t>D3 230 kV breaker 3</t>
        </is>
      </c>
      <c r="I2406" s="12" t="inlineStr">
        <is>
          <t>Control</t>
        </is>
      </c>
      <c r="J2406" s="12" t="inlineStr">
        <is>
          <t>Control cable 600 V Type TC-ER, Cu #14 AWG, PVC jacket</t>
        </is>
      </c>
      <c r="K2406" s="12" t="inlineStr">
        <is>
          <t>CT|12/C|14</t>
        </is>
      </c>
      <c r="L2406" s="12" t="inlineStr">
        <is>
          <t>12/C</t>
        </is>
      </c>
      <c r="M2406" s="12" t="inlineStr">
        <is>
          <t>14</t>
        </is>
      </c>
      <c r="N2406" s="12" t="n">
        <v>1</v>
      </c>
      <c r="O2406" s="12" t="n">
        <v>1</v>
      </c>
      <c r="P2406" s="12" t="n"/>
      <c r="Q2406" s="12" t="n"/>
      <c r="R2406" s="12" t="n"/>
      <c r="S2406" s="12" t="inlineStr">
        <is>
          <t>Trench</t>
        </is>
      </c>
      <c r="T2406" s="16" t="n">
        <v>674</v>
      </c>
      <c r="U2406" s="16" t="n">
        <v>92</v>
      </c>
      <c r="V2406" s="16">
        <f>ROUNDUP((T2406+U2406+2*'Read Me'!$B$13)*(1+'Read Me'!$B$12),-1)</f>
        <v/>
      </c>
      <c r="W2406" s="16">
        <f>V2406*N2406*O2406</f>
        <v/>
      </c>
      <c r="X2406" s="12">
        <f>IF(LEFT(I2406,2)="MV",2*N2406*IF(L2406="1/C",O2406,1),0)</f>
        <v/>
      </c>
      <c r="Y2406" s="12">
        <f>IF(OR(LEFT(K2406,4)="LVAX",LEFT(K2406,6)="MV15AX",LEFT(K2406,4)="CTAX",LEFT(K2406,2)="W|"),2*N2406*O2406,0)</f>
        <v/>
      </c>
      <c r="Z2406" s="12" t="inlineStr"/>
      <c r="AA2406" s="12">
        <f>N2406*O2406</f>
        <v/>
      </c>
    </row>
    <row r="2407">
      <c r="A2407" s="12" t="inlineStr">
        <is>
          <t>C-C-0060</t>
        </is>
      </c>
      <c r="B2407" s="12" t="inlineStr">
        <is>
          <t>C</t>
        </is>
      </c>
      <c r="C2407" s="12" t="inlineStr">
        <is>
          <t>Grid interface</t>
        </is>
      </c>
      <c r="D2407" s="12" t="inlineStr">
        <is>
          <t>Control</t>
        </is>
      </c>
      <c r="E2407" s="12" t="inlineStr">
        <is>
          <t>RH</t>
        </is>
      </c>
      <c r="F2407" s="12" t="inlineStr">
        <is>
          <t>RH: switchyard relay / control house (52 x 70 ft)</t>
        </is>
      </c>
      <c r="G2407" s="12" t="inlineStr">
        <is>
          <t>D3-CB3</t>
        </is>
      </c>
      <c r="H2407" s="12" t="inlineStr">
        <is>
          <t>D3 230 kV breaker 3</t>
        </is>
      </c>
      <c r="I2407" s="12" t="inlineStr">
        <is>
          <t>Control</t>
        </is>
      </c>
      <c r="J2407" s="12" t="inlineStr">
        <is>
          <t>Control cable 600 V Type TC-ER, Cu #14 AWG, PVC jacket</t>
        </is>
      </c>
      <c r="K2407" s="12" t="inlineStr">
        <is>
          <t>CT|12/C|14</t>
        </is>
      </c>
      <c r="L2407" s="12" t="inlineStr">
        <is>
          <t>12/C</t>
        </is>
      </c>
      <c r="M2407" s="12" t="inlineStr">
        <is>
          <t>14</t>
        </is>
      </c>
      <c r="N2407" s="12" t="n">
        <v>1</v>
      </c>
      <c r="O2407" s="12" t="n">
        <v>1</v>
      </c>
      <c r="P2407" s="12" t="n"/>
      <c r="Q2407" s="12" t="n"/>
      <c r="R2407" s="12" t="n"/>
      <c r="S2407" s="12" t="inlineStr">
        <is>
          <t>Trench</t>
        </is>
      </c>
      <c r="T2407" s="16" t="n">
        <v>674</v>
      </c>
      <c r="U2407" s="16" t="n">
        <v>92</v>
      </c>
      <c r="V2407" s="16">
        <f>ROUNDUP((T2407+U2407+2*'Read Me'!$B$13)*(1+'Read Me'!$B$12),-1)</f>
        <v/>
      </c>
      <c r="W2407" s="16">
        <f>V2407*N2407*O2407</f>
        <v/>
      </c>
      <c r="X2407" s="12">
        <f>IF(LEFT(I2407,2)="MV",2*N2407*IF(L2407="1/C",O2407,1),0)</f>
        <v/>
      </c>
      <c r="Y2407" s="12">
        <f>IF(OR(LEFT(K2407,4)="LVAX",LEFT(K2407,6)="MV15AX",LEFT(K2407,4)="CTAX",LEFT(K2407,2)="W|"),2*N2407*O2407,0)</f>
        <v/>
      </c>
      <c r="Z2407" s="12" t="inlineStr"/>
      <c r="AA2407" s="12">
        <f>N2407*O2407</f>
        <v/>
      </c>
    </row>
    <row r="2408">
      <c r="A2408" s="12" t="inlineStr">
        <is>
          <t>C-C-0061</t>
        </is>
      </c>
      <c r="B2408" s="12" t="inlineStr">
        <is>
          <t>C</t>
        </is>
      </c>
      <c r="C2408" s="12" t="inlineStr">
        <is>
          <t>Grid interface</t>
        </is>
      </c>
      <c r="D2408" s="12" t="inlineStr">
        <is>
          <t>CT / VT</t>
        </is>
      </c>
      <c r="E2408" s="12" t="inlineStr">
        <is>
          <t>RH</t>
        </is>
      </c>
      <c r="F2408" s="12" t="inlineStr">
        <is>
          <t>RH: switchyard relay / control house (52 x 70 ft)</t>
        </is>
      </c>
      <c r="G2408" s="12" t="inlineStr">
        <is>
          <t>D3-CB3</t>
        </is>
      </c>
      <c r="H2408" s="12" t="inlineStr">
        <is>
          <t>D3 230 kV breaker 3</t>
        </is>
      </c>
      <c r="I2408" s="12" t="inlineStr">
        <is>
          <t>Control</t>
        </is>
      </c>
      <c r="J2408" s="12" t="inlineStr">
        <is>
          <t>Control cable 600 V Type TC-ER, Cu #10 AWG (CT / VT circuits)</t>
        </is>
      </c>
      <c r="K2408" s="12" t="inlineStr">
        <is>
          <t>CTCT|4/C|10</t>
        </is>
      </c>
      <c r="L2408" s="12" t="inlineStr">
        <is>
          <t>4/C</t>
        </is>
      </c>
      <c r="M2408" s="12" t="inlineStr">
        <is>
          <t>10</t>
        </is>
      </c>
      <c r="N2408" s="12" t="n">
        <v>1</v>
      </c>
      <c r="O2408" s="12" t="n">
        <v>1</v>
      </c>
      <c r="P2408" s="12" t="n"/>
      <c r="Q2408" s="12" t="n"/>
      <c r="R2408" s="12" t="n"/>
      <c r="S2408" s="12" t="inlineStr">
        <is>
          <t>Trench</t>
        </is>
      </c>
      <c r="T2408" s="16" t="n">
        <v>674</v>
      </c>
      <c r="U2408" s="16" t="n">
        <v>92</v>
      </c>
      <c r="V2408" s="16">
        <f>ROUNDUP((T2408+U2408+2*'Read Me'!$B$13)*(1+'Read Me'!$B$12),-1)</f>
        <v/>
      </c>
      <c r="W2408" s="16">
        <f>V2408*N2408*O2408</f>
        <v/>
      </c>
      <c r="X2408" s="12">
        <f>IF(LEFT(I2408,2)="MV",2*N2408*IF(L2408="1/C",O2408,1),0)</f>
        <v/>
      </c>
      <c r="Y2408" s="12">
        <f>IF(OR(LEFT(K2408,4)="LVAX",LEFT(K2408,6)="MV15AX",LEFT(K2408,4)="CTAX",LEFT(K2408,2)="W|"),2*N2408*O2408,0)</f>
        <v/>
      </c>
      <c r="Z2408" s="12" t="inlineStr"/>
      <c r="AA2408" s="12">
        <f>N2408*O2408</f>
        <v/>
      </c>
    </row>
    <row r="2409">
      <c r="A2409" s="12" t="inlineStr">
        <is>
          <t>C-C-0062</t>
        </is>
      </c>
      <c r="B2409" s="12" t="inlineStr">
        <is>
          <t>C</t>
        </is>
      </c>
      <c r="C2409" s="12" t="inlineStr">
        <is>
          <t>Grid interface</t>
        </is>
      </c>
      <c r="D2409" s="12" t="inlineStr">
        <is>
          <t>CT / VT</t>
        </is>
      </c>
      <c r="E2409" s="12" t="inlineStr">
        <is>
          <t>RH</t>
        </is>
      </c>
      <c r="F2409" s="12" t="inlineStr">
        <is>
          <t>RH: switchyard relay / control house (52 x 70 ft)</t>
        </is>
      </c>
      <c r="G2409" s="12" t="inlineStr">
        <is>
          <t>D3-CB3</t>
        </is>
      </c>
      <c r="H2409" s="12" t="inlineStr">
        <is>
          <t>D3 230 kV breaker 3</t>
        </is>
      </c>
      <c r="I2409" s="12" t="inlineStr">
        <is>
          <t>Control</t>
        </is>
      </c>
      <c r="J2409" s="12" t="inlineStr">
        <is>
          <t>Control cable 600 V Type TC-ER, Cu #10 AWG (CT / VT circuits)</t>
        </is>
      </c>
      <c r="K2409" s="12" t="inlineStr">
        <is>
          <t>CTCT|4/C|10</t>
        </is>
      </c>
      <c r="L2409" s="12" t="inlineStr">
        <is>
          <t>4/C</t>
        </is>
      </c>
      <c r="M2409" s="12" t="inlineStr">
        <is>
          <t>10</t>
        </is>
      </c>
      <c r="N2409" s="12" t="n">
        <v>1</v>
      </c>
      <c r="O2409" s="12" t="n">
        <v>1</v>
      </c>
      <c r="P2409" s="12" t="n"/>
      <c r="Q2409" s="12" t="n"/>
      <c r="R2409" s="12" t="n"/>
      <c r="S2409" s="12" t="inlineStr">
        <is>
          <t>Trench</t>
        </is>
      </c>
      <c r="T2409" s="16" t="n">
        <v>674</v>
      </c>
      <c r="U2409" s="16" t="n">
        <v>92</v>
      </c>
      <c r="V2409" s="16">
        <f>ROUNDUP((T2409+U2409+2*'Read Me'!$B$13)*(1+'Read Me'!$B$12),-1)</f>
        <v/>
      </c>
      <c r="W2409" s="16">
        <f>V2409*N2409*O2409</f>
        <v/>
      </c>
      <c r="X2409" s="12">
        <f>IF(LEFT(I2409,2)="MV",2*N2409*IF(L2409="1/C",O2409,1),0)</f>
        <v/>
      </c>
      <c r="Y2409" s="12">
        <f>IF(OR(LEFT(K2409,4)="LVAX",LEFT(K2409,6)="MV15AX",LEFT(K2409,4)="CTAX",LEFT(K2409,2)="W|"),2*N2409*O2409,0)</f>
        <v/>
      </c>
      <c r="Z2409" s="12" t="inlineStr"/>
      <c r="AA2409" s="12">
        <f>N2409*O2409</f>
        <v/>
      </c>
    </row>
    <row r="2410">
      <c r="A2410" s="12" t="inlineStr">
        <is>
          <t>C-C-0063</t>
        </is>
      </c>
      <c r="B2410" s="12" t="inlineStr">
        <is>
          <t>C</t>
        </is>
      </c>
      <c r="C2410" s="12" t="inlineStr">
        <is>
          <t>Grid interface</t>
        </is>
      </c>
      <c r="D2410" s="12" t="inlineStr">
        <is>
          <t>CT / VT</t>
        </is>
      </c>
      <c r="E2410" s="12" t="inlineStr">
        <is>
          <t>RH</t>
        </is>
      </c>
      <c r="F2410" s="12" t="inlineStr">
        <is>
          <t>RH: switchyard relay / control house (52 x 70 ft)</t>
        </is>
      </c>
      <c r="G2410" s="12" t="inlineStr">
        <is>
          <t>D3-CB3</t>
        </is>
      </c>
      <c r="H2410" s="12" t="inlineStr">
        <is>
          <t>D3 230 kV breaker 3</t>
        </is>
      </c>
      <c r="I2410" s="12" t="inlineStr">
        <is>
          <t>Control</t>
        </is>
      </c>
      <c r="J2410" s="12" t="inlineStr">
        <is>
          <t>Control cable 600 V Type TC-ER, Cu #10 AWG (CT / VT circuits)</t>
        </is>
      </c>
      <c r="K2410" s="12" t="inlineStr">
        <is>
          <t>CTCT|4/C|10</t>
        </is>
      </c>
      <c r="L2410" s="12" t="inlineStr">
        <is>
          <t>4/C</t>
        </is>
      </c>
      <c r="M2410" s="12" t="inlineStr">
        <is>
          <t>10</t>
        </is>
      </c>
      <c r="N2410" s="12" t="n">
        <v>1</v>
      </c>
      <c r="O2410" s="12" t="n">
        <v>1</v>
      </c>
      <c r="P2410" s="12" t="n"/>
      <c r="Q2410" s="12" t="n"/>
      <c r="R2410" s="12" t="n"/>
      <c r="S2410" s="12" t="inlineStr">
        <is>
          <t>Trench</t>
        </is>
      </c>
      <c r="T2410" s="16" t="n">
        <v>674</v>
      </c>
      <c r="U2410" s="16" t="n">
        <v>92</v>
      </c>
      <c r="V2410" s="16">
        <f>ROUNDUP((T2410+U2410+2*'Read Me'!$B$13)*(1+'Read Me'!$B$12),-1)</f>
        <v/>
      </c>
      <c r="W2410" s="16">
        <f>V2410*N2410*O2410</f>
        <v/>
      </c>
      <c r="X2410" s="12">
        <f>IF(LEFT(I2410,2)="MV",2*N2410*IF(L2410="1/C",O2410,1),0)</f>
        <v/>
      </c>
      <c r="Y2410" s="12">
        <f>IF(OR(LEFT(K2410,4)="LVAX",LEFT(K2410,6)="MV15AX",LEFT(K2410,4)="CTAX",LEFT(K2410,2)="W|"),2*N2410*O2410,0)</f>
        <v/>
      </c>
      <c r="Z2410" s="12" t="inlineStr"/>
      <c r="AA2410" s="12">
        <f>N2410*O2410</f>
        <v/>
      </c>
    </row>
    <row r="2411">
      <c r="A2411" s="12" t="inlineStr">
        <is>
          <t>C-C-0064</t>
        </is>
      </c>
      <c r="B2411" s="12" t="inlineStr">
        <is>
          <t>C</t>
        </is>
      </c>
      <c r="C2411" s="12" t="inlineStr">
        <is>
          <t>Grid interface</t>
        </is>
      </c>
      <c r="D2411" s="12" t="inlineStr">
        <is>
          <t>Control</t>
        </is>
      </c>
      <c r="E2411" s="12" t="inlineStr">
        <is>
          <t>RH</t>
        </is>
      </c>
      <c r="F2411" s="12" t="inlineStr">
        <is>
          <t>RH: switchyard relay / control house (52 x 70 ft)</t>
        </is>
      </c>
      <c r="G2411" s="12" t="inlineStr">
        <is>
          <t>D4-CB1</t>
        </is>
      </c>
      <c r="H2411" s="12" t="inlineStr">
        <is>
          <t>D4 230 kV breaker 1 (build-out)</t>
        </is>
      </c>
      <c r="I2411" s="12" t="inlineStr">
        <is>
          <t>Control</t>
        </is>
      </c>
      <c r="J2411" s="12" t="inlineStr">
        <is>
          <t>Control cable 600 V Type TC-ER, Cu #14 AWG, PVC jacket</t>
        </is>
      </c>
      <c r="K2411" s="12" t="inlineStr">
        <is>
          <t>CT|12/C|14</t>
        </is>
      </c>
      <c r="L2411" s="12" t="inlineStr">
        <is>
          <t>12/C</t>
        </is>
      </c>
      <c r="M2411" s="12" t="inlineStr">
        <is>
          <t>14</t>
        </is>
      </c>
      <c r="N2411" s="12" t="n">
        <v>1</v>
      </c>
      <c r="O2411" s="12" t="n">
        <v>1</v>
      </c>
      <c r="P2411" s="12" t="n"/>
      <c r="Q2411" s="12" t="n"/>
      <c r="R2411" s="12" t="n"/>
      <c r="S2411" s="12" t="inlineStr">
        <is>
          <t>Trench</t>
        </is>
      </c>
      <c r="T2411" s="16" t="n">
        <v>1294</v>
      </c>
      <c r="U2411" s="16" t="n">
        <v>40</v>
      </c>
      <c r="V2411" s="16">
        <f>ROUNDUP((T2411+U2411+2*'Read Me'!$B$13)*(1+'Read Me'!$B$12),-1)</f>
        <v/>
      </c>
      <c r="W2411" s="16">
        <f>V2411*N2411*O2411</f>
        <v/>
      </c>
      <c r="X2411" s="12">
        <f>IF(LEFT(I2411,2)="MV",2*N2411*IF(L2411="1/C",O2411,1),0)</f>
        <v/>
      </c>
      <c r="Y2411" s="12">
        <f>IF(OR(LEFT(K2411,4)="LVAX",LEFT(K2411,6)="MV15AX",LEFT(K2411,4)="CTAX",LEFT(K2411,2)="W|"),2*N2411*O2411,0)</f>
        <v/>
      </c>
      <c r="Z2411" s="12" t="inlineStr"/>
      <c r="AA2411" s="12">
        <f>N2411*O2411</f>
        <v/>
      </c>
    </row>
    <row r="2412">
      <c r="A2412" s="12" t="inlineStr">
        <is>
          <t>C-C-0065</t>
        </is>
      </c>
      <c r="B2412" s="12" t="inlineStr">
        <is>
          <t>C</t>
        </is>
      </c>
      <c r="C2412" s="12" t="inlineStr">
        <is>
          <t>Grid interface</t>
        </is>
      </c>
      <c r="D2412" s="12" t="inlineStr">
        <is>
          <t>Control</t>
        </is>
      </c>
      <c r="E2412" s="12" t="inlineStr">
        <is>
          <t>RH</t>
        </is>
      </c>
      <c r="F2412" s="12" t="inlineStr">
        <is>
          <t>RH: switchyard relay / control house (52 x 70 ft)</t>
        </is>
      </c>
      <c r="G2412" s="12" t="inlineStr">
        <is>
          <t>D4-CB1</t>
        </is>
      </c>
      <c r="H2412" s="12" t="inlineStr">
        <is>
          <t>D4 230 kV breaker 1 (build-out)</t>
        </is>
      </c>
      <c r="I2412" s="12" t="inlineStr">
        <is>
          <t>Control</t>
        </is>
      </c>
      <c r="J2412" s="12" t="inlineStr">
        <is>
          <t>Control cable 600 V Type TC-ER, Cu #14 AWG, PVC jacket</t>
        </is>
      </c>
      <c r="K2412" s="12" t="inlineStr">
        <is>
          <t>CT|12/C|14</t>
        </is>
      </c>
      <c r="L2412" s="12" t="inlineStr">
        <is>
          <t>12/C</t>
        </is>
      </c>
      <c r="M2412" s="12" t="inlineStr">
        <is>
          <t>14</t>
        </is>
      </c>
      <c r="N2412" s="12" t="n">
        <v>1</v>
      </c>
      <c r="O2412" s="12" t="n">
        <v>1</v>
      </c>
      <c r="P2412" s="12" t="n"/>
      <c r="Q2412" s="12" t="n"/>
      <c r="R2412" s="12" t="n"/>
      <c r="S2412" s="12" t="inlineStr">
        <is>
          <t>Trench</t>
        </is>
      </c>
      <c r="T2412" s="16" t="n">
        <v>1294</v>
      </c>
      <c r="U2412" s="16" t="n">
        <v>40</v>
      </c>
      <c r="V2412" s="16">
        <f>ROUNDUP((T2412+U2412+2*'Read Me'!$B$13)*(1+'Read Me'!$B$12),-1)</f>
        <v/>
      </c>
      <c r="W2412" s="16">
        <f>V2412*N2412*O2412</f>
        <v/>
      </c>
      <c r="X2412" s="12">
        <f>IF(LEFT(I2412,2)="MV",2*N2412*IF(L2412="1/C",O2412,1),0)</f>
        <v/>
      </c>
      <c r="Y2412" s="12">
        <f>IF(OR(LEFT(K2412,4)="LVAX",LEFT(K2412,6)="MV15AX",LEFT(K2412,4)="CTAX",LEFT(K2412,2)="W|"),2*N2412*O2412,0)</f>
        <v/>
      </c>
      <c r="Z2412" s="12" t="inlineStr"/>
      <c r="AA2412" s="12">
        <f>N2412*O2412</f>
        <v/>
      </c>
    </row>
    <row r="2413">
      <c r="A2413" s="12" t="inlineStr">
        <is>
          <t>C-C-0066</t>
        </is>
      </c>
      <c r="B2413" s="12" t="inlineStr">
        <is>
          <t>C</t>
        </is>
      </c>
      <c r="C2413" s="12" t="inlineStr">
        <is>
          <t>Grid interface</t>
        </is>
      </c>
      <c r="D2413" s="12" t="inlineStr">
        <is>
          <t>Control</t>
        </is>
      </c>
      <c r="E2413" s="12" t="inlineStr">
        <is>
          <t>RH</t>
        </is>
      </c>
      <c r="F2413" s="12" t="inlineStr">
        <is>
          <t>RH: switchyard relay / control house (52 x 70 ft)</t>
        </is>
      </c>
      <c r="G2413" s="12" t="inlineStr">
        <is>
          <t>D4-CB1</t>
        </is>
      </c>
      <c r="H2413" s="12" t="inlineStr">
        <is>
          <t>D4 230 kV breaker 1 (build-out)</t>
        </is>
      </c>
      <c r="I2413" s="12" t="inlineStr">
        <is>
          <t>Control</t>
        </is>
      </c>
      <c r="J2413" s="12" t="inlineStr">
        <is>
          <t>Control cable 600 V Type TC-ER, Cu #14 AWG, PVC jacket</t>
        </is>
      </c>
      <c r="K2413" s="12" t="inlineStr">
        <is>
          <t>CT|12/C|14</t>
        </is>
      </c>
      <c r="L2413" s="12" t="inlineStr">
        <is>
          <t>12/C</t>
        </is>
      </c>
      <c r="M2413" s="12" t="inlineStr">
        <is>
          <t>14</t>
        </is>
      </c>
      <c r="N2413" s="12" t="n">
        <v>1</v>
      </c>
      <c r="O2413" s="12" t="n">
        <v>1</v>
      </c>
      <c r="P2413" s="12" t="n"/>
      <c r="Q2413" s="12" t="n"/>
      <c r="R2413" s="12" t="n"/>
      <c r="S2413" s="12" t="inlineStr">
        <is>
          <t>Trench</t>
        </is>
      </c>
      <c r="T2413" s="16" t="n">
        <v>1294</v>
      </c>
      <c r="U2413" s="16" t="n">
        <v>40</v>
      </c>
      <c r="V2413" s="16">
        <f>ROUNDUP((T2413+U2413+2*'Read Me'!$B$13)*(1+'Read Me'!$B$12),-1)</f>
        <v/>
      </c>
      <c r="W2413" s="16">
        <f>V2413*N2413*O2413</f>
        <v/>
      </c>
      <c r="X2413" s="12">
        <f>IF(LEFT(I2413,2)="MV",2*N2413*IF(L2413="1/C",O2413,1),0)</f>
        <v/>
      </c>
      <c r="Y2413" s="12">
        <f>IF(OR(LEFT(K2413,4)="LVAX",LEFT(K2413,6)="MV15AX",LEFT(K2413,4)="CTAX",LEFT(K2413,2)="W|"),2*N2413*O2413,0)</f>
        <v/>
      </c>
      <c r="Z2413" s="12" t="inlineStr"/>
      <c r="AA2413" s="12">
        <f>N2413*O2413</f>
        <v/>
      </c>
    </row>
    <row r="2414">
      <c r="A2414" s="12" t="inlineStr">
        <is>
          <t>C-C-0067</t>
        </is>
      </c>
      <c r="B2414" s="12" t="inlineStr">
        <is>
          <t>C</t>
        </is>
      </c>
      <c r="C2414" s="12" t="inlineStr">
        <is>
          <t>Grid interface</t>
        </is>
      </c>
      <c r="D2414" s="12" t="inlineStr">
        <is>
          <t>Control</t>
        </is>
      </c>
      <c r="E2414" s="12" t="inlineStr">
        <is>
          <t>RH</t>
        </is>
      </c>
      <c r="F2414" s="12" t="inlineStr">
        <is>
          <t>RH: switchyard relay / control house (52 x 70 ft)</t>
        </is>
      </c>
      <c r="G2414" s="12" t="inlineStr">
        <is>
          <t>D4-CB1</t>
        </is>
      </c>
      <c r="H2414" s="12" t="inlineStr">
        <is>
          <t>D4 230 kV breaker 1 (build-out)</t>
        </is>
      </c>
      <c r="I2414" s="12" t="inlineStr">
        <is>
          <t>Control</t>
        </is>
      </c>
      <c r="J2414" s="12" t="inlineStr">
        <is>
          <t>Control cable 600 V Type TC-ER, Cu #14 AWG, PVC jacket</t>
        </is>
      </c>
      <c r="K2414" s="12" t="inlineStr">
        <is>
          <t>CT|12/C|14</t>
        </is>
      </c>
      <c r="L2414" s="12" t="inlineStr">
        <is>
          <t>12/C</t>
        </is>
      </c>
      <c r="M2414" s="12" t="inlineStr">
        <is>
          <t>14</t>
        </is>
      </c>
      <c r="N2414" s="12" t="n">
        <v>1</v>
      </c>
      <c r="O2414" s="12" t="n">
        <v>1</v>
      </c>
      <c r="P2414" s="12" t="n"/>
      <c r="Q2414" s="12" t="n"/>
      <c r="R2414" s="12" t="n"/>
      <c r="S2414" s="12" t="inlineStr">
        <is>
          <t>Trench</t>
        </is>
      </c>
      <c r="T2414" s="16" t="n">
        <v>1294</v>
      </c>
      <c r="U2414" s="16" t="n">
        <v>40</v>
      </c>
      <c r="V2414" s="16">
        <f>ROUNDUP((T2414+U2414+2*'Read Me'!$B$13)*(1+'Read Me'!$B$12),-1)</f>
        <v/>
      </c>
      <c r="W2414" s="16">
        <f>V2414*N2414*O2414</f>
        <v/>
      </c>
      <c r="X2414" s="12">
        <f>IF(LEFT(I2414,2)="MV",2*N2414*IF(L2414="1/C",O2414,1),0)</f>
        <v/>
      </c>
      <c r="Y2414" s="12">
        <f>IF(OR(LEFT(K2414,4)="LVAX",LEFT(K2414,6)="MV15AX",LEFT(K2414,4)="CTAX",LEFT(K2414,2)="W|"),2*N2414*O2414,0)</f>
        <v/>
      </c>
      <c r="Z2414" s="12" t="inlineStr"/>
      <c r="AA2414" s="12">
        <f>N2414*O2414</f>
        <v/>
      </c>
    </row>
    <row r="2415">
      <c r="A2415" s="12" t="inlineStr">
        <is>
          <t>C-C-0068</t>
        </is>
      </c>
      <c r="B2415" s="12" t="inlineStr">
        <is>
          <t>C</t>
        </is>
      </c>
      <c r="C2415" s="12" t="inlineStr">
        <is>
          <t>Grid interface</t>
        </is>
      </c>
      <c r="D2415" s="12" t="inlineStr">
        <is>
          <t>CT / VT</t>
        </is>
      </c>
      <c r="E2415" s="12" t="inlineStr">
        <is>
          <t>RH</t>
        </is>
      </c>
      <c r="F2415" s="12" t="inlineStr">
        <is>
          <t>RH: switchyard relay / control house (52 x 70 ft)</t>
        </is>
      </c>
      <c r="G2415" s="12" t="inlineStr">
        <is>
          <t>D4-CB1</t>
        </is>
      </c>
      <c r="H2415" s="12" t="inlineStr">
        <is>
          <t>D4 230 kV breaker 1 (build-out)</t>
        </is>
      </c>
      <c r="I2415" s="12" t="inlineStr">
        <is>
          <t>Control</t>
        </is>
      </c>
      <c r="J2415" s="12" t="inlineStr">
        <is>
          <t>Control cable 600 V Type TC-ER, Cu #10 AWG (CT / VT circuits)</t>
        </is>
      </c>
      <c r="K2415" s="12" t="inlineStr">
        <is>
          <t>CTCT|4/C|10</t>
        </is>
      </c>
      <c r="L2415" s="12" t="inlineStr">
        <is>
          <t>4/C</t>
        </is>
      </c>
      <c r="M2415" s="12" t="inlineStr">
        <is>
          <t>10</t>
        </is>
      </c>
      <c r="N2415" s="12" t="n">
        <v>1</v>
      </c>
      <c r="O2415" s="12" t="n">
        <v>1</v>
      </c>
      <c r="P2415" s="12" t="n"/>
      <c r="Q2415" s="12" t="n"/>
      <c r="R2415" s="12" t="n"/>
      <c r="S2415" s="12" t="inlineStr">
        <is>
          <t>Trench</t>
        </is>
      </c>
      <c r="T2415" s="16" t="n">
        <v>1294</v>
      </c>
      <c r="U2415" s="16" t="n">
        <v>40</v>
      </c>
      <c r="V2415" s="16">
        <f>ROUNDUP((T2415+U2415+2*'Read Me'!$B$13)*(1+'Read Me'!$B$12),-1)</f>
        <v/>
      </c>
      <c r="W2415" s="16">
        <f>V2415*N2415*O2415</f>
        <v/>
      </c>
      <c r="X2415" s="12">
        <f>IF(LEFT(I2415,2)="MV",2*N2415*IF(L2415="1/C",O2415,1),0)</f>
        <v/>
      </c>
      <c r="Y2415" s="12">
        <f>IF(OR(LEFT(K2415,4)="LVAX",LEFT(K2415,6)="MV15AX",LEFT(K2415,4)="CTAX",LEFT(K2415,2)="W|"),2*N2415*O2415,0)</f>
        <v/>
      </c>
      <c r="Z2415" s="12" t="inlineStr"/>
      <c r="AA2415" s="12">
        <f>N2415*O2415</f>
        <v/>
      </c>
    </row>
    <row r="2416">
      <c r="A2416" s="12" t="inlineStr">
        <is>
          <t>C-C-0069</t>
        </is>
      </c>
      <c r="B2416" s="12" t="inlineStr">
        <is>
          <t>C</t>
        </is>
      </c>
      <c r="C2416" s="12" t="inlineStr">
        <is>
          <t>Grid interface</t>
        </is>
      </c>
      <c r="D2416" s="12" t="inlineStr">
        <is>
          <t>CT / VT</t>
        </is>
      </c>
      <c r="E2416" s="12" t="inlineStr">
        <is>
          <t>RH</t>
        </is>
      </c>
      <c r="F2416" s="12" t="inlineStr">
        <is>
          <t>RH: switchyard relay / control house (52 x 70 ft)</t>
        </is>
      </c>
      <c r="G2416" s="12" t="inlineStr">
        <is>
          <t>D4-CB1</t>
        </is>
      </c>
      <c r="H2416" s="12" t="inlineStr">
        <is>
          <t>D4 230 kV breaker 1 (build-out)</t>
        </is>
      </c>
      <c r="I2416" s="12" t="inlineStr">
        <is>
          <t>Control</t>
        </is>
      </c>
      <c r="J2416" s="12" t="inlineStr">
        <is>
          <t>Control cable 600 V Type TC-ER, Cu #10 AWG (CT / VT circuits)</t>
        </is>
      </c>
      <c r="K2416" s="12" t="inlineStr">
        <is>
          <t>CTCT|4/C|10</t>
        </is>
      </c>
      <c r="L2416" s="12" t="inlineStr">
        <is>
          <t>4/C</t>
        </is>
      </c>
      <c r="M2416" s="12" t="inlineStr">
        <is>
          <t>10</t>
        </is>
      </c>
      <c r="N2416" s="12" t="n">
        <v>1</v>
      </c>
      <c r="O2416" s="12" t="n">
        <v>1</v>
      </c>
      <c r="P2416" s="12" t="n"/>
      <c r="Q2416" s="12" t="n"/>
      <c r="R2416" s="12" t="n"/>
      <c r="S2416" s="12" t="inlineStr">
        <is>
          <t>Trench</t>
        </is>
      </c>
      <c r="T2416" s="16" t="n">
        <v>1294</v>
      </c>
      <c r="U2416" s="16" t="n">
        <v>40</v>
      </c>
      <c r="V2416" s="16">
        <f>ROUNDUP((T2416+U2416+2*'Read Me'!$B$13)*(1+'Read Me'!$B$12),-1)</f>
        <v/>
      </c>
      <c r="W2416" s="16">
        <f>V2416*N2416*O2416</f>
        <v/>
      </c>
      <c r="X2416" s="12">
        <f>IF(LEFT(I2416,2)="MV",2*N2416*IF(L2416="1/C",O2416,1),0)</f>
        <v/>
      </c>
      <c r="Y2416" s="12">
        <f>IF(OR(LEFT(K2416,4)="LVAX",LEFT(K2416,6)="MV15AX",LEFT(K2416,4)="CTAX",LEFT(K2416,2)="W|"),2*N2416*O2416,0)</f>
        <v/>
      </c>
      <c r="Z2416" s="12" t="inlineStr"/>
      <c r="AA2416" s="12">
        <f>N2416*O2416</f>
        <v/>
      </c>
    </row>
    <row r="2417">
      <c r="A2417" s="12" t="inlineStr">
        <is>
          <t>C-C-0070</t>
        </is>
      </c>
      <c r="B2417" s="12" t="inlineStr">
        <is>
          <t>C</t>
        </is>
      </c>
      <c r="C2417" s="12" t="inlineStr">
        <is>
          <t>Grid interface</t>
        </is>
      </c>
      <c r="D2417" s="12" t="inlineStr">
        <is>
          <t>CT / VT</t>
        </is>
      </c>
      <c r="E2417" s="12" t="inlineStr">
        <is>
          <t>RH</t>
        </is>
      </c>
      <c r="F2417" s="12" t="inlineStr">
        <is>
          <t>RH: switchyard relay / control house (52 x 70 ft)</t>
        </is>
      </c>
      <c r="G2417" s="12" t="inlineStr">
        <is>
          <t>D4-CB1</t>
        </is>
      </c>
      <c r="H2417" s="12" t="inlineStr">
        <is>
          <t>D4 230 kV breaker 1 (build-out)</t>
        </is>
      </c>
      <c r="I2417" s="12" t="inlineStr">
        <is>
          <t>Control</t>
        </is>
      </c>
      <c r="J2417" s="12" t="inlineStr">
        <is>
          <t>Control cable 600 V Type TC-ER, Cu #10 AWG (CT / VT circuits)</t>
        </is>
      </c>
      <c r="K2417" s="12" t="inlineStr">
        <is>
          <t>CTCT|4/C|10</t>
        </is>
      </c>
      <c r="L2417" s="12" t="inlineStr">
        <is>
          <t>4/C</t>
        </is>
      </c>
      <c r="M2417" s="12" t="inlineStr">
        <is>
          <t>10</t>
        </is>
      </c>
      <c r="N2417" s="12" t="n">
        <v>1</v>
      </c>
      <c r="O2417" s="12" t="n">
        <v>1</v>
      </c>
      <c r="P2417" s="12" t="n"/>
      <c r="Q2417" s="12" t="n"/>
      <c r="R2417" s="12" t="n"/>
      <c r="S2417" s="12" t="inlineStr">
        <is>
          <t>Trench</t>
        </is>
      </c>
      <c r="T2417" s="16" t="n">
        <v>1294</v>
      </c>
      <c r="U2417" s="16" t="n">
        <v>40</v>
      </c>
      <c r="V2417" s="16">
        <f>ROUNDUP((T2417+U2417+2*'Read Me'!$B$13)*(1+'Read Me'!$B$12),-1)</f>
        <v/>
      </c>
      <c r="W2417" s="16">
        <f>V2417*N2417*O2417</f>
        <v/>
      </c>
      <c r="X2417" s="12">
        <f>IF(LEFT(I2417,2)="MV",2*N2417*IF(L2417="1/C",O2417,1),0)</f>
        <v/>
      </c>
      <c r="Y2417" s="12">
        <f>IF(OR(LEFT(K2417,4)="LVAX",LEFT(K2417,6)="MV15AX",LEFT(K2417,4)="CTAX",LEFT(K2417,2)="W|"),2*N2417*O2417,0)</f>
        <v/>
      </c>
      <c r="Z2417" s="12" t="inlineStr"/>
      <c r="AA2417" s="12">
        <f>N2417*O2417</f>
        <v/>
      </c>
    </row>
    <row r="2418">
      <c r="A2418" s="12" t="inlineStr">
        <is>
          <t>C-C-0071</t>
        </is>
      </c>
      <c r="B2418" s="12" t="inlineStr">
        <is>
          <t>C</t>
        </is>
      </c>
      <c r="C2418" s="12" t="inlineStr">
        <is>
          <t>Grid interface</t>
        </is>
      </c>
      <c r="D2418" s="12" t="inlineStr">
        <is>
          <t>Control</t>
        </is>
      </c>
      <c r="E2418" s="12" t="inlineStr">
        <is>
          <t>RH</t>
        </is>
      </c>
      <c r="F2418" s="12" t="inlineStr">
        <is>
          <t>RH: switchyard relay / control house (52 x 70 ft)</t>
        </is>
      </c>
      <c r="G2418" s="12" t="inlineStr">
        <is>
          <t>D4-CB2</t>
        </is>
      </c>
      <c r="H2418" s="12" t="inlineStr">
        <is>
          <t>D4 230 kV breaker 2 (build-out)</t>
        </is>
      </c>
      <c r="I2418" s="12" t="inlineStr">
        <is>
          <t>Control</t>
        </is>
      </c>
      <c r="J2418" s="12" t="inlineStr">
        <is>
          <t>Control cable 600 V Type TC-ER, Cu #14 AWG, PVC jacket</t>
        </is>
      </c>
      <c r="K2418" s="12" t="inlineStr">
        <is>
          <t>CT|12/C|14</t>
        </is>
      </c>
      <c r="L2418" s="12" t="inlineStr">
        <is>
          <t>12/C</t>
        </is>
      </c>
      <c r="M2418" s="12" t="inlineStr">
        <is>
          <t>14</t>
        </is>
      </c>
      <c r="N2418" s="12" t="n">
        <v>1</v>
      </c>
      <c r="O2418" s="12" t="n">
        <v>1</v>
      </c>
      <c r="P2418" s="12" t="n"/>
      <c r="Q2418" s="12" t="n"/>
      <c r="R2418" s="12" t="n"/>
      <c r="S2418" s="12" t="inlineStr">
        <is>
          <t>Trench</t>
        </is>
      </c>
      <c r="T2418" s="16" t="n">
        <v>1294</v>
      </c>
      <c r="U2418" s="16" t="n">
        <v>52</v>
      </c>
      <c r="V2418" s="16">
        <f>ROUNDUP((T2418+U2418+2*'Read Me'!$B$13)*(1+'Read Me'!$B$12),-1)</f>
        <v/>
      </c>
      <c r="W2418" s="16">
        <f>V2418*N2418*O2418</f>
        <v/>
      </c>
      <c r="X2418" s="12">
        <f>IF(LEFT(I2418,2)="MV",2*N2418*IF(L2418="1/C",O2418,1),0)</f>
        <v/>
      </c>
      <c r="Y2418" s="12">
        <f>IF(OR(LEFT(K2418,4)="LVAX",LEFT(K2418,6)="MV15AX",LEFT(K2418,4)="CTAX",LEFT(K2418,2)="W|"),2*N2418*O2418,0)</f>
        <v/>
      </c>
      <c r="Z2418" s="12" t="inlineStr"/>
      <c r="AA2418" s="12">
        <f>N2418*O2418</f>
        <v/>
      </c>
    </row>
    <row r="2419">
      <c r="A2419" s="12" t="inlineStr">
        <is>
          <t>C-C-0072</t>
        </is>
      </c>
      <c r="B2419" s="12" t="inlineStr">
        <is>
          <t>C</t>
        </is>
      </c>
      <c r="C2419" s="12" t="inlineStr">
        <is>
          <t>Grid interface</t>
        </is>
      </c>
      <c r="D2419" s="12" t="inlineStr">
        <is>
          <t>Control</t>
        </is>
      </c>
      <c r="E2419" s="12" t="inlineStr">
        <is>
          <t>RH</t>
        </is>
      </c>
      <c r="F2419" s="12" t="inlineStr">
        <is>
          <t>RH: switchyard relay / control house (52 x 70 ft)</t>
        </is>
      </c>
      <c r="G2419" s="12" t="inlineStr">
        <is>
          <t>D4-CB2</t>
        </is>
      </c>
      <c r="H2419" s="12" t="inlineStr">
        <is>
          <t>D4 230 kV breaker 2 (build-out)</t>
        </is>
      </c>
      <c r="I2419" s="12" t="inlineStr">
        <is>
          <t>Control</t>
        </is>
      </c>
      <c r="J2419" s="12" t="inlineStr">
        <is>
          <t>Control cable 600 V Type TC-ER, Cu #14 AWG, PVC jacket</t>
        </is>
      </c>
      <c r="K2419" s="12" t="inlineStr">
        <is>
          <t>CT|12/C|14</t>
        </is>
      </c>
      <c r="L2419" s="12" t="inlineStr">
        <is>
          <t>12/C</t>
        </is>
      </c>
      <c r="M2419" s="12" t="inlineStr">
        <is>
          <t>14</t>
        </is>
      </c>
      <c r="N2419" s="12" t="n">
        <v>1</v>
      </c>
      <c r="O2419" s="12" t="n">
        <v>1</v>
      </c>
      <c r="P2419" s="12" t="n"/>
      <c r="Q2419" s="12" t="n"/>
      <c r="R2419" s="12" t="n"/>
      <c r="S2419" s="12" t="inlineStr">
        <is>
          <t>Trench</t>
        </is>
      </c>
      <c r="T2419" s="16" t="n">
        <v>1294</v>
      </c>
      <c r="U2419" s="16" t="n">
        <v>52</v>
      </c>
      <c r="V2419" s="16">
        <f>ROUNDUP((T2419+U2419+2*'Read Me'!$B$13)*(1+'Read Me'!$B$12),-1)</f>
        <v/>
      </c>
      <c r="W2419" s="16">
        <f>V2419*N2419*O2419</f>
        <v/>
      </c>
      <c r="X2419" s="12">
        <f>IF(LEFT(I2419,2)="MV",2*N2419*IF(L2419="1/C",O2419,1),0)</f>
        <v/>
      </c>
      <c r="Y2419" s="12">
        <f>IF(OR(LEFT(K2419,4)="LVAX",LEFT(K2419,6)="MV15AX",LEFT(K2419,4)="CTAX",LEFT(K2419,2)="W|"),2*N2419*O2419,0)</f>
        <v/>
      </c>
      <c r="Z2419" s="12" t="inlineStr"/>
      <c r="AA2419" s="12">
        <f>N2419*O2419</f>
        <v/>
      </c>
    </row>
    <row r="2420">
      <c r="A2420" s="12" t="inlineStr">
        <is>
          <t>C-C-0073</t>
        </is>
      </c>
      <c r="B2420" s="12" t="inlineStr">
        <is>
          <t>C</t>
        </is>
      </c>
      <c r="C2420" s="12" t="inlineStr">
        <is>
          <t>Grid interface</t>
        </is>
      </c>
      <c r="D2420" s="12" t="inlineStr">
        <is>
          <t>Control</t>
        </is>
      </c>
      <c r="E2420" s="12" t="inlineStr">
        <is>
          <t>RH</t>
        </is>
      </c>
      <c r="F2420" s="12" t="inlineStr">
        <is>
          <t>RH: switchyard relay / control house (52 x 70 ft)</t>
        </is>
      </c>
      <c r="G2420" s="12" t="inlineStr">
        <is>
          <t>D4-CB2</t>
        </is>
      </c>
      <c r="H2420" s="12" t="inlineStr">
        <is>
          <t>D4 230 kV breaker 2 (build-out)</t>
        </is>
      </c>
      <c r="I2420" s="12" t="inlineStr">
        <is>
          <t>Control</t>
        </is>
      </c>
      <c r="J2420" s="12" t="inlineStr">
        <is>
          <t>Control cable 600 V Type TC-ER, Cu #14 AWG, PVC jacket</t>
        </is>
      </c>
      <c r="K2420" s="12" t="inlineStr">
        <is>
          <t>CT|12/C|14</t>
        </is>
      </c>
      <c r="L2420" s="12" t="inlineStr">
        <is>
          <t>12/C</t>
        </is>
      </c>
      <c r="M2420" s="12" t="inlineStr">
        <is>
          <t>14</t>
        </is>
      </c>
      <c r="N2420" s="12" t="n">
        <v>1</v>
      </c>
      <c r="O2420" s="12" t="n">
        <v>1</v>
      </c>
      <c r="P2420" s="12" t="n"/>
      <c r="Q2420" s="12" t="n"/>
      <c r="R2420" s="12" t="n"/>
      <c r="S2420" s="12" t="inlineStr">
        <is>
          <t>Trench</t>
        </is>
      </c>
      <c r="T2420" s="16" t="n">
        <v>1294</v>
      </c>
      <c r="U2420" s="16" t="n">
        <v>52</v>
      </c>
      <c r="V2420" s="16">
        <f>ROUNDUP((T2420+U2420+2*'Read Me'!$B$13)*(1+'Read Me'!$B$12),-1)</f>
        <v/>
      </c>
      <c r="W2420" s="16">
        <f>V2420*N2420*O2420</f>
        <v/>
      </c>
      <c r="X2420" s="12">
        <f>IF(LEFT(I2420,2)="MV",2*N2420*IF(L2420="1/C",O2420,1),0)</f>
        <v/>
      </c>
      <c r="Y2420" s="12">
        <f>IF(OR(LEFT(K2420,4)="LVAX",LEFT(K2420,6)="MV15AX",LEFT(K2420,4)="CTAX",LEFT(K2420,2)="W|"),2*N2420*O2420,0)</f>
        <v/>
      </c>
      <c r="Z2420" s="12" t="inlineStr"/>
      <c r="AA2420" s="12">
        <f>N2420*O2420</f>
        <v/>
      </c>
    </row>
    <row r="2421">
      <c r="A2421" s="12" t="inlineStr">
        <is>
          <t>C-C-0074</t>
        </is>
      </c>
      <c r="B2421" s="12" t="inlineStr">
        <is>
          <t>C</t>
        </is>
      </c>
      <c r="C2421" s="12" t="inlineStr">
        <is>
          <t>Grid interface</t>
        </is>
      </c>
      <c r="D2421" s="12" t="inlineStr">
        <is>
          <t>Control</t>
        </is>
      </c>
      <c r="E2421" s="12" t="inlineStr">
        <is>
          <t>RH</t>
        </is>
      </c>
      <c r="F2421" s="12" t="inlineStr">
        <is>
          <t>RH: switchyard relay / control house (52 x 70 ft)</t>
        </is>
      </c>
      <c r="G2421" s="12" t="inlineStr">
        <is>
          <t>D4-CB2</t>
        </is>
      </c>
      <c r="H2421" s="12" t="inlineStr">
        <is>
          <t>D4 230 kV breaker 2 (build-out)</t>
        </is>
      </c>
      <c r="I2421" s="12" t="inlineStr">
        <is>
          <t>Control</t>
        </is>
      </c>
      <c r="J2421" s="12" t="inlineStr">
        <is>
          <t>Control cable 600 V Type TC-ER, Cu #14 AWG, PVC jacket</t>
        </is>
      </c>
      <c r="K2421" s="12" t="inlineStr">
        <is>
          <t>CT|12/C|14</t>
        </is>
      </c>
      <c r="L2421" s="12" t="inlineStr">
        <is>
          <t>12/C</t>
        </is>
      </c>
      <c r="M2421" s="12" t="inlineStr">
        <is>
          <t>14</t>
        </is>
      </c>
      <c r="N2421" s="12" t="n">
        <v>1</v>
      </c>
      <c r="O2421" s="12" t="n">
        <v>1</v>
      </c>
      <c r="P2421" s="12" t="n"/>
      <c r="Q2421" s="12" t="n"/>
      <c r="R2421" s="12" t="n"/>
      <c r="S2421" s="12" t="inlineStr">
        <is>
          <t>Trench</t>
        </is>
      </c>
      <c r="T2421" s="16" t="n">
        <v>1294</v>
      </c>
      <c r="U2421" s="16" t="n">
        <v>52</v>
      </c>
      <c r="V2421" s="16">
        <f>ROUNDUP((T2421+U2421+2*'Read Me'!$B$13)*(1+'Read Me'!$B$12),-1)</f>
        <v/>
      </c>
      <c r="W2421" s="16">
        <f>V2421*N2421*O2421</f>
        <v/>
      </c>
      <c r="X2421" s="12">
        <f>IF(LEFT(I2421,2)="MV",2*N2421*IF(L2421="1/C",O2421,1),0)</f>
        <v/>
      </c>
      <c r="Y2421" s="12">
        <f>IF(OR(LEFT(K2421,4)="LVAX",LEFT(K2421,6)="MV15AX",LEFT(K2421,4)="CTAX",LEFT(K2421,2)="W|"),2*N2421*O2421,0)</f>
        <v/>
      </c>
      <c r="Z2421" s="12" t="inlineStr"/>
      <c r="AA2421" s="12">
        <f>N2421*O2421</f>
        <v/>
      </c>
    </row>
    <row r="2422">
      <c r="A2422" s="12" t="inlineStr">
        <is>
          <t>C-C-0075</t>
        </is>
      </c>
      <c r="B2422" s="12" t="inlineStr">
        <is>
          <t>C</t>
        </is>
      </c>
      <c r="C2422" s="12" t="inlineStr">
        <is>
          <t>Grid interface</t>
        </is>
      </c>
      <c r="D2422" s="12" t="inlineStr">
        <is>
          <t>CT / VT</t>
        </is>
      </c>
      <c r="E2422" s="12" t="inlineStr">
        <is>
          <t>RH</t>
        </is>
      </c>
      <c r="F2422" s="12" t="inlineStr">
        <is>
          <t>RH: switchyard relay / control house (52 x 70 ft)</t>
        </is>
      </c>
      <c r="G2422" s="12" t="inlineStr">
        <is>
          <t>D4-CB2</t>
        </is>
      </c>
      <c r="H2422" s="12" t="inlineStr">
        <is>
          <t>D4 230 kV breaker 2 (build-out)</t>
        </is>
      </c>
      <c r="I2422" s="12" t="inlineStr">
        <is>
          <t>Control</t>
        </is>
      </c>
      <c r="J2422" s="12" t="inlineStr">
        <is>
          <t>Control cable 600 V Type TC-ER, Cu #10 AWG (CT / VT circuits)</t>
        </is>
      </c>
      <c r="K2422" s="12" t="inlineStr">
        <is>
          <t>CTCT|4/C|10</t>
        </is>
      </c>
      <c r="L2422" s="12" t="inlineStr">
        <is>
          <t>4/C</t>
        </is>
      </c>
      <c r="M2422" s="12" t="inlineStr">
        <is>
          <t>10</t>
        </is>
      </c>
      <c r="N2422" s="12" t="n">
        <v>1</v>
      </c>
      <c r="O2422" s="12" t="n">
        <v>1</v>
      </c>
      <c r="P2422" s="12" t="n"/>
      <c r="Q2422" s="12" t="n"/>
      <c r="R2422" s="12" t="n"/>
      <c r="S2422" s="12" t="inlineStr">
        <is>
          <t>Trench</t>
        </is>
      </c>
      <c r="T2422" s="16" t="n">
        <v>1294</v>
      </c>
      <c r="U2422" s="16" t="n">
        <v>52</v>
      </c>
      <c r="V2422" s="16">
        <f>ROUNDUP((T2422+U2422+2*'Read Me'!$B$13)*(1+'Read Me'!$B$12),-1)</f>
        <v/>
      </c>
      <c r="W2422" s="16">
        <f>V2422*N2422*O2422</f>
        <v/>
      </c>
      <c r="X2422" s="12">
        <f>IF(LEFT(I2422,2)="MV",2*N2422*IF(L2422="1/C",O2422,1),0)</f>
        <v/>
      </c>
      <c r="Y2422" s="12">
        <f>IF(OR(LEFT(K2422,4)="LVAX",LEFT(K2422,6)="MV15AX",LEFT(K2422,4)="CTAX",LEFT(K2422,2)="W|"),2*N2422*O2422,0)</f>
        <v/>
      </c>
      <c r="Z2422" s="12" t="inlineStr"/>
      <c r="AA2422" s="12">
        <f>N2422*O2422</f>
        <v/>
      </c>
    </row>
    <row r="2423">
      <c r="A2423" s="12" t="inlineStr">
        <is>
          <t>C-C-0076</t>
        </is>
      </c>
      <c r="B2423" s="12" t="inlineStr">
        <is>
          <t>C</t>
        </is>
      </c>
      <c r="C2423" s="12" t="inlineStr">
        <is>
          <t>Grid interface</t>
        </is>
      </c>
      <c r="D2423" s="12" t="inlineStr">
        <is>
          <t>CT / VT</t>
        </is>
      </c>
      <c r="E2423" s="12" t="inlineStr">
        <is>
          <t>RH</t>
        </is>
      </c>
      <c r="F2423" s="12" t="inlineStr">
        <is>
          <t>RH: switchyard relay / control house (52 x 70 ft)</t>
        </is>
      </c>
      <c r="G2423" s="12" t="inlineStr">
        <is>
          <t>D4-CB2</t>
        </is>
      </c>
      <c r="H2423" s="12" t="inlineStr">
        <is>
          <t>D4 230 kV breaker 2 (build-out)</t>
        </is>
      </c>
      <c r="I2423" s="12" t="inlineStr">
        <is>
          <t>Control</t>
        </is>
      </c>
      <c r="J2423" s="12" t="inlineStr">
        <is>
          <t>Control cable 600 V Type TC-ER, Cu #10 AWG (CT / VT circuits)</t>
        </is>
      </c>
      <c r="K2423" s="12" t="inlineStr">
        <is>
          <t>CTCT|4/C|10</t>
        </is>
      </c>
      <c r="L2423" s="12" t="inlineStr">
        <is>
          <t>4/C</t>
        </is>
      </c>
      <c r="M2423" s="12" t="inlineStr">
        <is>
          <t>10</t>
        </is>
      </c>
      <c r="N2423" s="12" t="n">
        <v>1</v>
      </c>
      <c r="O2423" s="12" t="n">
        <v>1</v>
      </c>
      <c r="P2423" s="12" t="n"/>
      <c r="Q2423" s="12" t="n"/>
      <c r="R2423" s="12" t="n"/>
      <c r="S2423" s="12" t="inlineStr">
        <is>
          <t>Trench</t>
        </is>
      </c>
      <c r="T2423" s="16" t="n">
        <v>1294</v>
      </c>
      <c r="U2423" s="16" t="n">
        <v>52</v>
      </c>
      <c r="V2423" s="16">
        <f>ROUNDUP((T2423+U2423+2*'Read Me'!$B$13)*(1+'Read Me'!$B$12),-1)</f>
        <v/>
      </c>
      <c r="W2423" s="16">
        <f>V2423*N2423*O2423</f>
        <v/>
      </c>
      <c r="X2423" s="12">
        <f>IF(LEFT(I2423,2)="MV",2*N2423*IF(L2423="1/C",O2423,1),0)</f>
        <v/>
      </c>
      <c r="Y2423" s="12">
        <f>IF(OR(LEFT(K2423,4)="LVAX",LEFT(K2423,6)="MV15AX",LEFT(K2423,4)="CTAX",LEFT(K2423,2)="W|"),2*N2423*O2423,0)</f>
        <v/>
      </c>
      <c r="Z2423" s="12" t="inlineStr"/>
      <c r="AA2423" s="12">
        <f>N2423*O2423</f>
        <v/>
      </c>
    </row>
    <row r="2424">
      <c r="A2424" s="12" t="inlineStr">
        <is>
          <t>C-C-0077</t>
        </is>
      </c>
      <c r="B2424" s="12" t="inlineStr">
        <is>
          <t>C</t>
        </is>
      </c>
      <c r="C2424" s="12" t="inlineStr">
        <is>
          <t>Grid interface</t>
        </is>
      </c>
      <c r="D2424" s="12" t="inlineStr">
        <is>
          <t>CT / VT</t>
        </is>
      </c>
      <c r="E2424" s="12" t="inlineStr">
        <is>
          <t>RH</t>
        </is>
      </c>
      <c r="F2424" s="12" t="inlineStr">
        <is>
          <t>RH: switchyard relay / control house (52 x 70 ft)</t>
        </is>
      </c>
      <c r="G2424" s="12" t="inlineStr">
        <is>
          <t>D4-CB2</t>
        </is>
      </c>
      <c r="H2424" s="12" t="inlineStr">
        <is>
          <t>D4 230 kV breaker 2 (build-out)</t>
        </is>
      </c>
      <c r="I2424" s="12" t="inlineStr">
        <is>
          <t>Control</t>
        </is>
      </c>
      <c r="J2424" s="12" t="inlineStr">
        <is>
          <t>Control cable 600 V Type TC-ER, Cu #10 AWG (CT / VT circuits)</t>
        </is>
      </c>
      <c r="K2424" s="12" t="inlineStr">
        <is>
          <t>CTCT|4/C|10</t>
        </is>
      </c>
      <c r="L2424" s="12" t="inlineStr">
        <is>
          <t>4/C</t>
        </is>
      </c>
      <c r="M2424" s="12" t="inlineStr">
        <is>
          <t>10</t>
        </is>
      </c>
      <c r="N2424" s="12" t="n">
        <v>1</v>
      </c>
      <c r="O2424" s="12" t="n">
        <v>1</v>
      </c>
      <c r="P2424" s="12" t="n"/>
      <c r="Q2424" s="12" t="n"/>
      <c r="R2424" s="12" t="n"/>
      <c r="S2424" s="12" t="inlineStr">
        <is>
          <t>Trench</t>
        </is>
      </c>
      <c r="T2424" s="16" t="n">
        <v>1294</v>
      </c>
      <c r="U2424" s="16" t="n">
        <v>52</v>
      </c>
      <c r="V2424" s="16">
        <f>ROUNDUP((T2424+U2424+2*'Read Me'!$B$13)*(1+'Read Me'!$B$12),-1)</f>
        <v/>
      </c>
      <c r="W2424" s="16">
        <f>V2424*N2424*O2424</f>
        <v/>
      </c>
      <c r="X2424" s="12">
        <f>IF(LEFT(I2424,2)="MV",2*N2424*IF(L2424="1/C",O2424,1),0)</f>
        <v/>
      </c>
      <c r="Y2424" s="12">
        <f>IF(OR(LEFT(K2424,4)="LVAX",LEFT(K2424,6)="MV15AX",LEFT(K2424,4)="CTAX",LEFT(K2424,2)="W|"),2*N2424*O2424,0)</f>
        <v/>
      </c>
      <c r="Z2424" s="12" t="inlineStr"/>
      <c r="AA2424" s="12">
        <f>N2424*O2424</f>
        <v/>
      </c>
    </row>
    <row r="2425">
      <c r="A2425" s="12" t="inlineStr">
        <is>
          <t>C-C-0078</t>
        </is>
      </c>
      <c r="B2425" s="12" t="inlineStr">
        <is>
          <t>C</t>
        </is>
      </c>
      <c r="C2425" s="12" t="inlineStr">
        <is>
          <t>Grid interface</t>
        </is>
      </c>
      <c r="D2425" s="12" t="inlineStr">
        <is>
          <t>Control</t>
        </is>
      </c>
      <c r="E2425" s="12" t="inlineStr">
        <is>
          <t>RH</t>
        </is>
      </c>
      <c r="F2425" s="12" t="inlineStr">
        <is>
          <t>RH: switchyard relay / control house (52 x 70 ft)</t>
        </is>
      </c>
      <c r="G2425" s="12" t="inlineStr">
        <is>
          <t>D4-CB3</t>
        </is>
      </c>
      <c r="H2425" s="12" t="inlineStr">
        <is>
          <t>D4 230 kV breaker 3 (build-out)</t>
        </is>
      </c>
      <c r="I2425" s="12" t="inlineStr">
        <is>
          <t>Control</t>
        </is>
      </c>
      <c r="J2425" s="12" t="inlineStr">
        <is>
          <t>Control cable 600 V Type TC-ER, Cu #14 AWG, PVC jacket</t>
        </is>
      </c>
      <c r="K2425" s="12" t="inlineStr">
        <is>
          <t>CT|12/C|14</t>
        </is>
      </c>
      <c r="L2425" s="12" t="inlineStr">
        <is>
          <t>12/C</t>
        </is>
      </c>
      <c r="M2425" s="12" t="inlineStr">
        <is>
          <t>14</t>
        </is>
      </c>
      <c r="N2425" s="12" t="n">
        <v>1</v>
      </c>
      <c r="O2425" s="12" t="n">
        <v>1</v>
      </c>
      <c r="P2425" s="12" t="n"/>
      <c r="Q2425" s="12" t="n"/>
      <c r="R2425" s="12" t="n"/>
      <c r="S2425" s="12" t="inlineStr">
        <is>
          <t>Trench</t>
        </is>
      </c>
      <c r="T2425" s="16" t="n">
        <v>1340</v>
      </c>
      <c r="U2425" s="16" t="n">
        <v>46</v>
      </c>
      <c r="V2425" s="16">
        <f>ROUNDUP((T2425+U2425+2*'Read Me'!$B$13)*(1+'Read Me'!$B$12),-1)</f>
        <v/>
      </c>
      <c r="W2425" s="16">
        <f>V2425*N2425*O2425</f>
        <v/>
      </c>
      <c r="X2425" s="12">
        <f>IF(LEFT(I2425,2)="MV",2*N2425*IF(L2425="1/C",O2425,1),0)</f>
        <v/>
      </c>
      <c r="Y2425" s="12">
        <f>IF(OR(LEFT(K2425,4)="LVAX",LEFT(K2425,6)="MV15AX",LEFT(K2425,4)="CTAX",LEFT(K2425,2)="W|"),2*N2425*O2425,0)</f>
        <v/>
      </c>
      <c r="Z2425" s="12" t="inlineStr"/>
      <c r="AA2425" s="12">
        <f>N2425*O2425</f>
        <v/>
      </c>
    </row>
    <row r="2426">
      <c r="A2426" s="12" t="inlineStr">
        <is>
          <t>C-C-0079</t>
        </is>
      </c>
      <c r="B2426" s="12" t="inlineStr">
        <is>
          <t>C</t>
        </is>
      </c>
      <c r="C2426" s="12" t="inlineStr">
        <is>
          <t>Grid interface</t>
        </is>
      </c>
      <c r="D2426" s="12" t="inlineStr">
        <is>
          <t>Control</t>
        </is>
      </c>
      <c r="E2426" s="12" t="inlineStr">
        <is>
          <t>RH</t>
        </is>
      </c>
      <c r="F2426" s="12" t="inlineStr">
        <is>
          <t>RH: switchyard relay / control house (52 x 70 ft)</t>
        </is>
      </c>
      <c r="G2426" s="12" t="inlineStr">
        <is>
          <t>D4-CB3</t>
        </is>
      </c>
      <c r="H2426" s="12" t="inlineStr">
        <is>
          <t>D4 230 kV breaker 3 (build-out)</t>
        </is>
      </c>
      <c r="I2426" s="12" t="inlineStr">
        <is>
          <t>Control</t>
        </is>
      </c>
      <c r="J2426" s="12" t="inlineStr">
        <is>
          <t>Control cable 600 V Type TC-ER, Cu #14 AWG, PVC jacket</t>
        </is>
      </c>
      <c r="K2426" s="12" t="inlineStr">
        <is>
          <t>CT|12/C|14</t>
        </is>
      </c>
      <c r="L2426" s="12" t="inlineStr">
        <is>
          <t>12/C</t>
        </is>
      </c>
      <c r="M2426" s="12" t="inlineStr">
        <is>
          <t>14</t>
        </is>
      </c>
      <c r="N2426" s="12" t="n">
        <v>1</v>
      </c>
      <c r="O2426" s="12" t="n">
        <v>1</v>
      </c>
      <c r="P2426" s="12" t="n"/>
      <c r="Q2426" s="12" t="n"/>
      <c r="R2426" s="12" t="n"/>
      <c r="S2426" s="12" t="inlineStr">
        <is>
          <t>Trench</t>
        </is>
      </c>
      <c r="T2426" s="16" t="n">
        <v>1340</v>
      </c>
      <c r="U2426" s="16" t="n">
        <v>46</v>
      </c>
      <c r="V2426" s="16">
        <f>ROUNDUP((T2426+U2426+2*'Read Me'!$B$13)*(1+'Read Me'!$B$12),-1)</f>
        <v/>
      </c>
      <c r="W2426" s="16">
        <f>V2426*N2426*O2426</f>
        <v/>
      </c>
      <c r="X2426" s="12">
        <f>IF(LEFT(I2426,2)="MV",2*N2426*IF(L2426="1/C",O2426,1),0)</f>
        <v/>
      </c>
      <c r="Y2426" s="12">
        <f>IF(OR(LEFT(K2426,4)="LVAX",LEFT(K2426,6)="MV15AX",LEFT(K2426,4)="CTAX",LEFT(K2426,2)="W|"),2*N2426*O2426,0)</f>
        <v/>
      </c>
      <c r="Z2426" s="12" t="inlineStr"/>
      <c r="AA2426" s="12">
        <f>N2426*O2426</f>
        <v/>
      </c>
    </row>
    <row r="2427">
      <c r="A2427" s="12" t="inlineStr">
        <is>
          <t>C-C-0080</t>
        </is>
      </c>
      <c r="B2427" s="12" t="inlineStr">
        <is>
          <t>C</t>
        </is>
      </c>
      <c r="C2427" s="12" t="inlineStr">
        <is>
          <t>Grid interface</t>
        </is>
      </c>
      <c r="D2427" s="12" t="inlineStr">
        <is>
          <t>Control</t>
        </is>
      </c>
      <c r="E2427" s="12" t="inlineStr">
        <is>
          <t>RH</t>
        </is>
      </c>
      <c r="F2427" s="12" t="inlineStr">
        <is>
          <t>RH: switchyard relay / control house (52 x 70 ft)</t>
        </is>
      </c>
      <c r="G2427" s="12" t="inlineStr">
        <is>
          <t>D4-CB3</t>
        </is>
      </c>
      <c r="H2427" s="12" t="inlineStr">
        <is>
          <t>D4 230 kV breaker 3 (build-out)</t>
        </is>
      </c>
      <c r="I2427" s="12" t="inlineStr">
        <is>
          <t>Control</t>
        </is>
      </c>
      <c r="J2427" s="12" t="inlineStr">
        <is>
          <t>Control cable 600 V Type TC-ER, Cu #14 AWG, PVC jacket</t>
        </is>
      </c>
      <c r="K2427" s="12" t="inlineStr">
        <is>
          <t>CT|12/C|14</t>
        </is>
      </c>
      <c r="L2427" s="12" t="inlineStr">
        <is>
          <t>12/C</t>
        </is>
      </c>
      <c r="M2427" s="12" t="inlineStr">
        <is>
          <t>14</t>
        </is>
      </c>
      <c r="N2427" s="12" t="n">
        <v>1</v>
      </c>
      <c r="O2427" s="12" t="n">
        <v>1</v>
      </c>
      <c r="P2427" s="12" t="n"/>
      <c r="Q2427" s="12" t="n"/>
      <c r="R2427" s="12" t="n"/>
      <c r="S2427" s="12" t="inlineStr">
        <is>
          <t>Trench</t>
        </is>
      </c>
      <c r="T2427" s="16" t="n">
        <v>1340</v>
      </c>
      <c r="U2427" s="16" t="n">
        <v>46</v>
      </c>
      <c r="V2427" s="16">
        <f>ROUNDUP((T2427+U2427+2*'Read Me'!$B$13)*(1+'Read Me'!$B$12),-1)</f>
        <v/>
      </c>
      <c r="W2427" s="16">
        <f>V2427*N2427*O2427</f>
        <v/>
      </c>
      <c r="X2427" s="12">
        <f>IF(LEFT(I2427,2)="MV",2*N2427*IF(L2427="1/C",O2427,1),0)</f>
        <v/>
      </c>
      <c r="Y2427" s="12">
        <f>IF(OR(LEFT(K2427,4)="LVAX",LEFT(K2427,6)="MV15AX",LEFT(K2427,4)="CTAX",LEFT(K2427,2)="W|"),2*N2427*O2427,0)</f>
        <v/>
      </c>
      <c r="Z2427" s="12" t="inlineStr"/>
      <c r="AA2427" s="12">
        <f>N2427*O2427</f>
        <v/>
      </c>
    </row>
    <row r="2428">
      <c r="A2428" s="12" t="inlineStr">
        <is>
          <t>C-C-0081</t>
        </is>
      </c>
      <c r="B2428" s="12" t="inlineStr">
        <is>
          <t>C</t>
        </is>
      </c>
      <c r="C2428" s="12" t="inlineStr">
        <is>
          <t>Grid interface</t>
        </is>
      </c>
      <c r="D2428" s="12" t="inlineStr">
        <is>
          <t>Control</t>
        </is>
      </c>
      <c r="E2428" s="12" t="inlineStr">
        <is>
          <t>RH</t>
        </is>
      </c>
      <c r="F2428" s="12" t="inlineStr">
        <is>
          <t>RH: switchyard relay / control house (52 x 70 ft)</t>
        </is>
      </c>
      <c r="G2428" s="12" t="inlineStr">
        <is>
          <t>D4-CB3</t>
        </is>
      </c>
      <c r="H2428" s="12" t="inlineStr">
        <is>
          <t>D4 230 kV breaker 3 (build-out)</t>
        </is>
      </c>
      <c r="I2428" s="12" t="inlineStr">
        <is>
          <t>Control</t>
        </is>
      </c>
      <c r="J2428" s="12" t="inlineStr">
        <is>
          <t>Control cable 600 V Type TC-ER, Cu #14 AWG, PVC jacket</t>
        </is>
      </c>
      <c r="K2428" s="12" t="inlineStr">
        <is>
          <t>CT|12/C|14</t>
        </is>
      </c>
      <c r="L2428" s="12" t="inlineStr">
        <is>
          <t>12/C</t>
        </is>
      </c>
      <c r="M2428" s="12" t="inlineStr">
        <is>
          <t>14</t>
        </is>
      </c>
      <c r="N2428" s="12" t="n">
        <v>1</v>
      </c>
      <c r="O2428" s="12" t="n">
        <v>1</v>
      </c>
      <c r="P2428" s="12" t="n"/>
      <c r="Q2428" s="12" t="n"/>
      <c r="R2428" s="12" t="n"/>
      <c r="S2428" s="12" t="inlineStr">
        <is>
          <t>Trench</t>
        </is>
      </c>
      <c r="T2428" s="16" t="n">
        <v>1340</v>
      </c>
      <c r="U2428" s="16" t="n">
        <v>46</v>
      </c>
      <c r="V2428" s="16">
        <f>ROUNDUP((T2428+U2428+2*'Read Me'!$B$13)*(1+'Read Me'!$B$12),-1)</f>
        <v/>
      </c>
      <c r="W2428" s="16">
        <f>V2428*N2428*O2428</f>
        <v/>
      </c>
      <c r="X2428" s="12">
        <f>IF(LEFT(I2428,2)="MV",2*N2428*IF(L2428="1/C",O2428,1),0)</f>
        <v/>
      </c>
      <c r="Y2428" s="12">
        <f>IF(OR(LEFT(K2428,4)="LVAX",LEFT(K2428,6)="MV15AX",LEFT(K2428,4)="CTAX",LEFT(K2428,2)="W|"),2*N2428*O2428,0)</f>
        <v/>
      </c>
      <c r="Z2428" s="12" t="inlineStr"/>
      <c r="AA2428" s="12">
        <f>N2428*O2428</f>
        <v/>
      </c>
    </row>
    <row r="2429">
      <c r="A2429" s="12" t="inlineStr">
        <is>
          <t>C-C-0082</t>
        </is>
      </c>
      <c r="B2429" s="12" t="inlineStr">
        <is>
          <t>C</t>
        </is>
      </c>
      <c r="C2429" s="12" t="inlineStr">
        <is>
          <t>Grid interface</t>
        </is>
      </c>
      <c r="D2429" s="12" t="inlineStr">
        <is>
          <t>CT / VT</t>
        </is>
      </c>
      <c r="E2429" s="12" t="inlineStr">
        <is>
          <t>RH</t>
        </is>
      </c>
      <c r="F2429" s="12" t="inlineStr">
        <is>
          <t>RH: switchyard relay / control house (52 x 70 ft)</t>
        </is>
      </c>
      <c r="G2429" s="12" t="inlineStr">
        <is>
          <t>D4-CB3</t>
        </is>
      </c>
      <c r="H2429" s="12" t="inlineStr">
        <is>
          <t>D4 230 kV breaker 3 (build-out)</t>
        </is>
      </c>
      <c r="I2429" s="12" t="inlineStr">
        <is>
          <t>Control</t>
        </is>
      </c>
      <c r="J2429" s="12" t="inlineStr">
        <is>
          <t>Control cable 600 V Type TC-ER, Cu #10 AWG (CT / VT circuits)</t>
        </is>
      </c>
      <c r="K2429" s="12" t="inlineStr">
        <is>
          <t>CTCT|4/C|10</t>
        </is>
      </c>
      <c r="L2429" s="12" t="inlineStr">
        <is>
          <t>4/C</t>
        </is>
      </c>
      <c r="M2429" s="12" t="inlineStr">
        <is>
          <t>10</t>
        </is>
      </c>
      <c r="N2429" s="12" t="n">
        <v>1</v>
      </c>
      <c r="O2429" s="12" t="n">
        <v>1</v>
      </c>
      <c r="P2429" s="12" t="n"/>
      <c r="Q2429" s="12" t="n"/>
      <c r="R2429" s="12" t="n"/>
      <c r="S2429" s="12" t="inlineStr">
        <is>
          <t>Trench</t>
        </is>
      </c>
      <c r="T2429" s="16" t="n">
        <v>1340</v>
      </c>
      <c r="U2429" s="16" t="n">
        <v>46</v>
      </c>
      <c r="V2429" s="16">
        <f>ROUNDUP((T2429+U2429+2*'Read Me'!$B$13)*(1+'Read Me'!$B$12),-1)</f>
        <v/>
      </c>
      <c r="W2429" s="16">
        <f>V2429*N2429*O2429</f>
        <v/>
      </c>
      <c r="X2429" s="12">
        <f>IF(LEFT(I2429,2)="MV",2*N2429*IF(L2429="1/C",O2429,1),0)</f>
        <v/>
      </c>
      <c r="Y2429" s="12">
        <f>IF(OR(LEFT(K2429,4)="LVAX",LEFT(K2429,6)="MV15AX",LEFT(K2429,4)="CTAX",LEFT(K2429,2)="W|"),2*N2429*O2429,0)</f>
        <v/>
      </c>
      <c r="Z2429" s="12" t="inlineStr"/>
      <c r="AA2429" s="12">
        <f>N2429*O2429</f>
        <v/>
      </c>
    </row>
    <row r="2430">
      <c r="A2430" s="12" t="inlineStr">
        <is>
          <t>C-C-0083</t>
        </is>
      </c>
      <c r="B2430" s="12" t="inlineStr">
        <is>
          <t>C</t>
        </is>
      </c>
      <c r="C2430" s="12" t="inlineStr">
        <is>
          <t>Grid interface</t>
        </is>
      </c>
      <c r="D2430" s="12" t="inlineStr">
        <is>
          <t>CT / VT</t>
        </is>
      </c>
      <c r="E2430" s="12" t="inlineStr">
        <is>
          <t>RH</t>
        </is>
      </c>
      <c r="F2430" s="12" t="inlineStr">
        <is>
          <t>RH: switchyard relay / control house (52 x 70 ft)</t>
        </is>
      </c>
      <c r="G2430" s="12" t="inlineStr">
        <is>
          <t>D4-CB3</t>
        </is>
      </c>
      <c r="H2430" s="12" t="inlineStr">
        <is>
          <t>D4 230 kV breaker 3 (build-out)</t>
        </is>
      </c>
      <c r="I2430" s="12" t="inlineStr">
        <is>
          <t>Control</t>
        </is>
      </c>
      <c r="J2430" s="12" t="inlineStr">
        <is>
          <t>Control cable 600 V Type TC-ER, Cu #10 AWG (CT / VT circuits)</t>
        </is>
      </c>
      <c r="K2430" s="12" t="inlineStr">
        <is>
          <t>CTCT|4/C|10</t>
        </is>
      </c>
      <c r="L2430" s="12" t="inlineStr">
        <is>
          <t>4/C</t>
        </is>
      </c>
      <c r="M2430" s="12" t="inlineStr">
        <is>
          <t>10</t>
        </is>
      </c>
      <c r="N2430" s="12" t="n">
        <v>1</v>
      </c>
      <c r="O2430" s="12" t="n">
        <v>1</v>
      </c>
      <c r="P2430" s="12" t="n"/>
      <c r="Q2430" s="12" t="n"/>
      <c r="R2430" s="12" t="n"/>
      <c r="S2430" s="12" t="inlineStr">
        <is>
          <t>Trench</t>
        </is>
      </c>
      <c r="T2430" s="16" t="n">
        <v>1340</v>
      </c>
      <c r="U2430" s="16" t="n">
        <v>46</v>
      </c>
      <c r="V2430" s="16">
        <f>ROUNDUP((T2430+U2430+2*'Read Me'!$B$13)*(1+'Read Me'!$B$12),-1)</f>
        <v/>
      </c>
      <c r="W2430" s="16">
        <f>V2430*N2430*O2430</f>
        <v/>
      </c>
      <c r="X2430" s="12">
        <f>IF(LEFT(I2430,2)="MV",2*N2430*IF(L2430="1/C",O2430,1),0)</f>
        <v/>
      </c>
      <c r="Y2430" s="12">
        <f>IF(OR(LEFT(K2430,4)="LVAX",LEFT(K2430,6)="MV15AX",LEFT(K2430,4)="CTAX",LEFT(K2430,2)="W|"),2*N2430*O2430,0)</f>
        <v/>
      </c>
      <c r="Z2430" s="12" t="inlineStr"/>
      <c r="AA2430" s="12">
        <f>N2430*O2430</f>
        <v/>
      </c>
    </row>
    <row r="2431">
      <c r="A2431" s="12" t="inlineStr">
        <is>
          <t>C-C-0084</t>
        </is>
      </c>
      <c r="B2431" s="12" t="inlineStr">
        <is>
          <t>C</t>
        </is>
      </c>
      <c r="C2431" s="12" t="inlineStr">
        <is>
          <t>Grid interface</t>
        </is>
      </c>
      <c r="D2431" s="12" t="inlineStr">
        <is>
          <t>CT / VT</t>
        </is>
      </c>
      <c r="E2431" s="12" t="inlineStr">
        <is>
          <t>RH</t>
        </is>
      </c>
      <c r="F2431" s="12" t="inlineStr">
        <is>
          <t>RH: switchyard relay / control house (52 x 70 ft)</t>
        </is>
      </c>
      <c r="G2431" s="12" t="inlineStr">
        <is>
          <t>D4-CB3</t>
        </is>
      </c>
      <c r="H2431" s="12" t="inlineStr">
        <is>
          <t>D4 230 kV breaker 3 (build-out)</t>
        </is>
      </c>
      <c r="I2431" s="12" t="inlineStr">
        <is>
          <t>Control</t>
        </is>
      </c>
      <c r="J2431" s="12" t="inlineStr">
        <is>
          <t>Control cable 600 V Type TC-ER, Cu #10 AWG (CT / VT circuits)</t>
        </is>
      </c>
      <c r="K2431" s="12" t="inlineStr">
        <is>
          <t>CTCT|4/C|10</t>
        </is>
      </c>
      <c r="L2431" s="12" t="inlineStr">
        <is>
          <t>4/C</t>
        </is>
      </c>
      <c r="M2431" s="12" t="inlineStr">
        <is>
          <t>10</t>
        </is>
      </c>
      <c r="N2431" s="12" t="n">
        <v>1</v>
      </c>
      <c r="O2431" s="12" t="n">
        <v>1</v>
      </c>
      <c r="P2431" s="12" t="n"/>
      <c r="Q2431" s="12" t="n"/>
      <c r="R2431" s="12" t="n"/>
      <c r="S2431" s="12" t="inlineStr">
        <is>
          <t>Trench</t>
        </is>
      </c>
      <c r="T2431" s="16" t="n">
        <v>1340</v>
      </c>
      <c r="U2431" s="16" t="n">
        <v>46</v>
      </c>
      <c r="V2431" s="16">
        <f>ROUNDUP((T2431+U2431+2*'Read Me'!$B$13)*(1+'Read Me'!$B$12),-1)</f>
        <v/>
      </c>
      <c r="W2431" s="16">
        <f>V2431*N2431*O2431</f>
        <v/>
      </c>
      <c r="X2431" s="12">
        <f>IF(LEFT(I2431,2)="MV",2*N2431*IF(L2431="1/C",O2431,1),0)</f>
        <v/>
      </c>
      <c r="Y2431" s="12">
        <f>IF(OR(LEFT(K2431,4)="LVAX",LEFT(K2431,6)="MV15AX",LEFT(K2431,4)="CTAX",LEFT(K2431,2)="W|"),2*N2431*O2431,0)</f>
        <v/>
      </c>
      <c r="Z2431" s="12" t="inlineStr"/>
      <c r="AA2431" s="12">
        <f>N2431*O2431</f>
        <v/>
      </c>
    </row>
    <row r="2432">
      <c r="A2432" s="12" t="inlineStr">
        <is>
          <t>C-C-0085</t>
        </is>
      </c>
      <c r="B2432" s="12" t="inlineStr">
        <is>
          <t>C</t>
        </is>
      </c>
      <c r="C2432" s="12" t="inlineStr">
        <is>
          <t>Grid interface</t>
        </is>
      </c>
      <c r="D2432" s="12" t="inlineStr">
        <is>
          <t>Control</t>
        </is>
      </c>
      <c r="E2432" s="12" t="inlineStr">
        <is>
          <t>RH</t>
        </is>
      </c>
      <c r="F2432" s="12" t="inlineStr">
        <is>
          <t>RH: switchyard relay / control house (52 x 70 ft)</t>
        </is>
      </c>
      <c r="G2432" s="12" t="inlineStr">
        <is>
          <t>D5-CB1</t>
        </is>
      </c>
      <c r="H2432" s="12" t="inlineStr">
        <is>
          <t>D5 230 kV breaker 1 (build-out)</t>
        </is>
      </c>
      <c r="I2432" s="12" t="inlineStr">
        <is>
          <t>Control</t>
        </is>
      </c>
      <c r="J2432" s="12" t="inlineStr">
        <is>
          <t>Control cable 600 V Type TC-ER, Cu #14 AWG, PVC jacket</t>
        </is>
      </c>
      <c r="K2432" s="12" t="inlineStr">
        <is>
          <t>CT|12/C|14</t>
        </is>
      </c>
      <c r="L2432" s="12" t="inlineStr">
        <is>
          <t>12/C</t>
        </is>
      </c>
      <c r="M2432" s="12" t="inlineStr">
        <is>
          <t>14</t>
        </is>
      </c>
      <c r="N2432" s="12" t="n">
        <v>1</v>
      </c>
      <c r="O2432" s="12" t="n">
        <v>1</v>
      </c>
      <c r="P2432" s="12" t="n"/>
      <c r="Q2432" s="12" t="n"/>
      <c r="R2432" s="12" t="n"/>
      <c r="S2432" s="12" t="inlineStr">
        <is>
          <t>Trench</t>
        </is>
      </c>
      <c r="T2432" s="16" t="n">
        <v>1434</v>
      </c>
      <c r="U2432" s="16" t="n">
        <v>40</v>
      </c>
      <c r="V2432" s="16">
        <f>ROUNDUP((T2432+U2432+2*'Read Me'!$B$13)*(1+'Read Me'!$B$12),-1)</f>
        <v/>
      </c>
      <c r="W2432" s="16">
        <f>V2432*N2432*O2432</f>
        <v/>
      </c>
      <c r="X2432" s="12">
        <f>IF(LEFT(I2432,2)="MV",2*N2432*IF(L2432="1/C",O2432,1),0)</f>
        <v/>
      </c>
      <c r="Y2432" s="12">
        <f>IF(OR(LEFT(K2432,4)="LVAX",LEFT(K2432,6)="MV15AX",LEFT(K2432,4)="CTAX",LEFT(K2432,2)="W|"),2*N2432*O2432,0)</f>
        <v/>
      </c>
      <c r="Z2432" s="12" t="inlineStr"/>
      <c r="AA2432" s="12">
        <f>N2432*O2432</f>
        <v/>
      </c>
    </row>
    <row r="2433">
      <c r="A2433" s="12" t="inlineStr">
        <is>
          <t>C-C-0086</t>
        </is>
      </c>
      <c r="B2433" s="12" t="inlineStr">
        <is>
          <t>C</t>
        </is>
      </c>
      <c r="C2433" s="12" t="inlineStr">
        <is>
          <t>Grid interface</t>
        </is>
      </c>
      <c r="D2433" s="12" t="inlineStr">
        <is>
          <t>Control</t>
        </is>
      </c>
      <c r="E2433" s="12" t="inlineStr">
        <is>
          <t>RH</t>
        </is>
      </c>
      <c r="F2433" s="12" t="inlineStr">
        <is>
          <t>RH: switchyard relay / control house (52 x 70 ft)</t>
        </is>
      </c>
      <c r="G2433" s="12" t="inlineStr">
        <is>
          <t>D5-CB1</t>
        </is>
      </c>
      <c r="H2433" s="12" t="inlineStr">
        <is>
          <t>D5 230 kV breaker 1 (build-out)</t>
        </is>
      </c>
      <c r="I2433" s="12" t="inlineStr">
        <is>
          <t>Control</t>
        </is>
      </c>
      <c r="J2433" s="12" t="inlineStr">
        <is>
          <t>Control cable 600 V Type TC-ER, Cu #14 AWG, PVC jacket</t>
        </is>
      </c>
      <c r="K2433" s="12" t="inlineStr">
        <is>
          <t>CT|12/C|14</t>
        </is>
      </c>
      <c r="L2433" s="12" t="inlineStr">
        <is>
          <t>12/C</t>
        </is>
      </c>
      <c r="M2433" s="12" t="inlineStr">
        <is>
          <t>14</t>
        </is>
      </c>
      <c r="N2433" s="12" t="n">
        <v>1</v>
      </c>
      <c r="O2433" s="12" t="n">
        <v>1</v>
      </c>
      <c r="P2433" s="12" t="n"/>
      <c r="Q2433" s="12" t="n"/>
      <c r="R2433" s="12" t="n"/>
      <c r="S2433" s="12" t="inlineStr">
        <is>
          <t>Trench</t>
        </is>
      </c>
      <c r="T2433" s="16" t="n">
        <v>1434</v>
      </c>
      <c r="U2433" s="16" t="n">
        <v>40</v>
      </c>
      <c r="V2433" s="16">
        <f>ROUNDUP((T2433+U2433+2*'Read Me'!$B$13)*(1+'Read Me'!$B$12),-1)</f>
        <v/>
      </c>
      <c r="W2433" s="16">
        <f>V2433*N2433*O2433</f>
        <v/>
      </c>
      <c r="X2433" s="12">
        <f>IF(LEFT(I2433,2)="MV",2*N2433*IF(L2433="1/C",O2433,1),0)</f>
        <v/>
      </c>
      <c r="Y2433" s="12">
        <f>IF(OR(LEFT(K2433,4)="LVAX",LEFT(K2433,6)="MV15AX",LEFT(K2433,4)="CTAX",LEFT(K2433,2)="W|"),2*N2433*O2433,0)</f>
        <v/>
      </c>
      <c r="Z2433" s="12" t="inlineStr"/>
      <c r="AA2433" s="12">
        <f>N2433*O2433</f>
        <v/>
      </c>
    </row>
    <row r="2434">
      <c r="A2434" s="12" t="inlineStr">
        <is>
          <t>C-C-0087</t>
        </is>
      </c>
      <c r="B2434" s="12" t="inlineStr">
        <is>
          <t>C</t>
        </is>
      </c>
      <c r="C2434" s="12" t="inlineStr">
        <is>
          <t>Grid interface</t>
        </is>
      </c>
      <c r="D2434" s="12" t="inlineStr">
        <is>
          <t>Control</t>
        </is>
      </c>
      <c r="E2434" s="12" t="inlineStr">
        <is>
          <t>RH</t>
        </is>
      </c>
      <c r="F2434" s="12" t="inlineStr">
        <is>
          <t>RH: switchyard relay / control house (52 x 70 ft)</t>
        </is>
      </c>
      <c r="G2434" s="12" t="inlineStr">
        <is>
          <t>D5-CB1</t>
        </is>
      </c>
      <c r="H2434" s="12" t="inlineStr">
        <is>
          <t>D5 230 kV breaker 1 (build-out)</t>
        </is>
      </c>
      <c r="I2434" s="12" t="inlineStr">
        <is>
          <t>Control</t>
        </is>
      </c>
      <c r="J2434" s="12" t="inlineStr">
        <is>
          <t>Control cable 600 V Type TC-ER, Cu #14 AWG, PVC jacket</t>
        </is>
      </c>
      <c r="K2434" s="12" t="inlineStr">
        <is>
          <t>CT|12/C|14</t>
        </is>
      </c>
      <c r="L2434" s="12" t="inlineStr">
        <is>
          <t>12/C</t>
        </is>
      </c>
      <c r="M2434" s="12" t="inlineStr">
        <is>
          <t>14</t>
        </is>
      </c>
      <c r="N2434" s="12" t="n">
        <v>1</v>
      </c>
      <c r="O2434" s="12" t="n">
        <v>1</v>
      </c>
      <c r="P2434" s="12" t="n"/>
      <c r="Q2434" s="12" t="n"/>
      <c r="R2434" s="12" t="n"/>
      <c r="S2434" s="12" t="inlineStr">
        <is>
          <t>Trench</t>
        </is>
      </c>
      <c r="T2434" s="16" t="n">
        <v>1434</v>
      </c>
      <c r="U2434" s="16" t="n">
        <v>40</v>
      </c>
      <c r="V2434" s="16">
        <f>ROUNDUP((T2434+U2434+2*'Read Me'!$B$13)*(1+'Read Me'!$B$12),-1)</f>
        <v/>
      </c>
      <c r="W2434" s="16">
        <f>V2434*N2434*O2434</f>
        <v/>
      </c>
      <c r="X2434" s="12">
        <f>IF(LEFT(I2434,2)="MV",2*N2434*IF(L2434="1/C",O2434,1),0)</f>
        <v/>
      </c>
      <c r="Y2434" s="12">
        <f>IF(OR(LEFT(K2434,4)="LVAX",LEFT(K2434,6)="MV15AX",LEFT(K2434,4)="CTAX",LEFT(K2434,2)="W|"),2*N2434*O2434,0)</f>
        <v/>
      </c>
      <c r="Z2434" s="12" t="inlineStr"/>
      <c r="AA2434" s="12">
        <f>N2434*O2434</f>
        <v/>
      </c>
    </row>
    <row r="2435">
      <c r="A2435" s="12" t="inlineStr">
        <is>
          <t>C-C-0088</t>
        </is>
      </c>
      <c r="B2435" s="12" t="inlineStr">
        <is>
          <t>C</t>
        </is>
      </c>
      <c r="C2435" s="12" t="inlineStr">
        <is>
          <t>Grid interface</t>
        </is>
      </c>
      <c r="D2435" s="12" t="inlineStr">
        <is>
          <t>Control</t>
        </is>
      </c>
      <c r="E2435" s="12" t="inlineStr">
        <is>
          <t>RH</t>
        </is>
      </c>
      <c r="F2435" s="12" t="inlineStr">
        <is>
          <t>RH: switchyard relay / control house (52 x 70 ft)</t>
        </is>
      </c>
      <c r="G2435" s="12" t="inlineStr">
        <is>
          <t>D5-CB1</t>
        </is>
      </c>
      <c r="H2435" s="12" t="inlineStr">
        <is>
          <t>D5 230 kV breaker 1 (build-out)</t>
        </is>
      </c>
      <c r="I2435" s="12" t="inlineStr">
        <is>
          <t>Control</t>
        </is>
      </c>
      <c r="J2435" s="12" t="inlineStr">
        <is>
          <t>Control cable 600 V Type TC-ER, Cu #14 AWG, PVC jacket</t>
        </is>
      </c>
      <c r="K2435" s="12" t="inlineStr">
        <is>
          <t>CT|12/C|14</t>
        </is>
      </c>
      <c r="L2435" s="12" t="inlineStr">
        <is>
          <t>12/C</t>
        </is>
      </c>
      <c r="M2435" s="12" t="inlineStr">
        <is>
          <t>14</t>
        </is>
      </c>
      <c r="N2435" s="12" t="n">
        <v>1</v>
      </c>
      <c r="O2435" s="12" t="n">
        <v>1</v>
      </c>
      <c r="P2435" s="12" t="n"/>
      <c r="Q2435" s="12" t="n"/>
      <c r="R2435" s="12" t="n"/>
      <c r="S2435" s="12" t="inlineStr">
        <is>
          <t>Trench</t>
        </is>
      </c>
      <c r="T2435" s="16" t="n">
        <v>1434</v>
      </c>
      <c r="U2435" s="16" t="n">
        <v>40</v>
      </c>
      <c r="V2435" s="16">
        <f>ROUNDUP((T2435+U2435+2*'Read Me'!$B$13)*(1+'Read Me'!$B$12),-1)</f>
        <v/>
      </c>
      <c r="W2435" s="16">
        <f>V2435*N2435*O2435</f>
        <v/>
      </c>
      <c r="X2435" s="12">
        <f>IF(LEFT(I2435,2)="MV",2*N2435*IF(L2435="1/C",O2435,1),0)</f>
        <v/>
      </c>
      <c r="Y2435" s="12">
        <f>IF(OR(LEFT(K2435,4)="LVAX",LEFT(K2435,6)="MV15AX",LEFT(K2435,4)="CTAX",LEFT(K2435,2)="W|"),2*N2435*O2435,0)</f>
        <v/>
      </c>
      <c r="Z2435" s="12" t="inlineStr"/>
      <c r="AA2435" s="12">
        <f>N2435*O2435</f>
        <v/>
      </c>
    </row>
    <row r="2436">
      <c r="A2436" s="12" t="inlineStr">
        <is>
          <t>C-C-0089</t>
        </is>
      </c>
      <c r="B2436" s="12" t="inlineStr">
        <is>
          <t>C</t>
        </is>
      </c>
      <c r="C2436" s="12" t="inlineStr">
        <is>
          <t>Grid interface</t>
        </is>
      </c>
      <c r="D2436" s="12" t="inlineStr">
        <is>
          <t>CT / VT</t>
        </is>
      </c>
      <c r="E2436" s="12" t="inlineStr">
        <is>
          <t>RH</t>
        </is>
      </c>
      <c r="F2436" s="12" t="inlineStr">
        <is>
          <t>RH: switchyard relay / control house (52 x 70 ft)</t>
        </is>
      </c>
      <c r="G2436" s="12" t="inlineStr">
        <is>
          <t>D5-CB1</t>
        </is>
      </c>
      <c r="H2436" s="12" t="inlineStr">
        <is>
          <t>D5 230 kV breaker 1 (build-out)</t>
        </is>
      </c>
      <c r="I2436" s="12" t="inlineStr">
        <is>
          <t>Control</t>
        </is>
      </c>
      <c r="J2436" s="12" t="inlineStr">
        <is>
          <t>Control cable 600 V Type TC-ER, Cu #10 AWG (CT / VT circuits)</t>
        </is>
      </c>
      <c r="K2436" s="12" t="inlineStr">
        <is>
          <t>CTCT|4/C|10</t>
        </is>
      </c>
      <c r="L2436" s="12" t="inlineStr">
        <is>
          <t>4/C</t>
        </is>
      </c>
      <c r="M2436" s="12" t="inlineStr">
        <is>
          <t>10</t>
        </is>
      </c>
      <c r="N2436" s="12" t="n">
        <v>1</v>
      </c>
      <c r="O2436" s="12" t="n">
        <v>1</v>
      </c>
      <c r="P2436" s="12" t="n"/>
      <c r="Q2436" s="12" t="n"/>
      <c r="R2436" s="12" t="n"/>
      <c r="S2436" s="12" t="inlineStr">
        <is>
          <t>Trench</t>
        </is>
      </c>
      <c r="T2436" s="16" t="n">
        <v>1434</v>
      </c>
      <c r="U2436" s="16" t="n">
        <v>40</v>
      </c>
      <c r="V2436" s="16">
        <f>ROUNDUP((T2436+U2436+2*'Read Me'!$B$13)*(1+'Read Me'!$B$12),-1)</f>
        <v/>
      </c>
      <c r="W2436" s="16">
        <f>V2436*N2436*O2436</f>
        <v/>
      </c>
      <c r="X2436" s="12">
        <f>IF(LEFT(I2436,2)="MV",2*N2436*IF(L2436="1/C",O2436,1),0)</f>
        <v/>
      </c>
      <c r="Y2436" s="12">
        <f>IF(OR(LEFT(K2436,4)="LVAX",LEFT(K2436,6)="MV15AX",LEFT(K2436,4)="CTAX",LEFT(K2436,2)="W|"),2*N2436*O2436,0)</f>
        <v/>
      </c>
      <c r="Z2436" s="12" t="inlineStr"/>
      <c r="AA2436" s="12">
        <f>N2436*O2436</f>
        <v/>
      </c>
    </row>
    <row r="2437">
      <c r="A2437" s="12" t="inlineStr">
        <is>
          <t>C-C-0090</t>
        </is>
      </c>
      <c r="B2437" s="12" t="inlineStr">
        <is>
          <t>C</t>
        </is>
      </c>
      <c r="C2437" s="12" t="inlineStr">
        <is>
          <t>Grid interface</t>
        </is>
      </c>
      <c r="D2437" s="12" t="inlineStr">
        <is>
          <t>CT / VT</t>
        </is>
      </c>
      <c r="E2437" s="12" t="inlineStr">
        <is>
          <t>RH</t>
        </is>
      </c>
      <c r="F2437" s="12" t="inlineStr">
        <is>
          <t>RH: switchyard relay / control house (52 x 70 ft)</t>
        </is>
      </c>
      <c r="G2437" s="12" t="inlineStr">
        <is>
          <t>D5-CB1</t>
        </is>
      </c>
      <c r="H2437" s="12" t="inlineStr">
        <is>
          <t>D5 230 kV breaker 1 (build-out)</t>
        </is>
      </c>
      <c r="I2437" s="12" t="inlineStr">
        <is>
          <t>Control</t>
        </is>
      </c>
      <c r="J2437" s="12" t="inlineStr">
        <is>
          <t>Control cable 600 V Type TC-ER, Cu #10 AWG (CT / VT circuits)</t>
        </is>
      </c>
      <c r="K2437" s="12" t="inlineStr">
        <is>
          <t>CTCT|4/C|10</t>
        </is>
      </c>
      <c r="L2437" s="12" t="inlineStr">
        <is>
          <t>4/C</t>
        </is>
      </c>
      <c r="M2437" s="12" t="inlineStr">
        <is>
          <t>10</t>
        </is>
      </c>
      <c r="N2437" s="12" t="n">
        <v>1</v>
      </c>
      <c r="O2437" s="12" t="n">
        <v>1</v>
      </c>
      <c r="P2437" s="12" t="n"/>
      <c r="Q2437" s="12" t="n"/>
      <c r="R2437" s="12" t="n"/>
      <c r="S2437" s="12" t="inlineStr">
        <is>
          <t>Trench</t>
        </is>
      </c>
      <c r="T2437" s="16" t="n">
        <v>1434</v>
      </c>
      <c r="U2437" s="16" t="n">
        <v>40</v>
      </c>
      <c r="V2437" s="16">
        <f>ROUNDUP((T2437+U2437+2*'Read Me'!$B$13)*(1+'Read Me'!$B$12),-1)</f>
        <v/>
      </c>
      <c r="W2437" s="16">
        <f>V2437*N2437*O2437</f>
        <v/>
      </c>
      <c r="X2437" s="12">
        <f>IF(LEFT(I2437,2)="MV",2*N2437*IF(L2437="1/C",O2437,1),0)</f>
        <v/>
      </c>
      <c r="Y2437" s="12">
        <f>IF(OR(LEFT(K2437,4)="LVAX",LEFT(K2437,6)="MV15AX",LEFT(K2437,4)="CTAX",LEFT(K2437,2)="W|"),2*N2437*O2437,0)</f>
        <v/>
      </c>
      <c r="Z2437" s="12" t="inlineStr"/>
      <c r="AA2437" s="12">
        <f>N2437*O2437</f>
        <v/>
      </c>
    </row>
    <row r="2438">
      <c r="A2438" s="12" t="inlineStr">
        <is>
          <t>C-C-0091</t>
        </is>
      </c>
      <c r="B2438" s="12" t="inlineStr">
        <is>
          <t>C</t>
        </is>
      </c>
      <c r="C2438" s="12" t="inlineStr">
        <is>
          <t>Grid interface</t>
        </is>
      </c>
      <c r="D2438" s="12" t="inlineStr">
        <is>
          <t>CT / VT</t>
        </is>
      </c>
      <c r="E2438" s="12" t="inlineStr">
        <is>
          <t>RH</t>
        </is>
      </c>
      <c r="F2438" s="12" t="inlineStr">
        <is>
          <t>RH: switchyard relay / control house (52 x 70 ft)</t>
        </is>
      </c>
      <c r="G2438" s="12" t="inlineStr">
        <is>
          <t>D5-CB1</t>
        </is>
      </c>
      <c r="H2438" s="12" t="inlineStr">
        <is>
          <t>D5 230 kV breaker 1 (build-out)</t>
        </is>
      </c>
      <c r="I2438" s="12" t="inlineStr">
        <is>
          <t>Control</t>
        </is>
      </c>
      <c r="J2438" s="12" t="inlineStr">
        <is>
          <t>Control cable 600 V Type TC-ER, Cu #10 AWG (CT / VT circuits)</t>
        </is>
      </c>
      <c r="K2438" s="12" t="inlineStr">
        <is>
          <t>CTCT|4/C|10</t>
        </is>
      </c>
      <c r="L2438" s="12" t="inlineStr">
        <is>
          <t>4/C</t>
        </is>
      </c>
      <c r="M2438" s="12" t="inlineStr">
        <is>
          <t>10</t>
        </is>
      </c>
      <c r="N2438" s="12" t="n">
        <v>1</v>
      </c>
      <c r="O2438" s="12" t="n">
        <v>1</v>
      </c>
      <c r="P2438" s="12" t="n"/>
      <c r="Q2438" s="12" t="n"/>
      <c r="R2438" s="12" t="n"/>
      <c r="S2438" s="12" t="inlineStr">
        <is>
          <t>Trench</t>
        </is>
      </c>
      <c r="T2438" s="16" t="n">
        <v>1434</v>
      </c>
      <c r="U2438" s="16" t="n">
        <v>40</v>
      </c>
      <c r="V2438" s="16">
        <f>ROUNDUP((T2438+U2438+2*'Read Me'!$B$13)*(1+'Read Me'!$B$12),-1)</f>
        <v/>
      </c>
      <c r="W2438" s="16">
        <f>V2438*N2438*O2438</f>
        <v/>
      </c>
      <c r="X2438" s="12">
        <f>IF(LEFT(I2438,2)="MV",2*N2438*IF(L2438="1/C",O2438,1),0)</f>
        <v/>
      </c>
      <c r="Y2438" s="12">
        <f>IF(OR(LEFT(K2438,4)="LVAX",LEFT(K2438,6)="MV15AX",LEFT(K2438,4)="CTAX",LEFT(K2438,2)="W|"),2*N2438*O2438,0)</f>
        <v/>
      </c>
      <c r="Z2438" s="12" t="inlineStr"/>
      <c r="AA2438" s="12">
        <f>N2438*O2438</f>
        <v/>
      </c>
    </row>
    <row r="2439">
      <c r="A2439" s="12" t="inlineStr">
        <is>
          <t>C-C-0092</t>
        </is>
      </c>
      <c r="B2439" s="12" t="inlineStr">
        <is>
          <t>C</t>
        </is>
      </c>
      <c r="C2439" s="12" t="inlineStr">
        <is>
          <t>Grid interface</t>
        </is>
      </c>
      <c r="D2439" s="12" t="inlineStr">
        <is>
          <t>Control</t>
        </is>
      </c>
      <c r="E2439" s="12" t="inlineStr">
        <is>
          <t>RH</t>
        </is>
      </c>
      <c r="F2439" s="12" t="inlineStr">
        <is>
          <t>RH: switchyard relay / control house (52 x 70 ft)</t>
        </is>
      </c>
      <c r="G2439" s="12" t="inlineStr">
        <is>
          <t>D5-CB2</t>
        </is>
      </c>
      <c r="H2439" s="12" t="inlineStr">
        <is>
          <t>D5 230 kV breaker 2 (build-out)</t>
        </is>
      </c>
      <c r="I2439" s="12" t="inlineStr">
        <is>
          <t>Control</t>
        </is>
      </c>
      <c r="J2439" s="12" t="inlineStr">
        <is>
          <t>Control cable 600 V Type TC-ER, Cu #14 AWG, PVC jacket</t>
        </is>
      </c>
      <c r="K2439" s="12" t="inlineStr">
        <is>
          <t>CT|12/C|14</t>
        </is>
      </c>
      <c r="L2439" s="12" t="inlineStr">
        <is>
          <t>12/C</t>
        </is>
      </c>
      <c r="M2439" s="12" t="inlineStr">
        <is>
          <t>14</t>
        </is>
      </c>
      <c r="N2439" s="12" t="n">
        <v>1</v>
      </c>
      <c r="O2439" s="12" t="n">
        <v>1</v>
      </c>
      <c r="P2439" s="12" t="n"/>
      <c r="Q2439" s="12" t="n"/>
      <c r="R2439" s="12" t="n"/>
      <c r="S2439" s="12" t="inlineStr">
        <is>
          <t>Trench</t>
        </is>
      </c>
      <c r="T2439" s="16" t="n">
        <v>1434</v>
      </c>
      <c r="U2439" s="16" t="n">
        <v>52</v>
      </c>
      <c r="V2439" s="16">
        <f>ROUNDUP((T2439+U2439+2*'Read Me'!$B$13)*(1+'Read Me'!$B$12),-1)</f>
        <v/>
      </c>
      <c r="W2439" s="16">
        <f>V2439*N2439*O2439</f>
        <v/>
      </c>
      <c r="X2439" s="12">
        <f>IF(LEFT(I2439,2)="MV",2*N2439*IF(L2439="1/C",O2439,1),0)</f>
        <v/>
      </c>
      <c r="Y2439" s="12">
        <f>IF(OR(LEFT(K2439,4)="LVAX",LEFT(K2439,6)="MV15AX",LEFT(K2439,4)="CTAX",LEFT(K2439,2)="W|"),2*N2439*O2439,0)</f>
        <v/>
      </c>
      <c r="Z2439" s="12" t="inlineStr"/>
      <c r="AA2439" s="12">
        <f>N2439*O2439</f>
        <v/>
      </c>
    </row>
    <row r="2440">
      <c r="A2440" s="12" t="inlineStr">
        <is>
          <t>C-C-0093</t>
        </is>
      </c>
      <c r="B2440" s="12" t="inlineStr">
        <is>
          <t>C</t>
        </is>
      </c>
      <c r="C2440" s="12" t="inlineStr">
        <is>
          <t>Grid interface</t>
        </is>
      </c>
      <c r="D2440" s="12" t="inlineStr">
        <is>
          <t>Control</t>
        </is>
      </c>
      <c r="E2440" s="12" t="inlineStr">
        <is>
          <t>RH</t>
        </is>
      </c>
      <c r="F2440" s="12" t="inlineStr">
        <is>
          <t>RH: switchyard relay / control house (52 x 70 ft)</t>
        </is>
      </c>
      <c r="G2440" s="12" t="inlineStr">
        <is>
          <t>D5-CB2</t>
        </is>
      </c>
      <c r="H2440" s="12" t="inlineStr">
        <is>
          <t>D5 230 kV breaker 2 (build-out)</t>
        </is>
      </c>
      <c r="I2440" s="12" t="inlineStr">
        <is>
          <t>Control</t>
        </is>
      </c>
      <c r="J2440" s="12" t="inlineStr">
        <is>
          <t>Control cable 600 V Type TC-ER, Cu #14 AWG, PVC jacket</t>
        </is>
      </c>
      <c r="K2440" s="12" t="inlineStr">
        <is>
          <t>CT|12/C|14</t>
        </is>
      </c>
      <c r="L2440" s="12" t="inlineStr">
        <is>
          <t>12/C</t>
        </is>
      </c>
      <c r="M2440" s="12" t="inlineStr">
        <is>
          <t>14</t>
        </is>
      </c>
      <c r="N2440" s="12" t="n">
        <v>1</v>
      </c>
      <c r="O2440" s="12" t="n">
        <v>1</v>
      </c>
      <c r="P2440" s="12" t="n"/>
      <c r="Q2440" s="12" t="n"/>
      <c r="R2440" s="12" t="n"/>
      <c r="S2440" s="12" t="inlineStr">
        <is>
          <t>Trench</t>
        </is>
      </c>
      <c r="T2440" s="16" t="n">
        <v>1434</v>
      </c>
      <c r="U2440" s="16" t="n">
        <v>52</v>
      </c>
      <c r="V2440" s="16">
        <f>ROUNDUP((T2440+U2440+2*'Read Me'!$B$13)*(1+'Read Me'!$B$12),-1)</f>
        <v/>
      </c>
      <c r="W2440" s="16">
        <f>V2440*N2440*O2440</f>
        <v/>
      </c>
      <c r="X2440" s="12">
        <f>IF(LEFT(I2440,2)="MV",2*N2440*IF(L2440="1/C",O2440,1),0)</f>
        <v/>
      </c>
      <c r="Y2440" s="12">
        <f>IF(OR(LEFT(K2440,4)="LVAX",LEFT(K2440,6)="MV15AX",LEFT(K2440,4)="CTAX",LEFT(K2440,2)="W|"),2*N2440*O2440,0)</f>
        <v/>
      </c>
      <c r="Z2440" s="12" t="inlineStr"/>
      <c r="AA2440" s="12">
        <f>N2440*O2440</f>
        <v/>
      </c>
    </row>
    <row r="2441">
      <c r="A2441" s="12" t="inlineStr">
        <is>
          <t>C-C-0094</t>
        </is>
      </c>
      <c r="B2441" s="12" t="inlineStr">
        <is>
          <t>C</t>
        </is>
      </c>
      <c r="C2441" s="12" t="inlineStr">
        <is>
          <t>Grid interface</t>
        </is>
      </c>
      <c r="D2441" s="12" t="inlineStr">
        <is>
          <t>Control</t>
        </is>
      </c>
      <c r="E2441" s="12" t="inlineStr">
        <is>
          <t>RH</t>
        </is>
      </c>
      <c r="F2441" s="12" t="inlineStr">
        <is>
          <t>RH: switchyard relay / control house (52 x 70 ft)</t>
        </is>
      </c>
      <c r="G2441" s="12" t="inlineStr">
        <is>
          <t>D5-CB2</t>
        </is>
      </c>
      <c r="H2441" s="12" t="inlineStr">
        <is>
          <t>D5 230 kV breaker 2 (build-out)</t>
        </is>
      </c>
      <c r="I2441" s="12" t="inlineStr">
        <is>
          <t>Control</t>
        </is>
      </c>
      <c r="J2441" s="12" t="inlineStr">
        <is>
          <t>Control cable 600 V Type TC-ER, Cu #14 AWG, PVC jacket</t>
        </is>
      </c>
      <c r="K2441" s="12" t="inlineStr">
        <is>
          <t>CT|12/C|14</t>
        </is>
      </c>
      <c r="L2441" s="12" t="inlineStr">
        <is>
          <t>12/C</t>
        </is>
      </c>
      <c r="M2441" s="12" t="inlineStr">
        <is>
          <t>14</t>
        </is>
      </c>
      <c r="N2441" s="12" t="n">
        <v>1</v>
      </c>
      <c r="O2441" s="12" t="n">
        <v>1</v>
      </c>
      <c r="P2441" s="12" t="n"/>
      <c r="Q2441" s="12" t="n"/>
      <c r="R2441" s="12" t="n"/>
      <c r="S2441" s="12" t="inlineStr">
        <is>
          <t>Trench</t>
        </is>
      </c>
      <c r="T2441" s="16" t="n">
        <v>1434</v>
      </c>
      <c r="U2441" s="16" t="n">
        <v>52</v>
      </c>
      <c r="V2441" s="16">
        <f>ROUNDUP((T2441+U2441+2*'Read Me'!$B$13)*(1+'Read Me'!$B$12),-1)</f>
        <v/>
      </c>
      <c r="W2441" s="16">
        <f>V2441*N2441*O2441</f>
        <v/>
      </c>
      <c r="X2441" s="12">
        <f>IF(LEFT(I2441,2)="MV",2*N2441*IF(L2441="1/C",O2441,1),0)</f>
        <v/>
      </c>
      <c r="Y2441" s="12">
        <f>IF(OR(LEFT(K2441,4)="LVAX",LEFT(K2441,6)="MV15AX",LEFT(K2441,4)="CTAX",LEFT(K2441,2)="W|"),2*N2441*O2441,0)</f>
        <v/>
      </c>
      <c r="Z2441" s="12" t="inlineStr"/>
      <c r="AA2441" s="12">
        <f>N2441*O2441</f>
        <v/>
      </c>
    </row>
    <row r="2442">
      <c r="A2442" s="12" t="inlineStr">
        <is>
          <t>C-C-0095</t>
        </is>
      </c>
      <c r="B2442" s="12" t="inlineStr">
        <is>
          <t>C</t>
        </is>
      </c>
      <c r="C2442" s="12" t="inlineStr">
        <is>
          <t>Grid interface</t>
        </is>
      </c>
      <c r="D2442" s="12" t="inlineStr">
        <is>
          <t>Control</t>
        </is>
      </c>
      <c r="E2442" s="12" t="inlineStr">
        <is>
          <t>RH</t>
        </is>
      </c>
      <c r="F2442" s="12" t="inlineStr">
        <is>
          <t>RH: switchyard relay / control house (52 x 70 ft)</t>
        </is>
      </c>
      <c r="G2442" s="12" t="inlineStr">
        <is>
          <t>D5-CB2</t>
        </is>
      </c>
      <c r="H2442" s="12" t="inlineStr">
        <is>
          <t>D5 230 kV breaker 2 (build-out)</t>
        </is>
      </c>
      <c r="I2442" s="12" t="inlineStr">
        <is>
          <t>Control</t>
        </is>
      </c>
      <c r="J2442" s="12" t="inlineStr">
        <is>
          <t>Control cable 600 V Type TC-ER, Cu #14 AWG, PVC jacket</t>
        </is>
      </c>
      <c r="K2442" s="12" t="inlineStr">
        <is>
          <t>CT|12/C|14</t>
        </is>
      </c>
      <c r="L2442" s="12" t="inlineStr">
        <is>
          <t>12/C</t>
        </is>
      </c>
      <c r="M2442" s="12" t="inlineStr">
        <is>
          <t>14</t>
        </is>
      </c>
      <c r="N2442" s="12" t="n">
        <v>1</v>
      </c>
      <c r="O2442" s="12" t="n">
        <v>1</v>
      </c>
      <c r="P2442" s="12" t="n"/>
      <c r="Q2442" s="12" t="n"/>
      <c r="R2442" s="12" t="n"/>
      <c r="S2442" s="12" t="inlineStr">
        <is>
          <t>Trench</t>
        </is>
      </c>
      <c r="T2442" s="16" t="n">
        <v>1434</v>
      </c>
      <c r="U2442" s="16" t="n">
        <v>52</v>
      </c>
      <c r="V2442" s="16">
        <f>ROUNDUP((T2442+U2442+2*'Read Me'!$B$13)*(1+'Read Me'!$B$12),-1)</f>
        <v/>
      </c>
      <c r="W2442" s="16">
        <f>V2442*N2442*O2442</f>
        <v/>
      </c>
      <c r="X2442" s="12">
        <f>IF(LEFT(I2442,2)="MV",2*N2442*IF(L2442="1/C",O2442,1),0)</f>
        <v/>
      </c>
      <c r="Y2442" s="12">
        <f>IF(OR(LEFT(K2442,4)="LVAX",LEFT(K2442,6)="MV15AX",LEFT(K2442,4)="CTAX",LEFT(K2442,2)="W|"),2*N2442*O2442,0)</f>
        <v/>
      </c>
      <c r="Z2442" s="12" t="inlineStr"/>
      <c r="AA2442" s="12">
        <f>N2442*O2442</f>
        <v/>
      </c>
    </row>
    <row r="2443">
      <c r="A2443" s="12" t="inlineStr">
        <is>
          <t>C-C-0096</t>
        </is>
      </c>
      <c r="B2443" s="12" t="inlineStr">
        <is>
          <t>C</t>
        </is>
      </c>
      <c r="C2443" s="12" t="inlineStr">
        <is>
          <t>Grid interface</t>
        </is>
      </c>
      <c r="D2443" s="12" t="inlineStr">
        <is>
          <t>CT / VT</t>
        </is>
      </c>
      <c r="E2443" s="12" t="inlineStr">
        <is>
          <t>RH</t>
        </is>
      </c>
      <c r="F2443" s="12" t="inlineStr">
        <is>
          <t>RH: switchyard relay / control house (52 x 70 ft)</t>
        </is>
      </c>
      <c r="G2443" s="12" t="inlineStr">
        <is>
          <t>D5-CB2</t>
        </is>
      </c>
      <c r="H2443" s="12" t="inlineStr">
        <is>
          <t>D5 230 kV breaker 2 (build-out)</t>
        </is>
      </c>
      <c r="I2443" s="12" t="inlineStr">
        <is>
          <t>Control</t>
        </is>
      </c>
      <c r="J2443" s="12" t="inlineStr">
        <is>
          <t>Control cable 600 V Type TC-ER, Cu #10 AWG (CT / VT circuits)</t>
        </is>
      </c>
      <c r="K2443" s="12" t="inlineStr">
        <is>
          <t>CTCT|4/C|10</t>
        </is>
      </c>
      <c r="L2443" s="12" t="inlineStr">
        <is>
          <t>4/C</t>
        </is>
      </c>
      <c r="M2443" s="12" t="inlineStr">
        <is>
          <t>10</t>
        </is>
      </c>
      <c r="N2443" s="12" t="n">
        <v>1</v>
      </c>
      <c r="O2443" s="12" t="n">
        <v>1</v>
      </c>
      <c r="P2443" s="12" t="n"/>
      <c r="Q2443" s="12" t="n"/>
      <c r="R2443" s="12" t="n"/>
      <c r="S2443" s="12" t="inlineStr">
        <is>
          <t>Trench</t>
        </is>
      </c>
      <c r="T2443" s="16" t="n">
        <v>1434</v>
      </c>
      <c r="U2443" s="16" t="n">
        <v>52</v>
      </c>
      <c r="V2443" s="16">
        <f>ROUNDUP((T2443+U2443+2*'Read Me'!$B$13)*(1+'Read Me'!$B$12),-1)</f>
        <v/>
      </c>
      <c r="W2443" s="16">
        <f>V2443*N2443*O2443</f>
        <v/>
      </c>
      <c r="X2443" s="12">
        <f>IF(LEFT(I2443,2)="MV",2*N2443*IF(L2443="1/C",O2443,1),0)</f>
        <v/>
      </c>
      <c r="Y2443" s="12">
        <f>IF(OR(LEFT(K2443,4)="LVAX",LEFT(K2443,6)="MV15AX",LEFT(K2443,4)="CTAX",LEFT(K2443,2)="W|"),2*N2443*O2443,0)</f>
        <v/>
      </c>
      <c r="Z2443" s="12" t="inlineStr"/>
      <c r="AA2443" s="12">
        <f>N2443*O2443</f>
        <v/>
      </c>
    </row>
    <row r="2444">
      <c r="A2444" s="12" t="inlineStr">
        <is>
          <t>C-C-0097</t>
        </is>
      </c>
      <c r="B2444" s="12" t="inlineStr">
        <is>
          <t>C</t>
        </is>
      </c>
      <c r="C2444" s="12" t="inlineStr">
        <is>
          <t>Grid interface</t>
        </is>
      </c>
      <c r="D2444" s="12" t="inlineStr">
        <is>
          <t>CT / VT</t>
        </is>
      </c>
      <c r="E2444" s="12" t="inlineStr">
        <is>
          <t>RH</t>
        </is>
      </c>
      <c r="F2444" s="12" t="inlineStr">
        <is>
          <t>RH: switchyard relay / control house (52 x 70 ft)</t>
        </is>
      </c>
      <c r="G2444" s="12" t="inlineStr">
        <is>
          <t>D5-CB2</t>
        </is>
      </c>
      <c r="H2444" s="12" t="inlineStr">
        <is>
          <t>D5 230 kV breaker 2 (build-out)</t>
        </is>
      </c>
      <c r="I2444" s="12" t="inlineStr">
        <is>
          <t>Control</t>
        </is>
      </c>
      <c r="J2444" s="12" t="inlineStr">
        <is>
          <t>Control cable 600 V Type TC-ER, Cu #10 AWG (CT / VT circuits)</t>
        </is>
      </c>
      <c r="K2444" s="12" t="inlineStr">
        <is>
          <t>CTCT|4/C|10</t>
        </is>
      </c>
      <c r="L2444" s="12" t="inlineStr">
        <is>
          <t>4/C</t>
        </is>
      </c>
      <c r="M2444" s="12" t="inlineStr">
        <is>
          <t>10</t>
        </is>
      </c>
      <c r="N2444" s="12" t="n">
        <v>1</v>
      </c>
      <c r="O2444" s="12" t="n">
        <v>1</v>
      </c>
      <c r="P2444" s="12" t="n"/>
      <c r="Q2444" s="12" t="n"/>
      <c r="R2444" s="12" t="n"/>
      <c r="S2444" s="12" t="inlineStr">
        <is>
          <t>Trench</t>
        </is>
      </c>
      <c r="T2444" s="16" t="n">
        <v>1434</v>
      </c>
      <c r="U2444" s="16" t="n">
        <v>52</v>
      </c>
      <c r="V2444" s="16">
        <f>ROUNDUP((T2444+U2444+2*'Read Me'!$B$13)*(1+'Read Me'!$B$12),-1)</f>
        <v/>
      </c>
      <c r="W2444" s="16">
        <f>V2444*N2444*O2444</f>
        <v/>
      </c>
      <c r="X2444" s="12">
        <f>IF(LEFT(I2444,2)="MV",2*N2444*IF(L2444="1/C",O2444,1),0)</f>
        <v/>
      </c>
      <c r="Y2444" s="12">
        <f>IF(OR(LEFT(K2444,4)="LVAX",LEFT(K2444,6)="MV15AX",LEFT(K2444,4)="CTAX",LEFT(K2444,2)="W|"),2*N2444*O2444,0)</f>
        <v/>
      </c>
      <c r="Z2444" s="12" t="inlineStr"/>
      <c r="AA2444" s="12">
        <f>N2444*O2444</f>
        <v/>
      </c>
    </row>
    <row r="2445">
      <c r="A2445" s="12" t="inlineStr">
        <is>
          <t>C-C-0098</t>
        </is>
      </c>
      <c r="B2445" s="12" t="inlineStr">
        <is>
          <t>C</t>
        </is>
      </c>
      <c r="C2445" s="12" t="inlineStr">
        <is>
          <t>Grid interface</t>
        </is>
      </c>
      <c r="D2445" s="12" t="inlineStr">
        <is>
          <t>CT / VT</t>
        </is>
      </c>
      <c r="E2445" s="12" t="inlineStr">
        <is>
          <t>RH</t>
        </is>
      </c>
      <c r="F2445" s="12" t="inlineStr">
        <is>
          <t>RH: switchyard relay / control house (52 x 70 ft)</t>
        </is>
      </c>
      <c r="G2445" s="12" t="inlineStr">
        <is>
          <t>D5-CB2</t>
        </is>
      </c>
      <c r="H2445" s="12" t="inlineStr">
        <is>
          <t>D5 230 kV breaker 2 (build-out)</t>
        </is>
      </c>
      <c r="I2445" s="12" t="inlineStr">
        <is>
          <t>Control</t>
        </is>
      </c>
      <c r="J2445" s="12" t="inlineStr">
        <is>
          <t>Control cable 600 V Type TC-ER, Cu #10 AWG (CT / VT circuits)</t>
        </is>
      </c>
      <c r="K2445" s="12" t="inlineStr">
        <is>
          <t>CTCT|4/C|10</t>
        </is>
      </c>
      <c r="L2445" s="12" t="inlineStr">
        <is>
          <t>4/C</t>
        </is>
      </c>
      <c r="M2445" s="12" t="inlineStr">
        <is>
          <t>10</t>
        </is>
      </c>
      <c r="N2445" s="12" t="n">
        <v>1</v>
      </c>
      <c r="O2445" s="12" t="n">
        <v>1</v>
      </c>
      <c r="P2445" s="12" t="n"/>
      <c r="Q2445" s="12" t="n"/>
      <c r="R2445" s="12" t="n"/>
      <c r="S2445" s="12" t="inlineStr">
        <is>
          <t>Trench</t>
        </is>
      </c>
      <c r="T2445" s="16" t="n">
        <v>1434</v>
      </c>
      <c r="U2445" s="16" t="n">
        <v>52</v>
      </c>
      <c r="V2445" s="16">
        <f>ROUNDUP((T2445+U2445+2*'Read Me'!$B$13)*(1+'Read Me'!$B$12),-1)</f>
        <v/>
      </c>
      <c r="W2445" s="16">
        <f>V2445*N2445*O2445</f>
        <v/>
      </c>
      <c r="X2445" s="12">
        <f>IF(LEFT(I2445,2)="MV",2*N2445*IF(L2445="1/C",O2445,1),0)</f>
        <v/>
      </c>
      <c r="Y2445" s="12">
        <f>IF(OR(LEFT(K2445,4)="LVAX",LEFT(K2445,6)="MV15AX",LEFT(K2445,4)="CTAX",LEFT(K2445,2)="W|"),2*N2445*O2445,0)</f>
        <v/>
      </c>
      <c r="Z2445" s="12" t="inlineStr"/>
      <c r="AA2445" s="12">
        <f>N2445*O2445</f>
        <v/>
      </c>
    </row>
    <row r="2446">
      <c r="A2446" s="12" t="inlineStr">
        <is>
          <t>C-C-0099</t>
        </is>
      </c>
      <c r="B2446" s="12" t="inlineStr">
        <is>
          <t>C</t>
        </is>
      </c>
      <c r="C2446" s="12" t="inlineStr">
        <is>
          <t>Grid interface</t>
        </is>
      </c>
      <c r="D2446" s="12" t="inlineStr">
        <is>
          <t>Control</t>
        </is>
      </c>
      <c r="E2446" s="12" t="inlineStr">
        <is>
          <t>RH</t>
        </is>
      </c>
      <c r="F2446" s="12" t="inlineStr">
        <is>
          <t>RH: switchyard relay / control house (52 x 70 ft)</t>
        </is>
      </c>
      <c r="G2446" s="12" t="inlineStr">
        <is>
          <t>D5-CB3</t>
        </is>
      </c>
      <c r="H2446" s="12" t="inlineStr">
        <is>
          <t>D5 230 kV breaker 3 (build-out)</t>
        </is>
      </c>
      <c r="I2446" s="12" t="inlineStr">
        <is>
          <t>Control</t>
        </is>
      </c>
      <c r="J2446" s="12" t="inlineStr">
        <is>
          <t>Control cable 600 V Type TC-ER, Cu #14 AWG, PVC jacket</t>
        </is>
      </c>
      <c r="K2446" s="12" t="inlineStr">
        <is>
          <t>CT|12/C|14</t>
        </is>
      </c>
      <c r="L2446" s="12" t="inlineStr">
        <is>
          <t>12/C</t>
        </is>
      </c>
      <c r="M2446" s="12" t="inlineStr">
        <is>
          <t>14</t>
        </is>
      </c>
      <c r="N2446" s="12" t="n">
        <v>1</v>
      </c>
      <c r="O2446" s="12" t="n">
        <v>1</v>
      </c>
      <c r="P2446" s="12" t="n"/>
      <c r="Q2446" s="12" t="n"/>
      <c r="R2446" s="12" t="n"/>
      <c r="S2446" s="12" t="inlineStr">
        <is>
          <t>Trench</t>
        </is>
      </c>
      <c r="T2446" s="16" t="n">
        <v>1434</v>
      </c>
      <c r="U2446" s="16" t="n">
        <v>92</v>
      </c>
      <c r="V2446" s="16">
        <f>ROUNDUP((T2446+U2446+2*'Read Me'!$B$13)*(1+'Read Me'!$B$12),-1)</f>
        <v/>
      </c>
      <c r="W2446" s="16">
        <f>V2446*N2446*O2446</f>
        <v/>
      </c>
      <c r="X2446" s="12">
        <f>IF(LEFT(I2446,2)="MV",2*N2446*IF(L2446="1/C",O2446,1),0)</f>
        <v/>
      </c>
      <c r="Y2446" s="12">
        <f>IF(OR(LEFT(K2446,4)="LVAX",LEFT(K2446,6)="MV15AX",LEFT(K2446,4)="CTAX",LEFT(K2446,2)="W|"),2*N2446*O2446,0)</f>
        <v/>
      </c>
      <c r="Z2446" s="12" t="inlineStr"/>
      <c r="AA2446" s="12">
        <f>N2446*O2446</f>
        <v/>
      </c>
    </row>
    <row r="2447">
      <c r="A2447" s="12" t="inlineStr">
        <is>
          <t>C-C-0100</t>
        </is>
      </c>
      <c r="B2447" s="12" t="inlineStr">
        <is>
          <t>C</t>
        </is>
      </c>
      <c r="C2447" s="12" t="inlineStr">
        <is>
          <t>Grid interface</t>
        </is>
      </c>
      <c r="D2447" s="12" t="inlineStr">
        <is>
          <t>Control</t>
        </is>
      </c>
      <c r="E2447" s="12" t="inlineStr">
        <is>
          <t>RH</t>
        </is>
      </c>
      <c r="F2447" s="12" t="inlineStr">
        <is>
          <t>RH: switchyard relay / control house (52 x 70 ft)</t>
        </is>
      </c>
      <c r="G2447" s="12" t="inlineStr">
        <is>
          <t>D5-CB3</t>
        </is>
      </c>
      <c r="H2447" s="12" t="inlineStr">
        <is>
          <t>D5 230 kV breaker 3 (build-out)</t>
        </is>
      </c>
      <c r="I2447" s="12" t="inlineStr">
        <is>
          <t>Control</t>
        </is>
      </c>
      <c r="J2447" s="12" t="inlineStr">
        <is>
          <t>Control cable 600 V Type TC-ER, Cu #14 AWG, PVC jacket</t>
        </is>
      </c>
      <c r="K2447" s="12" t="inlineStr">
        <is>
          <t>CT|12/C|14</t>
        </is>
      </c>
      <c r="L2447" s="12" t="inlineStr">
        <is>
          <t>12/C</t>
        </is>
      </c>
      <c r="M2447" s="12" t="inlineStr">
        <is>
          <t>14</t>
        </is>
      </c>
      <c r="N2447" s="12" t="n">
        <v>1</v>
      </c>
      <c r="O2447" s="12" t="n">
        <v>1</v>
      </c>
      <c r="P2447" s="12" t="n"/>
      <c r="Q2447" s="12" t="n"/>
      <c r="R2447" s="12" t="n"/>
      <c r="S2447" s="12" t="inlineStr">
        <is>
          <t>Trench</t>
        </is>
      </c>
      <c r="T2447" s="16" t="n">
        <v>1434</v>
      </c>
      <c r="U2447" s="16" t="n">
        <v>92</v>
      </c>
      <c r="V2447" s="16">
        <f>ROUNDUP((T2447+U2447+2*'Read Me'!$B$13)*(1+'Read Me'!$B$12),-1)</f>
        <v/>
      </c>
      <c r="W2447" s="16">
        <f>V2447*N2447*O2447</f>
        <v/>
      </c>
      <c r="X2447" s="12">
        <f>IF(LEFT(I2447,2)="MV",2*N2447*IF(L2447="1/C",O2447,1),0)</f>
        <v/>
      </c>
      <c r="Y2447" s="12">
        <f>IF(OR(LEFT(K2447,4)="LVAX",LEFT(K2447,6)="MV15AX",LEFT(K2447,4)="CTAX",LEFT(K2447,2)="W|"),2*N2447*O2447,0)</f>
        <v/>
      </c>
      <c r="Z2447" s="12" t="inlineStr"/>
      <c r="AA2447" s="12">
        <f>N2447*O2447</f>
        <v/>
      </c>
    </row>
    <row r="2448">
      <c r="A2448" s="12" t="inlineStr">
        <is>
          <t>C-C-0101</t>
        </is>
      </c>
      <c r="B2448" s="12" t="inlineStr">
        <is>
          <t>C</t>
        </is>
      </c>
      <c r="C2448" s="12" t="inlineStr">
        <is>
          <t>Grid interface</t>
        </is>
      </c>
      <c r="D2448" s="12" t="inlineStr">
        <is>
          <t>Control</t>
        </is>
      </c>
      <c r="E2448" s="12" t="inlineStr">
        <is>
          <t>RH</t>
        </is>
      </c>
      <c r="F2448" s="12" t="inlineStr">
        <is>
          <t>RH: switchyard relay / control house (52 x 70 ft)</t>
        </is>
      </c>
      <c r="G2448" s="12" t="inlineStr">
        <is>
          <t>D5-CB3</t>
        </is>
      </c>
      <c r="H2448" s="12" t="inlineStr">
        <is>
          <t>D5 230 kV breaker 3 (build-out)</t>
        </is>
      </c>
      <c r="I2448" s="12" t="inlineStr">
        <is>
          <t>Control</t>
        </is>
      </c>
      <c r="J2448" s="12" t="inlineStr">
        <is>
          <t>Control cable 600 V Type TC-ER, Cu #14 AWG, PVC jacket</t>
        </is>
      </c>
      <c r="K2448" s="12" t="inlineStr">
        <is>
          <t>CT|12/C|14</t>
        </is>
      </c>
      <c r="L2448" s="12" t="inlineStr">
        <is>
          <t>12/C</t>
        </is>
      </c>
      <c r="M2448" s="12" t="inlineStr">
        <is>
          <t>14</t>
        </is>
      </c>
      <c r="N2448" s="12" t="n">
        <v>1</v>
      </c>
      <c r="O2448" s="12" t="n">
        <v>1</v>
      </c>
      <c r="P2448" s="12" t="n"/>
      <c r="Q2448" s="12" t="n"/>
      <c r="R2448" s="12" t="n"/>
      <c r="S2448" s="12" t="inlineStr">
        <is>
          <t>Trench</t>
        </is>
      </c>
      <c r="T2448" s="16" t="n">
        <v>1434</v>
      </c>
      <c r="U2448" s="16" t="n">
        <v>92</v>
      </c>
      <c r="V2448" s="16">
        <f>ROUNDUP((T2448+U2448+2*'Read Me'!$B$13)*(1+'Read Me'!$B$12),-1)</f>
        <v/>
      </c>
      <c r="W2448" s="16">
        <f>V2448*N2448*O2448</f>
        <v/>
      </c>
      <c r="X2448" s="12">
        <f>IF(LEFT(I2448,2)="MV",2*N2448*IF(L2448="1/C",O2448,1),0)</f>
        <v/>
      </c>
      <c r="Y2448" s="12">
        <f>IF(OR(LEFT(K2448,4)="LVAX",LEFT(K2448,6)="MV15AX",LEFT(K2448,4)="CTAX",LEFT(K2448,2)="W|"),2*N2448*O2448,0)</f>
        <v/>
      </c>
      <c r="Z2448" s="12" t="inlineStr"/>
      <c r="AA2448" s="12">
        <f>N2448*O2448</f>
        <v/>
      </c>
    </row>
    <row r="2449">
      <c r="A2449" s="12" t="inlineStr">
        <is>
          <t>C-C-0102</t>
        </is>
      </c>
      <c r="B2449" s="12" t="inlineStr">
        <is>
          <t>C</t>
        </is>
      </c>
      <c r="C2449" s="12" t="inlineStr">
        <is>
          <t>Grid interface</t>
        </is>
      </c>
      <c r="D2449" s="12" t="inlineStr">
        <is>
          <t>Control</t>
        </is>
      </c>
      <c r="E2449" s="12" t="inlineStr">
        <is>
          <t>RH</t>
        </is>
      </c>
      <c r="F2449" s="12" t="inlineStr">
        <is>
          <t>RH: switchyard relay / control house (52 x 70 ft)</t>
        </is>
      </c>
      <c r="G2449" s="12" t="inlineStr">
        <is>
          <t>D5-CB3</t>
        </is>
      </c>
      <c r="H2449" s="12" t="inlineStr">
        <is>
          <t>D5 230 kV breaker 3 (build-out)</t>
        </is>
      </c>
      <c r="I2449" s="12" t="inlineStr">
        <is>
          <t>Control</t>
        </is>
      </c>
      <c r="J2449" s="12" t="inlineStr">
        <is>
          <t>Control cable 600 V Type TC-ER, Cu #14 AWG, PVC jacket</t>
        </is>
      </c>
      <c r="K2449" s="12" t="inlineStr">
        <is>
          <t>CT|12/C|14</t>
        </is>
      </c>
      <c r="L2449" s="12" t="inlineStr">
        <is>
          <t>12/C</t>
        </is>
      </c>
      <c r="M2449" s="12" t="inlineStr">
        <is>
          <t>14</t>
        </is>
      </c>
      <c r="N2449" s="12" t="n">
        <v>1</v>
      </c>
      <c r="O2449" s="12" t="n">
        <v>1</v>
      </c>
      <c r="P2449" s="12" t="n"/>
      <c r="Q2449" s="12" t="n"/>
      <c r="R2449" s="12" t="n"/>
      <c r="S2449" s="12" t="inlineStr">
        <is>
          <t>Trench</t>
        </is>
      </c>
      <c r="T2449" s="16" t="n">
        <v>1434</v>
      </c>
      <c r="U2449" s="16" t="n">
        <v>92</v>
      </c>
      <c r="V2449" s="16">
        <f>ROUNDUP((T2449+U2449+2*'Read Me'!$B$13)*(1+'Read Me'!$B$12),-1)</f>
        <v/>
      </c>
      <c r="W2449" s="16">
        <f>V2449*N2449*O2449</f>
        <v/>
      </c>
      <c r="X2449" s="12">
        <f>IF(LEFT(I2449,2)="MV",2*N2449*IF(L2449="1/C",O2449,1),0)</f>
        <v/>
      </c>
      <c r="Y2449" s="12">
        <f>IF(OR(LEFT(K2449,4)="LVAX",LEFT(K2449,6)="MV15AX",LEFT(K2449,4)="CTAX",LEFT(K2449,2)="W|"),2*N2449*O2449,0)</f>
        <v/>
      </c>
      <c r="Z2449" s="12" t="inlineStr"/>
      <c r="AA2449" s="12">
        <f>N2449*O2449</f>
        <v/>
      </c>
    </row>
    <row r="2450">
      <c r="A2450" s="12" t="inlineStr">
        <is>
          <t>C-C-0103</t>
        </is>
      </c>
      <c r="B2450" s="12" t="inlineStr">
        <is>
          <t>C</t>
        </is>
      </c>
      <c r="C2450" s="12" t="inlineStr">
        <is>
          <t>Grid interface</t>
        </is>
      </c>
      <c r="D2450" s="12" t="inlineStr">
        <is>
          <t>CT / VT</t>
        </is>
      </c>
      <c r="E2450" s="12" t="inlineStr">
        <is>
          <t>RH</t>
        </is>
      </c>
      <c r="F2450" s="12" t="inlineStr">
        <is>
          <t>RH: switchyard relay / control house (52 x 70 ft)</t>
        </is>
      </c>
      <c r="G2450" s="12" t="inlineStr">
        <is>
          <t>D5-CB3</t>
        </is>
      </c>
      <c r="H2450" s="12" t="inlineStr">
        <is>
          <t>D5 230 kV breaker 3 (build-out)</t>
        </is>
      </c>
      <c r="I2450" s="12" t="inlineStr">
        <is>
          <t>Control</t>
        </is>
      </c>
      <c r="J2450" s="12" t="inlineStr">
        <is>
          <t>Control cable 600 V Type TC-ER, Cu #10 AWG (CT / VT circuits)</t>
        </is>
      </c>
      <c r="K2450" s="12" t="inlineStr">
        <is>
          <t>CTCT|4/C|10</t>
        </is>
      </c>
      <c r="L2450" s="12" t="inlineStr">
        <is>
          <t>4/C</t>
        </is>
      </c>
      <c r="M2450" s="12" t="inlineStr">
        <is>
          <t>10</t>
        </is>
      </c>
      <c r="N2450" s="12" t="n">
        <v>1</v>
      </c>
      <c r="O2450" s="12" t="n">
        <v>1</v>
      </c>
      <c r="P2450" s="12" t="n"/>
      <c r="Q2450" s="12" t="n"/>
      <c r="R2450" s="12" t="n"/>
      <c r="S2450" s="12" t="inlineStr">
        <is>
          <t>Trench</t>
        </is>
      </c>
      <c r="T2450" s="16" t="n">
        <v>1434</v>
      </c>
      <c r="U2450" s="16" t="n">
        <v>92</v>
      </c>
      <c r="V2450" s="16">
        <f>ROUNDUP((T2450+U2450+2*'Read Me'!$B$13)*(1+'Read Me'!$B$12),-1)</f>
        <v/>
      </c>
      <c r="W2450" s="16">
        <f>V2450*N2450*O2450</f>
        <v/>
      </c>
      <c r="X2450" s="12">
        <f>IF(LEFT(I2450,2)="MV",2*N2450*IF(L2450="1/C",O2450,1),0)</f>
        <v/>
      </c>
      <c r="Y2450" s="12">
        <f>IF(OR(LEFT(K2450,4)="LVAX",LEFT(K2450,6)="MV15AX",LEFT(K2450,4)="CTAX",LEFT(K2450,2)="W|"),2*N2450*O2450,0)</f>
        <v/>
      </c>
      <c r="Z2450" s="12" t="inlineStr"/>
      <c r="AA2450" s="12">
        <f>N2450*O2450</f>
        <v/>
      </c>
    </row>
    <row r="2451">
      <c r="A2451" s="12" t="inlineStr">
        <is>
          <t>C-C-0104</t>
        </is>
      </c>
      <c r="B2451" s="12" t="inlineStr">
        <is>
          <t>C</t>
        </is>
      </c>
      <c r="C2451" s="12" t="inlineStr">
        <is>
          <t>Grid interface</t>
        </is>
      </c>
      <c r="D2451" s="12" t="inlineStr">
        <is>
          <t>CT / VT</t>
        </is>
      </c>
      <c r="E2451" s="12" t="inlineStr">
        <is>
          <t>RH</t>
        </is>
      </c>
      <c r="F2451" s="12" t="inlineStr">
        <is>
          <t>RH: switchyard relay / control house (52 x 70 ft)</t>
        </is>
      </c>
      <c r="G2451" s="12" t="inlineStr">
        <is>
          <t>D5-CB3</t>
        </is>
      </c>
      <c r="H2451" s="12" t="inlineStr">
        <is>
          <t>D5 230 kV breaker 3 (build-out)</t>
        </is>
      </c>
      <c r="I2451" s="12" t="inlineStr">
        <is>
          <t>Control</t>
        </is>
      </c>
      <c r="J2451" s="12" t="inlineStr">
        <is>
          <t>Control cable 600 V Type TC-ER, Cu #10 AWG (CT / VT circuits)</t>
        </is>
      </c>
      <c r="K2451" s="12" t="inlineStr">
        <is>
          <t>CTCT|4/C|10</t>
        </is>
      </c>
      <c r="L2451" s="12" t="inlineStr">
        <is>
          <t>4/C</t>
        </is>
      </c>
      <c r="M2451" s="12" t="inlineStr">
        <is>
          <t>10</t>
        </is>
      </c>
      <c r="N2451" s="12" t="n">
        <v>1</v>
      </c>
      <c r="O2451" s="12" t="n">
        <v>1</v>
      </c>
      <c r="P2451" s="12" t="n"/>
      <c r="Q2451" s="12" t="n"/>
      <c r="R2451" s="12" t="n"/>
      <c r="S2451" s="12" t="inlineStr">
        <is>
          <t>Trench</t>
        </is>
      </c>
      <c r="T2451" s="16" t="n">
        <v>1434</v>
      </c>
      <c r="U2451" s="16" t="n">
        <v>92</v>
      </c>
      <c r="V2451" s="16">
        <f>ROUNDUP((T2451+U2451+2*'Read Me'!$B$13)*(1+'Read Me'!$B$12),-1)</f>
        <v/>
      </c>
      <c r="W2451" s="16">
        <f>V2451*N2451*O2451</f>
        <v/>
      </c>
      <c r="X2451" s="12">
        <f>IF(LEFT(I2451,2)="MV",2*N2451*IF(L2451="1/C",O2451,1),0)</f>
        <v/>
      </c>
      <c r="Y2451" s="12">
        <f>IF(OR(LEFT(K2451,4)="LVAX",LEFT(K2451,6)="MV15AX",LEFT(K2451,4)="CTAX",LEFT(K2451,2)="W|"),2*N2451*O2451,0)</f>
        <v/>
      </c>
      <c r="Z2451" s="12" t="inlineStr"/>
      <c r="AA2451" s="12">
        <f>N2451*O2451</f>
        <v/>
      </c>
    </row>
    <row r="2452">
      <c r="A2452" s="12" t="inlineStr">
        <is>
          <t>C-C-0105</t>
        </is>
      </c>
      <c r="B2452" s="12" t="inlineStr">
        <is>
          <t>C</t>
        </is>
      </c>
      <c r="C2452" s="12" t="inlineStr">
        <is>
          <t>Grid interface</t>
        </is>
      </c>
      <c r="D2452" s="12" t="inlineStr">
        <is>
          <t>CT / VT</t>
        </is>
      </c>
      <c r="E2452" s="12" t="inlineStr">
        <is>
          <t>RH</t>
        </is>
      </c>
      <c r="F2452" s="12" t="inlineStr">
        <is>
          <t>RH: switchyard relay / control house (52 x 70 ft)</t>
        </is>
      </c>
      <c r="G2452" s="12" t="inlineStr">
        <is>
          <t>D5-CB3</t>
        </is>
      </c>
      <c r="H2452" s="12" t="inlineStr">
        <is>
          <t>D5 230 kV breaker 3 (build-out)</t>
        </is>
      </c>
      <c r="I2452" s="12" t="inlineStr">
        <is>
          <t>Control</t>
        </is>
      </c>
      <c r="J2452" s="12" t="inlineStr">
        <is>
          <t>Control cable 600 V Type TC-ER, Cu #10 AWG (CT / VT circuits)</t>
        </is>
      </c>
      <c r="K2452" s="12" t="inlineStr">
        <is>
          <t>CTCT|4/C|10</t>
        </is>
      </c>
      <c r="L2452" s="12" t="inlineStr">
        <is>
          <t>4/C</t>
        </is>
      </c>
      <c r="M2452" s="12" t="inlineStr">
        <is>
          <t>10</t>
        </is>
      </c>
      <c r="N2452" s="12" t="n">
        <v>1</v>
      </c>
      <c r="O2452" s="12" t="n">
        <v>1</v>
      </c>
      <c r="P2452" s="12" t="n"/>
      <c r="Q2452" s="12" t="n"/>
      <c r="R2452" s="12" t="n"/>
      <c r="S2452" s="12" t="inlineStr">
        <is>
          <t>Trench</t>
        </is>
      </c>
      <c r="T2452" s="16" t="n">
        <v>1434</v>
      </c>
      <c r="U2452" s="16" t="n">
        <v>92</v>
      </c>
      <c r="V2452" s="16">
        <f>ROUNDUP((T2452+U2452+2*'Read Me'!$B$13)*(1+'Read Me'!$B$12),-1)</f>
        <v/>
      </c>
      <c r="W2452" s="16">
        <f>V2452*N2452*O2452</f>
        <v/>
      </c>
      <c r="X2452" s="12">
        <f>IF(LEFT(I2452,2)="MV",2*N2452*IF(L2452="1/C",O2452,1),0)</f>
        <v/>
      </c>
      <c r="Y2452" s="12">
        <f>IF(OR(LEFT(K2452,4)="LVAX",LEFT(K2452,6)="MV15AX",LEFT(K2452,4)="CTAX",LEFT(K2452,2)="W|"),2*N2452*O2452,0)</f>
        <v/>
      </c>
      <c r="Z2452" s="12" t="inlineStr"/>
      <c r="AA2452" s="12">
        <f>N2452*O2452</f>
        <v/>
      </c>
    </row>
    <row r="2453">
      <c r="A2453" s="12" t="inlineStr">
        <is>
          <t>C-C-0106</t>
        </is>
      </c>
      <c r="B2453" s="12" t="inlineStr">
        <is>
          <t>C</t>
        </is>
      </c>
      <c r="C2453" s="12" t="inlineStr">
        <is>
          <t>Grid interface</t>
        </is>
      </c>
      <c r="D2453" s="12" t="inlineStr">
        <is>
          <t>Control</t>
        </is>
      </c>
      <c r="E2453" s="12" t="inlineStr">
        <is>
          <t>RH</t>
        </is>
      </c>
      <c r="F2453" s="12" t="inlineStr">
        <is>
          <t>RH: switchyard relay / control house (52 x 70 ft)</t>
        </is>
      </c>
      <c r="G2453" s="12" t="inlineStr">
        <is>
          <t>D6-CB1</t>
        </is>
      </c>
      <c r="H2453" s="12" t="inlineStr">
        <is>
          <t>D6 230 kV breaker 1 (build-out)</t>
        </is>
      </c>
      <c r="I2453" s="12" t="inlineStr">
        <is>
          <t>Control</t>
        </is>
      </c>
      <c r="J2453" s="12" t="inlineStr">
        <is>
          <t>Control cable 600 V Type TC-ER, Cu #14 AWG, PVC jacket</t>
        </is>
      </c>
      <c r="K2453" s="12" t="inlineStr">
        <is>
          <t>CT|12/C|14</t>
        </is>
      </c>
      <c r="L2453" s="12" t="inlineStr">
        <is>
          <t>12/C</t>
        </is>
      </c>
      <c r="M2453" s="12" t="inlineStr">
        <is>
          <t>14</t>
        </is>
      </c>
      <c r="N2453" s="12" t="n">
        <v>1</v>
      </c>
      <c r="O2453" s="12" t="n">
        <v>1</v>
      </c>
      <c r="P2453" s="12" t="n"/>
      <c r="Q2453" s="12" t="n"/>
      <c r="R2453" s="12" t="n"/>
      <c r="S2453" s="12" t="inlineStr">
        <is>
          <t>Trench</t>
        </is>
      </c>
      <c r="T2453" s="16" t="n">
        <v>1584</v>
      </c>
      <c r="U2453" s="16" t="n">
        <v>40</v>
      </c>
      <c r="V2453" s="16">
        <f>ROUNDUP((T2453+U2453+2*'Read Me'!$B$13)*(1+'Read Me'!$B$12),-1)</f>
        <v/>
      </c>
      <c r="W2453" s="16">
        <f>V2453*N2453*O2453</f>
        <v/>
      </c>
      <c r="X2453" s="12">
        <f>IF(LEFT(I2453,2)="MV",2*N2453*IF(L2453="1/C",O2453,1),0)</f>
        <v/>
      </c>
      <c r="Y2453" s="12">
        <f>IF(OR(LEFT(K2453,4)="LVAX",LEFT(K2453,6)="MV15AX",LEFT(K2453,4)="CTAX",LEFT(K2453,2)="W|"),2*N2453*O2453,0)</f>
        <v/>
      </c>
      <c r="Z2453" s="12" t="inlineStr"/>
      <c r="AA2453" s="12">
        <f>N2453*O2453</f>
        <v/>
      </c>
    </row>
    <row r="2454">
      <c r="A2454" s="12" t="inlineStr">
        <is>
          <t>C-C-0107</t>
        </is>
      </c>
      <c r="B2454" s="12" t="inlineStr">
        <is>
          <t>C</t>
        </is>
      </c>
      <c r="C2454" s="12" t="inlineStr">
        <is>
          <t>Grid interface</t>
        </is>
      </c>
      <c r="D2454" s="12" t="inlineStr">
        <is>
          <t>Control</t>
        </is>
      </c>
      <c r="E2454" s="12" t="inlineStr">
        <is>
          <t>RH</t>
        </is>
      </c>
      <c r="F2454" s="12" t="inlineStr">
        <is>
          <t>RH: switchyard relay / control house (52 x 70 ft)</t>
        </is>
      </c>
      <c r="G2454" s="12" t="inlineStr">
        <is>
          <t>D6-CB1</t>
        </is>
      </c>
      <c r="H2454" s="12" t="inlineStr">
        <is>
          <t>D6 230 kV breaker 1 (build-out)</t>
        </is>
      </c>
      <c r="I2454" s="12" t="inlineStr">
        <is>
          <t>Control</t>
        </is>
      </c>
      <c r="J2454" s="12" t="inlineStr">
        <is>
          <t>Control cable 600 V Type TC-ER, Cu #14 AWG, PVC jacket</t>
        </is>
      </c>
      <c r="K2454" s="12" t="inlineStr">
        <is>
          <t>CT|12/C|14</t>
        </is>
      </c>
      <c r="L2454" s="12" t="inlineStr">
        <is>
          <t>12/C</t>
        </is>
      </c>
      <c r="M2454" s="12" t="inlineStr">
        <is>
          <t>14</t>
        </is>
      </c>
      <c r="N2454" s="12" t="n">
        <v>1</v>
      </c>
      <c r="O2454" s="12" t="n">
        <v>1</v>
      </c>
      <c r="P2454" s="12" t="n"/>
      <c r="Q2454" s="12" t="n"/>
      <c r="R2454" s="12" t="n"/>
      <c r="S2454" s="12" t="inlineStr">
        <is>
          <t>Trench</t>
        </is>
      </c>
      <c r="T2454" s="16" t="n">
        <v>1584</v>
      </c>
      <c r="U2454" s="16" t="n">
        <v>40</v>
      </c>
      <c r="V2454" s="16">
        <f>ROUNDUP((T2454+U2454+2*'Read Me'!$B$13)*(1+'Read Me'!$B$12),-1)</f>
        <v/>
      </c>
      <c r="W2454" s="16">
        <f>V2454*N2454*O2454</f>
        <v/>
      </c>
      <c r="X2454" s="12">
        <f>IF(LEFT(I2454,2)="MV",2*N2454*IF(L2454="1/C",O2454,1),0)</f>
        <v/>
      </c>
      <c r="Y2454" s="12">
        <f>IF(OR(LEFT(K2454,4)="LVAX",LEFT(K2454,6)="MV15AX",LEFT(K2454,4)="CTAX",LEFT(K2454,2)="W|"),2*N2454*O2454,0)</f>
        <v/>
      </c>
      <c r="Z2454" s="12" t="inlineStr"/>
      <c r="AA2454" s="12">
        <f>N2454*O2454</f>
        <v/>
      </c>
    </row>
    <row r="2455">
      <c r="A2455" s="12" t="inlineStr">
        <is>
          <t>C-C-0108</t>
        </is>
      </c>
      <c r="B2455" s="12" t="inlineStr">
        <is>
          <t>C</t>
        </is>
      </c>
      <c r="C2455" s="12" t="inlineStr">
        <is>
          <t>Grid interface</t>
        </is>
      </c>
      <c r="D2455" s="12" t="inlineStr">
        <is>
          <t>Control</t>
        </is>
      </c>
      <c r="E2455" s="12" t="inlineStr">
        <is>
          <t>RH</t>
        </is>
      </c>
      <c r="F2455" s="12" t="inlineStr">
        <is>
          <t>RH: switchyard relay / control house (52 x 70 ft)</t>
        </is>
      </c>
      <c r="G2455" s="12" t="inlineStr">
        <is>
          <t>D6-CB1</t>
        </is>
      </c>
      <c r="H2455" s="12" t="inlineStr">
        <is>
          <t>D6 230 kV breaker 1 (build-out)</t>
        </is>
      </c>
      <c r="I2455" s="12" t="inlineStr">
        <is>
          <t>Control</t>
        </is>
      </c>
      <c r="J2455" s="12" t="inlineStr">
        <is>
          <t>Control cable 600 V Type TC-ER, Cu #14 AWG, PVC jacket</t>
        </is>
      </c>
      <c r="K2455" s="12" t="inlineStr">
        <is>
          <t>CT|12/C|14</t>
        </is>
      </c>
      <c r="L2455" s="12" t="inlineStr">
        <is>
          <t>12/C</t>
        </is>
      </c>
      <c r="M2455" s="12" t="inlineStr">
        <is>
          <t>14</t>
        </is>
      </c>
      <c r="N2455" s="12" t="n">
        <v>1</v>
      </c>
      <c r="O2455" s="12" t="n">
        <v>1</v>
      </c>
      <c r="P2455" s="12" t="n"/>
      <c r="Q2455" s="12" t="n"/>
      <c r="R2455" s="12" t="n"/>
      <c r="S2455" s="12" t="inlineStr">
        <is>
          <t>Trench</t>
        </is>
      </c>
      <c r="T2455" s="16" t="n">
        <v>1584</v>
      </c>
      <c r="U2455" s="16" t="n">
        <v>40</v>
      </c>
      <c r="V2455" s="16">
        <f>ROUNDUP((T2455+U2455+2*'Read Me'!$B$13)*(1+'Read Me'!$B$12),-1)</f>
        <v/>
      </c>
      <c r="W2455" s="16">
        <f>V2455*N2455*O2455</f>
        <v/>
      </c>
      <c r="X2455" s="12">
        <f>IF(LEFT(I2455,2)="MV",2*N2455*IF(L2455="1/C",O2455,1),0)</f>
        <v/>
      </c>
      <c r="Y2455" s="12">
        <f>IF(OR(LEFT(K2455,4)="LVAX",LEFT(K2455,6)="MV15AX",LEFT(K2455,4)="CTAX",LEFT(K2455,2)="W|"),2*N2455*O2455,0)</f>
        <v/>
      </c>
      <c r="Z2455" s="12" t="inlineStr"/>
      <c r="AA2455" s="12">
        <f>N2455*O2455</f>
        <v/>
      </c>
    </row>
    <row r="2456">
      <c r="A2456" s="12" t="inlineStr">
        <is>
          <t>C-C-0109</t>
        </is>
      </c>
      <c r="B2456" s="12" t="inlineStr">
        <is>
          <t>C</t>
        </is>
      </c>
      <c r="C2456" s="12" t="inlineStr">
        <is>
          <t>Grid interface</t>
        </is>
      </c>
      <c r="D2456" s="12" t="inlineStr">
        <is>
          <t>Control</t>
        </is>
      </c>
      <c r="E2456" s="12" t="inlineStr">
        <is>
          <t>RH</t>
        </is>
      </c>
      <c r="F2456" s="12" t="inlineStr">
        <is>
          <t>RH: switchyard relay / control house (52 x 70 ft)</t>
        </is>
      </c>
      <c r="G2456" s="12" t="inlineStr">
        <is>
          <t>D6-CB1</t>
        </is>
      </c>
      <c r="H2456" s="12" t="inlineStr">
        <is>
          <t>D6 230 kV breaker 1 (build-out)</t>
        </is>
      </c>
      <c r="I2456" s="12" t="inlineStr">
        <is>
          <t>Control</t>
        </is>
      </c>
      <c r="J2456" s="12" t="inlineStr">
        <is>
          <t>Control cable 600 V Type TC-ER, Cu #14 AWG, PVC jacket</t>
        </is>
      </c>
      <c r="K2456" s="12" t="inlineStr">
        <is>
          <t>CT|12/C|14</t>
        </is>
      </c>
      <c r="L2456" s="12" t="inlineStr">
        <is>
          <t>12/C</t>
        </is>
      </c>
      <c r="M2456" s="12" t="inlineStr">
        <is>
          <t>14</t>
        </is>
      </c>
      <c r="N2456" s="12" t="n">
        <v>1</v>
      </c>
      <c r="O2456" s="12" t="n">
        <v>1</v>
      </c>
      <c r="P2456" s="12" t="n"/>
      <c r="Q2456" s="12" t="n"/>
      <c r="R2456" s="12" t="n"/>
      <c r="S2456" s="12" t="inlineStr">
        <is>
          <t>Trench</t>
        </is>
      </c>
      <c r="T2456" s="16" t="n">
        <v>1584</v>
      </c>
      <c r="U2456" s="16" t="n">
        <v>40</v>
      </c>
      <c r="V2456" s="16">
        <f>ROUNDUP((T2456+U2456+2*'Read Me'!$B$13)*(1+'Read Me'!$B$12),-1)</f>
        <v/>
      </c>
      <c r="W2456" s="16">
        <f>V2456*N2456*O2456</f>
        <v/>
      </c>
      <c r="X2456" s="12">
        <f>IF(LEFT(I2456,2)="MV",2*N2456*IF(L2456="1/C",O2456,1),0)</f>
        <v/>
      </c>
      <c r="Y2456" s="12">
        <f>IF(OR(LEFT(K2456,4)="LVAX",LEFT(K2456,6)="MV15AX",LEFT(K2456,4)="CTAX",LEFT(K2456,2)="W|"),2*N2456*O2456,0)</f>
        <v/>
      </c>
      <c r="Z2456" s="12" t="inlineStr"/>
      <c r="AA2456" s="12">
        <f>N2456*O2456</f>
        <v/>
      </c>
    </row>
    <row r="2457">
      <c r="A2457" s="12" t="inlineStr">
        <is>
          <t>C-C-0110</t>
        </is>
      </c>
      <c r="B2457" s="12" t="inlineStr">
        <is>
          <t>C</t>
        </is>
      </c>
      <c r="C2457" s="12" t="inlineStr">
        <is>
          <t>Grid interface</t>
        </is>
      </c>
      <c r="D2457" s="12" t="inlineStr">
        <is>
          <t>CT / VT</t>
        </is>
      </c>
      <c r="E2457" s="12" t="inlineStr">
        <is>
          <t>RH</t>
        </is>
      </c>
      <c r="F2457" s="12" t="inlineStr">
        <is>
          <t>RH: switchyard relay / control house (52 x 70 ft)</t>
        </is>
      </c>
      <c r="G2457" s="12" t="inlineStr">
        <is>
          <t>D6-CB1</t>
        </is>
      </c>
      <c r="H2457" s="12" t="inlineStr">
        <is>
          <t>D6 230 kV breaker 1 (build-out)</t>
        </is>
      </c>
      <c r="I2457" s="12" t="inlineStr">
        <is>
          <t>Control</t>
        </is>
      </c>
      <c r="J2457" s="12" t="inlineStr">
        <is>
          <t>Control cable 600 V Type TC-ER, Cu #10 AWG (CT / VT circuits)</t>
        </is>
      </c>
      <c r="K2457" s="12" t="inlineStr">
        <is>
          <t>CTCT|4/C|10</t>
        </is>
      </c>
      <c r="L2457" s="12" t="inlineStr">
        <is>
          <t>4/C</t>
        </is>
      </c>
      <c r="M2457" s="12" t="inlineStr">
        <is>
          <t>10</t>
        </is>
      </c>
      <c r="N2457" s="12" t="n">
        <v>1</v>
      </c>
      <c r="O2457" s="12" t="n">
        <v>1</v>
      </c>
      <c r="P2457" s="12" t="n"/>
      <c r="Q2457" s="12" t="n"/>
      <c r="R2457" s="12" t="n"/>
      <c r="S2457" s="12" t="inlineStr">
        <is>
          <t>Trench</t>
        </is>
      </c>
      <c r="T2457" s="16" t="n">
        <v>1584</v>
      </c>
      <c r="U2457" s="16" t="n">
        <v>40</v>
      </c>
      <c r="V2457" s="16">
        <f>ROUNDUP((T2457+U2457+2*'Read Me'!$B$13)*(1+'Read Me'!$B$12),-1)</f>
        <v/>
      </c>
      <c r="W2457" s="16">
        <f>V2457*N2457*O2457</f>
        <v/>
      </c>
      <c r="X2457" s="12">
        <f>IF(LEFT(I2457,2)="MV",2*N2457*IF(L2457="1/C",O2457,1),0)</f>
        <v/>
      </c>
      <c r="Y2457" s="12">
        <f>IF(OR(LEFT(K2457,4)="LVAX",LEFT(K2457,6)="MV15AX",LEFT(K2457,4)="CTAX",LEFT(K2457,2)="W|"),2*N2457*O2457,0)</f>
        <v/>
      </c>
      <c r="Z2457" s="12" t="inlineStr"/>
      <c r="AA2457" s="12">
        <f>N2457*O2457</f>
        <v/>
      </c>
    </row>
    <row r="2458">
      <c r="A2458" s="12" t="inlineStr">
        <is>
          <t>C-C-0111</t>
        </is>
      </c>
      <c r="B2458" s="12" t="inlineStr">
        <is>
          <t>C</t>
        </is>
      </c>
      <c r="C2458" s="12" t="inlineStr">
        <is>
          <t>Grid interface</t>
        </is>
      </c>
      <c r="D2458" s="12" t="inlineStr">
        <is>
          <t>CT / VT</t>
        </is>
      </c>
      <c r="E2458" s="12" t="inlineStr">
        <is>
          <t>RH</t>
        </is>
      </c>
      <c r="F2458" s="12" t="inlineStr">
        <is>
          <t>RH: switchyard relay / control house (52 x 70 ft)</t>
        </is>
      </c>
      <c r="G2458" s="12" t="inlineStr">
        <is>
          <t>D6-CB1</t>
        </is>
      </c>
      <c r="H2458" s="12" t="inlineStr">
        <is>
          <t>D6 230 kV breaker 1 (build-out)</t>
        </is>
      </c>
      <c r="I2458" s="12" t="inlineStr">
        <is>
          <t>Control</t>
        </is>
      </c>
      <c r="J2458" s="12" t="inlineStr">
        <is>
          <t>Control cable 600 V Type TC-ER, Cu #10 AWG (CT / VT circuits)</t>
        </is>
      </c>
      <c r="K2458" s="12" t="inlineStr">
        <is>
          <t>CTCT|4/C|10</t>
        </is>
      </c>
      <c r="L2458" s="12" t="inlineStr">
        <is>
          <t>4/C</t>
        </is>
      </c>
      <c r="M2458" s="12" t="inlineStr">
        <is>
          <t>10</t>
        </is>
      </c>
      <c r="N2458" s="12" t="n">
        <v>1</v>
      </c>
      <c r="O2458" s="12" t="n">
        <v>1</v>
      </c>
      <c r="P2458" s="12" t="n"/>
      <c r="Q2458" s="12" t="n"/>
      <c r="R2458" s="12" t="n"/>
      <c r="S2458" s="12" t="inlineStr">
        <is>
          <t>Trench</t>
        </is>
      </c>
      <c r="T2458" s="16" t="n">
        <v>1584</v>
      </c>
      <c r="U2458" s="16" t="n">
        <v>40</v>
      </c>
      <c r="V2458" s="16">
        <f>ROUNDUP((T2458+U2458+2*'Read Me'!$B$13)*(1+'Read Me'!$B$12),-1)</f>
        <v/>
      </c>
      <c r="W2458" s="16">
        <f>V2458*N2458*O2458</f>
        <v/>
      </c>
      <c r="X2458" s="12">
        <f>IF(LEFT(I2458,2)="MV",2*N2458*IF(L2458="1/C",O2458,1),0)</f>
        <v/>
      </c>
      <c r="Y2458" s="12">
        <f>IF(OR(LEFT(K2458,4)="LVAX",LEFT(K2458,6)="MV15AX",LEFT(K2458,4)="CTAX",LEFT(K2458,2)="W|"),2*N2458*O2458,0)</f>
        <v/>
      </c>
      <c r="Z2458" s="12" t="inlineStr"/>
      <c r="AA2458" s="12">
        <f>N2458*O2458</f>
        <v/>
      </c>
    </row>
    <row r="2459">
      <c r="A2459" s="12" t="inlineStr">
        <is>
          <t>C-C-0112</t>
        </is>
      </c>
      <c r="B2459" s="12" t="inlineStr">
        <is>
          <t>C</t>
        </is>
      </c>
      <c r="C2459" s="12" t="inlineStr">
        <is>
          <t>Grid interface</t>
        </is>
      </c>
      <c r="D2459" s="12" t="inlineStr">
        <is>
          <t>CT / VT</t>
        </is>
      </c>
      <c r="E2459" s="12" t="inlineStr">
        <is>
          <t>RH</t>
        </is>
      </c>
      <c r="F2459" s="12" t="inlineStr">
        <is>
          <t>RH: switchyard relay / control house (52 x 70 ft)</t>
        </is>
      </c>
      <c r="G2459" s="12" t="inlineStr">
        <is>
          <t>D6-CB1</t>
        </is>
      </c>
      <c r="H2459" s="12" t="inlineStr">
        <is>
          <t>D6 230 kV breaker 1 (build-out)</t>
        </is>
      </c>
      <c r="I2459" s="12" t="inlineStr">
        <is>
          <t>Control</t>
        </is>
      </c>
      <c r="J2459" s="12" t="inlineStr">
        <is>
          <t>Control cable 600 V Type TC-ER, Cu #10 AWG (CT / VT circuits)</t>
        </is>
      </c>
      <c r="K2459" s="12" t="inlineStr">
        <is>
          <t>CTCT|4/C|10</t>
        </is>
      </c>
      <c r="L2459" s="12" t="inlineStr">
        <is>
          <t>4/C</t>
        </is>
      </c>
      <c r="M2459" s="12" t="inlineStr">
        <is>
          <t>10</t>
        </is>
      </c>
      <c r="N2459" s="12" t="n">
        <v>1</v>
      </c>
      <c r="O2459" s="12" t="n">
        <v>1</v>
      </c>
      <c r="P2459" s="12" t="n"/>
      <c r="Q2459" s="12" t="n"/>
      <c r="R2459" s="12" t="n"/>
      <c r="S2459" s="12" t="inlineStr">
        <is>
          <t>Trench</t>
        </is>
      </c>
      <c r="T2459" s="16" t="n">
        <v>1584</v>
      </c>
      <c r="U2459" s="16" t="n">
        <v>40</v>
      </c>
      <c r="V2459" s="16">
        <f>ROUNDUP((T2459+U2459+2*'Read Me'!$B$13)*(1+'Read Me'!$B$12),-1)</f>
        <v/>
      </c>
      <c r="W2459" s="16">
        <f>V2459*N2459*O2459</f>
        <v/>
      </c>
      <c r="X2459" s="12">
        <f>IF(LEFT(I2459,2)="MV",2*N2459*IF(L2459="1/C",O2459,1),0)</f>
        <v/>
      </c>
      <c r="Y2459" s="12">
        <f>IF(OR(LEFT(K2459,4)="LVAX",LEFT(K2459,6)="MV15AX",LEFT(K2459,4)="CTAX",LEFT(K2459,2)="W|"),2*N2459*O2459,0)</f>
        <v/>
      </c>
      <c r="Z2459" s="12" t="inlineStr"/>
      <c r="AA2459" s="12">
        <f>N2459*O2459</f>
        <v/>
      </c>
    </row>
    <row r="2460">
      <c r="A2460" s="12" t="inlineStr">
        <is>
          <t>C-C-0113</t>
        </is>
      </c>
      <c r="B2460" s="12" t="inlineStr">
        <is>
          <t>C</t>
        </is>
      </c>
      <c r="C2460" s="12" t="inlineStr">
        <is>
          <t>Grid interface</t>
        </is>
      </c>
      <c r="D2460" s="12" t="inlineStr">
        <is>
          <t>Control</t>
        </is>
      </c>
      <c r="E2460" s="12" t="inlineStr">
        <is>
          <t>RH</t>
        </is>
      </c>
      <c r="F2460" s="12" t="inlineStr">
        <is>
          <t>RH: switchyard relay / control house (52 x 70 ft)</t>
        </is>
      </c>
      <c r="G2460" s="12" t="inlineStr">
        <is>
          <t>D6-CB2</t>
        </is>
      </c>
      <c r="H2460" s="12" t="inlineStr">
        <is>
          <t>D6 230 kV breaker 2 (build-out)</t>
        </is>
      </c>
      <c r="I2460" s="12" t="inlineStr">
        <is>
          <t>Control</t>
        </is>
      </c>
      <c r="J2460" s="12" t="inlineStr">
        <is>
          <t>Control cable 600 V Type TC-ER, Cu #14 AWG, PVC jacket</t>
        </is>
      </c>
      <c r="K2460" s="12" t="inlineStr">
        <is>
          <t>CT|12/C|14</t>
        </is>
      </c>
      <c r="L2460" s="12" t="inlineStr">
        <is>
          <t>12/C</t>
        </is>
      </c>
      <c r="M2460" s="12" t="inlineStr">
        <is>
          <t>14</t>
        </is>
      </c>
      <c r="N2460" s="12" t="n">
        <v>1</v>
      </c>
      <c r="O2460" s="12" t="n">
        <v>1</v>
      </c>
      <c r="P2460" s="12" t="n"/>
      <c r="Q2460" s="12" t="n"/>
      <c r="R2460" s="12" t="n"/>
      <c r="S2460" s="12" t="inlineStr">
        <is>
          <t>Trench</t>
        </is>
      </c>
      <c r="T2460" s="16" t="n">
        <v>1584</v>
      </c>
      <c r="U2460" s="16" t="n">
        <v>52</v>
      </c>
      <c r="V2460" s="16">
        <f>ROUNDUP((T2460+U2460+2*'Read Me'!$B$13)*(1+'Read Me'!$B$12),-1)</f>
        <v/>
      </c>
      <c r="W2460" s="16">
        <f>V2460*N2460*O2460</f>
        <v/>
      </c>
      <c r="X2460" s="12">
        <f>IF(LEFT(I2460,2)="MV",2*N2460*IF(L2460="1/C",O2460,1),0)</f>
        <v/>
      </c>
      <c r="Y2460" s="12">
        <f>IF(OR(LEFT(K2460,4)="LVAX",LEFT(K2460,6)="MV15AX",LEFT(K2460,4)="CTAX",LEFT(K2460,2)="W|"),2*N2460*O2460,0)</f>
        <v/>
      </c>
      <c r="Z2460" s="12" t="inlineStr"/>
      <c r="AA2460" s="12">
        <f>N2460*O2460</f>
        <v/>
      </c>
    </row>
    <row r="2461">
      <c r="A2461" s="12" t="inlineStr">
        <is>
          <t>C-C-0114</t>
        </is>
      </c>
      <c r="B2461" s="12" t="inlineStr">
        <is>
          <t>C</t>
        </is>
      </c>
      <c r="C2461" s="12" t="inlineStr">
        <is>
          <t>Grid interface</t>
        </is>
      </c>
      <c r="D2461" s="12" t="inlineStr">
        <is>
          <t>Control</t>
        </is>
      </c>
      <c r="E2461" s="12" t="inlineStr">
        <is>
          <t>RH</t>
        </is>
      </c>
      <c r="F2461" s="12" t="inlineStr">
        <is>
          <t>RH: switchyard relay / control house (52 x 70 ft)</t>
        </is>
      </c>
      <c r="G2461" s="12" t="inlineStr">
        <is>
          <t>D6-CB2</t>
        </is>
      </c>
      <c r="H2461" s="12" t="inlineStr">
        <is>
          <t>D6 230 kV breaker 2 (build-out)</t>
        </is>
      </c>
      <c r="I2461" s="12" t="inlineStr">
        <is>
          <t>Control</t>
        </is>
      </c>
      <c r="J2461" s="12" t="inlineStr">
        <is>
          <t>Control cable 600 V Type TC-ER, Cu #14 AWG, PVC jacket</t>
        </is>
      </c>
      <c r="K2461" s="12" t="inlineStr">
        <is>
          <t>CT|12/C|14</t>
        </is>
      </c>
      <c r="L2461" s="12" t="inlineStr">
        <is>
          <t>12/C</t>
        </is>
      </c>
      <c r="M2461" s="12" t="inlineStr">
        <is>
          <t>14</t>
        </is>
      </c>
      <c r="N2461" s="12" t="n">
        <v>1</v>
      </c>
      <c r="O2461" s="12" t="n">
        <v>1</v>
      </c>
      <c r="P2461" s="12" t="n"/>
      <c r="Q2461" s="12" t="n"/>
      <c r="R2461" s="12" t="n"/>
      <c r="S2461" s="12" t="inlineStr">
        <is>
          <t>Trench</t>
        </is>
      </c>
      <c r="T2461" s="16" t="n">
        <v>1584</v>
      </c>
      <c r="U2461" s="16" t="n">
        <v>52</v>
      </c>
      <c r="V2461" s="16">
        <f>ROUNDUP((T2461+U2461+2*'Read Me'!$B$13)*(1+'Read Me'!$B$12),-1)</f>
        <v/>
      </c>
      <c r="W2461" s="16">
        <f>V2461*N2461*O2461</f>
        <v/>
      </c>
      <c r="X2461" s="12">
        <f>IF(LEFT(I2461,2)="MV",2*N2461*IF(L2461="1/C",O2461,1),0)</f>
        <v/>
      </c>
      <c r="Y2461" s="12">
        <f>IF(OR(LEFT(K2461,4)="LVAX",LEFT(K2461,6)="MV15AX",LEFT(K2461,4)="CTAX",LEFT(K2461,2)="W|"),2*N2461*O2461,0)</f>
        <v/>
      </c>
      <c r="Z2461" s="12" t="inlineStr"/>
      <c r="AA2461" s="12">
        <f>N2461*O2461</f>
        <v/>
      </c>
    </row>
    <row r="2462">
      <c r="A2462" s="12" t="inlineStr">
        <is>
          <t>C-C-0115</t>
        </is>
      </c>
      <c r="B2462" s="12" t="inlineStr">
        <is>
          <t>C</t>
        </is>
      </c>
      <c r="C2462" s="12" t="inlineStr">
        <is>
          <t>Grid interface</t>
        </is>
      </c>
      <c r="D2462" s="12" t="inlineStr">
        <is>
          <t>Control</t>
        </is>
      </c>
      <c r="E2462" s="12" t="inlineStr">
        <is>
          <t>RH</t>
        </is>
      </c>
      <c r="F2462" s="12" t="inlineStr">
        <is>
          <t>RH: switchyard relay / control house (52 x 70 ft)</t>
        </is>
      </c>
      <c r="G2462" s="12" t="inlineStr">
        <is>
          <t>D6-CB2</t>
        </is>
      </c>
      <c r="H2462" s="12" t="inlineStr">
        <is>
          <t>D6 230 kV breaker 2 (build-out)</t>
        </is>
      </c>
      <c r="I2462" s="12" t="inlineStr">
        <is>
          <t>Control</t>
        </is>
      </c>
      <c r="J2462" s="12" t="inlineStr">
        <is>
          <t>Control cable 600 V Type TC-ER, Cu #14 AWG, PVC jacket</t>
        </is>
      </c>
      <c r="K2462" s="12" t="inlineStr">
        <is>
          <t>CT|12/C|14</t>
        </is>
      </c>
      <c r="L2462" s="12" t="inlineStr">
        <is>
          <t>12/C</t>
        </is>
      </c>
      <c r="M2462" s="12" t="inlineStr">
        <is>
          <t>14</t>
        </is>
      </c>
      <c r="N2462" s="12" t="n">
        <v>1</v>
      </c>
      <c r="O2462" s="12" t="n">
        <v>1</v>
      </c>
      <c r="P2462" s="12" t="n"/>
      <c r="Q2462" s="12" t="n"/>
      <c r="R2462" s="12" t="n"/>
      <c r="S2462" s="12" t="inlineStr">
        <is>
          <t>Trench</t>
        </is>
      </c>
      <c r="T2462" s="16" t="n">
        <v>1584</v>
      </c>
      <c r="U2462" s="16" t="n">
        <v>52</v>
      </c>
      <c r="V2462" s="16">
        <f>ROUNDUP((T2462+U2462+2*'Read Me'!$B$13)*(1+'Read Me'!$B$12),-1)</f>
        <v/>
      </c>
      <c r="W2462" s="16">
        <f>V2462*N2462*O2462</f>
        <v/>
      </c>
      <c r="X2462" s="12">
        <f>IF(LEFT(I2462,2)="MV",2*N2462*IF(L2462="1/C",O2462,1),0)</f>
        <v/>
      </c>
      <c r="Y2462" s="12">
        <f>IF(OR(LEFT(K2462,4)="LVAX",LEFT(K2462,6)="MV15AX",LEFT(K2462,4)="CTAX",LEFT(K2462,2)="W|"),2*N2462*O2462,0)</f>
        <v/>
      </c>
      <c r="Z2462" s="12" t="inlineStr"/>
      <c r="AA2462" s="12">
        <f>N2462*O2462</f>
        <v/>
      </c>
    </row>
    <row r="2463">
      <c r="A2463" s="12" t="inlineStr">
        <is>
          <t>C-C-0116</t>
        </is>
      </c>
      <c r="B2463" s="12" t="inlineStr">
        <is>
          <t>C</t>
        </is>
      </c>
      <c r="C2463" s="12" t="inlineStr">
        <is>
          <t>Grid interface</t>
        </is>
      </c>
      <c r="D2463" s="12" t="inlineStr">
        <is>
          <t>Control</t>
        </is>
      </c>
      <c r="E2463" s="12" t="inlineStr">
        <is>
          <t>RH</t>
        </is>
      </c>
      <c r="F2463" s="12" t="inlineStr">
        <is>
          <t>RH: switchyard relay / control house (52 x 70 ft)</t>
        </is>
      </c>
      <c r="G2463" s="12" t="inlineStr">
        <is>
          <t>D6-CB2</t>
        </is>
      </c>
      <c r="H2463" s="12" t="inlineStr">
        <is>
          <t>D6 230 kV breaker 2 (build-out)</t>
        </is>
      </c>
      <c r="I2463" s="12" t="inlineStr">
        <is>
          <t>Control</t>
        </is>
      </c>
      <c r="J2463" s="12" t="inlineStr">
        <is>
          <t>Control cable 600 V Type TC-ER, Cu #14 AWG, PVC jacket</t>
        </is>
      </c>
      <c r="K2463" s="12" t="inlineStr">
        <is>
          <t>CT|12/C|14</t>
        </is>
      </c>
      <c r="L2463" s="12" t="inlineStr">
        <is>
          <t>12/C</t>
        </is>
      </c>
      <c r="M2463" s="12" t="inlineStr">
        <is>
          <t>14</t>
        </is>
      </c>
      <c r="N2463" s="12" t="n">
        <v>1</v>
      </c>
      <c r="O2463" s="12" t="n">
        <v>1</v>
      </c>
      <c r="P2463" s="12" t="n"/>
      <c r="Q2463" s="12" t="n"/>
      <c r="R2463" s="12" t="n"/>
      <c r="S2463" s="12" t="inlineStr">
        <is>
          <t>Trench</t>
        </is>
      </c>
      <c r="T2463" s="16" t="n">
        <v>1584</v>
      </c>
      <c r="U2463" s="16" t="n">
        <v>52</v>
      </c>
      <c r="V2463" s="16">
        <f>ROUNDUP((T2463+U2463+2*'Read Me'!$B$13)*(1+'Read Me'!$B$12),-1)</f>
        <v/>
      </c>
      <c r="W2463" s="16">
        <f>V2463*N2463*O2463</f>
        <v/>
      </c>
      <c r="X2463" s="12">
        <f>IF(LEFT(I2463,2)="MV",2*N2463*IF(L2463="1/C",O2463,1),0)</f>
        <v/>
      </c>
      <c r="Y2463" s="12">
        <f>IF(OR(LEFT(K2463,4)="LVAX",LEFT(K2463,6)="MV15AX",LEFT(K2463,4)="CTAX",LEFT(K2463,2)="W|"),2*N2463*O2463,0)</f>
        <v/>
      </c>
      <c r="Z2463" s="12" t="inlineStr"/>
      <c r="AA2463" s="12">
        <f>N2463*O2463</f>
        <v/>
      </c>
    </row>
    <row r="2464">
      <c r="A2464" s="12" t="inlineStr">
        <is>
          <t>C-C-0117</t>
        </is>
      </c>
      <c r="B2464" s="12" t="inlineStr">
        <is>
          <t>C</t>
        </is>
      </c>
      <c r="C2464" s="12" t="inlineStr">
        <is>
          <t>Grid interface</t>
        </is>
      </c>
      <c r="D2464" s="12" t="inlineStr">
        <is>
          <t>CT / VT</t>
        </is>
      </c>
      <c r="E2464" s="12" t="inlineStr">
        <is>
          <t>RH</t>
        </is>
      </c>
      <c r="F2464" s="12" t="inlineStr">
        <is>
          <t>RH: switchyard relay / control house (52 x 70 ft)</t>
        </is>
      </c>
      <c r="G2464" s="12" t="inlineStr">
        <is>
          <t>D6-CB2</t>
        </is>
      </c>
      <c r="H2464" s="12" t="inlineStr">
        <is>
          <t>D6 230 kV breaker 2 (build-out)</t>
        </is>
      </c>
      <c r="I2464" s="12" t="inlineStr">
        <is>
          <t>Control</t>
        </is>
      </c>
      <c r="J2464" s="12" t="inlineStr">
        <is>
          <t>Control cable 600 V Type TC-ER, Cu #10 AWG (CT / VT circuits)</t>
        </is>
      </c>
      <c r="K2464" s="12" t="inlineStr">
        <is>
          <t>CTCT|4/C|10</t>
        </is>
      </c>
      <c r="L2464" s="12" t="inlineStr">
        <is>
          <t>4/C</t>
        </is>
      </c>
      <c r="M2464" s="12" t="inlineStr">
        <is>
          <t>10</t>
        </is>
      </c>
      <c r="N2464" s="12" t="n">
        <v>1</v>
      </c>
      <c r="O2464" s="12" t="n">
        <v>1</v>
      </c>
      <c r="P2464" s="12" t="n"/>
      <c r="Q2464" s="12" t="n"/>
      <c r="R2464" s="12" t="n"/>
      <c r="S2464" s="12" t="inlineStr">
        <is>
          <t>Trench</t>
        </is>
      </c>
      <c r="T2464" s="16" t="n">
        <v>1584</v>
      </c>
      <c r="U2464" s="16" t="n">
        <v>52</v>
      </c>
      <c r="V2464" s="16">
        <f>ROUNDUP((T2464+U2464+2*'Read Me'!$B$13)*(1+'Read Me'!$B$12),-1)</f>
        <v/>
      </c>
      <c r="W2464" s="16">
        <f>V2464*N2464*O2464</f>
        <v/>
      </c>
      <c r="X2464" s="12">
        <f>IF(LEFT(I2464,2)="MV",2*N2464*IF(L2464="1/C",O2464,1),0)</f>
        <v/>
      </c>
      <c r="Y2464" s="12">
        <f>IF(OR(LEFT(K2464,4)="LVAX",LEFT(K2464,6)="MV15AX",LEFT(K2464,4)="CTAX",LEFT(K2464,2)="W|"),2*N2464*O2464,0)</f>
        <v/>
      </c>
      <c r="Z2464" s="12" t="inlineStr"/>
      <c r="AA2464" s="12">
        <f>N2464*O2464</f>
        <v/>
      </c>
    </row>
    <row r="2465">
      <c r="A2465" s="12" t="inlineStr">
        <is>
          <t>C-C-0118</t>
        </is>
      </c>
      <c r="B2465" s="12" t="inlineStr">
        <is>
          <t>C</t>
        </is>
      </c>
      <c r="C2465" s="12" t="inlineStr">
        <is>
          <t>Grid interface</t>
        </is>
      </c>
      <c r="D2465" s="12" t="inlineStr">
        <is>
          <t>CT / VT</t>
        </is>
      </c>
      <c r="E2465" s="12" t="inlineStr">
        <is>
          <t>RH</t>
        </is>
      </c>
      <c r="F2465" s="12" t="inlineStr">
        <is>
          <t>RH: switchyard relay / control house (52 x 70 ft)</t>
        </is>
      </c>
      <c r="G2465" s="12" t="inlineStr">
        <is>
          <t>D6-CB2</t>
        </is>
      </c>
      <c r="H2465" s="12" t="inlineStr">
        <is>
          <t>D6 230 kV breaker 2 (build-out)</t>
        </is>
      </c>
      <c r="I2465" s="12" t="inlineStr">
        <is>
          <t>Control</t>
        </is>
      </c>
      <c r="J2465" s="12" t="inlineStr">
        <is>
          <t>Control cable 600 V Type TC-ER, Cu #10 AWG (CT / VT circuits)</t>
        </is>
      </c>
      <c r="K2465" s="12" t="inlineStr">
        <is>
          <t>CTCT|4/C|10</t>
        </is>
      </c>
      <c r="L2465" s="12" t="inlineStr">
        <is>
          <t>4/C</t>
        </is>
      </c>
      <c r="M2465" s="12" t="inlineStr">
        <is>
          <t>10</t>
        </is>
      </c>
      <c r="N2465" s="12" t="n">
        <v>1</v>
      </c>
      <c r="O2465" s="12" t="n">
        <v>1</v>
      </c>
      <c r="P2465" s="12" t="n"/>
      <c r="Q2465" s="12" t="n"/>
      <c r="R2465" s="12" t="n"/>
      <c r="S2465" s="12" t="inlineStr">
        <is>
          <t>Trench</t>
        </is>
      </c>
      <c r="T2465" s="16" t="n">
        <v>1584</v>
      </c>
      <c r="U2465" s="16" t="n">
        <v>52</v>
      </c>
      <c r="V2465" s="16">
        <f>ROUNDUP((T2465+U2465+2*'Read Me'!$B$13)*(1+'Read Me'!$B$12),-1)</f>
        <v/>
      </c>
      <c r="W2465" s="16">
        <f>V2465*N2465*O2465</f>
        <v/>
      </c>
      <c r="X2465" s="12">
        <f>IF(LEFT(I2465,2)="MV",2*N2465*IF(L2465="1/C",O2465,1),0)</f>
        <v/>
      </c>
      <c r="Y2465" s="12">
        <f>IF(OR(LEFT(K2465,4)="LVAX",LEFT(K2465,6)="MV15AX",LEFT(K2465,4)="CTAX",LEFT(K2465,2)="W|"),2*N2465*O2465,0)</f>
        <v/>
      </c>
      <c r="Z2465" s="12" t="inlineStr"/>
      <c r="AA2465" s="12">
        <f>N2465*O2465</f>
        <v/>
      </c>
    </row>
    <row r="2466">
      <c r="A2466" s="12" t="inlineStr">
        <is>
          <t>C-C-0119</t>
        </is>
      </c>
      <c r="B2466" s="12" t="inlineStr">
        <is>
          <t>C</t>
        </is>
      </c>
      <c r="C2466" s="12" t="inlineStr">
        <is>
          <t>Grid interface</t>
        </is>
      </c>
      <c r="D2466" s="12" t="inlineStr">
        <is>
          <t>CT / VT</t>
        </is>
      </c>
      <c r="E2466" s="12" t="inlineStr">
        <is>
          <t>RH</t>
        </is>
      </c>
      <c r="F2466" s="12" t="inlineStr">
        <is>
          <t>RH: switchyard relay / control house (52 x 70 ft)</t>
        </is>
      </c>
      <c r="G2466" s="12" t="inlineStr">
        <is>
          <t>D6-CB2</t>
        </is>
      </c>
      <c r="H2466" s="12" t="inlineStr">
        <is>
          <t>D6 230 kV breaker 2 (build-out)</t>
        </is>
      </c>
      <c r="I2466" s="12" t="inlineStr">
        <is>
          <t>Control</t>
        </is>
      </c>
      <c r="J2466" s="12" t="inlineStr">
        <is>
          <t>Control cable 600 V Type TC-ER, Cu #10 AWG (CT / VT circuits)</t>
        </is>
      </c>
      <c r="K2466" s="12" t="inlineStr">
        <is>
          <t>CTCT|4/C|10</t>
        </is>
      </c>
      <c r="L2466" s="12" t="inlineStr">
        <is>
          <t>4/C</t>
        </is>
      </c>
      <c r="M2466" s="12" t="inlineStr">
        <is>
          <t>10</t>
        </is>
      </c>
      <c r="N2466" s="12" t="n">
        <v>1</v>
      </c>
      <c r="O2466" s="12" t="n">
        <v>1</v>
      </c>
      <c r="P2466" s="12" t="n"/>
      <c r="Q2466" s="12" t="n"/>
      <c r="R2466" s="12" t="n"/>
      <c r="S2466" s="12" t="inlineStr">
        <is>
          <t>Trench</t>
        </is>
      </c>
      <c r="T2466" s="16" t="n">
        <v>1584</v>
      </c>
      <c r="U2466" s="16" t="n">
        <v>52</v>
      </c>
      <c r="V2466" s="16">
        <f>ROUNDUP((T2466+U2466+2*'Read Me'!$B$13)*(1+'Read Me'!$B$12),-1)</f>
        <v/>
      </c>
      <c r="W2466" s="16">
        <f>V2466*N2466*O2466</f>
        <v/>
      </c>
      <c r="X2466" s="12">
        <f>IF(LEFT(I2466,2)="MV",2*N2466*IF(L2466="1/C",O2466,1),0)</f>
        <v/>
      </c>
      <c r="Y2466" s="12">
        <f>IF(OR(LEFT(K2466,4)="LVAX",LEFT(K2466,6)="MV15AX",LEFT(K2466,4)="CTAX",LEFT(K2466,2)="W|"),2*N2466*O2466,0)</f>
        <v/>
      </c>
      <c r="Z2466" s="12" t="inlineStr"/>
      <c r="AA2466" s="12">
        <f>N2466*O2466</f>
        <v/>
      </c>
    </row>
    <row r="2467">
      <c r="A2467" s="12" t="inlineStr">
        <is>
          <t>C-C-0120</t>
        </is>
      </c>
      <c r="B2467" s="12" t="inlineStr">
        <is>
          <t>C</t>
        </is>
      </c>
      <c r="C2467" s="12" t="inlineStr">
        <is>
          <t>Grid interface</t>
        </is>
      </c>
      <c r="D2467" s="12" t="inlineStr">
        <is>
          <t>Control</t>
        </is>
      </c>
      <c r="E2467" s="12" t="inlineStr">
        <is>
          <t>RH</t>
        </is>
      </c>
      <c r="F2467" s="12" t="inlineStr">
        <is>
          <t>RH: switchyard relay / control house (52 x 70 ft)</t>
        </is>
      </c>
      <c r="G2467" s="12" t="inlineStr">
        <is>
          <t>D6-CB3</t>
        </is>
      </c>
      <c r="H2467" s="12" t="inlineStr">
        <is>
          <t>D6 230 kV breaker 3 (build-out)</t>
        </is>
      </c>
      <c r="I2467" s="12" t="inlineStr">
        <is>
          <t>Control</t>
        </is>
      </c>
      <c r="J2467" s="12" t="inlineStr">
        <is>
          <t>Control cable 600 V Type TC-ER, Cu #14 AWG, PVC jacket</t>
        </is>
      </c>
      <c r="K2467" s="12" t="inlineStr">
        <is>
          <t>CT|12/C|14</t>
        </is>
      </c>
      <c r="L2467" s="12" t="inlineStr">
        <is>
          <t>12/C</t>
        </is>
      </c>
      <c r="M2467" s="12" t="inlineStr">
        <is>
          <t>14</t>
        </is>
      </c>
      <c r="N2467" s="12" t="n">
        <v>1</v>
      </c>
      <c r="O2467" s="12" t="n">
        <v>1</v>
      </c>
      <c r="P2467" s="12" t="n"/>
      <c r="Q2467" s="12" t="n"/>
      <c r="R2467" s="12" t="n"/>
      <c r="S2467" s="12" t="inlineStr">
        <is>
          <t>Trench</t>
        </is>
      </c>
      <c r="T2467" s="16" t="n">
        <v>1584</v>
      </c>
      <c r="U2467" s="16" t="n">
        <v>92</v>
      </c>
      <c r="V2467" s="16">
        <f>ROUNDUP((T2467+U2467+2*'Read Me'!$B$13)*(1+'Read Me'!$B$12),-1)</f>
        <v/>
      </c>
      <c r="W2467" s="16">
        <f>V2467*N2467*O2467</f>
        <v/>
      </c>
      <c r="X2467" s="12">
        <f>IF(LEFT(I2467,2)="MV",2*N2467*IF(L2467="1/C",O2467,1),0)</f>
        <v/>
      </c>
      <c r="Y2467" s="12">
        <f>IF(OR(LEFT(K2467,4)="LVAX",LEFT(K2467,6)="MV15AX",LEFT(K2467,4)="CTAX",LEFT(K2467,2)="W|"),2*N2467*O2467,0)</f>
        <v/>
      </c>
      <c r="Z2467" s="12" t="inlineStr"/>
      <c r="AA2467" s="12">
        <f>N2467*O2467</f>
        <v/>
      </c>
    </row>
    <row r="2468">
      <c r="A2468" s="12" t="inlineStr">
        <is>
          <t>C-C-0121</t>
        </is>
      </c>
      <c r="B2468" s="12" t="inlineStr">
        <is>
          <t>C</t>
        </is>
      </c>
      <c r="C2468" s="12" t="inlineStr">
        <is>
          <t>Grid interface</t>
        </is>
      </c>
      <c r="D2468" s="12" t="inlineStr">
        <is>
          <t>Control</t>
        </is>
      </c>
      <c r="E2468" s="12" t="inlineStr">
        <is>
          <t>RH</t>
        </is>
      </c>
      <c r="F2468" s="12" t="inlineStr">
        <is>
          <t>RH: switchyard relay / control house (52 x 70 ft)</t>
        </is>
      </c>
      <c r="G2468" s="12" t="inlineStr">
        <is>
          <t>D6-CB3</t>
        </is>
      </c>
      <c r="H2468" s="12" t="inlineStr">
        <is>
          <t>D6 230 kV breaker 3 (build-out)</t>
        </is>
      </c>
      <c r="I2468" s="12" t="inlineStr">
        <is>
          <t>Control</t>
        </is>
      </c>
      <c r="J2468" s="12" t="inlineStr">
        <is>
          <t>Control cable 600 V Type TC-ER, Cu #14 AWG, PVC jacket</t>
        </is>
      </c>
      <c r="K2468" s="12" t="inlineStr">
        <is>
          <t>CT|12/C|14</t>
        </is>
      </c>
      <c r="L2468" s="12" t="inlineStr">
        <is>
          <t>12/C</t>
        </is>
      </c>
      <c r="M2468" s="12" t="inlineStr">
        <is>
          <t>14</t>
        </is>
      </c>
      <c r="N2468" s="12" t="n">
        <v>1</v>
      </c>
      <c r="O2468" s="12" t="n">
        <v>1</v>
      </c>
      <c r="P2468" s="12" t="n"/>
      <c r="Q2468" s="12" t="n"/>
      <c r="R2468" s="12" t="n"/>
      <c r="S2468" s="12" t="inlineStr">
        <is>
          <t>Trench</t>
        </is>
      </c>
      <c r="T2468" s="16" t="n">
        <v>1584</v>
      </c>
      <c r="U2468" s="16" t="n">
        <v>92</v>
      </c>
      <c r="V2468" s="16">
        <f>ROUNDUP((T2468+U2468+2*'Read Me'!$B$13)*(1+'Read Me'!$B$12),-1)</f>
        <v/>
      </c>
      <c r="W2468" s="16">
        <f>V2468*N2468*O2468</f>
        <v/>
      </c>
      <c r="X2468" s="12">
        <f>IF(LEFT(I2468,2)="MV",2*N2468*IF(L2468="1/C",O2468,1),0)</f>
        <v/>
      </c>
      <c r="Y2468" s="12">
        <f>IF(OR(LEFT(K2468,4)="LVAX",LEFT(K2468,6)="MV15AX",LEFT(K2468,4)="CTAX",LEFT(K2468,2)="W|"),2*N2468*O2468,0)</f>
        <v/>
      </c>
      <c r="Z2468" s="12" t="inlineStr"/>
      <c r="AA2468" s="12">
        <f>N2468*O2468</f>
        <v/>
      </c>
    </row>
    <row r="2469">
      <c r="A2469" s="12" t="inlineStr">
        <is>
          <t>C-C-0122</t>
        </is>
      </c>
      <c r="B2469" s="12" t="inlineStr">
        <is>
          <t>C</t>
        </is>
      </c>
      <c r="C2469" s="12" t="inlineStr">
        <is>
          <t>Grid interface</t>
        </is>
      </c>
      <c r="D2469" s="12" t="inlineStr">
        <is>
          <t>Control</t>
        </is>
      </c>
      <c r="E2469" s="12" t="inlineStr">
        <is>
          <t>RH</t>
        </is>
      </c>
      <c r="F2469" s="12" t="inlineStr">
        <is>
          <t>RH: switchyard relay / control house (52 x 70 ft)</t>
        </is>
      </c>
      <c r="G2469" s="12" t="inlineStr">
        <is>
          <t>D6-CB3</t>
        </is>
      </c>
      <c r="H2469" s="12" t="inlineStr">
        <is>
          <t>D6 230 kV breaker 3 (build-out)</t>
        </is>
      </c>
      <c r="I2469" s="12" t="inlineStr">
        <is>
          <t>Control</t>
        </is>
      </c>
      <c r="J2469" s="12" t="inlineStr">
        <is>
          <t>Control cable 600 V Type TC-ER, Cu #14 AWG, PVC jacket</t>
        </is>
      </c>
      <c r="K2469" s="12" t="inlineStr">
        <is>
          <t>CT|12/C|14</t>
        </is>
      </c>
      <c r="L2469" s="12" t="inlineStr">
        <is>
          <t>12/C</t>
        </is>
      </c>
      <c r="M2469" s="12" t="inlineStr">
        <is>
          <t>14</t>
        </is>
      </c>
      <c r="N2469" s="12" t="n">
        <v>1</v>
      </c>
      <c r="O2469" s="12" t="n">
        <v>1</v>
      </c>
      <c r="P2469" s="12" t="n"/>
      <c r="Q2469" s="12" t="n"/>
      <c r="R2469" s="12" t="n"/>
      <c r="S2469" s="12" t="inlineStr">
        <is>
          <t>Trench</t>
        </is>
      </c>
      <c r="T2469" s="16" t="n">
        <v>1584</v>
      </c>
      <c r="U2469" s="16" t="n">
        <v>92</v>
      </c>
      <c r="V2469" s="16">
        <f>ROUNDUP((T2469+U2469+2*'Read Me'!$B$13)*(1+'Read Me'!$B$12),-1)</f>
        <v/>
      </c>
      <c r="W2469" s="16">
        <f>V2469*N2469*O2469</f>
        <v/>
      </c>
      <c r="X2469" s="12">
        <f>IF(LEFT(I2469,2)="MV",2*N2469*IF(L2469="1/C",O2469,1),0)</f>
        <v/>
      </c>
      <c r="Y2469" s="12">
        <f>IF(OR(LEFT(K2469,4)="LVAX",LEFT(K2469,6)="MV15AX",LEFT(K2469,4)="CTAX",LEFT(K2469,2)="W|"),2*N2469*O2469,0)</f>
        <v/>
      </c>
      <c r="Z2469" s="12" t="inlineStr"/>
      <c r="AA2469" s="12">
        <f>N2469*O2469</f>
        <v/>
      </c>
    </row>
    <row r="2470">
      <c r="A2470" s="12" t="inlineStr">
        <is>
          <t>C-C-0123</t>
        </is>
      </c>
      <c r="B2470" s="12" t="inlineStr">
        <is>
          <t>C</t>
        </is>
      </c>
      <c r="C2470" s="12" t="inlineStr">
        <is>
          <t>Grid interface</t>
        </is>
      </c>
      <c r="D2470" s="12" t="inlineStr">
        <is>
          <t>Control</t>
        </is>
      </c>
      <c r="E2470" s="12" t="inlineStr">
        <is>
          <t>RH</t>
        </is>
      </c>
      <c r="F2470" s="12" t="inlineStr">
        <is>
          <t>RH: switchyard relay / control house (52 x 70 ft)</t>
        </is>
      </c>
      <c r="G2470" s="12" t="inlineStr">
        <is>
          <t>D6-CB3</t>
        </is>
      </c>
      <c r="H2470" s="12" t="inlineStr">
        <is>
          <t>D6 230 kV breaker 3 (build-out)</t>
        </is>
      </c>
      <c r="I2470" s="12" t="inlineStr">
        <is>
          <t>Control</t>
        </is>
      </c>
      <c r="J2470" s="12" t="inlineStr">
        <is>
          <t>Control cable 600 V Type TC-ER, Cu #14 AWG, PVC jacket</t>
        </is>
      </c>
      <c r="K2470" s="12" t="inlineStr">
        <is>
          <t>CT|12/C|14</t>
        </is>
      </c>
      <c r="L2470" s="12" t="inlineStr">
        <is>
          <t>12/C</t>
        </is>
      </c>
      <c r="M2470" s="12" t="inlineStr">
        <is>
          <t>14</t>
        </is>
      </c>
      <c r="N2470" s="12" t="n">
        <v>1</v>
      </c>
      <c r="O2470" s="12" t="n">
        <v>1</v>
      </c>
      <c r="P2470" s="12" t="n"/>
      <c r="Q2470" s="12" t="n"/>
      <c r="R2470" s="12" t="n"/>
      <c r="S2470" s="12" t="inlineStr">
        <is>
          <t>Trench</t>
        </is>
      </c>
      <c r="T2470" s="16" t="n">
        <v>1584</v>
      </c>
      <c r="U2470" s="16" t="n">
        <v>92</v>
      </c>
      <c r="V2470" s="16">
        <f>ROUNDUP((T2470+U2470+2*'Read Me'!$B$13)*(1+'Read Me'!$B$12),-1)</f>
        <v/>
      </c>
      <c r="W2470" s="16">
        <f>V2470*N2470*O2470</f>
        <v/>
      </c>
      <c r="X2470" s="12">
        <f>IF(LEFT(I2470,2)="MV",2*N2470*IF(L2470="1/C",O2470,1),0)</f>
        <v/>
      </c>
      <c r="Y2470" s="12">
        <f>IF(OR(LEFT(K2470,4)="LVAX",LEFT(K2470,6)="MV15AX",LEFT(K2470,4)="CTAX",LEFT(K2470,2)="W|"),2*N2470*O2470,0)</f>
        <v/>
      </c>
      <c r="Z2470" s="12" t="inlineStr"/>
      <c r="AA2470" s="12">
        <f>N2470*O2470</f>
        <v/>
      </c>
    </row>
    <row r="2471">
      <c r="A2471" s="12" t="inlineStr">
        <is>
          <t>C-C-0124</t>
        </is>
      </c>
      <c r="B2471" s="12" t="inlineStr">
        <is>
          <t>C</t>
        </is>
      </c>
      <c r="C2471" s="12" t="inlineStr">
        <is>
          <t>Grid interface</t>
        </is>
      </c>
      <c r="D2471" s="12" t="inlineStr">
        <is>
          <t>CT / VT</t>
        </is>
      </c>
      <c r="E2471" s="12" t="inlineStr">
        <is>
          <t>RH</t>
        </is>
      </c>
      <c r="F2471" s="12" t="inlineStr">
        <is>
          <t>RH: switchyard relay / control house (52 x 70 ft)</t>
        </is>
      </c>
      <c r="G2471" s="12" t="inlineStr">
        <is>
          <t>D6-CB3</t>
        </is>
      </c>
      <c r="H2471" s="12" t="inlineStr">
        <is>
          <t>D6 230 kV breaker 3 (build-out)</t>
        </is>
      </c>
      <c r="I2471" s="12" t="inlineStr">
        <is>
          <t>Control</t>
        </is>
      </c>
      <c r="J2471" s="12" t="inlineStr">
        <is>
          <t>Control cable 600 V Type TC-ER, Cu #10 AWG (CT / VT circuits)</t>
        </is>
      </c>
      <c r="K2471" s="12" t="inlineStr">
        <is>
          <t>CTCT|4/C|10</t>
        </is>
      </c>
      <c r="L2471" s="12" t="inlineStr">
        <is>
          <t>4/C</t>
        </is>
      </c>
      <c r="M2471" s="12" t="inlineStr">
        <is>
          <t>10</t>
        </is>
      </c>
      <c r="N2471" s="12" t="n">
        <v>1</v>
      </c>
      <c r="O2471" s="12" t="n">
        <v>1</v>
      </c>
      <c r="P2471" s="12" t="n"/>
      <c r="Q2471" s="12" t="n"/>
      <c r="R2471" s="12" t="n"/>
      <c r="S2471" s="12" t="inlineStr">
        <is>
          <t>Trench</t>
        </is>
      </c>
      <c r="T2471" s="16" t="n">
        <v>1584</v>
      </c>
      <c r="U2471" s="16" t="n">
        <v>92</v>
      </c>
      <c r="V2471" s="16">
        <f>ROUNDUP((T2471+U2471+2*'Read Me'!$B$13)*(1+'Read Me'!$B$12),-1)</f>
        <v/>
      </c>
      <c r="W2471" s="16">
        <f>V2471*N2471*O2471</f>
        <v/>
      </c>
      <c r="X2471" s="12">
        <f>IF(LEFT(I2471,2)="MV",2*N2471*IF(L2471="1/C",O2471,1),0)</f>
        <v/>
      </c>
      <c r="Y2471" s="12">
        <f>IF(OR(LEFT(K2471,4)="LVAX",LEFT(K2471,6)="MV15AX",LEFT(K2471,4)="CTAX",LEFT(K2471,2)="W|"),2*N2471*O2471,0)</f>
        <v/>
      </c>
      <c r="Z2471" s="12" t="inlineStr"/>
      <c r="AA2471" s="12">
        <f>N2471*O2471</f>
        <v/>
      </c>
    </row>
    <row r="2472">
      <c r="A2472" s="12" t="inlineStr">
        <is>
          <t>C-C-0125</t>
        </is>
      </c>
      <c r="B2472" s="12" t="inlineStr">
        <is>
          <t>C</t>
        </is>
      </c>
      <c r="C2472" s="12" t="inlineStr">
        <is>
          <t>Grid interface</t>
        </is>
      </c>
      <c r="D2472" s="12" t="inlineStr">
        <is>
          <t>CT / VT</t>
        </is>
      </c>
      <c r="E2472" s="12" t="inlineStr">
        <is>
          <t>RH</t>
        </is>
      </c>
      <c r="F2472" s="12" t="inlineStr">
        <is>
          <t>RH: switchyard relay / control house (52 x 70 ft)</t>
        </is>
      </c>
      <c r="G2472" s="12" t="inlineStr">
        <is>
          <t>D6-CB3</t>
        </is>
      </c>
      <c r="H2472" s="12" t="inlineStr">
        <is>
          <t>D6 230 kV breaker 3 (build-out)</t>
        </is>
      </c>
      <c r="I2472" s="12" t="inlineStr">
        <is>
          <t>Control</t>
        </is>
      </c>
      <c r="J2472" s="12" t="inlineStr">
        <is>
          <t>Control cable 600 V Type TC-ER, Cu #10 AWG (CT / VT circuits)</t>
        </is>
      </c>
      <c r="K2472" s="12" t="inlineStr">
        <is>
          <t>CTCT|4/C|10</t>
        </is>
      </c>
      <c r="L2472" s="12" t="inlineStr">
        <is>
          <t>4/C</t>
        </is>
      </c>
      <c r="M2472" s="12" t="inlineStr">
        <is>
          <t>10</t>
        </is>
      </c>
      <c r="N2472" s="12" t="n">
        <v>1</v>
      </c>
      <c r="O2472" s="12" t="n">
        <v>1</v>
      </c>
      <c r="P2472" s="12" t="n"/>
      <c r="Q2472" s="12" t="n"/>
      <c r="R2472" s="12" t="n"/>
      <c r="S2472" s="12" t="inlineStr">
        <is>
          <t>Trench</t>
        </is>
      </c>
      <c r="T2472" s="16" t="n">
        <v>1584</v>
      </c>
      <c r="U2472" s="16" t="n">
        <v>92</v>
      </c>
      <c r="V2472" s="16">
        <f>ROUNDUP((T2472+U2472+2*'Read Me'!$B$13)*(1+'Read Me'!$B$12),-1)</f>
        <v/>
      </c>
      <c r="W2472" s="16">
        <f>V2472*N2472*O2472</f>
        <v/>
      </c>
      <c r="X2472" s="12">
        <f>IF(LEFT(I2472,2)="MV",2*N2472*IF(L2472="1/C",O2472,1),0)</f>
        <v/>
      </c>
      <c r="Y2472" s="12">
        <f>IF(OR(LEFT(K2472,4)="LVAX",LEFT(K2472,6)="MV15AX",LEFT(K2472,4)="CTAX",LEFT(K2472,2)="W|"),2*N2472*O2472,0)</f>
        <v/>
      </c>
      <c r="Z2472" s="12" t="inlineStr"/>
      <c r="AA2472" s="12">
        <f>N2472*O2472</f>
        <v/>
      </c>
    </row>
    <row r="2473">
      <c r="A2473" s="12" t="inlineStr">
        <is>
          <t>C-C-0126</t>
        </is>
      </c>
      <c r="B2473" s="12" t="inlineStr">
        <is>
          <t>C</t>
        </is>
      </c>
      <c r="C2473" s="12" t="inlineStr">
        <is>
          <t>Grid interface</t>
        </is>
      </c>
      <c r="D2473" s="12" t="inlineStr">
        <is>
          <t>CT / VT</t>
        </is>
      </c>
      <c r="E2473" s="12" t="inlineStr">
        <is>
          <t>RH</t>
        </is>
      </c>
      <c r="F2473" s="12" t="inlineStr">
        <is>
          <t>RH: switchyard relay / control house (52 x 70 ft)</t>
        </is>
      </c>
      <c r="G2473" s="12" t="inlineStr">
        <is>
          <t>D6-CB3</t>
        </is>
      </c>
      <c r="H2473" s="12" t="inlineStr">
        <is>
          <t>D6 230 kV breaker 3 (build-out)</t>
        </is>
      </c>
      <c r="I2473" s="12" t="inlineStr">
        <is>
          <t>Control</t>
        </is>
      </c>
      <c r="J2473" s="12" t="inlineStr">
        <is>
          <t>Control cable 600 V Type TC-ER, Cu #10 AWG (CT / VT circuits)</t>
        </is>
      </c>
      <c r="K2473" s="12" t="inlineStr">
        <is>
          <t>CTCT|4/C|10</t>
        </is>
      </c>
      <c r="L2473" s="12" t="inlineStr">
        <is>
          <t>4/C</t>
        </is>
      </c>
      <c r="M2473" s="12" t="inlineStr">
        <is>
          <t>10</t>
        </is>
      </c>
      <c r="N2473" s="12" t="n">
        <v>1</v>
      </c>
      <c r="O2473" s="12" t="n">
        <v>1</v>
      </c>
      <c r="P2473" s="12" t="n"/>
      <c r="Q2473" s="12" t="n"/>
      <c r="R2473" s="12" t="n"/>
      <c r="S2473" s="12" t="inlineStr">
        <is>
          <t>Trench</t>
        </is>
      </c>
      <c r="T2473" s="16" t="n">
        <v>1584</v>
      </c>
      <c r="U2473" s="16" t="n">
        <v>92</v>
      </c>
      <c r="V2473" s="16">
        <f>ROUNDUP((T2473+U2473+2*'Read Me'!$B$13)*(1+'Read Me'!$B$12),-1)</f>
        <v/>
      </c>
      <c r="W2473" s="16">
        <f>V2473*N2473*O2473</f>
        <v/>
      </c>
      <c r="X2473" s="12">
        <f>IF(LEFT(I2473,2)="MV",2*N2473*IF(L2473="1/C",O2473,1),0)</f>
        <v/>
      </c>
      <c r="Y2473" s="12">
        <f>IF(OR(LEFT(K2473,4)="LVAX",LEFT(K2473,6)="MV15AX",LEFT(K2473,4)="CTAX",LEFT(K2473,2)="W|"),2*N2473*O2473,0)</f>
        <v/>
      </c>
      <c r="Z2473" s="12" t="inlineStr"/>
      <c r="AA2473" s="12">
        <f>N2473*O2473</f>
        <v/>
      </c>
    </row>
    <row r="2474">
      <c r="A2474" s="12" t="inlineStr">
        <is>
          <t>C-C-0127</t>
        </is>
      </c>
      <c r="B2474" s="12" t="inlineStr">
        <is>
          <t>C</t>
        </is>
      </c>
      <c r="C2474" s="12" t="inlineStr">
        <is>
          <t>Grid interface</t>
        </is>
      </c>
      <c r="D2474" s="12" t="inlineStr">
        <is>
          <t>Control</t>
        </is>
      </c>
      <c r="E2474" s="12" t="inlineStr">
        <is>
          <t>RH</t>
        </is>
      </c>
      <c r="F2474" s="12" t="inlineStr">
        <is>
          <t>RH: switchyard relay / control house (52 x 70 ft)</t>
        </is>
      </c>
      <c r="G2474" s="12" t="inlineStr">
        <is>
          <t>RH</t>
        </is>
      </c>
      <c r="H2474" s="12" t="inlineStr">
        <is>
          <t>RH: switchyard relay / control house (52 x 70 ft)</t>
        </is>
      </c>
      <c r="I2474" s="12" t="inlineStr">
        <is>
          <t>Control</t>
        </is>
      </c>
      <c r="J2474" s="12" t="inlineStr">
        <is>
          <t>Control cable 600 V Type TC-ER, Cu #14 AWG, PVC jacket</t>
        </is>
      </c>
      <c r="K2474" s="12" t="inlineStr">
        <is>
          <t>CT|7/C|14</t>
        </is>
      </c>
      <c r="L2474" s="12" t="inlineStr">
        <is>
          <t>7/C</t>
        </is>
      </c>
      <c r="M2474" s="12" t="inlineStr">
        <is>
          <t>14</t>
        </is>
      </c>
      <c r="N2474" s="12" t="n">
        <v>1</v>
      </c>
      <c r="O2474" s="12" t="n">
        <v>1</v>
      </c>
      <c r="P2474" s="12" t="n"/>
      <c r="Q2474" s="12" t="n"/>
      <c r="R2474" s="12" t="n"/>
      <c r="S2474" s="12" t="inlineStr">
        <is>
          <t>Tray</t>
        </is>
      </c>
      <c r="T2474" s="16" t="n">
        <v>0</v>
      </c>
      <c r="U2474" s="16" t="n">
        <v>30</v>
      </c>
      <c r="V2474" s="16">
        <f>ROUNDUP((T2474+U2474+2*'Read Me'!$B$13)*(1+'Read Me'!$B$12),-1)</f>
        <v/>
      </c>
      <c r="W2474" s="16">
        <f>V2474*N2474*O2474</f>
        <v/>
      </c>
      <c r="X2474" s="12">
        <f>IF(LEFT(I2474,2)="MV",2*N2474*IF(L2474="1/C",O2474,1),0)</f>
        <v/>
      </c>
      <c r="Y2474" s="12">
        <f>IF(OR(LEFT(K2474,4)="LVAX",LEFT(K2474,6)="MV15AX",LEFT(K2474,4)="CTAX",LEFT(K2474,2)="W|"),2*N2474*O2474,0)</f>
        <v/>
      </c>
      <c r="Z2474" s="12" t="inlineStr"/>
      <c r="AA2474" s="12">
        <f>N2474*O2474</f>
        <v/>
      </c>
    </row>
    <row r="2475">
      <c r="A2475" s="12" t="inlineStr">
        <is>
          <t>C-F-0001</t>
        </is>
      </c>
      <c r="B2475" s="12" t="inlineStr">
        <is>
          <t>C</t>
        </is>
      </c>
      <c r="C2475" s="12" t="inlineStr">
        <is>
          <t>Grid interface</t>
        </is>
      </c>
      <c r="D2475" s="12" t="inlineStr">
        <is>
          <t>Plant network / DCS fibre</t>
        </is>
      </c>
      <c r="E2475" s="12" t="inlineStr">
        <is>
          <t>CR</t>
        </is>
      </c>
      <c r="F2475" s="12" t="inlineStr">
        <is>
          <t>Control / admin building (main control room)</t>
        </is>
      </c>
      <c r="G2475" s="12" t="inlineStr">
        <is>
          <t>RH</t>
        </is>
      </c>
      <c r="H2475" s="12" t="inlineStr">
        <is>
          <t>RH: switchyard relay / control house (52 x 70 ft)</t>
        </is>
      </c>
      <c r="I2475" s="12" t="inlineStr">
        <is>
          <t>Fibre / data</t>
        </is>
      </c>
      <c r="J2475" s="12" t="inlineStr">
        <is>
          <t>Fibre optic, single-mode, 12-fibre, armored, orange jacket</t>
        </is>
      </c>
      <c r="K2475" s="12" t="inlineStr">
        <is>
          <t>FO|12 SM|-</t>
        </is>
      </c>
      <c r="L2475" s="12" t="inlineStr">
        <is>
          <t>12 SM</t>
        </is>
      </c>
      <c r="M2475" s="12" t="inlineStr">
        <is>
          <t>-</t>
        </is>
      </c>
      <c r="N2475" s="12" t="n">
        <v>1</v>
      </c>
      <c r="O2475" s="12" t="n">
        <v>1</v>
      </c>
      <c r="P2475" s="12" t="n"/>
      <c r="Q2475" s="12" t="n"/>
      <c r="R2475" s="12" t="n"/>
      <c r="S2475" s="12" t="inlineStr">
        <is>
          <t>Duct bank</t>
        </is>
      </c>
      <c r="T2475" s="16" t="n">
        <v>809</v>
      </c>
      <c r="U2475" s="16" t="n">
        <v>32</v>
      </c>
      <c r="V2475" s="16">
        <f>ROUNDUP((T2475+U2475+2*'Read Me'!$B$13)*(1+'Read Me'!$B$12),-1)</f>
        <v/>
      </c>
      <c r="W2475" s="16">
        <f>V2475*N2475*O2475</f>
        <v/>
      </c>
      <c r="X2475" s="12">
        <f>IF(LEFT(I2475,2)="MV",2*N2475*IF(L2475="1/C",O2475,1),0)</f>
        <v/>
      </c>
      <c r="Y2475" s="12">
        <f>IF(OR(LEFT(K2475,4)="LVAX",LEFT(K2475,6)="MV15AX",LEFT(K2475,4)="CTAX",LEFT(K2475,2)="W|"),2*N2475*O2475,0)</f>
        <v/>
      </c>
      <c r="Z2475" s="12" t="inlineStr"/>
      <c r="AA2475" s="12">
        <f>N2475*O2475</f>
        <v/>
      </c>
    </row>
    <row r="2476">
      <c r="A2476" s="12" t="inlineStr">
        <is>
          <t>C-FA-0001</t>
        </is>
      </c>
      <c r="B2476" s="12" t="inlineStr">
        <is>
          <t>C</t>
        </is>
      </c>
      <c r="C2476" s="12" t="inlineStr">
        <is>
          <t>Grid interface</t>
        </is>
      </c>
      <c r="D2476" s="12" t="inlineStr">
        <is>
          <t>Fire alarm / F&amp;G loop (to the local FACP / F&amp;G node)</t>
        </is>
      </c>
      <c r="E2476" s="12" t="inlineStr">
        <is>
          <t>RH</t>
        </is>
      </c>
      <c r="F2476" s="12" t="inlineStr">
        <is>
          <t>RH: switchyard relay / control house (52 x 70 ft)</t>
        </is>
      </c>
      <c r="G2476" s="12" t="inlineStr">
        <is>
          <t>RH</t>
        </is>
      </c>
      <c r="H2476" s="12" t="inlineStr">
        <is>
          <t>RH: switchyard relay / control house (52 x 70 ft)</t>
        </is>
      </c>
      <c r="I2476" s="12" t="inlineStr">
        <is>
          <t>Fire alarm</t>
        </is>
      </c>
      <c r="J2476" s="12" t="inlineStr">
        <is>
          <t>Fire alarm FPLR 2/C #14 shielded, red jacket (NEC 760)</t>
        </is>
      </c>
      <c r="K2476" s="12" t="inlineStr">
        <is>
          <t>FA|2/C|14</t>
        </is>
      </c>
      <c r="L2476" s="12" t="inlineStr">
        <is>
          <t>2/C</t>
        </is>
      </c>
      <c r="M2476" s="12" t="inlineStr">
        <is>
          <t>14</t>
        </is>
      </c>
      <c r="N2476" s="12" t="n">
        <v>1</v>
      </c>
      <c r="O2476" s="12" t="n">
        <v>1</v>
      </c>
      <c r="P2476" s="12" t="n"/>
      <c r="Q2476" s="12" t="n"/>
      <c r="R2476" s="12" t="n"/>
      <c r="S2476" s="12" t="inlineStr">
        <is>
          <t>Tray</t>
        </is>
      </c>
      <c r="T2476" s="16" t="n">
        <v>0</v>
      </c>
      <c r="U2476" s="16" t="n">
        <v>30</v>
      </c>
      <c r="V2476" s="16">
        <f>ROUNDUP((T2476+U2476+2*'Read Me'!$B$13)*(1+'Read Me'!$B$12),-1)</f>
        <v/>
      </c>
      <c r="W2476" s="16">
        <f>V2476*N2476*O2476</f>
        <v/>
      </c>
      <c r="X2476" s="12">
        <f>IF(LEFT(I2476,2)="MV",2*N2476*IF(L2476="1/C",O2476,1),0)</f>
        <v/>
      </c>
      <c r="Y2476" s="12">
        <f>IF(OR(LEFT(K2476,4)="LVAX",LEFT(K2476,6)="MV15AX",LEFT(K2476,4)="CTAX",LEFT(K2476,2)="W|"),2*N2476*O2476,0)</f>
        <v/>
      </c>
      <c r="Z2476" s="12" t="inlineStr"/>
      <c r="AA2476" s="12">
        <f>N2476*O2476</f>
        <v/>
      </c>
    </row>
    <row r="2477">
      <c r="A2477" s="12" t="inlineStr">
        <is>
          <t>C-G-0001</t>
        </is>
      </c>
      <c r="B2477" s="12" t="inlineStr">
        <is>
          <t>C</t>
        </is>
      </c>
      <c r="C2477" s="12" t="inlineStr">
        <is>
          <t>Grid interface</t>
        </is>
      </c>
      <c r="D2477" s="12" t="inlineStr">
        <is>
          <t>Equipment ground leads: 1138 items x 2 leads x 30 ft</t>
        </is>
      </c>
      <c r="E2477" s="12" t="inlineStr"/>
      <c r="F2477" s="12" t="inlineStr">
        <is>
          <t>Equipment grounding</t>
        </is>
      </c>
      <c r="G2477" s="12" t="inlineStr"/>
      <c r="H2477" s="12" t="inlineStr">
        <is>
          <t>Equipment grounding</t>
        </is>
      </c>
      <c r="I2477" s="12" t="inlineStr">
        <is>
          <t>Grounding</t>
        </is>
      </c>
      <c r="J2477" s="12" t="inlineStr">
        <is>
          <t>Bare Cu 4/0 AWG, 19 strand (ground grid and equipment grounds)</t>
        </is>
      </c>
      <c r="K2477" s="12" t="inlineStr">
        <is>
          <t>BARE|1/C|4/0</t>
        </is>
      </c>
      <c r="L2477" s="12" t="inlineStr">
        <is>
          <t>1/C</t>
        </is>
      </c>
      <c r="M2477" s="12" t="inlineStr">
        <is>
          <t>4/0</t>
        </is>
      </c>
      <c r="N2477" s="12" t="n">
        <v>1</v>
      </c>
      <c r="O2477" s="12" t="n">
        <v>1</v>
      </c>
      <c r="P2477" s="12" t="n"/>
      <c r="Q2477" s="12" t="n"/>
      <c r="R2477" s="12" t="n"/>
      <c r="S2477" s="12" t="inlineStr">
        <is>
          <t>Buried</t>
        </is>
      </c>
      <c r="T2477" s="16" t="n">
        <v>68280</v>
      </c>
      <c r="U2477" s="16" t="n">
        <v>0</v>
      </c>
      <c r="V2477" s="16">
        <f>ROUNDUP((T2477+U2477+2*'Read Me'!$B$13)*(1+'Read Me'!$B$12),-1)</f>
        <v/>
      </c>
      <c r="W2477" s="16">
        <f>V2477*N2477*O2477</f>
        <v/>
      </c>
      <c r="X2477" s="12">
        <f>IF(LEFT(I2477,2)="MV",2*N2477*IF(L2477="1/C",O2477,1),0)</f>
        <v/>
      </c>
      <c r="Y2477" s="12">
        <f>IF(OR(LEFT(K2477,4)="LVAX",LEFT(K2477,6)="MV15AX",LEFT(K2477,4)="CTAX",LEFT(K2477,2)="W|"),2*N2477*O2477,0)</f>
        <v/>
      </c>
      <c r="Z2477" s="12" t="inlineStr">
        <is>
          <t>allowance</t>
        </is>
      </c>
      <c r="AA2477" s="12">
        <f>N2477*O2477</f>
        <v/>
      </c>
    </row>
    <row r="2478">
      <c r="A2478" s="12" t="inlineStr">
        <is>
          <t>C-G-0002</t>
        </is>
      </c>
      <c r="B2478" s="12" t="inlineStr">
        <is>
          <t>C</t>
        </is>
      </c>
      <c r="C2478" s="12" t="inlineStr">
        <is>
          <t>Grid interface</t>
        </is>
      </c>
      <c r="D2478" s="12" t="inlineStr">
        <is>
          <t>Station ground grid, rods and risers (from the model)</t>
        </is>
      </c>
      <c r="E2478" s="12" t="inlineStr"/>
      <c r="F2478" s="12" t="inlineStr">
        <is>
          <t>Underground: station ground grid (bare 4/0 Cu mesh, rods, risers)</t>
        </is>
      </c>
      <c r="G2478" s="12" t="inlineStr"/>
      <c r="H2478" s="12" t="inlineStr">
        <is>
          <t>Underground: station ground grid (bare 4/0 Cu mesh, rods, risers)</t>
        </is>
      </c>
      <c r="I2478" s="12" t="inlineStr">
        <is>
          <t>Grounding</t>
        </is>
      </c>
      <c r="J2478" s="12" t="inlineStr">
        <is>
          <t>Bare Cu 4/0 AWG, 19 strand (ground grid and equipment grounds)</t>
        </is>
      </c>
      <c r="K2478" s="12" t="inlineStr">
        <is>
          <t>BARE|1/C|4/0</t>
        </is>
      </c>
      <c r="L2478" s="12" t="inlineStr">
        <is>
          <t>1/C</t>
        </is>
      </c>
      <c r="M2478" s="12" t="inlineStr">
        <is>
          <t>4/0</t>
        </is>
      </c>
      <c r="N2478" s="12" t="n">
        <v>1</v>
      </c>
      <c r="O2478" s="12" t="n">
        <v>1</v>
      </c>
      <c r="P2478" s="12" t="n"/>
      <c r="Q2478" s="12" t="n"/>
      <c r="R2478" s="12" t="n"/>
      <c r="S2478" s="12" t="inlineStr">
        <is>
          <t>Buried</t>
        </is>
      </c>
      <c r="T2478" s="16" t="n">
        <v>68700</v>
      </c>
      <c r="U2478" s="16" t="n">
        <v>0</v>
      </c>
      <c r="V2478" s="16">
        <f>ROUNDUP((T2478+U2478+2*'Read Me'!$B$13)*(1+'Read Me'!$B$12),-1)</f>
        <v/>
      </c>
      <c r="W2478" s="16">
        <f>V2478*N2478*O2478</f>
        <v/>
      </c>
      <c r="X2478" s="12">
        <f>IF(LEFT(I2478,2)="MV",2*N2478*IF(L2478="1/C",O2478,1),0)</f>
        <v/>
      </c>
      <c r="Y2478" s="12">
        <f>IF(OR(LEFT(K2478,4)="LVAX",LEFT(K2478,6)="MV15AX",LEFT(K2478,4)="CTAX",LEFT(K2478,2)="W|"),2*N2478*O2478,0)</f>
        <v/>
      </c>
      <c r="Z2478" s="12" t="inlineStr">
        <is>
          <t>measured from the modelled grid</t>
        </is>
      </c>
      <c r="AA2478" s="12">
        <f>N2478*O2478</f>
        <v/>
      </c>
    </row>
    <row r="2479">
      <c r="A2479" s="12" t="inlineStr">
        <is>
          <t>C-HV-0001</t>
        </is>
      </c>
      <c r="B2479" s="12" t="inlineStr">
        <is>
          <t>C</t>
        </is>
      </c>
      <c r="C2479" s="12" t="inlineStr">
        <is>
          <t>Grid interface</t>
        </is>
      </c>
      <c r="D2479" s="12" t="inlineStr">
        <is>
          <t>230 kV underground circuit (BESS)</t>
        </is>
      </c>
      <c r="E2479" s="12" t="inlineStr">
        <is>
          <t>BESS-230-A</t>
        </is>
      </c>
      <c r="F2479" s="12" t="inlineStr">
        <is>
          <t>230 kV BESS tie: switchyard end</t>
        </is>
      </c>
      <c r="G2479" s="12" t="inlineStr">
        <is>
          <t>BESS-230-B</t>
        </is>
      </c>
      <c r="H2479" s="12" t="inlineStr">
        <is>
          <t>230 kV BESS tie: plant end</t>
        </is>
      </c>
      <c r="I2479" s="12" t="inlineStr">
        <is>
          <t>HV 230 kV</t>
        </is>
      </c>
      <c r="J2479" s="12" t="inlineStr">
        <is>
          <t>HV XLPE 230 kV 1/C 2500 kcmil Cu, Cu wire shield, Al laminate, HDPE jacket</t>
        </is>
      </c>
      <c r="K2479" s="12" t="inlineStr">
        <is>
          <t>HV230|1/C|2500</t>
        </is>
      </c>
      <c r="L2479" s="12" t="inlineStr">
        <is>
          <t>1/C</t>
        </is>
      </c>
      <c r="M2479" s="12" t="inlineStr">
        <is>
          <t>2500 kcmil</t>
        </is>
      </c>
      <c r="N2479" s="12" t="n">
        <v>1</v>
      </c>
      <c r="O2479" s="12" t="n">
        <v>3</v>
      </c>
      <c r="P2479" s="12" t="n">
        <v>230000</v>
      </c>
      <c r="Q2479" s="12" t="n"/>
      <c r="R2479" s="12" t="n"/>
      <c r="S2479" s="12" t="inlineStr">
        <is>
          <t>HV duct bank</t>
        </is>
      </c>
      <c r="T2479" s="16" t="n">
        <v>182</v>
      </c>
      <c r="U2479" s="16" t="n">
        <v>80</v>
      </c>
      <c r="V2479" s="16">
        <f>ROUNDUP((T2479+U2479+2*'Read Me'!$B$13)*(1+'Read Me'!$B$12),-1)</f>
        <v/>
      </c>
      <c r="W2479" s="16">
        <f>V2479*N2479*O2479</f>
        <v/>
      </c>
      <c r="X2479" s="12">
        <f>IF(LEFT(I2479,2)="MV",2*N2479*IF(L2479="1/C",O2479,1),0)</f>
        <v/>
      </c>
      <c r="Y2479" s="12">
        <f>IF(OR(LEFT(K2479,4)="LVAX",LEFT(K2479,6)="MV15AX",LEFT(K2479,4)="CTAX",LEFT(K2479,2)="W|"),2*N2479*O2479,0)</f>
        <v/>
      </c>
      <c r="Z2479" s="12" t="inlineStr">
        <is>
          <t>route length from the model + 2 x 40 ft risers</t>
        </is>
      </c>
      <c r="AA2479" s="12">
        <f>N2479*O2479</f>
        <v/>
      </c>
    </row>
    <row r="2480">
      <c r="A2480" s="12" t="inlineStr">
        <is>
          <t>C-HV-0002</t>
        </is>
      </c>
      <c r="B2480" s="12" t="inlineStr">
        <is>
          <t>C</t>
        </is>
      </c>
      <c r="C2480" s="12" t="inlineStr">
        <is>
          <t>Grid interface</t>
        </is>
      </c>
      <c r="D2480" s="12" t="inlineStr">
        <is>
          <t>230 kV underground circuit (CCS)</t>
        </is>
      </c>
      <c r="E2480" s="12" t="inlineStr">
        <is>
          <t>CCS-230-A</t>
        </is>
      </c>
      <c r="F2480" s="12" t="inlineStr">
        <is>
          <t>230 kV CCS tie: switchyard end</t>
        </is>
      </c>
      <c r="G2480" s="12" t="inlineStr">
        <is>
          <t>CCS-230-B</t>
        </is>
      </c>
      <c r="H2480" s="12" t="inlineStr">
        <is>
          <t>230 kV CCS tie: plant end</t>
        </is>
      </c>
      <c r="I2480" s="12" t="inlineStr">
        <is>
          <t>HV 230 kV</t>
        </is>
      </c>
      <c r="J2480" s="12" t="inlineStr">
        <is>
          <t>HV XLPE 230 kV 1/C 2500 kcmil Cu, Cu wire shield, Al laminate, HDPE jacket</t>
        </is>
      </c>
      <c r="K2480" s="12" t="inlineStr">
        <is>
          <t>HV230|1/C|2500</t>
        </is>
      </c>
      <c r="L2480" s="12" t="inlineStr">
        <is>
          <t>1/C</t>
        </is>
      </c>
      <c r="M2480" s="12" t="inlineStr">
        <is>
          <t>2500 kcmil</t>
        </is>
      </c>
      <c r="N2480" s="12" t="n">
        <v>1</v>
      </c>
      <c r="O2480" s="12" t="n">
        <v>3</v>
      </c>
      <c r="P2480" s="12" t="n">
        <v>230000</v>
      </c>
      <c r="Q2480" s="12" t="n"/>
      <c r="R2480" s="12" t="n"/>
      <c r="S2480" s="12" t="inlineStr">
        <is>
          <t>HV duct bank</t>
        </is>
      </c>
      <c r="T2480" s="16" t="n">
        <v>1486</v>
      </c>
      <c r="U2480" s="16" t="n">
        <v>80</v>
      </c>
      <c r="V2480" s="16">
        <f>ROUNDUP((T2480+U2480+2*'Read Me'!$B$13)*(1+'Read Me'!$B$12),-1)</f>
        <v/>
      </c>
      <c r="W2480" s="16">
        <f>V2480*N2480*O2480</f>
        <v/>
      </c>
      <c r="X2480" s="12">
        <f>IF(LEFT(I2480,2)="MV",2*N2480*IF(L2480="1/C",O2480,1),0)</f>
        <v/>
      </c>
      <c r="Y2480" s="12">
        <f>IF(OR(LEFT(K2480,4)="LVAX",LEFT(K2480,6)="MV15AX",LEFT(K2480,4)="CTAX",LEFT(K2480,2)="W|"),2*N2480*O2480,0)</f>
        <v/>
      </c>
      <c r="Z2480" s="12" t="inlineStr">
        <is>
          <t>route length from the model + 2 x 40 ft risers</t>
        </is>
      </c>
      <c r="AA2480" s="12">
        <f>N2480*O2480</f>
        <v/>
      </c>
    </row>
    <row r="2481">
      <c r="A2481" s="12" t="inlineStr">
        <is>
          <t>C-HV-0003</t>
        </is>
      </c>
      <c r="B2481" s="12" t="inlineStr">
        <is>
          <t>C</t>
        </is>
      </c>
      <c r="C2481" s="12" t="inlineStr">
        <is>
          <t>Grid interface</t>
        </is>
      </c>
      <c r="D2481" s="12" t="inlineStr">
        <is>
          <t>230 kV underground circuit (CCS)</t>
        </is>
      </c>
      <c r="E2481" s="12" t="inlineStr">
        <is>
          <t>CCS-230-A</t>
        </is>
      </c>
      <c r="F2481" s="12" t="inlineStr">
        <is>
          <t>230 kV CCS tie: switchyard end</t>
        </is>
      </c>
      <c r="G2481" s="12" t="inlineStr">
        <is>
          <t>CCS-230-B</t>
        </is>
      </c>
      <c r="H2481" s="12" t="inlineStr">
        <is>
          <t>230 kV CCS tie: plant end</t>
        </is>
      </c>
      <c r="I2481" s="12" t="inlineStr">
        <is>
          <t>HV 230 kV</t>
        </is>
      </c>
      <c r="J2481" s="12" t="inlineStr">
        <is>
          <t>HV XLPE 230 kV 1/C 2500 kcmil Cu, Cu wire shield, Al laminate, HDPE jacket</t>
        </is>
      </c>
      <c r="K2481" s="12" t="inlineStr">
        <is>
          <t>HV230|1/C|2500</t>
        </is>
      </c>
      <c r="L2481" s="12" t="inlineStr">
        <is>
          <t>1/C</t>
        </is>
      </c>
      <c r="M2481" s="12" t="inlineStr">
        <is>
          <t>2500 kcmil</t>
        </is>
      </c>
      <c r="N2481" s="12" t="n">
        <v>1</v>
      </c>
      <c r="O2481" s="12" t="n">
        <v>3</v>
      </c>
      <c r="P2481" s="12" t="n">
        <v>230000</v>
      </c>
      <c r="Q2481" s="12" t="n"/>
      <c r="R2481" s="12" t="n"/>
      <c r="S2481" s="12" t="inlineStr">
        <is>
          <t>HV duct bank</t>
        </is>
      </c>
      <c r="T2481" s="16" t="n">
        <v>1536</v>
      </c>
      <c r="U2481" s="16" t="n">
        <v>80</v>
      </c>
      <c r="V2481" s="16">
        <f>ROUNDUP((T2481+U2481+2*'Read Me'!$B$13)*(1+'Read Me'!$B$12),-1)</f>
        <v/>
      </c>
      <c r="W2481" s="16">
        <f>V2481*N2481*O2481</f>
        <v/>
      </c>
      <c r="X2481" s="12">
        <f>IF(LEFT(I2481,2)="MV",2*N2481*IF(L2481="1/C",O2481,1),0)</f>
        <v/>
      </c>
      <c r="Y2481" s="12">
        <f>IF(OR(LEFT(K2481,4)="LVAX",LEFT(K2481,6)="MV15AX",LEFT(K2481,4)="CTAX",LEFT(K2481,2)="W|"),2*N2481*O2481,0)</f>
        <v/>
      </c>
      <c r="Z2481" s="12" t="inlineStr">
        <is>
          <t>route length from the model + 2 x 40 ft risers</t>
        </is>
      </c>
      <c r="AA2481" s="12">
        <f>N2481*O2481</f>
        <v/>
      </c>
    </row>
    <row r="2482">
      <c r="A2482" s="12" t="inlineStr">
        <is>
          <t>C-HV-0004</t>
        </is>
      </c>
      <c r="B2482" s="12" t="inlineStr">
        <is>
          <t>C</t>
        </is>
      </c>
      <c r="C2482" s="12" t="inlineStr">
        <is>
          <t>Grid interface</t>
        </is>
      </c>
      <c r="D2482" s="12" t="inlineStr">
        <is>
          <t>230 kV underground circuit (H2)</t>
        </is>
      </c>
      <c r="E2482" s="12" t="inlineStr">
        <is>
          <t>H2-230-A</t>
        </is>
      </c>
      <c r="F2482" s="12" t="inlineStr">
        <is>
          <t>230 kV H2 tie: switchyard end</t>
        </is>
      </c>
      <c r="G2482" s="12" t="inlineStr">
        <is>
          <t>H2-230-B</t>
        </is>
      </c>
      <c r="H2482" s="12" t="inlineStr">
        <is>
          <t>230 kV H2 tie: plant end</t>
        </is>
      </c>
      <c r="I2482" s="12" t="inlineStr">
        <is>
          <t>HV 230 kV</t>
        </is>
      </c>
      <c r="J2482" s="12" t="inlineStr">
        <is>
          <t>HV XLPE 230 kV 1/C 2500 kcmil Cu, Cu wire shield, Al laminate, HDPE jacket</t>
        </is>
      </c>
      <c r="K2482" s="12" t="inlineStr">
        <is>
          <t>HV230|1/C|2500</t>
        </is>
      </c>
      <c r="L2482" s="12" t="inlineStr">
        <is>
          <t>1/C</t>
        </is>
      </c>
      <c r="M2482" s="12" t="inlineStr">
        <is>
          <t>2500 kcmil</t>
        </is>
      </c>
      <c r="N2482" s="12" t="n">
        <v>1</v>
      </c>
      <c r="O2482" s="12" t="n">
        <v>3</v>
      </c>
      <c r="P2482" s="12" t="n">
        <v>230000</v>
      </c>
      <c r="Q2482" s="12" t="n"/>
      <c r="R2482" s="12" t="n"/>
      <c r="S2482" s="12" t="inlineStr">
        <is>
          <t>HV duct bank</t>
        </is>
      </c>
      <c r="T2482" s="16" t="n">
        <v>1720</v>
      </c>
      <c r="U2482" s="16" t="n">
        <v>80</v>
      </c>
      <c r="V2482" s="16">
        <f>ROUNDUP((T2482+U2482+2*'Read Me'!$B$13)*(1+'Read Me'!$B$12),-1)</f>
        <v/>
      </c>
      <c r="W2482" s="16">
        <f>V2482*N2482*O2482</f>
        <v/>
      </c>
      <c r="X2482" s="12">
        <f>IF(LEFT(I2482,2)="MV",2*N2482*IF(L2482="1/C",O2482,1),0)</f>
        <v/>
      </c>
      <c r="Y2482" s="12">
        <f>IF(OR(LEFT(K2482,4)="LVAX",LEFT(K2482,6)="MV15AX",LEFT(K2482,4)="CTAX",LEFT(K2482,2)="W|"),2*N2482*O2482,0)</f>
        <v/>
      </c>
      <c r="Z2482" s="12" t="inlineStr">
        <is>
          <t>route length from the model + 2 x 40 ft risers</t>
        </is>
      </c>
      <c r="AA2482" s="12">
        <f>N2482*O2482</f>
        <v/>
      </c>
    </row>
    <row r="2483">
      <c r="A2483" s="12" t="inlineStr">
        <is>
          <t>C-HV-0005</t>
        </is>
      </c>
      <c r="B2483" s="12" t="inlineStr">
        <is>
          <t>C</t>
        </is>
      </c>
      <c r="C2483" s="12" t="inlineStr">
        <is>
          <t>Grid interface</t>
        </is>
      </c>
      <c r="D2483" s="12" t="inlineStr">
        <is>
          <t>230 kV underground circuit (H2)</t>
        </is>
      </c>
      <c r="E2483" s="12" t="inlineStr">
        <is>
          <t>H2-230-A</t>
        </is>
      </c>
      <c r="F2483" s="12" t="inlineStr">
        <is>
          <t>230 kV H2 tie: switchyard end</t>
        </is>
      </c>
      <c r="G2483" s="12" t="inlineStr">
        <is>
          <t>H2-230-B</t>
        </is>
      </c>
      <c r="H2483" s="12" t="inlineStr">
        <is>
          <t>230 kV H2 tie: plant end</t>
        </is>
      </c>
      <c r="I2483" s="12" t="inlineStr">
        <is>
          <t>HV 230 kV</t>
        </is>
      </c>
      <c r="J2483" s="12" t="inlineStr">
        <is>
          <t>HV XLPE 230 kV 1/C 2500 kcmil Cu, Cu wire shield, Al laminate, HDPE jacket</t>
        </is>
      </c>
      <c r="K2483" s="12" t="inlineStr">
        <is>
          <t>HV230|1/C|2500</t>
        </is>
      </c>
      <c r="L2483" s="12" t="inlineStr">
        <is>
          <t>1/C</t>
        </is>
      </c>
      <c r="M2483" s="12" t="inlineStr">
        <is>
          <t>2500 kcmil</t>
        </is>
      </c>
      <c r="N2483" s="12" t="n">
        <v>1</v>
      </c>
      <c r="O2483" s="12" t="n">
        <v>3</v>
      </c>
      <c r="P2483" s="12" t="n">
        <v>230000</v>
      </c>
      <c r="Q2483" s="12" t="n"/>
      <c r="R2483" s="12" t="n"/>
      <c r="S2483" s="12" t="inlineStr">
        <is>
          <t>HV duct bank</t>
        </is>
      </c>
      <c r="T2483" s="16" t="n">
        <v>12</v>
      </c>
      <c r="U2483" s="16" t="n">
        <v>80</v>
      </c>
      <c r="V2483" s="16">
        <f>ROUNDUP((T2483+U2483+2*'Read Me'!$B$13)*(1+'Read Me'!$B$12),-1)</f>
        <v/>
      </c>
      <c r="W2483" s="16">
        <f>V2483*N2483*O2483</f>
        <v/>
      </c>
      <c r="X2483" s="12">
        <f>IF(LEFT(I2483,2)="MV",2*N2483*IF(L2483="1/C",O2483,1),0)</f>
        <v/>
      </c>
      <c r="Y2483" s="12">
        <f>IF(OR(LEFT(K2483,4)="LVAX",LEFT(K2483,6)="MV15AX",LEFT(K2483,4)="CTAX",LEFT(K2483,2)="W|"),2*N2483*O2483,0)</f>
        <v/>
      </c>
      <c r="Z2483" s="12" t="inlineStr">
        <is>
          <t>route length from the model + 2 x 40 ft risers</t>
        </is>
      </c>
      <c r="AA2483" s="12">
        <f>N2483*O2483</f>
        <v/>
      </c>
    </row>
    <row r="2484">
      <c r="A2484" s="12" t="inlineStr">
        <is>
          <t>C-HV-0006</t>
        </is>
      </c>
      <c r="B2484" s="12" t="inlineStr">
        <is>
          <t>C</t>
        </is>
      </c>
      <c r="C2484" s="12" t="inlineStr">
        <is>
          <t>Grid interface</t>
        </is>
      </c>
      <c r="D2484" s="12" t="inlineStr">
        <is>
          <t>230 kV underground circuit (MOD)</t>
        </is>
      </c>
      <c r="E2484" s="12" t="inlineStr">
        <is>
          <t>MOD-230-A</t>
        </is>
      </c>
      <c r="F2484" s="12" t="inlineStr">
        <is>
          <t>230 kV MOD tie: switchyard end</t>
        </is>
      </c>
      <c r="G2484" s="12" t="inlineStr">
        <is>
          <t>MOD-230-B</t>
        </is>
      </c>
      <c r="H2484" s="12" t="inlineStr">
        <is>
          <t>230 kV MOD tie: plant end</t>
        </is>
      </c>
      <c r="I2484" s="12" t="inlineStr">
        <is>
          <t>HV 230 kV</t>
        </is>
      </c>
      <c r="J2484" s="12" t="inlineStr">
        <is>
          <t>HV XLPE 230 kV 1/C 2500 kcmil Cu, Cu wire shield, Al laminate, HDPE jacket</t>
        </is>
      </c>
      <c r="K2484" s="12" t="inlineStr">
        <is>
          <t>HV230|1/C|2500</t>
        </is>
      </c>
      <c r="L2484" s="12" t="inlineStr">
        <is>
          <t>1/C</t>
        </is>
      </c>
      <c r="M2484" s="12" t="inlineStr">
        <is>
          <t>2500 kcmil</t>
        </is>
      </c>
      <c r="N2484" s="12" t="n">
        <v>1</v>
      </c>
      <c r="O2484" s="12" t="n">
        <v>3</v>
      </c>
      <c r="P2484" s="12" t="n">
        <v>230000</v>
      </c>
      <c r="Q2484" s="12" t="n"/>
      <c r="R2484" s="12" t="n"/>
      <c r="S2484" s="12" t="inlineStr">
        <is>
          <t>HV duct bank</t>
        </is>
      </c>
      <c r="T2484" s="16" t="n">
        <v>10</v>
      </c>
      <c r="U2484" s="16" t="n">
        <v>80</v>
      </c>
      <c r="V2484" s="16">
        <f>ROUNDUP((T2484+U2484+2*'Read Me'!$B$13)*(1+'Read Me'!$B$12),-1)</f>
        <v/>
      </c>
      <c r="W2484" s="16">
        <f>V2484*N2484*O2484</f>
        <v/>
      </c>
      <c r="X2484" s="12">
        <f>IF(LEFT(I2484,2)="MV",2*N2484*IF(L2484="1/C",O2484,1),0)</f>
        <v/>
      </c>
      <c r="Y2484" s="12">
        <f>IF(OR(LEFT(K2484,4)="LVAX",LEFT(K2484,6)="MV15AX",LEFT(K2484,4)="CTAX",LEFT(K2484,2)="W|"),2*N2484*O2484,0)</f>
        <v/>
      </c>
      <c r="Z2484" s="12" t="inlineStr">
        <is>
          <t>route length from the model + 2 x 40 ft risers</t>
        </is>
      </c>
      <c r="AA2484" s="12">
        <f>N2484*O2484</f>
        <v/>
      </c>
    </row>
    <row r="2485">
      <c r="A2485" s="12" t="inlineStr">
        <is>
          <t>C-I-0001</t>
        </is>
      </c>
      <c r="B2485" s="12" t="inlineStr">
        <is>
          <t>C</t>
        </is>
      </c>
      <c r="C2485" s="12" t="inlineStr">
        <is>
          <t>Grid interface</t>
        </is>
      </c>
      <c r="D2485" s="12" t="inlineStr">
        <is>
          <t>Analog instrument to JB JB-D1-CB1-AI01: 2 x 1 pr (field cables)</t>
        </is>
      </c>
      <c r="E2485" s="12" t="inlineStr">
        <is>
          <t>D1-CB1</t>
        </is>
      </c>
      <c r="F2485" s="12" t="inlineStr">
        <is>
          <t>D1 230 kV breaker 1</t>
        </is>
      </c>
      <c r="G2485" s="12" t="inlineStr">
        <is>
          <t>JB-D1-CB1-AI01</t>
        </is>
      </c>
      <c r="H2485" s="12" t="inlineStr">
        <is>
          <t>D1 230 kV breaker 1</t>
        </is>
      </c>
      <c r="I2485" s="12" t="inlineStr">
        <is>
          <t>Instrumentation</t>
        </is>
      </c>
      <c r="J2485" s="12" t="inlineStr">
        <is>
          <t>Instrumentation PLTC / TC-ER 300 V, #18 twisted shielded pairs, overall shield</t>
        </is>
      </c>
      <c r="K2485" s="12" t="inlineStr">
        <is>
          <t>PLTC|1 pr|16</t>
        </is>
      </c>
      <c r="L2485" s="12" t="inlineStr">
        <is>
          <t>1 pr</t>
        </is>
      </c>
      <c r="M2485" s="12" t="inlineStr">
        <is>
          <t>16</t>
        </is>
      </c>
      <c r="N2485" s="12" t="n">
        <v>2</v>
      </c>
      <c r="O2485" s="12" t="n">
        <v>1</v>
      </c>
      <c r="P2485" s="12" t="n"/>
      <c r="Q2485" s="12" t="n"/>
      <c r="R2485" s="12" t="n"/>
      <c r="S2485" s="12" t="inlineStr">
        <is>
          <t>Tray / conduit</t>
        </is>
      </c>
      <c r="T2485" s="16" t="n">
        <v>52</v>
      </c>
      <c r="U2485" s="16" t="n">
        <v>10</v>
      </c>
      <c r="V2485" s="16">
        <f>ROUNDUP((T2485+U2485+2*'Read Me'!$B$13)*(1+'Read Me'!$B$12),-1)</f>
        <v/>
      </c>
      <c r="W2485" s="16">
        <f>V2485*N2485*O2485</f>
        <v/>
      </c>
      <c r="X2485" s="12">
        <f>IF(LEFT(I2485,2)="MV",2*N2485*IF(L2485="1/C",O2485,1),0)</f>
        <v/>
      </c>
      <c r="Y2485" s="12">
        <f>IF(OR(LEFT(K2485,4)="LVAX",LEFT(K2485,6)="MV15AX",LEFT(K2485,4)="CTAX",LEFT(K2485,2)="W|"),2*N2485*O2485,0)</f>
        <v/>
      </c>
      <c r="Z2485" s="12" t="inlineStr">
        <is>
          <t>device-to-JB field wiring, one cable per device</t>
        </is>
      </c>
      <c r="AA2485" s="12">
        <f>N2485*O2485</f>
        <v/>
      </c>
    </row>
    <row r="2486">
      <c r="A2486" s="12" t="inlineStr">
        <is>
          <t>C-I-0002</t>
        </is>
      </c>
      <c r="B2486" s="12" t="inlineStr">
        <is>
          <t>C</t>
        </is>
      </c>
      <c r="C2486" s="12" t="inlineStr">
        <is>
          <t>Grid interface</t>
        </is>
      </c>
      <c r="D2486" s="12" t="inlineStr">
        <is>
          <t>Home run JB-D1-CB1-AI01 to the control / marshalling room</t>
        </is>
      </c>
      <c r="E2486" s="12" t="inlineStr">
        <is>
          <t>RH</t>
        </is>
      </c>
      <c r="F2486" s="12" t="inlineStr">
        <is>
          <t>RH: switchyard relay / control house (52 x 70 ft)</t>
        </is>
      </c>
      <c r="G2486" s="12" t="inlineStr">
        <is>
          <t>JB-D1-CB1-AI01</t>
        </is>
      </c>
      <c r="H2486" s="12" t="inlineStr">
        <is>
          <t>D1 230 kV breaker 1</t>
        </is>
      </c>
      <c r="I2486" s="12" t="inlineStr">
        <is>
          <t>Instrumentation</t>
        </is>
      </c>
      <c r="J2486" s="12" t="inlineStr">
        <is>
          <t>Instrumentation PLTC / TC-ER 300 V, #18 twisted shielded pairs, overall shield</t>
        </is>
      </c>
      <c r="K2486" s="12" t="inlineStr">
        <is>
          <t>PLTC|24 pr|18</t>
        </is>
      </c>
      <c r="L2486" s="12" t="inlineStr">
        <is>
          <t>24 pr</t>
        </is>
      </c>
      <c r="M2486" s="12" t="inlineStr">
        <is>
          <t>18</t>
        </is>
      </c>
      <c r="N2486" s="12" t="n">
        <v>1</v>
      </c>
      <c r="O2486" s="12" t="n">
        <v>1</v>
      </c>
      <c r="P2486" s="12" t="n"/>
      <c r="Q2486" s="12" t="n"/>
      <c r="R2486" s="12" t="n"/>
      <c r="S2486" s="12" t="inlineStr">
        <is>
          <t>Trench</t>
        </is>
      </c>
      <c r="T2486" s="16" t="n">
        <v>274</v>
      </c>
      <c r="U2486" s="16" t="n">
        <v>40</v>
      </c>
      <c r="V2486" s="16">
        <f>ROUNDUP((T2486+U2486+2*'Read Me'!$B$13)*(1+'Read Me'!$B$12),-1)</f>
        <v/>
      </c>
      <c r="W2486" s="16">
        <f>V2486*N2486*O2486</f>
        <v/>
      </c>
      <c r="X2486" s="12">
        <f>IF(LEFT(I2486,2)="MV",2*N2486*IF(L2486="1/C",O2486,1),0)</f>
        <v/>
      </c>
      <c r="Y2486" s="12">
        <f>IF(OR(LEFT(K2486,4)="LVAX",LEFT(K2486,6)="MV15AX",LEFT(K2486,4)="CTAX",LEFT(K2486,2)="W|"),2*N2486*O2486,0)</f>
        <v/>
      </c>
      <c r="Z2486" s="12" t="inlineStr"/>
      <c r="AA2486" s="12">
        <f>N2486*O2486</f>
        <v/>
      </c>
    </row>
    <row r="2487">
      <c r="A2487" s="12" t="inlineStr">
        <is>
          <t>C-I-0003</t>
        </is>
      </c>
      <c r="B2487" s="12" t="inlineStr">
        <is>
          <t>C</t>
        </is>
      </c>
      <c r="C2487" s="12" t="inlineStr">
        <is>
          <t>Grid interface</t>
        </is>
      </c>
      <c r="D2487" s="12" t="inlineStr">
        <is>
          <t>Discrete device to JB JB-D1-CB1-DI01: 20 x 1 pr (field cables)</t>
        </is>
      </c>
      <c r="E2487" s="12" t="inlineStr">
        <is>
          <t>D1-CB1</t>
        </is>
      </c>
      <c r="F2487" s="12" t="inlineStr">
        <is>
          <t>D1 230 kV breaker 1</t>
        </is>
      </c>
      <c r="G2487" s="12" t="inlineStr">
        <is>
          <t>JB-D1-CB1-DI01</t>
        </is>
      </c>
      <c r="H2487" s="12" t="inlineStr">
        <is>
          <t>D1 230 kV breaker 1</t>
        </is>
      </c>
      <c r="I2487" s="12" t="inlineStr">
        <is>
          <t>Instrumentation</t>
        </is>
      </c>
      <c r="J2487" s="12" t="inlineStr">
        <is>
          <t>Instrumentation PLTC / TC-ER 300 V, #18 twisted shielded pairs, overall shield</t>
        </is>
      </c>
      <c r="K2487" s="12" t="inlineStr">
        <is>
          <t>PLTC|1 pr|16</t>
        </is>
      </c>
      <c r="L2487" s="12" t="inlineStr">
        <is>
          <t>1 pr</t>
        </is>
      </c>
      <c r="M2487" s="12" t="inlineStr">
        <is>
          <t>16</t>
        </is>
      </c>
      <c r="N2487" s="12" t="n">
        <v>20</v>
      </c>
      <c r="O2487" s="12" t="n">
        <v>1</v>
      </c>
      <c r="P2487" s="12" t="n"/>
      <c r="Q2487" s="12" t="n"/>
      <c r="R2487" s="12" t="n"/>
      <c r="S2487" s="12" t="inlineStr">
        <is>
          <t>Tray / conduit</t>
        </is>
      </c>
      <c r="T2487" s="16" t="n">
        <v>52</v>
      </c>
      <c r="U2487" s="16" t="n">
        <v>10</v>
      </c>
      <c r="V2487" s="16">
        <f>ROUNDUP((T2487+U2487+2*'Read Me'!$B$13)*(1+'Read Me'!$B$12),-1)</f>
        <v/>
      </c>
      <c r="W2487" s="16">
        <f>V2487*N2487*O2487</f>
        <v/>
      </c>
      <c r="X2487" s="12">
        <f>IF(LEFT(I2487,2)="MV",2*N2487*IF(L2487="1/C",O2487,1),0)</f>
        <v/>
      </c>
      <c r="Y2487" s="12">
        <f>IF(OR(LEFT(K2487,4)="LVAX",LEFT(K2487,6)="MV15AX",LEFT(K2487,4)="CTAX",LEFT(K2487,2)="W|"),2*N2487*O2487,0)</f>
        <v/>
      </c>
      <c r="Z2487" s="12" t="inlineStr">
        <is>
          <t>device-to-JB field wiring, one cable per device</t>
        </is>
      </c>
      <c r="AA2487" s="12">
        <f>N2487*O2487</f>
        <v/>
      </c>
    </row>
    <row r="2488">
      <c r="A2488" s="12" t="inlineStr">
        <is>
          <t>C-I-0004</t>
        </is>
      </c>
      <c r="B2488" s="12" t="inlineStr">
        <is>
          <t>C</t>
        </is>
      </c>
      <c r="C2488" s="12" t="inlineStr">
        <is>
          <t>Grid interface</t>
        </is>
      </c>
      <c r="D2488" s="12" t="inlineStr">
        <is>
          <t>Home run JB-D1-CB1-DI01 to the control / marshalling room</t>
        </is>
      </c>
      <c r="E2488" s="12" t="inlineStr">
        <is>
          <t>RH</t>
        </is>
      </c>
      <c r="F2488" s="12" t="inlineStr">
        <is>
          <t>RH: switchyard relay / control house (52 x 70 ft)</t>
        </is>
      </c>
      <c r="G2488" s="12" t="inlineStr">
        <is>
          <t>JB-D1-CB1-DI01</t>
        </is>
      </c>
      <c r="H2488" s="12" t="inlineStr">
        <is>
          <t>D1 230 kV breaker 1</t>
        </is>
      </c>
      <c r="I2488" s="12" t="inlineStr">
        <is>
          <t>Instrumentation</t>
        </is>
      </c>
      <c r="J2488" s="12" t="inlineStr">
        <is>
          <t>Instrumentation PLTC / TC-ER 300 V, #18 twisted shielded pairs, overall shield</t>
        </is>
      </c>
      <c r="K2488" s="12" t="inlineStr">
        <is>
          <t>PLTC|24 pr|18</t>
        </is>
      </c>
      <c r="L2488" s="12" t="inlineStr">
        <is>
          <t>24 pr</t>
        </is>
      </c>
      <c r="M2488" s="12" t="inlineStr">
        <is>
          <t>18</t>
        </is>
      </c>
      <c r="N2488" s="12" t="n">
        <v>1</v>
      </c>
      <c r="O2488" s="12" t="n">
        <v>1</v>
      </c>
      <c r="P2488" s="12" t="n"/>
      <c r="Q2488" s="12" t="n"/>
      <c r="R2488" s="12" t="n"/>
      <c r="S2488" s="12" t="inlineStr">
        <is>
          <t>Trench</t>
        </is>
      </c>
      <c r="T2488" s="16" t="n">
        <v>274</v>
      </c>
      <c r="U2488" s="16" t="n">
        <v>40</v>
      </c>
      <c r="V2488" s="16">
        <f>ROUNDUP((T2488+U2488+2*'Read Me'!$B$13)*(1+'Read Me'!$B$12),-1)</f>
        <v/>
      </c>
      <c r="W2488" s="16">
        <f>V2488*N2488*O2488</f>
        <v/>
      </c>
      <c r="X2488" s="12">
        <f>IF(LEFT(I2488,2)="MV",2*N2488*IF(L2488="1/C",O2488,1),0)</f>
        <v/>
      </c>
      <c r="Y2488" s="12">
        <f>IF(OR(LEFT(K2488,4)="LVAX",LEFT(K2488,6)="MV15AX",LEFT(K2488,4)="CTAX",LEFT(K2488,2)="W|"),2*N2488*O2488,0)</f>
        <v/>
      </c>
      <c r="Z2488" s="12" t="inlineStr"/>
      <c r="AA2488" s="12">
        <f>N2488*O2488</f>
        <v/>
      </c>
    </row>
    <row r="2489">
      <c r="A2489" s="12" t="inlineStr">
        <is>
          <t>C-I-0005</t>
        </is>
      </c>
      <c r="B2489" s="12" t="inlineStr">
        <is>
          <t>C</t>
        </is>
      </c>
      <c r="C2489" s="12" t="inlineStr">
        <is>
          <t>Grid interface</t>
        </is>
      </c>
      <c r="D2489" s="12" t="inlineStr">
        <is>
          <t>Analog instrument to JB JB-D1-CB2-AI01: 2 x 1 pr (field cables)</t>
        </is>
      </c>
      <c r="E2489" s="12" t="inlineStr">
        <is>
          <t>D1-CB2</t>
        </is>
      </c>
      <c r="F2489" s="12" t="inlineStr">
        <is>
          <t>D1 230 kV breaker 2</t>
        </is>
      </c>
      <c r="G2489" s="12" t="inlineStr">
        <is>
          <t>JB-D1-CB2-AI01</t>
        </is>
      </c>
      <c r="H2489" s="12" t="inlineStr">
        <is>
          <t>D1 230 kV breaker 2</t>
        </is>
      </c>
      <c r="I2489" s="12" t="inlineStr">
        <is>
          <t>Instrumentation</t>
        </is>
      </c>
      <c r="J2489" s="12" t="inlineStr">
        <is>
          <t>Instrumentation PLTC / TC-ER 300 V, #18 twisted shielded pairs, overall shield</t>
        </is>
      </c>
      <c r="K2489" s="12" t="inlineStr">
        <is>
          <t>PLTC|1 pr|16</t>
        </is>
      </c>
      <c r="L2489" s="12" t="inlineStr">
        <is>
          <t>1 pr</t>
        </is>
      </c>
      <c r="M2489" s="12" t="inlineStr">
        <is>
          <t>16</t>
        </is>
      </c>
      <c r="N2489" s="12" t="n">
        <v>2</v>
      </c>
      <c r="O2489" s="12" t="n">
        <v>1</v>
      </c>
      <c r="P2489" s="12" t="n"/>
      <c r="Q2489" s="12" t="n"/>
      <c r="R2489" s="12" t="n"/>
      <c r="S2489" s="12" t="inlineStr">
        <is>
          <t>Tray / conduit</t>
        </is>
      </c>
      <c r="T2489" s="16" t="n">
        <v>52</v>
      </c>
      <c r="U2489" s="16" t="n">
        <v>10</v>
      </c>
      <c r="V2489" s="16">
        <f>ROUNDUP((T2489+U2489+2*'Read Me'!$B$13)*(1+'Read Me'!$B$12),-1)</f>
        <v/>
      </c>
      <c r="W2489" s="16">
        <f>V2489*N2489*O2489</f>
        <v/>
      </c>
      <c r="X2489" s="12">
        <f>IF(LEFT(I2489,2)="MV",2*N2489*IF(L2489="1/C",O2489,1),0)</f>
        <v/>
      </c>
      <c r="Y2489" s="12">
        <f>IF(OR(LEFT(K2489,4)="LVAX",LEFT(K2489,6)="MV15AX",LEFT(K2489,4)="CTAX",LEFT(K2489,2)="W|"),2*N2489*O2489,0)</f>
        <v/>
      </c>
      <c r="Z2489" s="12" t="inlineStr">
        <is>
          <t>device-to-JB field wiring, one cable per device</t>
        </is>
      </c>
      <c r="AA2489" s="12">
        <f>N2489*O2489</f>
        <v/>
      </c>
    </row>
    <row r="2490">
      <c r="A2490" s="12" t="inlineStr">
        <is>
          <t>C-I-0006</t>
        </is>
      </c>
      <c r="B2490" s="12" t="inlineStr">
        <is>
          <t>C</t>
        </is>
      </c>
      <c r="C2490" s="12" t="inlineStr">
        <is>
          <t>Grid interface</t>
        </is>
      </c>
      <c r="D2490" s="12" t="inlineStr">
        <is>
          <t>Home run JB-D1-CB2-AI01 to the control / marshalling room</t>
        </is>
      </c>
      <c r="E2490" s="12" t="inlineStr">
        <is>
          <t>RH</t>
        </is>
      </c>
      <c r="F2490" s="12" t="inlineStr">
        <is>
          <t>RH: switchyard relay / control house (52 x 70 ft)</t>
        </is>
      </c>
      <c r="G2490" s="12" t="inlineStr">
        <is>
          <t>JB-D1-CB2-AI01</t>
        </is>
      </c>
      <c r="H2490" s="12" t="inlineStr">
        <is>
          <t>D1 230 kV breaker 2</t>
        </is>
      </c>
      <c r="I2490" s="12" t="inlineStr">
        <is>
          <t>Instrumentation</t>
        </is>
      </c>
      <c r="J2490" s="12" t="inlineStr">
        <is>
          <t>Instrumentation PLTC / TC-ER 300 V, #18 twisted shielded pairs, overall shield</t>
        </is>
      </c>
      <c r="K2490" s="12" t="inlineStr">
        <is>
          <t>PLTC|24 pr|18</t>
        </is>
      </c>
      <c r="L2490" s="12" t="inlineStr">
        <is>
          <t>24 pr</t>
        </is>
      </c>
      <c r="M2490" s="12" t="inlineStr">
        <is>
          <t>18</t>
        </is>
      </c>
      <c r="N2490" s="12" t="n">
        <v>1</v>
      </c>
      <c r="O2490" s="12" t="n">
        <v>1</v>
      </c>
      <c r="P2490" s="12" t="n"/>
      <c r="Q2490" s="12" t="n"/>
      <c r="R2490" s="12" t="n"/>
      <c r="S2490" s="12" t="inlineStr">
        <is>
          <t>Trench</t>
        </is>
      </c>
      <c r="T2490" s="16" t="n">
        <v>274</v>
      </c>
      <c r="U2490" s="16" t="n">
        <v>52</v>
      </c>
      <c r="V2490" s="16">
        <f>ROUNDUP((T2490+U2490+2*'Read Me'!$B$13)*(1+'Read Me'!$B$12),-1)</f>
        <v/>
      </c>
      <c r="W2490" s="16">
        <f>V2490*N2490*O2490</f>
        <v/>
      </c>
      <c r="X2490" s="12">
        <f>IF(LEFT(I2490,2)="MV",2*N2490*IF(L2490="1/C",O2490,1),0)</f>
        <v/>
      </c>
      <c r="Y2490" s="12">
        <f>IF(OR(LEFT(K2490,4)="LVAX",LEFT(K2490,6)="MV15AX",LEFT(K2490,4)="CTAX",LEFT(K2490,2)="W|"),2*N2490*O2490,0)</f>
        <v/>
      </c>
      <c r="Z2490" s="12" t="inlineStr"/>
      <c r="AA2490" s="12">
        <f>N2490*O2490</f>
        <v/>
      </c>
    </row>
    <row r="2491">
      <c r="A2491" s="12" t="inlineStr">
        <is>
          <t>C-I-0007</t>
        </is>
      </c>
      <c r="B2491" s="12" t="inlineStr">
        <is>
          <t>C</t>
        </is>
      </c>
      <c r="C2491" s="12" t="inlineStr">
        <is>
          <t>Grid interface</t>
        </is>
      </c>
      <c r="D2491" s="12" t="inlineStr">
        <is>
          <t>Discrete device to JB JB-D1-CB2-DI01: 20 x 1 pr (field cables)</t>
        </is>
      </c>
      <c r="E2491" s="12" t="inlineStr">
        <is>
          <t>D1-CB2</t>
        </is>
      </c>
      <c r="F2491" s="12" t="inlineStr">
        <is>
          <t>D1 230 kV breaker 2</t>
        </is>
      </c>
      <c r="G2491" s="12" t="inlineStr">
        <is>
          <t>JB-D1-CB2-DI01</t>
        </is>
      </c>
      <c r="H2491" s="12" t="inlineStr">
        <is>
          <t>D1 230 kV breaker 2</t>
        </is>
      </c>
      <c r="I2491" s="12" t="inlineStr">
        <is>
          <t>Instrumentation</t>
        </is>
      </c>
      <c r="J2491" s="12" t="inlineStr">
        <is>
          <t>Instrumentation PLTC / TC-ER 300 V, #18 twisted shielded pairs, overall shield</t>
        </is>
      </c>
      <c r="K2491" s="12" t="inlineStr">
        <is>
          <t>PLTC|1 pr|16</t>
        </is>
      </c>
      <c r="L2491" s="12" t="inlineStr">
        <is>
          <t>1 pr</t>
        </is>
      </c>
      <c r="M2491" s="12" t="inlineStr">
        <is>
          <t>16</t>
        </is>
      </c>
      <c r="N2491" s="12" t="n">
        <v>20</v>
      </c>
      <c r="O2491" s="12" t="n">
        <v>1</v>
      </c>
      <c r="P2491" s="12" t="n"/>
      <c r="Q2491" s="12" t="n"/>
      <c r="R2491" s="12" t="n"/>
      <c r="S2491" s="12" t="inlineStr">
        <is>
          <t>Tray / conduit</t>
        </is>
      </c>
      <c r="T2491" s="16" t="n">
        <v>52</v>
      </c>
      <c r="U2491" s="16" t="n">
        <v>10</v>
      </c>
      <c r="V2491" s="16">
        <f>ROUNDUP((T2491+U2491+2*'Read Me'!$B$13)*(1+'Read Me'!$B$12),-1)</f>
        <v/>
      </c>
      <c r="W2491" s="16">
        <f>V2491*N2491*O2491</f>
        <v/>
      </c>
      <c r="X2491" s="12">
        <f>IF(LEFT(I2491,2)="MV",2*N2491*IF(L2491="1/C",O2491,1),0)</f>
        <v/>
      </c>
      <c r="Y2491" s="12">
        <f>IF(OR(LEFT(K2491,4)="LVAX",LEFT(K2491,6)="MV15AX",LEFT(K2491,4)="CTAX",LEFT(K2491,2)="W|"),2*N2491*O2491,0)</f>
        <v/>
      </c>
      <c r="Z2491" s="12" t="inlineStr">
        <is>
          <t>device-to-JB field wiring, one cable per device</t>
        </is>
      </c>
      <c r="AA2491" s="12">
        <f>N2491*O2491</f>
        <v/>
      </c>
    </row>
    <row r="2492">
      <c r="A2492" s="12" t="inlineStr">
        <is>
          <t>C-I-0008</t>
        </is>
      </c>
      <c r="B2492" s="12" t="inlineStr">
        <is>
          <t>C</t>
        </is>
      </c>
      <c r="C2492" s="12" t="inlineStr">
        <is>
          <t>Grid interface</t>
        </is>
      </c>
      <c r="D2492" s="12" t="inlineStr">
        <is>
          <t>Home run JB-D1-CB2-DI01 to the control / marshalling room</t>
        </is>
      </c>
      <c r="E2492" s="12" t="inlineStr">
        <is>
          <t>RH</t>
        </is>
      </c>
      <c r="F2492" s="12" t="inlineStr">
        <is>
          <t>RH: switchyard relay / control house (52 x 70 ft)</t>
        </is>
      </c>
      <c r="G2492" s="12" t="inlineStr">
        <is>
          <t>JB-D1-CB2-DI01</t>
        </is>
      </c>
      <c r="H2492" s="12" t="inlineStr">
        <is>
          <t>D1 230 kV breaker 2</t>
        </is>
      </c>
      <c r="I2492" s="12" t="inlineStr">
        <is>
          <t>Instrumentation</t>
        </is>
      </c>
      <c r="J2492" s="12" t="inlineStr">
        <is>
          <t>Instrumentation PLTC / TC-ER 300 V, #18 twisted shielded pairs, overall shield</t>
        </is>
      </c>
      <c r="K2492" s="12" t="inlineStr">
        <is>
          <t>PLTC|24 pr|18</t>
        </is>
      </c>
      <c r="L2492" s="12" t="inlineStr">
        <is>
          <t>24 pr</t>
        </is>
      </c>
      <c r="M2492" s="12" t="inlineStr">
        <is>
          <t>18</t>
        </is>
      </c>
      <c r="N2492" s="12" t="n">
        <v>1</v>
      </c>
      <c r="O2492" s="12" t="n">
        <v>1</v>
      </c>
      <c r="P2492" s="12" t="n"/>
      <c r="Q2492" s="12" t="n"/>
      <c r="R2492" s="12" t="n"/>
      <c r="S2492" s="12" t="inlineStr">
        <is>
          <t>Trench</t>
        </is>
      </c>
      <c r="T2492" s="16" t="n">
        <v>274</v>
      </c>
      <c r="U2492" s="16" t="n">
        <v>52</v>
      </c>
      <c r="V2492" s="16">
        <f>ROUNDUP((T2492+U2492+2*'Read Me'!$B$13)*(1+'Read Me'!$B$12),-1)</f>
        <v/>
      </c>
      <c r="W2492" s="16">
        <f>V2492*N2492*O2492</f>
        <v/>
      </c>
      <c r="X2492" s="12">
        <f>IF(LEFT(I2492,2)="MV",2*N2492*IF(L2492="1/C",O2492,1),0)</f>
        <v/>
      </c>
      <c r="Y2492" s="12">
        <f>IF(OR(LEFT(K2492,4)="LVAX",LEFT(K2492,6)="MV15AX",LEFT(K2492,4)="CTAX",LEFT(K2492,2)="W|"),2*N2492*O2492,0)</f>
        <v/>
      </c>
      <c r="Z2492" s="12" t="inlineStr"/>
      <c r="AA2492" s="12">
        <f>N2492*O2492</f>
        <v/>
      </c>
    </row>
    <row r="2493">
      <c r="A2493" s="12" t="inlineStr">
        <is>
          <t>C-I-0009</t>
        </is>
      </c>
      <c r="B2493" s="12" t="inlineStr">
        <is>
          <t>C</t>
        </is>
      </c>
      <c r="C2493" s="12" t="inlineStr">
        <is>
          <t>Grid interface</t>
        </is>
      </c>
      <c r="D2493" s="12" t="inlineStr">
        <is>
          <t>Analog instrument to JB JB-D1-CB3-AI01: 2 x 1 pr (field cables)</t>
        </is>
      </c>
      <c r="E2493" s="12" t="inlineStr">
        <is>
          <t>D1-CB3</t>
        </is>
      </c>
      <c r="F2493" s="12" t="inlineStr">
        <is>
          <t>D1 230 kV breaker 3</t>
        </is>
      </c>
      <c r="G2493" s="12" t="inlineStr">
        <is>
          <t>JB-D1-CB3-AI01</t>
        </is>
      </c>
      <c r="H2493" s="12" t="inlineStr">
        <is>
          <t>D1 230 kV breaker 3</t>
        </is>
      </c>
      <c r="I2493" s="12" t="inlineStr">
        <is>
          <t>Instrumentation</t>
        </is>
      </c>
      <c r="J2493" s="12" t="inlineStr">
        <is>
          <t>Instrumentation PLTC / TC-ER 300 V, #18 twisted shielded pairs, overall shield</t>
        </is>
      </c>
      <c r="K2493" s="12" t="inlineStr">
        <is>
          <t>PLTC|1 pr|16</t>
        </is>
      </c>
      <c r="L2493" s="12" t="inlineStr">
        <is>
          <t>1 pr</t>
        </is>
      </c>
      <c r="M2493" s="12" t="inlineStr">
        <is>
          <t>16</t>
        </is>
      </c>
      <c r="N2493" s="12" t="n">
        <v>2</v>
      </c>
      <c r="O2493" s="12" t="n">
        <v>1</v>
      </c>
      <c r="P2493" s="12" t="n"/>
      <c r="Q2493" s="12" t="n"/>
      <c r="R2493" s="12" t="n"/>
      <c r="S2493" s="12" t="inlineStr">
        <is>
          <t>Tray / conduit</t>
        </is>
      </c>
      <c r="T2493" s="16" t="n">
        <v>52</v>
      </c>
      <c r="U2493" s="16" t="n">
        <v>10</v>
      </c>
      <c r="V2493" s="16">
        <f>ROUNDUP((T2493+U2493+2*'Read Me'!$B$13)*(1+'Read Me'!$B$12),-1)</f>
        <v/>
      </c>
      <c r="W2493" s="16">
        <f>V2493*N2493*O2493</f>
        <v/>
      </c>
      <c r="X2493" s="12">
        <f>IF(LEFT(I2493,2)="MV",2*N2493*IF(L2493="1/C",O2493,1),0)</f>
        <v/>
      </c>
      <c r="Y2493" s="12">
        <f>IF(OR(LEFT(K2493,4)="LVAX",LEFT(K2493,6)="MV15AX",LEFT(K2493,4)="CTAX",LEFT(K2493,2)="W|"),2*N2493*O2493,0)</f>
        <v/>
      </c>
      <c r="Z2493" s="12" t="inlineStr">
        <is>
          <t>device-to-JB field wiring, one cable per device</t>
        </is>
      </c>
      <c r="AA2493" s="12">
        <f>N2493*O2493</f>
        <v/>
      </c>
    </row>
    <row r="2494">
      <c r="A2494" s="12" t="inlineStr">
        <is>
          <t>C-I-0010</t>
        </is>
      </c>
      <c r="B2494" s="12" t="inlineStr">
        <is>
          <t>C</t>
        </is>
      </c>
      <c r="C2494" s="12" t="inlineStr">
        <is>
          <t>Grid interface</t>
        </is>
      </c>
      <c r="D2494" s="12" t="inlineStr">
        <is>
          <t>Home run JB-D1-CB3-AI01 to the control / marshalling room</t>
        </is>
      </c>
      <c r="E2494" s="12" t="inlineStr">
        <is>
          <t>RH</t>
        </is>
      </c>
      <c r="F2494" s="12" t="inlineStr">
        <is>
          <t>RH: switchyard relay / control house (52 x 70 ft)</t>
        </is>
      </c>
      <c r="G2494" s="12" t="inlineStr">
        <is>
          <t>JB-D1-CB3-AI01</t>
        </is>
      </c>
      <c r="H2494" s="12" t="inlineStr">
        <is>
          <t>D1 230 kV breaker 3</t>
        </is>
      </c>
      <c r="I2494" s="12" t="inlineStr">
        <is>
          <t>Instrumentation</t>
        </is>
      </c>
      <c r="J2494" s="12" t="inlineStr">
        <is>
          <t>Instrumentation PLTC / TC-ER 300 V, #18 twisted shielded pairs, overall shield</t>
        </is>
      </c>
      <c r="K2494" s="12" t="inlineStr">
        <is>
          <t>PLTC|24 pr|18</t>
        </is>
      </c>
      <c r="L2494" s="12" t="inlineStr">
        <is>
          <t>24 pr</t>
        </is>
      </c>
      <c r="M2494" s="12" t="inlineStr">
        <is>
          <t>18</t>
        </is>
      </c>
      <c r="N2494" s="12" t="n">
        <v>1</v>
      </c>
      <c r="O2494" s="12" t="n">
        <v>1</v>
      </c>
      <c r="P2494" s="12" t="n"/>
      <c r="Q2494" s="12" t="n"/>
      <c r="R2494" s="12" t="n"/>
      <c r="S2494" s="12" t="inlineStr">
        <is>
          <t>Trench</t>
        </is>
      </c>
      <c r="T2494" s="16" t="n">
        <v>274</v>
      </c>
      <c r="U2494" s="16" t="n">
        <v>92</v>
      </c>
      <c r="V2494" s="16">
        <f>ROUNDUP((T2494+U2494+2*'Read Me'!$B$13)*(1+'Read Me'!$B$12),-1)</f>
        <v/>
      </c>
      <c r="W2494" s="16">
        <f>V2494*N2494*O2494</f>
        <v/>
      </c>
      <c r="X2494" s="12">
        <f>IF(LEFT(I2494,2)="MV",2*N2494*IF(L2494="1/C",O2494,1),0)</f>
        <v/>
      </c>
      <c r="Y2494" s="12">
        <f>IF(OR(LEFT(K2494,4)="LVAX",LEFT(K2494,6)="MV15AX",LEFT(K2494,4)="CTAX",LEFT(K2494,2)="W|"),2*N2494*O2494,0)</f>
        <v/>
      </c>
      <c r="Z2494" s="12" t="inlineStr"/>
      <c r="AA2494" s="12">
        <f>N2494*O2494</f>
        <v/>
      </c>
    </row>
    <row r="2495">
      <c r="A2495" s="12" t="inlineStr">
        <is>
          <t>C-I-0011</t>
        </is>
      </c>
      <c r="B2495" s="12" t="inlineStr">
        <is>
          <t>C</t>
        </is>
      </c>
      <c r="C2495" s="12" t="inlineStr">
        <is>
          <t>Grid interface</t>
        </is>
      </c>
      <c r="D2495" s="12" t="inlineStr">
        <is>
          <t>Discrete device to JB JB-D1-CB3-DI01: 20 x 1 pr (field cables)</t>
        </is>
      </c>
      <c r="E2495" s="12" t="inlineStr">
        <is>
          <t>D1-CB3</t>
        </is>
      </c>
      <c r="F2495" s="12" t="inlineStr">
        <is>
          <t>D1 230 kV breaker 3</t>
        </is>
      </c>
      <c r="G2495" s="12" t="inlineStr">
        <is>
          <t>JB-D1-CB3-DI01</t>
        </is>
      </c>
      <c r="H2495" s="12" t="inlineStr">
        <is>
          <t>D1 230 kV breaker 3</t>
        </is>
      </c>
      <c r="I2495" s="12" t="inlineStr">
        <is>
          <t>Instrumentation</t>
        </is>
      </c>
      <c r="J2495" s="12" t="inlineStr">
        <is>
          <t>Instrumentation PLTC / TC-ER 300 V, #18 twisted shielded pairs, overall shield</t>
        </is>
      </c>
      <c r="K2495" s="12" t="inlineStr">
        <is>
          <t>PLTC|1 pr|16</t>
        </is>
      </c>
      <c r="L2495" s="12" t="inlineStr">
        <is>
          <t>1 pr</t>
        </is>
      </c>
      <c r="M2495" s="12" t="inlineStr">
        <is>
          <t>16</t>
        </is>
      </c>
      <c r="N2495" s="12" t="n">
        <v>20</v>
      </c>
      <c r="O2495" s="12" t="n">
        <v>1</v>
      </c>
      <c r="P2495" s="12" t="n"/>
      <c r="Q2495" s="12" t="n"/>
      <c r="R2495" s="12" t="n"/>
      <c r="S2495" s="12" t="inlineStr">
        <is>
          <t>Tray / conduit</t>
        </is>
      </c>
      <c r="T2495" s="16" t="n">
        <v>52</v>
      </c>
      <c r="U2495" s="16" t="n">
        <v>10</v>
      </c>
      <c r="V2495" s="16">
        <f>ROUNDUP((T2495+U2495+2*'Read Me'!$B$13)*(1+'Read Me'!$B$12),-1)</f>
        <v/>
      </c>
      <c r="W2495" s="16">
        <f>V2495*N2495*O2495</f>
        <v/>
      </c>
      <c r="X2495" s="12">
        <f>IF(LEFT(I2495,2)="MV",2*N2495*IF(L2495="1/C",O2495,1),0)</f>
        <v/>
      </c>
      <c r="Y2495" s="12">
        <f>IF(OR(LEFT(K2495,4)="LVAX",LEFT(K2495,6)="MV15AX",LEFT(K2495,4)="CTAX",LEFT(K2495,2)="W|"),2*N2495*O2495,0)</f>
        <v/>
      </c>
      <c r="Z2495" s="12" t="inlineStr">
        <is>
          <t>device-to-JB field wiring, one cable per device</t>
        </is>
      </c>
      <c r="AA2495" s="12">
        <f>N2495*O2495</f>
        <v/>
      </c>
    </row>
    <row r="2496">
      <c r="A2496" s="12" t="inlineStr">
        <is>
          <t>C-I-0012</t>
        </is>
      </c>
      <c r="B2496" s="12" t="inlineStr">
        <is>
          <t>C</t>
        </is>
      </c>
      <c r="C2496" s="12" t="inlineStr">
        <is>
          <t>Grid interface</t>
        </is>
      </c>
      <c r="D2496" s="12" t="inlineStr">
        <is>
          <t>Home run JB-D1-CB3-DI01 to the control / marshalling room</t>
        </is>
      </c>
      <c r="E2496" s="12" t="inlineStr">
        <is>
          <t>RH</t>
        </is>
      </c>
      <c r="F2496" s="12" t="inlineStr">
        <is>
          <t>RH: switchyard relay / control house (52 x 70 ft)</t>
        </is>
      </c>
      <c r="G2496" s="12" t="inlineStr">
        <is>
          <t>JB-D1-CB3-DI01</t>
        </is>
      </c>
      <c r="H2496" s="12" t="inlineStr">
        <is>
          <t>D1 230 kV breaker 3</t>
        </is>
      </c>
      <c r="I2496" s="12" t="inlineStr">
        <is>
          <t>Instrumentation</t>
        </is>
      </c>
      <c r="J2496" s="12" t="inlineStr">
        <is>
          <t>Instrumentation PLTC / TC-ER 300 V, #18 twisted shielded pairs, overall shield</t>
        </is>
      </c>
      <c r="K2496" s="12" t="inlineStr">
        <is>
          <t>PLTC|24 pr|18</t>
        </is>
      </c>
      <c r="L2496" s="12" t="inlineStr">
        <is>
          <t>24 pr</t>
        </is>
      </c>
      <c r="M2496" s="12" t="inlineStr">
        <is>
          <t>18</t>
        </is>
      </c>
      <c r="N2496" s="12" t="n">
        <v>1</v>
      </c>
      <c r="O2496" s="12" t="n">
        <v>1</v>
      </c>
      <c r="P2496" s="12" t="n"/>
      <c r="Q2496" s="12" t="n"/>
      <c r="R2496" s="12" t="n"/>
      <c r="S2496" s="12" t="inlineStr">
        <is>
          <t>Trench</t>
        </is>
      </c>
      <c r="T2496" s="16" t="n">
        <v>274</v>
      </c>
      <c r="U2496" s="16" t="n">
        <v>92</v>
      </c>
      <c r="V2496" s="16">
        <f>ROUNDUP((T2496+U2496+2*'Read Me'!$B$13)*(1+'Read Me'!$B$12),-1)</f>
        <v/>
      </c>
      <c r="W2496" s="16">
        <f>V2496*N2496*O2496</f>
        <v/>
      </c>
      <c r="X2496" s="12">
        <f>IF(LEFT(I2496,2)="MV",2*N2496*IF(L2496="1/C",O2496,1),0)</f>
        <v/>
      </c>
      <c r="Y2496" s="12">
        <f>IF(OR(LEFT(K2496,4)="LVAX",LEFT(K2496,6)="MV15AX",LEFT(K2496,4)="CTAX",LEFT(K2496,2)="W|"),2*N2496*O2496,0)</f>
        <v/>
      </c>
      <c r="Z2496" s="12" t="inlineStr"/>
      <c r="AA2496" s="12">
        <f>N2496*O2496</f>
        <v/>
      </c>
    </row>
    <row r="2497">
      <c r="A2497" s="12" t="inlineStr">
        <is>
          <t>C-I-0013</t>
        </is>
      </c>
      <c r="B2497" s="12" t="inlineStr">
        <is>
          <t>C</t>
        </is>
      </c>
      <c r="C2497" s="12" t="inlineStr">
        <is>
          <t>Grid interface</t>
        </is>
      </c>
      <c r="D2497" s="12" t="inlineStr">
        <is>
          <t>Analog instrument to JB JB-D2-CB1-AI01: 2 x 1 pr (field cables)</t>
        </is>
      </c>
      <c r="E2497" s="12" t="inlineStr">
        <is>
          <t>D2-CB1</t>
        </is>
      </c>
      <c r="F2497" s="12" t="inlineStr">
        <is>
          <t>D2 230 kV breaker 1</t>
        </is>
      </c>
      <c r="G2497" s="12" t="inlineStr">
        <is>
          <t>JB-D2-CB1-AI01</t>
        </is>
      </c>
      <c r="H2497" s="12" t="inlineStr">
        <is>
          <t>D2 230 kV breaker 1</t>
        </is>
      </c>
      <c r="I2497" s="12" t="inlineStr">
        <is>
          <t>Instrumentation</t>
        </is>
      </c>
      <c r="J2497" s="12" t="inlineStr">
        <is>
          <t>Instrumentation PLTC / TC-ER 300 V, #18 twisted shielded pairs, overall shield</t>
        </is>
      </c>
      <c r="K2497" s="12" t="inlineStr">
        <is>
          <t>PLTC|1 pr|16</t>
        </is>
      </c>
      <c r="L2497" s="12" t="inlineStr">
        <is>
          <t>1 pr</t>
        </is>
      </c>
      <c r="M2497" s="12" t="inlineStr">
        <is>
          <t>16</t>
        </is>
      </c>
      <c r="N2497" s="12" t="n">
        <v>2</v>
      </c>
      <c r="O2497" s="12" t="n">
        <v>1</v>
      </c>
      <c r="P2497" s="12" t="n"/>
      <c r="Q2497" s="12" t="n"/>
      <c r="R2497" s="12" t="n"/>
      <c r="S2497" s="12" t="inlineStr">
        <is>
          <t>Tray / conduit</t>
        </is>
      </c>
      <c r="T2497" s="16" t="n">
        <v>52</v>
      </c>
      <c r="U2497" s="16" t="n">
        <v>10</v>
      </c>
      <c r="V2497" s="16">
        <f>ROUNDUP((T2497+U2497+2*'Read Me'!$B$13)*(1+'Read Me'!$B$12),-1)</f>
        <v/>
      </c>
      <c r="W2497" s="16">
        <f>V2497*N2497*O2497</f>
        <v/>
      </c>
      <c r="X2497" s="12">
        <f>IF(LEFT(I2497,2)="MV",2*N2497*IF(L2497="1/C",O2497,1),0)</f>
        <v/>
      </c>
      <c r="Y2497" s="12">
        <f>IF(OR(LEFT(K2497,4)="LVAX",LEFT(K2497,6)="MV15AX",LEFT(K2497,4)="CTAX",LEFT(K2497,2)="W|"),2*N2497*O2497,0)</f>
        <v/>
      </c>
      <c r="Z2497" s="12" t="inlineStr">
        <is>
          <t>device-to-JB field wiring, one cable per device</t>
        </is>
      </c>
      <c r="AA2497" s="12">
        <f>N2497*O2497</f>
        <v/>
      </c>
    </row>
    <row r="2498">
      <c r="A2498" s="12" t="inlineStr">
        <is>
          <t>C-I-0014</t>
        </is>
      </c>
      <c r="B2498" s="12" t="inlineStr">
        <is>
          <t>C</t>
        </is>
      </c>
      <c r="C2498" s="12" t="inlineStr">
        <is>
          <t>Grid interface</t>
        </is>
      </c>
      <c r="D2498" s="12" t="inlineStr">
        <is>
          <t>Home run JB-D2-CB1-AI01 to the control / marshalling room</t>
        </is>
      </c>
      <c r="E2498" s="12" t="inlineStr">
        <is>
          <t>RH</t>
        </is>
      </c>
      <c r="F2498" s="12" t="inlineStr">
        <is>
          <t>RH: switchyard relay / control house (52 x 70 ft)</t>
        </is>
      </c>
      <c r="G2498" s="12" t="inlineStr">
        <is>
          <t>JB-D2-CB1-AI01</t>
        </is>
      </c>
      <c r="H2498" s="12" t="inlineStr">
        <is>
          <t>D2 230 kV breaker 1</t>
        </is>
      </c>
      <c r="I2498" s="12" t="inlineStr">
        <is>
          <t>Instrumentation</t>
        </is>
      </c>
      <c r="J2498" s="12" t="inlineStr">
        <is>
          <t>Instrumentation PLTC / TC-ER 300 V, #18 twisted shielded pairs, overall shield</t>
        </is>
      </c>
      <c r="K2498" s="12" t="inlineStr">
        <is>
          <t>PLTC|24 pr|18</t>
        </is>
      </c>
      <c r="L2498" s="12" t="inlineStr">
        <is>
          <t>24 pr</t>
        </is>
      </c>
      <c r="M2498" s="12" t="inlineStr">
        <is>
          <t>18</t>
        </is>
      </c>
      <c r="N2498" s="12" t="n">
        <v>1</v>
      </c>
      <c r="O2498" s="12" t="n">
        <v>1</v>
      </c>
      <c r="P2498" s="12" t="n"/>
      <c r="Q2498" s="12" t="n"/>
      <c r="R2498" s="12" t="n"/>
      <c r="S2498" s="12" t="inlineStr">
        <is>
          <t>Trench</t>
        </is>
      </c>
      <c r="T2498" s="16" t="n">
        <v>474</v>
      </c>
      <c r="U2498" s="16" t="n">
        <v>40</v>
      </c>
      <c r="V2498" s="16">
        <f>ROUNDUP((T2498+U2498+2*'Read Me'!$B$13)*(1+'Read Me'!$B$12),-1)</f>
        <v/>
      </c>
      <c r="W2498" s="16">
        <f>V2498*N2498*O2498</f>
        <v/>
      </c>
      <c r="X2498" s="12">
        <f>IF(LEFT(I2498,2)="MV",2*N2498*IF(L2498="1/C",O2498,1),0)</f>
        <v/>
      </c>
      <c r="Y2498" s="12">
        <f>IF(OR(LEFT(K2498,4)="LVAX",LEFT(K2498,6)="MV15AX",LEFT(K2498,4)="CTAX",LEFT(K2498,2)="W|"),2*N2498*O2498,0)</f>
        <v/>
      </c>
      <c r="Z2498" s="12" t="inlineStr"/>
      <c r="AA2498" s="12">
        <f>N2498*O2498</f>
        <v/>
      </c>
    </row>
    <row r="2499">
      <c r="A2499" s="12" t="inlineStr">
        <is>
          <t>C-I-0015</t>
        </is>
      </c>
      <c r="B2499" s="12" t="inlineStr">
        <is>
          <t>C</t>
        </is>
      </c>
      <c r="C2499" s="12" t="inlineStr">
        <is>
          <t>Grid interface</t>
        </is>
      </c>
      <c r="D2499" s="12" t="inlineStr">
        <is>
          <t>Discrete device to JB JB-D2-CB1-DI01: 20 x 1 pr (field cables)</t>
        </is>
      </c>
      <c r="E2499" s="12" t="inlineStr">
        <is>
          <t>D2-CB1</t>
        </is>
      </c>
      <c r="F2499" s="12" t="inlineStr">
        <is>
          <t>D2 230 kV breaker 1</t>
        </is>
      </c>
      <c r="G2499" s="12" t="inlineStr">
        <is>
          <t>JB-D2-CB1-DI01</t>
        </is>
      </c>
      <c r="H2499" s="12" t="inlineStr">
        <is>
          <t>D2 230 kV breaker 1</t>
        </is>
      </c>
      <c r="I2499" s="12" t="inlineStr">
        <is>
          <t>Instrumentation</t>
        </is>
      </c>
      <c r="J2499" s="12" t="inlineStr">
        <is>
          <t>Instrumentation PLTC / TC-ER 300 V, #18 twisted shielded pairs, overall shield</t>
        </is>
      </c>
      <c r="K2499" s="12" t="inlineStr">
        <is>
          <t>PLTC|1 pr|16</t>
        </is>
      </c>
      <c r="L2499" s="12" t="inlineStr">
        <is>
          <t>1 pr</t>
        </is>
      </c>
      <c r="M2499" s="12" t="inlineStr">
        <is>
          <t>16</t>
        </is>
      </c>
      <c r="N2499" s="12" t="n">
        <v>20</v>
      </c>
      <c r="O2499" s="12" t="n">
        <v>1</v>
      </c>
      <c r="P2499" s="12" t="n"/>
      <c r="Q2499" s="12" t="n"/>
      <c r="R2499" s="12" t="n"/>
      <c r="S2499" s="12" t="inlineStr">
        <is>
          <t>Tray / conduit</t>
        </is>
      </c>
      <c r="T2499" s="16" t="n">
        <v>52</v>
      </c>
      <c r="U2499" s="16" t="n">
        <v>10</v>
      </c>
      <c r="V2499" s="16">
        <f>ROUNDUP((T2499+U2499+2*'Read Me'!$B$13)*(1+'Read Me'!$B$12),-1)</f>
        <v/>
      </c>
      <c r="W2499" s="16">
        <f>V2499*N2499*O2499</f>
        <v/>
      </c>
      <c r="X2499" s="12">
        <f>IF(LEFT(I2499,2)="MV",2*N2499*IF(L2499="1/C",O2499,1),0)</f>
        <v/>
      </c>
      <c r="Y2499" s="12">
        <f>IF(OR(LEFT(K2499,4)="LVAX",LEFT(K2499,6)="MV15AX",LEFT(K2499,4)="CTAX",LEFT(K2499,2)="W|"),2*N2499*O2499,0)</f>
        <v/>
      </c>
      <c r="Z2499" s="12" t="inlineStr">
        <is>
          <t>device-to-JB field wiring, one cable per device</t>
        </is>
      </c>
      <c r="AA2499" s="12">
        <f>N2499*O2499</f>
        <v/>
      </c>
    </row>
    <row r="2500">
      <c r="A2500" s="12" t="inlineStr">
        <is>
          <t>C-I-0016</t>
        </is>
      </c>
      <c r="B2500" s="12" t="inlineStr">
        <is>
          <t>C</t>
        </is>
      </c>
      <c r="C2500" s="12" t="inlineStr">
        <is>
          <t>Grid interface</t>
        </is>
      </c>
      <c r="D2500" s="12" t="inlineStr">
        <is>
          <t>Home run JB-D2-CB1-DI01 to the control / marshalling room</t>
        </is>
      </c>
      <c r="E2500" s="12" t="inlineStr">
        <is>
          <t>RH</t>
        </is>
      </c>
      <c r="F2500" s="12" t="inlineStr">
        <is>
          <t>RH: switchyard relay / control house (52 x 70 ft)</t>
        </is>
      </c>
      <c r="G2500" s="12" t="inlineStr">
        <is>
          <t>JB-D2-CB1-DI01</t>
        </is>
      </c>
      <c r="H2500" s="12" t="inlineStr">
        <is>
          <t>D2 230 kV breaker 1</t>
        </is>
      </c>
      <c r="I2500" s="12" t="inlineStr">
        <is>
          <t>Instrumentation</t>
        </is>
      </c>
      <c r="J2500" s="12" t="inlineStr">
        <is>
          <t>Instrumentation PLTC / TC-ER 300 V, #18 twisted shielded pairs, overall shield</t>
        </is>
      </c>
      <c r="K2500" s="12" t="inlineStr">
        <is>
          <t>PLTC|24 pr|18</t>
        </is>
      </c>
      <c r="L2500" s="12" t="inlineStr">
        <is>
          <t>24 pr</t>
        </is>
      </c>
      <c r="M2500" s="12" t="inlineStr">
        <is>
          <t>18</t>
        </is>
      </c>
      <c r="N2500" s="12" t="n">
        <v>1</v>
      </c>
      <c r="O2500" s="12" t="n">
        <v>1</v>
      </c>
      <c r="P2500" s="12" t="n"/>
      <c r="Q2500" s="12" t="n"/>
      <c r="R2500" s="12" t="n"/>
      <c r="S2500" s="12" t="inlineStr">
        <is>
          <t>Trench</t>
        </is>
      </c>
      <c r="T2500" s="16" t="n">
        <v>474</v>
      </c>
      <c r="U2500" s="16" t="n">
        <v>40</v>
      </c>
      <c r="V2500" s="16">
        <f>ROUNDUP((T2500+U2500+2*'Read Me'!$B$13)*(1+'Read Me'!$B$12),-1)</f>
        <v/>
      </c>
      <c r="W2500" s="16">
        <f>V2500*N2500*O2500</f>
        <v/>
      </c>
      <c r="X2500" s="12">
        <f>IF(LEFT(I2500,2)="MV",2*N2500*IF(L2500="1/C",O2500,1),0)</f>
        <v/>
      </c>
      <c r="Y2500" s="12">
        <f>IF(OR(LEFT(K2500,4)="LVAX",LEFT(K2500,6)="MV15AX",LEFT(K2500,4)="CTAX",LEFT(K2500,2)="W|"),2*N2500*O2500,0)</f>
        <v/>
      </c>
      <c r="Z2500" s="12" t="inlineStr"/>
      <c r="AA2500" s="12">
        <f>N2500*O2500</f>
        <v/>
      </c>
    </row>
    <row r="2501">
      <c r="A2501" s="12" t="inlineStr">
        <is>
          <t>C-I-0017</t>
        </is>
      </c>
      <c r="B2501" s="12" t="inlineStr">
        <is>
          <t>C</t>
        </is>
      </c>
      <c r="C2501" s="12" t="inlineStr">
        <is>
          <t>Grid interface</t>
        </is>
      </c>
      <c r="D2501" s="12" t="inlineStr">
        <is>
          <t>Analog instrument to JB JB-D2-CB2-AI01: 2 x 1 pr (field cables)</t>
        </is>
      </c>
      <c r="E2501" s="12" t="inlineStr">
        <is>
          <t>D2-CB2</t>
        </is>
      </c>
      <c r="F2501" s="12" t="inlineStr">
        <is>
          <t>D2 230 kV breaker 2</t>
        </is>
      </c>
      <c r="G2501" s="12" t="inlineStr">
        <is>
          <t>JB-D2-CB2-AI01</t>
        </is>
      </c>
      <c r="H2501" s="12" t="inlineStr">
        <is>
          <t>D2 230 kV breaker 2</t>
        </is>
      </c>
      <c r="I2501" s="12" t="inlineStr">
        <is>
          <t>Instrumentation</t>
        </is>
      </c>
      <c r="J2501" s="12" t="inlineStr">
        <is>
          <t>Instrumentation PLTC / TC-ER 300 V, #18 twisted shielded pairs, overall shield</t>
        </is>
      </c>
      <c r="K2501" s="12" t="inlineStr">
        <is>
          <t>PLTC|1 pr|16</t>
        </is>
      </c>
      <c r="L2501" s="12" t="inlineStr">
        <is>
          <t>1 pr</t>
        </is>
      </c>
      <c r="M2501" s="12" t="inlineStr">
        <is>
          <t>16</t>
        </is>
      </c>
      <c r="N2501" s="12" t="n">
        <v>2</v>
      </c>
      <c r="O2501" s="12" t="n">
        <v>1</v>
      </c>
      <c r="P2501" s="12" t="n"/>
      <c r="Q2501" s="12" t="n"/>
      <c r="R2501" s="12" t="n"/>
      <c r="S2501" s="12" t="inlineStr">
        <is>
          <t>Tray / conduit</t>
        </is>
      </c>
      <c r="T2501" s="16" t="n">
        <v>52</v>
      </c>
      <c r="U2501" s="16" t="n">
        <v>10</v>
      </c>
      <c r="V2501" s="16">
        <f>ROUNDUP((T2501+U2501+2*'Read Me'!$B$13)*(1+'Read Me'!$B$12),-1)</f>
        <v/>
      </c>
      <c r="W2501" s="16">
        <f>V2501*N2501*O2501</f>
        <v/>
      </c>
      <c r="X2501" s="12">
        <f>IF(LEFT(I2501,2)="MV",2*N2501*IF(L2501="1/C",O2501,1),0)</f>
        <v/>
      </c>
      <c r="Y2501" s="12">
        <f>IF(OR(LEFT(K2501,4)="LVAX",LEFT(K2501,6)="MV15AX",LEFT(K2501,4)="CTAX",LEFT(K2501,2)="W|"),2*N2501*O2501,0)</f>
        <v/>
      </c>
      <c r="Z2501" s="12" t="inlineStr">
        <is>
          <t>device-to-JB field wiring, one cable per device</t>
        </is>
      </c>
      <c r="AA2501" s="12">
        <f>N2501*O2501</f>
        <v/>
      </c>
    </row>
    <row r="2502">
      <c r="A2502" s="12" t="inlineStr">
        <is>
          <t>C-I-0018</t>
        </is>
      </c>
      <c r="B2502" s="12" t="inlineStr">
        <is>
          <t>C</t>
        </is>
      </c>
      <c r="C2502" s="12" t="inlineStr">
        <is>
          <t>Grid interface</t>
        </is>
      </c>
      <c r="D2502" s="12" t="inlineStr">
        <is>
          <t>Home run JB-D2-CB2-AI01 to the control / marshalling room</t>
        </is>
      </c>
      <c r="E2502" s="12" t="inlineStr">
        <is>
          <t>RH</t>
        </is>
      </c>
      <c r="F2502" s="12" t="inlineStr">
        <is>
          <t>RH: switchyard relay / control house (52 x 70 ft)</t>
        </is>
      </c>
      <c r="G2502" s="12" t="inlineStr">
        <is>
          <t>JB-D2-CB2-AI01</t>
        </is>
      </c>
      <c r="H2502" s="12" t="inlineStr">
        <is>
          <t>D2 230 kV breaker 2</t>
        </is>
      </c>
      <c r="I2502" s="12" t="inlineStr">
        <is>
          <t>Instrumentation</t>
        </is>
      </c>
      <c r="J2502" s="12" t="inlineStr">
        <is>
          <t>Instrumentation PLTC / TC-ER 300 V, #18 twisted shielded pairs, overall shield</t>
        </is>
      </c>
      <c r="K2502" s="12" t="inlineStr">
        <is>
          <t>PLTC|24 pr|18</t>
        </is>
      </c>
      <c r="L2502" s="12" t="inlineStr">
        <is>
          <t>24 pr</t>
        </is>
      </c>
      <c r="M2502" s="12" t="inlineStr">
        <is>
          <t>18</t>
        </is>
      </c>
      <c r="N2502" s="12" t="n">
        <v>1</v>
      </c>
      <c r="O2502" s="12" t="n">
        <v>1</v>
      </c>
      <c r="P2502" s="12" t="n"/>
      <c r="Q2502" s="12" t="n"/>
      <c r="R2502" s="12" t="n"/>
      <c r="S2502" s="12" t="inlineStr">
        <is>
          <t>Trench</t>
        </is>
      </c>
      <c r="T2502" s="16" t="n">
        <v>474</v>
      </c>
      <c r="U2502" s="16" t="n">
        <v>52</v>
      </c>
      <c r="V2502" s="16">
        <f>ROUNDUP((T2502+U2502+2*'Read Me'!$B$13)*(1+'Read Me'!$B$12),-1)</f>
        <v/>
      </c>
      <c r="W2502" s="16">
        <f>V2502*N2502*O2502</f>
        <v/>
      </c>
      <c r="X2502" s="12">
        <f>IF(LEFT(I2502,2)="MV",2*N2502*IF(L2502="1/C",O2502,1),0)</f>
        <v/>
      </c>
      <c r="Y2502" s="12">
        <f>IF(OR(LEFT(K2502,4)="LVAX",LEFT(K2502,6)="MV15AX",LEFT(K2502,4)="CTAX",LEFT(K2502,2)="W|"),2*N2502*O2502,0)</f>
        <v/>
      </c>
      <c r="Z2502" s="12" t="inlineStr"/>
      <c r="AA2502" s="12">
        <f>N2502*O2502</f>
        <v/>
      </c>
    </row>
    <row r="2503">
      <c r="A2503" s="12" t="inlineStr">
        <is>
          <t>C-I-0019</t>
        </is>
      </c>
      <c r="B2503" s="12" t="inlineStr">
        <is>
          <t>C</t>
        </is>
      </c>
      <c r="C2503" s="12" t="inlineStr">
        <is>
          <t>Grid interface</t>
        </is>
      </c>
      <c r="D2503" s="12" t="inlineStr">
        <is>
          <t>Discrete device to JB JB-D2-CB2-DI01: 20 x 1 pr (field cables)</t>
        </is>
      </c>
      <c r="E2503" s="12" t="inlineStr">
        <is>
          <t>D2-CB2</t>
        </is>
      </c>
      <c r="F2503" s="12" t="inlineStr">
        <is>
          <t>D2 230 kV breaker 2</t>
        </is>
      </c>
      <c r="G2503" s="12" t="inlineStr">
        <is>
          <t>JB-D2-CB2-DI01</t>
        </is>
      </c>
      <c r="H2503" s="12" t="inlineStr">
        <is>
          <t>D2 230 kV breaker 2</t>
        </is>
      </c>
      <c r="I2503" s="12" t="inlineStr">
        <is>
          <t>Instrumentation</t>
        </is>
      </c>
      <c r="J2503" s="12" t="inlineStr">
        <is>
          <t>Instrumentation PLTC / TC-ER 300 V, #18 twisted shielded pairs, overall shield</t>
        </is>
      </c>
      <c r="K2503" s="12" t="inlineStr">
        <is>
          <t>PLTC|1 pr|16</t>
        </is>
      </c>
      <c r="L2503" s="12" t="inlineStr">
        <is>
          <t>1 pr</t>
        </is>
      </c>
      <c r="M2503" s="12" t="inlineStr">
        <is>
          <t>16</t>
        </is>
      </c>
      <c r="N2503" s="12" t="n">
        <v>20</v>
      </c>
      <c r="O2503" s="12" t="n">
        <v>1</v>
      </c>
      <c r="P2503" s="12" t="n"/>
      <c r="Q2503" s="12" t="n"/>
      <c r="R2503" s="12" t="n"/>
      <c r="S2503" s="12" t="inlineStr">
        <is>
          <t>Tray / conduit</t>
        </is>
      </c>
      <c r="T2503" s="16" t="n">
        <v>52</v>
      </c>
      <c r="U2503" s="16" t="n">
        <v>10</v>
      </c>
      <c r="V2503" s="16">
        <f>ROUNDUP((T2503+U2503+2*'Read Me'!$B$13)*(1+'Read Me'!$B$12),-1)</f>
        <v/>
      </c>
      <c r="W2503" s="16">
        <f>V2503*N2503*O2503</f>
        <v/>
      </c>
      <c r="X2503" s="12">
        <f>IF(LEFT(I2503,2)="MV",2*N2503*IF(L2503="1/C",O2503,1),0)</f>
        <v/>
      </c>
      <c r="Y2503" s="12">
        <f>IF(OR(LEFT(K2503,4)="LVAX",LEFT(K2503,6)="MV15AX",LEFT(K2503,4)="CTAX",LEFT(K2503,2)="W|"),2*N2503*O2503,0)</f>
        <v/>
      </c>
      <c r="Z2503" s="12" t="inlineStr">
        <is>
          <t>device-to-JB field wiring, one cable per device</t>
        </is>
      </c>
      <c r="AA2503" s="12">
        <f>N2503*O2503</f>
        <v/>
      </c>
    </row>
    <row r="2504">
      <c r="A2504" s="12" t="inlineStr">
        <is>
          <t>C-I-0020</t>
        </is>
      </c>
      <c r="B2504" s="12" t="inlineStr">
        <is>
          <t>C</t>
        </is>
      </c>
      <c r="C2504" s="12" t="inlineStr">
        <is>
          <t>Grid interface</t>
        </is>
      </c>
      <c r="D2504" s="12" t="inlineStr">
        <is>
          <t>Home run JB-D2-CB2-DI01 to the control / marshalling room</t>
        </is>
      </c>
      <c r="E2504" s="12" t="inlineStr">
        <is>
          <t>RH</t>
        </is>
      </c>
      <c r="F2504" s="12" t="inlineStr">
        <is>
          <t>RH: switchyard relay / control house (52 x 70 ft)</t>
        </is>
      </c>
      <c r="G2504" s="12" t="inlineStr">
        <is>
          <t>JB-D2-CB2-DI01</t>
        </is>
      </c>
      <c r="H2504" s="12" t="inlineStr">
        <is>
          <t>D2 230 kV breaker 2</t>
        </is>
      </c>
      <c r="I2504" s="12" t="inlineStr">
        <is>
          <t>Instrumentation</t>
        </is>
      </c>
      <c r="J2504" s="12" t="inlineStr">
        <is>
          <t>Instrumentation PLTC / TC-ER 300 V, #18 twisted shielded pairs, overall shield</t>
        </is>
      </c>
      <c r="K2504" s="12" t="inlineStr">
        <is>
          <t>PLTC|24 pr|18</t>
        </is>
      </c>
      <c r="L2504" s="12" t="inlineStr">
        <is>
          <t>24 pr</t>
        </is>
      </c>
      <c r="M2504" s="12" t="inlineStr">
        <is>
          <t>18</t>
        </is>
      </c>
      <c r="N2504" s="12" t="n">
        <v>1</v>
      </c>
      <c r="O2504" s="12" t="n">
        <v>1</v>
      </c>
      <c r="P2504" s="12" t="n"/>
      <c r="Q2504" s="12" t="n"/>
      <c r="R2504" s="12" t="n"/>
      <c r="S2504" s="12" t="inlineStr">
        <is>
          <t>Trench</t>
        </is>
      </c>
      <c r="T2504" s="16" t="n">
        <v>474</v>
      </c>
      <c r="U2504" s="16" t="n">
        <v>52</v>
      </c>
      <c r="V2504" s="16">
        <f>ROUNDUP((T2504+U2504+2*'Read Me'!$B$13)*(1+'Read Me'!$B$12),-1)</f>
        <v/>
      </c>
      <c r="W2504" s="16">
        <f>V2504*N2504*O2504</f>
        <v/>
      </c>
      <c r="X2504" s="12">
        <f>IF(LEFT(I2504,2)="MV",2*N2504*IF(L2504="1/C",O2504,1),0)</f>
        <v/>
      </c>
      <c r="Y2504" s="12">
        <f>IF(OR(LEFT(K2504,4)="LVAX",LEFT(K2504,6)="MV15AX",LEFT(K2504,4)="CTAX",LEFT(K2504,2)="W|"),2*N2504*O2504,0)</f>
        <v/>
      </c>
      <c r="Z2504" s="12" t="inlineStr"/>
      <c r="AA2504" s="12">
        <f>N2504*O2504</f>
        <v/>
      </c>
    </row>
    <row r="2505">
      <c r="A2505" s="12" t="inlineStr">
        <is>
          <t>C-I-0021</t>
        </is>
      </c>
      <c r="B2505" s="12" t="inlineStr">
        <is>
          <t>C</t>
        </is>
      </c>
      <c r="C2505" s="12" t="inlineStr">
        <is>
          <t>Grid interface</t>
        </is>
      </c>
      <c r="D2505" s="12" t="inlineStr">
        <is>
          <t>Analog instrument to JB JB-D2-CB3-AI01: 2 x 1 pr (field cables)</t>
        </is>
      </c>
      <c r="E2505" s="12" t="inlineStr">
        <is>
          <t>D2-CB3</t>
        </is>
      </c>
      <c r="F2505" s="12" t="inlineStr">
        <is>
          <t>D2 230 kV breaker 3</t>
        </is>
      </c>
      <c r="G2505" s="12" t="inlineStr">
        <is>
          <t>JB-D2-CB3-AI01</t>
        </is>
      </c>
      <c r="H2505" s="12" t="inlineStr">
        <is>
          <t>D2 230 kV breaker 3</t>
        </is>
      </c>
      <c r="I2505" s="12" t="inlineStr">
        <is>
          <t>Instrumentation</t>
        </is>
      </c>
      <c r="J2505" s="12" t="inlineStr">
        <is>
          <t>Instrumentation PLTC / TC-ER 300 V, #18 twisted shielded pairs, overall shield</t>
        </is>
      </c>
      <c r="K2505" s="12" t="inlineStr">
        <is>
          <t>PLTC|1 pr|16</t>
        </is>
      </c>
      <c r="L2505" s="12" t="inlineStr">
        <is>
          <t>1 pr</t>
        </is>
      </c>
      <c r="M2505" s="12" t="inlineStr">
        <is>
          <t>16</t>
        </is>
      </c>
      <c r="N2505" s="12" t="n">
        <v>2</v>
      </c>
      <c r="O2505" s="12" t="n">
        <v>1</v>
      </c>
      <c r="P2505" s="12" t="n"/>
      <c r="Q2505" s="12" t="n"/>
      <c r="R2505" s="12" t="n"/>
      <c r="S2505" s="12" t="inlineStr">
        <is>
          <t>Tray / conduit</t>
        </is>
      </c>
      <c r="T2505" s="16" t="n">
        <v>52</v>
      </c>
      <c r="U2505" s="16" t="n">
        <v>10</v>
      </c>
      <c r="V2505" s="16">
        <f>ROUNDUP((T2505+U2505+2*'Read Me'!$B$13)*(1+'Read Me'!$B$12),-1)</f>
        <v/>
      </c>
      <c r="W2505" s="16">
        <f>V2505*N2505*O2505</f>
        <v/>
      </c>
      <c r="X2505" s="12">
        <f>IF(LEFT(I2505,2)="MV",2*N2505*IF(L2505="1/C",O2505,1),0)</f>
        <v/>
      </c>
      <c r="Y2505" s="12">
        <f>IF(OR(LEFT(K2505,4)="LVAX",LEFT(K2505,6)="MV15AX",LEFT(K2505,4)="CTAX",LEFT(K2505,2)="W|"),2*N2505*O2505,0)</f>
        <v/>
      </c>
      <c r="Z2505" s="12" t="inlineStr">
        <is>
          <t>device-to-JB field wiring, one cable per device</t>
        </is>
      </c>
      <c r="AA2505" s="12">
        <f>N2505*O2505</f>
        <v/>
      </c>
    </row>
    <row r="2506">
      <c r="A2506" s="12" t="inlineStr">
        <is>
          <t>C-I-0022</t>
        </is>
      </c>
      <c r="B2506" s="12" t="inlineStr">
        <is>
          <t>C</t>
        </is>
      </c>
      <c r="C2506" s="12" t="inlineStr">
        <is>
          <t>Grid interface</t>
        </is>
      </c>
      <c r="D2506" s="12" t="inlineStr">
        <is>
          <t>Home run JB-D2-CB3-AI01 to the control / marshalling room</t>
        </is>
      </c>
      <c r="E2506" s="12" t="inlineStr">
        <is>
          <t>RH</t>
        </is>
      </c>
      <c r="F2506" s="12" t="inlineStr">
        <is>
          <t>RH: switchyard relay / control house (52 x 70 ft)</t>
        </is>
      </c>
      <c r="G2506" s="12" t="inlineStr">
        <is>
          <t>JB-D2-CB3-AI01</t>
        </is>
      </c>
      <c r="H2506" s="12" t="inlineStr">
        <is>
          <t>D2 230 kV breaker 3</t>
        </is>
      </c>
      <c r="I2506" s="12" t="inlineStr">
        <is>
          <t>Instrumentation</t>
        </is>
      </c>
      <c r="J2506" s="12" t="inlineStr">
        <is>
          <t>Instrumentation PLTC / TC-ER 300 V, #18 twisted shielded pairs, overall shield</t>
        </is>
      </c>
      <c r="K2506" s="12" t="inlineStr">
        <is>
          <t>PLTC|24 pr|18</t>
        </is>
      </c>
      <c r="L2506" s="12" t="inlineStr">
        <is>
          <t>24 pr</t>
        </is>
      </c>
      <c r="M2506" s="12" t="inlineStr">
        <is>
          <t>18</t>
        </is>
      </c>
      <c r="N2506" s="12" t="n">
        <v>1</v>
      </c>
      <c r="O2506" s="12" t="n">
        <v>1</v>
      </c>
      <c r="P2506" s="12" t="n"/>
      <c r="Q2506" s="12" t="n"/>
      <c r="R2506" s="12" t="n"/>
      <c r="S2506" s="12" t="inlineStr">
        <is>
          <t>Trench</t>
        </is>
      </c>
      <c r="T2506" s="16" t="n">
        <v>474</v>
      </c>
      <c r="U2506" s="16" t="n">
        <v>92</v>
      </c>
      <c r="V2506" s="16">
        <f>ROUNDUP((T2506+U2506+2*'Read Me'!$B$13)*(1+'Read Me'!$B$12),-1)</f>
        <v/>
      </c>
      <c r="W2506" s="16">
        <f>V2506*N2506*O2506</f>
        <v/>
      </c>
      <c r="X2506" s="12">
        <f>IF(LEFT(I2506,2)="MV",2*N2506*IF(L2506="1/C",O2506,1),0)</f>
        <v/>
      </c>
      <c r="Y2506" s="12">
        <f>IF(OR(LEFT(K2506,4)="LVAX",LEFT(K2506,6)="MV15AX",LEFT(K2506,4)="CTAX",LEFT(K2506,2)="W|"),2*N2506*O2506,0)</f>
        <v/>
      </c>
      <c r="Z2506" s="12" t="inlineStr"/>
      <c r="AA2506" s="12">
        <f>N2506*O2506</f>
        <v/>
      </c>
    </row>
    <row r="2507">
      <c r="A2507" s="12" t="inlineStr">
        <is>
          <t>C-I-0023</t>
        </is>
      </c>
      <c r="B2507" s="12" t="inlineStr">
        <is>
          <t>C</t>
        </is>
      </c>
      <c r="C2507" s="12" t="inlineStr">
        <is>
          <t>Grid interface</t>
        </is>
      </c>
      <c r="D2507" s="12" t="inlineStr">
        <is>
          <t>Discrete device to JB JB-D2-CB3-DI01: 20 x 1 pr (field cables)</t>
        </is>
      </c>
      <c r="E2507" s="12" t="inlineStr">
        <is>
          <t>D2-CB3</t>
        </is>
      </c>
      <c r="F2507" s="12" t="inlineStr">
        <is>
          <t>D2 230 kV breaker 3</t>
        </is>
      </c>
      <c r="G2507" s="12" t="inlineStr">
        <is>
          <t>JB-D2-CB3-DI01</t>
        </is>
      </c>
      <c r="H2507" s="12" t="inlineStr">
        <is>
          <t>D2 230 kV breaker 3</t>
        </is>
      </c>
      <c r="I2507" s="12" t="inlineStr">
        <is>
          <t>Instrumentation</t>
        </is>
      </c>
      <c r="J2507" s="12" t="inlineStr">
        <is>
          <t>Instrumentation PLTC / TC-ER 300 V, #18 twisted shielded pairs, overall shield</t>
        </is>
      </c>
      <c r="K2507" s="12" t="inlineStr">
        <is>
          <t>PLTC|1 pr|16</t>
        </is>
      </c>
      <c r="L2507" s="12" t="inlineStr">
        <is>
          <t>1 pr</t>
        </is>
      </c>
      <c r="M2507" s="12" t="inlineStr">
        <is>
          <t>16</t>
        </is>
      </c>
      <c r="N2507" s="12" t="n">
        <v>20</v>
      </c>
      <c r="O2507" s="12" t="n">
        <v>1</v>
      </c>
      <c r="P2507" s="12" t="n"/>
      <c r="Q2507" s="12" t="n"/>
      <c r="R2507" s="12" t="n"/>
      <c r="S2507" s="12" t="inlineStr">
        <is>
          <t>Tray / conduit</t>
        </is>
      </c>
      <c r="T2507" s="16" t="n">
        <v>52</v>
      </c>
      <c r="U2507" s="16" t="n">
        <v>10</v>
      </c>
      <c r="V2507" s="16">
        <f>ROUNDUP((T2507+U2507+2*'Read Me'!$B$13)*(1+'Read Me'!$B$12),-1)</f>
        <v/>
      </c>
      <c r="W2507" s="16">
        <f>V2507*N2507*O2507</f>
        <v/>
      </c>
      <c r="X2507" s="12">
        <f>IF(LEFT(I2507,2)="MV",2*N2507*IF(L2507="1/C",O2507,1),0)</f>
        <v/>
      </c>
      <c r="Y2507" s="12">
        <f>IF(OR(LEFT(K2507,4)="LVAX",LEFT(K2507,6)="MV15AX",LEFT(K2507,4)="CTAX",LEFT(K2507,2)="W|"),2*N2507*O2507,0)</f>
        <v/>
      </c>
      <c r="Z2507" s="12" t="inlineStr">
        <is>
          <t>device-to-JB field wiring, one cable per device</t>
        </is>
      </c>
      <c r="AA2507" s="12">
        <f>N2507*O2507</f>
        <v/>
      </c>
    </row>
    <row r="2508">
      <c r="A2508" s="12" t="inlineStr">
        <is>
          <t>C-I-0024</t>
        </is>
      </c>
      <c r="B2508" s="12" t="inlineStr">
        <is>
          <t>C</t>
        </is>
      </c>
      <c r="C2508" s="12" t="inlineStr">
        <is>
          <t>Grid interface</t>
        </is>
      </c>
      <c r="D2508" s="12" t="inlineStr">
        <is>
          <t>Home run JB-D2-CB3-DI01 to the control / marshalling room</t>
        </is>
      </c>
      <c r="E2508" s="12" t="inlineStr">
        <is>
          <t>RH</t>
        </is>
      </c>
      <c r="F2508" s="12" t="inlineStr">
        <is>
          <t>RH: switchyard relay / control house (52 x 70 ft)</t>
        </is>
      </c>
      <c r="G2508" s="12" t="inlineStr">
        <is>
          <t>JB-D2-CB3-DI01</t>
        </is>
      </c>
      <c r="H2508" s="12" t="inlineStr">
        <is>
          <t>D2 230 kV breaker 3</t>
        </is>
      </c>
      <c r="I2508" s="12" t="inlineStr">
        <is>
          <t>Instrumentation</t>
        </is>
      </c>
      <c r="J2508" s="12" t="inlineStr">
        <is>
          <t>Instrumentation PLTC / TC-ER 300 V, #18 twisted shielded pairs, overall shield</t>
        </is>
      </c>
      <c r="K2508" s="12" t="inlineStr">
        <is>
          <t>PLTC|24 pr|18</t>
        </is>
      </c>
      <c r="L2508" s="12" t="inlineStr">
        <is>
          <t>24 pr</t>
        </is>
      </c>
      <c r="M2508" s="12" t="inlineStr">
        <is>
          <t>18</t>
        </is>
      </c>
      <c r="N2508" s="12" t="n">
        <v>1</v>
      </c>
      <c r="O2508" s="12" t="n">
        <v>1</v>
      </c>
      <c r="P2508" s="12" t="n"/>
      <c r="Q2508" s="12" t="n"/>
      <c r="R2508" s="12" t="n"/>
      <c r="S2508" s="12" t="inlineStr">
        <is>
          <t>Trench</t>
        </is>
      </c>
      <c r="T2508" s="16" t="n">
        <v>474</v>
      </c>
      <c r="U2508" s="16" t="n">
        <v>92</v>
      </c>
      <c r="V2508" s="16">
        <f>ROUNDUP((T2508+U2508+2*'Read Me'!$B$13)*(1+'Read Me'!$B$12),-1)</f>
        <v/>
      </c>
      <c r="W2508" s="16">
        <f>V2508*N2508*O2508</f>
        <v/>
      </c>
      <c r="X2508" s="12">
        <f>IF(LEFT(I2508,2)="MV",2*N2508*IF(L2508="1/C",O2508,1),0)</f>
        <v/>
      </c>
      <c r="Y2508" s="12">
        <f>IF(OR(LEFT(K2508,4)="LVAX",LEFT(K2508,6)="MV15AX",LEFT(K2508,4)="CTAX",LEFT(K2508,2)="W|"),2*N2508*O2508,0)</f>
        <v/>
      </c>
      <c r="Z2508" s="12" t="inlineStr"/>
      <c r="AA2508" s="12">
        <f>N2508*O2508</f>
        <v/>
      </c>
    </row>
    <row r="2509">
      <c r="A2509" s="12" t="inlineStr">
        <is>
          <t>C-I-0025</t>
        </is>
      </c>
      <c r="B2509" s="12" t="inlineStr">
        <is>
          <t>C</t>
        </is>
      </c>
      <c r="C2509" s="12" t="inlineStr">
        <is>
          <t>Grid interface</t>
        </is>
      </c>
      <c r="D2509" s="12" t="inlineStr">
        <is>
          <t>Analog instrument to JB JB-D3-CB1-AI01: 2 x 1 pr (field cables)</t>
        </is>
      </c>
      <c r="E2509" s="12" t="inlineStr">
        <is>
          <t>D3-CB1</t>
        </is>
      </c>
      <c r="F2509" s="12" t="inlineStr">
        <is>
          <t>D3 230 kV breaker 1</t>
        </is>
      </c>
      <c r="G2509" s="12" t="inlineStr">
        <is>
          <t>JB-D3-CB1-AI01</t>
        </is>
      </c>
      <c r="H2509" s="12" t="inlineStr">
        <is>
          <t>D3 230 kV breaker 1</t>
        </is>
      </c>
      <c r="I2509" s="12" t="inlineStr">
        <is>
          <t>Instrumentation</t>
        </is>
      </c>
      <c r="J2509" s="12" t="inlineStr">
        <is>
          <t>Instrumentation PLTC / TC-ER 300 V, #18 twisted shielded pairs, overall shield</t>
        </is>
      </c>
      <c r="K2509" s="12" t="inlineStr">
        <is>
          <t>PLTC|1 pr|16</t>
        </is>
      </c>
      <c r="L2509" s="12" t="inlineStr">
        <is>
          <t>1 pr</t>
        </is>
      </c>
      <c r="M2509" s="12" t="inlineStr">
        <is>
          <t>16</t>
        </is>
      </c>
      <c r="N2509" s="12" t="n">
        <v>2</v>
      </c>
      <c r="O2509" s="12" t="n">
        <v>1</v>
      </c>
      <c r="P2509" s="12" t="n"/>
      <c r="Q2509" s="12" t="n"/>
      <c r="R2509" s="12" t="n"/>
      <c r="S2509" s="12" t="inlineStr">
        <is>
          <t>Tray / conduit</t>
        </is>
      </c>
      <c r="T2509" s="16" t="n">
        <v>52</v>
      </c>
      <c r="U2509" s="16" t="n">
        <v>10</v>
      </c>
      <c r="V2509" s="16">
        <f>ROUNDUP((T2509+U2509+2*'Read Me'!$B$13)*(1+'Read Me'!$B$12),-1)</f>
        <v/>
      </c>
      <c r="W2509" s="16">
        <f>V2509*N2509*O2509</f>
        <v/>
      </c>
      <c r="X2509" s="12">
        <f>IF(LEFT(I2509,2)="MV",2*N2509*IF(L2509="1/C",O2509,1),0)</f>
        <v/>
      </c>
      <c r="Y2509" s="12">
        <f>IF(OR(LEFT(K2509,4)="LVAX",LEFT(K2509,6)="MV15AX",LEFT(K2509,4)="CTAX",LEFT(K2509,2)="W|"),2*N2509*O2509,0)</f>
        <v/>
      </c>
      <c r="Z2509" s="12" t="inlineStr">
        <is>
          <t>device-to-JB field wiring, one cable per device</t>
        </is>
      </c>
      <c r="AA2509" s="12">
        <f>N2509*O2509</f>
        <v/>
      </c>
    </row>
    <row r="2510">
      <c r="A2510" s="12" t="inlineStr">
        <is>
          <t>C-I-0026</t>
        </is>
      </c>
      <c r="B2510" s="12" t="inlineStr">
        <is>
          <t>C</t>
        </is>
      </c>
      <c r="C2510" s="12" t="inlineStr">
        <is>
          <t>Grid interface</t>
        </is>
      </c>
      <c r="D2510" s="12" t="inlineStr">
        <is>
          <t>Home run JB-D3-CB1-AI01 to the control / marshalling room</t>
        </is>
      </c>
      <c r="E2510" s="12" t="inlineStr">
        <is>
          <t>RH</t>
        </is>
      </c>
      <c r="F2510" s="12" t="inlineStr">
        <is>
          <t>RH: switchyard relay / control house (52 x 70 ft)</t>
        </is>
      </c>
      <c r="G2510" s="12" t="inlineStr">
        <is>
          <t>JB-D3-CB1-AI01</t>
        </is>
      </c>
      <c r="H2510" s="12" t="inlineStr">
        <is>
          <t>D3 230 kV breaker 1</t>
        </is>
      </c>
      <c r="I2510" s="12" t="inlineStr">
        <is>
          <t>Instrumentation</t>
        </is>
      </c>
      <c r="J2510" s="12" t="inlineStr">
        <is>
          <t>Instrumentation PLTC / TC-ER 300 V, #18 twisted shielded pairs, overall shield</t>
        </is>
      </c>
      <c r="K2510" s="12" t="inlineStr">
        <is>
          <t>PLTC|24 pr|18</t>
        </is>
      </c>
      <c r="L2510" s="12" t="inlineStr">
        <is>
          <t>24 pr</t>
        </is>
      </c>
      <c r="M2510" s="12" t="inlineStr">
        <is>
          <t>18</t>
        </is>
      </c>
      <c r="N2510" s="12" t="n">
        <v>1</v>
      </c>
      <c r="O2510" s="12" t="n">
        <v>1</v>
      </c>
      <c r="P2510" s="12" t="n"/>
      <c r="Q2510" s="12" t="n"/>
      <c r="R2510" s="12" t="n"/>
      <c r="S2510" s="12" t="inlineStr">
        <is>
          <t>Trench</t>
        </is>
      </c>
      <c r="T2510" s="16" t="n">
        <v>674</v>
      </c>
      <c r="U2510" s="16" t="n">
        <v>40</v>
      </c>
      <c r="V2510" s="16">
        <f>ROUNDUP((T2510+U2510+2*'Read Me'!$B$13)*(1+'Read Me'!$B$12),-1)</f>
        <v/>
      </c>
      <c r="W2510" s="16">
        <f>V2510*N2510*O2510</f>
        <v/>
      </c>
      <c r="X2510" s="12">
        <f>IF(LEFT(I2510,2)="MV",2*N2510*IF(L2510="1/C",O2510,1),0)</f>
        <v/>
      </c>
      <c r="Y2510" s="12">
        <f>IF(OR(LEFT(K2510,4)="LVAX",LEFT(K2510,6)="MV15AX",LEFT(K2510,4)="CTAX",LEFT(K2510,2)="W|"),2*N2510*O2510,0)</f>
        <v/>
      </c>
      <c r="Z2510" s="12" t="inlineStr"/>
      <c r="AA2510" s="12">
        <f>N2510*O2510</f>
        <v/>
      </c>
    </row>
    <row r="2511">
      <c r="A2511" s="12" t="inlineStr">
        <is>
          <t>C-I-0027</t>
        </is>
      </c>
      <c r="B2511" s="12" t="inlineStr">
        <is>
          <t>C</t>
        </is>
      </c>
      <c r="C2511" s="12" t="inlineStr">
        <is>
          <t>Grid interface</t>
        </is>
      </c>
      <c r="D2511" s="12" t="inlineStr">
        <is>
          <t>Discrete device to JB JB-D3-CB1-DI01: 20 x 1 pr (field cables)</t>
        </is>
      </c>
      <c r="E2511" s="12" t="inlineStr">
        <is>
          <t>D3-CB1</t>
        </is>
      </c>
      <c r="F2511" s="12" t="inlineStr">
        <is>
          <t>D3 230 kV breaker 1</t>
        </is>
      </c>
      <c r="G2511" s="12" t="inlineStr">
        <is>
          <t>JB-D3-CB1-DI01</t>
        </is>
      </c>
      <c r="H2511" s="12" t="inlineStr">
        <is>
          <t>D3 230 kV breaker 1</t>
        </is>
      </c>
      <c r="I2511" s="12" t="inlineStr">
        <is>
          <t>Instrumentation</t>
        </is>
      </c>
      <c r="J2511" s="12" t="inlineStr">
        <is>
          <t>Instrumentation PLTC / TC-ER 300 V, #18 twisted shielded pairs, overall shield</t>
        </is>
      </c>
      <c r="K2511" s="12" t="inlineStr">
        <is>
          <t>PLTC|1 pr|16</t>
        </is>
      </c>
      <c r="L2511" s="12" t="inlineStr">
        <is>
          <t>1 pr</t>
        </is>
      </c>
      <c r="M2511" s="12" t="inlineStr">
        <is>
          <t>16</t>
        </is>
      </c>
      <c r="N2511" s="12" t="n">
        <v>20</v>
      </c>
      <c r="O2511" s="12" t="n">
        <v>1</v>
      </c>
      <c r="P2511" s="12" t="n"/>
      <c r="Q2511" s="12" t="n"/>
      <c r="R2511" s="12" t="n"/>
      <c r="S2511" s="12" t="inlineStr">
        <is>
          <t>Tray / conduit</t>
        </is>
      </c>
      <c r="T2511" s="16" t="n">
        <v>52</v>
      </c>
      <c r="U2511" s="16" t="n">
        <v>10</v>
      </c>
      <c r="V2511" s="16">
        <f>ROUNDUP((T2511+U2511+2*'Read Me'!$B$13)*(1+'Read Me'!$B$12),-1)</f>
        <v/>
      </c>
      <c r="W2511" s="16">
        <f>V2511*N2511*O2511</f>
        <v/>
      </c>
      <c r="X2511" s="12">
        <f>IF(LEFT(I2511,2)="MV",2*N2511*IF(L2511="1/C",O2511,1),0)</f>
        <v/>
      </c>
      <c r="Y2511" s="12">
        <f>IF(OR(LEFT(K2511,4)="LVAX",LEFT(K2511,6)="MV15AX",LEFT(K2511,4)="CTAX",LEFT(K2511,2)="W|"),2*N2511*O2511,0)</f>
        <v/>
      </c>
      <c r="Z2511" s="12" t="inlineStr">
        <is>
          <t>device-to-JB field wiring, one cable per device</t>
        </is>
      </c>
      <c r="AA2511" s="12">
        <f>N2511*O2511</f>
        <v/>
      </c>
    </row>
    <row r="2512">
      <c r="A2512" s="12" t="inlineStr">
        <is>
          <t>C-I-0028</t>
        </is>
      </c>
      <c r="B2512" s="12" t="inlineStr">
        <is>
          <t>C</t>
        </is>
      </c>
      <c r="C2512" s="12" t="inlineStr">
        <is>
          <t>Grid interface</t>
        </is>
      </c>
      <c r="D2512" s="12" t="inlineStr">
        <is>
          <t>Home run JB-D3-CB1-DI01 to the control / marshalling room</t>
        </is>
      </c>
      <c r="E2512" s="12" t="inlineStr">
        <is>
          <t>RH</t>
        </is>
      </c>
      <c r="F2512" s="12" t="inlineStr">
        <is>
          <t>RH: switchyard relay / control house (52 x 70 ft)</t>
        </is>
      </c>
      <c r="G2512" s="12" t="inlineStr">
        <is>
          <t>JB-D3-CB1-DI01</t>
        </is>
      </c>
      <c r="H2512" s="12" t="inlineStr">
        <is>
          <t>D3 230 kV breaker 1</t>
        </is>
      </c>
      <c r="I2512" s="12" t="inlineStr">
        <is>
          <t>Instrumentation</t>
        </is>
      </c>
      <c r="J2512" s="12" t="inlineStr">
        <is>
          <t>Instrumentation PLTC / TC-ER 300 V, #18 twisted shielded pairs, overall shield</t>
        </is>
      </c>
      <c r="K2512" s="12" t="inlineStr">
        <is>
          <t>PLTC|24 pr|18</t>
        </is>
      </c>
      <c r="L2512" s="12" t="inlineStr">
        <is>
          <t>24 pr</t>
        </is>
      </c>
      <c r="M2512" s="12" t="inlineStr">
        <is>
          <t>18</t>
        </is>
      </c>
      <c r="N2512" s="12" t="n">
        <v>1</v>
      </c>
      <c r="O2512" s="12" t="n">
        <v>1</v>
      </c>
      <c r="P2512" s="12" t="n"/>
      <c r="Q2512" s="12" t="n"/>
      <c r="R2512" s="12" t="n"/>
      <c r="S2512" s="12" t="inlineStr">
        <is>
          <t>Trench</t>
        </is>
      </c>
      <c r="T2512" s="16" t="n">
        <v>674</v>
      </c>
      <c r="U2512" s="16" t="n">
        <v>40</v>
      </c>
      <c r="V2512" s="16">
        <f>ROUNDUP((T2512+U2512+2*'Read Me'!$B$13)*(1+'Read Me'!$B$12),-1)</f>
        <v/>
      </c>
      <c r="W2512" s="16">
        <f>V2512*N2512*O2512</f>
        <v/>
      </c>
      <c r="X2512" s="12">
        <f>IF(LEFT(I2512,2)="MV",2*N2512*IF(L2512="1/C",O2512,1),0)</f>
        <v/>
      </c>
      <c r="Y2512" s="12">
        <f>IF(OR(LEFT(K2512,4)="LVAX",LEFT(K2512,6)="MV15AX",LEFT(K2512,4)="CTAX",LEFT(K2512,2)="W|"),2*N2512*O2512,0)</f>
        <v/>
      </c>
      <c r="Z2512" s="12" t="inlineStr"/>
      <c r="AA2512" s="12">
        <f>N2512*O2512</f>
        <v/>
      </c>
    </row>
    <row r="2513">
      <c r="A2513" s="12" t="inlineStr">
        <is>
          <t>C-I-0029</t>
        </is>
      </c>
      <c r="B2513" s="12" t="inlineStr">
        <is>
          <t>C</t>
        </is>
      </c>
      <c r="C2513" s="12" t="inlineStr">
        <is>
          <t>Grid interface</t>
        </is>
      </c>
      <c r="D2513" s="12" t="inlineStr">
        <is>
          <t>Analog instrument to JB JB-D3-CB2-AI01: 2 x 1 pr (field cables)</t>
        </is>
      </c>
      <c r="E2513" s="12" t="inlineStr">
        <is>
          <t>D3-CB2</t>
        </is>
      </c>
      <c r="F2513" s="12" t="inlineStr">
        <is>
          <t>D3 230 kV breaker 2</t>
        </is>
      </c>
      <c r="G2513" s="12" t="inlineStr">
        <is>
          <t>JB-D3-CB2-AI01</t>
        </is>
      </c>
      <c r="H2513" s="12" t="inlineStr">
        <is>
          <t>D3 230 kV breaker 2</t>
        </is>
      </c>
      <c r="I2513" s="12" t="inlineStr">
        <is>
          <t>Instrumentation</t>
        </is>
      </c>
      <c r="J2513" s="12" t="inlineStr">
        <is>
          <t>Instrumentation PLTC / TC-ER 300 V, #18 twisted shielded pairs, overall shield</t>
        </is>
      </c>
      <c r="K2513" s="12" t="inlineStr">
        <is>
          <t>PLTC|1 pr|16</t>
        </is>
      </c>
      <c r="L2513" s="12" t="inlineStr">
        <is>
          <t>1 pr</t>
        </is>
      </c>
      <c r="M2513" s="12" t="inlineStr">
        <is>
          <t>16</t>
        </is>
      </c>
      <c r="N2513" s="12" t="n">
        <v>2</v>
      </c>
      <c r="O2513" s="12" t="n">
        <v>1</v>
      </c>
      <c r="P2513" s="12" t="n"/>
      <c r="Q2513" s="12" t="n"/>
      <c r="R2513" s="12" t="n"/>
      <c r="S2513" s="12" t="inlineStr">
        <is>
          <t>Tray / conduit</t>
        </is>
      </c>
      <c r="T2513" s="16" t="n">
        <v>52</v>
      </c>
      <c r="U2513" s="16" t="n">
        <v>10</v>
      </c>
      <c r="V2513" s="16">
        <f>ROUNDUP((T2513+U2513+2*'Read Me'!$B$13)*(1+'Read Me'!$B$12),-1)</f>
        <v/>
      </c>
      <c r="W2513" s="16">
        <f>V2513*N2513*O2513</f>
        <v/>
      </c>
      <c r="X2513" s="12">
        <f>IF(LEFT(I2513,2)="MV",2*N2513*IF(L2513="1/C",O2513,1),0)</f>
        <v/>
      </c>
      <c r="Y2513" s="12">
        <f>IF(OR(LEFT(K2513,4)="LVAX",LEFT(K2513,6)="MV15AX",LEFT(K2513,4)="CTAX",LEFT(K2513,2)="W|"),2*N2513*O2513,0)</f>
        <v/>
      </c>
      <c r="Z2513" s="12" t="inlineStr">
        <is>
          <t>device-to-JB field wiring, one cable per device</t>
        </is>
      </c>
      <c r="AA2513" s="12">
        <f>N2513*O2513</f>
        <v/>
      </c>
    </row>
    <row r="2514">
      <c r="A2514" s="12" t="inlineStr">
        <is>
          <t>C-I-0030</t>
        </is>
      </c>
      <c r="B2514" s="12" t="inlineStr">
        <is>
          <t>C</t>
        </is>
      </c>
      <c r="C2514" s="12" t="inlineStr">
        <is>
          <t>Grid interface</t>
        </is>
      </c>
      <c r="D2514" s="12" t="inlineStr">
        <is>
          <t>Home run JB-D3-CB2-AI01 to the control / marshalling room</t>
        </is>
      </c>
      <c r="E2514" s="12" t="inlineStr">
        <is>
          <t>RH</t>
        </is>
      </c>
      <c r="F2514" s="12" t="inlineStr">
        <is>
          <t>RH: switchyard relay / control house (52 x 70 ft)</t>
        </is>
      </c>
      <c r="G2514" s="12" t="inlineStr">
        <is>
          <t>JB-D3-CB2-AI01</t>
        </is>
      </c>
      <c r="H2514" s="12" t="inlineStr">
        <is>
          <t>D3 230 kV breaker 2</t>
        </is>
      </c>
      <c r="I2514" s="12" t="inlineStr">
        <is>
          <t>Instrumentation</t>
        </is>
      </c>
      <c r="J2514" s="12" t="inlineStr">
        <is>
          <t>Instrumentation PLTC / TC-ER 300 V, #18 twisted shielded pairs, overall shield</t>
        </is>
      </c>
      <c r="K2514" s="12" t="inlineStr">
        <is>
          <t>PLTC|24 pr|18</t>
        </is>
      </c>
      <c r="L2514" s="12" t="inlineStr">
        <is>
          <t>24 pr</t>
        </is>
      </c>
      <c r="M2514" s="12" t="inlineStr">
        <is>
          <t>18</t>
        </is>
      </c>
      <c r="N2514" s="12" t="n">
        <v>1</v>
      </c>
      <c r="O2514" s="12" t="n">
        <v>1</v>
      </c>
      <c r="P2514" s="12" t="n"/>
      <c r="Q2514" s="12" t="n"/>
      <c r="R2514" s="12" t="n"/>
      <c r="S2514" s="12" t="inlineStr">
        <is>
          <t>Trench</t>
        </is>
      </c>
      <c r="T2514" s="16" t="n">
        <v>674</v>
      </c>
      <c r="U2514" s="16" t="n">
        <v>52</v>
      </c>
      <c r="V2514" s="16">
        <f>ROUNDUP((T2514+U2514+2*'Read Me'!$B$13)*(1+'Read Me'!$B$12),-1)</f>
        <v/>
      </c>
      <c r="W2514" s="16">
        <f>V2514*N2514*O2514</f>
        <v/>
      </c>
      <c r="X2514" s="12">
        <f>IF(LEFT(I2514,2)="MV",2*N2514*IF(L2514="1/C",O2514,1),0)</f>
        <v/>
      </c>
      <c r="Y2514" s="12">
        <f>IF(OR(LEFT(K2514,4)="LVAX",LEFT(K2514,6)="MV15AX",LEFT(K2514,4)="CTAX",LEFT(K2514,2)="W|"),2*N2514*O2514,0)</f>
        <v/>
      </c>
      <c r="Z2514" s="12" t="inlineStr"/>
      <c r="AA2514" s="12">
        <f>N2514*O2514</f>
        <v/>
      </c>
    </row>
    <row r="2515">
      <c r="A2515" s="12" t="inlineStr">
        <is>
          <t>C-I-0031</t>
        </is>
      </c>
      <c r="B2515" s="12" t="inlineStr">
        <is>
          <t>C</t>
        </is>
      </c>
      <c r="C2515" s="12" t="inlineStr">
        <is>
          <t>Grid interface</t>
        </is>
      </c>
      <c r="D2515" s="12" t="inlineStr">
        <is>
          <t>Discrete device to JB JB-D3-CB2-DI01: 20 x 1 pr (field cables)</t>
        </is>
      </c>
      <c r="E2515" s="12" t="inlineStr">
        <is>
          <t>D3-CB2</t>
        </is>
      </c>
      <c r="F2515" s="12" t="inlineStr">
        <is>
          <t>D3 230 kV breaker 2</t>
        </is>
      </c>
      <c r="G2515" s="12" t="inlineStr">
        <is>
          <t>JB-D3-CB2-DI01</t>
        </is>
      </c>
      <c r="H2515" s="12" t="inlineStr">
        <is>
          <t>D3 230 kV breaker 2</t>
        </is>
      </c>
      <c r="I2515" s="12" t="inlineStr">
        <is>
          <t>Instrumentation</t>
        </is>
      </c>
      <c r="J2515" s="12" t="inlineStr">
        <is>
          <t>Instrumentation PLTC / TC-ER 300 V, #18 twisted shielded pairs, overall shield</t>
        </is>
      </c>
      <c r="K2515" s="12" t="inlineStr">
        <is>
          <t>PLTC|1 pr|16</t>
        </is>
      </c>
      <c r="L2515" s="12" t="inlineStr">
        <is>
          <t>1 pr</t>
        </is>
      </c>
      <c r="M2515" s="12" t="inlineStr">
        <is>
          <t>16</t>
        </is>
      </c>
      <c r="N2515" s="12" t="n">
        <v>20</v>
      </c>
      <c r="O2515" s="12" t="n">
        <v>1</v>
      </c>
      <c r="P2515" s="12" t="n"/>
      <c r="Q2515" s="12" t="n"/>
      <c r="R2515" s="12" t="n"/>
      <c r="S2515" s="12" t="inlineStr">
        <is>
          <t>Tray / conduit</t>
        </is>
      </c>
      <c r="T2515" s="16" t="n">
        <v>52</v>
      </c>
      <c r="U2515" s="16" t="n">
        <v>10</v>
      </c>
      <c r="V2515" s="16">
        <f>ROUNDUP((T2515+U2515+2*'Read Me'!$B$13)*(1+'Read Me'!$B$12),-1)</f>
        <v/>
      </c>
      <c r="W2515" s="16">
        <f>V2515*N2515*O2515</f>
        <v/>
      </c>
      <c r="X2515" s="12">
        <f>IF(LEFT(I2515,2)="MV",2*N2515*IF(L2515="1/C",O2515,1),0)</f>
        <v/>
      </c>
      <c r="Y2515" s="12">
        <f>IF(OR(LEFT(K2515,4)="LVAX",LEFT(K2515,6)="MV15AX",LEFT(K2515,4)="CTAX",LEFT(K2515,2)="W|"),2*N2515*O2515,0)</f>
        <v/>
      </c>
      <c r="Z2515" s="12" t="inlineStr">
        <is>
          <t>device-to-JB field wiring, one cable per device</t>
        </is>
      </c>
      <c r="AA2515" s="12">
        <f>N2515*O2515</f>
        <v/>
      </c>
    </row>
    <row r="2516">
      <c r="A2516" s="12" t="inlineStr">
        <is>
          <t>C-I-0032</t>
        </is>
      </c>
      <c r="B2516" s="12" t="inlineStr">
        <is>
          <t>C</t>
        </is>
      </c>
      <c r="C2516" s="12" t="inlineStr">
        <is>
          <t>Grid interface</t>
        </is>
      </c>
      <c r="D2516" s="12" t="inlineStr">
        <is>
          <t>Home run JB-D3-CB2-DI01 to the control / marshalling room</t>
        </is>
      </c>
      <c r="E2516" s="12" t="inlineStr">
        <is>
          <t>RH</t>
        </is>
      </c>
      <c r="F2516" s="12" t="inlineStr">
        <is>
          <t>RH: switchyard relay / control house (52 x 70 ft)</t>
        </is>
      </c>
      <c r="G2516" s="12" t="inlineStr">
        <is>
          <t>JB-D3-CB2-DI01</t>
        </is>
      </c>
      <c r="H2516" s="12" t="inlineStr">
        <is>
          <t>D3 230 kV breaker 2</t>
        </is>
      </c>
      <c r="I2516" s="12" t="inlineStr">
        <is>
          <t>Instrumentation</t>
        </is>
      </c>
      <c r="J2516" s="12" t="inlineStr">
        <is>
          <t>Instrumentation PLTC / TC-ER 300 V, #18 twisted shielded pairs, overall shield</t>
        </is>
      </c>
      <c r="K2516" s="12" t="inlineStr">
        <is>
          <t>PLTC|24 pr|18</t>
        </is>
      </c>
      <c r="L2516" s="12" t="inlineStr">
        <is>
          <t>24 pr</t>
        </is>
      </c>
      <c r="M2516" s="12" t="inlineStr">
        <is>
          <t>18</t>
        </is>
      </c>
      <c r="N2516" s="12" t="n">
        <v>1</v>
      </c>
      <c r="O2516" s="12" t="n">
        <v>1</v>
      </c>
      <c r="P2516" s="12" t="n"/>
      <c r="Q2516" s="12" t="n"/>
      <c r="R2516" s="12" t="n"/>
      <c r="S2516" s="12" t="inlineStr">
        <is>
          <t>Trench</t>
        </is>
      </c>
      <c r="T2516" s="16" t="n">
        <v>674</v>
      </c>
      <c r="U2516" s="16" t="n">
        <v>52</v>
      </c>
      <c r="V2516" s="16">
        <f>ROUNDUP((T2516+U2516+2*'Read Me'!$B$13)*(1+'Read Me'!$B$12),-1)</f>
        <v/>
      </c>
      <c r="W2516" s="16">
        <f>V2516*N2516*O2516</f>
        <v/>
      </c>
      <c r="X2516" s="12">
        <f>IF(LEFT(I2516,2)="MV",2*N2516*IF(L2516="1/C",O2516,1),0)</f>
        <v/>
      </c>
      <c r="Y2516" s="12">
        <f>IF(OR(LEFT(K2516,4)="LVAX",LEFT(K2516,6)="MV15AX",LEFT(K2516,4)="CTAX",LEFT(K2516,2)="W|"),2*N2516*O2516,0)</f>
        <v/>
      </c>
      <c r="Z2516" s="12" t="inlineStr"/>
      <c r="AA2516" s="12">
        <f>N2516*O2516</f>
        <v/>
      </c>
    </row>
    <row r="2517">
      <c r="A2517" s="12" t="inlineStr">
        <is>
          <t>C-I-0033</t>
        </is>
      </c>
      <c r="B2517" s="12" t="inlineStr">
        <is>
          <t>C</t>
        </is>
      </c>
      <c r="C2517" s="12" t="inlineStr">
        <is>
          <t>Grid interface</t>
        </is>
      </c>
      <c r="D2517" s="12" t="inlineStr">
        <is>
          <t>Analog instrument to JB JB-D3-CB3-AI01: 2 x 1 pr (field cables)</t>
        </is>
      </c>
      <c r="E2517" s="12" t="inlineStr">
        <is>
          <t>D3-CB3</t>
        </is>
      </c>
      <c r="F2517" s="12" t="inlineStr">
        <is>
          <t>D3 230 kV breaker 3</t>
        </is>
      </c>
      <c r="G2517" s="12" t="inlineStr">
        <is>
          <t>JB-D3-CB3-AI01</t>
        </is>
      </c>
      <c r="H2517" s="12" t="inlineStr">
        <is>
          <t>D3 230 kV breaker 3</t>
        </is>
      </c>
      <c r="I2517" s="12" t="inlineStr">
        <is>
          <t>Instrumentation</t>
        </is>
      </c>
      <c r="J2517" s="12" t="inlineStr">
        <is>
          <t>Instrumentation PLTC / TC-ER 300 V, #18 twisted shielded pairs, overall shield</t>
        </is>
      </c>
      <c r="K2517" s="12" t="inlineStr">
        <is>
          <t>PLTC|1 pr|16</t>
        </is>
      </c>
      <c r="L2517" s="12" t="inlineStr">
        <is>
          <t>1 pr</t>
        </is>
      </c>
      <c r="M2517" s="12" t="inlineStr">
        <is>
          <t>16</t>
        </is>
      </c>
      <c r="N2517" s="12" t="n">
        <v>2</v>
      </c>
      <c r="O2517" s="12" t="n">
        <v>1</v>
      </c>
      <c r="P2517" s="12" t="n"/>
      <c r="Q2517" s="12" t="n"/>
      <c r="R2517" s="12" t="n"/>
      <c r="S2517" s="12" t="inlineStr">
        <is>
          <t>Tray / conduit</t>
        </is>
      </c>
      <c r="T2517" s="16" t="n">
        <v>52</v>
      </c>
      <c r="U2517" s="16" t="n">
        <v>10</v>
      </c>
      <c r="V2517" s="16">
        <f>ROUNDUP((T2517+U2517+2*'Read Me'!$B$13)*(1+'Read Me'!$B$12),-1)</f>
        <v/>
      </c>
      <c r="W2517" s="16">
        <f>V2517*N2517*O2517</f>
        <v/>
      </c>
      <c r="X2517" s="12">
        <f>IF(LEFT(I2517,2)="MV",2*N2517*IF(L2517="1/C",O2517,1),0)</f>
        <v/>
      </c>
      <c r="Y2517" s="12">
        <f>IF(OR(LEFT(K2517,4)="LVAX",LEFT(K2517,6)="MV15AX",LEFT(K2517,4)="CTAX",LEFT(K2517,2)="W|"),2*N2517*O2517,0)</f>
        <v/>
      </c>
      <c r="Z2517" s="12" t="inlineStr">
        <is>
          <t>device-to-JB field wiring, one cable per device</t>
        </is>
      </c>
      <c r="AA2517" s="12">
        <f>N2517*O2517</f>
        <v/>
      </c>
    </row>
    <row r="2518">
      <c r="A2518" s="12" t="inlineStr">
        <is>
          <t>C-I-0034</t>
        </is>
      </c>
      <c r="B2518" s="12" t="inlineStr">
        <is>
          <t>C</t>
        </is>
      </c>
      <c r="C2518" s="12" t="inlineStr">
        <is>
          <t>Grid interface</t>
        </is>
      </c>
      <c r="D2518" s="12" t="inlineStr">
        <is>
          <t>Home run JB-D3-CB3-AI01 to the control / marshalling room</t>
        </is>
      </c>
      <c r="E2518" s="12" t="inlineStr">
        <is>
          <t>RH</t>
        </is>
      </c>
      <c r="F2518" s="12" t="inlineStr">
        <is>
          <t>RH: switchyard relay / control house (52 x 70 ft)</t>
        </is>
      </c>
      <c r="G2518" s="12" t="inlineStr">
        <is>
          <t>JB-D3-CB3-AI01</t>
        </is>
      </c>
      <c r="H2518" s="12" t="inlineStr">
        <is>
          <t>D3 230 kV breaker 3</t>
        </is>
      </c>
      <c r="I2518" s="12" t="inlineStr">
        <is>
          <t>Instrumentation</t>
        </is>
      </c>
      <c r="J2518" s="12" t="inlineStr">
        <is>
          <t>Instrumentation PLTC / TC-ER 300 V, #18 twisted shielded pairs, overall shield</t>
        </is>
      </c>
      <c r="K2518" s="12" t="inlineStr">
        <is>
          <t>PLTC|24 pr|18</t>
        </is>
      </c>
      <c r="L2518" s="12" t="inlineStr">
        <is>
          <t>24 pr</t>
        </is>
      </c>
      <c r="M2518" s="12" t="inlineStr">
        <is>
          <t>18</t>
        </is>
      </c>
      <c r="N2518" s="12" t="n">
        <v>1</v>
      </c>
      <c r="O2518" s="12" t="n">
        <v>1</v>
      </c>
      <c r="P2518" s="12" t="n"/>
      <c r="Q2518" s="12" t="n"/>
      <c r="R2518" s="12" t="n"/>
      <c r="S2518" s="12" t="inlineStr">
        <is>
          <t>Trench</t>
        </is>
      </c>
      <c r="T2518" s="16" t="n">
        <v>674</v>
      </c>
      <c r="U2518" s="16" t="n">
        <v>92</v>
      </c>
      <c r="V2518" s="16">
        <f>ROUNDUP((T2518+U2518+2*'Read Me'!$B$13)*(1+'Read Me'!$B$12),-1)</f>
        <v/>
      </c>
      <c r="W2518" s="16">
        <f>V2518*N2518*O2518</f>
        <v/>
      </c>
      <c r="X2518" s="12">
        <f>IF(LEFT(I2518,2)="MV",2*N2518*IF(L2518="1/C",O2518,1),0)</f>
        <v/>
      </c>
      <c r="Y2518" s="12">
        <f>IF(OR(LEFT(K2518,4)="LVAX",LEFT(K2518,6)="MV15AX",LEFT(K2518,4)="CTAX",LEFT(K2518,2)="W|"),2*N2518*O2518,0)</f>
        <v/>
      </c>
      <c r="Z2518" s="12" t="inlineStr"/>
      <c r="AA2518" s="12">
        <f>N2518*O2518</f>
        <v/>
      </c>
    </row>
    <row r="2519">
      <c r="A2519" s="12" t="inlineStr">
        <is>
          <t>C-I-0035</t>
        </is>
      </c>
      <c r="B2519" s="12" t="inlineStr">
        <is>
          <t>C</t>
        </is>
      </c>
      <c r="C2519" s="12" t="inlineStr">
        <is>
          <t>Grid interface</t>
        </is>
      </c>
      <c r="D2519" s="12" t="inlineStr">
        <is>
          <t>Discrete device to JB JB-D3-CB3-DI01: 20 x 1 pr (field cables)</t>
        </is>
      </c>
      <c r="E2519" s="12" t="inlineStr">
        <is>
          <t>D3-CB3</t>
        </is>
      </c>
      <c r="F2519" s="12" t="inlineStr">
        <is>
          <t>D3 230 kV breaker 3</t>
        </is>
      </c>
      <c r="G2519" s="12" t="inlineStr">
        <is>
          <t>JB-D3-CB3-DI01</t>
        </is>
      </c>
      <c r="H2519" s="12" t="inlineStr">
        <is>
          <t>D3 230 kV breaker 3</t>
        </is>
      </c>
      <c r="I2519" s="12" t="inlineStr">
        <is>
          <t>Instrumentation</t>
        </is>
      </c>
      <c r="J2519" s="12" t="inlineStr">
        <is>
          <t>Instrumentation PLTC / TC-ER 300 V, #18 twisted shielded pairs, overall shield</t>
        </is>
      </c>
      <c r="K2519" s="12" t="inlineStr">
        <is>
          <t>PLTC|1 pr|16</t>
        </is>
      </c>
      <c r="L2519" s="12" t="inlineStr">
        <is>
          <t>1 pr</t>
        </is>
      </c>
      <c r="M2519" s="12" t="inlineStr">
        <is>
          <t>16</t>
        </is>
      </c>
      <c r="N2519" s="12" t="n">
        <v>20</v>
      </c>
      <c r="O2519" s="12" t="n">
        <v>1</v>
      </c>
      <c r="P2519" s="12" t="n"/>
      <c r="Q2519" s="12" t="n"/>
      <c r="R2519" s="12" t="n"/>
      <c r="S2519" s="12" t="inlineStr">
        <is>
          <t>Tray / conduit</t>
        </is>
      </c>
      <c r="T2519" s="16" t="n">
        <v>52</v>
      </c>
      <c r="U2519" s="16" t="n">
        <v>10</v>
      </c>
      <c r="V2519" s="16">
        <f>ROUNDUP((T2519+U2519+2*'Read Me'!$B$13)*(1+'Read Me'!$B$12),-1)</f>
        <v/>
      </c>
      <c r="W2519" s="16">
        <f>V2519*N2519*O2519</f>
        <v/>
      </c>
      <c r="X2519" s="12">
        <f>IF(LEFT(I2519,2)="MV",2*N2519*IF(L2519="1/C",O2519,1),0)</f>
        <v/>
      </c>
      <c r="Y2519" s="12">
        <f>IF(OR(LEFT(K2519,4)="LVAX",LEFT(K2519,6)="MV15AX",LEFT(K2519,4)="CTAX",LEFT(K2519,2)="W|"),2*N2519*O2519,0)</f>
        <v/>
      </c>
      <c r="Z2519" s="12" t="inlineStr">
        <is>
          <t>device-to-JB field wiring, one cable per device</t>
        </is>
      </c>
      <c r="AA2519" s="12">
        <f>N2519*O2519</f>
        <v/>
      </c>
    </row>
    <row r="2520">
      <c r="A2520" s="12" t="inlineStr">
        <is>
          <t>C-I-0036</t>
        </is>
      </c>
      <c r="B2520" s="12" t="inlineStr">
        <is>
          <t>C</t>
        </is>
      </c>
      <c r="C2520" s="12" t="inlineStr">
        <is>
          <t>Grid interface</t>
        </is>
      </c>
      <c r="D2520" s="12" t="inlineStr">
        <is>
          <t>Home run JB-D3-CB3-DI01 to the control / marshalling room</t>
        </is>
      </c>
      <c r="E2520" s="12" t="inlineStr">
        <is>
          <t>RH</t>
        </is>
      </c>
      <c r="F2520" s="12" t="inlineStr">
        <is>
          <t>RH: switchyard relay / control house (52 x 70 ft)</t>
        </is>
      </c>
      <c r="G2520" s="12" t="inlineStr">
        <is>
          <t>JB-D3-CB3-DI01</t>
        </is>
      </c>
      <c r="H2520" s="12" t="inlineStr">
        <is>
          <t>D3 230 kV breaker 3</t>
        </is>
      </c>
      <c r="I2520" s="12" t="inlineStr">
        <is>
          <t>Instrumentation</t>
        </is>
      </c>
      <c r="J2520" s="12" t="inlineStr">
        <is>
          <t>Instrumentation PLTC / TC-ER 300 V, #18 twisted shielded pairs, overall shield</t>
        </is>
      </c>
      <c r="K2520" s="12" t="inlineStr">
        <is>
          <t>PLTC|24 pr|18</t>
        </is>
      </c>
      <c r="L2520" s="12" t="inlineStr">
        <is>
          <t>24 pr</t>
        </is>
      </c>
      <c r="M2520" s="12" t="inlineStr">
        <is>
          <t>18</t>
        </is>
      </c>
      <c r="N2520" s="12" t="n">
        <v>1</v>
      </c>
      <c r="O2520" s="12" t="n">
        <v>1</v>
      </c>
      <c r="P2520" s="12" t="n"/>
      <c r="Q2520" s="12" t="n"/>
      <c r="R2520" s="12" t="n"/>
      <c r="S2520" s="12" t="inlineStr">
        <is>
          <t>Trench</t>
        </is>
      </c>
      <c r="T2520" s="16" t="n">
        <v>674</v>
      </c>
      <c r="U2520" s="16" t="n">
        <v>92</v>
      </c>
      <c r="V2520" s="16">
        <f>ROUNDUP((T2520+U2520+2*'Read Me'!$B$13)*(1+'Read Me'!$B$12),-1)</f>
        <v/>
      </c>
      <c r="W2520" s="16">
        <f>V2520*N2520*O2520</f>
        <v/>
      </c>
      <c r="X2520" s="12">
        <f>IF(LEFT(I2520,2)="MV",2*N2520*IF(L2520="1/C",O2520,1),0)</f>
        <v/>
      </c>
      <c r="Y2520" s="12">
        <f>IF(OR(LEFT(K2520,4)="LVAX",LEFT(K2520,6)="MV15AX",LEFT(K2520,4)="CTAX",LEFT(K2520,2)="W|"),2*N2520*O2520,0)</f>
        <v/>
      </c>
      <c r="Z2520" s="12" t="inlineStr"/>
      <c r="AA2520" s="12">
        <f>N2520*O2520</f>
        <v/>
      </c>
    </row>
    <row r="2521">
      <c r="A2521" s="12" t="inlineStr">
        <is>
          <t>C-I-0037</t>
        </is>
      </c>
      <c r="B2521" s="12" t="inlineStr">
        <is>
          <t>C</t>
        </is>
      </c>
      <c r="C2521" s="12" t="inlineStr">
        <is>
          <t>Grid interface</t>
        </is>
      </c>
      <c r="D2521" s="12" t="inlineStr">
        <is>
          <t>Analog instrument to JB JB-D4-CB1-AI01: 2 x 1 pr (field cables)</t>
        </is>
      </c>
      <c r="E2521" s="12" t="inlineStr">
        <is>
          <t>D4-CB1</t>
        </is>
      </c>
      <c r="F2521" s="12" t="inlineStr">
        <is>
          <t>D4 230 kV breaker 1 (build-out)</t>
        </is>
      </c>
      <c r="G2521" s="12" t="inlineStr">
        <is>
          <t>JB-D4-CB1-AI01</t>
        </is>
      </c>
      <c r="H2521" s="12" t="inlineStr">
        <is>
          <t>D4 230 kV breaker 1 (build-out)</t>
        </is>
      </c>
      <c r="I2521" s="12" t="inlineStr">
        <is>
          <t>Instrumentation</t>
        </is>
      </c>
      <c r="J2521" s="12" t="inlineStr">
        <is>
          <t>Instrumentation PLTC / TC-ER 300 V, #18 twisted shielded pairs, overall shield</t>
        </is>
      </c>
      <c r="K2521" s="12" t="inlineStr">
        <is>
          <t>PLTC|1 pr|16</t>
        </is>
      </c>
      <c r="L2521" s="12" t="inlineStr">
        <is>
          <t>1 pr</t>
        </is>
      </c>
      <c r="M2521" s="12" t="inlineStr">
        <is>
          <t>16</t>
        </is>
      </c>
      <c r="N2521" s="12" t="n">
        <v>2</v>
      </c>
      <c r="O2521" s="12" t="n">
        <v>1</v>
      </c>
      <c r="P2521" s="12" t="n"/>
      <c r="Q2521" s="12" t="n"/>
      <c r="R2521" s="12" t="n"/>
      <c r="S2521" s="12" t="inlineStr">
        <is>
          <t>Tray / conduit</t>
        </is>
      </c>
      <c r="T2521" s="16" t="n">
        <v>52</v>
      </c>
      <c r="U2521" s="16" t="n">
        <v>10</v>
      </c>
      <c r="V2521" s="16">
        <f>ROUNDUP((T2521+U2521+2*'Read Me'!$B$13)*(1+'Read Me'!$B$12),-1)</f>
        <v/>
      </c>
      <c r="W2521" s="16">
        <f>V2521*N2521*O2521</f>
        <v/>
      </c>
      <c r="X2521" s="12">
        <f>IF(LEFT(I2521,2)="MV",2*N2521*IF(L2521="1/C",O2521,1),0)</f>
        <v/>
      </c>
      <c r="Y2521" s="12">
        <f>IF(OR(LEFT(K2521,4)="LVAX",LEFT(K2521,6)="MV15AX",LEFT(K2521,4)="CTAX",LEFT(K2521,2)="W|"),2*N2521*O2521,0)</f>
        <v/>
      </c>
      <c r="Z2521" s="12" t="inlineStr">
        <is>
          <t>device-to-JB field wiring, one cable per device</t>
        </is>
      </c>
      <c r="AA2521" s="12">
        <f>N2521*O2521</f>
        <v/>
      </c>
    </row>
    <row r="2522">
      <c r="A2522" s="12" t="inlineStr">
        <is>
          <t>C-I-0038</t>
        </is>
      </c>
      <c r="B2522" s="12" t="inlineStr">
        <is>
          <t>C</t>
        </is>
      </c>
      <c r="C2522" s="12" t="inlineStr">
        <is>
          <t>Grid interface</t>
        </is>
      </c>
      <c r="D2522" s="12" t="inlineStr">
        <is>
          <t>Home run JB-D4-CB1-AI01 to the control / marshalling room</t>
        </is>
      </c>
      <c r="E2522" s="12" t="inlineStr">
        <is>
          <t>RH</t>
        </is>
      </c>
      <c r="F2522" s="12" t="inlineStr">
        <is>
          <t>RH: switchyard relay / control house (52 x 70 ft)</t>
        </is>
      </c>
      <c r="G2522" s="12" t="inlineStr">
        <is>
          <t>JB-D4-CB1-AI01</t>
        </is>
      </c>
      <c r="H2522" s="12" t="inlineStr">
        <is>
          <t>D4 230 kV breaker 1 (build-out)</t>
        </is>
      </c>
      <c r="I2522" s="12" t="inlineStr">
        <is>
          <t>Instrumentation</t>
        </is>
      </c>
      <c r="J2522" s="12" t="inlineStr">
        <is>
          <t>Instrumentation PLTC / TC-ER 300 V, #18 twisted shielded pairs, overall shield</t>
        </is>
      </c>
      <c r="K2522" s="12" t="inlineStr">
        <is>
          <t>PLTC|24 pr|18</t>
        </is>
      </c>
      <c r="L2522" s="12" t="inlineStr">
        <is>
          <t>24 pr</t>
        </is>
      </c>
      <c r="M2522" s="12" t="inlineStr">
        <is>
          <t>18</t>
        </is>
      </c>
      <c r="N2522" s="12" t="n">
        <v>1</v>
      </c>
      <c r="O2522" s="12" t="n">
        <v>1</v>
      </c>
      <c r="P2522" s="12" t="n"/>
      <c r="Q2522" s="12" t="n"/>
      <c r="R2522" s="12" t="n"/>
      <c r="S2522" s="12" t="inlineStr">
        <is>
          <t>Trench</t>
        </is>
      </c>
      <c r="T2522" s="16" t="n">
        <v>1294</v>
      </c>
      <c r="U2522" s="16" t="n">
        <v>40</v>
      </c>
      <c r="V2522" s="16">
        <f>ROUNDUP((T2522+U2522+2*'Read Me'!$B$13)*(1+'Read Me'!$B$12),-1)</f>
        <v/>
      </c>
      <c r="W2522" s="16">
        <f>V2522*N2522*O2522</f>
        <v/>
      </c>
      <c r="X2522" s="12">
        <f>IF(LEFT(I2522,2)="MV",2*N2522*IF(L2522="1/C",O2522,1),0)</f>
        <v/>
      </c>
      <c r="Y2522" s="12">
        <f>IF(OR(LEFT(K2522,4)="LVAX",LEFT(K2522,6)="MV15AX",LEFT(K2522,4)="CTAX",LEFT(K2522,2)="W|"),2*N2522*O2522,0)</f>
        <v/>
      </c>
      <c r="Z2522" s="12" t="inlineStr"/>
      <c r="AA2522" s="12">
        <f>N2522*O2522</f>
        <v/>
      </c>
    </row>
    <row r="2523">
      <c r="A2523" s="12" t="inlineStr">
        <is>
          <t>C-I-0039</t>
        </is>
      </c>
      <c r="B2523" s="12" t="inlineStr">
        <is>
          <t>C</t>
        </is>
      </c>
      <c r="C2523" s="12" t="inlineStr">
        <is>
          <t>Grid interface</t>
        </is>
      </c>
      <c r="D2523" s="12" t="inlineStr">
        <is>
          <t>Discrete device to JB JB-D4-CB1-DI01: 20 x 1 pr (field cables)</t>
        </is>
      </c>
      <c r="E2523" s="12" t="inlineStr">
        <is>
          <t>D4-CB1</t>
        </is>
      </c>
      <c r="F2523" s="12" t="inlineStr">
        <is>
          <t>D4 230 kV breaker 1 (build-out)</t>
        </is>
      </c>
      <c r="G2523" s="12" t="inlineStr">
        <is>
          <t>JB-D4-CB1-DI01</t>
        </is>
      </c>
      <c r="H2523" s="12" t="inlineStr">
        <is>
          <t>D4 230 kV breaker 1 (build-out)</t>
        </is>
      </c>
      <c r="I2523" s="12" t="inlineStr">
        <is>
          <t>Instrumentation</t>
        </is>
      </c>
      <c r="J2523" s="12" t="inlineStr">
        <is>
          <t>Instrumentation PLTC / TC-ER 300 V, #18 twisted shielded pairs, overall shield</t>
        </is>
      </c>
      <c r="K2523" s="12" t="inlineStr">
        <is>
          <t>PLTC|1 pr|16</t>
        </is>
      </c>
      <c r="L2523" s="12" t="inlineStr">
        <is>
          <t>1 pr</t>
        </is>
      </c>
      <c r="M2523" s="12" t="inlineStr">
        <is>
          <t>16</t>
        </is>
      </c>
      <c r="N2523" s="12" t="n">
        <v>20</v>
      </c>
      <c r="O2523" s="12" t="n">
        <v>1</v>
      </c>
      <c r="P2523" s="12" t="n"/>
      <c r="Q2523" s="12" t="n"/>
      <c r="R2523" s="12" t="n"/>
      <c r="S2523" s="12" t="inlineStr">
        <is>
          <t>Tray / conduit</t>
        </is>
      </c>
      <c r="T2523" s="16" t="n">
        <v>52</v>
      </c>
      <c r="U2523" s="16" t="n">
        <v>10</v>
      </c>
      <c r="V2523" s="16">
        <f>ROUNDUP((T2523+U2523+2*'Read Me'!$B$13)*(1+'Read Me'!$B$12),-1)</f>
        <v/>
      </c>
      <c r="W2523" s="16">
        <f>V2523*N2523*O2523</f>
        <v/>
      </c>
      <c r="X2523" s="12">
        <f>IF(LEFT(I2523,2)="MV",2*N2523*IF(L2523="1/C",O2523,1),0)</f>
        <v/>
      </c>
      <c r="Y2523" s="12">
        <f>IF(OR(LEFT(K2523,4)="LVAX",LEFT(K2523,6)="MV15AX",LEFT(K2523,4)="CTAX",LEFT(K2523,2)="W|"),2*N2523*O2523,0)</f>
        <v/>
      </c>
      <c r="Z2523" s="12" t="inlineStr">
        <is>
          <t>device-to-JB field wiring, one cable per device</t>
        </is>
      </c>
      <c r="AA2523" s="12">
        <f>N2523*O2523</f>
        <v/>
      </c>
    </row>
    <row r="2524">
      <c r="A2524" s="12" t="inlineStr">
        <is>
          <t>C-I-0040</t>
        </is>
      </c>
      <c r="B2524" s="12" t="inlineStr">
        <is>
          <t>C</t>
        </is>
      </c>
      <c r="C2524" s="12" t="inlineStr">
        <is>
          <t>Grid interface</t>
        </is>
      </c>
      <c r="D2524" s="12" t="inlineStr">
        <is>
          <t>Home run JB-D4-CB1-DI01 to the control / marshalling room</t>
        </is>
      </c>
      <c r="E2524" s="12" t="inlineStr">
        <is>
          <t>RH</t>
        </is>
      </c>
      <c r="F2524" s="12" t="inlineStr">
        <is>
          <t>RH: switchyard relay / control house (52 x 70 ft)</t>
        </is>
      </c>
      <c r="G2524" s="12" t="inlineStr">
        <is>
          <t>JB-D4-CB1-DI01</t>
        </is>
      </c>
      <c r="H2524" s="12" t="inlineStr">
        <is>
          <t>D4 230 kV breaker 1 (build-out)</t>
        </is>
      </c>
      <c r="I2524" s="12" t="inlineStr">
        <is>
          <t>Instrumentation</t>
        </is>
      </c>
      <c r="J2524" s="12" t="inlineStr">
        <is>
          <t>Instrumentation PLTC / TC-ER 300 V, #18 twisted shielded pairs, overall shield</t>
        </is>
      </c>
      <c r="K2524" s="12" t="inlineStr">
        <is>
          <t>PLTC|24 pr|18</t>
        </is>
      </c>
      <c r="L2524" s="12" t="inlineStr">
        <is>
          <t>24 pr</t>
        </is>
      </c>
      <c r="M2524" s="12" t="inlineStr">
        <is>
          <t>18</t>
        </is>
      </c>
      <c r="N2524" s="12" t="n">
        <v>1</v>
      </c>
      <c r="O2524" s="12" t="n">
        <v>1</v>
      </c>
      <c r="P2524" s="12" t="n"/>
      <c r="Q2524" s="12" t="n"/>
      <c r="R2524" s="12" t="n"/>
      <c r="S2524" s="12" t="inlineStr">
        <is>
          <t>Trench</t>
        </is>
      </c>
      <c r="T2524" s="16" t="n">
        <v>1294</v>
      </c>
      <c r="U2524" s="16" t="n">
        <v>40</v>
      </c>
      <c r="V2524" s="16">
        <f>ROUNDUP((T2524+U2524+2*'Read Me'!$B$13)*(1+'Read Me'!$B$12),-1)</f>
        <v/>
      </c>
      <c r="W2524" s="16">
        <f>V2524*N2524*O2524</f>
        <v/>
      </c>
      <c r="X2524" s="12">
        <f>IF(LEFT(I2524,2)="MV",2*N2524*IF(L2524="1/C",O2524,1),0)</f>
        <v/>
      </c>
      <c r="Y2524" s="12">
        <f>IF(OR(LEFT(K2524,4)="LVAX",LEFT(K2524,6)="MV15AX",LEFT(K2524,4)="CTAX",LEFT(K2524,2)="W|"),2*N2524*O2524,0)</f>
        <v/>
      </c>
      <c r="Z2524" s="12" t="inlineStr"/>
      <c r="AA2524" s="12">
        <f>N2524*O2524</f>
        <v/>
      </c>
    </row>
    <row r="2525">
      <c r="A2525" s="12" t="inlineStr">
        <is>
          <t>C-I-0041</t>
        </is>
      </c>
      <c r="B2525" s="12" t="inlineStr">
        <is>
          <t>C</t>
        </is>
      </c>
      <c r="C2525" s="12" t="inlineStr">
        <is>
          <t>Grid interface</t>
        </is>
      </c>
      <c r="D2525" s="12" t="inlineStr">
        <is>
          <t>Analog instrument to JB JB-D4-CB2-AI01: 2 x 1 pr (field cables)</t>
        </is>
      </c>
      <c r="E2525" s="12" t="inlineStr">
        <is>
          <t>D4-CB2</t>
        </is>
      </c>
      <c r="F2525" s="12" t="inlineStr">
        <is>
          <t>D4 230 kV breaker 2 (build-out)</t>
        </is>
      </c>
      <c r="G2525" s="12" t="inlineStr">
        <is>
          <t>JB-D4-CB2-AI01</t>
        </is>
      </c>
      <c r="H2525" s="12" t="inlineStr">
        <is>
          <t>D4 230 kV breaker 2 (build-out)</t>
        </is>
      </c>
      <c r="I2525" s="12" t="inlineStr">
        <is>
          <t>Instrumentation</t>
        </is>
      </c>
      <c r="J2525" s="12" t="inlineStr">
        <is>
          <t>Instrumentation PLTC / TC-ER 300 V, #18 twisted shielded pairs, overall shield</t>
        </is>
      </c>
      <c r="K2525" s="12" t="inlineStr">
        <is>
          <t>PLTC|1 pr|16</t>
        </is>
      </c>
      <c r="L2525" s="12" t="inlineStr">
        <is>
          <t>1 pr</t>
        </is>
      </c>
      <c r="M2525" s="12" t="inlineStr">
        <is>
          <t>16</t>
        </is>
      </c>
      <c r="N2525" s="12" t="n">
        <v>2</v>
      </c>
      <c r="O2525" s="12" t="n">
        <v>1</v>
      </c>
      <c r="P2525" s="12" t="n"/>
      <c r="Q2525" s="12" t="n"/>
      <c r="R2525" s="12" t="n"/>
      <c r="S2525" s="12" t="inlineStr">
        <is>
          <t>Tray / conduit</t>
        </is>
      </c>
      <c r="T2525" s="16" t="n">
        <v>52</v>
      </c>
      <c r="U2525" s="16" t="n">
        <v>10</v>
      </c>
      <c r="V2525" s="16">
        <f>ROUNDUP((T2525+U2525+2*'Read Me'!$B$13)*(1+'Read Me'!$B$12),-1)</f>
        <v/>
      </c>
      <c r="W2525" s="16">
        <f>V2525*N2525*O2525</f>
        <v/>
      </c>
      <c r="X2525" s="12">
        <f>IF(LEFT(I2525,2)="MV",2*N2525*IF(L2525="1/C",O2525,1),0)</f>
        <v/>
      </c>
      <c r="Y2525" s="12">
        <f>IF(OR(LEFT(K2525,4)="LVAX",LEFT(K2525,6)="MV15AX",LEFT(K2525,4)="CTAX",LEFT(K2525,2)="W|"),2*N2525*O2525,0)</f>
        <v/>
      </c>
      <c r="Z2525" s="12" t="inlineStr">
        <is>
          <t>device-to-JB field wiring, one cable per device</t>
        </is>
      </c>
      <c r="AA2525" s="12">
        <f>N2525*O2525</f>
        <v/>
      </c>
    </row>
    <row r="2526">
      <c r="A2526" s="12" t="inlineStr">
        <is>
          <t>C-I-0042</t>
        </is>
      </c>
      <c r="B2526" s="12" t="inlineStr">
        <is>
          <t>C</t>
        </is>
      </c>
      <c r="C2526" s="12" t="inlineStr">
        <is>
          <t>Grid interface</t>
        </is>
      </c>
      <c r="D2526" s="12" t="inlineStr">
        <is>
          <t>Home run JB-D4-CB2-AI01 to the control / marshalling room</t>
        </is>
      </c>
      <c r="E2526" s="12" t="inlineStr">
        <is>
          <t>RH</t>
        </is>
      </c>
      <c r="F2526" s="12" t="inlineStr">
        <is>
          <t>RH: switchyard relay / control house (52 x 70 ft)</t>
        </is>
      </c>
      <c r="G2526" s="12" t="inlineStr">
        <is>
          <t>JB-D4-CB2-AI01</t>
        </is>
      </c>
      <c r="H2526" s="12" t="inlineStr">
        <is>
          <t>D4 230 kV breaker 2 (build-out)</t>
        </is>
      </c>
      <c r="I2526" s="12" t="inlineStr">
        <is>
          <t>Instrumentation</t>
        </is>
      </c>
      <c r="J2526" s="12" t="inlineStr">
        <is>
          <t>Instrumentation PLTC / TC-ER 300 V, #18 twisted shielded pairs, overall shield</t>
        </is>
      </c>
      <c r="K2526" s="12" t="inlineStr">
        <is>
          <t>PLTC|24 pr|18</t>
        </is>
      </c>
      <c r="L2526" s="12" t="inlineStr">
        <is>
          <t>24 pr</t>
        </is>
      </c>
      <c r="M2526" s="12" t="inlineStr">
        <is>
          <t>18</t>
        </is>
      </c>
      <c r="N2526" s="12" t="n">
        <v>1</v>
      </c>
      <c r="O2526" s="12" t="n">
        <v>1</v>
      </c>
      <c r="P2526" s="12" t="n"/>
      <c r="Q2526" s="12" t="n"/>
      <c r="R2526" s="12" t="n"/>
      <c r="S2526" s="12" t="inlineStr">
        <is>
          <t>Trench</t>
        </is>
      </c>
      <c r="T2526" s="16" t="n">
        <v>1294</v>
      </c>
      <c r="U2526" s="16" t="n">
        <v>52</v>
      </c>
      <c r="V2526" s="16">
        <f>ROUNDUP((T2526+U2526+2*'Read Me'!$B$13)*(1+'Read Me'!$B$12),-1)</f>
        <v/>
      </c>
      <c r="W2526" s="16">
        <f>V2526*N2526*O2526</f>
        <v/>
      </c>
      <c r="X2526" s="12">
        <f>IF(LEFT(I2526,2)="MV",2*N2526*IF(L2526="1/C",O2526,1),0)</f>
        <v/>
      </c>
      <c r="Y2526" s="12">
        <f>IF(OR(LEFT(K2526,4)="LVAX",LEFT(K2526,6)="MV15AX",LEFT(K2526,4)="CTAX",LEFT(K2526,2)="W|"),2*N2526*O2526,0)</f>
        <v/>
      </c>
      <c r="Z2526" s="12" t="inlineStr"/>
      <c r="AA2526" s="12">
        <f>N2526*O2526</f>
        <v/>
      </c>
    </row>
    <row r="2527">
      <c r="A2527" s="12" t="inlineStr">
        <is>
          <t>C-I-0043</t>
        </is>
      </c>
      <c r="B2527" s="12" t="inlineStr">
        <is>
          <t>C</t>
        </is>
      </c>
      <c r="C2527" s="12" t="inlineStr">
        <is>
          <t>Grid interface</t>
        </is>
      </c>
      <c r="D2527" s="12" t="inlineStr">
        <is>
          <t>Discrete device to JB JB-D4-CB2-DI01: 20 x 1 pr (field cables)</t>
        </is>
      </c>
      <c r="E2527" s="12" t="inlineStr">
        <is>
          <t>D4-CB2</t>
        </is>
      </c>
      <c r="F2527" s="12" t="inlineStr">
        <is>
          <t>D4 230 kV breaker 2 (build-out)</t>
        </is>
      </c>
      <c r="G2527" s="12" t="inlineStr">
        <is>
          <t>JB-D4-CB2-DI01</t>
        </is>
      </c>
      <c r="H2527" s="12" t="inlineStr">
        <is>
          <t>D4 230 kV breaker 2 (build-out)</t>
        </is>
      </c>
      <c r="I2527" s="12" t="inlineStr">
        <is>
          <t>Instrumentation</t>
        </is>
      </c>
      <c r="J2527" s="12" t="inlineStr">
        <is>
          <t>Instrumentation PLTC / TC-ER 300 V, #18 twisted shielded pairs, overall shield</t>
        </is>
      </c>
      <c r="K2527" s="12" t="inlineStr">
        <is>
          <t>PLTC|1 pr|16</t>
        </is>
      </c>
      <c r="L2527" s="12" t="inlineStr">
        <is>
          <t>1 pr</t>
        </is>
      </c>
      <c r="M2527" s="12" t="inlineStr">
        <is>
          <t>16</t>
        </is>
      </c>
      <c r="N2527" s="12" t="n">
        <v>20</v>
      </c>
      <c r="O2527" s="12" t="n">
        <v>1</v>
      </c>
      <c r="P2527" s="12" t="n"/>
      <c r="Q2527" s="12" t="n"/>
      <c r="R2527" s="12" t="n"/>
      <c r="S2527" s="12" t="inlineStr">
        <is>
          <t>Tray / conduit</t>
        </is>
      </c>
      <c r="T2527" s="16" t="n">
        <v>52</v>
      </c>
      <c r="U2527" s="16" t="n">
        <v>10</v>
      </c>
      <c r="V2527" s="16">
        <f>ROUNDUP((T2527+U2527+2*'Read Me'!$B$13)*(1+'Read Me'!$B$12),-1)</f>
        <v/>
      </c>
      <c r="W2527" s="16">
        <f>V2527*N2527*O2527</f>
        <v/>
      </c>
      <c r="X2527" s="12">
        <f>IF(LEFT(I2527,2)="MV",2*N2527*IF(L2527="1/C",O2527,1),0)</f>
        <v/>
      </c>
      <c r="Y2527" s="12">
        <f>IF(OR(LEFT(K2527,4)="LVAX",LEFT(K2527,6)="MV15AX",LEFT(K2527,4)="CTAX",LEFT(K2527,2)="W|"),2*N2527*O2527,0)</f>
        <v/>
      </c>
      <c r="Z2527" s="12" t="inlineStr">
        <is>
          <t>device-to-JB field wiring, one cable per device</t>
        </is>
      </c>
      <c r="AA2527" s="12">
        <f>N2527*O2527</f>
        <v/>
      </c>
    </row>
    <row r="2528">
      <c r="A2528" s="12" t="inlineStr">
        <is>
          <t>C-I-0044</t>
        </is>
      </c>
      <c r="B2528" s="12" t="inlineStr">
        <is>
          <t>C</t>
        </is>
      </c>
      <c r="C2528" s="12" t="inlineStr">
        <is>
          <t>Grid interface</t>
        </is>
      </c>
      <c r="D2528" s="12" t="inlineStr">
        <is>
          <t>Home run JB-D4-CB2-DI01 to the control / marshalling room</t>
        </is>
      </c>
      <c r="E2528" s="12" t="inlineStr">
        <is>
          <t>RH</t>
        </is>
      </c>
      <c r="F2528" s="12" t="inlineStr">
        <is>
          <t>RH: switchyard relay / control house (52 x 70 ft)</t>
        </is>
      </c>
      <c r="G2528" s="12" t="inlineStr">
        <is>
          <t>JB-D4-CB2-DI01</t>
        </is>
      </c>
      <c r="H2528" s="12" t="inlineStr">
        <is>
          <t>D4 230 kV breaker 2 (build-out)</t>
        </is>
      </c>
      <c r="I2528" s="12" t="inlineStr">
        <is>
          <t>Instrumentation</t>
        </is>
      </c>
      <c r="J2528" s="12" t="inlineStr">
        <is>
          <t>Instrumentation PLTC / TC-ER 300 V, #18 twisted shielded pairs, overall shield</t>
        </is>
      </c>
      <c r="K2528" s="12" t="inlineStr">
        <is>
          <t>PLTC|24 pr|18</t>
        </is>
      </c>
      <c r="L2528" s="12" t="inlineStr">
        <is>
          <t>24 pr</t>
        </is>
      </c>
      <c r="M2528" s="12" t="inlineStr">
        <is>
          <t>18</t>
        </is>
      </c>
      <c r="N2528" s="12" t="n">
        <v>1</v>
      </c>
      <c r="O2528" s="12" t="n">
        <v>1</v>
      </c>
      <c r="P2528" s="12" t="n"/>
      <c r="Q2528" s="12" t="n"/>
      <c r="R2528" s="12" t="n"/>
      <c r="S2528" s="12" t="inlineStr">
        <is>
          <t>Trench</t>
        </is>
      </c>
      <c r="T2528" s="16" t="n">
        <v>1294</v>
      </c>
      <c r="U2528" s="16" t="n">
        <v>52</v>
      </c>
      <c r="V2528" s="16">
        <f>ROUNDUP((T2528+U2528+2*'Read Me'!$B$13)*(1+'Read Me'!$B$12),-1)</f>
        <v/>
      </c>
      <c r="W2528" s="16">
        <f>V2528*N2528*O2528</f>
        <v/>
      </c>
      <c r="X2528" s="12">
        <f>IF(LEFT(I2528,2)="MV",2*N2528*IF(L2528="1/C",O2528,1),0)</f>
        <v/>
      </c>
      <c r="Y2528" s="12">
        <f>IF(OR(LEFT(K2528,4)="LVAX",LEFT(K2528,6)="MV15AX",LEFT(K2528,4)="CTAX",LEFT(K2528,2)="W|"),2*N2528*O2528,0)</f>
        <v/>
      </c>
      <c r="Z2528" s="12" t="inlineStr"/>
      <c r="AA2528" s="12">
        <f>N2528*O2528</f>
        <v/>
      </c>
    </row>
    <row r="2529">
      <c r="A2529" s="12" t="inlineStr">
        <is>
          <t>C-I-0045</t>
        </is>
      </c>
      <c r="B2529" s="12" t="inlineStr">
        <is>
          <t>C</t>
        </is>
      </c>
      <c r="C2529" s="12" t="inlineStr">
        <is>
          <t>Grid interface</t>
        </is>
      </c>
      <c r="D2529" s="12" t="inlineStr">
        <is>
          <t>Analog instrument to JB JB-D4-CB3-AI01: 2 x 1 pr (field cables)</t>
        </is>
      </c>
      <c r="E2529" s="12" t="inlineStr">
        <is>
          <t>D4-CB3</t>
        </is>
      </c>
      <c r="F2529" s="12" t="inlineStr">
        <is>
          <t>D4 230 kV breaker 3 (build-out)</t>
        </is>
      </c>
      <c r="G2529" s="12" t="inlineStr">
        <is>
          <t>JB-D4-CB3-AI01</t>
        </is>
      </c>
      <c r="H2529" s="12" t="inlineStr">
        <is>
          <t>D4 230 kV breaker 3 (build-out)</t>
        </is>
      </c>
      <c r="I2529" s="12" t="inlineStr">
        <is>
          <t>Instrumentation</t>
        </is>
      </c>
      <c r="J2529" s="12" t="inlineStr">
        <is>
          <t>Instrumentation PLTC / TC-ER 300 V, #18 twisted shielded pairs, overall shield</t>
        </is>
      </c>
      <c r="K2529" s="12" t="inlineStr">
        <is>
          <t>PLTC|1 pr|16</t>
        </is>
      </c>
      <c r="L2529" s="12" t="inlineStr">
        <is>
          <t>1 pr</t>
        </is>
      </c>
      <c r="M2529" s="12" t="inlineStr">
        <is>
          <t>16</t>
        </is>
      </c>
      <c r="N2529" s="12" t="n">
        <v>2</v>
      </c>
      <c r="O2529" s="12" t="n">
        <v>1</v>
      </c>
      <c r="P2529" s="12" t="n"/>
      <c r="Q2529" s="12" t="n"/>
      <c r="R2529" s="12" t="n"/>
      <c r="S2529" s="12" t="inlineStr">
        <is>
          <t>Tray / conduit</t>
        </is>
      </c>
      <c r="T2529" s="16" t="n">
        <v>52</v>
      </c>
      <c r="U2529" s="16" t="n">
        <v>10</v>
      </c>
      <c r="V2529" s="16">
        <f>ROUNDUP((T2529+U2529+2*'Read Me'!$B$13)*(1+'Read Me'!$B$12),-1)</f>
        <v/>
      </c>
      <c r="W2529" s="16">
        <f>V2529*N2529*O2529</f>
        <v/>
      </c>
      <c r="X2529" s="12">
        <f>IF(LEFT(I2529,2)="MV",2*N2529*IF(L2529="1/C",O2529,1),0)</f>
        <v/>
      </c>
      <c r="Y2529" s="12">
        <f>IF(OR(LEFT(K2529,4)="LVAX",LEFT(K2529,6)="MV15AX",LEFT(K2529,4)="CTAX",LEFT(K2529,2)="W|"),2*N2529*O2529,0)</f>
        <v/>
      </c>
      <c r="Z2529" s="12" t="inlineStr">
        <is>
          <t>device-to-JB field wiring, one cable per device</t>
        </is>
      </c>
      <c r="AA2529" s="12">
        <f>N2529*O2529</f>
        <v/>
      </c>
    </row>
    <row r="2530">
      <c r="A2530" s="12" t="inlineStr">
        <is>
          <t>C-I-0046</t>
        </is>
      </c>
      <c r="B2530" s="12" t="inlineStr">
        <is>
          <t>C</t>
        </is>
      </c>
      <c r="C2530" s="12" t="inlineStr">
        <is>
          <t>Grid interface</t>
        </is>
      </c>
      <c r="D2530" s="12" t="inlineStr">
        <is>
          <t>Home run JB-D4-CB3-AI01 to the control / marshalling room</t>
        </is>
      </c>
      <c r="E2530" s="12" t="inlineStr">
        <is>
          <t>RH</t>
        </is>
      </c>
      <c r="F2530" s="12" t="inlineStr">
        <is>
          <t>RH: switchyard relay / control house (52 x 70 ft)</t>
        </is>
      </c>
      <c r="G2530" s="12" t="inlineStr">
        <is>
          <t>JB-D4-CB3-AI01</t>
        </is>
      </c>
      <c r="H2530" s="12" t="inlineStr">
        <is>
          <t>D4 230 kV breaker 3 (build-out)</t>
        </is>
      </c>
      <c r="I2530" s="12" t="inlineStr">
        <is>
          <t>Instrumentation</t>
        </is>
      </c>
      <c r="J2530" s="12" t="inlineStr">
        <is>
          <t>Instrumentation PLTC / TC-ER 300 V, #18 twisted shielded pairs, overall shield</t>
        </is>
      </c>
      <c r="K2530" s="12" t="inlineStr">
        <is>
          <t>PLTC|24 pr|18</t>
        </is>
      </c>
      <c r="L2530" s="12" t="inlineStr">
        <is>
          <t>24 pr</t>
        </is>
      </c>
      <c r="M2530" s="12" t="inlineStr">
        <is>
          <t>18</t>
        </is>
      </c>
      <c r="N2530" s="12" t="n">
        <v>1</v>
      </c>
      <c r="O2530" s="12" t="n">
        <v>1</v>
      </c>
      <c r="P2530" s="12" t="n"/>
      <c r="Q2530" s="12" t="n"/>
      <c r="R2530" s="12" t="n"/>
      <c r="S2530" s="12" t="inlineStr">
        <is>
          <t>Trench</t>
        </is>
      </c>
      <c r="T2530" s="16" t="n">
        <v>1340</v>
      </c>
      <c r="U2530" s="16" t="n">
        <v>46</v>
      </c>
      <c r="V2530" s="16">
        <f>ROUNDUP((T2530+U2530+2*'Read Me'!$B$13)*(1+'Read Me'!$B$12),-1)</f>
        <v/>
      </c>
      <c r="W2530" s="16">
        <f>V2530*N2530*O2530</f>
        <v/>
      </c>
      <c r="X2530" s="12">
        <f>IF(LEFT(I2530,2)="MV",2*N2530*IF(L2530="1/C",O2530,1),0)</f>
        <v/>
      </c>
      <c r="Y2530" s="12">
        <f>IF(OR(LEFT(K2530,4)="LVAX",LEFT(K2530,6)="MV15AX",LEFT(K2530,4)="CTAX",LEFT(K2530,2)="W|"),2*N2530*O2530,0)</f>
        <v/>
      </c>
      <c r="Z2530" s="12" t="inlineStr"/>
      <c r="AA2530" s="12">
        <f>N2530*O2530</f>
        <v/>
      </c>
    </row>
    <row r="2531">
      <c r="A2531" s="12" t="inlineStr">
        <is>
          <t>C-I-0047</t>
        </is>
      </c>
      <c r="B2531" s="12" t="inlineStr">
        <is>
          <t>C</t>
        </is>
      </c>
      <c r="C2531" s="12" t="inlineStr">
        <is>
          <t>Grid interface</t>
        </is>
      </c>
      <c r="D2531" s="12" t="inlineStr">
        <is>
          <t>Discrete device to JB JB-D4-CB3-DI01: 20 x 1 pr (field cables)</t>
        </is>
      </c>
      <c r="E2531" s="12" t="inlineStr">
        <is>
          <t>D4-CB3</t>
        </is>
      </c>
      <c r="F2531" s="12" t="inlineStr">
        <is>
          <t>D4 230 kV breaker 3 (build-out)</t>
        </is>
      </c>
      <c r="G2531" s="12" t="inlineStr">
        <is>
          <t>JB-D4-CB3-DI01</t>
        </is>
      </c>
      <c r="H2531" s="12" t="inlineStr">
        <is>
          <t>D4 230 kV breaker 3 (build-out)</t>
        </is>
      </c>
      <c r="I2531" s="12" t="inlineStr">
        <is>
          <t>Instrumentation</t>
        </is>
      </c>
      <c r="J2531" s="12" t="inlineStr">
        <is>
          <t>Instrumentation PLTC / TC-ER 300 V, #18 twisted shielded pairs, overall shield</t>
        </is>
      </c>
      <c r="K2531" s="12" t="inlineStr">
        <is>
          <t>PLTC|1 pr|16</t>
        </is>
      </c>
      <c r="L2531" s="12" t="inlineStr">
        <is>
          <t>1 pr</t>
        </is>
      </c>
      <c r="M2531" s="12" t="inlineStr">
        <is>
          <t>16</t>
        </is>
      </c>
      <c r="N2531" s="12" t="n">
        <v>20</v>
      </c>
      <c r="O2531" s="12" t="n">
        <v>1</v>
      </c>
      <c r="P2531" s="12" t="n"/>
      <c r="Q2531" s="12" t="n"/>
      <c r="R2531" s="12" t="n"/>
      <c r="S2531" s="12" t="inlineStr">
        <is>
          <t>Tray / conduit</t>
        </is>
      </c>
      <c r="T2531" s="16" t="n">
        <v>52</v>
      </c>
      <c r="U2531" s="16" t="n">
        <v>10</v>
      </c>
      <c r="V2531" s="16">
        <f>ROUNDUP((T2531+U2531+2*'Read Me'!$B$13)*(1+'Read Me'!$B$12),-1)</f>
        <v/>
      </c>
      <c r="W2531" s="16">
        <f>V2531*N2531*O2531</f>
        <v/>
      </c>
      <c r="X2531" s="12">
        <f>IF(LEFT(I2531,2)="MV",2*N2531*IF(L2531="1/C",O2531,1),0)</f>
        <v/>
      </c>
      <c r="Y2531" s="12">
        <f>IF(OR(LEFT(K2531,4)="LVAX",LEFT(K2531,6)="MV15AX",LEFT(K2531,4)="CTAX",LEFT(K2531,2)="W|"),2*N2531*O2531,0)</f>
        <v/>
      </c>
      <c r="Z2531" s="12" t="inlineStr">
        <is>
          <t>device-to-JB field wiring, one cable per device</t>
        </is>
      </c>
      <c r="AA2531" s="12">
        <f>N2531*O2531</f>
        <v/>
      </c>
    </row>
    <row r="2532">
      <c r="A2532" s="12" t="inlineStr">
        <is>
          <t>C-I-0048</t>
        </is>
      </c>
      <c r="B2532" s="12" t="inlineStr">
        <is>
          <t>C</t>
        </is>
      </c>
      <c r="C2532" s="12" t="inlineStr">
        <is>
          <t>Grid interface</t>
        </is>
      </c>
      <c r="D2532" s="12" t="inlineStr">
        <is>
          <t>Home run JB-D4-CB3-DI01 to the control / marshalling room</t>
        </is>
      </c>
      <c r="E2532" s="12" t="inlineStr">
        <is>
          <t>RH</t>
        </is>
      </c>
      <c r="F2532" s="12" t="inlineStr">
        <is>
          <t>RH: switchyard relay / control house (52 x 70 ft)</t>
        </is>
      </c>
      <c r="G2532" s="12" t="inlineStr">
        <is>
          <t>JB-D4-CB3-DI01</t>
        </is>
      </c>
      <c r="H2532" s="12" t="inlineStr">
        <is>
          <t>D4 230 kV breaker 3 (build-out)</t>
        </is>
      </c>
      <c r="I2532" s="12" t="inlineStr">
        <is>
          <t>Instrumentation</t>
        </is>
      </c>
      <c r="J2532" s="12" t="inlineStr">
        <is>
          <t>Instrumentation PLTC / TC-ER 300 V, #18 twisted shielded pairs, overall shield</t>
        </is>
      </c>
      <c r="K2532" s="12" t="inlineStr">
        <is>
          <t>PLTC|24 pr|18</t>
        </is>
      </c>
      <c r="L2532" s="12" t="inlineStr">
        <is>
          <t>24 pr</t>
        </is>
      </c>
      <c r="M2532" s="12" t="inlineStr">
        <is>
          <t>18</t>
        </is>
      </c>
      <c r="N2532" s="12" t="n">
        <v>1</v>
      </c>
      <c r="O2532" s="12" t="n">
        <v>1</v>
      </c>
      <c r="P2532" s="12" t="n"/>
      <c r="Q2532" s="12" t="n"/>
      <c r="R2532" s="12" t="n"/>
      <c r="S2532" s="12" t="inlineStr">
        <is>
          <t>Trench</t>
        </is>
      </c>
      <c r="T2532" s="16" t="n">
        <v>1340</v>
      </c>
      <c r="U2532" s="16" t="n">
        <v>46</v>
      </c>
      <c r="V2532" s="16">
        <f>ROUNDUP((T2532+U2532+2*'Read Me'!$B$13)*(1+'Read Me'!$B$12),-1)</f>
        <v/>
      </c>
      <c r="W2532" s="16">
        <f>V2532*N2532*O2532</f>
        <v/>
      </c>
      <c r="X2532" s="12">
        <f>IF(LEFT(I2532,2)="MV",2*N2532*IF(L2532="1/C",O2532,1),0)</f>
        <v/>
      </c>
      <c r="Y2532" s="12">
        <f>IF(OR(LEFT(K2532,4)="LVAX",LEFT(K2532,6)="MV15AX",LEFT(K2532,4)="CTAX",LEFT(K2532,2)="W|"),2*N2532*O2532,0)</f>
        <v/>
      </c>
      <c r="Z2532" s="12" t="inlineStr"/>
      <c r="AA2532" s="12">
        <f>N2532*O2532</f>
        <v/>
      </c>
    </row>
    <row r="2533">
      <c r="A2533" s="12" t="inlineStr">
        <is>
          <t>C-I-0049</t>
        </is>
      </c>
      <c r="B2533" s="12" t="inlineStr">
        <is>
          <t>C</t>
        </is>
      </c>
      <c r="C2533" s="12" t="inlineStr">
        <is>
          <t>Grid interface</t>
        </is>
      </c>
      <c r="D2533" s="12" t="inlineStr">
        <is>
          <t>Analog instrument to JB JB-D5-CB1-AI01: 2 x 1 pr (field cables)</t>
        </is>
      </c>
      <c r="E2533" s="12" t="inlineStr">
        <is>
          <t>D5-CB1</t>
        </is>
      </c>
      <c r="F2533" s="12" t="inlineStr">
        <is>
          <t>D5 230 kV breaker 1 (build-out)</t>
        </is>
      </c>
      <c r="G2533" s="12" t="inlineStr">
        <is>
          <t>JB-D5-CB1-AI01</t>
        </is>
      </c>
      <c r="H2533" s="12" t="inlineStr">
        <is>
          <t>D5 230 kV breaker 1 (build-out)</t>
        </is>
      </c>
      <c r="I2533" s="12" t="inlineStr">
        <is>
          <t>Instrumentation</t>
        </is>
      </c>
      <c r="J2533" s="12" t="inlineStr">
        <is>
          <t>Instrumentation PLTC / TC-ER 300 V, #18 twisted shielded pairs, overall shield</t>
        </is>
      </c>
      <c r="K2533" s="12" t="inlineStr">
        <is>
          <t>PLTC|1 pr|16</t>
        </is>
      </c>
      <c r="L2533" s="12" t="inlineStr">
        <is>
          <t>1 pr</t>
        </is>
      </c>
      <c r="M2533" s="12" t="inlineStr">
        <is>
          <t>16</t>
        </is>
      </c>
      <c r="N2533" s="12" t="n">
        <v>2</v>
      </c>
      <c r="O2533" s="12" t="n">
        <v>1</v>
      </c>
      <c r="P2533" s="12" t="n"/>
      <c r="Q2533" s="12" t="n"/>
      <c r="R2533" s="12" t="n"/>
      <c r="S2533" s="12" t="inlineStr">
        <is>
          <t>Tray / conduit</t>
        </is>
      </c>
      <c r="T2533" s="16" t="n">
        <v>52</v>
      </c>
      <c r="U2533" s="16" t="n">
        <v>10</v>
      </c>
      <c r="V2533" s="16">
        <f>ROUNDUP((T2533+U2533+2*'Read Me'!$B$13)*(1+'Read Me'!$B$12),-1)</f>
        <v/>
      </c>
      <c r="W2533" s="16">
        <f>V2533*N2533*O2533</f>
        <v/>
      </c>
      <c r="X2533" s="12">
        <f>IF(LEFT(I2533,2)="MV",2*N2533*IF(L2533="1/C",O2533,1),0)</f>
        <v/>
      </c>
      <c r="Y2533" s="12">
        <f>IF(OR(LEFT(K2533,4)="LVAX",LEFT(K2533,6)="MV15AX",LEFT(K2533,4)="CTAX",LEFT(K2533,2)="W|"),2*N2533*O2533,0)</f>
        <v/>
      </c>
      <c r="Z2533" s="12" t="inlineStr">
        <is>
          <t>device-to-JB field wiring, one cable per device</t>
        </is>
      </c>
      <c r="AA2533" s="12">
        <f>N2533*O2533</f>
        <v/>
      </c>
    </row>
    <row r="2534">
      <c r="A2534" s="12" t="inlineStr">
        <is>
          <t>C-I-0050</t>
        </is>
      </c>
      <c r="B2534" s="12" t="inlineStr">
        <is>
          <t>C</t>
        </is>
      </c>
      <c r="C2534" s="12" t="inlineStr">
        <is>
          <t>Grid interface</t>
        </is>
      </c>
      <c r="D2534" s="12" t="inlineStr">
        <is>
          <t>Home run JB-D5-CB1-AI01 to the control / marshalling room</t>
        </is>
      </c>
      <c r="E2534" s="12" t="inlineStr">
        <is>
          <t>RH</t>
        </is>
      </c>
      <c r="F2534" s="12" t="inlineStr">
        <is>
          <t>RH: switchyard relay / control house (52 x 70 ft)</t>
        </is>
      </c>
      <c r="G2534" s="12" t="inlineStr">
        <is>
          <t>JB-D5-CB1-AI01</t>
        </is>
      </c>
      <c r="H2534" s="12" t="inlineStr">
        <is>
          <t>D5 230 kV breaker 1 (build-out)</t>
        </is>
      </c>
      <c r="I2534" s="12" t="inlineStr">
        <is>
          <t>Instrumentation</t>
        </is>
      </c>
      <c r="J2534" s="12" t="inlineStr">
        <is>
          <t>Instrumentation PLTC / TC-ER 300 V, #18 twisted shielded pairs, overall shield</t>
        </is>
      </c>
      <c r="K2534" s="12" t="inlineStr">
        <is>
          <t>PLTC|24 pr|18</t>
        </is>
      </c>
      <c r="L2534" s="12" t="inlineStr">
        <is>
          <t>24 pr</t>
        </is>
      </c>
      <c r="M2534" s="12" t="inlineStr">
        <is>
          <t>18</t>
        </is>
      </c>
      <c r="N2534" s="12" t="n">
        <v>1</v>
      </c>
      <c r="O2534" s="12" t="n">
        <v>1</v>
      </c>
      <c r="P2534" s="12" t="n"/>
      <c r="Q2534" s="12" t="n"/>
      <c r="R2534" s="12" t="n"/>
      <c r="S2534" s="12" t="inlineStr">
        <is>
          <t>Trench</t>
        </is>
      </c>
      <c r="T2534" s="16" t="n">
        <v>1434</v>
      </c>
      <c r="U2534" s="16" t="n">
        <v>40</v>
      </c>
      <c r="V2534" s="16">
        <f>ROUNDUP((T2534+U2534+2*'Read Me'!$B$13)*(1+'Read Me'!$B$12),-1)</f>
        <v/>
      </c>
      <c r="W2534" s="16">
        <f>V2534*N2534*O2534</f>
        <v/>
      </c>
      <c r="X2534" s="12">
        <f>IF(LEFT(I2534,2)="MV",2*N2534*IF(L2534="1/C",O2534,1),0)</f>
        <v/>
      </c>
      <c r="Y2534" s="12">
        <f>IF(OR(LEFT(K2534,4)="LVAX",LEFT(K2534,6)="MV15AX",LEFT(K2534,4)="CTAX",LEFT(K2534,2)="W|"),2*N2534*O2534,0)</f>
        <v/>
      </c>
      <c r="Z2534" s="12" t="inlineStr"/>
      <c r="AA2534" s="12">
        <f>N2534*O2534</f>
        <v/>
      </c>
    </row>
    <row r="2535">
      <c r="A2535" s="12" t="inlineStr">
        <is>
          <t>C-I-0051</t>
        </is>
      </c>
      <c r="B2535" s="12" t="inlineStr">
        <is>
          <t>C</t>
        </is>
      </c>
      <c r="C2535" s="12" t="inlineStr">
        <is>
          <t>Grid interface</t>
        </is>
      </c>
      <c r="D2535" s="12" t="inlineStr">
        <is>
          <t>Discrete device to JB JB-D5-CB1-DI01: 20 x 1 pr (field cables)</t>
        </is>
      </c>
      <c r="E2535" s="12" t="inlineStr">
        <is>
          <t>D5-CB1</t>
        </is>
      </c>
      <c r="F2535" s="12" t="inlineStr">
        <is>
          <t>D5 230 kV breaker 1 (build-out)</t>
        </is>
      </c>
      <c r="G2535" s="12" t="inlineStr">
        <is>
          <t>JB-D5-CB1-DI01</t>
        </is>
      </c>
      <c r="H2535" s="12" t="inlineStr">
        <is>
          <t>D5 230 kV breaker 1 (build-out)</t>
        </is>
      </c>
      <c r="I2535" s="12" t="inlineStr">
        <is>
          <t>Instrumentation</t>
        </is>
      </c>
      <c r="J2535" s="12" t="inlineStr">
        <is>
          <t>Instrumentation PLTC / TC-ER 300 V, #18 twisted shielded pairs, overall shield</t>
        </is>
      </c>
      <c r="K2535" s="12" t="inlineStr">
        <is>
          <t>PLTC|1 pr|16</t>
        </is>
      </c>
      <c r="L2535" s="12" t="inlineStr">
        <is>
          <t>1 pr</t>
        </is>
      </c>
      <c r="M2535" s="12" t="inlineStr">
        <is>
          <t>16</t>
        </is>
      </c>
      <c r="N2535" s="12" t="n">
        <v>20</v>
      </c>
      <c r="O2535" s="12" t="n">
        <v>1</v>
      </c>
      <c r="P2535" s="12" t="n"/>
      <c r="Q2535" s="12" t="n"/>
      <c r="R2535" s="12" t="n"/>
      <c r="S2535" s="12" t="inlineStr">
        <is>
          <t>Tray / conduit</t>
        </is>
      </c>
      <c r="T2535" s="16" t="n">
        <v>52</v>
      </c>
      <c r="U2535" s="16" t="n">
        <v>10</v>
      </c>
      <c r="V2535" s="16">
        <f>ROUNDUP((T2535+U2535+2*'Read Me'!$B$13)*(1+'Read Me'!$B$12),-1)</f>
        <v/>
      </c>
      <c r="W2535" s="16">
        <f>V2535*N2535*O2535</f>
        <v/>
      </c>
      <c r="X2535" s="12">
        <f>IF(LEFT(I2535,2)="MV",2*N2535*IF(L2535="1/C",O2535,1),0)</f>
        <v/>
      </c>
      <c r="Y2535" s="12">
        <f>IF(OR(LEFT(K2535,4)="LVAX",LEFT(K2535,6)="MV15AX",LEFT(K2535,4)="CTAX",LEFT(K2535,2)="W|"),2*N2535*O2535,0)</f>
        <v/>
      </c>
      <c r="Z2535" s="12" t="inlineStr">
        <is>
          <t>device-to-JB field wiring, one cable per device</t>
        </is>
      </c>
      <c r="AA2535" s="12">
        <f>N2535*O2535</f>
        <v/>
      </c>
    </row>
    <row r="2536">
      <c r="A2536" s="12" t="inlineStr">
        <is>
          <t>C-I-0052</t>
        </is>
      </c>
      <c r="B2536" s="12" t="inlineStr">
        <is>
          <t>C</t>
        </is>
      </c>
      <c r="C2536" s="12" t="inlineStr">
        <is>
          <t>Grid interface</t>
        </is>
      </c>
      <c r="D2536" s="12" t="inlineStr">
        <is>
          <t>Home run JB-D5-CB1-DI01 to the control / marshalling room</t>
        </is>
      </c>
      <c r="E2536" s="12" t="inlineStr">
        <is>
          <t>RH</t>
        </is>
      </c>
      <c r="F2536" s="12" t="inlineStr">
        <is>
          <t>RH: switchyard relay / control house (52 x 70 ft)</t>
        </is>
      </c>
      <c r="G2536" s="12" t="inlineStr">
        <is>
          <t>JB-D5-CB1-DI01</t>
        </is>
      </c>
      <c r="H2536" s="12" t="inlineStr">
        <is>
          <t>D5 230 kV breaker 1 (build-out)</t>
        </is>
      </c>
      <c r="I2536" s="12" t="inlineStr">
        <is>
          <t>Instrumentation</t>
        </is>
      </c>
      <c r="J2536" s="12" t="inlineStr">
        <is>
          <t>Instrumentation PLTC / TC-ER 300 V, #18 twisted shielded pairs, overall shield</t>
        </is>
      </c>
      <c r="K2536" s="12" t="inlineStr">
        <is>
          <t>PLTC|24 pr|18</t>
        </is>
      </c>
      <c r="L2536" s="12" t="inlineStr">
        <is>
          <t>24 pr</t>
        </is>
      </c>
      <c r="M2536" s="12" t="inlineStr">
        <is>
          <t>18</t>
        </is>
      </c>
      <c r="N2536" s="12" t="n">
        <v>1</v>
      </c>
      <c r="O2536" s="12" t="n">
        <v>1</v>
      </c>
      <c r="P2536" s="12" t="n"/>
      <c r="Q2536" s="12" t="n"/>
      <c r="R2536" s="12" t="n"/>
      <c r="S2536" s="12" t="inlineStr">
        <is>
          <t>Trench</t>
        </is>
      </c>
      <c r="T2536" s="16" t="n">
        <v>1434</v>
      </c>
      <c r="U2536" s="16" t="n">
        <v>40</v>
      </c>
      <c r="V2536" s="16">
        <f>ROUNDUP((T2536+U2536+2*'Read Me'!$B$13)*(1+'Read Me'!$B$12),-1)</f>
        <v/>
      </c>
      <c r="W2536" s="16">
        <f>V2536*N2536*O2536</f>
        <v/>
      </c>
      <c r="X2536" s="12">
        <f>IF(LEFT(I2536,2)="MV",2*N2536*IF(L2536="1/C",O2536,1),0)</f>
        <v/>
      </c>
      <c r="Y2536" s="12">
        <f>IF(OR(LEFT(K2536,4)="LVAX",LEFT(K2536,6)="MV15AX",LEFT(K2536,4)="CTAX",LEFT(K2536,2)="W|"),2*N2536*O2536,0)</f>
        <v/>
      </c>
      <c r="Z2536" s="12" t="inlineStr"/>
      <c r="AA2536" s="12">
        <f>N2536*O2536</f>
        <v/>
      </c>
    </row>
    <row r="2537">
      <c r="A2537" s="12" t="inlineStr">
        <is>
          <t>C-I-0053</t>
        </is>
      </c>
      <c r="B2537" s="12" t="inlineStr">
        <is>
          <t>C</t>
        </is>
      </c>
      <c r="C2537" s="12" t="inlineStr">
        <is>
          <t>Grid interface</t>
        </is>
      </c>
      <c r="D2537" s="12" t="inlineStr">
        <is>
          <t>Analog instrument to JB JB-D5-CB2-AI01: 2 x 1 pr (field cables)</t>
        </is>
      </c>
      <c r="E2537" s="12" t="inlineStr">
        <is>
          <t>D5-CB2</t>
        </is>
      </c>
      <c r="F2537" s="12" t="inlineStr">
        <is>
          <t>D5 230 kV breaker 2 (build-out)</t>
        </is>
      </c>
      <c r="G2537" s="12" t="inlineStr">
        <is>
          <t>JB-D5-CB2-AI01</t>
        </is>
      </c>
      <c r="H2537" s="12" t="inlineStr">
        <is>
          <t>D5 230 kV breaker 2 (build-out)</t>
        </is>
      </c>
      <c r="I2537" s="12" t="inlineStr">
        <is>
          <t>Instrumentation</t>
        </is>
      </c>
      <c r="J2537" s="12" t="inlineStr">
        <is>
          <t>Instrumentation PLTC / TC-ER 300 V, #18 twisted shielded pairs, overall shield</t>
        </is>
      </c>
      <c r="K2537" s="12" t="inlineStr">
        <is>
          <t>PLTC|1 pr|16</t>
        </is>
      </c>
      <c r="L2537" s="12" t="inlineStr">
        <is>
          <t>1 pr</t>
        </is>
      </c>
      <c r="M2537" s="12" t="inlineStr">
        <is>
          <t>16</t>
        </is>
      </c>
      <c r="N2537" s="12" t="n">
        <v>2</v>
      </c>
      <c r="O2537" s="12" t="n">
        <v>1</v>
      </c>
      <c r="P2537" s="12" t="n"/>
      <c r="Q2537" s="12" t="n"/>
      <c r="R2537" s="12" t="n"/>
      <c r="S2537" s="12" t="inlineStr">
        <is>
          <t>Tray / conduit</t>
        </is>
      </c>
      <c r="T2537" s="16" t="n">
        <v>52</v>
      </c>
      <c r="U2537" s="16" t="n">
        <v>10</v>
      </c>
      <c r="V2537" s="16">
        <f>ROUNDUP((T2537+U2537+2*'Read Me'!$B$13)*(1+'Read Me'!$B$12),-1)</f>
        <v/>
      </c>
      <c r="W2537" s="16">
        <f>V2537*N2537*O2537</f>
        <v/>
      </c>
      <c r="X2537" s="12">
        <f>IF(LEFT(I2537,2)="MV",2*N2537*IF(L2537="1/C",O2537,1),0)</f>
        <v/>
      </c>
      <c r="Y2537" s="12">
        <f>IF(OR(LEFT(K2537,4)="LVAX",LEFT(K2537,6)="MV15AX",LEFT(K2537,4)="CTAX",LEFT(K2537,2)="W|"),2*N2537*O2537,0)</f>
        <v/>
      </c>
      <c r="Z2537" s="12" t="inlineStr">
        <is>
          <t>device-to-JB field wiring, one cable per device</t>
        </is>
      </c>
      <c r="AA2537" s="12">
        <f>N2537*O2537</f>
        <v/>
      </c>
    </row>
    <row r="2538">
      <c r="A2538" s="12" t="inlineStr">
        <is>
          <t>C-I-0054</t>
        </is>
      </c>
      <c r="B2538" s="12" t="inlineStr">
        <is>
          <t>C</t>
        </is>
      </c>
      <c r="C2538" s="12" t="inlineStr">
        <is>
          <t>Grid interface</t>
        </is>
      </c>
      <c r="D2538" s="12" t="inlineStr">
        <is>
          <t>Home run JB-D5-CB2-AI01 to the control / marshalling room</t>
        </is>
      </c>
      <c r="E2538" s="12" t="inlineStr">
        <is>
          <t>RH</t>
        </is>
      </c>
      <c r="F2538" s="12" t="inlineStr">
        <is>
          <t>RH: switchyard relay / control house (52 x 70 ft)</t>
        </is>
      </c>
      <c r="G2538" s="12" t="inlineStr">
        <is>
          <t>JB-D5-CB2-AI01</t>
        </is>
      </c>
      <c r="H2538" s="12" t="inlineStr">
        <is>
          <t>D5 230 kV breaker 2 (build-out)</t>
        </is>
      </c>
      <c r="I2538" s="12" t="inlineStr">
        <is>
          <t>Instrumentation</t>
        </is>
      </c>
      <c r="J2538" s="12" t="inlineStr">
        <is>
          <t>Instrumentation PLTC / TC-ER 300 V, #18 twisted shielded pairs, overall shield</t>
        </is>
      </c>
      <c r="K2538" s="12" t="inlineStr">
        <is>
          <t>PLTC|24 pr|18</t>
        </is>
      </c>
      <c r="L2538" s="12" t="inlineStr">
        <is>
          <t>24 pr</t>
        </is>
      </c>
      <c r="M2538" s="12" t="inlineStr">
        <is>
          <t>18</t>
        </is>
      </c>
      <c r="N2538" s="12" t="n">
        <v>1</v>
      </c>
      <c r="O2538" s="12" t="n">
        <v>1</v>
      </c>
      <c r="P2538" s="12" t="n"/>
      <c r="Q2538" s="12" t="n"/>
      <c r="R2538" s="12" t="n"/>
      <c r="S2538" s="12" t="inlineStr">
        <is>
          <t>Trench</t>
        </is>
      </c>
      <c r="T2538" s="16" t="n">
        <v>1434</v>
      </c>
      <c r="U2538" s="16" t="n">
        <v>52</v>
      </c>
      <c r="V2538" s="16">
        <f>ROUNDUP((T2538+U2538+2*'Read Me'!$B$13)*(1+'Read Me'!$B$12),-1)</f>
        <v/>
      </c>
      <c r="W2538" s="16">
        <f>V2538*N2538*O2538</f>
        <v/>
      </c>
      <c r="X2538" s="12">
        <f>IF(LEFT(I2538,2)="MV",2*N2538*IF(L2538="1/C",O2538,1),0)</f>
        <v/>
      </c>
      <c r="Y2538" s="12">
        <f>IF(OR(LEFT(K2538,4)="LVAX",LEFT(K2538,6)="MV15AX",LEFT(K2538,4)="CTAX",LEFT(K2538,2)="W|"),2*N2538*O2538,0)</f>
        <v/>
      </c>
      <c r="Z2538" s="12" t="inlineStr"/>
      <c r="AA2538" s="12">
        <f>N2538*O2538</f>
        <v/>
      </c>
    </row>
    <row r="2539">
      <c r="A2539" s="12" t="inlineStr">
        <is>
          <t>C-I-0055</t>
        </is>
      </c>
      <c r="B2539" s="12" t="inlineStr">
        <is>
          <t>C</t>
        </is>
      </c>
      <c r="C2539" s="12" t="inlineStr">
        <is>
          <t>Grid interface</t>
        </is>
      </c>
      <c r="D2539" s="12" t="inlineStr">
        <is>
          <t>Discrete device to JB JB-D5-CB2-DI01: 20 x 1 pr (field cables)</t>
        </is>
      </c>
      <c r="E2539" s="12" t="inlineStr">
        <is>
          <t>D5-CB2</t>
        </is>
      </c>
      <c r="F2539" s="12" t="inlineStr">
        <is>
          <t>D5 230 kV breaker 2 (build-out)</t>
        </is>
      </c>
      <c r="G2539" s="12" t="inlineStr">
        <is>
          <t>JB-D5-CB2-DI01</t>
        </is>
      </c>
      <c r="H2539" s="12" t="inlineStr">
        <is>
          <t>D5 230 kV breaker 2 (build-out)</t>
        </is>
      </c>
      <c r="I2539" s="12" t="inlineStr">
        <is>
          <t>Instrumentation</t>
        </is>
      </c>
      <c r="J2539" s="12" t="inlineStr">
        <is>
          <t>Instrumentation PLTC / TC-ER 300 V, #18 twisted shielded pairs, overall shield</t>
        </is>
      </c>
      <c r="K2539" s="12" t="inlineStr">
        <is>
          <t>PLTC|1 pr|16</t>
        </is>
      </c>
      <c r="L2539" s="12" t="inlineStr">
        <is>
          <t>1 pr</t>
        </is>
      </c>
      <c r="M2539" s="12" t="inlineStr">
        <is>
          <t>16</t>
        </is>
      </c>
      <c r="N2539" s="12" t="n">
        <v>20</v>
      </c>
      <c r="O2539" s="12" t="n">
        <v>1</v>
      </c>
      <c r="P2539" s="12" t="n"/>
      <c r="Q2539" s="12" t="n"/>
      <c r="R2539" s="12" t="n"/>
      <c r="S2539" s="12" t="inlineStr">
        <is>
          <t>Tray / conduit</t>
        </is>
      </c>
      <c r="T2539" s="16" t="n">
        <v>52</v>
      </c>
      <c r="U2539" s="16" t="n">
        <v>10</v>
      </c>
      <c r="V2539" s="16">
        <f>ROUNDUP((T2539+U2539+2*'Read Me'!$B$13)*(1+'Read Me'!$B$12),-1)</f>
        <v/>
      </c>
      <c r="W2539" s="16">
        <f>V2539*N2539*O2539</f>
        <v/>
      </c>
      <c r="X2539" s="12">
        <f>IF(LEFT(I2539,2)="MV",2*N2539*IF(L2539="1/C",O2539,1),0)</f>
        <v/>
      </c>
      <c r="Y2539" s="12">
        <f>IF(OR(LEFT(K2539,4)="LVAX",LEFT(K2539,6)="MV15AX",LEFT(K2539,4)="CTAX",LEFT(K2539,2)="W|"),2*N2539*O2539,0)</f>
        <v/>
      </c>
      <c r="Z2539" s="12" t="inlineStr">
        <is>
          <t>device-to-JB field wiring, one cable per device</t>
        </is>
      </c>
      <c r="AA2539" s="12">
        <f>N2539*O2539</f>
        <v/>
      </c>
    </row>
    <row r="2540">
      <c r="A2540" s="12" t="inlineStr">
        <is>
          <t>C-I-0056</t>
        </is>
      </c>
      <c r="B2540" s="12" t="inlineStr">
        <is>
          <t>C</t>
        </is>
      </c>
      <c r="C2540" s="12" t="inlineStr">
        <is>
          <t>Grid interface</t>
        </is>
      </c>
      <c r="D2540" s="12" t="inlineStr">
        <is>
          <t>Home run JB-D5-CB2-DI01 to the control / marshalling room</t>
        </is>
      </c>
      <c r="E2540" s="12" t="inlineStr">
        <is>
          <t>RH</t>
        </is>
      </c>
      <c r="F2540" s="12" t="inlineStr">
        <is>
          <t>RH: switchyard relay / control house (52 x 70 ft)</t>
        </is>
      </c>
      <c r="G2540" s="12" t="inlineStr">
        <is>
          <t>JB-D5-CB2-DI01</t>
        </is>
      </c>
      <c r="H2540" s="12" t="inlineStr">
        <is>
          <t>D5 230 kV breaker 2 (build-out)</t>
        </is>
      </c>
      <c r="I2540" s="12" t="inlineStr">
        <is>
          <t>Instrumentation</t>
        </is>
      </c>
      <c r="J2540" s="12" t="inlineStr">
        <is>
          <t>Instrumentation PLTC / TC-ER 300 V, #18 twisted shielded pairs, overall shield</t>
        </is>
      </c>
      <c r="K2540" s="12" t="inlineStr">
        <is>
          <t>PLTC|24 pr|18</t>
        </is>
      </c>
      <c r="L2540" s="12" t="inlineStr">
        <is>
          <t>24 pr</t>
        </is>
      </c>
      <c r="M2540" s="12" t="inlineStr">
        <is>
          <t>18</t>
        </is>
      </c>
      <c r="N2540" s="12" t="n">
        <v>1</v>
      </c>
      <c r="O2540" s="12" t="n">
        <v>1</v>
      </c>
      <c r="P2540" s="12" t="n"/>
      <c r="Q2540" s="12" t="n"/>
      <c r="R2540" s="12" t="n"/>
      <c r="S2540" s="12" t="inlineStr">
        <is>
          <t>Trench</t>
        </is>
      </c>
      <c r="T2540" s="16" t="n">
        <v>1434</v>
      </c>
      <c r="U2540" s="16" t="n">
        <v>52</v>
      </c>
      <c r="V2540" s="16">
        <f>ROUNDUP((T2540+U2540+2*'Read Me'!$B$13)*(1+'Read Me'!$B$12),-1)</f>
        <v/>
      </c>
      <c r="W2540" s="16">
        <f>V2540*N2540*O2540</f>
        <v/>
      </c>
      <c r="X2540" s="12">
        <f>IF(LEFT(I2540,2)="MV",2*N2540*IF(L2540="1/C",O2540,1),0)</f>
        <v/>
      </c>
      <c r="Y2540" s="12">
        <f>IF(OR(LEFT(K2540,4)="LVAX",LEFT(K2540,6)="MV15AX",LEFT(K2540,4)="CTAX",LEFT(K2540,2)="W|"),2*N2540*O2540,0)</f>
        <v/>
      </c>
      <c r="Z2540" s="12" t="inlineStr"/>
      <c r="AA2540" s="12">
        <f>N2540*O2540</f>
        <v/>
      </c>
    </row>
    <row r="2541">
      <c r="A2541" s="12" t="inlineStr">
        <is>
          <t>C-I-0057</t>
        </is>
      </c>
      <c r="B2541" s="12" t="inlineStr">
        <is>
          <t>C</t>
        </is>
      </c>
      <c r="C2541" s="12" t="inlineStr">
        <is>
          <t>Grid interface</t>
        </is>
      </c>
      <c r="D2541" s="12" t="inlineStr">
        <is>
          <t>Analog instrument to JB JB-D5-CB3-AI01: 2 x 1 pr (field cables)</t>
        </is>
      </c>
      <c r="E2541" s="12" t="inlineStr">
        <is>
          <t>D5-CB3</t>
        </is>
      </c>
      <c r="F2541" s="12" t="inlineStr">
        <is>
          <t>D5 230 kV breaker 3 (build-out)</t>
        </is>
      </c>
      <c r="G2541" s="12" t="inlineStr">
        <is>
          <t>JB-D5-CB3-AI01</t>
        </is>
      </c>
      <c r="H2541" s="12" t="inlineStr">
        <is>
          <t>D5 230 kV breaker 3 (build-out)</t>
        </is>
      </c>
      <c r="I2541" s="12" t="inlineStr">
        <is>
          <t>Instrumentation</t>
        </is>
      </c>
      <c r="J2541" s="12" t="inlineStr">
        <is>
          <t>Instrumentation PLTC / TC-ER 300 V, #18 twisted shielded pairs, overall shield</t>
        </is>
      </c>
      <c r="K2541" s="12" t="inlineStr">
        <is>
          <t>PLTC|1 pr|16</t>
        </is>
      </c>
      <c r="L2541" s="12" t="inlineStr">
        <is>
          <t>1 pr</t>
        </is>
      </c>
      <c r="M2541" s="12" t="inlineStr">
        <is>
          <t>16</t>
        </is>
      </c>
      <c r="N2541" s="12" t="n">
        <v>2</v>
      </c>
      <c r="O2541" s="12" t="n">
        <v>1</v>
      </c>
      <c r="P2541" s="12" t="n"/>
      <c r="Q2541" s="12" t="n"/>
      <c r="R2541" s="12" t="n"/>
      <c r="S2541" s="12" t="inlineStr">
        <is>
          <t>Tray / conduit</t>
        </is>
      </c>
      <c r="T2541" s="16" t="n">
        <v>52</v>
      </c>
      <c r="U2541" s="16" t="n">
        <v>10</v>
      </c>
      <c r="V2541" s="16">
        <f>ROUNDUP((T2541+U2541+2*'Read Me'!$B$13)*(1+'Read Me'!$B$12),-1)</f>
        <v/>
      </c>
      <c r="W2541" s="16">
        <f>V2541*N2541*O2541</f>
        <v/>
      </c>
      <c r="X2541" s="12">
        <f>IF(LEFT(I2541,2)="MV",2*N2541*IF(L2541="1/C",O2541,1),0)</f>
        <v/>
      </c>
      <c r="Y2541" s="12">
        <f>IF(OR(LEFT(K2541,4)="LVAX",LEFT(K2541,6)="MV15AX",LEFT(K2541,4)="CTAX",LEFT(K2541,2)="W|"),2*N2541*O2541,0)</f>
        <v/>
      </c>
      <c r="Z2541" s="12" t="inlineStr">
        <is>
          <t>device-to-JB field wiring, one cable per device</t>
        </is>
      </c>
      <c r="AA2541" s="12">
        <f>N2541*O2541</f>
        <v/>
      </c>
    </row>
    <row r="2542">
      <c r="A2542" s="12" t="inlineStr">
        <is>
          <t>C-I-0058</t>
        </is>
      </c>
      <c r="B2542" s="12" t="inlineStr">
        <is>
          <t>C</t>
        </is>
      </c>
      <c r="C2542" s="12" t="inlineStr">
        <is>
          <t>Grid interface</t>
        </is>
      </c>
      <c r="D2542" s="12" t="inlineStr">
        <is>
          <t>Home run JB-D5-CB3-AI01 to the control / marshalling room</t>
        </is>
      </c>
      <c r="E2542" s="12" t="inlineStr">
        <is>
          <t>RH</t>
        </is>
      </c>
      <c r="F2542" s="12" t="inlineStr">
        <is>
          <t>RH: switchyard relay / control house (52 x 70 ft)</t>
        </is>
      </c>
      <c r="G2542" s="12" t="inlineStr">
        <is>
          <t>JB-D5-CB3-AI01</t>
        </is>
      </c>
      <c r="H2542" s="12" t="inlineStr">
        <is>
          <t>D5 230 kV breaker 3 (build-out)</t>
        </is>
      </c>
      <c r="I2542" s="12" t="inlineStr">
        <is>
          <t>Instrumentation</t>
        </is>
      </c>
      <c r="J2542" s="12" t="inlineStr">
        <is>
          <t>Instrumentation PLTC / TC-ER 300 V, #18 twisted shielded pairs, overall shield</t>
        </is>
      </c>
      <c r="K2542" s="12" t="inlineStr">
        <is>
          <t>PLTC|24 pr|18</t>
        </is>
      </c>
      <c r="L2542" s="12" t="inlineStr">
        <is>
          <t>24 pr</t>
        </is>
      </c>
      <c r="M2542" s="12" t="inlineStr">
        <is>
          <t>18</t>
        </is>
      </c>
      <c r="N2542" s="12" t="n">
        <v>1</v>
      </c>
      <c r="O2542" s="12" t="n">
        <v>1</v>
      </c>
      <c r="P2542" s="12" t="n"/>
      <c r="Q2542" s="12" t="n"/>
      <c r="R2542" s="12" t="n"/>
      <c r="S2542" s="12" t="inlineStr">
        <is>
          <t>Trench</t>
        </is>
      </c>
      <c r="T2542" s="16" t="n">
        <v>1434</v>
      </c>
      <c r="U2542" s="16" t="n">
        <v>92</v>
      </c>
      <c r="V2542" s="16">
        <f>ROUNDUP((T2542+U2542+2*'Read Me'!$B$13)*(1+'Read Me'!$B$12),-1)</f>
        <v/>
      </c>
      <c r="W2542" s="16">
        <f>V2542*N2542*O2542</f>
        <v/>
      </c>
      <c r="X2542" s="12">
        <f>IF(LEFT(I2542,2)="MV",2*N2542*IF(L2542="1/C",O2542,1),0)</f>
        <v/>
      </c>
      <c r="Y2542" s="12">
        <f>IF(OR(LEFT(K2542,4)="LVAX",LEFT(K2542,6)="MV15AX",LEFT(K2542,4)="CTAX",LEFT(K2542,2)="W|"),2*N2542*O2542,0)</f>
        <v/>
      </c>
      <c r="Z2542" s="12" t="inlineStr"/>
      <c r="AA2542" s="12">
        <f>N2542*O2542</f>
        <v/>
      </c>
    </row>
    <row r="2543">
      <c r="A2543" s="12" t="inlineStr">
        <is>
          <t>C-I-0059</t>
        </is>
      </c>
      <c r="B2543" s="12" t="inlineStr">
        <is>
          <t>C</t>
        </is>
      </c>
      <c r="C2543" s="12" t="inlineStr">
        <is>
          <t>Grid interface</t>
        </is>
      </c>
      <c r="D2543" s="12" t="inlineStr">
        <is>
          <t>Discrete device to JB JB-D5-CB3-DI01: 20 x 1 pr (field cables)</t>
        </is>
      </c>
      <c r="E2543" s="12" t="inlineStr">
        <is>
          <t>D5-CB3</t>
        </is>
      </c>
      <c r="F2543" s="12" t="inlineStr">
        <is>
          <t>D5 230 kV breaker 3 (build-out)</t>
        </is>
      </c>
      <c r="G2543" s="12" t="inlineStr">
        <is>
          <t>JB-D5-CB3-DI01</t>
        </is>
      </c>
      <c r="H2543" s="12" t="inlineStr">
        <is>
          <t>D5 230 kV breaker 3 (build-out)</t>
        </is>
      </c>
      <c r="I2543" s="12" t="inlineStr">
        <is>
          <t>Instrumentation</t>
        </is>
      </c>
      <c r="J2543" s="12" t="inlineStr">
        <is>
          <t>Instrumentation PLTC / TC-ER 300 V, #18 twisted shielded pairs, overall shield</t>
        </is>
      </c>
      <c r="K2543" s="12" t="inlineStr">
        <is>
          <t>PLTC|1 pr|16</t>
        </is>
      </c>
      <c r="L2543" s="12" t="inlineStr">
        <is>
          <t>1 pr</t>
        </is>
      </c>
      <c r="M2543" s="12" t="inlineStr">
        <is>
          <t>16</t>
        </is>
      </c>
      <c r="N2543" s="12" t="n">
        <v>20</v>
      </c>
      <c r="O2543" s="12" t="n">
        <v>1</v>
      </c>
      <c r="P2543" s="12" t="n"/>
      <c r="Q2543" s="12" t="n"/>
      <c r="R2543" s="12" t="n"/>
      <c r="S2543" s="12" t="inlineStr">
        <is>
          <t>Tray / conduit</t>
        </is>
      </c>
      <c r="T2543" s="16" t="n">
        <v>52</v>
      </c>
      <c r="U2543" s="16" t="n">
        <v>10</v>
      </c>
      <c r="V2543" s="16">
        <f>ROUNDUP((T2543+U2543+2*'Read Me'!$B$13)*(1+'Read Me'!$B$12),-1)</f>
        <v/>
      </c>
      <c r="W2543" s="16">
        <f>V2543*N2543*O2543</f>
        <v/>
      </c>
      <c r="X2543" s="12">
        <f>IF(LEFT(I2543,2)="MV",2*N2543*IF(L2543="1/C",O2543,1),0)</f>
        <v/>
      </c>
      <c r="Y2543" s="12">
        <f>IF(OR(LEFT(K2543,4)="LVAX",LEFT(K2543,6)="MV15AX",LEFT(K2543,4)="CTAX",LEFT(K2543,2)="W|"),2*N2543*O2543,0)</f>
        <v/>
      </c>
      <c r="Z2543" s="12" t="inlineStr">
        <is>
          <t>device-to-JB field wiring, one cable per device</t>
        </is>
      </c>
      <c r="AA2543" s="12">
        <f>N2543*O2543</f>
        <v/>
      </c>
    </row>
    <row r="2544">
      <c r="A2544" s="12" t="inlineStr">
        <is>
          <t>C-I-0060</t>
        </is>
      </c>
      <c r="B2544" s="12" t="inlineStr">
        <is>
          <t>C</t>
        </is>
      </c>
      <c r="C2544" s="12" t="inlineStr">
        <is>
          <t>Grid interface</t>
        </is>
      </c>
      <c r="D2544" s="12" t="inlineStr">
        <is>
          <t>Home run JB-D5-CB3-DI01 to the control / marshalling room</t>
        </is>
      </c>
      <c r="E2544" s="12" t="inlineStr">
        <is>
          <t>RH</t>
        </is>
      </c>
      <c r="F2544" s="12" t="inlineStr">
        <is>
          <t>RH: switchyard relay / control house (52 x 70 ft)</t>
        </is>
      </c>
      <c r="G2544" s="12" t="inlineStr">
        <is>
          <t>JB-D5-CB3-DI01</t>
        </is>
      </c>
      <c r="H2544" s="12" t="inlineStr">
        <is>
          <t>D5 230 kV breaker 3 (build-out)</t>
        </is>
      </c>
      <c r="I2544" s="12" t="inlineStr">
        <is>
          <t>Instrumentation</t>
        </is>
      </c>
      <c r="J2544" s="12" t="inlineStr">
        <is>
          <t>Instrumentation PLTC / TC-ER 300 V, #18 twisted shielded pairs, overall shield</t>
        </is>
      </c>
      <c r="K2544" s="12" t="inlineStr">
        <is>
          <t>PLTC|24 pr|18</t>
        </is>
      </c>
      <c r="L2544" s="12" t="inlineStr">
        <is>
          <t>24 pr</t>
        </is>
      </c>
      <c r="M2544" s="12" t="inlineStr">
        <is>
          <t>18</t>
        </is>
      </c>
      <c r="N2544" s="12" t="n">
        <v>1</v>
      </c>
      <c r="O2544" s="12" t="n">
        <v>1</v>
      </c>
      <c r="P2544" s="12" t="n"/>
      <c r="Q2544" s="12" t="n"/>
      <c r="R2544" s="12" t="n"/>
      <c r="S2544" s="12" t="inlineStr">
        <is>
          <t>Trench</t>
        </is>
      </c>
      <c r="T2544" s="16" t="n">
        <v>1434</v>
      </c>
      <c r="U2544" s="16" t="n">
        <v>92</v>
      </c>
      <c r="V2544" s="16">
        <f>ROUNDUP((T2544+U2544+2*'Read Me'!$B$13)*(1+'Read Me'!$B$12),-1)</f>
        <v/>
      </c>
      <c r="W2544" s="16">
        <f>V2544*N2544*O2544</f>
        <v/>
      </c>
      <c r="X2544" s="12">
        <f>IF(LEFT(I2544,2)="MV",2*N2544*IF(L2544="1/C",O2544,1),0)</f>
        <v/>
      </c>
      <c r="Y2544" s="12">
        <f>IF(OR(LEFT(K2544,4)="LVAX",LEFT(K2544,6)="MV15AX",LEFT(K2544,4)="CTAX",LEFT(K2544,2)="W|"),2*N2544*O2544,0)</f>
        <v/>
      </c>
      <c r="Z2544" s="12" t="inlineStr"/>
      <c r="AA2544" s="12">
        <f>N2544*O2544</f>
        <v/>
      </c>
    </row>
    <row r="2545">
      <c r="A2545" s="12" t="inlineStr">
        <is>
          <t>C-I-0061</t>
        </is>
      </c>
      <c r="B2545" s="12" t="inlineStr">
        <is>
          <t>C</t>
        </is>
      </c>
      <c r="C2545" s="12" t="inlineStr">
        <is>
          <t>Grid interface</t>
        </is>
      </c>
      <c r="D2545" s="12" t="inlineStr">
        <is>
          <t>Analog instrument to JB JB-D6-CB1-AI01: 2 x 1 pr (field cables)</t>
        </is>
      </c>
      <c r="E2545" s="12" t="inlineStr">
        <is>
          <t>D6-CB1</t>
        </is>
      </c>
      <c r="F2545" s="12" t="inlineStr">
        <is>
          <t>D6 230 kV breaker 1 (build-out)</t>
        </is>
      </c>
      <c r="G2545" s="12" t="inlineStr">
        <is>
          <t>JB-D6-CB1-AI01</t>
        </is>
      </c>
      <c r="H2545" s="12" t="inlineStr">
        <is>
          <t>D6 230 kV breaker 1 (build-out)</t>
        </is>
      </c>
      <c r="I2545" s="12" t="inlineStr">
        <is>
          <t>Instrumentation</t>
        </is>
      </c>
      <c r="J2545" s="12" t="inlineStr">
        <is>
          <t>Instrumentation PLTC / TC-ER 300 V, #18 twisted shielded pairs, overall shield</t>
        </is>
      </c>
      <c r="K2545" s="12" t="inlineStr">
        <is>
          <t>PLTC|1 pr|16</t>
        </is>
      </c>
      <c r="L2545" s="12" t="inlineStr">
        <is>
          <t>1 pr</t>
        </is>
      </c>
      <c r="M2545" s="12" t="inlineStr">
        <is>
          <t>16</t>
        </is>
      </c>
      <c r="N2545" s="12" t="n">
        <v>2</v>
      </c>
      <c r="O2545" s="12" t="n">
        <v>1</v>
      </c>
      <c r="P2545" s="12" t="n"/>
      <c r="Q2545" s="12" t="n"/>
      <c r="R2545" s="12" t="n"/>
      <c r="S2545" s="12" t="inlineStr">
        <is>
          <t>Tray / conduit</t>
        </is>
      </c>
      <c r="T2545" s="16" t="n">
        <v>52</v>
      </c>
      <c r="U2545" s="16" t="n">
        <v>10</v>
      </c>
      <c r="V2545" s="16">
        <f>ROUNDUP((T2545+U2545+2*'Read Me'!$B$13)*(1+'Read Me'!$B$12),-1)</f>
        <v/>
      </c>
      <c r="W2545" s="16">
        <f>V2545*N2545*O2545</f>
        <v/>
      </c>
      <c r="X2545" s="12">
        <f>IF(LEFT(I2545,2)="MV",2*N2545*IF(L2545="1/C",O2545,1),0)</f>
        <v/>
      </c>
      <c r="Y2545" s="12">
        <f>IF(OR(LEFT(K2545,4)="LVAX",LEFT(K2545,6)="MV15AX",LEFT(K2545,4)="CTAX",LEFT(K2545,2)="W|"),2*N2545*O2545,0)</f>
        <v/>
      </c>
      <c r="Z2545" s="12" t="inlineStr">
        <is>
          <t>device-to-JB field wiring, one cable per device</t>
        </is>
      </c>
      <c r="AA2545" s="12">
        <f>N2545*O2545</f>
        <v/>
      </c>
    </row>
    <row r="2546">
      <c r="A2546" s="12" t="inlineStr">
        <is>
          <t>C-I-0062</t>
        </is>
      </c>
      <c r="B2546" s="12" t="inlineStr">
        <is>
          <t>C</t>
        </is>
      </c>
      <c r="C2546" s="12" t="inlineStr">
        <is>
          <t>Grid interface</t>
        </is>
      </c>
      <c r="D2546" s="12" t="inlineStr">
        <is>
          <t>Home run JB-D6-CB1-AI01 to the control / marshalling room</t>
        </is>
      </c>
      <c r="E2546" s="12" t="inlineStr">
        <is>
          <t>RH</t>
        </is>
      </c>
      <c r="F2546" s="12" t="inlineStr">
        <is>
          <t>RH: switchyard relay / control house (52 x 70 ft)</t>
        </is>
      </c>
      <c r="G2546" s="12" t="inlineStr">
        <is>
          <t>JB-D6-CB1-AI01</t>
        </is>
      </c>
      <c r="H2546" s="12" t="inlineStr">
        <is>
          <t>D6 230 kV breaker 1 (build-out)</t>
        </is>
      </c>
      <c r="I2546" s="12" t="inlineStr">
        <is>
          <t>Instrumentation</t>
        </is>
      </c>
      <c r="J2546" s="12" t="inlineStr">
        <is>
          <t>Instrumentation PLTC / TC-ER 300 V, #18 twisted shielded pairs, overall shield</t>
        </is>
      </c>
      <c r="K2546" s="12" t="inlineStr">
        <is>
          <t>PLTC|24 pr|18</t>
        </is>
      </c>
      <c r="L2546" s="12" t="inlineStr">
        <is>
          <t>24 pr</t>
        </is>
      </c>
      <c r="M2546" s="12" t="inlineStr">
        <is>
          <t>18</t>
        </is>
      </c>
      <c r="N2546" s="12" t="n">
        <v>1</v>
      </c>
      <c r="O2546" s="12" t="n">
        <v>1</v>
      </c>
      <c r="P2546" s="12" t="n"/>
      <c r="Q2546" s="12" t="n"/>
      <c r="R2546" s="12" t="n"/>
      <c r="S2546" s="12" t="inlineStr">
        <is>
          <t>Trench</t>
        </is>
      </c>
      <c r="T2546" s="16" t="n">
        <v>1584</v>
      </c>
      <c r="U2546" s="16" t="n">
        <v>40</v>
      </c>
      <c r="V2546" s="16">
        <f>ROUNDUP((T2546+U2546+2*'Read Me'!$B$13)*(1+'Read Me'!$B$12),-1)</f>
        <v/>
      </c>
      <c r="W2546" s="16">
        <f>V2546*N2546*O2546</f>
        <v/>
      </c>
      <c r="X2546" s="12">
        <f>IF(LEFT(I2546,2)="MV",2*N2546*IF(L2546="1/C",O2546,1),0)</f>
        <v/>
      </c>
      <c r="Y2546" s="12">
        <f>IF(OR(LEFT(K2546,4)="LVAX",LEFT(K2546,6)="MV15AX",LEFT(K2546,4)="CTAX",LEFT(K2546,2)="W|"),2*N2546*O2546,0)</f>
        <v/>
      </c>
      <c r="Z2546" s="12" t="inlineStr"/>
      <c r="AA2546" s="12">
        <f>N2546*O2546</f>
        <v/>
      </c>
    </row>
    <row r="2547">
      <c r="A2547" s="12" t="inlineStr">
        <is>
          <t>C-I-0063</t>
        </is>
      </c>
      <c r="B2547" s="12" t="inlineStr">
        <is>
          <t>C</t>
        </is>
      </c>
      <c r="C2547" s="12" t="inlineStr">
        <is>
          <t>Grid interface</t>
        </is>
      </c>
      <c r="D2547" s="12" t="inlineStr">
        <is>
          <t>Discrete device to JB JB-D6-CB1-DI01: 20 x 1 pr (field cables)</t>
        </is>
      </c>
      <c r="E2547" s="12" t="inlineStr">
        <is>
          <t>D6-CB1</t>
        </is>
      </c>
      <c r="F2547" s="12" t="inlineStr">
        <is>
          <t>D6 230 kV breaker 1 (build-out)</t>
        </is>
      </c>
      <c r="G2547" s="12" t="inlineStr">
        <is>
          <t>JB-D6-CB1-DI01</t>
        </is>
      </c>
      <c r="H2547" s="12" t="inlineStr">
        <is>
          <t>D6 230 kV breaker 1 (build-out)</t>
        </is>
      </c>
      <c r="I2547" s="12" t="inlineStr">
        <is>
          <t>Instrumentation</t>
        </is>
      </c>
      <c r="J2547" s="12" t="inlineStr">
        <is>
          <t>Instrumentation PLTC / TC-ER 300 V, #18 twisted shielded pairs, overall shield</t>
        </is>
      </c>
      <c r="K2547" s="12" t="inlineStr">
        <is>
          <t>PLTC|1 pr|16</t>
        </is>
      </c>
      <c r="L2547" s="12" t="inlineStr">
        <is>
          <t>1 pr</t>
        </is>
      </c>
      <c r="M2547" s="12" t="inlineStr">
        <is>
          <t>16</t>
        </is>
      </c>
      <c r="N2547" s="12" t="n">
        <v>20</v>
      </c>
      <c r="O2547" s="12" t="n">
        <v>1</v>
      </c>
      <c r="P2547" s="12" t="n"/>
      <c r="Q2547" s="12" t="n"/>
      <c r="R2547" s="12" t="n"/>
      <c r="S2547" s="12" t="inlineStr">
        <is>
          <t>Tray / conduit</t>
        </is>
      </c>
      <c r="T2547" s="16" t="n">
        <v>52</v>
      </c>
      <c r="U2547" s="16" t="n">
        <v>10</v>
      </c>
      <c r="V2547" s="16">
        <f>ROUNDUP((T2547+U2547+2*'Read Me'!$B$13)*(1+'Read Me'!$B$12),-1)</f>
        <v/>
      </c>
      <c r="W2547" s="16">
        <f>V2547*N2547*O2547</f>
        <v/>
      </c>
      <c r="X2547" s="12">
        <f>IF(LEFT(I2547,2)="MV",2*N2547*IF(L2547="1/C",O2547,1),0)</f>
        <v/>
      </c>
      <c r="Y2547" s="12">
        <f>IF(OR(LEFT(K2547,4)="LVAX",LEFT(K2547,6)="MV15AX",LEFT(K2547,4)="CTAX",LEFT(K2547,2)="W|"),2*N2547*O2547,0)</f>
        <v/>
      </c>
      <c r="Z2547" s="12" t="inlineStr">
        <is>
          <t>device-to-JB field wiring, one cable per device</t>
        </is>
      </c>
      <c r="AA2547" s="12">
        <f>N2547*O2547</f>
        <v/>
      </c>
    </row>
    <row r="2548">
      <c r="A2548" s="12" t="inlineStr">
        <is>
          <t>C-I-0064</t>
        </is>
      </c>
      <c r="B2548" s="12" t="inlineStr">
        <is>
          <t>C</t>
        </is>
      </c>
      <c r="C2548" s="12" t="inlineStr">
        <is>
          <t>Grid interface</t>
        </is>
      </c>
      <c r="D2548" s="12" t="inlineStr">
        <is>
          <t>Home run JB-D6-CB1-DI01 to the control / marshalling room</t>
        </is>
      </c>
      <c r="E2548" s="12" t="inlineStr">
        <is>
          <t>RH</t>
        </is>
      </c>
      <c r="F2548" s="12" t="inlineStr">
        <is>
          <t>RH: switchyard relay / control house (52 x 70 ft)</t>
        </is>
      </c>
      <c r="G2548" s="12" t="inlineStr">
        <is>
          <t>JB-D6-CB1-DI01</t>
        </is>
      </c>
      <c r="H2548" s="12" t="inlineStr">
        <is>
          <t>D6 230 kV breaker 1 (build-out)</t>
        </is>
      </c>
      <c r="I2548" s="12" t="inlineStr">
        <is>
          <t>Instrumentation</t>
        </is>
      </c>
      <c r="J2548" s="12" t="inlineStr">
        <is>
          <t>Instrumentation PLTC / TC-ER 300 V, #18 twisted shielded pairs, overall shield</t>
        </is>
      </c>
      <c r="K2548" s="12" t="inlineStr">
        <is>
          <t>PLTC|24 pr|18</t>
        </is>
      </c>
      <c r="L2548" s="12" t="inlineStr">
        <is>
          <t>24 pr</t>
        </is>
      </c>
      <c r="M2548" s="12" t="inlineStr">
        <is>
          <t>18</t>
        </is>
      </c>
      <c r="N2548" s="12" t="n">
        <v>1</v>
      </c>
      <c r="O2548" s="12" t="n">
        <v>1</v>
      </c>
      <c r="P2548" s="12" t="n"/>
      <c r="Q2548" s="12" t="n"/>
      <c r="R2548" s="12" t="n"/>
      <c r="S2548" s="12" t="inlineStr">
        <is>
          <t>Trench</t>
        </is>
      </c>
      <c r="T2548" s="16" t="n">
        <v>1584</v>
      </c>
      <c r="U2548" s="16" t="n">
        <v>40</v>
      </c>
      <c r="V2548" s="16">
        <f>ROUNDUP((T2548+U2548+2*'Read Me'!$B$13)*(1+'Read Me'!$B$12),-1)</f>
        <v/>
      </c>
      <c r="W2548" s="16">
        <f>V2548*N2548*O2548</f>
        <v/>
      </c>
      <c r="X2548" s="12">
        <f>IF(LEFT(I2548,2)="MV",2*N2548*IF(L2548="1/C",O2548,1),0)</f>
        <v/>
      </c>
      <c r="Y2548" s="12">
        <f>IF(OR(LEFT(K2548,4)="LVAX",LEFT(K2548,6)="MV15AX",LEFT(K2548,4)="CTAX",LEFT(K2548,2)="W|"),2*N2548*O2548,0)</f>
        <v/>
      </c>
      <c r="Z2548" s="12" t="inlineStr"/>
      <c r="AA2548" s="12">
        <f>N2548*O2548</f>
        <v/>
      </c>
    </row>
    <row r="2549">
      <c r="A2549" s="12" t="inlineStr">
        <is>
          <t>C-I-0065</t>
        </is>
      </c>
      <c r="B2549" s="12" t="inlineStr">
        <is>
          <t>C</t>
        </is>
      </c>
      <c r="C2549" s="12" t="inlineStr">
        <is>
          <t>Grid interface</t>
        </is>
      </c>
      <c r="D2549" s="12" t="inlineStr">
        <is>
          <t>Analog instrument to JB JB-D6-CB2-AI01: 2 x 1 pr (field cables)</t>
        </is>
      </c>
      <c r="E2549" s="12" t="inlineStr">
        <is>
          <t>D6-CB2</t>
        </is>
      </c>
      <c r="F2549" s="12" t="inlineStr">
        <is>
          <t>D6 230 kV breaker 2 (build-out)</t>
        </is>
      </c>
      <c r="G2549" s="12" t="inlineStr">
        <is>
          <t>JB-D6-CB2-AI01</t>
        </is>
      </c>
      <c r="H2549" s="12" t="inlineStr">
        <is>
          <t>D6 230 kV breaker 2 (build-out)</t>
        </is>
      </c>
      <c r="I2549" s="12" t="inlineStr">
        <is>
          <t>Instrumentation</t>
        </is>
      </c>
      <c r="J2549" s="12" t="inlineStr">
        <is>
          <t>Instrumentation PLTC / TC-ER 300 V, #18 twisted shielded pairs, overall shield</t>
        </is>
      </c>
      <c r="K2549" s="12" t="inlineStr">
        <is>
          <t>PLTC|1 pr|16</t>
        </is>
      </c>
      <c r="L2549" s="12" t="inlineStr">
        <is>
          <t>1 pr</t>
        </is>
      </c>
      <c r="M2549" s="12" t="inlineStr">
        <is>
          <t>16</t>
        </is>
      </c>
      <c r="N2549" s="12" t="n">
        <v>2</v>
      </c>
      <c r="O2549" s="12" t="n">
        <v>1</v>
      </c>
      <c r="P2549" s="12" t="n"/>
      <c r="Q2549" s="12" t="n"/>
      <c r="R2549" s="12" t="n"/>
      <c r="S2549" s="12" t="inlineStr">
        <is>
          <t>Tray / conduit</t>
        </is>
      </c>
      <c r="T2549" s="16" t="n">
        <v>52</v>
      </c>
      <c r="U2549" s="16" t="n">
        <v>10</v>
      </c>
      <c r="V2549" s="16">
        <f>ROUNDUP((T2549+U2549+2*'Read Me'!$B$13)*(1+'Read Me'!$B$12),-1)</f>
        <v/>
      </c>
      <c r="W2549" s="16">
        <f>V2549*N2549*O2549</f>
        <v/>
      </c>
      <c r="X2549" s="12">
        <f>IF(LEFT(I2549,2)="MV",2*N2549*IF(L2549="1/C",O2549,1),0)</f>
        <v/>
      </c>
      <c r="Y2549" s="12">
        <f>IF(OR(LEFT(K2549,4)="LVAX",LEFT(K2549,6)="MV15AX",LEFT(K2549,4)="CTAX",LEFT(K2549,2)="W|"),2*N2549*O2549,0)</f>
        <v/>
      </c>
      <c r="Z2549" s="12" t="inlineStr">
        <is>
          <t>device-to-JB field wiring, one cable per device</t>
        </is>
      </c>
      <c r="AA2549" s="12">
        <f>N2549*O2549</f>
        <v/>
      </c>
    </row>
    <row r="2550">
      <c r="A2550" s="12" t="inlineStr">
        <is>
          <t>C-I-0066</t>
        </is>
      </c>
      <c r="B2550" s="12" t="inlineStr">
        <is>
          <t>C</t>
        </is>
      </c>
      <c r="C2550" s="12" t="inlineStr">
        <is>
          <t>Grid interface</t>
        </is>
      </c>
      <c r="D2550" s="12" t="inlineStr">
        <is>
          <t>Home run JB-D6-CB2-AI01 to the control / marshalling room</t>
        </is>
      </c>
      <c r="E2550" s="12" t="inlineStr">
        <is>
          <t>RH</t>
        </is>
      </c>
      <c r="F2550" s="12" t="inlineStr">
        <is>
          <t>RH: switchyard relay / control house (52 x 70 ft)</t>
        </is>
      </c>
      <c r="G2550" s="12" t="inlineStr">
        <is>
          <t>JB-D6-CB2-AI01</t>
        </is>
      </c>
      <c r="H2550" s="12" t="inlineStr">
        <is>
          <t>D6 230 kV breaker 2 (build-out)</t>
        </is>
      </c>
      <c r="I2550" s="12" t="inlineStr">
        <is>
          <t>Instrumentation</t>
        </is>
      </c>
      <c r="J2550" s="12" t="inlineStr">
        <is>
          <t>Instrumentation PLTC / TC-ER 300 V, #18 twisted shielded pairs, overall shield</t>
        </is>
      </c>
      <c r="K2550" s="12" t="inlineStr">
        <is>
          <t>PLTC|24 pr|18</t>
        </is>
      </c>
      <c r="L2550" s="12" t="inlineStr">
        <is>
          <t>24 pr</t>
        </is>
      </c>
      <c r="M2550" s="12" t="inlineStr">
        <is>
          <t>18</t>
        </is>
      </c>
      <c r="N2550" s="12" t="n">
        <v>1</v>
      </c>
      <c r="O2550" s="12" t="n">
        <v>1</v>
      </c>
      <c r="P2550" s="12" t="n"/>
      <c r="Q2550" s="12" t="n"/>
      <c r="R2550" s="12" t="n"/>
      <c r="S2550" s="12" t="inlineStr">
        <is>
          <t>Trench</t>
        </is>
      </c>
      <c r="T2550" s="16" t="n">
        <v>1584</v>
      </c>
      <c r="U2550" s="16" t="n">
        <v>52</v>
      </c>
      <c r="V2550" s="16">
        <f>ROUNDUP((T2550+U2550+2*'Read Me'!$B$13)*(1+'Read Me'!$B$12),-1)</f>
        <v/>
      </c>
      <c r="W2550" s="16">
        <f>V2550*N2550*O2550</f>
        <v/>
      </c>
      <c r="X2550" s="12">
        <f>IF(LEFT(I2550,2)="MV",2*N2550*IF(L2550="1/C",O2550,1),0)</f>
        <v/>
      </c>
      <c r="Y2550" s="12">
        <f>IF(OR(LEFT(K2550,4)="LVAX",LEFT(K2550,6)="MV15AX",LEFT(K2550,4)="CTAX",LEFT(K2550,2)="W|"),2*N2550*O2550,0)</f>
        <v/>
      </c>
      <c r="Z2550" s="12" t="inlineStr"/>
      <c r="AA2550" s="12">
        <f>N2550*O2550</f>
        <v/>
      </c>
    </row>
    <row r="2551">
      <c r="A2551" s="12" t="inlineStr">
        <is>
          <t>C-I-0067</t>
        </is>
      </c>
      <c r="B2551" s="12" t="inlineStr">
        <is>
          <t>C</t>
        </is>
      </c>
      <c r="C2551" s="12" t="inlineStr">
        <is>
          <t>Grid interface</t>
        </is>
      </c>
      <c r="D2551" s="12" t="inlineStr">
        <is>
          <t>Discrete device to JB JB-D6-CB2-DI01: 20 x 1 pr (field cables)</t>
        </is>
      </c>
      <c r="E2551" s="12" t="inlineStr">
        <is>
          <t>D6-CB2</t>
        </is>
      </c>
      <c r="F2551" s="12" t="inlineStr">
        <is>
          <t>D6 230 kV breaker 2 (build-out)</t>
        </is>
      </c>
      <c r="G2551" s="12" t="inlineStr">
        <is>
          <t>JB-D6-CB2-DI01</t>
        </is>
      </c>
      <c r="H2551" s="12" t="inlineStr">
        <is>
          <t>D6 230 kV breaker 2 (build-out)</t>
        </is>
      </c>
      <c r="I2551" s="12" t="inlineStr">
        <is>
          <t>Instrumentation</t>
        </is>
      </c>
      <c r="J2551" s="12" t="inlineStr">
        <is>
          <t>Instrumentation PLTC / TC-ER 300 V, #18 twisted shielded pairs, overall shield</t>
        </is>
      </c>
      <c r="K2551" s="12" t="inlineStr">
        <is>
          <t>PLTC|1 pr|16</t>
        </is>
      </c>
      <c r="L2551" s="12" t="inlineStr">
        <is>
          <t>1 pr</t>
        </is>
      </c>
      <c r="M2551" s="12" t="inlineStr">
        <is>
          <t>16</t>
        </is>
      </c>
      <c r="N2551" s="12" t="n">
        <v>20</v>
      </c>
      <c r="O2551" s="12" t="n">
        <v>1</v>
      </c>
      <c r="P2551" s="12" t="n"/>
      <c r="Q2551" s="12" t="n"/>
      <c r="R2551" s="12" t="n"/>
      <c r="S2551" s="12" t="inlineStr">
        <is>
          <t>Tray / conduit</t>
        </is>
      </c>
      <c r="T2551" s="16" t="n">
        <v>52</v>
      </c>
      <c r="U2551" s="16" t="n">
        <v>10</v>
      </c>
      <c r="V2551" s="16">
        <f>ROUNDUP((T2551+U2551+2*'Read Me'!$B$13)*(1+'Read Me'!$B$12),-1)</f>
        <v/>
      </c>
      <c r="W2551" s="16">
        <f>V2551*N2551*O2551</f>
        <v/>
      </c>
      <c r="X2551" s="12">
        <f>IF(LEFT(I2551,2)="MV",2*N2551*IF(L2551="1/C",O2551,1),0)</f>
        <v/>
      </c>
      <c r="Y2551" s="12">
        <f>IF(OR(LEFT(K2551,4)="LVAX",LEFT(K2551,6)="MV15AX",LEFT(K2551,4)="CTAX",LEFT(K2551,2)="W|"),2*N2551*O2551,0)</f>
        <v/>
      </c>
      <c r="Z2551" s="12" t="inlineStr">
        <is>
          <t>device-to-JB field wiring, one cable per device</t>
        </is>
      </c>
      <c r="AA2551" s="12">
        <f>N2551*O2551</f>
        <v/>
      </c>
    </row>
    <row r="2552">
      <c r="A2552" s="12" t="inlineStr">
        <is>
          <t>C-I-0068</t>
        </is>
      </c>
      <c r="B2552" s="12" t="inlineStr">
        <is>
          <t>C</t>
        </is>
      </c>
      <c r="C2552" s="12" t="inlineStr">
        <is>
          <t>Grid interface</t>
        </is>
      </c>
      <c r="D2552" s="12" t="inlineStr">
        <is>
          <t>Home run JB-D6-CB2-DI01 to the control / marshalling room</t>
        </is>
      </c>
      <c r="E2552" s="12" t="inlineStr">
        <is>
          <t>RH</t>
        </is>
      </c>
      <c r="F2552" s="12" t="inlineStr">
        <is>
          <t>RH: switchyard relay / control house (52 x 70 ft)</t>
        </is>
      </c>
      <c r="G2552" s="12" t="inlineStr">
        <is>
          <t>JB-D6-CB2-DI01</t>
        </is>
      </c>
      <c r="H2552" s="12" t="inlineStr">
        <is>
          <t>D6 230 kV breaker 2 (build-out)</t>
        </is>
      </c>
      <c r="I2552" s="12" t="inlineStr">
        <is>
          <t>Instrumentation</t>
        </is>
      </c>
      <c r="J2552" s="12" t="inlineStr">
        <is>
          <t>Instrumentation PLTC / TC-ER 300 V, #18 twisted shielded pairs, overall shield</t>
        </is>
      </c>
      <c r="K2552" s="12" t="inlineStr">
        <is>
          <t>PLTC|24 pr|18</t>
        </is>
      </c>
      <c r="L2552" s="12" t="inlineStr">
        <is>
          <t>24 pr</t>
        </is>
      </c>
      <c r="M2552" s="12" t="inlineStr">
        <is>
          <t>18</t>
        </is>
      </c>
      <c r="N2552" s="12" t="n">
        <v>1</v>
      </c>
      <c r="O2552" s="12" t="n">
        <v>1</v>
      </c>
      <c r="P2552" s="12" t="n"/>
      <c r="Q2552" s="12" t="n"/>
      <c r="R2552" s="12" t="n"/>
      <c r="S2552" s="12" t="inlineStr">
        <is>
          <t>Trench</t>
        </is>
      </c>
      <c r="T2552" s="16" t="n">
        <v>1584</v>
      </c>
      <c r="U2552" s="16" t="n">
        <v>52</v>
      </c>
      <c r="V2552" s="16">
        <f>ROUNDUP((T2552+U2552+2*'Read Me'!$B$13)*(1+'Read Me'!$B$12),-1)</f>
        <v/>
      </c>
      <c r="W2552" s="16">
        <f>V2552*N2552*O2552</f>
        <v/>
      </c>
      <c r="X2552" s="12">
        <f>IF(LEFT(I2552,2)="MV",2*N2552*IF(L2552="1/C",O2552,1),0)</f>
        <v/>
      </c>
      <c r="Y2552" s="12">
        <f>IF(OR(LEFT(K2552,4)="LVAX",LEFT(K2552,6)="MV15AX",LEFT(K2552,4)="CTAX",LEFT(K2552,2)="W|"),2*N2552*O2552,0)</f>
        <v/>
      </c>
      <c r="Z2552" s="12" t="inlineStr"/>
      <c r="AA2552" s="12">
        <f>N2552*O2552</f>
        <v/>
      </c>
    </row>
    <row r="2553">
      <c r="A2553" s="12" t="inlineStr">
        <is>
          <t>C-I-0069</t>
        </is>
      </c>
      <c r="B2553" s="12" t="inlineStr">
        <is>
          <t>C</t>
        </is>
      </c>
      <c r="C2553" s="12" t="inlineStr">
        <is>
          <t>Grid interface</t>
        </is>
      </c>
      <c r="D2553" s="12" t="inlineStr">
        <is>
          <t>Analog instrument to JB JB-D6-CB3-AI01: 2 x 1 pr (field cables)</t>
        </is>
      </c>
      <c r="E2553" s="12" t="inlineStr">
        <is>
          <t>D6-CB3</t>
        </is>
      </c>
      <c r="F2553" s="12" t="inlineStr">
        <is>
          <t>D6 230 kV breaker 3 (build-out)</t>
        </is>
      </c>
      <c r="G2553" s="12" t="inlineStr">
        <is>
          <t>JB-D6-CB3-AI01</t>
        </is>
      </c>
      <c r="H2553" s="12" t="inlineStr">
        <is>
          <t>D6 230 kV breaker 3 (build-out)</t>
        </is>
      </c>
      <c r="I2553" s="12" t="inlineStr">
        <is>
          <t>Instrumentation</t>
        </is>
      </c>
      <c r="J2553" s="12" t="inlineStr">
        <is>
          <t>Instrumentation PLTC / TC-ER 300 V, #18 twisted shielded pairs, overall shield</t>
        </is>
      </c>
      <c r="K2553" s="12" t="inlineStr">
        <is>
          <t>PLTC|1 pr|16</t>
        </is>
      </c>
      <c r="L2553" s="12" t="inlineStr">
        <is>
          <t>1 pr</t>
        </is>
      </c>
      <c r="M2553" s="12" t="inlineStr">
        <is>
          <t>16</t>
        </is>
      </c>
      <c r="N2553" s="12" t="n">
        <v>2</v>
      </c>
      <c r="O2553" s="12" t="n">
        <v>1</v>
      </c>
      <c r="P2553" s="12" t="n"/>
      <c r="Q2553" s="12" t="n"/>
      <c r="R2553" s="12" t="n"/>
      <c r="S2553" s="12" t="inlineStr">
        <is>
          <t>Tray / conduit</t>
        </is>
      </c>
      <c r="T2553" s="16" t="n">
        <v>52</v>
      </c>
      <c r="U2553" s="16" t="n">
        <v>10</v>
      </c>
      <c r="V2553" s="16">
        <f>ROUNDUP((T2553+U2553+2*'Read Me'!$B$13)*(1+'Read Me'!$B$12),-1)</f>
        <v/>
      </c>
      <c r="W2553" s="16">
        <f>V2553*N2553*O2553</f>
        <v/>
      </c>
      <c r="X2553" s="12">
        <f>IF(LEFT(I2553,2)="MV",2*N2553*IF(L2553="1/C",O2553,1),0)</f>
        <v/>
      </c>
      <c r="Y2553" s="12">
        <f>IF(OR(LEFT(K2553,4)="LVAX",LEFT(K2553,6)="MV15AX",LEFT(K2553,4)="CTAX",LEFT(K2553,2)="W|"),2*N2553*O2553,0)</f>
        <v/>
      </c>
      <c r="Z2553" s="12" t="inlineStr">
        <is>
          <t>device-to-JB field wiring, one cable per device</t>
        </is>
      </c>
      <c r="AA2553" s="12">
        <f>N2553*O2553</f>
        <v/>
      </c>
    </row>
    <row r="2554">
      <c r="A2554" s="12" t="inlineStr">
        <is>
          <t>C-I-0070</t>
        </is>
      </c>
      <c r="B2554" s="12" t="inlineStr">
        <is>
          <t>C</t>
        </is>
      </c>
      <c r="C2554" s="12" t="inlineStr">
        <is>
          <t>Grid interface</t>
        </is>
      </c>
      <c r="D2554" s="12" t="inlineStr">
        <is>
          <t>Home run JB-D6-CB3-AI01 to the control / marshalling room</t>
        </is>
      </c>
      <c r="E2554" s="12" t="inlineStr">
        <is>
          <t>RH</t>
        </is>
      </c>
      <c r="F2554" s="12" t="inlineStr">
        <is>
          <t>RH: switchyard relay / control house (52 x 70 ft)</t>
        </is>
      </c>
      <c r="G2554" s="12" t="inlineStr">
        <is>
          <t>JB-D6-CB3-AI01</t>
        </is>
      </c>
      <c r="H2554" s="12" t="inlineStr">
        <is>
          <t>D6 230 kV breaker 3 (build-out)</t>
        </is>
      </c>
      <c r="I2554" s="12" t="inlineStr">
        <is>
          <t>Instrumentation</t>
        </is>
      </c>
      <c r="J2554" s="12" t="inlineStr">
        <is>
          <t>Instrumentation PLTC / TC-ER 300 V, #18 twisted shielded pairs, overall shield</t>
        </is>
      </c>
      <c r="K2554" s="12" t="inlineStr">
        <is>
          <t>PLTC|24 pr|18</t>
        </is>
      </c>
      <c r="L2554" s="12" t="inlineStr">
        <is>
          <t>24 pr</t>
        </is>
      </c>
      <c r="M2554" s="12" t="inlineStr">
        <is>
          <t>18</t>
        </is>
      </c>
      <c r="N2554" s="12" t="n">
        <v>1</v>
      </c>
      <c r="O2554" s="12" t="n">
        <v>1</v>
      </c>
      <c r="P2554" s="12" t="n"/>
      <c r="Q2554" s="12" t="n"/>
      <c r="R2554" s="12" t="n"/>
      <c r="S2554" s="12" t="inlineStr">
        <is>
          <t>Trench</t>
        </is>
      </c>
      <c r="T2554" s="16" t="n">
        <v>1584</v>
      </c>
      <c r="U2554" s="16" t="n">
        <v>92</v>
      </c>
      <c r="V2554" s="16">
        <f>ROUNDUP((T2554+U2554+2*'Read Me'!$B$13)*(1+'Read Me'!$B$12),-1)</f>
        <v/>
      </c>
      <c r="W2554" s="16">
        <f>V2554*N2554*O2554</f>
        <v/>
      </c>
      <c r="X2554" s="12">
        <f>IF(LEFT(I2554,2)="MV",2*N2554*IF(L2554="1/C",O2554,1),0)</f>
        <v/>
      </c>
      <c r="Y2554" s="12">
        <f>IF(OR(LEFT(K2554,4)="LVAX",LEFT(K2554,6)="MV15AX",LEFT(K2554,4)="CTAX",LEFT(K2554,2)="W|"),2*N2554*O2554,0)</f>
        <v/>
      </c>
      <c r="Z2554" s="12" t="inlineStr"/>
      <c r="AA2554" s="12">
        <f>N2554*O2554</f>
        <v/>
      </c>
    </row>
    <row r="2555">
      <c r="A2555" s="12" t="inlineStr">
        <is>
          <t>C-I-0071</t>
        </is>
      </c>
      <c r="B2555" s="12" t="inlineStr">
        <is>
          <t>C</t>
        </is>
      </c>
      <c r="C2555" s="12" t="inlineStr">
        <is>
          <t>Grid interface</t>
        </is>
      </c>
      <c r="D2555" s="12" t="inlineStr">
        <is>
          <t>Discrete device to JB JB-D6-CB3-DI01: 20 x 1 pr (field cables)</t>
        </is>
      </c>
      <c r="E2555" s="12" t="inlineStr">
        <is>
          <t>D6-CB3</t>
        </is>
      </c>
      <c r="F2555" s="12" t="inlineStr">
        <is>
          <t>D6 230 kV breaker 3 (build-out)</t>
        </is>
      </c>
      <c r="G2555" s="12" t="inlineStr">
        <is>
          <t>JB-D6-CB3-DI01</t>
        </is>
      </c>
      <c r="H2555" s="12" t="inlineStr">
        <is>
          <t>D6 230 kV breaker 3 (build-out)</t>
        </is>
      </c>
      <c r="I2555" s="12" t="inlineStr">
        <is>
          <t>Instrumentation</t>
        </is>
      </c>
      <c r="J2555" s="12" t="inlineStr">
        <is>
          <t>Instrumentation PLTC / TC-ER 300 V, #18 twisted shielded pairs, overall shield</t>
        </is>
      </c>
      <c r="K2555" s="12" t="inlineStr">
        <is>
          <t>PLTC|1 pr|16</t>
        </is>
      </c>
      <c r="L2555" s="12" t="inlineStr">
        <is>
          <t>1 pr</t>
        </is>
      </c>
      <c r="M2555" s="12" t="inlineStr">
        <is>
          <t>16</t>
        </is>
      </c>
      <c r="N2555" s="12" t="n">
        <v>20</v>
      </c>
      <c r="O2555" s="12" t="n">
        <v>1</v>
      </c>
      <c r="P2555" s="12" t="n"/>
      <c r="Q2555" s="12" t="n"/>
      <c r="R2555" s="12" t="n"/>
      <c r="S2555" s="12" t="inlineStr">
        <is>
          <t>Tray / conduit</t>
        </is>
      </c>
      <c r="T2555" s="16" t="n">
        <v>52</v>
      </c>
      <c r="U2555" s="16" t="n">
        <v>10</v>
      </c>
      <c r="V2555" s="16">
        <f>ROUNDUP((T2555+U2555+2*'Read Me'!$B$13)*(1+'Read Me'!$B$12),-1)</f>
        <v/>
      </c>
      <c r="W2555" s="16">
        <f>V2555*N2555*O2555</f>
        <v/>
      </c>
      <c r="X2555" s="12">
        <f>IF(LEFT(I2555,2)="MV",2*N2555*IF(L2555="1/C",O2555,1),0)</f>
        <v/>
      </c>
      <c r="Y2555" s="12">
        <f>IF(OR(LEFT(K2555,4)="LVAX",LEFT(K2555,6)="MV15AX",LEFT(K2555,4)="CTAX",LEFT(K2555,2)="W|"),2*N2555*O2555,0)</f>
        <v/>
      </c>
      <c r="Z2555" s="12" t="inlineStr">
        <is>
          <t>device-to-JB field wiring, one cable per device</t>
        </is>
      </c>
      <c r="AA2555" s="12">
        <f>N2555*O2555</f>
        <v/>
      </c>
    </row>
    <row r="2556">
      <c r="A2556" s="12" t="inlineStr">
        <is>
          <t>C-I-0072</t>
        </is>
      </c>
      <c r="B2556" s="12" t="inlineStr">
        <is>
          <t>C</t>
        </is>
      </c>
      <c r="C2556" s="12" t="inlineStr">
        <is>
          <t>Grid interface</t>
        </is>
      </c>
      <c r="D2556" s="12" t="inlineStr">
        <is>
          <t>Home run JB-D6-CB3-DI01 to the control / marshalling room</t>
        </is>
      </c>
      <c r="E2556" s="12" t="inlineStr">
        <is>
          <t>RH</t>
        </is>
      </c>
      <c r="F2556" s="12" t="inlineStr">
        <is>
          <t>RH: switchyard relay / control house (52 x 70 ft)</t>
        </is>
      </c>
      <c r="G2556" s="12" t="inlineStr">
        <is>
          <t>JB-D6-CB3-DI01</t>
        </is>
      </c>
      <c r="H2556" s="12" t="inlineStr">
        <is>
          <t>D6 230 kV breaker 3 (build-out)</t>
        </is>
      </c>
      <c r="I2556" s="12" t="inlineStr">
        <is>
          <t>Instrumentation</t>
        </is>
      </c>
      <c r="J2556" s="12" t="inlineStr">
        <is>
          <t>Instrumentation PLTC / TC-ER 300 V, #18 twisted shielded pairs, overall shield</t>
        </is>
      </c>
      <c r="K2556" s="12" t="inlineStr">
        <is>
          <t>PLTC|24 pr|18</t>
        </is>
      </c>
      <c r="L2556" s="12" t="inlineStr">
        <is>
          <t>24 pr</t>
        </is>
      </c>
      <c r="M2556" s="12" t="inlineStr">
        <is>
          <t>18</t>
        </is>
      </c>
      <c r="N2556" s="12" t="n">
        <v>1</v>
      </c>
      <c r="O2556" s="12" t="n">
        <v>1</v>
      </c>
      <c r="P2556" s="12" t="n"/>
      <c r="Q2556" s="12" t="n"/>
      <c r="R2556" s="12" t="n"/>
      <c r="S2556" s="12" t="inlineStr">
        <is>
          <t>Trench</t>
        </is>
      </c>
      <c r="T2556" s="16" t="n">
        <v>1584</v>
      </c>
      <c r="U2556" s="16" t="n">
        <v>92</v>
      </c>
      <c r="V2556" s="16">
        <f>ROUNDUP((T2556+U2556+2*'Read Me'!$B$13)*(1+'Read Me'!$B$12),-1)</f>
        <v/>
      </c>
      <c r="W2556" s="16">
        <f>V2556*N2556*O2556</f>
        <v/>
      </c>
      <c r="X2556" s="12">
        <f>IF(LEFT(I2556,2)="MV",2*N2556*IF(L2556="1/C",O2556,1),0)</f>
        <v/>
      </c>
      <c r="Y2556" s="12">
        <f>IF(OR(LEFT(K2556,4)="LVAX",LEFT(K2556,6)="MV15AX",LEFT(K2556,4)="CTAX",LEFT(K2556,2)="W|"),2*N2556*O2556,0)</f>
        <v/>
      </c>
      <c r="Z2556" s="12" t="inlineStr"/>
      <c r="AA2556" s="12">
        <f>N2556*O2556</f>
        <v/>
      </c>
    </row>
    <row r="2557">
      <c r="A2557" s="12" t="inlineStr">
        <is>
          <t>C-I-0073</t>
        </is>
      </c>
      <c r="B2557" s="12" t="inlineStr">
        <is>
          <t>C</t>
        </is>
      </c>
      <c r="C2557" s="12" t="inlineStr">
        <is>
          <t>Grid interface</t>
        </is>
      </c>
      <c r="D2557" s="12" t="inlineStr">
        <is>
          <t>Discrete device to JB JB-Line-1-DI01: 4 x 1 pr (field cables)</t>
        </is>
      </c>
      <c r="E2557" s="12" t="inlineStr">
        <is>
          <t>Line-1</t>
        </is>
      </c>
      <c r="F2557" s="12" t="inlineStr">
        <is>
          <t>Line 1 230 kV terminal tower</t>
        </is>
      </c>
      <c r="G2557" s="12" t="inlineStr">
        <is>
          <t>JB-Line-1-DI01</t>
        </is>
      </c>
      <c r="H2557" s="12" t="inlineStr">
        <is>
          <t>Line 1 230 kV terminal tower</t>
        </is>
      </c>
      <c r="I2557" s="12" t="inlineStr">
        <is>
          <t>Instrumentation</t>
        </is>
      </c>
      <c r="J2557" s="12" t="inlineStr">
        <is>
          <t>Instrumentation PLTC / TC-ER 300 V, #18 twisted shielded pairs, overall shield</t>
        </is>
      </c>
      <c r="K2557" s="12" t="inlineStr">
        <is>
          <t>PLTC|1 pr|16</t>
        </is>
      </c>
      <c r="L2557" s="12" t="inlineStr">
        <is>
          <t>1 pr</t>
        </is>
      </c>
      <c r="M2557" s="12" t="inlineStr">
        <is>
          <t>16</t>
        </is>
      </c>
      <c r="N2557" s="12" t="n">
        <v>4</v>
      </c>
      <c r="O2557" s="12" t="n">
        <v>1</v>
      </c>
      <c r="P2557" s="12" t="n"/>
      <c r="Q2557" s="12" t="n"/>
      <c r="R2557" s="12" t="n"/>
      <c r="S2557" s="12" t="inlineStr">
        <is>
          <t>Tray / conduit</t>
        </is>
      </c>
      <c r="T2557" s="16" t="n">
        <v>77</v>
      </c>
      <c r="U2557" s="16" t="n">
        <v>10</v>
      </c>
      <c r="V2557" s="16">
        <f>ROUNDUP((T2557+U2557+2*'Read Me'!$B$13)*(1+'Read Me'!$B$12),-1)</f>
        <v/>
      </c>
      <c r="W2557" s="16">
        <f>V2557*N2557*O2557</f>
        <v/>
      </c>
      <c r="X2557" s="12">
        <f>IF(LEFT(I2557,2)="MV",2*N2557*IF(L2557="1/C",O2557,1),0)</f>
        <v/>
      </c>
      <c r="Y2557" s="12">
        <f>IF(OR(LEFT(K2557,4)="LVAX",LEFT(K2557,6)="MV15AX",LEFT(K2557,4)="CTAX",LEFT(K2557,2)="W|"),2*N2557*O2557,0)</f>
        <v/>
      </c>
      <c r="Z2557" s="12" t="inlineStr">
        <is>
          <t>device-to-JB field wiring, one cable per device</t>
        </is>
      </c>
      <c r="AA2557" s="12">
        <f>N2557*O2557</f>
        <v/>
      </c>
    </row>
    <row r="2558">
      <c r="A2558" s="12" t="inlineStr">
        <is>
          <t>C-I-0074</t>
        </is>
      </c>
      <c r="B2558" s="12" t="inlineStr">
        <is>
          <t>C</t>
        </is>
      </c>
      <c r="C2558" s="12" t="inlineStr">
        <is>
          <t>Grid interface</t>
        </is>
      </c>
      <c r="D2558" s="12" t="inlineStr">
        <is>
          <t>Home run JB-Line-1-DI01 to the control / marshalling room</t>
        </is>
      </c>
      <c r="E2558" s="12" t="inlineStr">
        <is>
          <t>RH</t>
        </is>
      </c>
      <c r="F2558" s="12" t="inlineStr">
        <is>
          <t>RH: switchyard relay / control house (52 x 70 ft)</t>
        </is>
      </c>
      <c r="G2558" s="12" t="inlineStr">
        <is>
          <t>JB-Line-1-DI01</t>
        </is>
      </c>
      <c r="H2558" s="12" t="inlineStr">
        <is>
          <t>Line 1 230 kV terminal tower</t>
        </is>
      </c>
      <c r="I2558" s="12" t="inlineStr">
        <is>
          <t>Instrumentation</t>
        </is>
      </c>
      <c r="J2558" s="12" t="inlineStr">
        <is>
          <t>Instrumentation PLTC / TC-ER 300 V, #18 twisted shielded pairs, overall shield</t>
        </is>
      </c>
      <c r="K2558" s="12" t="inlineStr">
        <is>
          <t>PLTC|24 pr|18</t>
        </is>
      </c>
      <c r="L2558" s="12" t="inlineStr">
        <is>
          <t>24 pr</t>
        </is>
      </c>
      <c r="M2558" s="12" t="inlineStr">
        <is>
          <t>18</t>
        </is>
      </c>
      <c r="N2558" s="12" t="n">
        <v>1</v>
      </c>
      <c r="O2558" s="12" t="n">
        <v>1</v>
      </c>
      <c r="P2558" s="12" t="n"/>
      <c r="Q2558" s="12" t="n"/>
      <c r="R2558" s="12" t="n"/>
      <c r="S2558" s="12" t="inlineStr">
        <is>
          <t>Trench</t>
        </is>
      </c>
      <c r="T2558" s="16" t="n">
        <v>91</v>
      </c>
      <c r="U2558" s="16" t="n">
        <v>285</v>
      </c>
      <c r="V2558" s="16">
        <f>ROUNDUP((T2558+U2558+2*'Read Me'!$B$13)*(1+'Read Me'!$B$12),-1)</f>
        <v/>
      </c>
      <c r="W2558" s="16">
        <f>V2558*N2558*O2558</f>
        <v/>
      </c>
      <c r="X2558" s="12">
        <f>IF(LEFT(I2558,2)="MV",2*N2558*IF(L2558="1/C",O2558,1),0)</f>
        <v/>
      </c>
      <c r="Y2558" s="12">
        <f>IF(OR(LEFT(K2558,4)="LVAX",LEFT(K2558,6)="MV15AX",LEFT(K2558,4)="CTAX",LEFT(K2558,2)="W|"),2*N2558*O2558,0)</f>
        <v/>
      </c>
      <c r="Z2558" s="12" t="inlineStr"/>
      <c r="AA2558" s="12">
        <f>N2558*O2558</f>
        <v/>
      </c>
    </row>
    <row r="2559">
      <c r="A2559" s="12" t="inlineStr">
        <is>
          <t>C-I-0075</t>
        </is>
      </c>
      <c r="B2559" s="12" t="inlineStr">
        <is>
          <t>C</t>
        </is>
      </c>
      <c r="C2559" s="12" t="inlineStr">
        <is>
          <t>Grid interface</t>
        </is>
      </c>
      <c r="D2559" s="12" t="inlineStr">
        <is>
          <t>Discrete device to JB JB-Line 1 entrance: s-DI01: 4 x 1 pr (field cables)</t>
        </is>
      </c>
      <c r="E2559" s="12" t="inlineStr"/>
      <c r="F2559" s="12" t="inlineStr">
        <is>
          <t>Line 1 entrance: surge arresters, CCVTs and line traps</t>
        </is>
      </c>
      <c r="G2559" s="12" t="inlineStr">
        <is>
          <t>JB-Line 1 entrance: s-DI01</t>
        </is>
      </c>
      <c r="H2559" s="12" t="inlineStr">
        <is>
          <t>Line 1 entrance: surge arresters, CCVTs and line traps</t>
        </is>
      </c>
      <c r="I2559" s="12" t="inlineStr">
        <is>
          <t>Instrumentation</t>
        </is>
      </c>
      <c r="J2559" s="12" t="inlineStr">
        <is>
          <t>Instrumentation PLTC / TC-ER 300 V, #18 twisted shielded pairs, overall shield</t>
        </is>
      </c>
      <c r="K2559" s="12" t="inlineStr">
        <is>
          <t>PLTC|1 pr|16</t>
        </is>
      </c>
      <c r="L2559" s="12" t="inlineStr">
        <is>
          <t>1 pr</t>
        </is>
      </c>
      <c r="M2559" s="12" t="inlineStr">
        <is>
          <t>16</t>
        </is>
      </c>
      <c r="N2559" s="12" t="n">
        <v>4</v>
      </c>
      <c r="O2559" s="12" t="n">
        <v>1</v>
      </c>
      <c r="P2559" s="12" t="n"/>
      <c r="Q2559" s="12" t="n"/>
      <c r="R2559" s="12" t="n"/>
      <c r="S2559" s="12" t="inlineStr">
        <is>
          <t>Tray / conduit</t>
        </is>
      </c>
      <c r="T2559" s="16" t="n">
        <v>55</v>
      </c>
      <c r="U2559" s="16" t="n">
        <v>10</v>
      </c>
      <c r="V2559" s="16">
        <f>ROUNDUP((T2559+U2559+2*'Read Me'!$B$13)*(1+'Read Me'!$B$12),-1)</f>
        <v/>
      </c>
      <c r="W2559" s="16">
        <f>V2559*N2559*O2559</f>
        <v/>
      </c>
      <c r="X2559" s="12">
        <f>IF(LEFT(I2559,2)="MV",2*N2559*IF(L2559="1/C",O2559,1),0)</f>
        <v/>
      </c>
      <c r="Y2559" s="12">
        <f>IF(OR(LEFT(K2559,4)="LVAX",LEFT(K2559,6)="MV15AX",LEFT(K2559,4)="CTAX",LEFT(K2559,2)="W|"),2*N2559*O2559,0)</f>
        <v/>
      </c>
      <c r="Z2559" s="12" t="inlineStr">
        <is>
          <t>device-to-JB field wiring, one cable per device</t>
        </is>
      </c>
      <c r="AA2559" s="12">
        <f>N2559*O2559</f>
        <v/>
      </c>
    </row>
    <row r="2560">
      <c r="A2560" s="12" t="inlineStr">
        <is>
          <t>C-I-0076</t>
        </is>
      </c>
      <c r="B2560" s="12" t="inlineStr">
        <is>
          <t>C</t>
        </is>
      </c>
      <c r="C2560" s="12" t="inlineStr">
        <is>
          <t>Grid interface</t>
        </is>
      </c>
      <c r="D2560" s="12" t="inlineStr">
        <is>
          <t>Home run JB-Line 1 entrance: s-DI01 to the control / marshalling room</t>
        </is>
      </c>
      <c r="E2560" s="12" t="inlineStr">
        <is>
          <t>RH</t>
        </is>
      </c>
      <c r="F2560" s="12" t="inlineStr">
        <is>
          <t>RH: switchyard relay / control house (52 x 70 ft)</t>
        </is>
      </c>
      <c r="G2560" s="12" t="inlineStr">
        <is>
          <t>JB-Line 1 entrance: s-DI01</t>
        </is>
      </c>
      <c r="H2560" s="12" t="inlineStr">
        <is>
          <t>Line 1 entrance: surge arresters, CCVTs and line traps</t>
        </is>
      </c>
      <c r="I2560" s="12" t="inlineStr">
        <is>
          <t>Instrumentation</t>
        </is>
      </c>
      <c r="J2560" s="12" t="inlineStr">
        <is>
          <t>Instrumentation PLTC / TC-ER 300 V, #18 twisted shielded pairs, overall shield</t>
        </is>
      </c>
      <c r="K2560" s="12" t="inlineStr">
        <is>
          <t>PLTC|24 pr|18</t>
        </is>
      </c>
      <c r="L2560" s="12" t="inlineStr">
        <is>
          <t>24 pr</t>
        </is>
      </c>
      <c r="M2560" s="12" t="inlineStr">
        <is>
          <t>18</t>
        </is>
      </c>
      <c r="N2560" s="12" t="n">
        <v>1</v>
      </c>
      <c r="O2560" s="12" t="n">
        <v>1</v>
      </c>
      <c r="P2560" s="12" t="n"/>
      <c r="Q2560" s="12" t="n"/>
      <c r="R2560" s="12" t="n"/>
      <c r="S2560" s="12" t="inlineStr">
        <is>
          <t>Trench</t>
        </is>
      </c>
      <c r="T2560" s="16" t="n">
        <v>91</v>
      </c>
      <c r="U2560" s="16" t="n">
        <v>226</v>
      </c>
      <c r="V2560" s="16">
        <f>ROUNDUP((T2560+U2560+2*'Read Me'!$B$13)*(1+'Read Me'!$B$12),-1)</f>
        <v/>
      </c>
      <c r="W2560" s="16">
        <f>V2560*N2560*O2560</f>
        <v/>
      </c>
      <c r="X2560" s="12">
        <f>IF(LEFT(I2560,2)="MV",2*N2560*IF(L2560="1/C",O2560,1),0)</f>
        <v/>
      </c>
      <c r="Y2560" s="12">
        <f>IF(OR(LEFT(K2560,4)="LVAX",LEFT(K2560,6)="MV15AX",LEFT(K2560,4)="CTAX",LEFT(K2560,2)="W|"),2*N2560*O2560,0)</f>
        <v/>
      </c>
      <c r="Z2560" s="12" t="inlineStr"/>
      <c r="AA2560" s="12">
        <f>N2560*O2560</f>
        <v/>
      </c>
    </row>
    <row r="2561">
      <c r="A2561" s="12" t="inlineStr">
        <is>
          <t>C-I-0077</t>
        </is>
      </c>
      <c r="B2561" s="12" t="inlineStr">
        <is>
          <t>C</t>
        </is>
      </c>
      <c r="C2561" s="12" t="inlineStr">
        <is>
          <t>Grid interface</t>
        </is>
      </c>
      <c r="D2561" s="12" t="inlineStr">
        <is>
          <t>Discrete device to JB JB-Line-2-DI01: 4 x 1 pr (field cables)</t>
        </is>
      </c>
      <c r="E2561" s="12" t="inlineStr">
        <is>
          <t>Line-2</t>
        </is>
      </c>
      <c r="F2561" s="12" t="inlineStr">
        <is>
          <t>Line 2 230 kV terminal tower</t>
        </is>
      </c>
      <c r="G2561" s="12" t="inlineStr">
        <is>
          <t>JB-Line-2-DI01</t>
        </is>
      </c>
      <c r="H2561" s="12" t="inlineStr">
        <is>
          <t>Line 2 230 kV terminal tower</t>
        </is>
      </c>
      <c r="I2561" s="12" t="inlineStr">
        <is>
          <t>Instrumentation</t>
        </is>
      </c>
      <c r="J2561" s="12" t="inlineStr">
        <is>
          <t>Instrumentation PLTC / TC-ER 300 V, #18 twisted shielded pairs, overall shield</t>
        </is>
      </c>
      <c r="K2561" s="12" t="inlineStr">
        <is>
          <t>PLTC|1 pr|16</t>
        </is>
      </c>
      <c r="L2561" s="12" t="inlineStr">
        <is>
          <t>1 pr</t>
        </is>
      </c>
      <c r="M2561" s="12" t="inlineStr">
        <is>
          <t>16</t>
        </is>
      </c>
      <c r="N2561" s="12" t="n">
        <v>4</v>
      </c>
      <c r="O2561" s="12" t="n">
        <v>1</v>
      </c>
      <c r="P2561" s="12" t="n"/>
      <c r="Q2561" s="12" t="n"/>
      <c r="R2561" s="12" t="n"/>
      <c r="S2561" s="12" t="inlineStr">
        <is>
          <t>Tray / conduit</t>
        </is>
      </c>
      <c r="T2561" s="16" t="n">
        <v>77</v>
      </c>
      <c r="U2561" s="16" t="n">
        <v>10</v>
      </c>
      <c r="V2561" s="16">
        <f>ROUNDUP((T2561+U2561+2*'Read Me'!$B$13)*(1+'Read Me'!$B$12),-1)</f>
        <v/>
      </c>
      <c r="W2561" s="16">
        <f>V2561*N2561*O2561</f>
        <v/>
      </c>
      <c r="X2561" s="12">
        <f>IF(LEFT(I2561,2)="MV",2*N2561*IF(L2561="1/C",O2561,1),0)</f>
        <v/>
      </c>
      <c r="Y2561" s="12">
        <f>IF(OR(LEFT(K2561,4)="LVAX",LEFT(K2561,6)="MV15AX",LEFT(K2561,4)="CTAX",LEFT(K2561,2)="W|"),2*N2561*O2561,0)</f>
        <v/>
      </c>
      <c r="Z2561" s="12" t="inlineStr">
        <is>
          <t>device-to-JB field wiring, one cable per device</t>
        </is>
      </c>
      <c r="AA2561" s="12">
        <f>N2561*O2561</f>
        <v/>
      </c>
    </row>
    <row r="2562">
      <c r="A2562" s="12" t="inlineStr">
        <is>
          <t>C-I-0078</t>
        </is>
      </c>
      <c r="B2562" s="12" t="inlineStr">
        <is>
          <t>C</t>
        </is>
      </c>
      <c r="C2562" s="12" t="inlineStr">
        <is>
          <t>Grid interface</t>
        </is>
      </c>
      <c r="D2562" s="12" t="inlineStr">
        <is>
          <t>Home run JB-Line-2-DI01 to the control / marshalling room</t>
        </is>
      </c>
      <c r="E2562" s="12" t="inlineStr">
        <is>
          <t>RH</t>
        </is>
      </c>
      <c r="F2562" s="12" t="inlineStr">
        <is>
          <t>RH: switchyard relay / control house (52 x 70 ft)</t>
        </is>
      </c>
      <c r="G2562" s="12" t="inlineStr">
        <is>
          <t>JB-Line-2-DI01</t>
        </is>
      </c>
      <c r="H2562" s="12" t="inlineStr">
        <is>
          <t>Line 2 230 kV terminal tower</t>
        </is>
      </c>
      <c r="I2562" s="12" t="inlineStr">
        <is>
          <t>Instrumentation</t>
        </is>
      </c>
      <c r="J2562" s="12" t="inlineStr">
        <is>
          <t>Instrumentation PLTC / TC-ER 300 V, #18 twisted shielded pairs, overall shield</t>
        </is>
      </c>
      <c r="K2562" s="12" t="inlineStr">
        <is>
          <t>PLTC|24 pr|18</t>
        </is>
      </c>
      <c r="L2562" s="12" t="inlineStr">
        <is>
          <t>24 pr</t>
        </is>
      </c>
      <c r="M2562" s="12" t="inlineStr">
        <is>
          <t>18</t>
        </is>
      </c>
      <c r="N2562" s="12" t="n">
        <v>1</v>
      </c>
      <c r="O2562" s="12" t="n">
        <v>1</v>
      </c>
      <c r="P2562" s="12" t="n"/>
      <c r="Q2562" s="12" t="n"/>
      <c r="R2562" s="12" t="n"/>
      <c r="S2562" s="12" t="inlineStr">
        <is>
          <t>Trench</t>
        </is>
      </c>
      <c r="T2562" s="16" t="n">
        <v>526</v>
      </c>
      <c r="U2562" s="16" t="n">
        <v>86</v>
      </c>
      <c r="V2562" s="16">
        <f>ROUNDUP((T2562+U2562+2*'Read Me'!$B$13)*(1+'Read Me'!$B$12),-1)</f>
        <v/>
      </c>
      <c r="W2562" s="16">
        <f>V2562*N2562*O2562</f>
        <v/>
      </c>
      <c r="X2562" s="12">
        <f>IF(LEFT(I2562,2)="MV",2*N2562*IF(L2562="1/C",O2562,1),0)</f>
        <v/>
      </c>
      <c r="Y2562" s="12">
        <f>IF(OR(LEFT(K2562,4)="LVAX",LEFT(K2562,6)="MV15AX",LEFT(K2562,4)="CTAX",LEFT(K2562,2)="W|"),2*N2562*O2562,0)</f>
        <v/>
      </c>
      <c r="Z2562" s="12" t="inlineStr"/>
      <c r="AA2562" s="12">
        <f>N2562*O2562</f>
        <v/>
      </c>
    </row>
    <row r="2563">
      <c r="A2563" s="12" t="inlineStr">
        <is>
          <t>C-I-0079</t>
        </is>
      </c>
      <c r="B2563" s="12" t="inlineStr">
        <is>
          <t>C</t>
        </is>
      </c>
      <c r="C2563" s="12" t="inlineStr">
        <is>
          <t>Grid interface</t>
        </is>
      </c>
      <c r="D2563" s="12" t="inlineStr">
        <is>
          <t>Discrete device to JB JB-Line 2 entrance: s-DI01: 4 x 1 pr (field cables)</t>
        </is>
      </c>
      <c r="E2563" s="12" t="inlineStr"/>
      <c r="F2563" s="12" t="inlineStr">
        <is>
          <t>Line 2 entrance: surge arresters, CCVTs and line traps</t>
        </is>
      </c>
      <c r="G2563" s="12" t="inlineStr">
        <is>
          <t>JB-Line 2 entrance: s-DI01</t>
        </is>
      </c>
      <c r="H2563" s="12" t="inlineStr">
        <is>
          <t>Line 2 entrance: surge arresters, CCVTs and line traps</t>
        </is>
      </c>
      <c r="I2563" s="12" t="inlineStr">
        <is>
          <t>Instrumentation</t>
        </is>
      </c>
      <c r="J2563" s="12" t="inlineStr">
        <is>
          <t>Instrumentation PLTC / TC-ER 300 V, #18 twisted shielded pairs, overall shield</t>
        </is>
      </c>
      <c r="K2563" s="12" t="inlineStr">
        <is>
          <t>PLTC|1 pr|16</t>
        </is>
      </c>
      <c r="L2563" s="12" t="inlineStr">
        <is>
          <t>1 pr</t>
        </is>
      </c>
      <c r="M2563" s="12" t="inlineStr">
        <is>
          <t>16</t>
        </is>
      </c>
      <c r="N2563" s="12" t="n">
        <v>4</v>
      </c>
      <c r="O2563" s="12" t="n">
        <v>1</v>
      </c>
      <c r="P2563" s="12" t="n"/>
      <c r="Q2563" s="12" t="n"/>
      <c r="R2563" s="12" t="n"/>
      <c r="S2563" s="12" t="inlineStr">
        <is>
          <t>Tray / conduit</t>
        </is>
      </c>
      <c r="T2563" s="16" t="n">
        <v>55</v>
      </c>
      <c r="U2563" s="16" t="n">
        <v>10</v>
      </c>
      <c r="V2563" s="16">
        <f>ROUNDUP((T2563+U2563+2*'Read Me'!$B$13)*(1+'Read Me'!$B$12),-1)</f>
        <v/>
      </c>
      <c r="W2563" s="16">
        <f>V2563*N2563*O2563</f>
        <v/>
      </c>
      <c r="X2563" s="12">
        <f>IF(LEFT(I2563,2)="MV",2*N2563*IF(L2563="1/C",O2563,1),0)</f>
        <v/>
      </c>
      <c r="Y2563" s="12">
        <f>IF(OR(LEFT(K2563,4)="LVAX",LEFT(K2563,6)="MV15AX",LEFT(K2563,4)="CTAX",LEFT(K2563,2)="W|"),2*N2563*O2563,0)</f>
        <v/>
      </c>
      <c r="Z2563" s="12" t="inlineStr">
        <is>
          <t>device-to-JB field wiring, one cable per device</t>
        </is>
      </c>
      <c r="AA2563" s="12">
        <f>N2563*O2563</f>
        <v/>
      </c>
    </row>
    <row r="2564">
      <c r="A2564" s="12" t="inlineStr">
        <is>
          <t>C-I-0080</t>
        </is>
      </c>
      <c r="B2564" s="12" t="inlineStr">
        <is>
          <t>C</t>
        </is>
      </c>
      <c r="C2564" s="12" t="inlineStr">
        <is>
          <t>Grid interface</t>
        </is>
      </c>
      <c r="D2564" s="12" t="inlineStr">
        <is>
          <t>Home run JB-Line 2 entrance: s-DI01 to the control / marshalling room</t>
        </is>
      </c>
      <c r="E2564" s="12" t="inlineStr">
        <is>
          <t>RH</t>
        </is>
      </c>
      <c r="F2564" s="12" t="inlineStr">
        <is>
          <t>RH: switchyard relay / control house (52 x 70 ft)</t>
        </is>
      </c>
      <c r="G2564" s="12" t="inlineStr">
        <is>
          <t>JB-Line 2 entrance: s-DI01</t>
        </is>
      </c>
      <c r="H2564" s="12" t="inlineStr">
        <is>
          <t>Line 2 entrance: surge arresters, CCVTs and line traps</t>
        </is>
      </c>
      <c r="I2564" s="12" t="inlineStr">
        <is>
          <t>Instrumentation</t>
        </is>
      </c>
      <c r="J2564" s="12" t="inlineStr">
        <is>
          <t>Instrumentation PLTC / TC-ER 300 V, #18 twisted shielded pairs, overall shield</t>
        </is>
      </c>
      <c r="K2564" s="12" t="inlineStr">
        <is>
          <t>PLTC|24 pr|18</t>
        </is>
      </c>
      <c r="L2564" s="12" t="inlineStr">
        <is>
          <t>24 pr</t>
        </is>
      </c>
      <c r="M2564" s="12" t="inlineStr">
        <is>
          <t>18</t>
        </is>
      </c>
      <c r="N2564" s="12" t="n">
        <v>1</v>
      </c>
      <c r="O2564" s="12" t="n">
        <v>1</v>
      </c>
      <c r="P2564" s="12" t="n"/>
      <c r="Q2564" s="12" t="n"/>
      <c r="R2564" s="12" t="n"/>
      <c r="S2564" s="12" t="inlineStr">
        <is>
          <t>Trench</t>
        </is>
      </c>
      <c r="T2564" s="16" t="n">
        <v>474</v>
      </c>
      <c r="U2564" s="16" t="n">
        <v>78</v>
      </c>
      <c r="V2564" s="16">
        <f>ROUNDUP((T2564+U2564+2*'Read Me'!$B$13)*(1+'Read Me'!$B$12),-1)</f>
        <v/>
      </c>
      <c r="W2564" s="16">
        <f>V2564*N2564*O2564</f>
        <v/>
      </c>
      <c r="X2564" s="12">
        <f>IF(LEFT(I2564,2)="MV",2*N2564*IF(L2564="1/C",O2564,1),0)</f>
        <v/>
      </c>
      <c r="Y2564" s="12">
        <f>IF(OR(LEFT(K2564,4)="LVAX",LEFT(K2564,6)="MV15AX",LEFT(K2564,4)="CTAX",LEFT(K2564,2)="W|"),2*N2564*O2564,0)</f>
        <v/>
      </c>
      <c r="Z2564" s="12" t="inlineStr"/>
      <c r="AA2564" s="12">
        <f>N2564*O2564</f>
        <v/>
      </c>
    </row>
    <row r="2565">
      <c r="A2565" s="12" t="inlineStr">
        <is>
          <t>C-P-0001</t>
        </is>
      </c>
      <c r="B2565" s="12" t="inlineStr">
        <is>
          <t>C</t>
        </is>
      </c>
      <c r="C2565" s="12" t="inlineStr">
        <is>
          <t>Grid interface</t>
        </is>
      </c>
      <c r="D2565" s="12" t="inlineStr">
        <is>
          <t>Yard lighting circuit 1 (10 floodlights)</t>
        </is>
      </c>
      <c r="E2565" s="12" t="inlineStr">
        <is>
          <t>RH</t>
        </is>
      </c>
      <c r="F2565" s="12" t="inlineStr">
        <is>
          <t>RH: switchyard relay / control house (52 x 70 ft)</t>
        </is>
      </c>
      <c r="G2565" s="12" t="inlineStr"/>
      <c r="H2565" s="12" t="inlineStr">
        <is>
          <t>230 kV switchyard (gravel)</t>
        </is>
      </c>
      <c r="I2565" s="12" t="inlineStr">
        <is>
          <t>LV 600 V</t>
        </is>
      </c>
      <c r="J2565" s="12" t="inlineStr">
        <is>
          <t>Type TC-ER 600 V 3/C Cu XHHW-2 + ground, PVC jacket</t>
        </is>
      </c>
      <c r="K2565" s="12" t="inlineStr">
        <is>
          <t>LV|3/C+G|8</t>
        </is>
      </c>
      <c r="L2565" s="12" t="inlineStr">
        <is>
          <t>3/C+G</t>
        </is>
      </c>
      <c r="M2565" s="12" t="inlineStr">
        <is>
          <t>8</t>
        </is>
      </c>
      <c r="N2565" s="12" t="n">
        <v>1</v>
      </c>
      <c r="O2565" s="12" t="n">
        <v>1</v>
      </c>
      <c r="P2565" s="12" t="n">
        <v>480</v>
      </c>
      <c r="Q2565" s="12" t="n">
        <v>4</v>
      </c>
      <c r="R2565" s="12" t="n">
        <v>6</v>
      </c>
      <c r="S2565" s="12" t="inlineStr">
        <is>
          <t>Buried</t>
        </is>
      </c>
      <c r="T2565" s="16" t="n">
        <v>900</v>
      </c>
      <c r="U2565" s="16" t="n">
        <v>30</v>
      </c>
      <c r="V2565" s="16">
        <f>ROUNDUP((T2565+U2565+2*'Read Me'!$B$13)*(1+'Read Me'!$B$12),-1)</f>
        <v/>
      </c>
      <c r="W2565" s="16">
        <f>V2565*N2565*O2565</f>
        <v/>
      </c>
      <c r="X2565" s="12">
        <f>IF(LEFT(I2565,2)="MV",2*N2565*IF(L2565="1/C",O2565,1),0)</f>
        <v/>
      </c>
      <c r="Y2565" s="12">
        <f>IF(OR(LEFT(K2565,4)="LVAX",LEFT(K2565,6)="MV15AX",LEFT(K2565,4)="CTAX",LEFT(K2565,2)="W|"),2*N2565*O2565,0)</f>
        <v/>
      </c>
      <c r="Z2565" s="12" t="inlineStr">
        <is>
          <t>pole to pole, buried</t>
        </is>
      </c>
      <c r="AA2565" s="12">
        <f>N2565*O2565</f>
        <v/>
      </c>
    </row>
    <row r="2566">
      <c r="A2566" s="12" t="inlineStr">
        <is>
          <t>C-P-0002</t>
        </is>
      </c>
      <c r="B2566" s="12" t="inlineStr">
        <is>
          <t>C</t>
        </is>
      </c>
      <c r="C2566" s="12" t="inlineStr">
        <is>
          <t>Grid interface</t>
        </is>
      </c>
      <c r="D2566" s="12" t="inlineStr">
        <is>
          <t>Yard lighting circuit 2 (10 floodlights)</t>
        </is>
      </c>
      <c r="E2566" s="12" t="inlineStr">
        <is>
          <t>RH</t>
        </is>
      </c>
      <c r="F2566" s="12" t="inlineStr">
        <is>
          <t>RH: switchyard relay / control house (52 x 70 ft)</t>
        </is>
      </c>
      <c r="G2566" s="12" t="inlineStr"/>
      <c r="H2566" s="12" t="inlineStr">
        <is>
          <t>230 kV switchyard (gravel)</t>
        </is>
      </c>
      <c r="I2566" s="12" t="inlineStr">
        <is>
          <t>LV 600 V</t>
        </is>
      </c>
      <c r="J2566" s="12" t="inlineStr">
        <is>
          <t>Type TC-ER 600 V 3/C Cu XHHW-2 + ground, PVC jacket</t>
        </is>
      </c>
      <c r="K2566" s="12" t="inlineStr">
        <is>
          <t>LV|3/C+G|8</t>
        </is>
      </c>
      <c r="L2566" s="12" t="inlineStr">
        <is>
          <t>3/C+G</t>
        </is>
      </c>
      <c r="M2566" s="12" t="inlineStr">
        <is>
          <t>8</t>
        </is>
      </c>
      <c r="N2566" s="12" t="n">
        <v>1</v>
      </c>
      <c r="O2566" s="12" t="n">
        <v>1</v>
      </c>
      <c r="P2566" s="12" t="n">
        <v>480</v>
      </c>
      <c r="Q2566" s="12" t="n">
        <v>4</v>
      </c>
      <c r="R2566" s="12" t="n">
        <v>6</v>
      </c>
      <c r="S2566" s="12" t="inlineStr">
        <is>
          <t>Buried</t>
        </is>
      </c>
      <c r="T2566" s="16" t="n">
        <v>900</v>
      </c>
      <c r="U2566" s="16" t="n">
        <v>30</v>
      </c>
      <c r="V2566" s="16">
        <f>ROUNDUP((T2566+U2566+2*'Read Me'!$B$13)*(1+'Read Me'!$B$12),-1)</f>
        <v/>
      </c>
      <c r="W2566" s="16">
        <f>V2566*N2566*O2566</f>
        <v/>
      </c>
      <c r="X2566" s="12">
        <f>IF(LEFT(I2566,2)="MV",2*N2566*IF(L2566="1/C",O2566,1),0)</f>
        <v/>
      </c>
      <c r="Y2566" s="12">
        <f>IF(OR(LEFT(K2566,4)="LVAX",LEFT(K2566,6)="MV15AX",LEFT(K2566,4)="CTAX",LEFT(K2566,2)="W|"),2*N2566*O2566,0)</f>
        <v/>
      </c>
      <c r="Z2566" s="12" t="inlineStr">
        <is>
          <t>pole to pole, buried</t>
        </is>
      </c>
      <c r="AA2566" s="12">
        <f>N2566*O2566</f>
        <v/>
      </c>
    </row>
    <row r="2567">
      <c r="A2567" s="12" t="inlineStr">
        <is>
          <t>C-P-0003</t>
        </is>
      </c>
      <c r="B2567" s="12" t="inlineStr">
        <is>
          <t>C</t>
        </is>
      </c>
      <c r="C2567" s="12" t="inlineStr">
        <is>
          <t>Grid interface</t>
        </is>
      </c>
      <c r="D2567" s="12" t="inlineStr">
        <is>
          <t>Yard lighting circuit 3 (10 floodlights)</t>
        </is>
      </c>
      <c r="E2567" s="12" t="inlineStr">
        <is>
          <t>RH</t>
        </is>
      </c>
      <c r="F2567" s="12" t="inlineStr">
        <is>
          <t>RH: switchyard relay / control house (52 x 70 ft)</t>
        </is>
      </c>
      <c r="G2567" s="12" t="inlineStr"/>
      <c r="H2567" s="12" t="inlineStr">
        <is>
          <t>230 kV switchyard (gravel)</t>
        </is>
      </c>
      <c r="I2567" s="12" t="inlineStr">
        <is>
          <t>LV 600 V</t>
        </is>
      </c>
      <c r="J2567" s="12" t="inlineStr">
        <is>
          <t>Type TC-ER 600 V 3/C Cu XHHW-2 + ground, PVC jacket</t>
        </is>
      </c>
      <c r="K2567" s="12" t="inlineStr">
        <is>
          <t>LV|3/C+G|8</t>
        </is>
      </c>
      <c r="L2567" s="12" t="inlineStr">
        <is>
          <t>3/C+G</t>
        </is>
      </c>
      <c r="M2567" s="12" t="inlineStr">
        <is>
          <t>8</t>
        </is>
      </c>
      <c r="N2567" s="12" t="n">
        <v>1</v>
      </c>
      <c r="O2567" s="12" t="n">
        <v>1</v>
      </c>
      <c r="P2567" s="12" t="n">
        <v>480</v>
      </c>
      <c r="Q2567" s="12" t="n">
        <v>4</v>
      </c>
      <c r="R2567" s="12" t="n">
        <v>6</v>
      </c>
      <c r="S2567" s="12" t="inlineStr">
        <is>
          <t>Buried</t>
        </is>
      </c>
      <c r="T2567" s="16" t="n">
        <v>900</v>
      </c>
      <c r="U2567" s="16" t="n">
        <v>30</v>
      </c>
      <c r="V2567" s="16">
        <f>ROUNDUP((T2567+U2567+2*'Read Me'!$B$13)*(1+'Read Me'!$B$12),-1)</f>
        <v/>
      </c>
      <c r="W2567" s="16">
        <f>V2567*N2567*O2567</f>
        <v/>
      </c>
      <c r="X2567" s="12">
        <f>IF(LEFT(I2567,2)="MV",2*N2567*IF(L2567="1/C",O2567,1),0)</f>
        <v/>
      </c>
      <c r="Y2567" s="12">
        <f>IF(OR(LEFT(K2567,4)="LVAX",LEFT(K2567,6)="MV15AX",LEFT(K2567,4)="CTAX",LEFT(K2567,2)="W|"),2*N2567*O2567,0)</f>
        <v/>
      </c>
      <c r="Z2567" s="12" t="inlineStr">
        <is>
          <t>pole to pole, buried</t>
        </is>
      </c>
      <c r="AA2567" s="12">
        <f>N2567*O2567</f>
        <v/>
      </c>
    </row>
    <row r="2568">
      <c r="A2568" s="12" t="inlineStr">
        <is>
          <t>C-P-0004</t>
        </is>
      </c>
      <c r="B2568" s="12" t="inlineStr">
        <is>
          <t>C</t>
        </is>
      </c>
      <c r="C2568" s="12" t="inlineStr">
        <is>
          <t>Grid interface</t>
        </is>
      </c>
      <c r="D2568" s="12" t="inlineStr">
        <is>
          <t>Yard lighting circuit 4 (10 floodlights)</t>
        </is>
      </c>
      <c r="E2568" s="12" t="inlineStr">
        <is>
          <t>RH</t>
        </is>
      </c>
      <c r="F2568" s="12" t="inlineStr">
        <is>
          <t>RH: switchyard relay / control house (52 x 70 ft)</t>
        </is>
      </c>
      <c r="G2568" s="12" t="inlineStr"/>
      <c r="H2568" s="12" t="inlineStr">
        <is>
          <t>230 kV switchyard (gravel)</t>
        </is>
      </c>
      <c r="I2568" s="12" t="inlineStr">
        <is>
          <t>LV 600 V</t>
        </is>
      </c>
      <c r="J2568" s="12" t="inlineStr">
        <is>
          <t>Type TC-ER 600 V 3/C Cu XHHW-2 + ground, PVC jacket</t>
        </is>
      </c>
      <c r="K2568" s="12" t="inlineStr">
        <is>
          <t>LV|3/C+G|8</t>
        </is>
      </c>
      <c r="L2568" s="12" t="inlineStr">
        <is>
          <t>3/C+G</t>
        </is>
      </c>
      <c r="M2568" s="12" t="inlineStr">
        <is>
          <t>8</t>
        </is>
      </c>
      <c r="N2568" s="12" t="n">
        <v>1</v>
      </c>
      <c r="O2568" s="12" t="n">
        <v>1</v>
      </c>
      <c r="P2568" s="12" t="n">
        <v>480</v>
      </c>
      <c r="Q2568" s="12" t="n">
        <v>4</v>
      </c>
      <c r="R2568" s="12" t="n">
        <v>6</v>
      </c>
      <c r="S2568" s="12" t="inlineStr">
        <is>
          <t>Buried</t>
        </is>
      </c>
      <c r="T2568" s="16" t="n">
        <v>900</v>
      </c>
      <c r="U2568" s="16" t="n">
        <v>30</v>
      </c>
      <c r="V2568" s="16">
        <f>ROUNDUP((T2568+U2568+2*'Read Me'!$B$13)*(1+'Read Me'!$B$12),-1)</f>
        <v/>
      </c>
      <c r="W2568" s="16">
        <f>V2568*N2568*O2568</f>
        <v/>
      </c>
      <c r="X2568" s="12">
        <f>IF(LEFT(I2568,2)="MV",2*N2568*IF(L2568="1/C",O2568,1),0)</f>
        <v/>
      </c>
      <c r="Y2568" s="12">
        <f>IF(OR(LEFT(K2568,4)="LVAX",LEFT(K2568,6)="MV15AX",LEFT(K2568,4)="CTAX",LEFT(K2568,2)="W|"),2*N2568*O2568,0)</f>
        <v/>
      </c>
      <c r="Z2568" s="12" t="inlineStr">
        <is>
          <t>pole to pole, buried</t>
        </is>
      </c>
      <c r="AA2568" s="12">
        <f>N2568*O2568</f>
        <v/>
      </c>
    </row>
    <row r="2569">
      <c r="A2569" s="12" t="inlineStr">
        <is>
          <t>C-P-0005</t>
        </is>
      </c>
      <c r="B2569" s="12" t="inlineStr">
        <is>
          <t>C</t>
        </is>
      </c>
      <c r="C2569" s="12" t="inlineStr">
        <is>
          <t>Grid interface</t>
        </is>
      </c>
      <c r="D2569" s="12" t="inlineStr">
        <is>
          <t>LV panel / distribution feeder</t>
        </is>
      </c>
      <c r="E2569" s="12" t="inlineStr">
        <is>
          <t>RH</t>
        </is>
      </c>
      <c r="F2569" s="12" t="inlineStr">
        <is>
          <t>RH: switchyard relay / control house (52 x 70 ft)</t>
        </is>
      </c>
      <c r="G2569" s="12" t="inlineStr">
        <is>
          <t>RH</t>
        </is>
      </c>
      <c r="H2569" s="12" t="inlineStr">
        <is>
          <t>RH: switchyard relay / control house (52 x 70 ft)</t>
        </is>
      </c>
      <c r="I2569" s="12" t="inlineStr">
        <is>
          <t>LV 600 V</t>
        </is>
      </c>
      <c r="J2569" s="12" t="inlineStr">
        <is>
          <t>Type TC-ER 600 V 3/C Cu XHHW-2 + ground, PVC jacket</t>
        </is>
      </c>
      <c r="K2569" s="12" t="inlineStr">
        <is>
          <t>LV|3/C+G|4</t>
        </is>
      </c>
      <c r="L2569" s="12" t="inlineStr">
        <is>
          <t>3/C+G</t>
        </is>
      </c>
      <c r="M2569" s="12" t="inlineStr">
        <is>
          <t>4</t>
        </is>
      </c>
      <c r="N2569" s="12" t="n">
        <v>1</v>
      </c>
      <c r="O2569" s="12" t="n">
        <v>1</v>
      </c>
      <c r="P2569" s="12" t="n">
        <v>480</v>
      </c>
      <c r="Q2569" s="12" t="n">
        <v>44</v>
      </c>
      <c r="R2569" s="12" t="n">
        <v>62.3</v>
      </c>
      <c r="S2569" s="12" t="inlineStr">
        <is>
          <t>Tray</t>
        </is>
      </c>
      <c r="T2569" s="16" t="n">
        <v>0</v>
      </c>
      <c r="U2569" s="16" t="n">
        <v>30</v>
      </c>
      <c r="V2569" s="16">
        <f>ROUNDUP((T2569+U2569+2*'Read Me'!$B$13)*(1+'Read Me'!$B$12),-1)</f>
        <v/>
      </c>
      <c r="W2569" s="16">
        <f>V2569*N2569*O2569</f>
        <v/>
      </c>
      <c r="X2569" s="12">
        <f>IF(LEFT(I2569,2)="MV",2*N2569*IF(L2569="1/C",O2569,1),0)</f>
        <v/>
      </c>
      <c r="Y2569" s="12">
        <f>IF(OR(LEFT(K2569,4)="LVAX",LEFT(K2569,6)="MV15AX",LEFT(K2569,4)="CTAX",LEFT(K2569,2)="W|"),2*N2569*O2569,0)</f>
        <v/>
      </c>
      <c r="Z2569" s="12" t="inlineStr">
        <is>
          <t>VD 0.2 %</t>
        </is>
      </c>
      <c r="AA2569" s="12">
        <f>N2569*O2569</f>
        <v/>
      </c>
    </row>
    <row r="2570">
      <c r="A2570" s="12" t="inlineStr">
        <is>
          <t>C-OH-0001</t>
        </is>
      </c>
      <c r="B2570" s="12" t="inlineStr">
        <is>
          <t>C</t>
        </is>
      </c>
      <c r="C2570" s="12" t="inlineStr">
        <is>
          <t>Grid interface</t>
        </is>
      </c>
      <c r="D2570" s="12" t="inlineStr">
        <is>
          <t>230 kV overhead GSU / line conductors</t>
        </is>
      </c>
      <c r="E2570" s="12" t="inlineStr">
        <is>
          <t>OH-1-A</t>
        </is>
      </c>
      <c r="F2570" s="12" t="inlineStr">
        <is>
          <t>230 kV overhead span start</t>
        </is>
      </c>
      <c r="G2570" s="12" t="inlineStr">
        <is>
          <t>OH-1-B</t>
        </is>
      </c>
      <c r="H2570" s="12" t="inlineStr">
        <is>
          <t>230 kV overhead span end</t>
        </is>
      </c>
      <c r="I2570" s="12" t="inlineStr">
        <is>
          <t>Overhead</t>
        </is>
      </c>
      <c r="J2570" s="12" t="inlineStr">
        <is>
          <t>Overhead conductor ACSR 1590 kcmil 'Falcon' (typ.)</t>
        </is>
      </c>
      <c r="K2570" s="12" t="inlineStr">
        <is>
          <t>ACSR|1/C|1590</t>
        </is>
      </c>
      <c r="L2570" s="12" t="inlineStr">
        <is>
          <t>1/C</t>
        </is>
      </c>
      <c r="M2570" s="12" t="inlineStr">
        <is>
          <t>1590 kcmil</t>
        </is>
      </c>
      <c r="N2570" s="12" t="n">
        <v>1</v>
      </c>
      <c r="O2570" s="12" t="n">
        <v>3</v>
      </c>
      <c r="P2570" s="12" t="n">
        <v>230000</v>
      </c>
      <c r="Q2570" s="12" t="n"/>
      <c r="R2570" s="12" t="n"/>
      <c r="S2570" s="12" t="inlineStr">
        <is>
          <t>Overhead</t>
        </is>
      </c>
      <c r="T2570" s="16" t="n">
        <v>115</v>
      </c>
      <c r="U2570" s="16" t="n">
        <v>0</v>
      </c>
      <c r="V2570" s="16">
        <f>ROUNDUP((T2570+U2570+2*'Read Me'!$B$13)*(1+'Read Me'!$B$12),-1)</f>
        <v/>
      </c>
      <c r="W2570" s="16">
        <f>V2570*N2570*O2570</f>
        <v/>
      </c>
      <c r="X2570" s="12">
        <f>IF(LEFT(I2570,2)="MV",2*N2570*IF(L2570="1/C",O2570,1),0)</f>
        <v/>
      </c>
      <c r="Y2570" s="12">
        <f>IF(OR(LEFT(K2570,4)="LVAX",LEFT(K2570,6)="MV15AX",LEFT(K2570,4)="CTAX",LEFT(K2570,2)="W|"),2*N2570*O2570,0)</f>
        <v/>
      </c>
      <c r="Z2570" s="12" t="inlineStr">
        <is>
          <t>plus 3 % sag</t>
        </is>
      </c>
      <c r="AA2570" s="12">
        <f>N2570*O2570</f>
        <v/>
      </c>
    </row>
    <row r="2571">
      <c r="A2571" s="12" t="inlineStr">
        <is>
          <t>C-OH-0002</t>
        </is>
      </c>
      <c r="B2571" s="12" t="inlineStr">
        <is>
          <t>C</t>
        </is>
      </c>
      <c r="C2571" s="12" t="inlineStr">
        <is>
          <t>Grid interface</t>
        </is>
      </c>
      <c r="D2571" s="12" t="inlineStr">
        <is>
          <t>230 kV overhead GSU / line conductors</t>
        </is>
      </c>
      <c r="E2571" s="12" t="inlineStr">
        <is>
          <t>OH-2-A</t>
        </is>
      </c>
      <c r="F2571" s="12" t="inlineStr">
        <is>
          <t>230 kV overhead span start</t>
        </is>
      </c>
      <c r="G2571" s="12" t="inlineStr">
        <is>
          <t>OH-2-B</t>
        </is>
      </c>
      <c r="H2571" s="12" t="inlineStr">
        <is>
          <t>230 kV overhead span end</t>
        </is>
      </c>
      <c r="I2571" s="12" t="inlineStr">
        <is>
          <t>Overhead</t>
        </is>
      </c>
      <c r="J2571" s="12" t="inlineStr">
        <is>
          <t>Overhead conductor ACSR 1590 kcmil 'Falcon' (typ.)</t>
        </is>
      </c>
      <c r="K2571" s="12" t="inlineStr">
        <is>
          <t>ACSR|1/C|1590</t>
        </is>
      </c>
      <c r="L2571" s="12" t="inlineStr">
        <is>
          <t>1/C</t>
        </is>
      </c>
      <c r="M2571" s="12" t="inlineStr">
        <is>
          <t>1590 kcmil</t>
        </is>
      </c>
      <c r="N2571" s="12" t="n">
        <v>1</v>
      </c>
      <c r="O2571" s="12" t="n">
        <v>3</v>
      </c>
      <c r="P2571" s="12" t="n">
        <v>230000</v>
      </c>
      <c r="Q2571" s="12" t="n"/>
      <c r="R2571" s="12" t="n"/>
      <c r="S2571" s="12" t="inlineStr">
        <is>
          <t>Overhead</t>
        </is>
      </c>
      <c r="T2571" s="16" t="n">
        <v>115</v>
      </c>
      <c r="U2571" s="16" t="n">
        <v>0</v>
      </c>
      <c r="V2571" s="16">
        <f>ROUNDUP((T2571+U2571+2*'Read Me'!$B$13)*(1+'Read Me'!$B$12),-1)</f>
        <v/>
      </c>
      <c r="W2571" s="16">
        <f>V2571*N2571*O2571</f>
        <v/>
      </c>
      <c r="X2571" s="12">
        <f>IF(LEFT(I2571,2)="MV",2*N2571*IF(L2571="1/C",O2571,1),0)</f>
        <v/>
      </c>
      <c r="Y2571" s="12">
        <f>IF(OR(LEFT(K2571,4)="LVAX",LEFT(K2571,6)="MV15AX",LEFT(K2571,4)="CTAX",LEFT(K2571,2)="W|"),2*N2571*O2571,0)</f>
        <v/>
      </c>
      <c r="Z2571" s="12" t="inlineStr">
        <is>
          <t>plus 3 % sag</t>
        </is>
      </c>
      <c r="AA2571" s="12">
        <f>N2571*O2571</f>
        <v/>
      </c>
    </row>
    <row r="2572">
      <c r="A2572" s="12" t="inlineStr">
        <is>
          <t>C-OH-0003</t>
        </is>
      </c>
      <c r="B2572" s="12" t="inlineStr">
        <is>
          <t>C</t>
        </is>
      </c>
      <c r="C2572" s="12" t="inlineStr">
        <is>
          <t>Grid interface</t>
        </is>
      </c>
      <c r="D2572" s="12" t="inlineStr">
        <is>
          <t>230 kV overhead GSU / line conductors</t>
        </is>
      </c>
      <c r="E2572" s="12" t="inlineStr">
        <is>
          <t>OH-3-A</t>
        </is>
      </c>
      <c r="F2572" s="12" t="inlineStr">
        <is>
          <t>230 kV overhead span start</t>
        </is>
      </c>
      <c r="G2572" s="12" t="inlineStr">
        <is>
          <t>OH-3-B</t>
        </is>
      </c>
      <c r="H2572" s="12" t="inlineStr">
        <is>
          <t>230 kV overhead span end</t>
        </is>
      </c>
      <c r="I2572" s="12" t="inlineStr">
        <is>
          <t>Overhead</t>
        </is>
      </c>
      <c r="J2572" s="12" t="inlineStr">
        <is>
          <t>Overhead conductor ACSR 1590 kcmil 'Falcon' (typ.)</t>
        </is>
      </c>
      <c r="K2572" s="12" t="inlineStr">
        <is>
          <t>ACSR|1/C|1590</t>
        </is>
      </c>
      <c r="L2572" s="12" t="inlineStr">
        <is>
          <t>1/C</t>
        </is>
      </c>
      <c r="M2572" s="12" t="inlineStr">
        <is>
          <t>1590 kcmil</t>
        </is>
      </c>
      <c r="N2572" s="12" t="n">
        <v>1</v>
      </c>
      <c r="O2572" s="12" t="n">
        <v>3</v>
      </c>
      <c r="P2572" s="12" t="n">
        <v>230000</v>
      </c>
      <c r="Q2572" s="12" t="n"/>
      <c r="R2572" s="12" t="n"/>
      <c r="S2572" s="12" t="inlineStr">
        <is>
          <t>Overhead</t>
        </is>
      </c>
      <c r="T2572" s="16" t="n">
        <v>263</v>
      </c>
      <c r="U2572" s="16" t="n">
        <v>0</v>
      </c>
      <c r="V2572" s="16">
        <f>ROUNDUP((T2572+U2572+2*'Read Me'!$B$13)*(1+'Read Me'!$B$12),-1)</f>
        <v/>
      </c>
      <c r="W2572" s="16">
        <f>V2572*N2572*O2572</f>
        <v/>
      </c>
      <c r="X2572" s="12">
        <f>IF(LEFT(I2572,2)="MV",2*N2572*IF(L2572="1/C",O2572,1),0)</f>
        <v/>
      </c>
      <c r="Y2572" s="12">
        <f>IF(OR(LEFT(K2572,4)="LVAX",LEFT(K2572,6)="MV15AX",LEFT(K2572,4)="CTAX",LEFT(K2572,2)="W|"),2*N2572*O2572,0)</f>
        <v/>
      </c>
      <c r="Z2572" s="12" t="inlineStr">
        <is>
          <t>plus 3 % sag</t>
        </is>
      </c>
      <c r="AA2572" s="12">
        <f>N2572*O2572</f>
        <v/>
      </c>
    </row>
    <row r="2573">
      <c r="A2573" s="12" t="inlineStr">
        <is>
          <t>C-OH-0004</t>
        </is>
      </c>
      <c r="B2573" s="12" t="inlineStr">
        <is>
          <t>C</t>
        </is>
      </c>
      <c r="C2573" s="12" t="inlineStr">
        <is>
          <t>Grid interface</t>
        </is>
      </c>
      <c r="D2573" s="12" t="inlineStr">
        <is>
          <t>230 kV overhead GSU / line conductors</t>
        </is>
      </c>
      <c r="E2573" s="12" t="inlineStr">
        <is>
          <t>OH-4-A</t>
        </is>
      </c>
      <c r="F2573" s="12" t="inlineStr">
        <is>
          <t>230 kV overhead span start</t>
        </is>
      </c>
      <c r="G2573" s="12" t="inlineStr">
        <is>
          <t>OH-4-B</t>
        </is>
      </c>
      <c r="H2573" s="12" t="inlineStr">
        <is>
          <t>230 kV overhead span end</t>
        </is>
      </c>
      <c r="I2573" s="12" t="inlineStr">
        <is>
          <t>Overhead</t>
        </is>
      </c>
      <c r="J2573" s="12" t="inlineStr">
        <is>
          <t>Overhead conductor ACSR 1590 kcmil 'Falcon' (typ.)</t>
        </is>
      </c>
      <c r="K2573" s="12" t="inlineStr">
        <is>
          <t>ACSR|1/C|1590</t>
        </is>
      </c>
      <c r="L2573" s="12" t="inlineStr">
        <is>
          <t>1/C</t>
        </is>
      </c>
      <c r="M2573" s="12" t="inlineStr">
        <is>
          <t>1590 kcmil</t>
        </is>
      </c>
      <c r="N2573" s="12" t="n">
        <v>1</v>
      </c>
      <c r="O2573" s="12" t="n">
        <v>3</v>
      </c>
      <c r="P2573" s="12" t="n">
        <v>230000</v>
      </c>
      <c r="Q2573" s="12" t="n"/>
      <c r="R2573" s="12" t="n"/>
      <c r="S2573" s="12" t="inlineStr">
        <is>
          <t>Overhead</t>
        </is>
      </c>
      <c r="T2573" s="16" t="n">
        <v>304</v>
      </c>
      <c r="U2573" s="16" t="n">
        <v>0</v>
      </c>
      <c r="V2573" s="16">
        <f>ROUNDUP((T2573+U2573+2*'Read Me'!$B$13)*(1+'Read Me'!$B$12),-1)</f>
        <v/>
      </c>
      <c r="W2573" s="16">
        <f>V2573*N2573*O2573</f>
        <v/>
      </c>
      <c r="X2573" s="12">
        <f>IF(LEFT(I2573,2)="MV",2*N2573*IF(L2573="1/C",O2573,1),0)</f>
        <v/>
      </c>
      <c r="Y2573" s="12">
        <f>IF(OR(LEFT(K2573,4)="LVAX",LEFT(K2573,6)="MV15AX",LEFT(K2573,4)="CTAX",LEFT(K2573,2)="W|"),2*N2573*O2573,0)</f>
        <v/>
      </c>
      <c r="Z2573" s="12" t="inlineStr">
        <is>
          <t>plus 3 % sag</t>
        </is>
      </c>
      <c r="AA2573" s="12">
        <f>N2573*O2573</f>
        <v/>
      </c>
    </row>
    <row r="2574">
      <c r="A2574" s="12" t="inlineStr">
        <is>
          <t>C-OH-0005</t>
        </is>
      </c>
      <c r="B2574" s="12" t="inlineStr">
        <is>
          <t>C</t>
        </is>
      </c>
      <c r="C2574" s="12" t="inlineStr">
        <is>
          <t>Grid interface</t>
        </is>
      </c>
      <c r="D2574" s="12" t="inlineStr">
        <is>
          <t>230 kV overhead GSU / line conductors</t>
        </is>
      </c>
      <c r="E2574" s="12" t="inlineStr">
        <is>
          <t>OH-5-A</t>
        </is>
      </c>
      <c r="F2574" s="12" t="inlineStr">
        <is>
          <t>230 kV overhead span start</t>
        </is>
      </c>
      <c r="G2574" s="12" t="inlineStr">
        <is>
          <t>OH-5-B</t>
        </is>
      </c>
      <c r="H2574" s="12" t="inlineStr">
        <is>
          <t>230 kV overhead span end</t>
        </is>
      </c>
      <c r="I2574" s="12" t="inlineStr">
        <is>
          <t>Overhead</t>
        </is>
      </c>
      <c r="J2574" s="12" t="inlineStr">
        <is>
          <t>Overhead conductor ACSR 1590 kcmil 'Falcon' (typ.)</t>
        </is>
      </c>
      <c r="K2574" s="12" t="inlineStr">
        <is>
          <t>ACSR|1/C|1590</t>
        </is>
      </c>
      <c r="L2574" s="12" t="inlineStr">
        <is>
          <t>1/C</t>
        </is>
      </c>
      <c r="M2574" s="12" t="inlineStr">
        <is>
          <t>1590 kcmil</t>
        </is>
      </c>
      <c r="N2574" s="12" t="n">
        <v>1</v>
      </c>
      <c r="O2574" s="12" t="n">
        <v>3</v>
      </c>
      <c r="P2574" s="12" t="n">
        <v>230000</v>
      </c>
      <c r="Q2574" s="12" t="n"/>
      <c r="R2574" s="12" t="n"/>
      <c r="S2574" s="12" t="inlineStr">
        <is>
          <t>Overhead</t>
        </is>
      </c>
      <c r="T2574" s="16" t="n">
        <v>324</v>
      </c>
      <c r="U2574" s="16" t="n">
        <v>0</v>
      </c>
      <c r="V2574" s="16">
        <f>ROUNDUP((T2574+U2574+2*'Read Me'!$B$13)*(1+'Read Me'!$B$12),-1)</f>
        <v/>
      </c>
      <c r="W2574" s="16">
        <f>V2574*N2574*O2574</f>
        <v/>
      </c>
      <c r="X2574" s="12">
        <f>IF(LEFT(I2574,2)="MV",2*N2574*IF(L2574="1/C",O2574,1),0)</f>
        <v/>
      </c>
      <c r="Y2574" s="12">
        <f>IF(OR(LEFT(K2574,4)="LVAX",LEFT(K2574,6)="MV15AX",LEFT(K2574,4)="CTAX",LEFT(K2574,2)="W|"),2*N2574*O2574,0)</f>
        <v/>
      </c>
      <c r="Z2574" s="12" t="inlineStr">
        <is>
          <t>plus 3 % sag</t>
        </is>
      </c>
      <c r="AA2574" s="12">
        <f>N2574*O2574</f>
        <v/>
      </c>
    </row>
    <row r="2575">
      <c r="A2575" s="12" t="inlineStr">
        <is>
          <t>C-OH-0006</t>
        </is>
      </c>
      <c r="B2575" s="12" t="inlineStr">
        <is>
          <t>C</t>
        </is>
      </c>
      <c r="C2575" s="12" t="inlineStr">
        <is>
          <t>Grid interface</t>
        </is>
      </c>
      <c r="D2575" s="12" t="inlineStr">
        <is>
          <t>230 kV overhead GSU / line conductors</t>
        </is>
      </c>
      <c r="E2575" s="12" t="inlineStr">
        <is>
          <t>OH-6-A</t>
        </is>
      </c>
      <c r="F2575" s="12" t="inlineStr">
        <is>
          <t>230 kV overhead span start</t>
        </is>
      </c>
      <c r="G2575" s="12" t="inlineStr">
        <is>
          <t>OH-6-B</t>
        </is>
      </c>
      <c r="H2575" s="12" t="inlineStr">
        <is>
          <t>230 kV overhead span end</t>
        </is>
      </c>
      <c r="I2575" s="12" t="inlineStr">
        <is>
          <t>Overhead</t>
        </is>
      </c>
      <c r="J2575" s="12" t="inlineStr">
        <is>
          <t>Overhead conductor ACSR 1590 kcmil 'Falcon' (typ.)</t>
        </is>
      </c>
      <c r="K2575" s="12" t="inlineStr">
        <is>
          <t>ACSR|1/C|1590</t>
        </is>
      </c>
      <c r="L2575" s="12" t="inlineStr">
        <is>
          <t>1/C</t>
        </is>
      </c>
      <c r="M2575" s="12" t="inlineStr">
        <is>
          <t>1590 kcmil</t>
        </is>
      </c>
      <c r="N2575" s="12" t="n">
        <v>1</v>
      </c>
      <c r="O2575" s="12" t="n">
        <v>3</v>
      </c>
      <c r="P2575" s="12" t="n">
        <v>230000</v>
      </c>
      <c r="Q2575" s="12" t="n"/>
      <c r="R2575" s="12" t="n"/>
      <c r="S2575" s="12" t="inlineStr">
        <is>
          <t>Overhead</t>
        </is>
      </c>
      <c r="T2575" s="16" t="n">
        <v>236</v>
      </c>
      <c r="U2575" s="16" t="n">
        <v>0</v>
      </c>
      <c r="V2575" s="16">
        <f>ROUNDUP((T2575+U2575+2*'Read Me'!$B$13)*(1+'Read Me'!$B$12),-1)</f>
        <v/>
      </c>
      <c r="W2575" s="16">
        <f>V2575*N2575*O2575</f>
        <v/>
      </c>
      <c r="X2575" s="12">
        <f>IF(LEFT(I2575,2)="MV",2*N2575*IF(L2575="1/C",O2575,1),0)</f>
        <v/>
      </c>
      <c r="Y2575" s="12">
        <f>IF(OR(LEFT(K2575,4)="LVAX",LEFT(K2575,6)="MV15AX",LEFT(K2575,4)="CTAX",LEFT(K2575,2)="W|"),2*N2575*O2575,0)</f>
        <v/>
      </c>
      <c r="Z2575" s="12" t="inlineStr">
        <is>
          <t>plus 3 % sag</t>
        </is>
      </c>
      <c r="AA2575" s="12">
        <f>N2575*O2575</f>
        <v/>
      </c>
    </row>
    <row r="2576">
      <c r="A2576" s="12" t="inlineStr">
        <is>
          <t>C-OH-0007</t>
        </is>
      </c>
      <c r="B2576" s="12" t="inlineStr">
        <is>
          <t>C</t>
        </is>
      </c>
      <c r="C2576" s="12" t="inlineStr">
        <is>
          <t>Grid interface</t>
        </is>
      </c>
      <c r="D2576" s="12" t="inlineStr">
        <is>
          <t>230 kV overhead H-MOD tie conductors</t>
        </is>
      </c>
      <c r="E2576" s="12" t="inlineStr">
        <is>
          <t>OH-7-A</t>
        </is>
      </c>
      <c r="F2576" s="12" t="inlineStr">
        <is>
          <t>230 kV overhead span start</t>
        </is>
      </c>
      <c r="G2576" s="12" t="inlineStr">
        <is>
          <t>OH-7-B</t>
        </is>
      </c>
      <c r="H2576" s="12" t="inlineStr">
        <is>
          <t>230 kV overhead span end</t>
        </is>
      </c>
      <c r="I2576" s="12" t="inlineStr">
        <is>
          <t>Overhead</t>
        </is>
      </c>
      <c r="J2576" s="12" t="inlineStr">
        <is>
          <t>Overhead conductor ACSR 1590 kcmil 'Falcon' (typ.)</t>
        </is>
      </c>
      <c r="K2576" s="12" t="inlineStr">
        <is>
          <t>ACSR|1/C|1590</t>
        </is>
      </c>
      <c r="L2576" s="12" t="inlineStr">
        <is>
          <t>1/C</t>
        </is>
      </c>
      <c r="M2576" s="12" t="inlineStr">
        <is>
          <t>1590 kcmil</t>
        </is>
      </c>
      <c r="N2576" s="12" t="n">
        <v>1</v>
      </c>
      <c r="O2576" s="12" t="n">
        <v>3</v>
      </c>
      <c r="P2576" s="12" t="n">
        <v>230000</v>
      </c>
      <c r="Q2576" s="12" t="n"/>
      <c r="R2576" s="12" t="n"/>
      <c r="S2576" s="12" t="inlineStr">
        <is>
          <t>Overhead</t>
        </is>
      </c>
      <c r="T2576" s="16" t="n">
        <v>1544</v>
      </c>
      <c r="U2576" s="16" t="n">
        <v>0</v>
      </c>
      <c r="V2576" s="16">
        <f>ROUNDUP((T2576+U2576+2*'Read Me'!$B$13)*(1+'Read Me'!$B$12),-1)</f>
        <v/>
      </c>
      <c r="W2576" s="16">
        <f>V2576*N2576*O2576</f>
        <v/>
      </c>
      <c r="X2576" s="12">
        <f>IF(LEFT(I2576,2)="MV",2*N2576*IF(L2576="1/C",O2576,1),0)</f>
        <v/>
      </c>
      <c r="Y2576" s="12">
        <f>IF(OR(LEFT(K2576,4)="LVAX",LEFT(K2576,6)="MV15AX",LEFT(K2576,4)="CTAX",LEFT(K2576,2)="W|"),2*N2576*O2576,0)</f>
        <v/>
      </c>
      <c r="Z2576" s="12" t="inlineStr">
        <is>
          <t>plus 3 % sag</t>
        </is>
      </c>
      <c r="AA2576" s="12">
        <f>N2576*O2576</f>
        <v/>
      </c>
    </row>
    <row r="2577">
      <c r="A2577" s="12" t="inlineStr">
        <is>
          <t>D-C-0001</t>
        </is>
      </c>
      <c r="B2577" s="12" t="inlineStr">
        <is>
          <t>D</t>
        </is>
      </c>
      <c r="C2577" s="12" t="inlineStr">
        <is>
          <t>Fuel gas</t>
        </is>
      </c>
      <c r="D2577" s="12" t="inlineStr">
        <is>
          <t>Control</t>
        </is>
      </c>
      <c r="E2577" s="12" t="inlineStr"/>
      <c r="F2577" s="12" t="inlineStr">
        <is>
          <t>Gas yard local control enclosure</t>
        </is>
      </c>
      <c r="G2577" s="12" t="inlineStr"/>
      <c r="H2577" s="12" t="inlineStr">
        <is>
          <t>CONDITIONAL: ULSD truck unloading station (canopy, spill containment)</t>
        </is>
      </c>
      <c r="I2577" s="12" t="inlineStr">
        <is>
          <t>Control</t>
        </is>
      </c>
      <c r="J2577" s="12" t="inlineStr">
        <is>
          <t>ARMOR-X MC-HL 600 V control, Cu #14 AWG (Class I Div 2)</t>
        </is>
      </c>
      <c r="K2577" s="12" t="inlineStr">
        <is>
          <t>CTAX|7/C|14</t>
        </is>
      </c>
      <c r="L2577" s="12" t="inlineStr">
        <is>
          <t>7/C</t>
        </is>
      </c>
      <c r="M2577" s="12" t="inlineStr">
        <is>
          <t>14</t>
        </is>
      </c>
      <c r="N2577" s="12" t="n">
        <v>1</v>
      </c>
      <c r="O2577" s="12" t="n">
        <v>1</v>
      </c>
      <c r="P2577" s="12" t="n"/>
      <c r="Q2577" s="12" t="n"/>
      <c r="R2577" s="12" t="n"/>
      <c r="S2577" s="12" t="inlineStr">
        <is>
          <t>Tray</t>
        </is>
      </c>
      <c r="T2577" s="16" t="n">
        <v>65</v>
      </c>
      <c r="U2577" s="16" t="n">
        <v>132</v>
      </c>
      <c r="V2577" s="16">
        <f>ROUNDUP((T2577+U2577+2*'Read Me'!$B$13)*(1+'Read Me'!$B$12),-1)</f>
        <v/>
      </c>
      <c r="W2577" s="16">
        <f>V2577*N2577*O2577</f>
        <v/>
      </c>
      <c r="X2577" s="12">
        <f>IF(LEFT(I2577,2)="MV",2*N2577*IF(L2577="1/C",O2577,1),0)</f>
        <v/>
      </c>
      <c r="Y2577" s="12">
        <f>IF(OR(LEFT(K2577,4)="LVAX",LEFT(K2577,6)="MV15AX",LEFT(K2577,4)="CTAX",LEFT(K2577,2)="W|"),2*N2577*O2577,0)</f>
        <v/>
      </c>
      <c r="Z2577" s="12" t="inlineStr"/>
      <c r="AA2577" s="12">
        <f>N2577*O2577</f>
        <v/>
      </c>
    </row>
    <row r="2578">
      <c r="A2578" s="12" t="inlineStr">
        <is>
          <t>D-C-0002</t>
        </is>
      </c>
      <c r="B2578" s="12" t="inlineStr">
        <is>
          <t>D</t>
        </is>
      </c>
      <c r="C2578" s="12" t="inlineStr">
        <is>
          <t>Fuel gas</t>
        </is>
      </c>
      <c r="D2578" s="12" t="inlineStr">
        <is>
          <t>Control</t>
        </is>
      </c>
      <c r="E2578" s="12" t="inlineStr"/>
      <c r="F2578" s="12" t="inlineStr">
        <is>
          <t>Gas yard local control enclosure</t>
        </is>
      </c>
      <c r="G2578" s="12" t="inlineStr"/>
      <c r="H2578" s="12" t="inlineStr">
        <is>
          <t>CONDITIONAL: ULSD unloading and forwarding pumps, duplex filters</t>
        </is>
      </c>
      <c r="I2578" s="12" t="inlineStr">
        <is>
          <t>Control</t>
        </is>
      </c>
      <c r="J2578" s="12" t="inlineStr">
        <is>
          <t>ARMOR-X MC-HL 600 V control, Cu #14 AWG (Class I Div 2)</t>
        </is>
      </c>
      <c r="K2578" s="12" t="inlineStr">
        <is>
          <t>CTAX|7/C|14</t>
        </is>
      </c>
      <c r="L2578" s="12" t="inlineStr">
        <is>
          <t>7/C</t>
        </is>
      </c>
      <c r="M2578" s="12" t="inlineStr">
        <is>
          <t>14</t>
        </is>
      </c>
      <c r="N2578" s="12" t="n">
        <v>1</v>
      </c>
      <c r="O2578" s="12" t="n">
        <v>1</v>
      </c>
      <c r="P2578" s="12" t="n"/>
      <c r="Q2578" s="12" t="n"/>
      <c r="R2578" s="12" t="n"/>
      <c r="S2578" s="12" t="inlineStr">
        <is>
          <t>Tray</t>
        </is>
      </c>
      <c r="T2578" s="16" t="n">
        <v>65</v>
      </c>
      <c r="U2578" s="16" t="n">
        <v>59</v>
      </c>
      <c r="V2578" s="16">
        <f>ROUNDUP((T2578+U2578+2*'Read Me'!$B$13)*(1+'Read Me'!$B$12),-1)</f>
        <v/>
      </c>
      <c r="W2578" s="16">
        <f>V2578*N2578*O2578</f>
        <v/>
      </c>
      <c r="X2578" s="12">
        <f>IF(LEFT(I2578,2)="MV",2*N2578*IF(L2578="1/C",O2578,1),0)</f>
        <v/>
      </c>
      <c r="Y2578" s="12">
        <f>IF(OR(LEFT(K2578,4)="LVAX",LEFT(K2578,6)="MV15AX",LEFT(K2578,4)="CTAX",LEFT(K2578,2)="W|"),2*N2578*O2578,0)</f>
        <v/>
      </c>
      <c r="Z2578" s="12" t="inlineStr"/>
      <c r="AA2578" s="12">
        <f>N2578*O2578</f>
        <v/>
      </c>
    </row>
    <row r="2579">
      <c r="A2579" s="12" t="inlineStr">
        <is>
          <t>D-C-0003</t>
        </is>
      </c>
      <c r="B2579" s="12" t="inlineStr">
        <is>
          <t>D</t>
        </is>
      </c>
      <c r="C2579" s="12" t="inlineStr">
        <is>
          <t>Fuel gas</t>
        </is>
      </c>
      <c r="D2579" s="12" t="inlineStr">
        <is>
          <t>Control</t>
        </is>
      </c>
      <c r="E2579" s="12" t="inlineStr"/>
      <c r="F2579" s="12" t="inlineStr">
        <is>
          <t>Gas yard local control enclosure</t>
        </is>
      </c>
      <c r="G2579" s="12" t="inlineStr"/>
      <c r="H2579" s="12" t="inlineStr">
        <is>
          <t>CONDITIONAL: backup fuel oil (ULSD) unloading and forwarding area</t>
        </is>
      </c>
      <c r="I2579" s="12" t="inlineStr">
        <is>
          <t>Control</t>
        </is>
      </c>
      <c r="J2579" s="12" t="inlineStr">
        <is>
          <t>ARMOR-X MC-HL 600 V control, Cu #14 AWG (Class I Div 2)</t>
        </is>
      </c>
      <c r="K2579" s="12" t="inlineStr">
        <is>
          <t>CTAX|7/C|14</t>
        </is>
      </c>
      <c r="L2579" s="12" t="inlineStr">
        <is>
          <t>7/C</t>
        </is>
      </c>
      <c r="M2579" s="12" t="inlineStr">
        <is>
          <t>14</t>
        </is>
      </c>
      <c r="N2579" s="12" t="n">
        <v>1</v>
      </c>
      <c r="O2579" s="12" t="n">
        <v>1</v>
      </c>
      <c r="P2579" s="12" t="n"/>
      <c r="Q2579" s="12" t="n"/>
      <c r="R2579" s="12" t="n"/>
      <c r="S2579" s="12" t="inlineStr">
        <is>
          <t>Tray</t>
        </is>
      </c>
      <c r="T2579" s="16" t="n">
        <v>65</v>
      </c>
      <c r="U2579" s="16" t="n">
        <v>42</v>
      </c>
      <c r="V2579" s="16">
        <f>ROUNDUP((T2579+U2579+2*'Read Me'!$B$13)*(1+'Read Me'!$B$12),-1)</f>
        <v/>
      </c>
      <c r="W2579" s="16">
        <f>V2579*N2579*O2579</f>
        <v/>
      </c>
      <c r="X2579" s="12">
        <f>IF(LEFT(I2579,2)="MV",2*N2579*IF(L2579="1/C",O2579,1),0)</f>
        <v/>
      </c>
      <c r="Y2579" s="12">
        <f>IF(OR(LEFT(K2579,4)="LVAX",LEFT(K2579,6)="MV15AX",LEFT(K2579,4)="CTAX",LEFT(K2579,2)="W|"),2*N2579*O2579,0)</f>
        <v/>
      </c>
      <c r="Z2579" s="12" t="inlineStr"/>
      <c r="AA2579" s="12">
        <f>N2579*O2579</f>
        <v/>
      </c>
    </row>
    <row r="2580">
      <c r="A2580" s="12" t="inlineStr">
        <is>
          <t>D-C-0004</t>
        </is>
      </c>
      <c r="B2580" s="12" t="inlineStr">
        <is>
          <t>D</t>
        </is>
      </c>
      <c r="C2580" s="12" t="inlineStr">
        <is>
          <t>Fuel gas</t>
        </is>
      </c>
      <c r="D2580" s="12" t="inlineStr">
        <is>
          <t>Motor 1 of 6: control / local station</t>
        </is>
      </c>
      <c r="E2580" s="12" t="inlineStr">
        <is>
          <t>MCC-C1</t>
        </is>
      </c>
      <c r="F2580" s="12" t="inlineStr">
        <is>
          <t>R1 MCC-C1</t>
        </is>
      </c>
      <c r="G2580" s="12" t="inlineStr"/>
      <c r="H2580" s="12" t="inlineStr">
        <is>
          <t>CONDITIONAL: fuel-gas compressors</t>
        </is>
      </c>
      <c r="I2580" s="12" t="inlineStr">
        <is>
          <t>Control</t>
        </is>
      </c>
      <c r="J2580" s="12" t="inlineStr">
        <is>
          <t>ARMOR-X MC-HL 600 V control, Cu #14 AWG (Class I Div 2)</t>
        </is>
      </c>
      <c r="K2580" s="12" t="inlineStr">
        <is>
          <t>CTAX|7/C|14</t>
        </is>
      </c>
      <c r="L2580" s="12" t="inlineStr">
        <is>
          <t>7/C</t>
        </is>
      </c>
      <c r="M2580" s="12" t="inlineStr">
        <is>
          <t>14</t>
        </is>
      </c>
      <c r="N2580" s="12" t="n">
        <v>1</v>
      </c>
      <c r="O2580" s="12" t="n">
        <v>1</v>
      </c>
      <c r="P2580" s="12" t="n"/>
      <c r="Q2580" s="12" t="n"/>
      <c r="R2580" s="12" t="n"/>
      <c r="S2580" s="12" t="inlineStr">
        <is>
          <t>Duct bank</t>
        </is>
      </c>
      <c r="T2580" s="16" t="n">
        <v>2412</v>
      </c>
      <c r="U2580" s="16" t="n">
        <v>157</v>
      </c>
      <c r="V2580" s="16">
        <f>ROUNDUP((T2580+U2580+2*'Read Me'!$B$13)*(1+'Read Me'!$B$12),-1)</f>
        <v/>
      </c>
      <c r="W2580" s="16">
        <f>V2580*N2580*O2580</f>
        <v/>
      </c>
      <c r="X2580" s="12">
        <f>IF(LEFT(I2580,2)="MV",2*N2580*IF(L2580="1/C",O2580,1),0)</f>
        <v/>
      </c>
      <c r="Y2580" s="12">
        <f>IF(OR(LEFT(K2580,4)="LVAX",LEFT(K2580,6)="MV15AX",LEFT(K2580,4)="CTAX",LEFT(K2580,2)="W|"),2*N2580*O2580,0)</f>
        <v/>
      </c>
      <c r="Z2580" s="12" t="inlineStr"/>
      <c r="AA2580" s="12">
        <f>N2580*O2580</f>
        <v/>
      </c>
    </row>
    <row r="2581">
      <c r="A2581" s="12" t="inlineStr">
        <is>
          <t>D-C-0005</t>
        </is>
      </c>
      <c r="B2581" s="12" t="inlineStr">
        <is>
          <t>D</t>
        </is>
      </c>
      <c r="C2581" s="12" t="inlineStr">
        <is>
          <t>Fuel gas</t>
        </is>
      </c>
      <c r="D2581" s="12" t="inlineStr">
        <is>
          <t>Motor 2 of 6: control / local station</t>
        </is>
      </c>
      <c r="E2581" s="12" t="inlineStr">
        <is>
          <t>MCC-C1</t>
        </is>
      </c>
      <c r="F2581" s="12" t="inlineStr">
        <is>
          <t>R1 MCC-C1</t>
        </is>
      </c>
      <c r="G2581" s="12" t="inlineStr"/>
      <c r="H2581" s="12" t="inlineStr">
        <is>
          <t>CONDITIONAL: fuel-gas compressors</t>
        </is>
      </c>
      <c r="I2581" s="12" t="inlineStr">
        <is>
          <t>Control</t>
        </is>
      </c>
      <c r="J2581" s="12" t="inlineStr">
        <is>
          <t>ARMOR-X MC-HL 600 V control, Cu #14 AWG (Class I Div 2)</t>
        </is>
      </c>
      <c r="K2581" s="12" t="inlineStr">
        <is>
          <t>CTAX|7/C|14</t>
        </is>
      </c>
      <c r="L2581" s="12" t="inlineStr">
        <is>
          <t>7/C</t>
        </is>
      </c>
      <c r="M2581" s="12" t="inlineStr">
        <is>
          <t>14</t>
        </is>
      </c>
      <c r="N2581" s="12" t="n">
        <v>1</v>
      </c>
      <c r="O2581" s="12" t="n">
        <v>1</v>
      </c>
      <c r="P2581" s="12" t="n"/>
      <c r="Q2581" s="12" t="n"/>
      <c r="R2581" s="12" t="n"/>
      <c r="S2581" s="12" t="inlineStr">
        <is>
          <t>Duct bank</t>
        </is>
      </c>
      <c r="T2581" s="16" t="n">
        <v>2412</v>
      </c>
      <c r="U2581" s="16" t="n">
        <v>157</v>
      </c>
      <c r="V2581" s="16">
        <f>ROUNDUP((T2581+U2581+2*'Read Me'!$B$13)*(1+'Read Me'!$B$12),-1)</f>
        <v/>
      </c>
      <c r="W2581" s="16">
        <f>V2581*N2581*O2581</f>
        <v/>
      </c>
      <c r="X2581" s="12">
        <f>IF(LEFT(I2581,2)="MV",2*N2581*IF(L2581="1/C",O2581,1),0)</f>
        <v/>
      </c>
      <c r="Y2581" s="12">
        <f>IF(OR(LEFT(K2581,4)="LVAX",LEFT(K2581,6)="MV15AX",LEFT(K2581,4)="CTAX",LEFT(K2581,2)="W|"),2*N2581*O2581,0)</f>
        <v/>
      </c>
      <c r="Z2581" s="12" t="inlineStr"/>
      <c r="AA2581" s="12">
        <f>N2581*O2581</f>
        <v/>
      </c>
    </row>
    <row r="2582">
      <c r="A2582" s="12" t="inlineStr">
        <is>
          <t>D-C-0006</t>
        </is>
      </c>
      <c r="B2582" s="12" t="inlineStr">
        <is>
          <t>D</t>
        </is>
      </c>
      <c r="C2582" s="12" t="inlineStr">
        <is>
          <t>Fuel gas</t>
        </is>
      </c>
      <c r="D2582" s="12" t="inlineStr">
        <is>
          <t>Motor 3 of 6: control / local station</t>
        </is>
      </c>
      <c r="E2582" s="12" t="inlineStr">
        <is>
          <t>MCC-C1</t>
        </is>
      </c>
      <c r="F2582" s="12" t="inlineStr">
        <is>
          <t>R1 MCC-C1</t>
        </is>
      </c>
      <c r="G2582" s="12" t="inlineStr"/>
      <c r="H2582" s="12" t="inlineStr">
        <is>
          <t>CONDITIONAL: fuel-gas compressors</t>
        </is>
      </c>
      <c r="I2582" s="12" t="inlineStr">
        <is>
          <t>Control</t>
        </is>
      </c>
      <c r="J2582" s="12" t="inlineStr">
        <is>
          <t>ARMOR-X MC-HL 600 V control, Cu #14 AWG (Class I Div 2)</t>
        </is>
      </c>
      <c r="K2582" s="12" t="inlineStr">
        <is>
          <t>CTAX|7/C|14</t>
        </is>
      </c>
      <c r="L2582" s="12" t="inlineStr">
        <is>
          <t>7/C</t>
        </is>
      </c>
      <c r="M2582" s="12" t="inlineStr">
        <is>
          <t>14</t>
        </is>
      </c>
      <c r="N2582" s="12" t="n">
        <v>1</v>
      </c>
      <c r="O2582" s="12" t="n">
        <v>1</v>
      </c>
      <c r="P2582" s="12" t="n"/>
      <c r="Q2582" s="12" t="n"/>
      <c r="R2582" s="12" t="n"/>
      <c r="S2582" s="12" t="inlineStr">
        <is>
          <t>Duct bank</t>
        </is>
      </c>
      <c r="T2582" s="16" t="n">
        <v>2412</v>
      </c>
      <c r="U2582" s="16" t="n">
        <v>157</v>
      </c>
      <c r="V2582" s="16">
        <f>ROUNDUP((T2582+U2582+2*'Read Me'!$B$13)*(1+'Read Me'!$B$12),-1)</f>
        <v/>
      </c>
      <c r="W2582" s="16">
        <f>V2582*N2582*O2582</f>
        <v/>
      </c>
      <c r="X2582" s="12">
        <f>IF(LEFT(I2582,2)="MV",2*N2582*IF(L2582="1/C",O2582,1),0)</f>
        <v/>
      </c>
      <c r="Y2582" s="12">
        <f>IF(OR(LEFT(K2582,4)="LVAX",LEFT(K2582,6)="MV15AX",LEFT(K2582,4)="CTAX",LEFT(K2582,2)="W|"),2*N2582*O2582,0)</f>
        <v/>
      </c>
      <c r="Z2582" s="12" t="inlineStr"/>
      <c r="AA2582" s="12">
        <f>N2582*O2582</f>
        <v/>
      </c>
    </row>
    <row r="2583">
      <c r="A2583" s="12" t="inlineStr">
        <is>
          <t>D-C-0007</t>
        </is>
      </c>
      <c r="B2583" s="12" t="inlineStr">
        <is>
          <t>D</t>
        </is>
      </c>
      <c r="C2583" s="12" t="inlineStr">
        <is>
          <t>Fuel gas</t>
        </is>
      </c>
      <c r="D2583" s="12" t="inlineStr">
        <is>
          <t>Motor 4 of 6: control / local station</t>
        </is>
      </c>
      <c r="E2583" s="12" t="inlineStr">
        <is>
          <t>MCC-C1</t>
        </is>
      </c>
      <c r="F2583" s="12" t="inlineStr">
        <is>
          <t>R1 MCC-C1</t>
        </is>
      </c>
      <c r="G2583" s="12" t="inlineStr"/>
      <c r="H2583" s="12" t="inlineStr">
        <is>
          <t>CONDITIONAL: fuel-gas compressors</t>
        </is>
      </c>
      <c r="I2583" s="12" t="inlineStr">
        <is>
          <t>Control</t>
        </is>
      </c>
      <c r="J2583" s="12" t="inlineStr">
        <is>
          <t>ARMOR-X MC-HL 600 V control, Cu #14 AWG (Class I Div 2)</t>
        </is>
      </c>
      <c r="K2583" s="12" t="inlineStr">
        <is>
          <t>CTAX|7/C|14</t>
        </is>
      </c>
      <c r="L2583" s="12" t="inlineStr">
        <is>
          <t>7/C</t>
        </is>
      </c>
      <c r="M2583" s="12" t="inlineStr">
        <is>
          <t>14</t>
        </is>
      </c>
      <c r="N2583" s="12" t="n">
        <v>1</v>
      </c>
      <c r="O2583" s="12" t="n">
        <v>1</v>
      </c>
      <c r="P2583" s="12" t="n"/>
      <c r="Q2583" s="12" t="n"/>
      <c r="R2583" s="12" t="n"/>
      <c r="S2583" s="12" t="inlineStr">
        <is>
          <t>Duct bank</t>
        </is>
      </c>
      <c r="T2583" s="16" t="n">
        <v>2412</v>
      </c>
      <c r="U2583" s="16" t="n">
        <v>157</v>
      </c>
      <c r="V2583" s="16">
        <f>ROUNDUP((T2583+U2583+2*'Read Me'!$B$13)*(1+'Read Me'!$B$12),-1)</f>
        <v/>
      </c>
      <c r="W2583" s="16">
        <f>V2583*N2583*O2583</f>
        <v/>
      </c>
      <c r="X2583" s="12">
        <f>IF(LEFT(I2583,2)="MV",2*N2583*IF(L2583="1/C",O2583,1),0)</f>
        <v/>
      </c>
      <c r="Y2583" s="12">
        <f>IF(OR(LEFT(K2583,4)="LVAX",LEFT(K2583,6)="MV15AX",LEFT(K2583,4)="CTAX",LEFT(K2583,2)="W|"),2*N2583*O2583,0)</f>
        <v/>
      </c>
      <c r="Z2583" s="12" t="inlineStr"/>
      <c r="AA2583" s="12">
        <f>N2583*O2583</f>
        <v/>
      </c>
    </row>
    <row r="2584">
      <c r="A2584" s="12" t="inlineStr">
        <is>
          <t>D-C-0008</t>
        </is>
      </c>
      <c r="B2584" s="12" t="inlineStr">
        <is>
          <t>D</t>
        </is>
      </c>
      <c r="C2584" s="12" t="inlineStr">
        <is>
          <t>Fuel gas</t>
        </is>
      </c>
      <c r="D2584" s="12" t="inlineStr">
        <is>
          <t>Motor 5 of 6: control / local station</t>
        </is>
      </c>
      <c r="E2584" s="12" t="inlineStr">
        <is>
          <t>MCC-C1</t>
        </is>
      </c>
      <c r="F2584" s="12" t="inlineStr">
        <is>
          <t>R1 MCC-C1</t>
        </is>
      </c>
      <c r="G2584" s="12" t="inlineStr"/>
      <c r="H2584" s="12" t="inlineStr">
        <is>
          <t>CONDITIONAL: fuel-gas compressors</t>
        </is>
      </c>
      <c r="I2584" s="12" t="inlineStr">
        <is>
          <t>Control</t>
        </is>
      </c>
      <c r="J2584" s="12" t="inlineStr">
        <is>
          <t>ARMOR-X MC-HL 600 V control, Cu #14 AWG (Class I Div 2)</t>
        </is>
      </c>
      <c r="K2584" s="12" t="inlineStr">
        <is>
          <t>CTAX|7/C|14</t>
        </is>
      </c>
      <c r="L2584" s="12" t="inlineStr">
        <is>
          <t>7/C</t>
        </is>
      </c>
      <c r="M2584" s="12" t="inlineStr">
        <is>
          <t>14</t>
        </is>
      </c>
      <c r="N2584" s="12" t="n">
        <v>1</v>
      </c>
      <c r="O2584" s="12" t="n">
        <v>1</v>
      </c>
      <c r="P2584" s="12" t="n"/>
      <c r="Q2584" s="12" t="n"/>
      <c r="R2584" s="12" t="n"/>
      <c r="S2584" s="12" t="inlineStr">
        <is>
          <t>Duct bank</t>
        </is>
      </c>
      <c r="T2584" s="16" t="n">
        <v>2412</v>
      </c>
      <c r="U2584" s="16" t="n">
        <v>157</v>
      </c>
      <c r="V2584" s="16">
        <f>ROUNDUP((T2584+U2584+2*'Read Me'!$B$13)*(1+'Read Me'!$B$12),-1)</f>
        <v/>
      </c>
      <c r="W2584" s="16">
        <f>V2584*N2584*O2584</f>
        <v/>
      </c>
      <c r="X2584" s="12">
        <f>IF(LEFT(I2584,2)="MV",2*N2584*IF(L2584="1/C",O2584,1),0)</f>
        <v/>
      </c>
      <c r="Y2584" s="12">
        <f>IF(OR(LEFT(K2584,4)="LVAX",LEFT(K2584,6)="MV15AX",LEFT(K2584,4)="CTAX",LEFT(K2584,2)="W|"),2*N2584*O2584,0)</f>
        <v/>
      </c>
      <c r="Z2584" s="12" t="inlineStr"/>
      <c r="AA2584" s="12">
        <f>N2584*O2584</f>
        <v/>
      </c>
    </row>
    <row r="2585">
      <c r="A2585" s="12" t="inlineStr">
        <is>
          <t>D-C-0009</t>
        </is>
      </c>
      <c r="B2585" s="12" t="inlineStr">
        <is>
          <t>D</t>
        </is>
      </c>
      <c r="C2585" s="12" t="inlineStr">
        <is>
          <t>Fuel gas</t>
        </is>
      </c>
      <c r="D2585" s="12" t="inlineStr">
        <is>
          <t>Motor 6 of 6: control / local station</t>
        </is>
      </c>
      <c r="E2585" s="12" t="inlineStr">
        <is>
          <t>MCC-C1</t>
        </is>
      </c>
      <c r="F2585" s="12" t="inlineStr">
        <is>
          <t>R1 MCC-C1</t>
        </is>
      </c>
      <c r="G2585" s="12" t="inlineStr"/>
      <c r="H2585" s="12" t="inlineStr">
        <is>
          <t>CONDITIONAL: fuel-gas compressors</t>
        </is>
      </c>
      <c r="I2585" s="12" t="inlineStr">
        <is>
          <t>Control</t>
        </is>
      </c>
      <c r="J2585" s="12" t="inlineStr">
        <is>
          <t>ARMOR-X MC-HL 600 V control, Cu #14 AWG (Class I Div 2)</t>
        </is>
      </c>
      <c r="K2585" s="12" t="inlineStr">
        <is>
          <t>CTAX|7/C|14</t>
        </is>
      </c>
      <c r="L2585" s="12" t="inlineStr">
        <is>
          <t>7/C</t>
        </is>
      </c>
      <c r="M2585" s="12" t="inlineStr">
        <is>
          <t>14</t>
        </is>
      </c>
      <c r="N2585" s="12" t="n">
        <v>1</v>
      </c>
      <c r="O2585" s="12" t="n">
        <v>1</v>
      </c>
      <c r="P2585" s="12" t="n"/>
      <c r="Q2585" s="12" t="n"/>
      <c r="R2585" s="12" t="n"/>
      <c r="S2585" s="12" t="inlineStr">
        <is>
          <t>Duct bank</t>
        </is>
      </c>
      <c r="T2585" s="16" t="n">
        <v>2412</v>
      </c>
      <c r="U2585" s="16" t="n">
        <v>157</v>
      </c>
      <c r="V2585" s="16">
        <f>ROUNDUP((T2585+U2585+2*'Read Me'!$B$13)*(1+'Read Me'!$B$12),-1)</f>
        <v/>
      </c>
      <c r="W2585" s="16">
        <f>V2585*N2585*O2585</f>
        <v/>
      </c>
      <c r="X2585" s="12">
        <f>IF(LEFT(I2585,2)="MV",2*N2585*IF(L2585="1/C",O2585,1),0)</f>
        <v/>
      </c>
      <c r="Y2585" s="12">
        <f>IF(OR(LEFT(K2585,4)="LVAX",LEFT(K2585,6)="MV15AX",LEFT(K2585,4)="CTAX",LEFT(K2585,2)="W|"),2*N2585*O2585,0)</f>
        <v/>
      </c>
      <c r="Z2585" s="12" t="inlineStr"/>
      <c r="AA2585" s="12">
        <f>N2585*O2585</f>
        <v/>
      </c>
    </row>
    <row r="2586">
      <c r="A2586" s="12" t="inlineStr">
        <is>
          <t>D-C-0010</t>
        </is>
      </c>
      <c r="B2586" s="12" t="inlineStr">
        <is>
          <t>D</t>
        </is>
      </c>
      <c r="C2586" s="12" t="inlineStr">
        <is>
          <t>Fuel gas</t>
        </is>
      </c>
      <c r="D2586" s="12" t="inlineStr">
        <is>
          <t>Control</t>
        </is>
      </c>
      <c r="E2586" s="12" t="inlineStr"/>
      <c r="F2586" s="12" t="inlineStr">
        <is>
          <t>Gas yard local control enclosure</t>
        </is>
      </c>
      <c r="G2586" s="12" t="inlineStr">
        <is>
          <t>CPR-1</t>
        </is>
      </c>
      <c r="H2586" s="12" t="inlineStr">
        <is>
          <t>CPR-1: cathodic-protection rectifier</t>
        </is>
      </c>
      <c r="I2586" s="12" t="inlineStr">
        <is>
          <t>Control</t>
        </is>
      </c>
      <c r="J2586" s="12" t="inlineStr">
        <is>
          <t>Control cable 600 V Type TC-ER, Cu #14 AWG, PVC jacket</t>
        </is>
      </c>
      <c r="K2586" s="12" t="inlineStr">
        <is>
          <t>CT|7/C|14</t>
        </is>
      </c>
      <c r="L2586" s="12" t="inlineStr">
        <is>
          <t>7/C</t>
        </is>
      </c>
      <c r="M2586" s="12" t="inlineStr">
        <is>
          <t>14</t>
        </is>
      </c>
      <c r="N2586" s="12" t="n">
        <v>1</v>
      </c>
      <c r="O2586" s="12" t="n">
        <v>1</v>
      </c>
      <c r="P2586" s="12" t="n"/>
      <c r="Q2586" s="12" t="n"/>
      <c r="R2586" s="12" t="n"/>
      <c r="S2586" s="12" t="inlineStr">
        <is>
          <t>Tray</t>
        </is>
      </c>
      <c r="T2586" s="16" t="n">
        <v>0</v>
      </c>
      <c r="U2586" s="16" t="n">
        <v>84</v>
      </c>
      <c r="V2586" s="16">
        <f>ROUNDUP((T2586+U2586+2*'Read Me'!$B$13)*(1+'Read Me'!$B$12),-1)</f>
        <v/>
      </c>
      <c r="W2586" s="16">
        <f>V2586*N2586*O2586</f>
        <v/>
      </c>
      <c r="X2586" s="12">
        <f>IF(LEFT(I2586,2)="MV",2*N2586*IF(L2586="1/C",O2586,1),0)</f>
        <v/>
      </c>
      <c r="Y2586" s="12">
        <f>IF(OR(LEFT(K2586,4)="LVAX",LEFT(K2586,6)="MV15AX",LEFT(K2586,4)="CTAX",LEFT(K2586,2)="W|"),2*N2586*O2586,0)</f>
        <v/>
      </c>
      <c r="Z2586" s="12" t="inlineStr"/>
      <c r="AA2586" s="12">
        <f>N2586*O2586</f>
        <v/>
      </c>
    </row>
    <row r="2587">
      <c r="A2587" s="12" t="inlineStr">
        <is>
          <t>D-C-0011</t>
        </is>
      </c>
      <c r="B2587" s="12" t="inlineStr">
        <is>
          <t>D</t>
        </is>
      </c>
      <c r="C2587" s="12" t="inlineStr">
        <is>
          <t>Fuel gas</t>
        </is>
      </c>
      <c r="D2587" s="12" t="inlineStr">
        <is>
          <t>Solenoid to JB JB-Gas pressure regul-SOL01: 6 x 2/C (field cables)</t>
        </is>
      </c>
      <c r="E2587" s="12" t="inlineStr"/>
      <c r="F2587" s="12" t="inlineStr">
        <is>
          <t>Gas pressure regulation skid</t>
        </is>
      </c>
      <c r="G2587" s="12" t="inlineStr">
        <is>
          <t>JB-Gas pressure regul-SOL01</t>
        </is>
      </c>
      <c r="H2587" s="12" t="inlineStr">
        <is>
          <t>Gas pressure regulation skid</t>
        </is>
      </c>
      <c r="I2587" s="12" t="inlineStr">
        <is>
          <t>Control</t>
        </is>
      </c>
      <c r="J2587" s="12" t="inlineStr">
        <is>
          <t>ARMOR-X MC-HL 600 V control, Cu #14 AWG (Class I Div 2)</t>
        </is>
      </c>
      <c r="K2587" s="12" t="inlineStr">
        <is>
          <t>CTAX|2/C|14</t>
        </is>
      </c>
      <c r="L2587" s="12" t="inlineStr">
        <is>
          <t>2/C</t>
        </is>
      </c>
      <c r="M2587" s="12" t="inlineStr">
        <is>
          <t>14</t>
        </is>
      </c>
      <c r="N2587" s="12" t="n">
        <v>6</v>
      </c>
      <c r="O2587" s="12" t="n">
        <v>1</v>
      </c>
      <c r="P2587" s="12" t="n"/>
      <c r="Q2587" s="12" t="n"/>
      <c r="R2587" s="12" t="n"/>
      <c r="S2587" s="12" t="inlineStr">
        <is>
          <t>Tray / conduit</t>
        </is>
      </c>
      <c r="T2587" s="16" t="n">
        <v>60</v>
      </c>
      <c r="U2587" s="16" t="n">
        <v>10</v>
      </c>
      <c r="V2587" s="16">
        <f>ROUNDUP((T2587+U2587+2*'Read Me'!$B$13)*(1+'Read Me'!$B$12),-1)</f>
        <v/>
      </c>
      <c r="W2587" s="16">
        <f>V2587*N2587*O2587</f>
        <v/>
      </c>
      <c r="X2587" s="12">
        <f>IF(LEFT(I2587,2)="MV",2*N2587*IF(L2587="1/C",O2587,1),0)</f>
        <v/>
      </c>
      <c r="Y2587" s="12">
        <f>IF(OR(LEFT(K2587,4)="LVAX",LEFT(K2587,6)="MV15AX",LEFT(K2587,4)="CTAX",LEFT(K2587,2)="W|"),2*N2587*O2587,0)</f>
        <v/>
      </c>
      <c r="Z2587" s="12" t="inlineStr">
        <is>
          <t>device-to-JB field wiring, one cable per device</t>
        </is>
      </c>
      <c r="AA2587" s="12">
        <f>N2587*O2587</f>
        <v/>
      </c>
    </row>
    <row r="2588">
      <c r="A2588" s="12" t="inlineStr">
        <is>
          <t>D-C-0012</t>
        </is>
      </c>
      <c r="B2588" s="12" t="inlineStr">
        <is>
          <t>D</t>
        </is>
      </c>
      <c r="C2588" s="12" t="inlineStr">
        <is>
          <t>Fuel gas</t>
        </is>
      </c>
      <c r="D2588" s="12" t="inlineStr">
        <is>
          <t>Home run JB-Gas pressure regul-SOL01 to the control / marshalling room</t>
        </is>
      </c>
      <c r="E2588" s="12" t="inlineStr"/>
      <c r="F2588" s="12" t="inlineStr">
        <is>
          <t>Gas yard local control enclosure</t>
        </is>
      </c>
      <c r="G2588" s="12" t="inlineStr">
        <is>
          <t>JB-Gas pressure regul-SOL01</t>
        </is>
      </c>
      <c r="H2588" s="12" t="inlineStr">
        <is>
          <t>Gas pressure regulation skid</t>
        </is>
      </c>
      <c r="I2588" s="12" t="inlineStr">
        <is>
          <t>Control</t>
        </is>
      </c>
      <c r="J2588" s="12" t="inlineStr">
        <is>
          <t>ARMOR-X MC-HL 600 V control, Cu #14 AWG (Class I Div 2)</t>
        </is>
      </c>
      <c r="K2588" s="12" t="inlineStr">
        <is>
          <t>CTAX|25/C|14</t>
        </is>
      </c>
      <c r="L2588" s="12" t="inlineStr">
        <is>
          <t>25/C</t>
        </is>
      </c>
      <c r="M2588" s="12" t="inlineStr">
        <is>
          <t>14</t>
        </is>
      </c>
      <c r="N2588" s="12" t="n">
        <v>1</v>
      </c>
      <c r="O2588" s="12" t="n">
        <v>1</v>
      </c>
      <c r="P2588" s="12" t="n"/>
      <c r="Q2588" s="12" t="n"/>
      <c r="R2588" s="12" t="n"/>
      <c r="S2588" s="12" t="inlineStr">
        <is>
          <t>Duct bank</t>
        </is>
      </c>
      <c r="T2588" s="16" t="n">
        <v>193</v>
      </c>
      <c r="U2588" s="16" t="n">
        <v>32</v>
      </c>
      <c r="V2588" s="16">
        <f>ROUNDUP((T2588+U2588+2*'Read Me'!$B$13)*(1+'Read Me'!$B$12),-1)</f>
        <v/>
      </c>
      <c r="W2588" s="16">
        <f>V2588*N2588*O2588</f>
        <v/>
      </c>
      <c r="X2588" s="12">
        <f>IF(LEFT(I2588,2)="MV",2*N2588*IF(L2588="1/C",O2588,1),0)</f>
        <v/>
      </c>
      <c r="Y2588" s="12">
        <f>IF(OR(LEFT(K2588,4)="LVAX",LEFT(K2588,6)="MV15AX",LEFT(K2588,4)="CTAX",LEFT(K2588,2)="W|"),2*N2588*O2588,0)</f>
        <v/>
      </c>
      <c r="Z2588" s="12" t="inlineStr"/>
      <c r="AA2588" s="12">
        <f>N2588*O2588</f>
        <v/>
      </c>
    </row>
    <row r="2589">
      <c r="A2589" s="12" t="inlineStr">
        <is>
          <t>D-C-0013</t>
        </is>
      </c>
      <c r="B2589" s="12" t="inlineStr">
        <is>
          <t>D</t>
        </is>
      </c>
      <c r="C2589" s="12" t="inlineStr">
        <is>
          <t>Fuel gas</t>
        </is>
      </c>
      <c r="D2589" s="12" t="inlineStr">
        <is>
          <t>Solenoid to JB JB-Gas yard filter-se-SOL01: 4 x 2/C (field cables)</t>
        </is>
      </c>
      <c r="E2589" s="12" t="inlineStr"/>
      <c r="F2589" s="12" t="inlineStr">
        <is>
          <t>Gas yard filter-separators</t>
        </is>
      </c>
      <c r="G2589" s="12" t="inlineStr">
        <is>
          <t>JB-Gas yard filter-se-SOL01</t>
        </is>
      </c>
      <c r="H2589" s="12" t="inlineStr">
        <is>
          <t>Gas yard filter-separators</t>
        </is>
      </c>
      <c r="I2589" s="12" t="inlineStr">
        <is>
          <t>Control</t>
        </is>
      </c>
      <c r="J2589" s="12" t="inlineStr">
        <is>
          <t>ARMOR-X MC-HL 600 V control, Cu #14 AWG (Class I Div 2)</t>
        </is>
      </c>
      <c r="K2589" s="12" t="inlineStr">
        <is>
          <t>CTAX|2/C|14</t>
        </is>
      </c>
      <c r="L2589" s="12" t="inlineStr">
        <is>
          <t>2/C</t>
        </is>
      </c>
      <c r="M2589" s="12" t="inlineStr">
        <is>
          <t>14</t>
        </is>
      </c>
      <c r="N2589" s="12" t="n">
        <v>4</v>
      </c>
      <c r="O2589" s="12" t="n">
        <v>1</v>
      </c>
      <c r="P2589" s="12" t="n"/>
      <c r="Q2589" s="12" t="n"/>
      <c r="R2589" s="12" t="n"/>
      <c r="S2589" s="12" t="inlineStr">
        <is>
          <t>Tray / conduit</t>
        </is>
      </c>
      <c r="T2589" s="16" t="n">
        <v>60</v>
      </c>
      <c r="U2589" s="16" t="n">
        <v>10</v>
      </c>
      <c r="V2589" s="16">
        <f>ROUNDUP((T2589+U2589+2*'Read Me'!$B$13)*(1+'Read Me'!$B$12),-1)</f>
        <v/>
      </c>
      <c r="W2589" s="16">
        <f>V2589*N2589*O2589</f>
        <v/>
      </c>
      <c r="X2589" s="12">
        <f>IF(LEFT(I2589,2)="MV",2*N2589*IF(L2589="1/C",O2589,1),0)</f>
        <v/>
      </c>
      <c r="Y2589" s="12">
        <f>IF(OR(LEFT(K2589,4)="LVAX",LEFT(K2589,6)="MV15AX",LEFT(K2589,4)="CTAX",LEFT(K2589,2)="W|"),2*N2589*O2589,0)</f>
        <v/>
      </c>
      <c r="Z2589" s="12" t="inlineStr">
        <is>
          <t>device-to-JB field wiring, one cable per device</t>
        </is>
      </c>
      <c r="AA2589" s="12">
        <f>N2589*O2589</f>
        <v/>
      </c>
    </row>
    <row r="2590">
      <c r="A2590" s="12" t="inlineStr">
        <is>
          <t>D-C-0014</t>
        </is>
      </c>
      <c r="B2590" s="12" t="inlineStr">
        <is>
          <t>D</t>
        </is>
      </c>
      <c r="C2590" s="12" t="inlineStr">
        <is>
          <t>Fuel gas</t>
        </is>
      </c>
      <c r="D2590" s="12" t="inlineStr">
        <is>
          <t>Home run JB-Gas yard filter-se-SOL01 to the control / marshalling room</t>
        </is>
      </c>
      <c r="E2590" s="12" t="inlineStr"/>
      <c r="F2590" s="12" t="inlineStr">
        <is>
          <t>Gas yard local control enclosure</t>
        </is>
      </c>
      <c r="G2590" s="12" t="inlineStr">
        <is>
          <t>JB-Gas yard filter-se-SOL01</t>
        </is>
      </c>
      <c r="H2590" s="12" t="inlineStr">
        <is>
          <t>Gas yard filter-separators</t>
        </is>
      </c>
      <c r="I2590" s="12" t="inlineStr">
        <is>
          <t>Control</t>
        </is>
      </c>
      <c r="J2590" s="12" t="inlineStr">
        <is>
          <t>ARMOR-X MC-HL 600 V control, Cu #14 AWG (Class I Div 2)</t>
        </is>
      </c>
      <c r="K2590" s="12" t="inlineStr">
        <is>
          <t>CTAX|25/C|14</t>
        </is>
      </c>
      <c r="L2590" s="12" t="inlineStr">
        <is>
          <t>25/C</t>
        </is>
      </c>
      <c r="M2590" s="12" t="inlineStr">
        <is>
          <t>14</t>
        </is>
      </c>
      <c r="N2590" s="12" t="n">
        <v>1</v>
      </c>
      <c r="O2590" s="12" t="n">
        <v>1</v>
      </c>
      <c r="P2590" s="12" t="n"/>
      <c r="Q2590" s="12" t="n"/>
      <c r="R2590" s="12" t="n"/>
      <c r="S2590" s="12" t="inlineStr">
        <is>
          <t>Duct bank</t>
        </is>
      </c>
      <c r="T2590" s="16" t="n">
        <v>83</v>
      </c>
      <c r="U2590" s="16" t="n">
        <v>32</v>
      </c>
      <c r="V2590" s="16">
        <f>ROUNDUP((T2590+U2590+2*'Read Me'!$B$13)*(1+'Read Me'!$B$12),-1)</f>
        <v/>
      </c>
      <c r="W2590" s="16">
        <f>V2590*N2590*O2590</f>
        <v/>
      </c>
      <c r="X2590" s="12">
        <f>IF(LEFT(I2590,2)="MV",2*N2590*IF(L2590="1/C",O2590,1),0)</f>
        <v/>
      </c>
      <c r="Y2590" s="12">
        <f>IF(OR(LEFT(K2590,4)="LVAX",LEFT(K2590,6)="MV15AX",LEFT(K2590,4)="CTAX",LEFT(K2590,2)="W|"),2*N2590*O2590,0)</f>
        <v/>
      </c>
      <c r="Z2590" s="12" t="inlineStr"/>
      <c r="AA2590" s="12">
        <f>N2590*O2590</f>
        <v/>
      </c>
    </row>
    <row r="2591">
      <c r="A2591" s="12" t="inlineStr">
        <is>
          <t>D-C-0015</t>
        </is>
      </c>
      <c r="B2591" s="12" t="inlineStr">
        <is>
          <t>D</t>
        </is>
      </c>
      <c r="C2591" s="12" t="inlineStr">
        <is>
          <t>Fuel gas</t>
        </is>
      </c>
      <c r="D2591" s="12" t="inlineStr">
        <is>
          <t>Solenoid to JB JB-Gas yard inlet: ES-SOL01: 4 x 2/C (field cables)</t>
        </is>
      </c>
      <c r="E2591" s="12" t="inlineStr"/>
      <c r="F2591" s="12" t="inlineStr">
        <is>
          <t>Gas yard inlet: ESD valve, block valve and insulating joint</t>
        </is>
      </c>
      <c r="G2591" s="12" t="inlineStr">
        <is>
          <t>JB-Gas yard inlet: ES-SOL01</t>
        </is>
      </c>
      <c r="H2591" s="12" t="inlineStr">
        <is>
          <t>Gas yard inlet: ESD valve, block valve and insulating joint</t>
        </is>
      </c>
      <c r="I2591" s="12" t="inlineStr">
        <is>
          <t>Control</t>
        </is>
      </c>
      <c r="J2591" s="12" t="inlineStr">
        <is>
          <t>ARMOR-X MC-HL 600 V control, Cu #14 AWG (Class I Div 2)</t>
        </is>
      </c>
      <c r="K2591" s="12" t="inlineStr">
        <is>
          <t>CTAX|2/C|14</t>
        </is>
      </c>
      <c r="L2591" s="12" t="inlineStr">
        <is>
          <t>2/C</t>
        </is>
      </c>
      <c r="M2591" s="12" t="inlineStr">
        <is>
          <t>14</t>
        </is>
      </c>
      <c r="N2591" s="12" t="n">
        <v>4</v>
      </c>
      <c r="O2591" s="12" t="n">
        <v>1</v>
      </c>
      <c r="P2591" s="12" t="n"/>
      <c r="Q2591" s="12" t="n"/>
      <c r="R2591" s="12" t="n"/>
      <c r="S2591" s="12" t="inlineStr">
        <is>
          <t>Tray / conduit</t>
        </is>
      </c>
      <c r="T2591" s="16" t="n">
        <v>46</v>
      </c>
      <c r="U2591" s="16" t="n">
        <v>10</v>
      </c>
      <c r="V2591" s="16">
        <f>ROUNDUP((T2591+U2591+2*'Read Me'!$B$13)*(1+'Read Me'!$B$12),-1)</f>
        <v/>
      </c>
      <c r="W2591" s="16">
        <f>V2591*N2591*O2591</f>
        <v/>
      </c>
      <c r="X2591" s="12">
        <f>IF(LEFT(I2591,2)="MV",2*N2591*IF(L2591="1/C",O2591,1),0)</f>
        <v/>
      </c>
      <c r="Y2591" s="12">
        <f>IF(OR(LEFT(K2591,4)="LVAX",LEFT(K2591,6)="MV15AX",LEFT(K2591,4)="CTAX",LEFT(K2591,2)="W|"),2*N2591*O2591,0)</f>
        <v/>
      </c>
      <c r="Z2591" s="12" t="inlineStr">
        <is>
          <t>device-to-JB field wiring, one cable per device</t>
        </is>
      </c>
      <c r="AA2591" s="12">
        <f>N2591*O2591</f>
        <v/>
      </c>
    </row>
    <row r="2592">
      <c r="A2592" s="12" t="inlineStr">
        <is>
          <t>D-C-0016</t>
        </is>
      </c>
      <c r="B2592" s="12" t="inlineStr">
        <is>
          <t>D</t>
        </is>
      </c>
      <c r="C2592" s="12" t="inlineStr">
        <is>
          <t>Fuel gas</t>
        </is>
      </c>
      <c r="D2592" s="12" t="inlineStr">
        <is>
          <t>Home run JB-Gas yard inlet: ES-SOL01 to the control / marshalling room</t>
        </is>
      </c>
      <c r="E2592" s="12" t="inlineStr"/>
      <c r="F2592" s="12" t="inlineStr">
        <is>
          <t>Gas yard local control enclosure</t>
        </is>
      </c>
      <c r="G2592" s="12" t="inlineStr">
        <is>
          <t>JB-Gas yard inlet: ES-SOL01</t>
        </is>
      </c>
      <c r="H2592" s="12" t="inlineStr">
        <is>
          <t>Gas yard inlet: ESD valve, block valve and insulating joint</t>
        </is>
      </c>
      <c r="I2592" s="12" t="inlineStr">
        <is>
          <t>Control</t>
        </is>
      </c>
      <c r="J2592" s="12" t="inlineStr">
        <is>
          <t>ARMOR-X MC-HL 600 V control, Cu #14 AWG (Class I Div 2)</t>
        </is>
      </c>
      <c r="K2592" s="12" t="inlineStr">
        <is>
          <t>CTAX|25/C|14</t>
        </is>
      </c>
      <c r="L2592" s="12" t="inlineStr">
        <is>
          <t>25/C</t>
        </is>
      </c>
      <c r="M2592" s="12" t="inlineStr">
        <is>
          <t>14</t>
        </is>
      </c>
      <c r="N2592" s="12" t="n">
        <v>1</v>
      </c>
      <c r="O2592" s="12" t="n">
        <v>1</v>
      </c>
      <c r="P2592" s="12" t="n"/>
      <c r="Q2592" s="12" t="n"/>
      <c r="R2592" s="12" t="n"/>
      <c r="S2592" s="12" t="inlineStr">
        <is>
          <t>Duct bank</t>
        </is>
      </c>
      <c r="T2592" s="16" t="n">
        <v>193</v>
      </c>
      <c r="U2592" s="16" t="n">
        <v>129</v>
      </c>
      <c r="V2592" s="16">
        <f>ROUNDUP((T2592+U2592+2*'Read Me'!$B$13)*(1+'Read Me'!$B$12),-1)</f>
        <v/>
      </c>
      <c r="W2592" s="16">
        <f>V2592*N2592*O2592</f>
        <v/>
      </c>
      <c r="X2592" s="12">
        <f>IF(LEFT(I2592,2)="MV",2*N2592*IF(L2592="1/C",O2592,1),0)</f>
        <v/>
      </c>
      <c r="Y2592" s="12">
        <f>IF(OR(LEFT(K2592,4)="LVAX",LEFT(K2592,6)="MV15AX",LEFT(K2592,4)="CTAX",LEFT(K2592,2)="W|"),2*N2592*O2592,0)</f>
        <v/>
      </c>
      <c r="Z2592" s="12" t="inlineStr"/>
      <c r="AA2592" s="12">
        <f>N2592*O2592</f>
        <v/>
      </c>
    </row>
    <row r="2593">
      <c r="A2593" s="12" t="inlineStr">
        <is>
          <t>D-C-0017</t>
        </is>
      </c>
      <c r="B2593" s="12" t="inlineStr">
        <is>
          <t>D</t>
        </is>
      </c>
      <c r="C2593" s="12" t="inlineStr">
        <is>
          <t>Fuel gas</t>
        </is>
      </c>
      <c r="D2593" s="12" t="inlineStr">
        <is>
          <t>Control</t>
        </is>
      </c>
      <c r="E2593" s="12" t="inlineStr"/>
      <c r="F2593" s="12" t="inlineStr">
        <is>
          <t>Gas yard local control enclosure</t>
        </is>
      </c>
      <c r="G2593" s="12" t="inlineStr"/>
      <c r="H2593" s="12" t="inlineStr">
        <is>
          <t>Gas yard local control enclosure</t>
        </is>
      </c>
      <c r="I2593" s="12" t="inlineStr">
        <is>
          <t>Control</t>
        </is>
      </c>
      <c r="J2593" s="12" t="inlineStr">
        <is>
          <t>ARMOR-X MC-HL 600 V control, Cu #14 AWG (Class I Div 2)</t>
        </is>
      </c>
      <c r="K2593" s="12" t="inlineStr">
        <is>
          <t>CTAX|7/C|14</t>
        </is>
      </c>
      <c r="L2593" s="12" t="inlineStr">
        <is>
          <t>7/C</t>
        </is>
      </c>
      <c r="M2593" s="12" t="inlineStr">
        <is>
          <t>14</t>
        </is>
      </c>
      <c r="N2593" s="12" t="n">
        <v>1</v>
      </c>
      <c r="O2593" s="12" t="n">
        <v>1</v>
      </c>
      <c r="P2593" s="12" t="n"/>
      <c r="Q2593" s="12" t="n"/>
      <c r="R2593" s="12" t="n"/>
      <c r="S2593" s="12" t="inlineStr">
        <is>
          <t>Tray</t>
        </is>
      </c>
      <c r="T2593" s="16" t="n">
        <v>0</v>
      </c>
      <c r="U2593" s="16" t="n">
        <v>32</v>
      </c>
      <c r="V2593" s="16">
        <f>ROUNDUP((T2593+U2593+2*'Read Me'!$B$13)*(1+'Read Me'!$B$12),-1)</f>
        <v/>
      </c>
      <c r="W2593" s="16">
        <f>V2593*N2593*O2593</f>
        <v/>
      </c>
      <c r="X2593" s="12">
        <f>IF(LEFT(I2593,2)="MV",2*N2593*IF(L2593="1/C",O2593,1),0)</f>
        <v/>
      </c>
      <c r="Y2593" s="12">
        <f>IF(OR(LEFT(K2593,4)="LVAX",LEFT(K2593,6)="MV15AX",LEFT(K2593,4)="CTAX",LEFT(K2593,2)="W|"),2*N2593*O2593,0)</f>
        <v/>
      </c>
      <c r="Z2593" s="12" t="inlineStr"/>
      <c r="AA2593" s="12">
        <f>N2593*O2593</f>
        <v/>
      </c>
    </row>
    <row r="2594">
      <c r="A2594" s="12" t="inlineStr">
        <is>
          <t>D-C-0018</t>
        </is>
      </c>
      <c r="B2594" s="12" t="inlineStr">
        <is>
          <t>D</t>
        </is>
      </c>
      <c r="C2594" s="12" t="inlineStr">
        <is>
          <t>Fuel gas</t>
        </is>
      </c>
      <c r="D2594" s="12" t="inlineStr">
        <is>
          <t>Control</t>
        </is>
      </c>
      <c r="E2594" s="12" t="inlineStr"/>
      <c r="F2594" s="12" t="inlineStr">
        <is>
          <t>Gas yard local control enclosure</t>
        </is>
      </c>
      <c r="G2594" s="12" t="inlineStr">
        <is>
          <t>HTP-4</t>
        </is>
      </c>
      <c r="H2594" s="12" t="inlineStr">
        <is>
          <t>HTP-4: heat-trace panel (gas)</t>
        </is>
      </c>
      <c r="I2594" s="12" t="inlineStr">
        <is>
          <t>Control</t>
        </is>
      </c>
      <c r="J2594" s="12" t="inlineStr">
        <is>
          <t>Control cable 600 V Type TC-ER, Cu #14 AWG, PVC jacket</t>
        </is>
      </c>
      <c r="K2594" s="12" t="inlineStr">
        <is>
          <t>CT|7/C|14</t>
        </is>
      </c>
      <c r="L2594" s="12" t="inlineStr">
        <is>
          <t>7/C</t>
        </is>
      </c>
      <c r="M2594" s="12" t="inlineStr">
        <is>
          <t>14</t>
        </is>
      </c>
      <c r="N2594" s="12" t="n">
        <v>1</v>
      </c>
      <c r="O2594" s="12" t="n">
        <v>1</v>
      </c>
      <c r="P2594" s="12" t="n"/>
      <c r="Q2594" s="12" t="n"/>
      <c r="R2594" s="12" t="n"/>
      <c r="S2594" s="12" t="inlineStr">
        <is>
          <t>Duct bank</t>
        </is>
      </c>
      <c r="T2594" s="16" t="n">
        <v>15</v>
      </c>
      <c r="U2594" s="16" t="n">
        <v>32</v>
      </c>
      <c r="V2594" s="16">
        <f>ROUNDUP((T2594+U2594+2*'Read Me'!$B$13)*(1+'Read Me'!$B$12),-1)</f>
        <v/>
      </c>
      <c r="W2594" s="16">
        <f>V2594*N2594*O2594</f>
        <v/>
      </c>
      <c r="X2594" s="12">
        <f>IF(LEFT(I2594,2)="MV",2*N2594*IF(L2594="1/C",O2594,1),0)</f>
        <v/>
      </c>
      <c r="Y2594" s="12">
        <f>IF(OR(LEFT(K2594,4)="LVAX",LEFT(K2594,6)="MV15AX",LEFT(K2594,4)="CTAX",LEFT(K2594,2)="W|"),2*N2594*O2594,0)</f>
        <v/>
      </c>
      <c r="Z2594" s="12" t="inlineStr"/>
      <c r="AA2594" s="12">
        <f>N2594*O2594</f>
        <v/>
      </c>
    </row>
    <row r="2595">
      <c r="A2595" s="12" t="inlineStr">
        <is>
          <t>D-I-0001</t>
        </is>
      </c>
      <c r="B2595" s="12" t="inlineStr">
        <is>
          <t>D</t>
        </is>
      </c>
      <c r="C2595" s="12" t="inlineStr">
        <is>
          <t>Fuel gas</t>
        </is>
      </c>
      <c r="D2595" s="12" t="inlineStr">
        <is>
          <t>Analog instrument to JB JB-CONDITIONAL: ULSD -AI01: 4 x 1 pr (field cables)</t>
        </is>
      </c>
      <c r="E2595" s="12" t="inlineStr"/>
      <c r="F2595" s="12" t="inlineStr">
        <is>
          <t>CONDITIONAL: ULSD backup fuel-oil tank</t>
        </is>
      </c>
      <c r="G2595" s="12" t="inlineStr">
        <is>
          <t>JB-CONDITIONAL: ULSD -AI01</t>
        </is>
      </c>
      <c r="H2595" s="12" t="inlineStr">
        <is>
          <t>CONDITIONAL: ULSD backup fuel-oil tank</t>
        </is>
      </c>
      <c r="I2595" s="12" t="inlineStr">
        <is>
          <t>Instrumentation</t>
        </is>
      </c>
      <c r="J2595" s="12" t="inlineStr">
        <is>
          <t>Instrumentation ITC / PLTC, IS, #18 shielded pairs, blue jacket</t>
        </is>
      </c>
      <c r="K2595" s="12" t="inlineStr">
        <is>
          <t>ITC|1 pr|16</t>
        </is>
      </c>
      <c r="L2595" s="12" t="inlineStr">
        <is>
          <t>1 pr</t>
        </is>
      </c>
      <c r="M2595" s="12" t="inlineStr">
        <is>
          <t>16</t>
        </is>
      </c>
      <c r="N2595" s="12" t="n">
        <v>4</v>
      </c>
      <c r="O2595" s="12" t="n">
        <v>1</v>
      </c>
      <c r="P2595" s="12" t="n"/>
      <c r="Q2595" s="12" t="n"/>
      <c r="R2595" s="12" t="n"/>
      <c r="S2595" s="12" t="inlineStr">
        <is>
          <t>Tray / conduit</t>
        </is>
      </c>
      <c r="T2595" s="16" t="n">
        <v>134</v>
      </c>
      <c r="U2595" s="16" t="n">
        <v>10</v>
      </c>
      <c r="V2595" s="16">
        <f>ROUNDUP((T2595+U2595+2*'Read Me'!$B$13)*(1+'Read Me'!$B$12),-1)</f>
        <v/>
      </c>
      <c r="W2595" s="16">
        <f>V2595*N2595*O2595</f>
        <v/>
      </c>
      <c r="X2595" s="12">
        <f>IF(LEFT(I2595,2)="MV",2*N2595*IF(L2595="1/C",O2595,1),0)</f>
        <v/>
      </c>
      <c r="Y2595" s="12">
        <f>IF(OR(LEFT(K2595,4)="LVAX",LEFT(K2595,6)="MV15AX",LEFT(K2595,4)="CTAX",LEFT(K2595,2)="W|"),2*N2595*O2595,0)</f>
        <v/>
      </c>
      <c r="Z2595" s="12" t="inlineStr">
        <is>
          <t>device-to-JB field wiring, one cable per device</t>
        </is>
      </c>
      <c r="AA2595" s="12">
        <f>N2595*O2595</f>
        <v/>
      </c>
    </row>
    <row r="2596">
      <c r="A2596" s="12" t="inlineStr">
        <is>
          <t>D-I-0002</t>
        </is>
      </c>
      <c r="B2596" s="12" t="inlineStr">
        <is>
          <t>D</t>
        </is>
      </c>
      <c r="C2596" s="12" t="inlineStr">
        <is>
          <t>Fuel gas</t>
        </is>
      </c>
      <c r="D2596" s="12" t="inlineStr">
        <is>
          <t>Home run JB-CONDITIONAL: ULSD -AI01 to the control / marshalling room</t>
        </is>
      </c>
      <c r="E2596" s="12" t="inlineStr"/>
      <c r="F2596" s="12" t="inlineStr">
        <is>
          <t>Gas yard local control enclosure</t>
        </is>
      </c>
      <c r="G2596" s="12" t="inlineStr">
        <is>
          <t>JB-CONDITIONAL: ULSD -AI01</t>
        </is>
      </c>
      <c r="H2596" s="12" t="inlineStr">
        <is>
          <t>CONDITIONAL: ULSD backup fuel-oil tank</t>
        </is>
      </c>
      <c r="I2596" s="12" t="inlineStr">
        <is>
          <t>Instrumentation</t>
        </is>
      </c>
      <c r="J2596" s="12" t="inlineStr">
        <is>
          <t>Instrumentation ITC / PLTC, IS, #18 shielded pairs, blue jacket</t>
        </is>
      </c>
      <c r="K2596" s="12" t="inlineStr">
        <is>
          <t>ITC|24 pr|18</t>
        </is>
      </c>
      <c r="L2596" s="12" t="inlineStr">
        <is>
          <t>24 pr</t>
        </is>
      </c>
      <c r="M2596" s="12" t="inlineStr">
        <is>
          <t>18</t>
        </is>
      </c>
      <c r="N2596" s="12" t="n">
        <v>1</v>
      </c>
      <c r="O2596" s="12" t="n">
        <v>1</v>
      </c>
      <c r="P2596" s="12" t="n"/>
      <c r="Q2596" s="12" t="n"/>
      <c r="R2596" s="12" t="n"/>
      <c r="S2596" s="12" t="inlineStr">
        <is>
          <t>Duct bank</t>
        </is>
      </c>
      <c r="T2596" s="16" t="n">
        <v>199</v>
      </c>
      <c r="U2596" s="16" t="n">
        <v>32</v>
      </c>
      <c r="V2596" s="16">
        <f>ROUNDUP((T2596+U2596+2*'Read Me'!$B$13)*(1+'Read Me'!$B$12),-1)</f>
        <v/>
      </c>
      <c r="W2596" s="16">
        <f>V2596*N2596*O2596</f>
        <v/>
      </c>
      <c r="X2596" s="12">
        <f>IF(LEFT(I2596,2)="MV",2*N2596*IF(L2596="1/C",O2596,1),0)</f>
        <v/>
      </c>
      <c r="Y2596" s="12">
        <f>IF(OR(LEFT(K2596,4)="LVAX",LEFT(K2596,6)="MV15AX",LEFT(K2596,4)="CTAX",LEFT(K2596,2)="W|"),2*N2596*O2596,0)</f>
        <v/>
      </c>
      <c r="Z2596" s="12" t="inlineStr"/>
      <c r="AA2596" s="12">
        <f>N2596*O2596</f>
        <v/>
      </c>
    </row>
    <row r="2597">
      <c r="A2597" s="12" t="inlineStr">
        <is>
          <t>D-I-0003</t>
        </is>
      </c>
      <c r="B2597" s="12" t="inlineStr">
        <is>
          <t>D</t>
        </is>
      </c>
      <c r="C2597" s="12" t="inlineStr">
        <is>
          <t>Fuel gas</t>
        </is>
      </c>
      <c r="D2597" s="12" t="inlineStr">
        <is>
          <t>Discrete device to JB JB-CONDITIONAL: ULSD -DI01: 4 x 1 pr (field cables)</t>
        </is>
      </c>
      <c r="E2597" s="12" t="inlineStr"/>
      <c r="F2597" s="12" t="inlineStr">
        <is>
          <t>CONDITIONAL: ULSD backup fuel-oil tank</t>
        </is>
      </c>
      <c r="G2597" s="12" t="inlineStr">
        <is>
          <t>JB-CONDITIONAL: ULSD -DI01</t>
        </is>
      </c>
      <c r="H2597" s="12" t="inlineStr">
        <is>
          <t>CONDITIONAL: ULSD backup fuel-oil tank</t>
        </is>
      </c>
      <c r="I2597" s="12" t="inlineStr">
        <is>
          <t>Instrumentation</t>
        </is>
      </c>
      <c r="J2597" s="12" t="inlineStr">
        <is>
          <t>Instrumentation ITC / PLTC, IS, #18 shielded pairs, blue jacket</t>
        </is>
      </c>
      <c r="K2597" s="12" t="inlineStr">
        <is>
          <t>ITC|1 pr|16</t>
        </is>
      </c>
      <c r="L2597" s="12" t="inlineStr">
        <is>
          <t>1 pr</t>
        </is>
      </c>
      <c r="M2597" s="12" t="inlineStr">
        <is>
          <t>16</t>
        </is>
      </c>
      <c r="N2597" s="12" t="n">
        <v>4</v>
      </c>
      <c r="O2597" s="12" t="n">
        <v>1</v>
      </c>
      <c r="P2597" s="12" t="n"/>
      <c r="Q2597" s="12" t="n"/>
      <c r="R2597" s="12" t="n"/>
      <c r="S2597" s="12" t="inlineStr">
        <is>
          <t>Tray / conduit</t>
        </is>
      </c>
      <c r="T2597" s="16" t="n">
        <v>134</v>
      </c>
      <c r="U2597" s="16" t="n">
        <v>10</v>
      </c>
      <c r="V2597" s="16">
        <f>ROUNDUP((T2597+U2597+2*'Read Me'!$B$13)*(1+'Read Me'!$B$12),-1)</f>
        <v/>
      </c>
      <c r="W2597" s="16">
        <f>V2597*N2597*O2597</f>
        <v/>
      </c>
      <c r="X2597" s="12">
        <f>IF(LEFT(I2597,2)="MV",2*N2597*IF(L2597="1/C",O2597,1),0)</f>
        <v/>
      </c>
      <c r="Y2597" s="12">
        <f>IF(OR(LEFT(K2597,4)="LVAX",LEFT(K2597,6)="MV15AX",LEFT(K2597,4)="CTAX",LEFT(K2597,2)="W|"),2*N2597*O2597,0)</f>
        <v/>
      </c>
      <c r="Z2597" s="12" t="inlineStr">
        <is>
          <t>device-to-JB field wiring, one cable per device</t>
        </is>
      </c>
      <c r="AA2597" s="12">
        <f>N2597*O2597</f>
        <v/>
      </c>
    </row>
    <row r="2598">
      <c r="A2598" s="12" t="inlineStr">
        <is>
          <t>D-I-0004</t>
        </is>
      </c>
      <c r="B2598" s="12" t="inlineStr">
        <is>
          <t>D</t>
        </is>
      </c>
      <c r="C2598" s="12" t="inlineStr">
        <is>
          <t>Fuel gas</t>
        </is>
      </c>
      <c r="D2598" s="12" t="inlineStr">
        <is>
          <t>Home run JB-CONDITIONAL: ULSD -DI01 to the control / marshalling room</t>
        </is>
      </c>
      <c r="E2598" s="12" t="inlineStr"/>
      <c r="F2598" s="12" t="inlineStr">
        <is>
          <t>Gas yard local control enclosure</t>
        </is>
      </c>
      <c r="G2598" s="12" t="inlineStr">
        <is>
          <t>JB-CONDITIONAL: ULSD -DI01</t>
        </is>
      </c>
      <c r="H2598" s="12" t="inlineStr">
        <is>
          <t>CONDITIONAL: ULSD backup fuel-oil tank</t>
        </is>
      </c>
      <c r="I2598" s="12" t="inlineStr">
        <is>
          <t>Instrumentation</t>
        </is>
      </c>
      <c r="J2598" s="12" t="inlineStr">
        <is>
          <t>Instrumentation ITC / PLTC, IS, #18 shielded pairs, blue jacket</t>
        </is>
      </c>
      <c r="K2598" s="12" t="inlineStr">
        <is>
          <t>ITC|24 pr|18</t>
        </is>
      </c>
      <c r="L2598" s="12" t="inlineStr">
        <is>
          <t>24 pr</t>
        </is>
      </c>
      <c r="M2598" s="12" t="inlineStr">
        <is>
          <t>18</t>
        </is>
      </c>
      <c r="N2598" s="12" t="n">
        <v>1</v>
      </c>
      <c r="O2598" s="12" t="n">
        <v>1</v>
      </c>
      <c r="P2598" s="12" t="n"/>
      <c r="Q2598" s="12" t="n"/>
      <c r="R2598" s="12" t="n"/>
      <c r="S2598" s="12" t="inlineStr">
        <is>
          <t>Duct bank</t>
        </is>
      </c>
      <c r="T2598" s="16" t="n">
        <v>199</v>
      </c>
      <c r="U2598" s="16" t="n">
        <v>32</v>
      </c>
      <c r="V2598" s="16">
        <f>ROUNDUP((T2598+U2598+2*'Read Me'!$B$13)*(1+'Read Me'!$B$12),-1)</f>
        <v/>
      </c>
      <c r="W2598" s="16">
        <f>V2598*N2598*O2598</f>
        <v/>
      </c>
      <c r="X2598" s="12">
        <f>IF(LEFT(I2598,2)="MV",2*N2598*IF(L2598="1/C",O2598,1),0)</f>
        <v/>
      </c>
      <c r="Y2598" s="12">
        <f>IF(OR(LEFT(K2598,4)="LVAX",LEFT(K2598,6)="MV15AX",LEFT(K2598,4)="CTAX",LEFT(K2598,2)="W|"),2*N2598*O2598,0)</f>
        <v/>
      </c>
      <c r="Z2598" s="12" t="inlineStr"/>
      <c r="AA2598" s="12">
        <f>N2598*O2598</f>
        <v/>
      </c>
    </row>
    <row r="2599">
      <c r="A2599" s="12" t="inlineStr">
        <is>
          <t>D-I-0005</t>
        </is>
      </c>
      <c r="B2599" s="12" t="inlineStr">
        <is>
          <t>D</t>
        </is>
      </c>
      <c r="C2599" s="12" t="inlineStr">
        <is>
          <t>Fuel gas</t>
        </is>
      </c>
      <c r="D2599" s="12" t="inlineStr">
        <is>
          <t>Analog instrument to JB JB-CONDITIONAL: ULSD -AI01: 4 x 1 pr (field cables)</t>
        </is>
      </c>
      <c r="E2599" s="12" t="inlineStr"/>
      <c r="F2599" s="12" t="inlineStr">
        <is>
          <t>CONDITIONAL: ULSD tank containment dike</t>
        </is>
      </c>
      <c r="G2599" s="12" t="inlineStr">
        <is>
          <t>JB-CONDITIONAL: ULSD -AI01</t>
        </is>
      </c>
      <c r="H2599" s="12" t="inlineStr">
        <is>
          <t>CONDITIONAL: ULSD tank containment dike</t>
        </is>
      </c>
      <c r="I2599" s="12" t="inlineStr">
        <is>
          <t>Instrumentation</t>
        </is>
      </c>
      <c r="J2599" s="12" t="inlineStr">
        <is>
          <t>Instrumentation ITC / PLTC, IS, #18 shielded pairs, blue jacket</t>
        </is>
      </c>
      <c r="K2599" s="12" t="inlineStr">
        <is>
          <t>ITC|1 pr|16</t>
        </is>
      </c>
      <c r="L2599" s="12" t="inlineStr">
        <is>
          <t>1 pr</t>
        </is>
      </c>
      <c r="M2599" s="12" t="inlineStr">
        <is>
          <t>16</t>
        </is>
      </c>
      <c r="N2599" s="12" t="n">
        <v>4</v>
      </c>
      <c r="O2599" s="12" t="n">
        <v>1</v>
      </c>
      <c r="P2599" s="12" t="n"/>
      <c r="Q2599" s="12" t="n"/>
      <c r="R2599" s="12" t="n"/>
      <c r="S2599" s="12" t="inlineStr">
        <is>
          <t>Tray / conduit</t>
        </is>
      </c>
      <c r="T2599" s="16" t="n">
        <v>137</v>
      </c>
      <c r="U2599" s="16" t="n">
        <v>10</v>
      </c>
      <c r="V2599" s="16">
        <f>ROUNDUP((T2599+U2599+2*'Read Me'!$B$13)*(1+'Read Me'!$B$12),-1)</f>
        <v/>
      </c>
      <c r="W2599" s="16">
        <f>V2599*N2599*O2599</f>
        <v/>
      </c>
      <c r="X2599" s="12">
        <f>IF(LEFT(I2599,2)="MV",2*N2599*IF(L2599="1/C",O2599,1),0)</f>
        <v/>
      </c>
      <c r="Y2599" s="12">
        <f>IF(OR(LEFT(K2599,4)="LVAX",LEFT(K2599,6)="MV15AX",LEFT(K2599,4)="CTAX",LEFT(K2599,2)="W|"),2*N2599*O2599,0)</f>
        <v/>
      </c>
      <c r="Z2599" s="12" t="inlineStr">
        <is>
          <t>device-to-JB field wiring, one cable per device</t>
        </is>
      </c>
      <c r="AA2599" s="12">
        <f>N2599*O2599</f>
        <v/>
      </c>
    </row>
    <row r="2600">
      <c r="A2600" s="12" t="inlineStr">
        <is>
          <t>D-I-0006</t>
        </is>
      </c>
      <c r="B2600" s="12" t="inlineStr">
        <is>
          <t>D</t>
        </is>
      </c>
      <c r="C2600" s="12" t="inlineStr">
        <is>
          <t>Fuel gas</t>
        </is>
      </c>
      <c r="D2600" s="12" t="inlineStr">
        <is>
          <t>Home run JB-CONDITIONAL: ULSD -AI01 to the control / marshalling room</t>
        </is>
      </c>
      <c r="E2600" s="12" t="inlineStr"/>
      <c r="F2600" s="12" t="inlineStr">
        <is>
          <t>Gas yard local control enclosure</t>
        </is>
      </c>
      <c r="G2600" s="12" t="inlineStr">
        <is>
          <t>JB-CONDITIONAL: ULSD -AI01</t>
        </is>
      </c>
      <c r="H2600" s="12" t="inlineStr">
        <is>
          <t>CONDITIONAL: ULSD tank containment dike</t>
        </is>
      </c>
      <c r="I2600" s="12" t="inlineStr">
        <is>
          <t>Instrumentation</t>
        </is>
      </c>
      <c r="J2600" s="12" t="inlineStr">
        <is>
          <t>Instrumentation ITC / PLTC, IS, #18 shielded pairs, blue jacket</t>
        </is>
      </c>
      <c r="K2600" s="12" t="inlineStr">
        <is>
          <t>ITC|24 pr|18</t>
        </is>
      </c>
      <c r="L2600" s="12" t="inlineStr">
        <is>
          <t>24 pr</t>
        </is>
      </c>
      <c r="M2600" s="12" t="inlineStr">
        <is>
          <t>18</t>
        </is>
      </c>
      <c r="N2600" s="12" t="n">
        <v>1</v>
      </c>
      <c r="O2600" s="12" t="n">
        <v>1</v>
      </c>
      <c r="P2600" s="12" t="n"/>
      <c r="Q2600" s="12" t="n"/>
      <c r="R2600" s="12" t="n"/>
      <c r="S2600" s="12" t="inlineStr">
        <is>
          <t>Duct bank</t>
        </is>
      </c>
      <c r="T2600" s="16" t="n">
        <v>154</v>
      </c>
      <c r="U2600" s="16" t="n">
        <v>67</v>
      </c>
      <c r="V2600" s="16">
        <f>ROUNDUP((T2600+U2600+2*'Read Me'!$B$13)*(1+'Read Me'!$B$12),-1)</f>
        <v/>
      </c>
      <c r="W2600" s="16">
        <f>V2600*N2600*O2600</f>
        <v/>
      </c>
      <c r="X2600" s="12">
        <f>IF(LEFT(I2600,2)="MV",2*N2600*IF(L2600="1/C",O2600,1),0)</f>
        <v/>
      </c>
      <c r="Y2600" s="12">
        <f>IF(OR(LEFT(K2600,4)="LVAX",LEFT(K2600,6)="MV15AX",LEFT(K2600,4)="CTAX",LEFT(K2600,2)="W|"),2*N2600*O2600,0)</f>
        <v/>
      </c>
      <c r="Z2600" s="12" t="inlineStr"/>
      <c r="AA2600" s="12">
        <f>N2600*O2600</f>
        <v/>
      </c>
    </row>
    <row r="2601">
      <c r="A2601" s="12" t="inlineStr">
        <is>
          <t>D-I-0007</t>
        </is>
      </c>
      <c r="B2601" s="12" t="inlineStr">
        <is>
          <t>D</t>
        </is>
      </c>
      <c r="C2601" s="12" t="inlineStr">
        <is>
          <t>Fuel gas</t>
        </is>
      </c>
      <c r="D2601" s="12" t="inlineStr">
        <is>
          <t>Discrete device to JB JB-CONDITIONAL: ULSD -DI01: 4 x 1 pr (field cables)</t>
        </is>
      </c>
      <c r="E2601" s="12" t="inlineStr"/>
      <c r="F2601" s="12" t="inlineStr">
        <is>
          <t>CONDITIONAL: ULSD tank containment dike</t>
        </is>
      </c>
      <c r="G2601" s="12" t="inlineStr">
        <is>
          <t>JB-CONDITIONAL: ULSD -DI01</t>
        </is>
      </c>
      <c r="H2601" s="12" t="inlineStr">
        <is>
          <t>CONDITIONAL: ULSD tank containment dike</t>
        </is>
      </c>
      <c r="I2601" s="12" t="inlineStr">
        <is>
          <t>Instrumentation</t>
        </is>
      </c>
      <c r="J2601" s="12" t="inlineStr">
        <is>
          <t>Instrumentation ITC / PLTC, IS, #18 shielded pairs, blue jacket</t>
        </is>
      </c>
      <c r="K2601" s="12" t="inlineStr">
        <is>
          <t>ITC|1 pr|16</t>
        </is>
      </c>
      <c r="L2601" s="12" t="inlineStr">
        <is>
          <t>1 pr</t>
        </is>
      </c>
      <c r="M2601" s="12" t="inlineStr">
        <is>
          <t>16</t>
        </is>
      </c>
      <c r="N2601" s="12" t="n">
        <v>4</v>
      </c>
      <c r="O2601" s="12" t="n">
        <v>1</v>
      </c>
      <c r="P2601" s="12" t="n"/>
      <c r="Q2601" s="12" t="n"/>
      <c r="R2601" s="12" t="n"/>
      <c r="S2601" s="12" t="inlineStr">
        <is>
          <t>Tray / conduit</t>
        </is>
      </c>
      <c r="T2601" s="16" t="n">
        <v>137</v>
      </c>
      <c r="U2601" s="16" t="n">
        <v>10</v>
      </c>
      <c r="V2601" s="16">
        <f>ROUNDUP((T2601+U2601+2*'Read Me'!$B$13)*(1+'Read Me'!$B$12),-1)</f>
        <v/>
      </c>
      <c r="W2601" s="16">
        <f>V2601*N2601*O2601</f>
        <v/>
      </c>
      <c r="X2601" s="12">
        <f>IF(LEFT(I2601,2)="MV",2*N2601*IF(L2601="1/C",O2601,1),0)</f>
        <v/>
      </c>
      <c r="Y2601" s="12">
        <f>IF(OR(LEFT(K2601,4)="LVAX",LEFT(K2601,6)="MV15AX",LEFT(K2601,4)="CTAX",LEFT(K2601,2)="W|"),2*N2601*O2601,0)</f>
        <v/>
      </c>
      <c r="Z2601" s="12" t="inlineStr">
        <is>
          <t>device-to-JB field wiring, one cable per device</t>
        </is>
      </c>
      <c r="AA2601" s="12">
        <f>N2601*O2601</f>
        <v/>
      </c>
    </row>
    <row r="2602">
      <c r="A2602" s="12" t="inlineStr">
        <is>
          <t>D-I-0008</t>
        </is>
      </c>
      <c r="B2602" s="12" t="inlineStr">
        <is>
          <t>D</t>
        </is>
      </c>
      <c r="C2602" s="12" t="inlineStr">
        <is>
          <t>Fuel gas</t>
        </is>
      </c>
      <c r="D2602" s="12" t="inlineStr">
        <is>
          <t>Home run JB-CONDITIONAL: ULSD -DI01 to the control / marshalling room</t>
        </is>
      </c>
      <c r="E2602" s="12" t="inlineStr"/>
      <c r="F2602" s="12" t="inlineStr">
        <is>
          <t>Gas yard local control enclosure</t>
        </is>
      </c>
      <c r="G2602" s="12" t="inlineStr">
        <is>
          <t>JB-CONDITIONAL: ULSD -DI01</t>
        </is>
      </c>
      <c r="H2602" s="12" t="inlineStr">
        <is>
          <t>CONDITIONAL: ULSD tank containment dike</t>
        </is>
      </c>
      <c r="I2602" s="12" t="inlineStr">
        <is>
          <t>Instrumentation</t>
        </is>
      </c>
      <c r="J2602" s="12" t="inlineStr">
        <is>
          <t>Instrumentation ITC / PLTC, IS, #18 shielded pairs, blue jacket</t>
        </is>
      </c>
      <c r="K2602" s="12" t="inlineStr">
        <is>
          <t>ITC|24 pr|18</t>
        </is>
      </c>
      <c r="L2602" s="12" t="inlineStr">
        <is>
          <t>24 pr</t>
        </is>
      </c>
      <c r="M2602" s="12" t="inlineStr">
        <is>
          <t>18</t>
        </is>
      </c>
      <c r="N2602" s="12" t="n">
        <v>1</v>
      </c>
      <c r="O2602" s="12" t="n">
        <v>1</v>
      </c>
      <c r="P2602" s="12" t="n"/>
      <c r="Q2602" s="12" t="n"/>
      <c r="R2602" s="12" t="n"/>
      <c r="S2602" s="12" t="inlineStr">
        <is>
          <t>Duct bank</t>
        </is>
      </c>
      <c r="T2602" s="16" t="n">
        <v>154</v>
      </c>
      <c r="U2602" s="16" t="n">
        <v>67</v>
      </c>
      <c r="V2602" s="16">
        <f>ROUNDUP((T2602+U2602+2*'Read Me'!$B$13)*(1+'Read Me'!$B$12),-1)</f>
        <v/>
      </c>
      <c r="W2602" s="16">
        <f>V2602*N2602*O2602</f>
        <v/>
      </c>
      <c r="X2602" s="12">
        <f>IF(LEFT(I2602,2)="MV",2*N2602*IF(L2602="1/C",O2602,1),0)</f>
        <v/>
      </c>
      <c r="Y2602" s="12">
        <f>IF(OR(LEFT(K2602,4)="LVAX",LEFT(K2602,6)="MV15AX",LEFT(K2602,4)="CTAX",LEFT(K2602,2)="W|"),2*N2602*O2602,0)</f>
        <v/>
      </c>
      <c r="Z2602" s="12" t="inlineStr"/>
      <c r="AA2602" s="12">
        <f>N2602*O2602</f>
        <v/>
      </c>
    </row>
    <row r="2603">
      <c r="A2603" s="12" t="inlineStr">
        <is>
          <t>D-I-0009</t>
        </is>
      </c>
      <c r="B2603" s="12" t="inlineStr">
        <is>
          <t>D</t>
        </is>
      </c>
      <c r="C2603" s="12" t="inlineStr">
        <is>
          <t>Fuel gas</t>
        </is>
      </c>
      <c r="D2603" s="12" t="inlineStr">
        <is>
          <t>Instrumentation</t>
        </is>
      </c>
      <c r="E2603" s="12" t="inlineStr"/>
      <c r="F2603" s="12" t="inlineStr">
        <is>
          <t>Gas yard local control enclosure</t>
        </is>
      </c>
      <c r="G2603" s="12" t="inlineStr"/>
      <c r="H2603" s="12" t="inlineStr">
        <is>
          <t>CONDITIONAL: ULSD truck unloading station (canopy, spill containment)</t>
        </is>
      </c>
      <c r="I2603" s="12" t="inlineStr">
        <is>
          <t>Instrumentation</t>
        </is>
      </c>
      <c r="J2603" s="12" t="inlineStr">
        <is>
          <t>Instrumentation ITC / PLTC, IS, #18 shielded pairs, blue jacket</t>
        </is>
      </c>
      <c r="K2603" s="12" t="inlineStr">
        <is>
          <t>ITC|4 pr|18</t>
        </is>
      </c>
      <c r="L2603" s="12" t="inlineStr">
        <is>
          <t>4 pr</t>
        </is>
      </c>
      <c r="M2603" s="12" t="inlineStr">
        <is>
          <t>18</t>
        </is>
      </c>
      <c r="N2603" s="12" t="n">
        <v>1</v>
      </c>
      <c r="O2603" s="12" t="n">
        <v>1</v>
      </c>
      <c r="P2603" s="12" t="n"/>
      <c r="Q2603" s="12" t="n"/>
      <c r="R2603" s="12" t="n"/>
      <c r="S2603" s="12" t="inlineStr">
        <is>
          <t>Tray</t>
        </is>
      </c>
      <c r="T2603" s="16" t="n">
        <v>65</v>
      </c>
      <c r="U2603" s="16" t="n">
        <v>132</v>
      </c>
      <c r="V2603" s="16">
        <f>ROUNDUP((T2603+U2603+2*'Read Me'!$B$13)*(1+'Read Me'!$B$12),-1)</f>
        <v/>
      </c>
      <c r="W2603" s="16">
        <f>V2603*N2603*O2603</f>
        <v/>
      </c>
      <c r="X2603" s="12">
        <f>IF(LEFT(I2603,2)="MV",2*N2603*IF(L2603="1/C",O2603,1),0)</f>
        <v/>
      </c>
      <c r="Y2603" s="12">
        <f>IF(OR(LEFT(K2603,4)="LVAX",LEFT(K2603,6)="MV15AX",LEFT(K2603,4)="CTAX",LEFT(K2603,2)="W|"),2*N2603*O2603,0)</f>
        <v/>
      </c>
      <c r="Z2603" s="12" t="inlineStr"/>
      <c r="AA2603" s="12">
        <f>N2603*O2603</f>
        <v/>
      </c>
    </row>
    <row r="2604">
      <c r="A2604" s="12" t="inlineStr">
        <is>
          <t>D-I-0010</t>
        </is>
      </c>
      <c r="B2604" s="12" t="inlineStr">
        <is>
          <t>D</t>
        </is>
      </c>
      <c r="C2604" s="12" t="inlineStr">
        <is>
          <t>Fuel gas</t>
        </is>
      </c>
      <c r="D2604" s="12" t="inlineStr">
        <is>
          <t>Instrumentation</t>
        </is>
      </c>
      <c r="E2604" s="12" t="inlineStr"/>
      <c r="F2604" s="12" t="inlineStr">
        <is>
          <t>Gas yard local control enclosure</t>
        </is>
      </c>
      <c r="G2604" s="12" t="inlineStr"/>
      <c r="H2604" s="12" t="inlineStr">
        <is>
          <t>CONDITIONAL: ULSD unloading and forwarding pumps, duplex filters</t>
        </is>
      </c>
      <c r="I2604" s="12" t="inlineStr">
        <is>
          <t>Instrumentation</t>
        </is>
      </c>
      <c r="J2604" s="12" t="inlineStr">
        <is>
          <t>Instrumentation ITC / PLTC, IS, #18 shielded pairs, blue jacket</t>
        </is>
      </c>
      <c r="K2604" s="12" t="inlineStr">
        <is>
          <t>ITC|4 pr|18</t>
        </is>
      </c>
      <c r="L2604" s="12" t="inlineStr">
        <is>
          <t>4 pr</t>
        </is>
      </c>
      <c r="M2604" s="12" t="inlineStr">
        <is>
          <t>18</t>
        </is>
      </c>
      <c r="N2604" s="12" t="n">
        <v>1</v>
      </c>
      <c r="O2604" s="12" t="n">
        <v>1</v>
      </c>
      <c r="P2604" s="12" t="n"/>
      <c r="Q2604" s="12" t="n"/>
      <c r="R2604" s="12" t="n"/>
      <c r="S2604" s="12" t="inlineStr">
        <is>
          <t>Tray</t>
        </is>
      </c>
      <c r="T2604" s="16" t="n">
        <v>65</v>
      </c>
      <c r="U2604" s="16" t="n">
        <v>59</v>
      </c>
      <c r="V2604" s="16">
        <f>ROUNDUP((T2604+U2604+2*'Read Me'!$B$13)*(1+'Read Me'!$B$12),-1)</f>
        <v/>
      </c>
      <c r="W2604" s="16">
        <f>V2604*N2604*O2604</f>
        <v/>
      </c>
      <c r="X2604" s="12">
        <f>IF(LEFT(I2604,2)="MV",2*N2604*IF(L2604="1/C",O2604,1),0)</f>
        <v/>
      </c>
      <c r="Y2604" s="12">
        <f>IF(OR(LEFT(K2604,4)="LVAX",LEFT(K2604,6)="MV15AX",LEFT(K2604,4)="CTAX",LEFT(K2604,2)="W|"),2*N2604*O2604,0)</f>
        <v/>
      </c>
      <c r="Z2604" s="12" t="inlineStr"/>
      <c r="AA2604" s="12">
        <f>N2604*O2604</f>
        <v/>
      </c>
    </row>
    <row r="2605">
      <c r="A2605" s="12" t="inlineStr">
        <is>
          <t>D-I-0011</t>
        </is>
      </c>
      <c r="B2605" s="12" t="inlineStr">
        <is>
          <t>D</t>
        </is>
      </c>
      <c r="C2605" s="12" t="inlineStr">
        <is>
          <t>Fuel gas</t>
        </is>
      </c>
      <c r="D2605" s="12" t="inlineStr">
        <is>
          <t>Instrumentation</t>
        </is>
      </c>
      <c r="E2605" s="12" t="inlineStr"/>
      <c r="F2605" s="12" t="inlineStr">
        <is>
          <t>Gas yard local control enclosure</t>
        </is>
      </c>
      <c r="G2605" s="12" t="inlineStr"/>
      <c r="H2605" s="12" t="inlineStr">
        <is>
          <t>CONDITIONAL: ULSD unloading and forwarding pumps, duplex filters</t>
        </is>
      </c>
      <c r="I2605" s="12" t="inlineStr">
        <is>
          <t>Instrumentation</t>
        </is>
      </c>
      <c r="J2605" s="12" t="inlineStr">
        <is>
          <t>Instrumentation ITC / PLTC, IS, #18 shielded pairs, blue jacket</t>
        </is>
      </c>
      <c r="K2605" s="12" t="inlineStr">
        <is>
          <t>ITC|12 pr|18</t>
        </is>
      </c>
      <c r="L2605" s="12" t="inlineStr">
        <is>
          <t>12 pr</t>
        </is>
      </c>
      <c r="M2605" s="12" t="inlineStr">
        <is>
          <t>18</t>
        </is>
      </c>
      <c r="N2605" s="12" t="n">
        <v>1</v>
      </c>
      <c r="O2605" s="12" t="n">
        <v>1</v>
      </c>
      <c r="P2605" s="12" t="n"/>
      <c r="Q2605" s="12" t="n"/>
      <c r="R2605" s="12" t="n"/>
      <c r="S2605" s="12" t="inlineStr">
        <is>
          <t>Tray</t>
        </is>
      </c>
      <c r="T2605" s="16" t="n">
        <v>65</v>
      </c>
      <c r="U2605" s="16" t="n">
        <v>59</v>
      </c>
      <c r="V2605" s="16">
        <f>ROUNDUP((T2605+U2605+2*'Read Me'!$B$13)*(1+'Read Me'!$B$12),-1)</f>
        <v/>
      </c>
      <c r="W2605" s="16">
        <f>V2605*N2605*O2605</f>
        <v/>
      </c>
      <c r="X2605" s="12">
        <f>IF(LEFT(I2605,2)="MV",2*N2605*IF(L2605="1/C",O2605,1),0)</f>
        <v/>
      </c>
      <c r="Y2605" s="12">
        <f>IF(OR(LEFT(K2605,4)="LVAX",LEFT(K2605,6)="MV15AX",LEFT(K2605,4)="CTAX",LEFT(K2605,2)="W|"),2*N2605*O2605,0)</f>
        <v/>
      </c>
      <c r="Z2605" s="12" t="inlineStr"/>
      <c r="AA2605" s="12">
        <f>N2605*O2605</f>
        <v/>
      </c>
    </row>
    <row r="2606">
      <c r="A2606" s="12" t="inlineStr">
        <is>
          <t>D-I-0012</t>
        </is>
      </c>
      <c r="B2606" s="12" t="inlineStr">
        <is>
          <t>D</t>
        </is>
      </c>
      <c r="C2606" s="12" t="inlineStr">
        <is>
          <t>Fuel gas</t>
        </is>
      </c>
      <c r="D2606" s="12" t="inlineStr">
        <is>
          <t>Instrumentation</t>
        </is>
      </c>
      <c r="E2606" s="12" t="inlineStr"/>
      <c r="F2606" s="12" t="inlineStr">
        <is>
          <t>Gas yard local control enclosure</t>
        </is>
      </c>
      <c r="G2606" s="12" t="inlineStr"/>
      <c r="H2606" s="12" t="inlineStr">
        <is>
          <t>CONDITIONAL: backup fuel oil (ULSD) unloading and forwarding area</t>
        </is>
      </c>
      <c r="I2606" s="12" t="inlineStr">
        <is>
          <t>Instrumentation</t>
        </is>
      </c>
      <c r="J2606" s="12" t="inlineStr">
        <is>
          <t>Instrumentation ITC / PLTC, IS, #18 shielded pairs, blue jacket</t>
        </is>
      </c>
      <c r="K2606" s="12" t="inlineStr">
        <is>
          <t>ITC|4 pr|18</t>
        </is>
      </c>
      <c r="L2606" s="12" t="inlineStr">
        <is>
          <t>4 pr</t>
        </is>
      </c>
      <c r="M2606" s="12" t="inlineStr">
        <is>
          <t>18</t>
        </is>
      </c>
      <c r="N2606" s="12" t="n">
        <v>1</v>
      </c>
      <c r="O2606" s="12" t="n">
        <v>1</v>
      </c>
      <c r="P2606" s="12" t="n"/>
      <c r="Q2606" s="12" t="n"/>
      <c r="R2606" s="12" t="n"/>
      <c r="S2606" s="12" t="inlineStr">
        <is>
          <t>Tray</t>
        </is>
      </c>
      <c r="T2606" s="16" t="n">
        <v>65</v>
      </c>
      <c r="U2606" s="16" t="n">
        <v>42</v>
      </c>
      <c r="V2606" s="16">
        <f>ROUNDUP((T2606+U2606+2*'Read Me'!$B$13)*(1+'Read Me'!$B$12),-1)</f>
        <v/>
      </c>
      <c r="W2606" s="16">
        <f>V2606*N2606*O2606</f>
        <v/>
      </c>
      <c r="X2606" s="12">
        <f>IF(LEFT(I2606,2)="MV",2*N2606*IF(L2606="1/C",O2606,1),0)</f>
        <v/>
      </c>
      <c r="Y2606" s="12">
        <f>IF(OR(LEFT(K2606,4)="LVAX",LEFT(K2606,6)="MV15AX",LEFT(K2606,4)="CTAX",LEFT(K2606,2)="W|"),2*N2606*O2606,0)</f>
        <v/>
      </c>
      <c r="Z2606" s="12" t="inlineStr"/>
      <c r="AA2606" s="12">
        <f>N2606*O2606</f>
        <v/>
      </c>
    </row>
    <row r="2607">
      <c r="A2607" s="12" t="inlineStr">
        <is>
          <t>D-I-0013</t>
        </is>
      </c>
      <c r="B2607" s="12" t="inlineStr">
        <is>
          <t>D</t>
        </is>
      </c>
      <c r="C2607" s="12" t="inlineStr">
        <is>
          <t>Fuel gas</t>
        </is>
      </c>
      <c r="D2607" s="12" t="inlineStr">
        <is>
          <t>Analog instrument to JB JB-CONDITIONAL: fuel--AI01: 20 x 1 pr (field cables)</t>
        </is>
      </c>
      <c r="E2607" s="12" t="inlineStr"/>
      <c r="F2607" s="12" t="inlineStr">
        <is>
          <t>CONDITIONAL: fuel-gas compressors</t>
        </is>
      </c>
      <c r="G2607" s="12" t="inlineStr">
        <is>
          <t>JB-CONDITIONAL: fuel--AI01</t>
        </is>
      </c>
      <c r="H2607" s="12" t="inlineStr">
        <is>
          <t>CONDITIONAL: fuel-gas compressors</t>
        </is>
      </c>
      <c r="I2607" s="12" t="inlineStr">
        <is>
          <t>Instrumentation</t>
        </is>
      </c>
      <c r="J2607" s="12" t="inlineStr">
        <is>
          <t>Instrumentation ITC / PLTC, IS, #18 shielded pairs, blue jacket</t>
        </is>
      </c>
      <c r="K2607" s="12" t="inlineStr">
        <is>
          <t>ITC|1 pr|16</t>
        </is>
      </c>
      <c r="L2607" s="12" t="inlineStr">
        <is>
          <t>1 pr</t>
        </is>
      </c>
      <c r="M2607" s="12" t="inlineStr">
        <is>
          <t>16</t>
        </is>
      </c>
      <c r="N2607" s="12" t="n">
        <v>20</v>
      </c>
      <c r="O2607" s="12" t="n">
        <v>1</v>
      </c>
      <c r="P2607" s="12" t="n"/>
      <c r="Q2607" s="12" t="n"/>
      <c r="R2607" s="12" t="n"/>
      <c r="S2607" s="12" t="inlineStr">
        <is>
          <t>Tray / conduit</t>
        </is>
      </c>
      <c r="T2607" s="16" t="n">
        <v>133</v>
      </c>
      <c r="U2607" s="16" t="n">
        <v>10</v>
      </c>
      <c r="V2607" s="16">
        <f>ROUNDUP((T2607+U2607+2*'Read Me'!$B$13)*(1+'Read Me'!$B$12),-1)</f>
        <v/>
      </c>
      <c r="W2607" s="16">
        <f>V2607*N2607*O2607</f>
        <v/>
      </c>
      <c r="X2607" s="12">
        <f>IF(LEFT(I2607,2)="MV",2*N2607*IF(L2607="1/C",O2607,1),0)</f>
        <v/>
      </c>
      <c r="Y2607" s="12">
        <f>IF(OR(LEFT(K2607,4)="LVAX",LEFT(K2607,6)="MV15AX",LEFT(K2607,4)="CTAX",LEFT(K2607,2)="W|"),2*N2607*O2607,0)</f>
        <v/>
      </c>
      <c r="Z2607" s="12" t="inlineStr">
        <is>
          <t>device-to-JB field wiring, one cable per device</t>
        </is>
      </c>
      <c r="AA2607" s="12">
        <f>N2607*O2607</f>
        <v/>
      </c>
    </row>
    <row r="2608">
      <c r="A2608" s="12" t="inlineStr">
        <is>
          <t>D-I-0014</t>
        </is>
      </c>
      <c r="B2608" s="12" t="inlineStr">
        <is>
          <t>D</t>
        </is>
      </c>
      <c r="C2608" s="12" t="inlineStr">
        <is>
          <t>Fuel gas</t>
        </is>
      </c>
      <c r="D2608" s="12" t="inlineStr">
        <is>
          <t>Home run JB-CONDITIONAL: fuel--AI01 to the control / marshalling room</t>
        </is>
      </c>
      <c r="E2608" s="12" t="inlineStr"/>
      <c r="F2608" s="12" t="inlineStr">
        <is>
          <t>Gas yard local control enclosure</t>
        </is>
      </c>
      <c r="G2608" s="12" t="inlineStr">
        <is>
          <t>JB-CONDITIONAL: fuel--AI01</t>
        </is>
      </c>
      <c r="H2608" s="12" t="inlineStr">
        <is>
          <t>CONDITIONAL: fuel-gas compressors</t>
        </is>
      </c>
      <c r="I2608" s="12" t="inlineStr">
        <is>
          <t>Instrumentation</t>
        </is>
      </c>
      <c r="J2608" s="12" t="inlineStr">
        <is>
          <t>Instrumentation ITC / PLTC, IS, #18 shielded pairs, blue jacket</t>
        </is>
      </c>
      <c r="K2608" s="12" t="inlineStr">
        <is>
          <t>ITC|24 pr|18</t>
        </is>
      </c>
      <c r="L2608" s="12" t="inlineStr">
        <is>
          <t>24 pr</t>
        </is>
      </c>
      <c r="M2608" s="12" t="inlineStr">
        <is>
          <t>18</t>
        </is>
      </c>
      <c r="N2608" s="12" t="n">
        <v>1</v>
      </c>
      <c r="O2608" s="12" t="n">
        <v>1</v>
      </c>
      <c r="P2608" s="12" t="n"/>
      <c r="Q2608" s="12" t="n"/>
      <c r="R2608" s="12" t="n"/>
      <c r="S2608" s="12" t="inlineStr">
        <is>
          <t>Duct bank</t>
        </is>
      </c>
      <c r="T2608" s="16" t="n">
        <v>553</v>
      </c>
      <c r="U2608" s="16" t="n">
        <v>32</v>
      </c>
      <c r="V2608" s="16">
        <f>ROUNDUP((T2608+U2608+2*'Read Me'!$B$13)*(1+'Read Me'!$B$12),-1)</f>
        <v/>
      </c>
      <c r="W2608" s="16">
        <f>V2608*N2608*O2608</f>
        <v/>
      </c>
      <c r="X2608" s="12">
        <f>IF(LEFT(I2608,2)="MV",2*N2608*IF(L2608="1/C",O2608,1),0)</f>
        <v/>
      </c>
      <c r="Y2608" s="12">
        <f>IF(OR(LEFT(K2608,4)="LVAX",LEFT(K2608,6)="MV15AX",LEFT(K2608,4)="CTAX",LEFT(K2608,2)="W|"),2*N2608*O2608,0)</f>
        <v/>
      </c>
      <c r="Z2608" s="12" t="inlineStr"/>
      <c r="AA2608" s="12">
        <f>N2608*O2608</f>
        <v/>
      </c>
    </row>
    <row r="2609">
      <c r="A2609" s="12" t="inlineStr">
        <is>
          <t>D-I-0015</t>
        </is>
      </c>
      <c r="B2609" s="12" t="inlineStr">
        <is>
          <t>D</t>
        </is>
      </c>
      <c r="C2609" s="12" t="inlineStr">
        <is>
          <t>Fuel gas</t>
        </is>
      </c>
      <c r="D2609" s="12" t="inlineStr">
        <is>
          <t>Analog instrument to JB JB-CONDITIONAL: fuel--AI02: 10 x 1 pr (field cables)</t>
        </is>
      </c>
      <c r="E2609" s="12" t="inlineStr"/>
      <c r="F2609" s="12" t="inlineStr">
        <is>
          <t>CONDITIONAL: fuel-gas compressors</t>
        </is>
      </c>
      <c r="G2609" s="12" t="inlineStr">
        <is>
          <t>JB-CONDITIONAL: fuel--AI02</t>
        </is>
      </c>
      <c r="H2609" s="12" t="inlineStr">
        <is>
          <t>CONDITIONAL: fuel-gas compressors</t>
        </is>
      </c>
      <c r="I2609" s="12" t="inlineStr">
        <is>
          <t>Instrumentation</t>
        </is>
      </c>
      <c r="J2609" s="12" t="inlineStr">
        <is>
          <t>Instrumentation ITC / PLTC, IS, #18 shielded pairs, blue jacket</t>
        </is>
      </c>
      <c r="K2609" s="12" t="inlineStr">
        <is>
          <t>ITC|1 pr|16</t>
        </is>
      </c>
      <c r="L2609" s="12" t="inlineStr">
        <is>
          <t>1 pr</t>
        </is>
      </c>
      <c r="M2609" s="12" t="inlineStr">
        <is>
          <t>16</t>
        </is>
      </c>
      <c r="N2609" s="12" t="n">
        <v>10</v>
      </c>
      <c r="O2609" s="12" t="n">
        <v>1</v>
      </c>
      <c r="P2609" s="12" t="n"/>
      <c r="Q2609" s="12" t="n"/>
      <c r="R2609" s="12" t="n"/>
      <c r="S2609" s="12" t="inlineStr">
        <is>
          <t>Tray / conduit</t>
        </is>
      </c>
      <c r="T2609" s="16" t="n">
        <v>133</v>
      </c>
      <c r="U2609" s="16" t="n">
        <v>10</v>
      </c>
      <c r="V2609" s="16">
        <f>ROUNDUP((T2609+U2609+2*'Read Me'!$B$13)*(1+'Read Me'!$B$12),-1)</f>
        <v/>
      </c>
      <c r="W2609" s="16">
        <f>V2609*N2609*O2609</f>
        <v/>
      </c>
      <c r="X2609" s="12">
        <f>IF(LEFT(I2609,2)="MV",2*N2609*IF(L2609="1/C",O2609,1),0)</f>
        <v/>
      </c>
      <c r="Y2609" s="12">
        <f>IF(OR(LEFT(K2609,4)="LVAX",LEFT(K2609,6)="MV15AX",LEFT(K2609,4)="CTAX",LEFT(K2609,2)="W|"),2*N2609*O2609,0)</f>
        <v/>
      </c>
      <c r="Z2609" s="12" t="inlineStr">
        <is>
          <t>device-to-JB field wiring, one cable per device</t>
        </is>
      </c>
      <c r="AA2609" s="12">
        <f>N2609*O2609</f>
        <v/>
      </c>
    </row>
    <row r="2610">
      <c r="A2610" s="12" t="inlineStr">
        <is>
          <t>D-I-0016</t>
        </is>
      </c>
      <c r="B2610" s="12" t="inlineStr">
        <is>
          <t>D</t>
        </is>
      </c>
      <c r="C2610" s="12" t="inlineStr">
        <is>
          <t>Fuel gas</t>
        </is>
      </c>
      <c r="D2610" s="12" t="inlineStr">
        <is>
          <t>Home run JB-CONDITIONAL: fuel--AI02 to the control / marshalling room</t>
        </is>
      </c>
      <c r="E2610" s="12" t="inlineStr"/>
      <c r="F2610" s="12" t="inlineStr">
        <is>
          <t>Gas yard local control enclosure</t>
        </is>
      </c>
      <c r="G2610" s="12" t="inlineStr">
        <is>
          <t>JB-CONDITIONAL: fuel--AI02</t>
        </is>
      </c>
      <c r="H2610" s="12" t="inlineStr">
        <is>
          <t>CONDITIONAL: fuel-gas compressors</t>
        </is>
      </c>
      <c r="I2610" s="12" t="inlineStr">
        <is>
          <t>Instrumentation</t>
        </is>
      </c>
      <c r="J2610" s="12" t="inlineStr">
        <is>
          <t>Instrumentation ITC / PLTC, IS, #18 shielded pairs, blue jacket</t>
        </is>
      </c>
      <c r="K2610" s="12" t="inlineStr">
        <is>
          <t>ITC|24 pr|18</t>
        </is>
      </c>
      <c r="L2610" s="12" t="inlineStr">
        <is>
          <t>24 pr</t>
        </is>
      </c>
      <c r="M2610" s="12" t="inlineStr">
        <is>
          <t>18</t>
        </is>
      </c>
      <c r="N2610" s="12" t="n">
        <v>1</v>
      </c>
      <c r="O2610" s="12" t="n">
        <v>1</v>
      </c>
      <c r="P2610" s="12" t="n"/>
      <c r="Q2610" s="12" t="n"/>
      <c r="R2610" s="12" t="n"/>
      <c r="S2610" s="12" t="inlineStr">
        <is>
          <t>Duct bank</t>
        </is>
      </c>
      <c r="T2610" s="16" t="n">
        <v>553</v>
      </c>
      <c r="U2610" s="16" t="n">
        <v>32</v>
      </c>
      <c r="V2610" s="16">
        <f>ROUNDUP((T2610+U2610+2*'Read Me'!$B$13)*(1+'Read Me'!$B$12),-1)</f>
        <v/>
      </c>
      <c r="W2610" s="16">
        <f>V2610*N2610*O2610</f>
        <v/>
      </c>
      <c r="X2610" s="12">
        <f>IF(LEFT(I2610,2)="MV",2*N2610*IF(L2610="1/C",O2610,1),0)</f>
        <v/>
      </c>
      <c r="Y2610" s="12">
        <f>IF(OR(LEFT(K2610,4)="LVAX",LEFT(K2610,6)="MV15AX",LEFT(K2610,4)="CTAX",LEFT(K2610,2)="W|"),2*N2610*O2610,0)</f>
        <v/>
      </c>
      <c r="Z2610" s="12" t="inlineStr"/>
      <c r="AA2610" s="12">
        <f>N2610*O2610</f>
        <v/>
      </c>
    </row>
    <row r="2611">
      <c r="A2611" s="12" t="inlineStr">
        <is>
          <t>D-I-0017</t>
        </is>
      </c>
      <c r="B2611" s="12" t="inlineStr">
        <is>
          <t>D</t>
        </is>
      </c>
      <c r="C2611" s="12" t="inlineStr">
        <is>
          <t>Fuel gas</t>
        </is>
      </c>
      <c r="D2611" s="12" t="inlineStr">
        <is>
          <t>Discrete device to JB JB-CONDITIONAL: fuel--DI01: 20 x 1 pr (field cables)</t>
        </is>
      </c>
      <c r="E2611" s="12" t="inlineStr"/>
      <c r="F2611" s="12" t="inlineStr">
        <is>
          <t>CONDITIONAL: fuel-gas compressors</t>
        </is>
      </c>
      <c r="G2611" s="12" t="inlineStr">
        <is>
          <t>JB-CONDITIONAL: fuel--DI01</t>
        </is>
      </c>
      <c r="H2611" s="12" t="inlineStr">
        <is>
          <t>CONDITIONAL: fuel-gas compressors</t>
        </is>
      </c>
      <c r="I2611" s="12" t="inlineStr">
        <is>
          <t>Instrumentation</t>
        </is>
      </c>
      <c r="J2611" s="12" t="inlineStr">
        <is>
          <t>Instrumentation ITC / PLTC, IS, #18 shielded pairs, blue jacket</t>
        </is>
      </c>
      <c r="K2611" s="12" t="inlineStr">
        <is>
          <t>ITC|1 pr|16</t>
        </is>
      </c>
      <c r="L2611" s="12" t="inlineStr">
        <is>
          <t>1 pr</t>
        </is>
      </c>
      <c r="M2611" s="12" t="inlineStr">
        <is>
          <t>16</t>
        </is>
      </c>
      <c r="N2611" s="12" t="n">
        <v>20</v>
      </c>
      <c r="O2611" s="12" t="n">
        <v>1</v>
      </c>
      <c r="P2611" s="12" t="n"/>
      <c r="Q2611" s="12" t="n"/>
      <c r="R2611" s="12" t="n"/>
      <c r="S2611" s="12" t="inlineStr">
        <is>
          <t>Tray / conduit</t>
        </is>
      </c>
      <c r="T2611" s="16" t="n">
        <v>133</v>
      </c>
      <c r="U2611" s="16" t="n">
        <v>10</v>
      </c>
      <c r="V2611" s="16">
        <f>ROUNDUP((T2611+U2611+2*'Read Me'!$B$13)*(1+'Read Me'!$B$12),-1)</f>
        <v/>
      </c>
      <c r="W2611" s="16">
        <f>V2611*N2611*O2611</f>
        <v/>
      </c>
      <c r="X2611" s="12">
        <f>IF(LEFT(I2611,2)="MV",2*N2611*IF(L2611="1/C",O2611,1),0)</f>
        <v/>
      </c>
      <c r="Y2611" s="12">
        <f>IF(OR(LEFT(K2611,4)="LVAX",LEFT(K2611,6)="MV15AX",LEFT(K2611,4)="CTAX",LEFT(K2611,2)="W|"),2*N2611*O2611,0)</f>
        <v/>
      </c>
      <c r="Z2611" s="12" t="inlineStr">
        <is>
          <t>device-to-JB field wiring, one cable per device</t>
        </is>
      </c>
      <c r="AA2611" s="12">
        <f>N2611*O2611</f>
        <v/>
      </c>
    </row>
    <row r="2612">
      <c r="A2612" s="12" t="inlineStr">
        <is>
          <t>D-I-0018</t>
        </is>
      </c>
      <c r="B2612" s="12" t="inlineStr">
        <is>
          <t>D</t>
        </is>
      </c>
      <c r="C2612" s="12" t="inlineStr">
        <is>
          <t>Fuel gas</t>
        </is>
      </c>
      <c r="D2612" s="12" t="inlineStr">
        <is>
          <t>Home run JB-CONDITIONAL: fuel--DI01 to the control / marshalling room</t>
        </is>
      </c>
      <c r="E2612" s="12" t="inlineStr"/>
      <c r="F2612" s="12" t="inlineStr">
        <is>
          <t>Gas yard local control enclosure</t>
        </is>
      </c>
      <c r="G2612" s="12" t="inlineStr">
        <is>
          <t>JB-CONDITIONAL: fuel--DI01</t>
        </is>
      </c>
      <c r="H2612" s="12" t="inlineStr">
        <is>
          <t>CONDITIONAL: fuel-gas compressors</t>
        </is>
      </c>
      <c r="I2612" s="12" t="inlineStr">
        <is>
          <t>Instrumentation</t>
        </is>
      </c>
      <c r="J2612" s="12" t="inlineStr">
        <is>
          <t>Instrumentation ITC / PLTC, IS, #18 shielded pairs, blue jacket</t>
        </is>
      </c>
      <c r="K2612" s="12" t="inlineStr">
        <is>
          <t>ITC|24 pr|18</t>
        </is>
      </c>
      <c r="L2612" s="12" t="inlineStr">
        <is>
          <t>24 pr</t>
        </is>
      </c>
      <c r="M2612" s="12" t="inlineStr">
        <is>
          <t>18</t>
        </is>
      </c>
      <c r="N2612" s="12" t="n">
        <v>1</v>
      </c>
      <c r="O2612" s="12" t="n">
        <v>1</v>
      </c>
      <c r="P2612" s="12" t="n"/>
      <c r="Q2612" s="12" t="n"/>
      <c r="R2612" s="12" t="n"/>
      <c r="S2612" s="12" t="inlineStr">
        <is>
          <t>Duct bank</t>
        </is>
      </c>
      <c r="T2612" s="16" t="n">
        <v>553</v>
      </c>
      <c r="U2612" s="16" t="n">
        <v>32</v>
      </c>
      <c r="V2612" s="16">
        <f>ROUNDUP((T2612+U2612+2*'Read Me'!$B$13)*(1+'Read Me'!$B$12),-1)</f>
        <v/>
      </c>
      <c r="W2612" s="16">
        <f>V2612*N2612*O2612</f>
        <v/>
      </c>
      <c r="X2612" s="12">
        <f>IF(LEFT(I2612,2)="MV",2*N2612*IF(L2612="1/C",O2612,1),0)</f>
        <v/>
      </c>
      <c r="Y2612" s="12">
        <f>IF(OR(LEFT(K2612,4)="LVAX",LEFT(K2612,6)="MV15AX",LEFT(K2612,4)="CTAX",LEFT(K2612,2)="W|"),2*N2612*O2612,0)</f>
        <v/>
      </c>
      <c r="Z2612" s="12" t="inlineStr"/>
      <c r="AA2612" s="12">
        <f>N2612*O2612</f>
        <v/>
      </c>
    </row>
    <row r="2613">
      <c r="A2613" s="12" t="inlineStr">
        <is>
          <t>D-I-0019</t>
        </is>
      </c>
      <c r="B2613" s="12" t="inlineStr">
        <is>
          <t>D</t>
        </is>
      </c>
      <c r="C2613" s="12" t="inlineStr">
        <is>
          <t>Fuel gas</t>
        </is>
      </c>
      <c r="D2613" s="12" t="inlineStr">
        <is>
          <t>RTD to JB JB-CONDITIONAL: fuel--RTD01: 10 x 1 tri (field cables)</t>
        </is>
      </c>
      <c r="E2613" s="12" t="inlineStr"/>
      <c r="F2613" s="12" t="inlineStr">
        <is>
          <t>CONDITIONAL: fuel-gas compressors</t>
        </is>
      </c>
      <c r="G2613" s="12" t="inlineStr">
        <is>
          <t>JB-CONDITIONAL: fuel--RTD01</t>
        </is>
      </c>
      <c r="H2613" s="12" t="inlineStr">
        <is>
          <t>CONDITIONAL: fuel-gas compressors</t>
        </is>
      </c>
      <c r="I2613" s="12" t="inlineStr">
        <is>
          <t>Instrumentation</t>
        </is>
      </c>
      <c r="J2613" s="12" t="inlineStr">
        <is>
          <t>RTD cable, #18 shielded triads, PLTC</t>
        </is>
      </c>
      <c r="K2613" s="12" t="inlineStr">
        <is>
          <t>RTD|1 tri|18</t>
        </is>
      </c>
      <c r="L2613" s="12" t="inlineStr">
        <is>
          <t>1 tri</t>
        </is>
      </c>
      <c r="M2613" s="12" t="inlineStr">
        <is>
          <t>18</t>
        </is>
      </c>
      <c r="N2613" s="12" t="n">
        <v>10</v>
      </c>
      <c r="O2613" s="12" t="n">
        <v>1</v>
      </c>
      <c r="P2613" s="12" t="n"/>
      <c r="Q2613" s="12" t="n"/>
      <c r="R2613" s="12" t="n"/>
      <c r="S2613" s="12" t="inlineStr">
        <is>
          <t>Tray / conduit</t>
        </is>
      </c>
      <c r="T2613" s="16" t="n">
        <v>133</v>
      </c>
      <c r="U2613" s="16" t="n">
        <v>10</v>
      </c>
      <c r="V2613" s="16">
        <f>ROUNDUP((T2613+U2613+2*'Read Me'!$B$13)*(1+'Read Me'!$B$12),-1)</f>
        <v/>
      </c>
      <c r="W2613" s="16">
        <f>V2613*N2613*O2613</f>
        <v/>
      </c>
      <c r="X2613" s="12">
        <f>IF(LEFT(I2613,2)="MV",2*N2613*IF(L2613="1/C",O2613,1),0)</f>
        <v/>
      </c>
      <c r="Y2613" s="12">
        <f>IF(OR(LEFT(K2613,4)="LVAX",LEFT(K2613,6)="MV15AX",LEFT(K2613,4)="CTAX",LEFT(K2613,2)="W|"),2*N2613*O2613,0)</f>
        <v/>
      </c>
      <c r="Z2613" s="12" t="inlineStr">
        <is>
          <t>device-to-JB field wiring, one cable per device</t>
        </is>
      </c>
      <c r="AA2613" s="12">
        <f>N2613*O2613</f>
        <v/>
      </c>
    </row>
    <row r="2614">
      <c r="A2614" s="12" t="inlineStr">
        <is>
          <t>D-I-0020</t>
        </is>
      </c>
      <c r="B2614" s="12" t="inlineStr">
        <is>
          <t>D</t>
        </is>
      </c>
      <c r="C2614" s="12" t="inlineStr">
        <is>
          <t>Fuel gas</t>
        </is>
      </c>
      <c r="D2614" s="12" t="inlineStr">
        <is>
          <t>Home run JB-CONDITIONAL: fuel--RTD01 to the control / marshalling room</t>
        </is>
      </c>
      <c r="E2614" s="12" t="inlineStr"/>
      <c r="F2614" s="12" t="inlineStr">
        <is>
          <t>Gas yard local control enclosure</t>
        </is>
      </c>
      <c r="G2614" s="12" t="inlineStr">
        <is>
          <t>JB-CONDITIONAL: fuel--RTD01</t>
        </is>
      </c>
      <c r="H2614" s="12" t="inlineStr">
        <is>
          <t>CONDITIONAL: fuel-gas compressors</t>
        </is>
      </c>
      <c r="I2614" s="12" t="inlineStr">
        <is>
          <t>Instrumentation</t>
        </is>
      </c>
      <c r="J2614" s="12" t="inlineStr">
        <is>
          <t>RTD cable, #18 shielded triads, PLTC</t>
        </is>
      </c>
      <c r="K2614" s="12" t="inlineStr">
        <is>
          <t>RTD|12 tri|18</t>
        </is>
      </c>
      <c r="L2614" s="12" t="inlineStr">
        <is>
          <t>12 tri</t>
        </is>
      </c>
      <c r="M2614" s="12" t="inlineStr">
        <is>
          <t>18</t>
        </is>
      </c>
      <c r="N2614" s="12" t="n">
        <v>1</v>
      </c>
      <c r="O2614" s="12" t="n">
        <v>1</v>
      </c>
      <c r="P2614" s="12" t="n"/>
      <c r="Q2614" s="12" t="n"/>
      <c r="R2614" s="12" t="n"/>
      <c r="S2614" s="12" t="inlineStr">
        <is>
          <t>Duct bank</t>
        </is>
      </c>
      <c r="T2614" s="16" t="n">
        <v>553</v>
      </c>
      <c r="U2614" s="16" t="n">
        <v>32</v>
      </c>
      <c r="V2614" s="16">
        <f>ROUNDUP((T2614+U2614+2*'Read Me'!$B$13)*(1+'Read Me'!$B$12),-1)</f>
        <v/>
      </c>
      <c r="W2614" s="16">
        <f>V2614*N2614*O2614</f>
        <v/>
      </c>
      <c r="X2614" s="12">
        <f>IF(LEFT(I2614,2)="MV",2*N2614*IF(L2614="1/C",O2614,1),0)</f>
        <v/>
      </c>
      <c r="Y2614" s="12">
        <f>IF(OR(LEFT(K2614,4)="LVAX",LEFT(K2614,6)="MV15AX",LEFT(K2614,4)="CTAX",LEFT(K2614,2)="W|"),2*N2614*O2614,0)</f>
        <v/>
      </c>
      <c r="Z2614" s="12" t="inlineStr"/>
      <c r="AA2614" s="12">
        <f>N2614*O2614</f>
        <v/>
      </c>
    </row>
    <row r="2615">
      <c r="A2615" s="12" t="inlineStr">
        <is>
          <t>D-I-0021</t>
        </is>
      </c>
      <c r="B2615" s="12" t="inlineStr">
        <is>
          <t>D</t>
        </is>
      </c>
      <c r="C2615" s="12" t="inlineStr">
        <is>
          <t>Fuel gas</t>
        </is>
      </c>
      <c r="D2615" s="12" t="inlineStr">
        <is>
          <t>RTD to JB JB-CONDITIONAL: fuel--RTD02: 2 x 1 tri (field cables)</t>
        </is>
      </c>
      <c r="E2615" s="12" t="inlineStr"/>
      <c r="F2615" s="12" t="inlineStr">
        <is>
          <t>CONDITIONAL: fuel-gas compressors</t>
        </is>
      </c>
      <c r="G2615" s="12" t="inlineStr">
        <is>
          <t>JB-CONDITIONAL: fuel--RTD02</t>
        </is>
      </c>
      <c r="H2615" s="12" t="inlineStr">
        <is>
          <t>CONDITIONAL: fuel-gas compressors</t>
        </is>
      </c>
      <c r="I2615" s="12" t="inlineStr">
        <is>
          <t>Instrumentation</t>
        </is>
      </c>
      <c r="J2615" s="12" t="inlineStr">
        <is>
          <t>RTD cable, #18 shielded triads, PLTC</t>
        </is>
      </c>
      <c r="K2615" s="12" t="inlineStr">
        <is>
          <t>RTD|1 tri|18</t>
        </is>
      </c>
      <c r="L2615" s="12" t="inlineStr">
        <is>
          <t>1 tri</t>
        </is>
      </c>
      <c r="M2615" s="12" t="inlineStr">
        <is>
          <t>18</t>
        </is>
      </c>
      <c r="N2615" s="12" t="n">
        <v>2</v>
      </c>
      <c r="O2615" s="12" t="n">
        <v>1</v>
      </c>
      <c r="P2615" s="12" t="n"/>
      <c r="Q2615" s="12" t="n"/>
      <c r="R2615" s="12" t="n"/>
      <c r="S2615" s="12" t="inlineStr">
        <is>
          <t>Tray / conduit</t>
        </is>
      </c>
      <c r="T2615" s="16" t="n">
        <v>133</v>
      </c>
      <c r="U2615" s="16" t="n">
        <v>10</v>
      </c>
      <c r="V2615" s="16">
        <f>ROUNDUP((T2615+U2615+2*'Read Me'!$B$13)*(1+'Read Me'!$B$12),-1)</f>
        <v/>
      </c>
      <c r="W2615" s="16">
        <f>V2615*N2615*O2615</f>
        <v/>
      </c>
      <c r="X2615" s="12">
        <f>IF(LEFT(I2615,2)="MV",2*N2615*IF(L2615="1/C",O2615,1),0)</f>
        <v/>
      </c>
      <c r="Y2615" s="12">
        <f>IF(OR(LEFT(K2615,4)="LVAX",LEFT(K2615,6)="MV15AX",LEFT(K2615,4)="CTAX",LEFT(K2615,2)="W|"),2*N2615*O2615,0)</f>
        <v/>
      </c>
      <c r="Z2615" s="12" t="inlineStr">
        <is>
          <t>device-to-JB field wiring, one cable per device</t>
        </is>
      </c>
      <c r="AA2615" s="12">
        <f>N2615*O2615</f>
        <v/>
      </c>
    </row>
    <row r="2616">
      <c r="A2616" s="12" t="inlineStr">
        <is>
          <t>D-I-0022</t>
        </is>
      </c>
      <c r="B2616" s="12" t="inlineStr">
        <is>
          <t>D</t>
        </is>
      </c>
      <c r="C2616" s="12" t="inlineStr">
        <is>
          <t>Fuel gas</t>
        </is>
      </c>
      <c r="D2616" s="12" t="inlineStr">
        <is>
          <t>Home run JB-CONDITIONAL: fuel--RTD02 to the control / marshalling room</t>
        </is>
      </c>
      <c r="E2616" s="12" t="inlineStr"/>
      <c r="F2616" s="12" t="inlineStr">
        <is>
          <t>Gas yard local control enclosure</t>
        </is>
      </c>
      <c r="G2616" s="12" t="inlineStr">
        <is>
          <t>JB-CONDITIONAL: fuel--RTD02</t>
        </is>
      </c>
      <c r="H2616" s="12" t="inlineStr">
        <is>
          <t>CONDITIONAL: fuel-gas compressors</t>
        </is>
      </c>
      <c r="I2616" s="12" t="inlineStr">
        <is>
          <t>Instrumentation</t>
        </is>
      </c>
      <c r="J2616" s="12" t="inlineStr">
        <is>
          <t>RTD cable, #18 shielded triads, PLTC</t>
        </is>
      </c>
      <c r="K2616" s="12" t="inlineStr">
        <is>
          <t>RTD|12 tri|18</t>
        </is>
      </c>
      <c r="L2616" s="12" t="inlineStr">
        <is>
          <t>12 tri</t>
        </is>
      </c>
      <c r="M2616" s="12" t="inlineStr">
        <is>
          <t>18</t>
        </is>
      </c>
      <c r="N2616" s="12" t="n">
        <v>1</v>
      </c>
      <c r="O2616" s="12" t="n">
        <v>1</v>
      </c>
      <c r="P2616" s="12" t="n"/>
      <c r="Q2616" s="12" t="n"/>
      <c r="R2616" s="12" t="n"/>
      <c r="S2616" s="12" t="inlineStr">
        <is>
          <t>Duct bank</t>
        </is>
      </c>
      <c r="T2616" s="16" t="n">
        <v>553</v>
      </c>
      <c r="U2616" s="16" t="n">
        <v>32</v>
      </c>
      <c r="V2616" s="16">
        <f>ROUNDUP((T2616+U2616+2*'Read Me'!$B$13)*(1+'Read Me'!$B$12),-1)</f>
        <v/>
      </c>
      <c r="W2616" s="16">
        <f>V2616*N2616*O2616</f>
        <v/>
      </c>
      <c r="X2616" s="12">
        <f>IF(LEFT(I2616,2)="MV",2*N2616*IF(L2616="1/C",O2616,1),0)</f>
        <v/>
      </c>
      <c r="Y2616" s="12">
        <f>IF(OR(LEFT(K2616,4)="LVAX",LEFT(K2616,6)="MV15AX",LEFT(K2616,4)="CTAX",LEFT(K2616,2)="W|"),2*N2616*O2616,0)</f>
        <v/>
      </c>
      <c r="Z2616" s="12" t="inlineStr"/>
      <c r="AA2616" s="12">
        <f>N2616*O2616</f>
        <v/>
      </c>
    </row>
    <row r="2617">
      <c r="A2617" s="12" t="inlineStr">
        <is>
          <t>D-I-0023</t>
        </is>
      </c>
      <c r="B2617" s="12" t="inlineStr">
        <is>
          <t>D</t>
        </is>
      </c>
      <c r="C2617" s="12" t="inlineStr">
        <is>
          <t>Fuel gas</t>
        </is>
      </c>
      <c r="D2617" s="12" t="inlineStr">
        <is>
          <t>Instrumentation</t>
        </is>
      </c>
      <c r="E2617" s="12" t="inlineStr"/>
      <c r="F2617" s="12" t="inlineStr">
        <is>
          <t>Gas yard local control enclosure</t>
        </is>
      </c>
      <c r="G2617" s="12" t="inlineStr">
        <is>
          <t>CPR-1</t>
        </is>
      </c>
      <c r="H2617" s="12" t="inlineStr">
        <is>
          <t>CPR-1: cathodic-protection rectifier</t>
        </is>
      </c>
      <c r="I2617" s="12" t="inlineStr">
        <is>
          <t>Instrumentation</t>
        </is>
      </c>
      <c r="J2617" s="12" t="inlineStr">
        <is>
          <t>Instrumentation PLTC / TC-ER 300 V, #18 twisted shielded pairs, overall shield</t>
        </is>
      </c>
      <c r="K2617" s="12" t="inlineStr">
        <is>
          <t>PLTC|4 pr|18</t>
        </is>
      </c>
      <c r="L2617" s="12" t="inlineStr">
        <is>
          <t>4 pr</t>
        </is>
      </c>
      <c r="M2617" s="12" t="inlineStr">
        <is>
          <t>18</t>
        </is>
      </c>
      <c r="N2617" s="12" t="n">
        <v>1</v>
      </c>
      <c r="O2617" s="12" t="n">
        <v>1</v>
      </c>
      <c r="P2617" s="12" t="n"/>
      <c r="Q2617" s="12" t="n"/>
      <c r="R2617" s="12" t="n"/>
      <c r="S2617" s="12" t="inlineStr">
        <is>
          <t>Tray</t>
        </is>
      </c>
      <c r="T2617" s="16" t="n">
        <v>0</v>
      </c>
      <c r="U2617" s="16" t="n">
        <v>84</v>
      </c>
      <c r="V2617" s="16">
        <f>ROUNDUP((T2617+U2617+2*'Read Me'!$B$13)*(1+'Read Me'!$B$12),-1)</f>
        <v/>
      </c>
      <c r="W2617" s="16">
        <f>V2617*N2617*O2617</f>
        <v/>
      </c>
      <c r="X2617" s="12">
        <f>IF(LEFT(I2617,2)="MV",2*N2617*IF(L2617="1/C",O2617,1),0)</f>
        <v/>
      </c>
      <c r="Y2617" s="12">
        <f>IF(OR(LEFT(K2617,4)="LVAX",LEFT(K2617,6)="MV15AX",LEFT(K2617,4)="CTAX",LEFT(K2617,2)="W|"),2*N2617*O2617,0)</f>
        <v/>
      </c>
      <c r="Z2617" s="12" t="inlineStr"/>
      <c r="AA2617" s="12">
        <f>N2617*O2617</f>
        <v/>
      </c>
    </row>
    <row r="2618">
      <c r="A2618" s="12" t="inlineStr">
        <is>
          <t>D-I-0024</t>
        </is>
      </c>
      <c r="B2618" s="12" t="inlineStr">
        <is>
          <t>D</t>
        </is>
      </c>
      <c r="C2618" s="12" t="inlineStr">
        <is>
          <t>Fuel gas</t>
        </is>
      </c>
      <c r="D2618" s="12" t="inlineStr">
        <is>
          <t>Analog instrument to JB JB-Fuel-gas performan-AI01: 10 x 1 pr (field cables)</t>
        </is>
      </c>
      <c r="E2618" s="12" t="inlineStr"/>
      <c r="F2618" s="12" t="inlineStr">
        <is>
          <t>Fuel-gas performance heater</t>
        </is>
      </c>
      <c r="G2618" s="12" t="inlineStr">
        <is>
          <t>JB-Fuel-gas performan-AI01</t>
        </is>
      </c>
      <c r="H2618" s="12" t="inlineStr">
        <is>
          <t>Fuel-gas performance heater</t>
        </is>
      </c>
      <c r="I2618" s="12" t="inlineStr">
        <is>
          <t>Instrumentation</t>
        </is>
      </c>
      <c r="J2618" s="12" t="inlineStr">
        <is>
          <t>Instrumentation ITC / PLTC, IS, #18 shielded pairs, blue jacket</t>
        </is>
      </c>
      <c r="K2618" s="12" t="inlineStr">
        <is>
          <t>ITC|1 pr|16</t>
        </is>
      </c>
      <c r="L2618" s="12" t="inlineStr">
        <is>
          <t>1 pr</t>
        </is>
      </c>
      <c r="M2618" s="12" t="inlineStr">
        <is>
          <t>16</t>
        </is>
      </c>
      <c r="N2618" s="12" t="n">
        <v>10</v>
      </c>
      <c r="O2618" s="12" t="n">
        <v>1</v>
      </c>
      <c r="P2618" s="12" t="n"/>
      <c r="Q2618" s="12" t="n"/>
      <c r="R2618" s="12" t="n"/>
      <c r="S2618" s="12" t="inlineStr">
        <is>
          <t>Tray / conduit</t>
        </is>
      </c>
      <c r="T2618" s="16" t="n">
        <v>61</v>
      </c>
      <c r="U2618" s="16" t="n">
        <v>10</v>
      </c>
      <c r="V2618" s="16">
        <f>ROUNDUP((T2618+U2618+2*'Read Me'!$B$13)*(1+'Read Me'!$B$12),-1)</f>
        <v/>
      </c>
      <c r="W2618" s="16">
        <f>V2618*N2618*O2618</f>
        <v/>
      </c>
      <c r="X2618" s="12">
        <f>IF(LEFT(I2618,2)="MV",2*N2618*IF(L2618="1/C",O2618,1),0)</f>
        <v/>
      </c>
      <c r="Y2618" s="12">
        <f>IF(OR(LEFT(K2618,4)="LVAX",LEFT(K2618,6)="MV15AX",LEFT(K2618,4)="CTAX",LEFT(K2618,2)="W|"),2*N2618*O2618,0)</f>
        <v/>
      </c>
      <c r="Z2618" s="12" t="inlineStr">
        <is>
          <t>device-to-JB field wiring, one cable per device</t>
        </is>
      </c>
      <c r="AA2618" s="12">
        <f>N2618*O2618</f>
        <v/>
      </c>
    </row>
    <row r="2619">
      <c r="A2619" s="12" t="inlineStr">
        <is>
          <t>D-I-0025</t>
        </is>
      </c>
      <c r="B2619" s="12" t="inlineStr">
        <is>
          <t>D</t>
        </is>
      </c>
      <c r="C2619" s="12" t="inlineStr">
        <is>
          <t>Fuel gas</t>
        </is>
      </c>
      <c r="D2619" s="12" t="inlineStr">
        <is>
          <t>Home run JB-Fuel-gas performan-AI01 to the control / marshalling room</t>
        </is>
      </c>
      <c r="E2619" s="12" t="inlineStr"/>
      <c r="F2619" s="12" t="inlineStr">
        <is>
          <t>Gas yard local control enclosure</t>
        </is>
      </c>
      <c r="G2619" s="12" t="inlineStr">
        <is>
          <t>JB-Fuel-gas performan-AI01</t>
        </is>
      </c>
      <c r="H2619" s="12" t="inlineStr">
        <is>
          <t>Fuel-gas performance heater</t>
        </is>
      </c>
      <c r="I2619" s="12" t="inlineStr">
        <is>
          <t>Instrumentation</t>
        </is>
      </c>
      <c r="J2619" s="12" t="inlineStr">
        <is>
          <t>Instrumentation ITC / PLTC, IS, #18 shielded pairs, blue jacket</t>
        </is>
      </c>
      <c r="K2619" s="12" t="inlineStr">
        <is>
          <t>ITC|24 pr|18</t>
        </is>
      </c>
      <c r="L2619" s="12" t="inlineStr">
        <is>
          <t>24 pr</t>
        </is>
      </c>
      <c r="M2619" s="12" t="inlineStr">
        <is>
          <t>18</t>
        </is>
      </c>
      <c r="N2619" s="12" t="n">
        <v>1</v>
      </c>
      <c r="O2619" s="12" t="n">
        <v>1</v>
      </c>
      <c r="P2619" s="12" t="n"/>
      <c r="Q2619" s="12" t="n"/>
      <c r="R2619" s="12" t="n"/>
      <c r="S2619" s="12" t="inlineStr">
        <is>
          <t>Duct bank</t>
        </is>
      </c>
      <c r="T2619" s="16" t="n">
        <v>143</v>
      </c>
      <c r="U2619" s="16" t="n">
        <v>32</v>
      </c>
      <c r="V2619" s="16">
        <f>ROUNDUP((T2619+U2619+2*'Read Me'!$B$13)*(1+'Read Me'!$B$12),-1)</f>
        <v/>
      </c>
      <c r="W2619" s="16">
        <f>V2619*N2619*O2619</f>
        <v/>
      </c>
      <c r="X2619" s="12">
        <f>IF(LEFT(I2619,2)="MV",2*N2619*IF(L2619="1/C",O2619,1),0)</f>
        <v/>
      </c>
      <c r="Y2619" s="12">
        <f>IF(OR(LEFT(K2619,4)="LVAX",LEFT(K2619,6)="MV15AX",LEFT(K2619,4)="CTAX",LEFT(K2619,2)="W|"),2*N2619*O2619,0)</f>
        <v/>
      </c>
      <c r="Z2619" s="12" t="inlineStr"/>
      <c r="AA2619" s="12">
        <f>N2619*O2619</f>
        <v/>
      </c>
    </row>
    <row r="2620">
      <c r="A2620" s="12" t="inlineStr">
        <is>
          <t>D-I-0026</t>
        </is>
      </c>
      <c r="B2620" s="12" t="inlineStr">
        <is>
          <t>D</t>
        </is>
      </c>
      <c r="C2620" s="12" t="inlineStr">
        <is>
          <t>Fuel gas</t>
        </is>
      </c>
      <c r="D2620" s="12" t="inlineStr">
        <is>
          <t>Discrete device to JB JB-Fuel-gas performan-DI01: 10 x 1 pr (field cables)</t>
        </is>
      </c>
      <c r="E2620" s="12" t="inlineStr"/>
      <c r="F2620" s="12" t="inlineStr">
        <is>
          <t>Fuel-gas performance heater</t>
        </is>
      </c>
      <c r="G2620" s="12" t="inlineStr">
        <is>
          <t>JB-Fuel-gas performan-DI01</t>
        </is>
      </c>
      <c r="H2620" s="12" t="inlineStr">
        <is>
          <t>Fuel-gas performance heater</t>
        </is>
      </c>
      <c r="I2620" s="12" t="inlineStr">
        <is>
          <t>Instrumentation</t>
        </is>
      </c>
      <c r="J2620" s="12" t="inlineStr">
        <is>
          <t>Instrumentation ITC / PLTC, IS, #18 shielded pairs, blue jacket</t>
        </is>
      </c>
      <c r="K2620" s="12" t="inlineStr">
        <is>
          <t>ITC|1 pr|16</t>
        </is>
      </c>
      <c r="L2620" s="12" t="inlineStr">
        <is>
          <t>1 pr</t>
        </is>
      </c>
      <c r="M2620" s="12" t="inlineStr">
        <is>
          <t>16</t>
        </is>
      </c>
      <c r="N2620" s="12" t="n">
        <v>10</v>
      </c>
      <c r="O2620" s="12" t="n">
        <v>1</v>
      </c>
      <c r="P2620" s="12" t="n"/>
      <c r="Q2620" s="12" t="n"/>
      <c r="R2620" s="12" t="n"/>
      <c r="S2620" s="12" t="inlineStr">
        <is>
          <t>Tray / conduit</t>
        </is>
      </c>
      <c r="T2620" s="16" t="n">
        <v>61</v>
      </c>
      <c r="U2620" s="16" t="n">
        <v>10</v>
      </c>
      <c r="V2620" s="16">
        <f>ROUNDUP((T2620+U2620+2*'Read Me'!$B$13)*(1+'Read Me'!$B$12),-1)</f>
        <v/>
      </c>
      <c r="W2620" s="16">
        <f>V2620*N2620*O2620</f>
        <v/>
      </c>
      <c r="X2620" s="12">
        <f>IF(LEFT(I2620,2)="MV",2*N2620*IF(L2620="1/C",O2620,1),0)</f>
        <v/>
      </c>
      <c r="Y2620" s="12">
        <f>IF(OR(LEFT(K2620,4)="LVAX",LEFT(K2620,6)="MV15AX",LEFT(K2620,4)="CTAX",LEFT(K2620,2)="W|"),2*N2620*O2620,0)</f>
        <v/>
      </c>
      <c r="Z2620" s="12" t="inlineStr">
        <is>
          <t>device-to-JB field wiring, one cable per device</t>
        </is>
      </c>
      <c r="AA2620" s="12">
        <f>N2620*O2620</f>
        <v/>
      </c>
    </row>
    <row r="2621">
      <c r="A2621" s="12" t="inlineStr">
        <is>
          <t>D-I-0027</t>
        </is>
      </c>
      <c r="B2621" s="12" t="inlineStr">
        <is>
          <t>D</t>
        </is>
      </c>
      <c r="C2621" s="12" t="inlineStr">
        <is>
          <t>Fuel gas</t>
        </is>
      </c>
      <c r="D2621" s="12" t="inlineStr">
        <is>
          <t>Home run JB-Fuel-gas performan-DI01 to the control / marshalling room</t>
        </is>
      </c>
      <c r="E2621" s="12" t="inlineStr"/>
      <c r="F2621" s="12" t="inlineStr">
        <is>
          <t>Gas yard local control enclosure</t>
        </is>
      </c>
      <c r="G2621" s="12" t="inlineStr">
        <is>
          <t>JB-Fuel-gas performan-DI01</t>
        </is>
      </c>
      <c r="H2621" s="12" t="inlineStr">
        <is>
          <t>Fuel-gas performance heater</t>
        </is>
      </c>
      <c r="I2621" s="12" t="inlineStr">
        <is>
          <t>Instrumentation</t>
        </is>
      </c>
      <c r="J2621" s="12" t="inlineStr">
        <is>
          <t>Instrumentation ITC / PLTC, IS, #18 shielded pairs, blue jacket</t>
        </is>
      </c>
      <c r="K2621" s="12" t="inlineStr">
        <is>
          <t>ITC|24 pr|18</t>
        </is>
      </c>
      <c r="L2621" s="12" t="inlineStr">
        <is>
          <t>24 pr</t>
        </is>
      </c>
      <c r="M2621" s="12" t="inlineStr">
        <is>
          <t>18</t>
        </is>
      </c>
      <c r="N2621" s="12" t="n">
        <v>1</v>
      </c>
      <c r="O2621" s="12" t="n">
        <v>1</v>
      </c>
      <c r="P2621" s="12" t="n"/>
      <c r="Q2621" s="12" t="n"/>
      <c r="R2621" s="12" t="n"/>
      <c r="S2621" s="12" t="inlineStr">
        <is>
          <t>Duct bank</t>
        </is>
      </c>
      <c r="T2621" s="16" t="n">
        <v>143</v>
      </c>
      <c r="U2621" s="16" t="n">
        <v>32</v>
      </c>
      <c r="V2621" s="16">
        <f>ROUNDUP((T2621+U2621+2*'Read Me'!$B$13)*(1+'Read Me'!$B$12),-1)</f>
        <v/>
      </c>
      <c r="W2621" s="16">
        <f>V2621*N2621*O2621</f>
        <v/>
      </c>
      <c r="X2621" s="12">
        <f>IF(LEFT(I2621,2)="MV",2*N2621*IF(L2621="1/C",O2621,1),0)</f>
        <v/>
      </c>
      <c r="Y2621" s="12">
        <f>IF(OR(LEFT(K2621,4)="LVAX",LEFT(K2621,6)="MV15AX",LEFT(K2621,4)="CTAX",LEFT(K2621,2)="W|"),2*N2621*O2621,0)</f>
        <v/>
      </c>
      <c r="Z2621" s="12" t="inlineStr"/>
      <c r="AA2621" s="12">
        <f>N2621*O2621</f>
        <v/>
      </c>
    </row>
    <row r="2622">
      <c r="A2622" s="12" t="inlineStr">
        <is>
          <t>D-I-0028</t>
        </is>
      </c>
      <c r="B2622" s="12" t="inlineStr">
        <is>
          <t>D</t>
        </is>
      </c>
      <c r="C2622" s="12" t="inlineStr">
        <is>
          <t>Fuel gas</t>
        </is>
      </c>
      <c r="D2622" s="12" t="inlineStr">
        <is>
          <t>Analog instrument to JB JB-Gas metering skid-AI01: 20 x 1 pr (field cables)</t>
        </is>
      </c>
      <c r="E2622" s="12" t="inlineStr"/>
      <c r="F2622" s="12" t="inlineStr">
        <is>
          <t>Gas metering skid</t>
        </is>
      </c>
      <c r="G2622" s="12" t="inlineStr">
        <is>
          <t>JB-Gas metering skid-AI01</t>
        </is>
      </c>
      <c r="H2622" s="12" t="inlineStr">
        <is>
          <t>Gas metering skid</t>
        </is>
      </c>
      <c r="I2622" s="12" t="inlineStr">
        <is>
          <t>Instrumentation</t>
        </is>
      </c>
      <c r="J2622" s="12" t="inlineStr">
        <is>
          <t>Instrumentation ITC / PLTC, IS, #18 shielded pairs, blue jacket</t>
        </is>
      </c>
      <c r="K2622" s="12" t="inlineStr">
        <is>
          <t>ITC|1 pr|16</t>
        </is>
      </c>
      <c r="L2622" s="12" t="inlineStr">
        <is>
          <t>1 pr</t>
        </is>
      </c>
      <c r="M2622" s="12" t="inlineStr">
        <is>
          <t>16</t>
        </is>
      </c>
      <c r="N2622" s="12" t="n">
        <v>20</v>
      </c>
      <c r="O2622" s="12" t="n">
        <v>1</v>
      </c>
      <c r="P2622" s="12" t="n"/>
      <c r="Q2622" s="12" t="n"/>
      <c r="R2622" s="12" t="n"/>
      <c r="S2622" s="12" t="inlineStr">
        <is>
          <t>Tray / conduit</t>
        </is>
      </c>
      <c r="T2622" s="16" t="n">
        <v>64</v>
      </c>
      <c r="U2622" s="16" t="n">
        <v>10</v>
      </c>
      <c r="V2622" s="16">
        <f>ROUNDUP((T2622+U2622+2*'Read Me'!$B$13)*(1+'Read Me'!$B$12),-1)</f>
        <v/>
      </c>
      <c r="W2622" s="16">
        <f>V2622*N2622*O2622</f>
        <v/>
      </c>
      <c r="X2622" s="12">
        <f>IF(LEFT(I2622,2)="MV",2*N2622*IF(L2622="1/C",O2622,1),0)</f>
        <v/>
      </c>
      <c r="Y2622" s="12">
        <f>IF(OR(LEFT(K2622,4)="LVAX",LEFT(K2622,6)="MV15AX",LEFT(K2622,4)="CTAX",LEFT(K2622,2)="W|"),2*N2622*O2622,0)</f>
        <v/>
      </c>
      <c r="Z2622" s="12" t="inlineStr">
        <is>
          <t>device-to-JB field wiring, one cable per device</t>
        </is>
      </c>
      <c r="AA2622" s="12">
        <f>N2622*O2622</f>
        <v/>
      </c>
    </row>
    <row r="2623">
      <c r="A2623" s="12" t="inlineStr">
        <is>
          <t>D-I-0029</t>
        </is>
      </c>
      <c r="B2623" s="12" t="inlineStr">
        <is>
          <t>D</t>
        </is>
      </c>
      <c r="C2623" s="12" t="inlineStr">
        <is>
          <t>Fuel gas</t>
        </is>
      </c>
      <c r="D2623" s="12" t="inlineStr">
        <is>
          <t>Home run JB-Gas metering skid-AI01 to the control / marshalling room</t>
        </is>
      </c>
      <c r="E2623" s="12" t="inlineStr"/>
      <c r="F2623" s="12" t="inlineStr">
        <is>
          <t>Gas yard local control enclosure</t>
        </is>
      </c>
      <c r="G2623" s="12" t="inlineStr">
        <is>
          <t>JB-Gas metering skid-AI01</t>
        </is>
      </c>
      <c r="H2623" s="12" t="inlineStr">
        <is>
          <t>Gas metering skid</t>
        </is>
      </c>
      <c r="I2623" s="12" t="inlineStr">
        <is>
          <t>Instrumentation</t>
        </is>
      </c>
      <c r="J2623" s="12" t="inlineStr">
        <is>
          <t>Instrumentation ITC / PLTC, IS, #18 shielded pairs, blue jacket</t>
        </is>
      </c>
      <c r="K2623" s="12" t="inlineStr">
        <is>
          <t>ITC|24 pr|18</t>
        </is>
      </c>
      <c r="L2623" s="12" t="inlineStr">
        <is>
          <t>24 pr</t>
        </is>
      </c>
      <c r="M2623" s="12" t="inlineStr">
        <is>
          <t>18</t>
        </is>
      </c>
      <c r="N2623" s="12" t="n">
        <v>1</v>
      </c>
      <c r="O2623" s="12" t="n">
        <v>1</v>
      </c>
      <c r="P2623" s="12" t="n"/>
      <c r="Q2623" s="12" t="n"/>
      <c r="R2623" s="12" t="n"/>
      <c r="S2623" s="12" t="inlineStr">
        <is>
          <t>Duct bank</t>
        </is>
      </c>
      <c r="T2623" s="16" t="n">
        <v>83</v>
      </c>
      <c r="U2623" s="16" t="n">
        <v>72</v>
      </c>
      <c r="V2623" s="16">
        <f>ROUNDUP((T2623+U2623+2*'Read Me'!$B$13)*(1+'Read Me'!$B$12),-1)</f>
        <v/>
      </c>
      <c r="W2623" s="16">
        <f>V2623*N2623*O2623</f>
        <v/>
      </c>
      <c r="X2623" s="12">
        <f>IF(LEFT(I2623,2)="MV",2*N2623*IF(L2623="1/C",O2623,1),0)</f>
        <v/>
      </c>
      <c r="Y2623" s="12">
        <f>IF(OR(LEFT(K2623,4)="LVAX",LEFT(K2623,6)="MV15AX",LEFT(K2623,4)="CTAX",LEFT(K2623,2)="W|"),2*N2623*O2623,0)</f>
        <v/>
      </c>
      <c r="Z2623" s="12" t="inlineStr"/>
      <c r="AA2623" s="12">
        <f>N2623*O2623</f>
        <v/>
      </c>
    </row>
    <row r="2624">
      <c r="A2624" s="12" t="inlineStr">
        <is>
          <t>D-I-0030</t>
        </is>
      </c>
      <c r="B2624" s="12" t="inlineStr">
        <is>
          <t>D</t>
        </is>
      </c>
      <c r="C2624" s="12" t="inlineStr">
        <is>
          <t>Fuel gas</t>
        </is>
      </c>
      <c r="D2624" s="12" t="inlineStr">
        <is>
          <t>Discrete device to JB JB-Gas metering skid-DI01: 8 x 1 pr (field cables)</t>
        </is>
      </c>
      <c r="E2624" s="12" t="inlineStr"/>
      <c r="F2624" s="12" t="inlineStr">
        <is>
          <t>Gas metering skid</t>
        </is>
      </c>
      <c r="G2624" s="12" t="inlineStr">
        <is>
          <t>JB-Gas metering skid-DI01</t>
        </is>
      </c>
      <c r="H2624" s="12" t="inlineStr">
        <is>
          <t>Gas metering skid</t>
        </is>
      </c>
      <c r="I2624" s="12" t="inlineStr">
        <is>
          <t>Instrumentation</t>
        </is>
      </c>
      <c r="J2624" s="12" t="inlineStr">
        <is>
          <t>Instrumentation ITC / PLTC, IS, #18 shielded pairs, blue jacket</t>
        </is>
      </c>
      <c r="K2624" s="12" t="inlineStr">
        <is>
          <t>ITC|1 pr|16</t>
        </is>
      </c>
      <c r="L2624" s="12" t="inlineStr">
        <is>
          <t>1 pr</t>
        </is>
      </c>
      <c r="M2624" s="12" t="inlineStr">
        <is>
          <t>16</t>
        </is>
      </c>
      <c r="N2624" s="12" t="n">
        <v>8</v>
      </c>
      <c r="O2624" s="12" t="n">
        <v>1</v>
      </c>
      <c r="P2624" s="12" t="n"/>
      <c r="Q2624" s="12" t="n"/>
      <c r="R2624" s="12" t="n"/>
      <c r="S2624" s="12" t="inlineStr">
        <is>
          <t>Tray / conduit</t>
        </is>
      </c>
      <c r="T2624" s="16" t="n">
        <v>64</v>
      </c>
      <c r="U2624" s="16" t="n">
        <v>10</v>
      </c>
      <c r="V2624" s="16">
        <f>ROUNDUP((T2624+U2624+2*'Read Me'!$B$13)*(1+'Read Me'!$B$12),-1)</f>
        <v/>
      </c>
      <c r="W2624" s="16">
        <f>V2624*N2624*O2624</f>
        <v/>
      </c>
      <c r="X2624" s="12">
        <f>IF(LEFT(I2624,2)="MV",2*N2624*IF(L2624="1/C",O2624,1),0)</f>
        <v/>
      </c>
      <c r="Y2624" s="12">
        <f>IF(OR(LEFT(K2624,4)="LVAX",LEFT(K2624,6)="MV15AX",LEFT(K2624,4)="CTAX",LEFT(K2624,2)="W|"),2*N2624*O2624,0)</f>
        <v/>
      </c>
      <c r="Z2624" s="12" t="inlineStr">
        <is>
          <t>device-to-JB field wiring, one cable per device</t>
        </is>
      </c>
      <c r="AA2624" s="12">
        <f>N2624*O2624</f>
        <v/>
      </c>
    </row>
    <row r="2625">
      <c r="A2625" s="12" t="inlineStr">
        <is>
          <t>D-I-0031</t>
        </is>
      </c>
      <c r="B2625" s="12" t="inlineStr">
        <is>
          <t>D</t>
        </is>
      </c>
      <c r="C2625" s="12" t="inlineStr">
        <is>
          <t>Fuel gas</t>
        </is>
      </c>
      <c r="D2625" s="12" t="inlineStr">
        <is>
          <t>Home run JB-Gas metering skid-DI01 to the control / marshalling room</t>
        </is>
      </c>
      <c r="E2625" s="12" t="inlineStr"/>
      <c r="F2625" s="12" t="inlineStr">
        <is>
          <t>Gas yard local control enclosure</t>
        </is>
      </c>
      <c r="G2625" s="12" t="inlineStr">
        <is>
          <t>JB-Gas metering skid-DI01</t>
        </is>
      </c>
      <c r="H2625" s="12" t="inlineStr">
        <is>
          <t>Gas metering skid</t>
        </is>
      </c>
      <c r="I2625" s="12" t="inlineStr">
        <is>
          <t>Instrumentation</t>
        </is>
      </c>
      <c r="J2625" s="12" t="inlineStr">
        <is>
          <t>Instrumentation ITC / PLTC, IS, #18 shielded pairs, blue jacket</t>
        </is>
      </c>
      <c r="K2625" s="12" t="inlineStr">
        <is>
          <t>ITC|24 pr|18</t>
        </is>
      </c>
      <c r="L2625" s="12" t="inlineStr">
        <is>
          <t>24 pr</t>
        </is>
      </c>
      <c r="M2625" s="12" t="inlineStr">
        <is>
          <t>18</t>
        </is>
      </c>
      <c r="N2625" s="12" t="n">
        <v>1</v>
      </c>
      <c r="O2625" s="12" t="n">
        <v>1</v>
      </c>
      <c r="P2625" s="12" t="n"/>
      <c r="Q2625" s="12" t="n"/>
      <c r="R2625" s="12" t="n"/>
      <c r="S2625" s="12" t="inlineStr">
        <is>
          <t>Duct bank</t>
        </is>
      </c>
      <c r="T2625" s="16" t="n">
        <v>83</v>
      </c>
      <c r="U2625" s="16" t="n">
        <v>72</v>
      </c>
      <c r="V2625" s="16">
        <f>ROUNDUP((T2625+U2625+2*'Read Me'!$B$13)*(1+'Read Me'!$B$12),-1)</f>
        <v/>
      </c>
      <c r="W2625" s="16">
        <f>V2625*N2625*O2625</f>
        <v/>
      </c>
      <c r="X2625" s="12">
        <f>IF(LEFT(I2625,2)="MV",2*N2625*IF(L2625="1/C",O2625,1),0)</f>
        <v/>
      </c>
      <c r="Y2625" s="12">
        <f>IF(OR(LEFT(K2625,4)="LVAX",LEFT(K2625,6)="MV15AX",LEFT(K2625,4)="CTAX",LEFT(K2625,2)="W|"),2*N2625*O2625,0)</f>
        <v/>
      </c>
      <c r="Z2625" s="12" t="inlineStr"/>
      <c r="AA2625" s="12">
        <f>N2625*O2625</f>
        <v/>
      </c>
    </row>
    <row r="2626">
      <c r="A2626" s="12" t="inlineStr">
        <is>
          <t>D-I-0032</t>
        </is>
      </c>
      <c r="B2626" s="12" t="inlineStr">
        <is>
          <t>D</t>
        </is>
      </c>
      <c r="C2626" s="12" t="inlineStr">
        <is>
          <t>Fuel gas</t>
        </is>
      </c>
      <c r="D2626" s="12" t="inlineStr">
        <is>
          <t>Analog instrument to JB JB-Gas pressure regul-AI01: 12 x 1 pr (field cables)</t>
        </is>
      </c>
      <c r="E2626" s="12" t="inlineStr"/>
      <c r="F2626" s="12" t="inlineStr">
        <is>
          <t>Gas pressure regulation skid</t>
        </is>
      </c>
      <c r="G2626" s="12" t="inlineStr">
        <is>
          <t>JB-Gas pressure regul-AI01</t>
        </is>
      </c>
      <c r="H2626" s="12" t="inlineStr">
        <is>
          <t>Gas pressure regulation skid</t>
        </is>
      </c>
      <c r="I2626" s="12" t="inlineStr">
        <is>
          <t>Instrumentation</t>
        </is>
      </c>
      <c r="J2626" s="12" t="inlineStr">
        <is>
          <t>Instrumentation ITC / PLTC, IS, #18 shielded pairs, blue jacket</t>
        </is>
      </c>
      <c r="K2626" s="12" t="inlineStr">
        <is>
          <t>ITC|1 pr|16</t>
        </is>
      </c>
      <c r="L2626" s="12" t="inlineStr">
        <is>
          <t>1 pr</t>
        </is>
      </c>
      <c r="M2626" s="12" t="inlineStr">
        <is>
          <t>16</t>
        </is>
      </c>
      <c r="N2626" s="12" t="n">
        <v>12</v>
      </c>
      <c r="O2626" s="12" t="n">
        <v>1</v>
      </c>
      <c r="P2626" s="12" t="n"/>
      <c r="Q2626" s="12" t="n"/>
      <c r="R2626" s="12" t="n"/>
      <c r="S2626" s="12" t="inlineStr">
        <is>
          <t>Tray / conduit</t>
        </is>
      </c>
      <c r="T2626" s="16" t="n">
        <v>60</v>
      </c>
      <c r="U2626" s="16" t="n">
        <v>10</v>
      </c>
      <c r="V2626" s="16">
        <f>ROUNDUP((T2626+U2626+2*'Read Me'!$B$13)*(1+'Read Me'!$B$12),-1)</f>
        <v/>
      </c>
      <c r="W2626" s="16">
        <f>V2626*N2626*O2626</f>
        <v/>
      </c>
      <c r="X2626" s="12">
        <f>IF(LEFT(I2626,2)="MV",2*N2626*IF(L2626="1/C",O2626,1),0)</f>
        <v/>
      </c>
      <c r="Y2626" s="12">
        <f>IF(OR(LEFT(K2626,4)="LVAX",LEFT(K2626,6)="MV15AX",LEFT(K2626,4)="CTAX",LEFT(K2626,2)="W|"),2*N2626*O2626,0)</f>
        <v/>
      </c>
      <c r="Z2626" s="12" t="inlineStr">
        <is>
          <t>device-to-JB field wiring, one cable per device</t>
        </is>
      </c>
      <c r="AA2626" s="12">
        <f>N2626*O2626</f>
        <v/>
      </c>
    </row>
    <row r="2627">
      <c r="A2627" s="12" t="inlineStr">
        <is>
          <t>D-I-0033</t>
        </is>
      </c>
      <c r="B2627" s="12" t="inlineStr">
        <is>
          <t>D</t>
        </is>
      </c>
      <c r="C2627" s="12" t="inlineStr">
        <is>
          <t>Fuel gas</t>
        </is>
      </c>
      <c r="D2627" s="12" t="inlineStr">
        <is>
          <t>Home run JB-Gas pressure regul-AI01 to the control / marshalling room</t>
        </is>
      </c>
      <c r="E2627" s="12" t="inlineStr"/>
      <c r="F2627" s="12" t="inlineStr">
        <is>
          <t>Gas yard local control enclosure</t>
        </is>
      </c>
      <c r="G2627" s="12" t="inlineStr">
        <is>
          <t>JB-Gas pressure regul-AI01</t>
        </is>
      </c>
      <c r="H2627" s="12" t="inlineStr">
        <is>
          <t>Gas pressure regulation skid</t>
        </is>
      </c>
      <c r="I2627" s="12" t="inlineStr">
        <is>
          <t>Instrumentation</t>
        </is>
      </c>
      <c r="J2627" s="12" t="inlineStr">
        <is>
          <t>Instrumentation ITC / PLTC, IS, #18 shielded pairs, blue jacket</t>
        </is>
      </c>
      <c r="K2627" s="12" t="inlineStr">
        <is>
          <t>ITC|24 pr|18</t>
        </is>
      </c>
      <c r="L2627" s="12" t="inlineStr">
        <is>
          <t>24 pr</t>
        </is>
      </c>
      <c r="M2627" s="12" t="inlineStr">
        <is>
          <t>18</t>
        </is>
      </c>
      <c r="N2627" s="12" t="n">
        <v>1</v>
      </c>
      <c r="O2627" s="12" t="n">
        <v>1</v>
      </c>
      <c r="P2627" s="12" t="n"/>
      <c r="Q2627" s="12" t="n"/>
      <c r="R2627" s="12" t="n"/>
      <c r="S2627" s="12" t="inlineStr">
        <is>
          <t>Duct bank</t>
        </is>
      </c>
      <c r="T2627" s="16" t="n">
        <v>193</v>
      </c>
      <c r="U2627" s="16" t="n">
        <v>32</v>
      </c>
      <c r="V2627" s="16">
        <f>ROUNDUP((T2627+U2627+2*'Read Me'!$B$13)*(1+'Read Me'!$B$12),-1)</f>
        <v/>
      </c>
      <c r="W2627" s="16">
        <f>V2627*N2627*O2627</f>
        <v/>
      </c>
      <c r="X2627" s="12">
        <f>IF(LEFT(I2627,2)="MV",2*N2627*IF(L2627="1/C",O2627,1),0)</f>
        <v/>
      </c>
      <c r="Y2627" s="12">
        <f>IF(OR(LEFT(K2627,4)="LVAX",LEFT(K2627,6)="MV15AX",LEFT(K2627,4)="CTAX",LEFT(K2627,2)="W|"),2*N2627*O2627,0)</f>
        <v/>
      </c>
      <c r="Z2627" s="12" t="inlineStr"/>
      <c r="AA2627" s="12">
        <f>N2627*O2627</f>
        <v/>
      </c>
    </row>
    <row r="2628">
      <c r="A2628" s="12" t="inlineStr">
        <is>
          <t>D-I-0034</t>
        </is>
      </c>
      <c r="B2628" s="12" t="inlineStr">
        <is>
          <t>D</t>
        </is>
      </c>
      <c r="C2628" s="12" t="inlineStr">
        <is>
          <t>Fuel gas</t>
        </is>
      </c>
      <c r="D2628" s="12" t="inlineStr">
        <is>
          <t>Discrete device to JB JB-Gas pressure regul-DI01: 12 x 1 pr (field cables)</t>
        </is>
      </c>
      <c r="E2628" s="12" t="inlineStr"/>
      <c r="F2628" s="12" t="inlineStr">
        <is>
          <t>Gas pressure regulation skid</t>
        </is>
      </c>
      <c r="G2628" s="12" t="inlineStr">
        <is>
          <t>JB-Gas pressure regul-DI01</t>
        </is>
      </c>
      <c r="H2628" s="12" t="inlineStr">
        <is>
          <t>Gas pressure regulation skid</t>
        </is>
      </c>
      <c r="I2628" s="12" t="inlineStr">
        <is>
          <t>Instrumentation</t>
        </is>
      </c>
      <c r="J2628" s="12" t="inlineStr">
        <is>
          <t>Instrumentation ITC / PLTC, IS, #18 shielded pairs, blue jacket</t>
        </is>
      </c>
      <c r="K2628" s="12" t="inlineStr">
        <is>
          <t>ITC|1 pr|16</t>
        </is>
      </c>
      <c r="L2628" s="12" t="inlineStr">
        <is>
          <t>1 pr</t>
        </is>
      </c>
      <c r="M2628" s="12" t="inlineStr">
        <is>
          <t>16</t>
        </is>
      </c>
      <c r="N2628" s="12" t="n">
        <v>12</v>
      </c>
      <c r="O2628" s="12" t="n">
        <v>1</v>
      </c>
      <c r="P2628" s="12" t="n"/>
      <c r="Q2628" s="12" t="n"/>
      <c r="R2628" s="12" t="n"/>
      <c r="S2628" s="12" t="inlineStr">
        <is>
          <t>Tray / conduit</t>
        </is>
      </c>
      <c r="T2628" s="16" t="n">
        <v>60</v>
      </c>
      <c r="U2628" s="16" t="n">
        <v>10</v>
      </c>
      <c r="V2628" s="16">
        <f>ROUNDUP((T2628+U2628+2*'Read Me'!$B$13)*(1+'Read Me'!$B$12),-1)</f>
        <v/>
      </c>
      <c r="W2628" s="16">
        <f>V2628*N2628*O2628</f>
        <v/>
      </c>
      <c r="X2628" s="12">
        <f>IF(LEFT(I2628,2)="MV",2*N2628*IF(L2628="1/C",O2628,1),0)</f>
        <v/>
      </c>
      <c r="Y2628" s="12">
        <f>IF(OR(LEFT(K2628,4)="LVAX",LEFT(K2628,6)="MV15AX",LEFT(K2628,4)="CTAX",LEFT(K2628,2)="W|"),2*N2628*O2628,0)</f>
        <v/>
      </c>
      <c r="Z2628" s="12" t="inlineStr">
        <is>
          <t>device-to-JB field wiring, one cable per device</t>
        </is>
      </c>
      <c r="AA2628" s="12">
        <f>N2628*O2628</f>
        <v/>
      </c>
    </row>
    <row r="2629">
      <c r="A2629" s="12" t="inlineStr">
        <is>
          <t>D-I-0035</t>
        </is>
      </c>
      <c r="B2629" s="12" t="inlineStr">
        <is>
          <t>D</t>
        </is>
      </c>
      <c r="C2629" s="12" t="inlineStr">
        <is>
          <t>Fuel gas</t>
        </is>
      </c>
      <c r="D2629" s="12" t="inlineStr">
        <is>
          <t>Home run JB-Gas pressure regul-DI01 to the control / marshalling room</t>
        </is>
      </c>
      <c r="E2629" s="12" t="inlineStr"/>
      <c r="F2629" s="12" t="inlineStr">
        <is>
          <t>Gas yard local control enclosure</t>
        </is>
      </c>
      <c r="G2629" s="12" t="inlineStr">
        <is>
          <t>JB-Gas pressure regul-DI01</t>
        </is>
      </c>
      <c r="H2629" s="12" t="inlineStr">
        <is>
          <t>Gas pressure regulation skid</t>
        </is>
      </c>
      <c r="I2629" s="12" t="inlineStr">
        <is>
          <t>Instrumentation</t>
        </is>
      </c>
      <c r="J2629" s="12" t="inlineStr">
        <is>
          <t>Instrumentation ITC / PLTC, IS, #18 shielded pairs, blue jacket</t>
        </is>
      </c>
      <c r="K2629" s="12" t="inlineStr">
        <is>
          <t>ITC|24 pr|18</t>
        </is>
      </c>
      <c r="L2629" s="12" t="inlineStr">
        <is>
          <t>24 pr</t>
        </is>
      </c>
      <c r="M2629" s="12" t="inlineStr">
        <is>
          <t>18</t>
        </is>
      </c>
      <c r="N2629" s="12" t="n">
        <v>1</v>
      </c>
      <c r="O2629" s="12" t="n">
        <v>1</v>
      </c>
      <c r="P2629" s="12" t="n"/>
      <c r="Q2629" s="12" t="n"/>
      <c r="R2629" s="12" t="n"/>
      <c r="S2629" s="12" t="inlineStr">
        <is>
          <t>Duct bank</t>
        </is>
      </c>
      <c r="T2629" s="16" t="n">
        <v>193</v>
      </c>
      <c r="U2629" s="16" t="n">
        <v>32</v>
      </c>
      <c r="V2629" s="16">
        <f>ROUNDUP((T2629+U2629+2*'Read Me'!$B$13)*(1+'Read Me'!$B$12),-1)</f>
        <v/>
      </c>
      <c r="W2629" s="16">
        <f>V2629*N2629*O2629</f>
        <v/>
      </c>
      <c r="X2629" s="12">
        <f>IF(LEFT(I2629,2)="MV",2*N2629*IF(L2629="1/C",O2629,1),0)</f>
        <v/>
      </c>
      <c r="Y2629" s="12">
        <f>IF(OR(LEFT(K2629,4)="LVAX",LEFT(K2629,6)="MV15AX",LEFT(K2629,4)="CTAX",LEFT(K2629,2)="W|"),2*N2629*O2629,0)</f>
        <v/>
      </c>
      <c r="Z2629" s="12" t="inlineStr"/>
      <c r="AA2629" s="12">
        <f>N2629*O2629</f>
        <v/>
      </c>
    </row>
    <row r="2630">
      <c r="A2630" s="12" t="inlineStr">
        <is>
          <t>D-I-0036</t>
        </is>
      </c>
      <c r="B2630" s="12" t="inlineStr">
        <is>
          <t>D</t>
        </is>
      </c>
      <c r="C2630" s="12" t="inlineStr">
        <is>
          <t>Fuel gas</t>
        </is>
      </c>
      <c r="D2630" s="12" t="inlineStr">
        <is>
          <t>Analog instrument to JB JB-Gas yard drains / -AI01: 4 x 1 pr (field cables)</t>
        </is>
      </c>
      <c r="E2630" s="12" t="inlineStr"/>
      <c r="F2630" s="12" t="inlineStr">
        <is>
          <t>Gas yard drains / condensate tank in a bund</t>
        </is>
      </c>
      <c r="G2630" s="12" t="inlineStr">
        <is>
          <t>JB-Gas yard drains / -AI01</t>
        </is>
      </c>
      <c r="H2630" s="12" t="inlineStr">
        <is>
          <t>Gas yard drains / condensate tank in a bund</t>
        </is>
      </c>
      <c r="I2630" s="12" t="inlineStr">
        <is>
          <t>Instrumentation</t>
        </is>
      </c>
      <c r="J2630" s="12" t="inlineStr">
        <is>
          <t>Instrumentation ITC / PLTC, IS, #18 shielded pairs, blue jacket</t>
        </is>
      </c>
      <c r="K2630" s="12" t="inlineStr">
        <is>
          <t>ITC|1 pr|16</t>
        </is>
      </c>
      <c r="L2630" s="12" t="inlineStr">
        <is>
          <t>1 pr</t>
        </is>
      </c>
      <c r="M2630" s="12" t="inlineStr">
        <is>
          <t>16</t>
        </is>
      </c>
      <c r="N2630" s="12" t="n">
        <v>4</v>
      </c>
      <c r="O2630" s="12" t="n">
        <v>1</v>
      </c>
      <c r="P2630" s="12" t="n"/>
      <c r="Q2630" s="12" t="n"/>
      <c r="R2630" s="12" t="n"/>
      <c r="S2630" s="12" t="inlineStr">
        <is>
          <t>Tray / conduit</t>
        </is>
      </c>
      <c r="T2630" s="16" t="n">
        <v>56</v>
      </c>
      <c r="U2630" s="16" t="n">
        <v>10</v>
      </c>
      <c r="V2630" s="16">
        <f>ROUNDUP((T2630+U2630+2*'Read Me'!$B$13)*(1+'Read Me'!$B$12),-1)</f>
        <v/>
      </c>
      <c r="W2630" s="16">
        <f>V2630*N2630*O2630</f>
        <v/>
      </c>
      <c r="X2630" s="12">
        <f>IF(LEFT(I2630,2)="MV",2*N2630*IF(L2630="1/C",O2630,1),0)</f>
        <v/>
      </c>
      <c r="Y2630" s="12">
        <f>IF(OR(LEFT(K2630,4)="LVAX",LEFT(K2630,6)="MV15AX",LEFT(K2630,4)="CTAX",LEFT(K2630,2)="W|"),2*N2630*O2630,0)</f>
        <v/>
      </c>
      <c r="Z2630" s="12" t="inlineStr">
        <is>
          <t>device-to-JB field wiring, one cable per device</t>
        </is>
      </c>
      <c r="AA2630" s="12">
        <f>N2630*O2630</f>
        <v/>
      </c>
    </row>
    <row r="2631">
      <c r="A2631" s="12" t="inlineStr">
        <is>
          <t>D-I-0037</t>
        </is>
      </c>
      <c r="B2631" s="12" t="inlineStr">
        <is>
          <t>D</t>
        </is>
      </c>
      <c r="C2631" s="12" t="inlineStr">
        <is>
          <t>Fuel gas</t>
        </is>
      </c>
      <c r="D2631" s="12" t="inlineStr">
        <is>
          <t>Home run JB-Gas yard drains / -AI01 to the control / marshalling room</t>
        </is>
      </c>
      <c r="E2631" s="12" t="inlineStr"/>
      <c r="F2631" s="12" t="inlineStr">
        <is>
          <t>Gas yard local control enclosure</t>
        </is>
      </c>
      <c r="G2631" s="12" t="inlineStr">
        <is>
          <t>JB-Gas yard drains / -AI01</t>
        </is>
      </c>
      <c r="H2631" s="12" t="inlineStr">
        <is>
          <t>Gas yard drains / condensate tank in a bund</t>
        </is>
      </c>
      <c r="I2631" s="12" t="inlineStr">
        <is>
          <t>Instrumentation</t>
        </is>
      </c>
      <c r="J2631" s="12" t="inlineStr">
        <is>
          <t>Instrumentation ITC / PLTC, IS, #18 shielded pairs, blue jacket</t>
        </is>
      </c>
      <c r="K2631" s="12" t="inlineStr">
        <is>
          <t>ITC|24 pr|18</t>
        </is>
      </c>
      <c r="L2631" s="12" t="inlineStr">
        <is>
          <t>24 pr</t>
        </is>
      </c>
      <c r="M2631" s="12" t="inlineStr">
        <is>
          <t>18</t>
        </is>
      </c>
      <c r="N2631" s="12" t="n">
        <v>1</v>
      </c>
      <c r="O2631" s="12" t="n">
        <v>1</v>
      </c>
      <c r="P2631" s="12" t="n"/>
      <c r="Q2631" s="12" t="n"/>
      <c r="R2631" s="12" t="n"/>
      <c r="S2631" s="12" t="inlineStr">
        <is>
          <t>Duct bank</t>
        </is>
      </c>
      <c r="T2631" s="16" t="n">
        <v>4</v>
      </c>
      <c r="U2631" s="16" t="n">
        <v>114</v>
      </c>
      <c r="V2631" s="16">
        <f>ROUNDUP((T2631+U2631+2*'Read Me'!$B$13)*(1+'Read Me'!$B$12),-1)</f>
        <v/>
      </c>
      <c r="W2631" s="16">
        <f>V2631*N2631*O2631</f>
        <v/>
      </c>
      <c r="X2631" s="12">
        <f>IF(LEFT(I2631,2)="MV",2*N2631*IF(L2631="1/C",O2631,1),0)</f>
        <v/>
      </c>
      <c r="Y2631" s="12">
        <f>IF(OR(LEFT(K2631,4)="LVAX",LEFT(K2631,6)="MV15AX",LEFT(K2631,4)="CTAX",LEFT(K2631,2)="W|"),2*N2631*O2631,0)</f>
        <v/>
      </c>
      <c r="Z2631" s="12" t="inlineStr"/>
      <c r="AA2631" s="12">
        <f>N2631*O2631</f>
        <v/>
      </c>
    </row>
    <row r="2632">
      <c r="A2632" s="12" t="inlineStr">
        <is>
          <t>D-I-0038</t>
        </is>
      </c>
      <c r="B2632" s="12" t="inlineStr">
        <is>
          <t>D</t>
        </is>
      </c>
      <c r="C2632" s="12" t="inlineStr">
        <is>
          <t>Fuel gas</t>
        </is>
      </c>
      <c r="D2632" s="12" t="inlineStr">
        <is>
          <t>Discrete device to JB JB-Gas yard drains / -DI01: 4 x 1 pr (field cables)</t>
        </is>
      </c>
      <c r="E2632" s="12" t="inlineStr"/>
      <c r="F2632" s="12" t="inlineStr">
        <is>
          <t>Gas yard drains / condensate tank in a bund</t>
        </is>
      </c>
      <c r="G2632" s="12" t="inlineStr">
        <is>
          <t>JB-Gas yard drains / -DI01</t>
        </is>
      </c>
      <c r="H2632" s="12" t="inlineStr">
        <is>
          <t>Gas yard drains / condensate tank in a bund</t>
        </is>
      </c>
      <c r="I2632" s="12" t="inlineStr">
        <is>
          <t>Instrumentation</t>
        </is>
      </c>
      <c r="J2632" s="12" t="inlineStr">
        <is>
          <t>Instrumentation ITC / PLTC, IS, #18 shielded pairs, blue jacket</t>
        </is>
      </c>
      <c r="K2632" s="12" t="inlineStr">
        <is>
          <t>ITC|1 pr|16</t>
        </is>
      </c>
      <c r="L2632" s="12" t="inlineStr">
        <is>
          <t>1 pr</t>
        </is>
      </c>
      <c r="M2632" s="12" t="inlineStr">
        <is>
          <t>16</t>
        </is>
      </c>
      <c r="N2632" s="12" t="n">
        <v>4</v>
      </c>
      <c r="O2632" s="12" t="n">
        <v>1</v>
      </c>
      <c r="P2632" s="12" t="n"/>
      <c r="Q2632" s="12" t="n"/>
      <c r="R2632" s="12" t="n"/>
      <c r="S2632" s="12" t="inlineStr">
        <is>
          <t>Tray / conduit</t>
        </is>
      </c>
      <c r="T2632" s="16" t="n">
        <v>56</v>
      </c>
      <c r="U2632" s="16" t="n">
        <v>10</v>
      </c>
      <c r="V2632" s="16">
        <f>ROUNDUP((T2632+U2632+2*'Read Me'!$B$13)*(1+'Read Me'!$B$12),-1)</f>
        <v/>
      </c>
      <c r="W2632" s="16">
        <f>V2632*N2632*O2632</f>
        <v/>
      </c>
      <c r="X2632" s="12">
        <f>IF(LEFT(I2632,2)="MV",2*N2632*IF(L2632="1/C",O2632,1),0)</f>
        <v/>
      </c>
      <c r="Y2632" s="12">
        <f>IF(OR(LEFT(K2632,4)="LVAX",LEFT(K2632,6)="MV15AX",LEFT(K2632,4)="CTAX",LEFT(K2632,2)="W|"),2*N2632*O2632,0)</f>
        <v/>
      </c>
      <c r="Z2632" s="12" t="inlineStr">
        <is>
          <t>device-to-JB field wiring, one cable per device</t>
        </is>
      </c>
      <c r="AA2632" s="12">
        <f>N2632*O2632</f>
        <v/>
      </c>
    </row>
    <row r="2633">
      <c r="A2633" s="12" t="inlineStr">
        <is>
          <t>D-I-0039</t>
        </is>
      </c>
      <c r="B2633" s="12" t="inlineStr">
        <is>
          <t>D</t>
        </is>
      </c>
      <c r="C2633" s="12" t="inlineStr">
        <is>
          <t>Fuel gas</t>
        </is>
      </c>
      <c r="D2633" s="12" t="inlineStr">
        <is>
          <t>Home run JB-Gas yard drains / -DI01 to the control / marshalling room</t>
        </is>
      </c>
      <c r="E2633" s="12" t="inlineStr"/>
      <c r="F2633" s="12" t="inlineStr">
        <is>
          <t>Gas yard local control enclosure</t>
        </is>
      </c>
      <c r="G2633" s="12" t="inlineStr">
        <is>
          <t>JB-Gas yard drains / -DI01</t>
        </is>
      </c>
      <c r="H2633" s="12" t="inlineStr">
        <is>
          <t>Gas yard drains / condensate tank in a bund</t>
        </is>
      </c>
      <c r="I2633" s="12" t="inlineStr">
        <is>
          <t>Instrumentation</t>
        </is>
      </c>
      <c r="J2633" s="12" t="inlineStr">
        <is>
          <t>Instrumentation ITC / PLTC, IS, #18 shielded pairs, blue jacket</t>
        </is>
      </c>
      <c r="K2633" s="12" t="inlineStr">
        <is>
          <t>ITC|24 pr|18</t>
        </is>
      </c>
      <c r="L2633" s="12" t="inlineStr">
        <is>
          <t>24 pr</t>
        </is>
      </c>
      <c r="M2633" s="12" t="inlineStr">
        <is>
          <t>18</t>
        </is>
      </c>
      <c r="N2633" s="12" t="n">
        <v>1</v>
      </c>
      <c r="O2633" s="12" t="n">
        <v>1</v>
      </c>
      <c r="P2633" s="12" t="n"/>
      <c r="Q2633" s="12" t="n"/>
      <c r="R2633" s="12" t="n"/>
      <c r="S2633" s="12" t="inlineStr">
        <is>
          <t>Duct bank</t>
        </is>
      </c>
      <c r="T2633" s="16" t="n">
        <v>4</v>
      </c>
      <c r="U2633" s="16" t="n">
        <v>114</v>
      </c>
      <c r="V2633" s="16">
        <f>ROUNDUP((T2633+U2633+2*'Read Me'!$B$13)*(1+'Read Me'!$B$12),-1)</f>
        <v/>
      </c>
      <c r="W2633" s="16">
        <f>V2633*N2633*O2633</f>
        <v/>
      </c>
      <c r="X2633" s="12">
        <f>IF(LEFT(I2633,2)="MV",2*N2633*IF(L2633="1/C",O2633,1),0)</f>
        <v/>
      </c>
      <c r="Y2633" s="12">
        <f>IF(OR(LEFT(K2633,4)="LVAX",LEFT(K2633,6)="MV15AX",LEFT(K2633,4)="CTAX",LEFT(K2633,2)="W|"),2*N2633*O2633,0)</f>
        <v/>
      </c>
      <c r="Z2633" s="12" t="inlineStr"/>
      <c r="AA2633" s="12">
        <f>N2633*O2633</f>
        <v/>
      </c>
    </row>
    <row r="2634">
      <c r="A2634" s="12" t="inlineStr">
        <is>
          <t>D-I-0040</t>
        </is>
      </c>
      <c r="B2634" s="12" t="inlineStr">
        <is>
          <t>D</t>
        </is>
      </c>
      <c r="C2634" s="12" t="inlineStr">
        <is>
          <t>Fuel gas</t>
        </is>
      </c>
      <c r="D2634" s="12" t="inlineStr">
        <is>
          <t>Analog instrument to JB JB-Gas yard filter-se-AI01: 8 x 1 pr (field cables)</t>
        </is>
      </c>
      <c r="E2634" s="12" t="inlineStr"/>
      <c r="F2634" s="12" t="inlineStr">
        <is>
          <t>Gas yard filter-separators</t>
        </is>
      </c>
      <c r="G2634" s="12" t="inlineStr">
        <is>
          <t>JB-Gas yard filter-se-AI01</t>
        </is>
      </c>
      <c r="H2634" s="12" t="inlineStr">
        <is>
          <t>Gas yard filter-separators</t>
        </is>
      </c>
      <c r="I2634" s="12" t="inlineStr">
        <is>
          <t>Instrumentation</t>
        </is>
      </c>
      <c r="J2634" s="12" t="inlineStr">
        <is>
          <t>Instrumentation ITC / PLTC, IS, #18 shielded pairs, blue jacket</t>
        </is>
      </c>
      <c r="K2634" s="12" t="inlineStr">
        <is>
          <t>ITC|1 pr|16</t>
        </is>
      </c>
      <c r="L2634" s="12" t="inlineStr">
        <is>
          <t>1 pr</t>
        </is>
      </c>
      <c r="M2634" s="12" t="inlineStr">
        <is>
          <t>16</t>
        </is>
      </c>
      <c r="N2634" s="12" t="n">
        <v>8</v>
      </c>
      <c r="O2634" s="12" t="n">
        <v>1</v>
      </c>
      <c r="P2634" s="12" t="n"/>
      <c r="Q2634" s="12" t="n"/>
      <c r="R2634" s="12" t="n"/>
      <c r="S2634" s="12" t="inlineStr">
        <is>
          <t>Tray / conduit</t>
        </is>
      </c>
      <c r="T2634" s="16" t="n">
        <v>60</v>
      </c>
      <c r="U2634" s="16" t="n">
        <v>10</v>
      </c>
      <c r="V2634" s="16">
        <f>ROUNDUP((T2634+U2634+2*'Read Me'!$B$13)*(1+'Read Me'!$B$12),-1)</f>
        <v/>
      </c>
      <c r="W2634" s="16">
        <f>V2634*N2634*O2634</f>
        <v/>
      </c>
      <c r="X2634" s="12">
        <f>IF(LEFT(I2634,2)="MV",2*N2634*IF(L2634="1/C",O2634,1),0)</f>
        <v/>
      </c>
      <c r="Y2634" s="12">
        <f>IF(OR(LEFT(K2634,4)="LVAX",LEFT(K2634,6)="MV15AX",LEFT(K2634,4)="CTAX",LEFT(K2634,2)="W|"),2*N2634*O2634,0)</f>
        <v/>
      </c>
      <c r="Z2634" s="12" t="inlineStr">
        <is>
          <t>device-to-JB field wiring, one cable per device</t>
        </is>
      </c>
      <c r="AA2634" s="12">
        <f>N2634*O2634</f>
        <v/>
      </c>
    </row>
    <row r="2635">
      <c r="A2635" s="12" t="inlineStr">
        <is>
          <t>D-I-0041</t>
        </is>
      </c>
      <c r="B2635" s="12" t="inlineStr">
        <is>
          <t>D</t>
        </is>
      </c>
      <c r="C2635" s="12" t="inlineStr">
        <is>
          <t>Fuel gas</t>
        </is>
      </c>
      <c r="D2635" s="12" t="inlineStr">
        <is>
          <t>Home run JB-Gas yard filter-se-AI01 to the control / marshalling room</t>
        </is>
      </c>
      <c r="E2635" s="12" t="inlineStr"/>
      <c r="F2635" s="12" t="inlineStr">
        <is>
          <t>Gas yard local control enclosure</t>
        </is>
      </c>
      <c r="G2635" s="12" t="inlineStr">
        <is>
          <t>JB-Gas yard filter-se-AI01</t>
        </is>
      </c>
      <c r="H2635" s="12" t="inlineStr">
        <is>
          <t>Gas yard filter-separators</t>
        </is>
      </c>
      <c r="I2635" s="12" t="inlineStr">
        <is>
          <t>Instrumentation</t>
        </is>
      </c>
      <c r="J2635" s="12" t="inlineStr">
        <is>
          <t>Instrumentation ITC / PLTC, IS, #18 shielded pairs, blue jacket</t>
        </is>
      </c>
      <c r="K2635" s="12" t="inlineStr">
        <is>
          <t>ITC|24 pr|18</t>
        </is>
      </c>
      <c r="L2635" s="12" t="inlineStr">
        <is>
          <t>24 pr</t>
        </is>
      </c>
      <c r="M2635" s="12" t="inlineStr">
        <is>
          <t>18</t>
        </is>
      </c>
      <c r="N2635" s="12" t="n">
        <v>1</v>
      </c>
      <c r="O2635" s="12" t="n">
        <v>1</v>
      </c>
      <c r="P2635" s="12" t="n"/>
      <c r="Q2635" s="12" t="n"/>
      <c r="R2635" s="12" t="n"/>
      <c r="S2635" s="12" t="inlineStr">
        <is>
          <t>Duct bank</t>
        </is>
      </c>
      <c r="T2635" s="16" t="n">
        <v>83</v>
      </c>
      <c r="U2635" s="16" t="n">
        <v>32</v>
      </c>
      <c r="V2635" s="16">
        <f>ROUNDUP((T2635+U2635+2*'Read Me'!$B$13)*(1+'Read Me'!$B$12),-1)</f>
        <v/>
      </c>
      <c r="W2635" s="16">
        <f>V2635*N2635*O2635</f>
        <v/>
      </c>
      <c r="X2635" s="12">
        <f>IF(LEFT(I2635,2)="MV",2*N2635*IF(L2635="1/C",O2635,1),0)</f>
        <v/>
      </c>
      <c r="Y2635" s="12">
        <f>IF(OR(LEFT(K2635,4)="LVAX",LEFT(K2635,6)="MV15AX",LEFT(K2635,4)="CTAX",LEFT(K2635,2)="W|"),2*N2635*O2635,0)</f>
        <v/>
      </c>
      <c r="Z2635" s="12" t="inlineStr"/>
      <c r="AA2635" s="12">
        <f>N2635*O2635</f>
        <v/>
      </c>
    </row>
    <row r="2636">
      <c r="A2636" s="12" t="inlineStr">
        <is>
          <t>D-I-0042</t>
        </is>
      </c>
      <c r="B2636" s="12" t="inlineStr">
        <is>
          <t>D</t>
        </is>
      </c>
      <c r="C2636" s="12" t="inlineStr">
        <is>
          <t>Fuel gas</t>
        </is>
      </c>
      <c r="D2636" s="12" t="inlineStr">
        <is>
          <t>Discrete device to JB JB-Gas yard filter-se-DI01: 12 x 1 pr (field cables)</t>
        </is>
      </c>
      <c r="E2636" s="12" t="inlineStr"/>
      <c r="F2636" s="12" t="inlineStr">
        <is>
          <t>Gas yard filter-separators</t>
        </is>
      </c>
      <c r="G2636" s="12" t="inlineStr">
        <is>
          <t>JB-Gas yard filter-se-DI01</t>
        </is>
      </c>
      <c r="H2636" s="12" t="inlineStr">
        <is>
          <t>Gas yard filter-separators</t>
        </is>
      </c>
      <c r="I2636" s="12" t="inlineStr">
        <is>
          <t>Instrumentation</t>
        </is>
      </c>
      <c r="J2636" s="12" t="inlineStr">
        <is>
          <t>Instrumentation ITC / PLTC, IS, #18 shielded pairs, blue jacket</t>
        </is>
      </c>
      <c r="K2636" s="12" t="inlineStr">
        <is>
          <t>ITC|1 pr|16</t>
        </is>
      </c>
      <c r="L2636" s="12" t="inlineStr">
        <is>
          <t>1 pr</t>
        </is>
      </c>
      <c r="M2636" s="12" t="inlineStr">
        <is>
          <t>16</t>
        </is>
      </c>
      <c r="N2636" s="12" t="n">
        <v>12</v>
      </c>
      <c r="O2636" s="12" t="n">
        <v>1</v>
      </c>
      <c r="P2636" s="12" t="n"/>
      <c r="Q2636" s="12" t="n"/>
      <c r="R2636" s="12" t="n"/>
      <c r="S2636" s="12" t="inlineStr">
        <is>
          <t>Tray / conduit</t>
        </is>
      </c>
      <c r="T2636" s="16" t="n">
        <v>60</v>
      </c>
      <c r="U2636" s="16" t="n">
        <v>10</v>
      </c>
      <c r="V2636" s="16">
        <f>ROUNDUP((T2636+U2636+2*'Read Me'!$B$13)*(1+'Read Me'!$B$12),-1)</f>
        <v/>
      </c>
      <c r="W2636" s="16">
        <f>V2636*N2636*O2636</f>
        <v/>
      </c>
      <c r="X2636" s="12">
        <f>IF(LEFT(I2636,2)="MV",2*N2636*IF(L2636="1/C",O2636,1),0)</f>
        <v/>
      </c>
      <c r="Y2636" s="12">
        <f>IF(OR(LEFT(K2636,4)="LVAX",LEFT(K2636,6)="MV15AX",LEFT(K2636,4)="CTAX",LEFT(K2636,2)="W|"),2*N2636*O2636,0)</f>
        <v/>
      </c>
      <c r="Z2636" s="12" t="inlineStr">
        <is>
          <t>device-to-JB field wiring, one cable per device</t>
        </is>
      </c>
      <c r="AA2636" s="12">
        <f>N2636*O2636</f>
        <v/>
      </c>
    </row>
    <row r="2637">
      <c r="A2637" s="12" t="inlineStr">
        <is>
          <t>D-I-0043</t>
        </is>
      </c>
      <c r="B2637" s="12" t="inlineStr">
        <is>
          <t>D</t>
        </is>
      </c>
      <c r="C2637" s="12" t="inlineStr">
        <is>
          <t>Fuel gas</t>
        </is>
      </c>
      <c r="D2637" s="12" t="inlineStr">
        <is>
          <t>Home run JB-Gas yard filter-se-DI01 to the control / marshalling room</t>
        </is>
      </c>
      <c r="E2637" s="12" t="inlineStr"/>
      <c r="F2637" s="12" t="inlineStr">
        <is>
          <t>Gas yard local control enclosure</t>
        </is>
      </c>
      <c r="G2637" s="12" t="inlineStr">
        <is>
          <t>JB-Gas yard filter-se-DI01</t>
        </is>
      </c>
      <c r="H2637" s="12" t="inlineStr">
        <is>
          <t>Gas yard filter-separators</t>
        </is>
      </c>
      <c r="I2637" s="12" t="inlineStr">
        <is>
          <t>Instrumentation</t>
        </is>
      </c>
      <c r="J2637" s="12" t="inlineStr">
        <is>
          <t>Instrumentation ITC / PLTC, IS, #18 shielded pairs, blue jacket</t>
        </is>
      </c>
      <c r="K2637" s="12" t="inlineStr">
        <is>
          <t>ITC|24 pr|18</t>
        </is>
      </c>
      <c r="L2637" s="12" t="inlineStr">
        <is>
          <t>24 pr</t>
        </is>
      </c>
      <c r="M2637" s="12" t="inlineStr">
        <is>
          <t>18</t>
        </is>
      </c>
      <c r="N2637" s="12" t="n">
        <v>1</v>
      </c>
      <c r="O2637" s="12" t="n">
        <v>1</v>
      </c>
      <c r="P2637" s="12" t="n"/>
      <c r="Q2637" s="12" t="n"/>
      <c r="R2637" s="12" t="n"/>
      <c r="S2637" s="12" t="inlineStr">
        <is>
          <t>Duct bank</t>
        </is>
      </c>
      <c r="T2637" s="16" t="n">
        <v>83</v>
      </c>
      <c r="U2637" s="16" t="n">
        <v>32</v>
      </c>
      <c r="V2637" s="16">
        <f>ROUNDUP((T2637+U2637+2*'Read Me'!$B$13)*(1+'Read Me'!$B$12),-1)</f>
        <v/>
      </c>
      <c r="W2637" s="16">
        <f>V2637*N2637*O2637</f>
        <v/>
      </c>
      <c r="X2637" s="12">
        <f>IF(LEFT(I2637,2)="MV",2*N2637*IF(L2637="1/C",O2637,1),0)</f>
        <v/>
      </c>
      <c r="Y2637" s="12">
        <f>IF(OR(LEFT(K2637,4)="LVAX",LEFT(K2637,6)="MV15AX",LEFT(K2637,4)="CTAX",LEFT(K2637,2)="W|"),2*N2637*O2637,0)</f>
        <v/>
      </c>
      <c r="Z2637" s="12" t="inlineStr"/>
      <c r="AA2637" s="12">
        <f>N2637*O2637</f>
        <v/>
      </c>
    </row>
    <row r="2638">
      <c r="A2638" s="12" t="inlineStr">
        <is>
          <t>D-I-0044</t>
        </is>
      </c>
      <c r="B2638" s="12" t="inlineStr">
        <is>
          <t>D</t>
        </is>
      </c>
      <c r="C2638" s="12" t="inlineStr">
        <is>
          <t>Fuel gas</t>
        </is>
      </c>
      <c r="D2638" s="12" t="inlineStr">
        <is>
          <t>Discrete device to JB JB-Gas yard inlet: ES-DI01: 8 x 1 pr (field cables)</t>
        </is>
      </c>
      <c r="E2638" s="12" t="inlineStr"/>
      <c r="F2638" s="12" t="inlineStr">
        <is>
          <t>Gas yard inlet: ESD valve, block valve and insulating joint</t>
        </is>
      </c>
      <c r="G2638" s="12" t="inlineStr">
        <is>
          <t>JB-Gas yard inlet: ES-DI01</t>
        </is>
      </c>
      <c r="H2638" s="12" t="inlineStr">
        <is>
          <t>Gas yard inlet: ESD valve, block valve and insulating joint</t>
        </is>
      </c>
      <c r="I2638" s="12" t="inlineStr">
        <is>
          <t>Instrumentation</t>
        </is>
      </c>
      <c r="J2638" s="12" t="inlineStr">
        <is>
          <t>Instrumentation ITC / PLTC, IS, #18 shielded pairs, blue jacket</t>
        </is>
      </c>
      <c r="K2638" s="12" t="inlineStr">
        <is>
          <t>ITC|1 pr|16</t>
        </is>
      </c>
      <c r="L2638" s="12" t="inlineStr">
        <is>
          <t>1 pr</t>
        </is>
      </c>
      <c r="M2638" s="12" t="inlineStr">
        <is>
          <t>16</t>
        </is>
      </c>
      <c r="N2638" s="12" t="n">
        <v>8</v>
      </c>
      <c r="O2638" s="12" t="n">
        <v>1</v>
      </c>
      <c r="P2638" s="12" t="n"/>
      <c r="Q2638" s="12" t="n"/>
      <c r="R2638" s="12" t="n"/>
      <c r="S2638" s="12" t="inlineStr">
        <is>
          <t>Tray / conduit</t>
        </is>
      </c>
      <c r="T2638" s="16" t="n">
        <v>46</v>
      </c>
      <c r="U2638" s="16" t="n">
        <v>10</v>
      </c>
      <c r="V2638" s="16">
        <f>ROUNDUP((T2638+U2638+2*'Read Me'!$B$13)*(1+'Read Me'!$B$12),-1)</f>
        <v/>
      </c>
      <c r="W2638" s="16">
        <f>V2638*N2638*O2638</f>
        <v/>
      </c>
      <c r="X2638" s="12">
        <f>IF(LEFT(I2638,2)="MV",2*N2638*IF(L2638="1/C",O2638,1),0)</f>
        <v/>
      </c>
      <c r="Y2638" s="12">
        <f>IF(OR(LEFT(K2638,4)="LVAX",LEFT(K2638,6)="MV15AX",LEFT(K2638,4)="CTAX",LEFT(K2638,2)="W|"),2*N2638*O2638,0)</f>
        <v/>
      </c>
      <c r="Z2638" s="12" t="inlineStr">
        <is>
          <t>device-to-JB field wiring, one cable per device</t>
        </is>
      </c>
      <c r="AA2638" s="12">
        <f>N2638*O2638</f>
        <v/>
      </c>
    </row>
    <row r="2639">
      <c r="A2639" s="12" t="inlineStr">
        <is>
          <t>D-I-0045</t>
        </is>
      </c>
      <c r="B2639" s="12" t="inlineStr">
        <is>
          <t>D</t>
        </is>
      </c>
      <c r="C2639" s="12" t="inlineStr">
        <is>
          <t>Fuel gas</t>
        </is>
      </c>
      <c r="D2639" s="12" t="inlineStr">
        <is>
          <t>Home run JB-Gas yard inlet: ES-DI01 to the control / marshalling room</t>
        </is>
      </c>
      <c r="E2639" s="12" t="inlineStr"/>
      <c r="F2639" s="12" t="inlineStr">
        <is>
          <t>Gas yard local control enclosure</t>
        </is>
      </c>
      <c r="G2639" s="12" t="inlineStr">
        <is>
          <t>JB-Gas yard inlet: ES-DI01</t>
        </is>
      </c>
      <c r="H2639" s="12" t="inlineStr">
        <is>
          <t>Gas yard inlet: ESD valve, block valve and insulating joint</t>
        </is>
      </c>
      <c r="I2639" s="12" t="inlineStr">
        <is>
          <t>Instrumentation</t>
        </is>
      </c>
      <c r="J2639" s="12" t="inlineStr">
        <is>
          <t>Instrumentation ITC / PLTC, IS, #18 shielded pairs, blue jacket</t>
        </is>
      </c>
      <c r="K2639" s="12" t="inlineStr">
        <is>
          <t>ITC|24 pr|18</t>
        </is>
      </c>
      <c r="L2639" s="12" t="inlineStr">
        <is>
          <t>24 pr</t>
        </is>
      </c>
      <c r="M2639" s="12" t="inlineStr">
        <is>
          <t>18</t>
        </is>
      </c>
      <c r="N2639" s="12" t="n">
        <v>1</v>
      </c>
      <c r="O2639" s="12" t="n">
        <v>1</v>
      </c>
      <c r="P2639" s="12" t="n"/>
      <c r="Q2639" s="12" t="n"/>
      <c r="R2639" s="12" t="n"/>
      <c r="S2639" s="12" t="inlineStr">
        <is>
          <t>Duct bank</t>
        </is>
      </c>
      <c r="T2639" s="16" t="n">
        <v>193</v>
      </c>
      <c r="U2639" s="16" t="n">
        <v>129</v>
      </c>
      <c r="V2639" s="16">
        <f>ROUNDUP((T2639+U2639+2*'Read Me'!$B$13)*(1+'Read Me'!$B$12),-1)</f>
        <v/>
      </c>
      <c r="W2639" s="16">
        <f>V2639*N2639*O2639</f>
        <v/>
      </c>
      <c r="X2639" s="12">
        <f>IF(LEFT(I2639,2)="MV",2*N2639*IF(L2639="1/C",O2639,1),0)</f>
        <v/>
      </c>
      <c r="Y2639" s="12">
        <f>IF(OR(LEFT(K2639,4)="LVAX",LEFT(K2639,6)="MV15AX",LEFT(K2639,4)="CTAX",LEFT(K2639,2)="W|"),2*N2639*O2639,0)</f>
        <v/>
      </c>
      <c r="Z2639" s="12" t="inlineStr"/>
      <c r="AA2639" s="12">
        <f>N2639*O2639</f>
        <v/>
      </c>
    </row>
    <row r="2640">
      <c r="A2640" s="12" t="inlineStr">
        <is>
          <t>D-I-0046</t>
        </is>
      </c>
      <c r="B2640" s="12" t="inlineStr">
        <is>
          <t>D</t>
        </is>
      </c>
      <c r="C2640" s="12" t="inlineStr">
        <is>
          <t>Fuel gas</t>
        </is>
      </c>
      <c r="D2640" s="12" t="inlineStr">
        <is>
          <t>Instrumentation</t>
        </is>
      </c>
      <c r="E2640" s="12" t="inlineStr"/>
      <c r="F2640" s="12" t="inlineStr">
        <is>
          <t>Gas yard local control enclosure</t>
        </is>
      </c>
      <c r="G2640" s="12" t="inlineStr"/>
      <c r="H2640" s="12" t="inlineStr">
        <is>
          <t>Gas yard local control enclosure</t>
        </is>
      </c>
      <c r="I2640" s="12" t="inlineStr">
        <is>
          <t>Instrumentation</t>
        </is>
      </c>
      <c r="J2640" s="12" t="inlineStr">
        <is>
          <t>Instrumentation ITC / PLTC, IS, #18 shielded pairs, blue jacket</t>
        </is>
      </c>
      <c r="K2640" s="12" t="inlineStr">
        <is>
          <t>ITC|4 pr|18</t>
        </is>
      </c>
      <c r="L2640" s="12" t="inlineStr">
        <is>
          <t>4 pr</t>
        </is>
      </c>
      <c r="M2640" s="12" t="inlineStr">
        <is>
          <t>18</t>
        </is>
      </c>
      <c r="N2640" s="12" t="n">
        <v>1</v>
      </c>
      <c r="O2640" s="12" t="n">
        <v>1</v>
      </c>
      <c r="P2640" s="12" t="n"/>
      <c r="Q2640" s="12" t="n"/>
      <c r="R2640" s="12" t="n"/>
      <c r="S2640" s="12" t="inlineStr">
        <is>
          <t>Tray</t>
        </is>
      </c>
      <c r="T2640" s="16" t="n">
        <v>0</v>
      </c>
      <c r="U2640" s="16" t="n">
        <v>32</v>
      </c>
      <c r="V2640" s="16">
        <f>ROUNDUP((T2640+U2640+2*'Read Me'!$B$13)*(1+'Read Me'!$B$12),-1)</f>
        <v/>
      </c>
      <c r="W2640" s="16">
        <f>V2640*N2640*O2640</f>
        <v/>
      </c>
      <c r="X2640" s="12">
        <f>IF(LEFT(I2640,2)="MV",2*N2640*IF(L2640="1/C",O2640,1),0)</f>
        <v/>
      </c>
      <c r="Y2640" s="12">
        <f>IF(OR(LEFT(K2640,4)="LVAX",LEFT(K2640,6)="MV15AX",LEFT(K2640,4)="CTAX",LEFT(K2640,2)="W|"),2*N2640*O2640,0)</f>
        <v/>
      </c>
      <c r="Z2640" s="12" t="inlineStr"/>
      <c r="AA2640" s="12">
        <f>N2640*O2640</f>
        <v/>
      </c>
    </row>
    <row r="2641">
      <c r="A2641" s="12" t="inlineStr">
        <is>
          <t>D-P-0001</t>
        </is>
      </c>
      <c r="B2641" s="12" t="inlineStr">
        <is>
          <t>D</t>
        </is>
      </c>
      <c r="C2641" s="12" t="inlineStr">
        <is>
          <t>Fuel gas</t>
        </is>
      </c>
      <c r="D2641" s="12" t="inlineStr">
        <is>
          <t>LV power feeder</t>
        </is>
      </c>
      <c r="E2641" s="12" t="inlineStr">
        <is>
          <t>MCC-C1</t>
        </is>
      </c>
      <c r="F2641" s="12" t="inlineStr">
        <is>
          <t>R1 MCC-C1</t>
        </is>
      </c>
      <c r="G2641" s="12" t="inlineStr"/>
      <c r="H2641" s="12" t="inlineStr">
        <is>
          <t>CONDITIONAL: ULSD backup fuel-oil tank</t>
        </is>
      </c>
      <c r="I2641" s="12" t="inlineStr">
        <is>
          <t>LV 600 V</t>
        </is>
      </c>
      <c r="J2641" s="12" t="inlineStr">
        <is>
          <t>ARMOR-X MC-HL 600 V 3/C Cu XHHW-2 + ground, CWA, black PVC (Class I Div 2)</t>
        </is>
      </c>
      <c r="K2641" s="12" t="inlineStr">
        <is>
          <t>LVAX|3/C+G|2</t>
        </is>
      </c>
      <c r="L2641" s="12" t="inlineStr">
        <is>
          <t>3/C+G</t>
        </is>
      </c>
      <c r="M2641" s="12" t="inlineStr">
        <is>
          <t>2</t>
        </is>
      </c>
      <c r="N2641" s="12" t="n">
        <v>1</v>
      </c>
      <c r="O2641" s="12" t="n">
        <v>1</v>
      </c>
      <c r="P2641" s="12" t="n">
        <v>480</v>
      </c>
      <c r="Q2641" s="12" t="n">
        <v>10</v>
      </c>
      <c r="R2641" s="12" t="n">
        <v>14.2</v>
      </c>
      <c r="S2641" s="12" t="inlineStr">
        <is>
          <t>Duct bank</t>
        </is>
      </c>
      <c r="T2641" s="16" t="n">
        <v>1902</v>
      </c>
      <c r="U2641" s="16" t="n">
        <v>157</v>
      </c>
      <c r="V2641" s="16">
        <f>ROUNDUP((T2641+U2641+2*'Read Me'!$B$13)*(1+'Read Me'!$B$12),-1)</f>
        <v/>
      </c>
      <c r="W2641" s="16">
        <f>V2641*N2641*O2641</f>
        <v/>
      </c>
      <c r="X2641" s="12">
        <f>IF(LEFT(I2641,2)="MV",2*N2641*IF(L2641="1/C",O2641,1),0)</f>
        <v/>
      </c>
      <c r="Y2641" s="12">
        <f>IF(OR(LEFT(K2641,4)="LVAX",LEFT(K2641,6)="MV15AX",LEFT(K2641,4)="CTAX",LEFT(K2641,2)="W|"),2*N2641*O2641,0)</f>
        <v/>
      </c>
      <c r="Z2641" s="12" t="inlineStr">
        <is>
          <t>VD 2.2 %</t>
        </is>
      </c>
      <c r="AA2641" s="12">
        <f>N2641*O2641</f>
        <v/>
      </c>
    </row>
    <row r="2642">
      <c r="A2642" s="12" t="inlineStr">
        <is>
          <t>D-P-0002</t>
        </is>
      </c>
      <c r="B2642" s="12" t="inlineStr">
        <is>
          <t>D</t>
        </is>
      </c>
      <c r="C2642" s="12" t="inlineStr">
        <is>
          <t>Fuel gas</t>
        </is>
      </c>
      <c r="D2642" s="12" t="inlineStr">
        <is>
          <t>LV power feeder</t>
        </is>
      </c>
      <c r="E2642" s="12" t="inlineStr">
        <is>
          <t>MCC-C1</t>
        </is>
      </c>
      <c r="F2642" s="12" t="inlineStr">
        <is>
          <t>R1 MCC-C1</t>
        </is>
      </c>
      <c r="G2642" s="12" t="inlineStr"/>
      <c r="H2642" s="12" t="inlineStr">
        <is>
          <t>CONDITIONAL: ULSD truck unloading station (canopy, spill containment)</t>
        </is>
      </c>
      <c r="I2642" s="12" t="inlineStr">
        <is>
          <t>LV 600 V</t>
        </is>
      </c>
      <c r="J2642" s="12" t="inlineStr">
        <is>
          <t>ARMOR-X MC-HL 600 V 3/C Cu XHHW-2 + ground, CWA, black PVC (Class I Div 2)</t>
        </is>
      </c>
      <c r="K2642" s="12" t="inlineStr">
        <is>
          <t>LVAX|3/C+G|1</t>
        </is>
      </c>
      <c r="L2642" s="12" t="inlineStr">
        <is>
          <t>3/C+G</t>
        </is>
      </c>
      <c r="M2642" s="12" t="inlineStr">
        <is>
          <t>1</t>
        </is>
      </c>
      <c r="N2642" s="12" t="n">
        <v>1</v>
      </c>
      <c r="O2642" s="12" t="n">
        <v>1</v>
      </c>
      <c r="P2642" s="12" t="n">
        <v>480</v>
      </c>
      <c r="Q2642" s="12" t="n">
        <v>15</v>
      </c>
      <c r="R2642" s="12" t="n">
        <v>21.2</v>
      </c>
      <c r="S2642" s="12" t="inlineStr">
        <is>
          <t>Tray</t>
        </is>
      </c>
      <c r="T2642" s="16" t="n">
        <v>1768</v>
      </c>
      <c r="U2642" s="16" t="n">
        <v>257</v>
      </c>
      <c r="V2642" s="16">
        <f>ROUNDUP((T2642+U2642+2*'Read Me'!$B$13)*(1+'Read Me'!$B$12),-1)</f>
        <v/>
      </c>
      <c r="W2642" s="16">
        <f>V2642*N2642*O2642</f>
        <v/>
      </c>
      <c r="X2642" s="12">
        <f>IF(LEFT(I2642,2)="MV",2*N2642*IF(L2642="1/C",O2642,1),0)</f>
        <v/>
      </c>
      <c r="Y2642" s="12">
        <f>IF(OR(LEFT(K2642,4)="LVAX",LEFT(K2642,6)="MV15AX",LEFT(K2642,4)="CTAX",LEFT(K2642,2)="W|"),2*N2642*O2642,0)</f>
        <v/>
      </c>
      <c r="Z2642" s="12" t="inlineStr">
        <is>
          <t>VD 2.6 %</t>
        </is>
      </c>
      <c r="AA2642" s="12">
        <f>N2642*O2642</f>
        <v/>
      </c>
    </row>
    <row r="2643">
      <c r="A2643" s="12" t="inlineStr">
        <is>
          <t>D-P-0003</t>
        </is>
      </c>
      <c r="B2643" s="12" t="inlineStr">
        <is>
          <t>D</t>
        </is>
      </c>
      <c r="C2643" s="12" t="inlineStr">
        <is>
          <t>Fuel gas</t>
        </is>
      </c>
      <c r="D2643" s="12" t="inlineStr">
        <is>
          <t>LV power feeder</t>
        </is>
      </c>
      <c r="E2643" s="12" t="inlineStr">
        <is>
          <t>MCC-C1</t>
        </is>
      </c>
      <c r="F2643" s="12" t="inlineStr">
        <is>
          <t>R1 MCC-C1</t>
        </is>
      </c>
      <c r="G2643" s="12" t="inlineStr"/>
      <c r="H2643" s="12" t="inlineStr">
        <is>
          <t>CONDITIONAL: ULSD unloading and forwarding pumps, duplex filters</t>
        </is>
      </c>
      <c r="I2643" s="12" t="inlineStr">
        <is>
          <t>LV 600 V</t>
        </is>
      </c>
      <c r="J2643" s="12" t="inlineStr">
        <is>
          <t>ARMOR-X MC-HL 600 V 3/C Cu XHHW-2 + ground, CWA, black PVC (Class I Div 2)</t>
        </is>
      </c>
      <c r="K2643" s="12" t="inlineStr">
        <is>
          <t>LVAX|3/C+G|350</t>
        </is>
      </c>
      <c r="L2643" s="12" t="inlineStr">
        <is>
          <t>3/C+G</t>
        </is>
      </c>
      <c r="M2643" s="12" t="inlineStr">
        <is>
          <t>350 kcmil</t>
        </is>
      </c>
      <c r="N2643" s="12" t="n">
        <v>2</v>
      </c>
      <c r="O2643" s="12" t="n">
        <v>1</v>
      </c>
      <c r="P2643" s="12" t="n">
        <v>480</v>
      </c>
      <c r="Q2643" s="12" t="n">
        <v>110</v>
      </c>
      <c r="R2643" s="12" t="n">
        <v>155.7</v>
      </c>
      <c r="S2643" s="12" t="inlineStr">
        <is>
          <t>Tray</t>
        </is>
      </c>
      <c r="T2643" s="16" t="n">
        <v>1768</v>
      </c>
      <c r="U2643" s="16" t="n">
        <v>184</v>
      </c>
      <c r="V2643" s="16">
        <f>ROUNDUP((T2643+U2643+2*'Read Me'!$B$13)*(1+'Read Me'!$B$12),-1)</f>
        <v/>
      </c>
      <c r="W2643" s="16">
        <f>V2643*N2643*O2643</f>
        <v/>
      </c>
      <c r="X2643" s="12">
        <f>IF(LEFT(I2643,2)="MV",2*N2643*IF(L2643="1/C",O2643,1),0)</f>
        <v/>
      </c>
      <c r="Y2643" s="12">
        <f>IF(OR(LEFT(K2643,4)="LVAX",LEFT(K2643,6)="MV15AX",LEFT(K2643,4)="CTAX",LEFT(K2643,2)="W|"),2*N2643*O2643,0)</f>
        <v/>
      </c>
      <c r="Z2643" s="12" t="inlineStr">
        <is>
          <t>VD 2.2 %</t>
        </is>
      </c>
      <c r="AA2643" s="12">
        <f>N2643*O2643</f>
        <v/>
      </c>
    </row>
    <row r="2644">
      <c r="A2644" s="12" t="inlineStr">
        <is>
          <t>D-P-0004</t>
        </is>
      </c>
      <c r="B2644" s="12" t="inlineStr">
        <is>
          <t>D</t>
        </is>
      </c>
      <c r="C2644" s="12" t="inlineStr">
        <is>
          <t>Fuel gas</t>
        </is>
      </c>
      <c r="D2644" s="12" t="inlineStr">
        <is>
          <t>LV power feeder</t>
        </is>
      </c>
      <c r="E2644" s="12" t="inlineStr">
        <is>
          <t>MCC-C1</t>
        </is>
      </c>
      <c r="F2644" s="12" t="inlineStr">
        <is>
          <t>R1 MCC-C1</t>
        </is>
      </c>
      <c r="G2644" s="12" t="inlineStr"/>
      <c r="H2644" s="12" t="inlineStr">
        <is>
          <t>CONDITIONAL: backup fuel oil (ULSD) unloading and forwarding area</t>
        </is>
      </c>
      <c r="I2644" s="12" t="inlineStr">
        <is>
          <t>LV 600 V</t>
        </is>
      </c>
      <c r="J2644" s="12" t="inlineStr">
        <is>
          <t>ARMOR-X MC-HL 600 V 3/C Cu XHHW-2 + ground, CWA, black PVC (Class I Div 2)</t>
        </is>
      </c>
      <c r="K2644" s="12" t="inlineStr">
        <is>
          <t>LVAX|3/C+G|1</t>
        </is>
      </c>
      <c r="L2644" s="12" t="inlineStr">
        <is>
          <t>3/C+G</t>
        </is>
      </c>
      <c r="M2644" s="12" t="inlineStr">
        <is>
          <t>1</t>
        </is>
      </c>
      <c r="N2644" s="12" t="n">
        <v>1</v>
      </c>
      <c r="O2644" s="12" t="n">
        <v>1</v>
      </c>
      <c r="P2644" s="12" t="n">
        <v>480</v>
      </c>
      <c r="Q2644" s="12" t="n">
        <v>15</v>
      </c>
      <c r="R2644" s="12" t="n">
        <v>21.2</v>
      </c>
      <c r="S2644" s="12" t="inlineStr">
        <is>
          <t>Tray</t>
        </is>
      </c>
      <c r="T2644" s="16" t="n">
        <v>1768</v>
      </c>
      <c r="U2644" s="16" t="n">
        <v>167</v>
      </c>
      <c r="V2644" s="16">
        <f>ROUNDUP((T2644+U2644+2*'Read Me'!$B$13)*(1+'Read Me'!$B$12),-1)</f>
        <v/>
      </c>
      <c r="W2644" s="16">
        <f>V2644*N2644*O2644</f>
        <v/>
      </c>
      <c r="X2644" s="12">
        <f>IF(LEFT(I2644,2)="MV",2*N2644*IF(L2644="1/C",O2644,1),0)</f>
        <v/>
      </c>
      <c r="Y2644" s="12">
        <f>IF(OR(LEFT(K2644,4)="LVAX",LEFT(K2644,6)="MV15AX",LEFT(K2644,4)="CTAX",LEFT(K2644,2)="W|"),2*N2644*O2644,0)</f>
        <v/>
      </c>
      <c r="Z2644" s="12" t="inlineStr">
        <is>
          <t>VD 2.5 %</t>
        </is>
      </c>
      <c r="AA2644" s="12">
        <f>N2644*O2644</f>
        <v/>
      </c>
    </row>
    <row r="2645">
      <c r="A2645" s="12" t="inlineStr">
        <is>
          <t>D-P-0005</t>
        </is>
      </c>
      <c r="B2645" s="12" t="inlineStr">
        <is>
          <t>D</t>
        </is>
      </c>
      <c r="C2645" s="12" t="inlineStr">
        <is>
          <t>Fuel gas</t>
        </is>
      </c>
      <c r="D2645" s="12" t="inlineStr">
        <is>
          <t>Motor 1 of 6, 15 kW</t>
        </is>
      </c>
      <c r="E2645" s="12" t="inlineStr">
        <is>
          <t>MCC-C1</t>
        </is>
      </c>
      <c r="F2645" s="12" t="inlineStr">
        <is>
          <t>R1 MCC-C1</t>
        </is>
      </c>
      <c r="G2645" s="12" t="inlineStr"/>
      <c r="H2645" s="12" t="inlineStr">
        <is>
          <t>CONDITIONAL: fuel-gas compressors</t>
        </is>
      </c>
      <c r="I2645" s="12" t="inlineStr">
        <is>
          <t>LV 600 V</t>
        </is>
      </c>
      <c r="J2645" s="12" t="inlineStr">
        <is>
          <t>ARMOR-X MC-HL 600 V 3/C Cu XHHW-2 + ground, CWA, black PVC (Class I Div 2)</t>
        </is>
      </c>
      <c r="K2645" s="12" t="inlineStr">
        <is>
          <t>LVAX|3/C+G|1/0</t>
        </is>
      </c>
      <c r="L2645" s="12" t="inlineStr">
        <is>
          <t>3/C+G</t>
        </is>
      </c>
      <c r="M2645" s="12" t="inlineStr">
        <is>
          <t>1/0</t>
        </is>
      </c>
      <c r="N2645" s="12" t="n">
        <v>1</v>
      </c>
      <c r="O2645" s="12" t="n">
        <v>1</v>
      </c>
      <c r="P2645" s="12" t="n">
        <v>480</v>
      </c>
      <c r="Q2645" s="12" t="n">
        <v>15</v>
      </c>
      <c r="R2645" s="12" t="n">
        <v>21.2</v>
      </c>
      <c r="S2645" s="12" t="inlineStr">
        <is>
          <t>Duct bank</t>
        </is>
      </c>
      <c r="T2645" s="16" t="n">
        <v>2412</v>
      </c>
      <c r="U2645" s="16" t="n">
        <v>157</v>
      </c>
      <c r="V2645" s="16">
        <f>ROUNDUP((T2645+U2645+2*'Read Me'!$B$13)*(1+'Read Me'!$B$12),-1)</f>
        <v/>
      </c>
      <c r="W2645" s="16">
        <f>V2645*N2645*O2645</f>
        <v/>
      </c>
      <c r="X2645" s="12">
        <f>IF(LEFT(I2645,2)="MV",2*N2645*IF(L2645="1/C",O2645,1),0)</f>
        <v/>
      </c>
      <c r="Y2645" s="12">
        <f>IF(OR(LEFT(K2645,4)="LVAX",LEFT(K2645,6)="MV15AX",LEFT(K2645,4)="CTAX",LEFT(K2645,2)="W|"),2*N2645*O2645,0)</f>
        <v/>
      </c>
      <c r="Z2645" s="12" t="inlineStr">
        <is>
          <t>VD 2.6 %</t>
        </is>
      </c>
      <c r="AA2645" s="12">
        <f>N2645*O2645</f>
        <v/>
      </c>
    </row>
    <row r="2646">
      <c r="A2646" s="12" t="inlineStr">
        <is>
          <t>D-P-0006</t>
        </is>
      </c>
      <c r="B2646" s="12" t="inlineStr">
        <is>
          <t>D</t>
        </is>
      </c>
      <c r="C2646" s="12" t="inlineStr">
        <is>
          <t>Fuel gas</t>
        </is>
      </c>
      <c r="D2646" s="12" t="inlineStr">
        <is>
          <t>Motor 2 of 6, 15 kW</t>
        </is>
      </c>
      <c r="E2646" s="12" t="inlineStr">
        <is>
          <t>MCC-C1</t>
        </is>
      </c>
      <c r="F2646" s="12" t="inlineStr">
        <is>
          <t>R1 MCC-C1</t>
        </is>
      </c>
      <c r="G2646" s="12" t="inlineStr"/>
      <c r="H2646" s="12" t="inlineStr">
        <is>
          <t>CONDITIONAL: fuel-gas compressors</t>
        </is>
      </c>
      <c r="I2646" s="12" t="inlineStr">
        <is>
          <t>LV 600 V</t>
        </is>
      </c>
      <c r="J2646" s="12" t="inlineStr">
        <is>
          <t>ARMOR-X MC-HL 600 V 3/C Cu XHHW-2 + ground, CWA, black PVC (Class I Div 2)</t>
        </is>
      </c>
      <c r="K2646" s="12" t="inlineStr">
        <is>
          <t>LVAX|3/C+G|1/0</t>
        </is>
      </c>
      <c r="L2646" s="12" t="inlineStr">
        <is>
          <t>3/C+G</t>
        </is>
      </c>
      <c r="M2646" s="12" t="inlineStr">
        <is>
          <t>1/0</t>
        </is>
      </c>
      <c r="N2646" s="12" t="n">
        <v>1</v>
      </c>
      <c r="O2646" s="12" t="n">
        <v>1</v>
      </c>
      <c r="P2646" s="12" t="n">
        <v>480</v>
      </c>
      <c r="Q2646" s="12" t="n">
        <v>15</v>
      </c>
      <c r="R2646" s="12" t="n">
        <v>21.2</v>
      </c>
      <c r="S2646" s="12" t="inlineStr">
        <is>
          <t>Duct bank</t>
        </is>
      </c>
      <c r="T2646" s="16" t="n">
        <v>2412</v>
      </c>
      <c r="U2646" s="16" t="n">
        <v>157</v>
      </c>
      <c r="V2646" s="16">
        <f>ROUNDUP((T2646+U2646+2*'Read Me'!$B$13)*(1+'Read Me'!$B$12),-1)</f>
        <v/>
      </c>
      <c r="W2646" s="16">
        <f>V2646*N2646*O2646</f>
        <v/>
      </c>
      <c r="X2646" s="12">
        <f>IF(LEFT(I2646,2)="MV",2*N2646*IF(L2646="1/C",O2646,1),0)</f>
        <v/>
      </c>
      <c r="Y2646" s="12">
        <f>IF(OR(LEFT(K2646,4)="LVAX",LEFT(K2646,6)="MV15AX",LEFT(K2646,4)="CTAX",LEFT(K2646,2)="W|"),2*N2646*O2646,0)</f>
        <v/>
      </c>
      <c r="Z2646" s="12" t="inlineStr">
        <is>
          <t>VD 2.6 %</t>
        </is>
      </c>
      <c r="AA2646" s="12">
        <f>N2646*O2646</f>
        <v/>
      </c>
    </row>
    <row r="2647">
      <c r="A2647" s="12" t="inlineStr">
        <is>
          <t>D-P-0007</t>
        </is>
      </c>
      <c r="B2647" s="12" t="inlineStr">
        <is>
          <t>D</t>
        </is>
      </c>
      <c r="C2647" s="12" t="inlineStr">
        <is>
          <t>Fuel gas</t>
        </is>
      </c>
      <c r="D2647" s="12" t="inlineStr">
        <is>
          <t>Motor 3 of 6, 15 kW</t>
        </is>
      </c>
      <c r="E2647" s="12" t="inlineStr">
        <is>
          <t>MCC-C1</t>
        </is>
      </c>
      <c r="F2647" s="12" t="inlineStr">
        <is>
          <t>R1 MCC-C1</t>
        </is>
      </c>
      <c r="G2647" s="12" t="inlineStr"/>
      <c r="H2647" s="12" t="inlineStr">
        <is>
          <t>CONDITIONAL: fuel-gas compressors</t>
        </is>
      </c>
      <c r="I2647" s="12" t="inlineStr">
        <is>
          <t>LV 600 V</t>
        </is>
      </c>
      <c r="J2647" s="12" t="inlineStr">
        <is>
          <t>ARMOR-X MC-HL 600 V 3/C Cu XHHW-2 + ground, CWA, black PVC (Class I Div 2)</t>
        </is>
      </c>
      <c r="K2647" s="12" t="inlineStr">
        <is>
          <t>LVAX|3/C+G|1/0</t>
        </is>
      </c>
      <c r="L2647" s="12" t="inlineStr">
        <is>
          <t>3/C+G</t>
        </is>
      </c>
      <c r="M2647" s="12" t="inlineStr">
        <is>
          <t>1/0</t>
        </is>
      </c>
      <c r="N2647" s="12" t="n">
        <v>1</v>
      </c>
      <c r="O2647" s="12" t="n">
        <v>1</v>
      </c>
      <c r="P2647" s="12" t="n">
        <v>480</v>
      </c>
      <c r="Q2647" s="12" t="n">
        <v>15</v>
      </c>
      <c r="R2647" s="12" t="n">
        <v>21.2</v>
      </c>
      <c r="S2647" s="12" t="inlineStr">
        <is>
          <t>Duct bank</t>
        </is>
      </c>
      <c r="T2647" s="16" t="n">
        <v>2412</v>
      </c>
      <c r="U2647" s="16" t="n">
        <v>157</v>
      </c>
      <c r="V2647" s="16">
        <f>ROUNDUP((T2647+U2647+2*'Read Me'!$B$13)*(1+'Read Me'!$B$12),-1)</f>
        <v/>
      </c>
      <c r="W2647" s="16">
        <f>V2647*N2647*O2647</f>
        <v/>
      </c>
      <c r="X2647" s="12">
        <f>IF(LEFT(I2647,2)="MV",2*N2647*IF(L2647="1/C",O2647,1),0)</f>
        <v/>
      </c>
      <c r="Y2647" s="12">
        <f>IF(OR(LEFT(K2647,4)="LVAX",LEFT(K2647,6)="MV15AX",LEFT(K2647,4)="CTAX",LEFT(K2647,2)="W|"),2*N2647*O2647,0)</f>
        <v/>
      </c>
      <c r="Z2647" s="12" t="inlineStr">
        <is>
          <t>VD 2.6 %</t>
        </is>
      </c>
      <c r="AA2647" s="12">
        <f>N2647*O2647</f>
        <v/>
      </c>
    </row>
    <row r="2648">
      <c r="A2648" s="12" t="inlineStr">
        <is>
          <t>D-P-0008</t>
        </is>
      </c>
      <c r="B2648" s="12" t="inlineStr">
        <is>
          <t>D</t>
        </is>
      </c>
      <c r="C2648" s="12" t="inlineStr">
        <is>
          <t>Fuel gas</t>
        </is>
      </c>
      <c r="D2648" s="12" t="inlineStr">
        <is>
          <t>Motor 4 of 6, 15 kW</t>
        </is>
      </c>
      <c r="E2648" s="12" t="inlineStr">
        <is>
          <t>MCC-C1</t>
        </is>
      </c>
      <c r="F2648" s="12" t="inlineStr">
        <is>
          <t>R1 MCC-C1</t>
        </is>
      </c>
      <c r="G2648" s="12" t="inlineStr"/>
      <c r="H2648" s="12" t="inlineStr">
        <is>
          <t>CONDITIONAL: fuel-gas compressors</t>
        </is>
      </c>
      <c r="I2648" s="12" t="inlineStr">
        <is>
          <t>LV 600 V</t>
        </is>
      </c>
      <c r="J2648" s="12" t="inlineStr">
        <is>
          <t>ARMOR-X MC-HL 600 V 3/C Cu XHHW-2 + ground, CWA, black PVC (Class I Div 2)</t>
        </is>
      </c>
      <c r="K2648" s="12" t="inlineStr">
        <is>
          <t>LVAX|3/C+G|1/0</t>
        </is>
      </c>
      <c r="L2648" s="12" t="inlineStr">
        <is>
          <t>3/C+G</t>
        </is>
      </c>
      <c r="M2648" s="12" t="inlineStr">
        <is>
          <t>1/0</t>
        </is>
      </c>
      <c r="N2648" s="12" t="n">
        <v>1</v>
      </c>
      <c r="O2648" s="12" t="n">
        <v>1</v>
      </c>
      <c r="P2648" s="12" t="n">
        <v>480</v>
      </c>
      <c r="Q2648" s="12" t="n">
        <v>15</v>
      </c>
      <c r="R2648" s="12" t="n">
        <v>21.2</v>
      </c>
      <c r="S2648" s="12" t="inlineStr">
        <is>
          <t>Duct bank</t>
        </is>
      </c>
      <c r="T2648" s="16" t="n">
        <v>2412</v>
      </c>
      <c r="U2648" s="16" t="n">
        <v>157</v>
      </c>
      <c r="V2648" s="16">
        <f>ROUNDUP((T2648+U2648+2*'Read Me'!$B$13)*(1+'Read Me'!$B$12),-1)</f>
        <v/>
      </c>
      <c r="W2648" s="16">
        <f>V2648*N2648*O2648</f>
        <v/>
      </c>
      <c r="X2648" s="12">
        <f>IF(LEFT(I2648,2)="MV",2*N2648*IF(L2648="1/C",O2648,1),0)</f>
        <v/>
      </c>
      <c r="Y2648" s="12">
        <f>IF(OR(LEFT(K2648,4)="LVAX",LEFT(K2648,6)="MV15AX",LEFT(K2648,4)="CTAX",LEFT(K2648,2)="W|"),2*N2648*O2648,0)</f>
        <v/>
      </c>
      <c r="Z2648" s="12" t="inlineStr">
        <is>
          <t>VD 2.6 %</t>
        </is>
      </c>
      <c r="AA2648" s="12">
        <f>N2648*O2648</f>
        <v/>
      </c>
    </row>
    <row r="2649">
      <c r="A2649" s="12" t="inlineStr">
        <is>
          <t>D-P-0009</t>
        </is>
      </c>
      <c r="B2649" s="12" t="inlineStr">
        <is>
          <t>D</t>
        </is>
      </c>
      <c r="C2649" s="12" t="inlineStr">
        <is>
          <t>Fuel gas</t>
        </is>
      </c>
      <c r="D2649" s="12" t="inlineStr">
        <is>
          <t>Motor 5 of 6, 15 kW</t>
        </is>
      </c>
      <c r="E2649" s="12" t="inlineStr">
        <is>
          <t>MCC-C1</t>
        </is>
      </c>
      <c r="F2649" s="12" t="inlineStr">
        <is>
          <t>R1 MCC-C1</t>
        </is>
      </c>
      <c r="G2649" s="12" t="inlineStr"/>
      <c r="H2649" s="12" t="inlineStr">
        <is>
          <t>CONDITIONAL: fuel-gas compressors</t>
        </is>
      </c>
      <c r="I2649" s="12" t="inlineStr">
        <is>
          <t>LV 600 V</t>
        </is>
      </c>
      <c r="J2649" s="12" t="inlineStr">
        <is>
          <t>ARMOR-X MC-HL 600 V 3/C Cu XHHW-2 + ground, CWA, black PVC (Class I Div 2)</t>
        </is>
      </c>
      <c r="K2649" s="12" t="inlineStr">
        <is>
          <t>LVAX|3/C+G|1/0</t>
        </is>
      </c>
      <c r="L2649" s="12" t="inlineStr">
        <is>
          <t>3/C+G</t>
        </is>
      </c>
      <c r="M2649" s="12" t="inlineStr">
        <is>
          <t>1/0</t>
        </is>
      </c>
      <c r="N2649" s="12" t="n">
        <v>1</v>
      </c>
      <c r="O2649" s="12" t="n">
        <v>1</v>
      </c>
      <c r="P2649" s="12" t="n">
        <v>480</v>
      </c>
      <c r="Q2649" s="12" t="n">
        <v>15</v>
      </c>
      <c r="R2649" s="12" t="n">
        <v>21.2</v>
      </c>
      <c r="S2649" s="12" t="inlineStr">
        <is>
          <t>Duct bank</t>
        </is>
      </c>
      <c r="T2649" s="16" t="n">
        <v>2412</v>
      </c>
      <c r="U2649" s="16" t="n">
        <v>157</v>
      </c>
      <c r="V2649" s="16">
        <f>ROUNDUP((T2649+U2649+2*'Read Me'!$B$13)*(1+'Read Me'!$B$12),-1)</f>
        <v/>
      </c>
      <c r="W2649" s="16">
        <f>V2649*N2649*O2649</f>
        <v/>
      </c>
      <c r="X2649" s="12">
        <f>IF(LEFT(I2649,2)="MV",2*N2649*IF(L2649="1/C",O2649,1),0)</f>
        <v/>
      </c>
      <c r="Y2649" s="12">
        <f>IF(OR(LEFT(K2649,4)="LVAX",LEFT(K2649,6)="MV15AX",LEFT(K2649,4)="CTAX",LEFT(K2649,2)="W|"),2*N2649*O2649,0)</f>
        <v/>
      </c>
      <c r="Z2649" s="12" t="inlineStr">
        <is>
          <t>VD 2.6 %</t>
        </is>
      </c>
      <c r="AA2649" s="12">
        <f>N2649*O2649</f>
        <v/>
      </c>
    </row>
    <row r="2650">
      <c r="A2650" s="12" t="inlineStr">
        <is>
          <t>D-P-0010</t>
        </is>
      </c>
      <c r="B2650" s="12" t="inlineStr">
        <is>
          <t>D</t>
        </is>
      </c>
      <c r="C2650" s="12" t="inlineStr">
        <is>
          <t>Fuel gas</t>
        </is>
      </c>
      <c r="D2650" s="12" t="inlineStr">
        <is>
          <t>Motor 6 of 6, 15 kW</t>
        </is>
      </c>
      <c r="E2650" s="12" t="inlineStr">
        <is>
          <t>MCC-C1</t>
        </is>
      </c>
      <c r="F2650" s="12" t="inlineStr">
        <is>
          <t>R1 MCC-C1</t>
        </is>
      </c>
      <c r="G2650" s="12" t="inlineStr"/>
      <c r="H2650" s="12" t="inlineStr">
        <is>
          <t>CONDITIONAL: fuel-gas compressors</t>
        </is>
      </c>
      <c r="I2650" s="12" t="inlineStr">
        <is>
          <t>LV 600 V</t>
        </is>
      </c>
      <c r="J2650" s="12" t="inlineStr">
        <is>
          <t>ARMOR-X MC-HL 600 V 3/C Cu XHHW-2 + ground, CWA, black PVC (Class I Div 2)</t>
        </is>
      </c>
      <c r="K2650" s="12" t="inlineStr">
        <is>
          <t>LVAX|3/C+G|1/0</t>
        </is>
      </c>
      <c r="L2650" s="12" t="inlineStr">
        <is>
          <t>3/C+G</t>
        </is>
      </c>
      <c r="M2650" s="12" t="inlineStr">
        <is>
          <t>1/0</t>
        </is>
      </c>
      <c r="N2650" s="12" t="n">
        <v>1</v>
      </c>
      <c r="O2650" s="12" t="n">
        <v>1</v>
      </c>
      <c r="P2650" s="12" t="n">
        <v>480</v>
      </c>
      <c r="Q2650" s="12" t="n">
        <v>15</v>
      </c>
      <c r="R2650" s="12" t="n">
        <v>21.2</v>
      </c>
      <c r="S2650" s="12" t="inlineStr">
        <is>
          <t>Duct bank</t>
        </is>
      </c>
      <c r="T2650" s="16" t="n">
        <v>2412</v>
      </c>
      <c r="U2650" s="16" t="n">
        <v>157</v>
      </c>
      <c r="V2650" s="16">
        <f>ROUNDUP((T2650+U2650+2*'Read Me'!$B$13)*(1+'Read Me'!$B$12),-1)</f>
        <v/>
      </c>
      <c r="W2650" s="16">
        <f>V2650*N2650*O2650</f>
        <v/>
      </c>
      <c r="X2650" s="12">
        <f>IF(LEFT(I2650,2)="MV",2*N2650*IF(L2650="1/C",O2650,1),0)</f>
        <v/>
      </c>
      <c r="Y2650" s="12">
        <f>IF(OR(LEFT(K2650,4)="LVAX",LEFT(K2650,6)="MV15AX",LEFT(K2650,4)="CTAX",LEFT(K2650,2)="W|"),2*N2650*O2650,0)</f>
        <v/>
      </c>
      <c r="Z2650" s="12" t="inlineStr">
        <is>
          <t>VD 2.6 %</t>
        </is>
      </c>
      <c r="AA2650" s="12">
        <f>N2650*O2650</f>
        <v/>
      </c>
    </row>
    <row r="2651">
      <c r="A2651" s="12" t="inlineStr">
        <is>
          <t>D-P-0011</t>
        </is>
      </c>
      <c r="B2651" s="12" t="inlineStr">
        <is>
          <t>D</t>
        </is>
      </c>
      <c r="C2651" s="12" t="inlineStr">
        <is>
          <t>Fuel gas</t>
        </is>
      </c>
      <c r="D2651" s="12" t="inlineStr">
        <is>
          <t>Cathodic-protection rectifier supply</t>
        </is>
      </c>
      <c r="E2651" s="12" t="inlineStr">
        <is>
          <t>MCC-C1</t>
        </is>
      </c>
      <c r="F2651" s="12" t="inlineStr">
        <is>
          <t>R1 MCC-C1</t>
        </is>
      </c>
      <c r="G2651" s="12" t="inlineStr">
        <is>
          <t>CPR-1</t>
        </is>
      </c>
      <c r="H2651" s="12" t="inlineStr">
        <is>
          <t>CPR-1: cathodic-protection rectifier</t>
        </is>
      </c>
      <c r="I2651" s="12" t="inlineStr">
        <is>
          <t>LV 600 V</t>
        </is>
      </c>
      <c r="J2651" s="12" t="inlineStr">
        <is>
          <t>Type TC-ER 600 V 3/C Cu XHHW-2 + ground, PVC jacket</t>
        </is>
      </c>
      <c r="K2651" s="12" t="inlineStr">
        <is>
          <t>LV|3/C+G|2</t>
        </is>
      </c>
      <c r="L2651" s="12" t="inlineStr">
        <is>
          <t>3/C+G</t>
        </is>
      </c>
      <c r="M2651" s="12" t="inlineStr">
        <is>
          <t>2</t>
        </is>
      </c>
      <c r="N2651" s="12" t="n">
        <v>1</v>
      </c>
      <c r="O2651" s="12" t="n">
        <v>1</v>
      </c>
      <c r="P2651" s="12" t="n">
        <v>480</v>
      </c>
      <c r="Q2651" s="12" t="n">
        <v>10</v>
      </c>
      <c r="R2651" s="12" t="n">
        <v>12.7</v>
      </c>
      <c r="S2651" s="12" t="inlineStr">
        <is>
          <t>Tray</t>
        </is>
      </c>
      <c r="T2651" s="16" t="n">
        <v>1833</v>
      </c>
      <c r="U2651" s="16" t="n">
        <v>209</v>
      </c>
      <c r="V2651" s="16">
        <f>ROUNDUP((T2651+U2651+2*'Read Me'!$B$13)*(1+'Read Me'!$B$12),-1)</f>
        <v/>
      </c>
      <c r="W2651" s="16">
        <f>V2651*N2651*O2651</f>
        <v/>
      </c>
      <c r="X2651" s="12">
        <f>IF(LEFT(I2651,2)="MV",2*N2651*IF(L2651="1/C",O2651,1),0)</f>
        <v/>
      </c>
      <c r="Y2651" s="12">
        <f>IF(OR(LEFT(K2651,4)="LVAX",LEFT(K2651,6)="MV15AX",LEFT(K2651,4)="CTAX",LEFT(K2651,2)="W|"),2*N2651*O2651,0)</f>
        <v/>
      </c>
      <c r="Z2651" s="12" t="inlineStr">
        <is>
          <t>VD 2.0 %</t>
        </is>
      </c>
      <c r="AA2651" s="12">
        <f>N2651*O2651</f>
        <v/>
      </c>
    </row>
    <row r="2652">
      <c r="A2652" s="12" t="inlineStr">
        <is>
          <t>D-P-0012</t>
        </is>
      </c>
      <c r="B2652" s="12" t="inlineStr">
        <is>
          <t>D</t>
        </is>
      </c>
      <c r="C2652" s="12" t="inlineStr">
        <is>
          <t>Fuel gas</t>
        </is>
      </c>
      <c r="D2652" s="12" t="inlineStr">
        <is>
          <t>CP anode / structure leads (allowance)</t>
        </is>
      </c>
      <c r="E2652" s="12" t="inlineStr">
        <is>
          <t>CPR-1</t>
        </is>
      </c>
      <c r="F2652" s="12" t="inlineStr">
        <is>
          <t>CPR-1: cathodic-protection rectifier</t>
        </is>
      </c>
      <c r="G2652" s="12" t="inlineStr">
        <is>
          <t>CPR-1</t>
        </is>
      </c>
      <c r="H2652" s="12" t="inlineStr">
        <is>
          <t>CPR-1: cathodic-protection rectifier</t>
        </is>
      </c>
      <c r="I2652" s="12" t="inlineStr">
        <is>
          <t>LV 600 V</t>
        </is>
      </c>
      <c r="J2652" s="12" t="inlineStr">
        <is>
          <t>Type TC-ER 600 V 3/C Cu XHHW-2 + ground, PVC jacket</t>
        </is>
      </c>
      <c r="K2652" s="12" t="inlineStr">
        <is>
          <t>LV|1/C|8</t>
        </is>
      </c>
      <c r="L2652" s="12" t="inlineStr">
        <is>
          <t>1/C</t>
        </is>
      </c>
      <c r="M2652" s="12" t="inlineStr">
        <is>
          <t>8</t>
        </is>
      </c>
      <c r="N2652" s="12" t="n">
        <v>1</v>
      </c>
      <c r="O2652" s="12" t="n">
        <v>1</v>
      </c>
      <c r="P2652" s="12" t="n"/>
      <c r="Q2652" s="12" t="n"/>
      <c r="R2652" s="12" t="n"/>
      <c r="S2652" s="12" t="inlineStr">
        <is>
          <t>Buried</t>
        </is>
      </c>
      <c r="T2652" s="16" t="n">
        <v>1500</v>
      </c>
      <c r="U2652" s="16" t="n">
        <v>0</v>
      </c>
      <c r="V2652" s="16">
        <f>ROUNDUP((T2652+U2652+2*'Read Me'!$B$13)*(1+'Read Me'!$B$12),-1)</f>
        <v/>
      </c>
      <c r="W2652" s="16">
        <f>V2652*N2652*O2652</f>
        <v/>
      </c>
      <c r="X2652" s="12">
        <f>IF(LEFT(I2652,2)="MV",2*N2652*IF(L2652="1/C",O2652,1),0)</f>
        <v/>
      </c>
      <c r="Y2652" s="12">
        <f>IF(OR(LEFT(K2652,4)="LVAX",LEFT(K2652,6)="MV15AX",LEFT(K2652,4)="CTAX",LEFT(K2652,2)="W|"),2*N2652*O2652,0)</f>
        <v/>
      </c>
      <c r="Z2652" s="12" t="inlineStr">
        <is>
          <t>HMWPE anode lead cable by CP vendor; allowance</t>
        </is>
      </c>
      <c r="AA2652" s="12">
        <f>N2652*O2652</f>
        <v/>
      </c>
    </row>
    <row r="2653">
      <c r="A2653" s="12" t="inlineStr">
        <is>
          <t>D-P-0013</t>
        </is>
      </c>
      <c r="B2653" s="12" t="inlineStr">
        <is>
          <t>D</t>
        </is>
      </c>
      <c r="C2653" s="12" t="inlineStr">
        <is>
          <t>Fuel gas</t>
        </is>
      </c>
      <c r="D2653" s="12" t="inlineStr">
        <is>
          <t>LV power feeder</t>
        </is>
      </c>
      <c r="E2653" s="12" t="inlineStr">
        <is>
          <t>MCC-C1</t>
        </is>
      </c>
      <c r="F2653" s="12" t="inlineStr">
        <is>
          <t>R1 MCC-C1</t>
        </is>
      </c>
      <c r="G2653" s="12" t="inlineStr"/>
      <c r="H2653" s="12" t="inlineStr">
        <is>
          <t>Fuel-gas performance heater</t>
        </is>
      </c>
      <c r="I2653" s="12" t="inlineStr">
        <is>
          <t>LV 600 V</t>
        </is>
      </c>
      <c r="J2653" s="12" t="inlineStr">
        <is>
          <t>ARMOR-X MC-HL 600 V 3/C Cu XHHW-2 + ground, CWA, black PVC (Class I Div 2)</t>
        </is>
      </c>
      <c r="K2653" s="12" t="inlineStr">
        <is>
          <t>LVAX|3/C+G|350</t>
        </is>
      </c>
      <c r="L2653" s="12" t="inlineStr">
        <is>
          <t>3/C+G</t>
        </is>
      </c>
      <c r="M2653" s="12" t="inlineStr">
        <is>
          <t>350 kcmil</t>
        </is>
      </c>
      <c r="N2653" s="12" t="n">
        <v>1</v>
      </c>
      <c r="O2653" s="12" t="n">
        <v>1</v>
      </c>
      <c r="P2653" s="12" t="n">
        <v>480</v>
      </c>
      <c r="Q2653" s="12" t="n">
        <v>60</v>
      </c>
      <c r="R2653" s="12" t="n">
        <v>84.90000000000001</v>
      </c>
      <c r="S2653" s="12" t="inlineStr">
        <is>
          <t>Tray</t>
        </is>
      </c>
      <c r="T2653" s="16" t="n">
        <v>2002</v>
      </c>
      <c r="U2653" s="16" t="n">
        <v>157</v>
      </c>
      <c r="V2653" s="16">
        <f>ROUNDUP((T2653+U2653+2*'Read Me'!$B$13)*(1+'Read Me'!$B$12),-1)</f>
        <v/>
      </c>
      <c r="W2653" s="16">
        <f>V2653*N2653*O2653</f>
        <v/>
      </c>
      <c r="X2653" s="12">
        <f>IF(LEFT(I2653,2)="MV",2*N2653*IF(L2653="1/C",O2653,1),0)</f>
        <v/>
      </c>
      <c r="Y2653" s="12">
        <f>IF(OR(LEFT(K2653,4)="LVAX",LEFT(K2653,6)="MV15AX",LEFT(K2653,4)="CTAX",LEFT(K2653,2)="W|"),2*N2653*O2653,0)</f>
        <v/>
      </c>
      <c r="Z2653" s="12" t="inlineStr">
        <is>
          <t>VD 2.7 %</t>
        </is>
      </c>
      <c r="AA2653" s="12">
        <f>N2653*O2653</f>
        <v/>
      </c>
    </row>
    <row r="2654">
      <c r="A2654" s="12" t="inlineStr">
        <is>
          <t>D-P-0014</t>
        </is>
      </c>
      <c r="B2654" s="12" t="inlineStr">
        <is>
          <t>D</t>
        </is>
      </c>
      <c r="C2654" s="12" t="inlineStr">
        <is>
          <t>Fuel gas</t>
        </is>
      </c>
      <c r="D2654" s="12" t="inlineStr">
        <is>
          <t>LV power feeder</t>
        </is>
      </c>
      <c r="E2654" s="12" t="inlineStr">
        <is>
          <t>MCC-C1</t>
        </is>
      </c>
      <c r="F2654" s="12" t="inlineStr">
        <is>
          <t>R1 MCC-C1</t>
        </is>
      </c>
      <c r="G2654" s="12" t="inlineStr"/>
      <c r="H2654" s="12" t="inlineStr">
        <is>
          <t>Gas metering skid</t>
        </is>
      </c>
      <c r="I2654" s="12" t="inlineStr">
        <is>
          <t>LV 600 V</t>
        </is>
      </c>
      <c r="J2654" s="12" t="inlineStr">
        <is>
          <t>ARMOR-X MC-HL 600 V 3/C Cu XHHW-2 + ground, CWA, black PVC (Class I Div 2)</t>
        </is>
      </c>
      <c r="K2654" s="12" t="inlineStr">
        <is>
          <t>LVAX|3/C+G|2</t>
        </is>
      </c>
      <c r="L2654" s="12" t="inlineStr">
        <is>
          <t>3/C+G</t>
        </is>
      </c>
      <c r="M2654" s="12" t="inlineStr">
        <is>
          <t>2</t>
        </is>
      </c>
      <c r="N2654" s="12" t="n">
        <v>1</v>
      </c>
      <c r="O2654" s="12" t="n">
        <v>1</v>
      </c>
      <c r="P2654" s="12" t="n">
        <v>480</v>
      </c>
      <c r="Q2654" s="12" t="n">
        <v>10</v>
      </c>
      <c r="R2654" s="12" t="n">
        <v>14.2</v>
      </c>
      <c r="S2654" s="12" t="inlineStr">
        <is>
          <t>Tray</t>
        </is>
      </c>
      <c r="T2654" s="16" t="n">
        <v>1942</v>
      </c>
      <c r="U2654" s="16" t="n">
        <v>197</v>
      </c>
      <c r="V2654" s="16">
        <f>ROUNDUP((T2654+U2654+2*'Read Me'!$B$13)*(1+'Read Me'!$B$12),-1)</f>
        <v/>
      </c>
      <c r="W2654" s="16">
        <f>V2654*N2654*O2654</f>
        <v/>
      </c>
      <c r="X2654" s="12">
        <f>IF(LEFT(I2654,2)="MV",2*N2654*IF(L2654="1/C",O2654,1),0)</f>
        <v/>
      </c>
      <c r="Y2654" s="12">
        <f>IF(OR(LEFT(K2654,4)="LVAX",LEFT(K2654,6)="MV15AX",LEFT(K2654,4)="CTAX",LEFT(K2654,2)="W|"),2*N2654*O2654,0)</f>
        <v/>
      </c>
      <c r="Z2654" s="12" t="inlineStr">
        <is>
          <t>VD 2.3 %</t>
        </is>
      </c>
      <c r="AA2654" s="12">
        <f>N2654*O2654</f>
        <v/>
      </c>
    </row>
    <row r="2655">
      <c r="A2655" s="12" t="inlineStr">
        <is>
          <t>D-P-0015</t>
        </is>
      </c>
      <c r="B2655" s="12" t="inlineStr">
        <is>
          <t>D</t>
        </is>
      </c>
      <c r="C2655" s="12" t="inlineStr">
        <is>
          <t>Fuel gas</t>
        </is>
      </c>
      <c r="D2655" s="12" t="inlineStr">
        <is>
          <t>LV power feeder</t>
        </is>
      </c>
      <c r="E2655" s="12" t="inlineStr">
        <is>
          <t>MCC-C1</t>
        </is>
      </c>
      <c r="F2655" s="12" t="inlineStr">
        <is>
          <t>R1 MCC-C1</t>
        </is>
      </c>
      <c r="G2655" s="12" t="inlineStr"/>
      <c r="H2655" s="12" t="inlineStr">
        <is>
          <t>Gas pressure regulation skid</t>
        </is>
      </c>
      <c r="I2655" s="12" t="inlineStr">
        <is>
          <t>LV 600 V</t>
        </is>
      </c>
      <c r="J2655" s="12" t="inlineStr">
        <is>
          <t>ARMOR-X MC-HL 600 V 3/C Cu XHHW-2 + ground, CWA, black PVC (Class I Div 2)</t>
        </is>
      </c>
      <c r="K2655" s="12" t="inlineStr">
        <is>
          <t>LVAX|3/C+G|2</t>
        </is>
      </c>
      <c r="L2655" s="12" t="inlineStr">
        <is>
          <t>3/C+G</t>
        </is>
      </c>
      <c r="M2655" s="12" t="inlineStr">
        <is>
          <t>2</t>
        </is>
      </c>
      <c r="N2655" s="12" t="n">
        <v>1</v>
      </c>
      <c r="O2655" s="12" t="n">
        <v>1</v>
      </c>
      <c r="P2655" s="12" t="n">
        <v>480</v>
      </c>
      <c r="Q2655" s="12" t="n">
        <v>10</v>
      </c>
      <c r="R2655" s="12" t="n">
        <v>14.2</v>
      </c>
      <c r="S2655" s="12" t="inlineStr">
        <is>
          <t>Duct bank</t>
        </is>
      </c>
      <c r="T2655" s="16" t="n">
        <v>2052</v>
      </c>
      <c r="U2655" s="16" t="n">
        <v>157</v>
      </c>
      <c r="V2655" s="16">
        <f>ROUNDUP((T2655+U2655+2*'Read Me'!$B$13)*(1+'Read Me'!$B$12),-1)</f>
        <v/>
      </c>
      <c r="W2655" s="16">
        <f>V2655*N2655*O2655</f>
        <v/>
      </c>
      <c r="X2655" s="12">
        <f>IF(LEFT(I2655,2)="MV",2*N2655*IF(L2655="1/C",O2655,1),0)</f>
        <v/>
      </c>
      <c r="Y2655" s="12">
        <f>IF(OR(LEFT(K2655,4)="LVAX",LEFT(K2655,6)="MV15AX",LEFT(K2655,4)="CTAX",LEFT(K2655,2)="W|"),2*N2655*O2655,0)</f>
        <v/>
      </c>
      <c r="Z2655" s="12" t="inlineStr">
        <is>
          <t>VD 2.4 %</t>
        </is>
      </c>
      <c r="AA2655" s="12">
        <f>N2655*O2655</f>
        <v/>
      </c>
    </row>
    <row r="2656">
      <c r="A2656" s="12" t="inlineStr">
        <is>
          <t>D-P-0016</t>
        </is>
      </c>
      <c r="B2656" s="12" t="inlineStr">
        <is>
          <t>D</t>
        </is>
      </c>
      <c r="C2656" s="12" t="inlineStr">
        <is>
          <t>Fuel gas</t>
        </is>
      </c>
      <c r="D2656" s="12" t="inlineStr">
        <is>
          <t>LV power feeder</t>
        </is>
      </c>
      <c r="E2656" s="12" t="inlineStr">
        <is>
          <t>MCC-C1</t>
        </is>
      </c>
      <c r="F2656" s="12" t="inlineStr">
        <is>
          <t>R1 MCC-C1</t>
        </is>
      </c>
      <c r="G2656" s="12" t="inlineStr"/>
      <c r="H2656" s="12" t="inlineStr">
        <is>
          <t>Gas yard filter-separators</t>
        </is>
      </c>
      <c r="I2656" s="12" t="inlineStr">
        <is>
          <t>LV 600 V</t>
        </is>
      </c>
      <c r="J2656" s="12" t="inlineStr">
        <is>
          <t>ARMOR-X MC-HL 600 V 3/C Cu XHHW-2 + ground, CWA, black PVC (Class I Div 2)</t>
        </is>
      </c>
      <c r="K2656" s="12" t="inlineStr">
        <is>
          <t>LVAX|3/C+G|2</t>
        </is>
      </c>
      <c r="L2656" s="12" t="inlineStr">
        <is>
          <t>3/C+G</t>
        </is>
      </c>
      <c r="M2656" s="12" t="inlineStr">
        <is>
          <t>2</t>
        </is>
      </c>
      <c r="N2656" s="12" t="n">
        <v>1</v>
      </c>
      <c r="O2656" s="12" t="n">
        <v>1</v>
      </c>
      <c r="P2656" s="12" t="n">
        <v>480</v>
      </c>
      <c r="Q2656" s="12" t="n">
        <v>10</v>
      </c>
      <c r="R2656" s="12" t="n">
        <v>14.2</v>
      </c>
      <c r="S2656" s="12" t="inlineStr">
        <is>
          <t>Tray</t>
        </is>
      </c>
      <c r="T2656" s="16" t="n">
        <v>1942</v>
      </c>
      <c r="U2656" s="16" t="n">
        <v>157</v>
      </c>
      <c r="V2656" s="16">
        <f>ROUNDUP((T2656+U2656+2*'Read Me'!$B$13)*(1+'Read Me'!$B$12),-1)</f>
        <v/>
      </c>
      <c r="W2656" s="16">
        <f>V2656*N2656*O2656</f>
        <v/>
      </c>
      <c r="X2656" s="12">
        <f>IF(LEFT(I2656,2)="MV",2*N2656*IF(L2656="1/C",O2656,1),0)</f>
        <v/>
      </c>
      <c r="Y2656" s="12">
        <f>IF(OR(LEFT(K2656,4)="LVAX",LEFT(K2656,6)="MV15AX",LEFT(K2656,4)="CTAX",LEFT(K2656,2)="W|"),2*N2656*O2656,0)</f>
        <v/>
      </c>
      <c r="Z2656" s="12" t="inlineStr">
        <is>
          <t>VD 2.3 %</t>
        </is>
      </c>
      <c r="AA2656" s="12">
        <f>N2656*O2656</f>
        <v/>
      </c>
    </row>
    <row r="2657">
      <c r="A2657" s="12" t="inlineStr">
        <is>
          <t>D-P-0017</t>
        </is>
      </c>
      <c r="B2657" s="12" t="inlineStr">
        <is>
          <t>D</t>
        </is>
      </c>
      <c r="C2657" s="12" t="inlineStr">
        <is>
          <t>Fuel gas</t>
        </is>
      </c>
      <c r="D2657" s="12" t="inlineStr">
        <is>
          <t>LV power feeder</t>
        </is>
      </c>
      <c r="E2657" s="12" t="inlineStr">
        <is>
          <t>MCC-C1</t>
        </is>
      </c>
      <c r="F2657" s="12" t="inlineStr">
        <is>
          <t>R1 MCC-C1</t>
        </is>
      </c>
      <c r="G2657" s="12" t="inlineStr"/>
      <c r="H2657" s="12" t="inlineStr">
        <is>
          <t>Gas yard inlet: ESD valve, block valve and insulating joint</t>
        </is>
      </c>
      <c r="I2657" s="12" t="inlineStr">
        <is>
          <t>LV 600 V</t>
        </is>
      </c>
      <c r="J2657" s="12" t="inlineStr">
        <is>
          <t>ARMOR-X MC-HL 600 V 3/C Cu XHHW-2 + ground, CWA, black PVC (Class I Div 2)</t>
        </is>
      </c>
      <c r="K2657" s="12" t="inlineStr">
        <is>
          <t>LVAX|3/C+G|2</t>
        </is>
      </c>
      <c r="L2657" s="12" t="inlineStr">
        <is>
          <t>3/C+G</t>
        </is>
      </c>
      <c r="M2657" s="12" t="inlineStr">
        <is>
          <t>2</t>
        </is>
      </c>
      <c r="N2657" s="12" t="n">
        <v>1</v>
      </c>
      <c r="O2657" s="12" t="n">
        <v>1</v>
      </c>
      <c r="P2657" s="12" t="n">
        <v>480</v>
      </c>
      <c r="Q2657" s="12" t="n">
        <v>10</v>
      </c>
      <c r="R2657" s="12" t="n">
        <v>14.2</v>
      </c>
      <c r="S2657" s="12" t="inlineStr">
        <is>
          <t>Duct bank</t>
        </is>
      </c>
      <c r="T2657" s="16" t="n">
        <v>2052</v>
      </c>
      <c r="U2657" s="16" t="n">
        <v>254</v>
      </c>
      <c r="V2657" s="16">
        <f>ROUNDUP((T2657+U2657+2*'Read Me'!$B$13)*(1+'Read Me'!$B$12),-1)</f>
        <v/>
      </c>
      <c r="W2657" s="16">
        <f>V2657*N2657*O2657</f>
        <v/>
      </c>
      <c r="X2657" s="12">
        <f>IF(LEFT(I2657,2)="MV",2*N2657*IF(L2657="1/C",O2657,1),0)</f>
        <v/>
      </c>
      <c r="Y2657" s="12">
        <f>IF(OR(LEFT(K2657,4)="LVAX",LEFT(K2657,6)="MV15AX",LEFT(K2657,4)="CTAX",LEFT(K2657,2)="W|"),2*N2657*O2657,0)</f>
        <v/>
      </c>
      <c r="Z2657" s="12" t="inlineStr">
        <is>
          <t>VD 2.5 %</t>
        </is>
      </c>
      <c r="AA2657" s="12">
        <f>N2657*O2657</f>
        <v/>
      </c>
    </row>
    <row r="2658">
      <c r="A2658" s="12" t="inlineStr">
        <is>
          <t>D-P-0018</t>
        </is>
      </c>
      <c r="B2658" s="12" t="inlineStr">
        <is>
          <t>D</t>
        </is>
      </c>
      <c r="C2658" s="12" t="inlineStr">
        <is>
          <t>Fuel gas</t>
        </is>
      </c>
      <c r="D2658" s="12" t="inlineStr">
        <is>
          <t>LV power feeder</t>
        </is>
      </c>
      <c r="E2658" s="12" t="inlineStr">
        <is>
          <t>MCC-C1</t>
        </is>
      </c>
      <c r="F2658" s="12" t="inlineStr">
        <is>
          <t>R1 MCC-C1</t>
        </is>
      </c>
      <c r="G2658" s="12" t="inlineStr"/>
      <c r="H2658" s="12" t="inlineStr">
        <is>
          <t>Gas yard local control enclosure</t>
        </is>
      </c>
      <c r="I2658" s="12" t="inlineStr">
        <is>
          <t>LV 600 V</t>
        </is>
      </c>
      <c r="J2658" s="12" t="inlineStr">
        <is>
          <t>ARMOR-X MC-HL 600 V 3/C Cu XHHW-2 + ground, CWA, black PVC (Class I Div 2)</t>
        </is>
      </c>
      <c r="K2658" s="12" t="inlineStr">
        <is>
          <t>LVAX|3/C+G|1</t>
        </is>
      </c>
      <c r="L2658" s="12" t="inlineStr">
        <is>
          <t>3/C+G</t>
        </is>
      </c>
      <c r="M2658" s="12" t="inlineStr">
        <is>
          <t>1</t>
        </is>
      </c>
      <c r="N2658" s="12" t="n">
        <v>1</v>
      </c>
      <c r="O2658" s="12" t="n">
        <v>1</v>
      </c>
      <c r="P2658" s="12" t="n">
        <v>480</v>
      </c>
      <c r="Q2658" s="12" t="n">
        <v>15</v>
      </c>
      <c r="R2658" s="12" t="n">
        <v>21.2</v>
      </c>
      <c r="S2658" s="12" t="inlineStr">
        <is>
          <t>Tray</t>
        </is>
      </c>
      <c r="T2658" s="16" t="n">
        <v>1833</v>
      </c>
      <c r="U2658" s="16" t="n">
        <v>157</v>
      </c>
      <c r="V2658" s="16">
        <f>ROUNDUP((T2658+U2658+2*'Read Me'!$B$13)*(1+'Read Me'!$B$12),-1)</f>
        <v/>
      </c>
      <c r="W2658" s="16">
        <f>V2658*N2658*O2658</f>
        <v/>
      </c>
      <c r="X2658" s="12">
        <f>IF(LEFT(I2658,2)="MV",2*N2658*IF(L2658="1/C",O2658,1),0)</f>
        <v/>
      </c>
      <c r="Y2658" s="12">
        <f>IF(OR(LEFT(K2658,4)="LVAX",LEFT(K2658,6)="MV15AX",LEFT(K2658,4)="CTAX",LEFT(K2658,2)="W|"),2*N2658*O2658,0)</f>
        <v/>
      </c>
      <c r="Z2658" s="12" t="inlineStr">
        <is>
          <t>VD 2.6 %</t>
        </is>
      </c>
      <c r="AA2658" s="12">
        <f>N2658*O2658</f>
        <v/>
      </c>
    </row>
    <row r="2659">
      <c r="A2659" s="12" t="inlineStr">
        <is>
          <t>D-P-0019</t>
        </is>
      </c>
      <c r="B2659" s="12" t="inlineStr">
        <is>
          <t>D</t>
        </is>
      </c>
      <c r="C2659" s="12" t="inlineStr">
        <is>
          <t>Fuel gas</t>
        </is>
      </c>
      <c r="D2659" s="12" t="inlineStr">
        <is>
          <t>LV power feeder</t>
        </is>
      </c>
      <c r="E2659" s="12" t="inlineStr">
        <is>
          <t>MCC-C1</t>
        </is>
      </c>
      <c r="F2659" s="12" t="inlineStr">
        <is>
          <t>R1 MCC-C1</t>
        </is>
      </c>
      <c r="G2659" s="12" t="inlineStr">
        <is>
          <t>HTP-4</t>
        </is>
      </c>
      <c r="H2659" s="12" t="inlineStr">
        <is>
          <t>HTP-4: heat-trace panel (gas)</t>
        </is>
      </c>
      <c r="I2659" s="12" t="inlineStr">
        <is>
          <t>LV 600 V</t>
        </is>
      </c>
      <c r="J2659" s="12" t="inlineStr">
        <is>
          <t>Type TC-ER 600 V 3/C Cu XHHW-2 + ground, PVC jacket</t>
        </is>
      </c>
      <c r="K2659" s="12" t="inlineStr">
        <is>
          <t>LV|3/C+G|350</t>
        </is>
      </c>
      <c r="L2659" s="12" t="inlineStr">
        <is>
          <t>3/C+G</t>
        </is>
      </c>
      <c r="M2659" s="12" t="inlineStr">
        <is>
          <t>350 kcmil</t>
        </is>
      </c>
      <c r="N2659" s="12" t="n">
        <v>2</v>
      </c>
      <c r="O2659" s="12" t="n">
        <v>1</v>
      </c>
      <c r="P2659" s="12" t="n">
        <v>480</v>
      </c>
      <c r="Q2659" s="12" t="n">
        <v>120</v>
      </c>
      <c r="R2659" s="12" t="n">
        <v>169.8</v>
      </c>
      <c r="S2659" s="12" t="inlineStr">
        <is>
          <t>Tray</t>
        </is>
      </c>
      <c r="T2659" s="16" t="n">
        <v>1868</v>
      </c>
      <c r="U2659" s="16" t="n">
        <v>157</v>
      </c>
      <c r="V2659" s="16">
        <f>ROUNDUP((T2659+U2659+2*'Read Me'!$B$13)*(1+'Read Me'!$B$12),-1)</f>
        <v/>
      </c>
      <c r="W2659" s="16">
        <f>V2659*N2659*O2659</f>
        <v/>
      </c>
      <c r="X2659" s="12">
        <f>IF(LEFT(I2659,2)="MV",2*N2659*IF(L2659="1/C",O2659,1),0)</f>
        <v/>
      </c>
      <c r="Y2659" s="12">
        <f>IF(OR(LEFT(K2659,4)="LVAX",LEFT(K2659,6)="MV15AX",LEFT(K2659,4)="CTAX",LEFT(K2659,2)="W|"),2*N2659*O2659,0)</f>
        <v/>
      </c>
      <c r="Z2659" s="12" t="inlineStr">
        <is>
          <t>VD 2.5 %</t>
        </is>
      </c>
      <c r="AA2659" s="12">
        <f>N2659*O2659</f>
        <v/>
      </c>
    </row>
    <row r="2660">
      <c r="A2660" s="12" t="inlineStr">
        <is>
          <t>D-P-0020</t>
        </is>
      </c>
      <c r="B2660" s="12" t="inlineStr">
        <is>
          <t>D</t>
        </is>
      </c>
      <c r="C2660" s="12" t="inlineStr">
        <is>
          <t>Fuel gas</t>
        </is>
      </c>
      <c r="D2660" s="12" t="inlineStr">
        <is>
          <t>Heat-trace circuit 1 (power to the trace junction box)</t>
        </is>
      </c>
      <c r="E2660" s="12" t="inlineStr">
        <is>
          <t>HTP-4</t>
        </is>
      </c>
      <c r="F2660" s="12" t="inlineStr">
        <is>
          <t>HTP-4: heat-trace panel (gas)</t>
        </is>
      </c>
      <c r="G2660" s="12" t="inlineStr">
        <is>
          <t>HTP-4</t>
        </is>
      </c>
      <c r="H2660" s="12" t="inlineStr">
        <is>
          <t>HTP-4: heat-trace panel (gas)</t>
        </is>
      </c>
      <c r="I2660" s="12" t="inlineStr">
        <is>
          <t>LV 600 V</t>
        </is>
      </c>
      <c r="J2660" s="12" t="inlineStr">
        <is>
          <t>Type TC-ER 600 V 3/C Cu XHHW-2 + ground, PVC jacket</t>
        </is>
      </c>
      <c r="K2660" s="12" t="inlineStr">
        <is>
          <t>LV|3/C+G|10</t>
        </is>
      </c>
      <c r="L2660" s="12" t="inlineStr">
        <is>
          <t>3/C+G</t>
        </is>
      </c>
      <c r="M2660" s="12" t="inlineStr">
        <is>
          <t>10</t>
        </is>
      </c>
      <c r="N2660" s="12" t="n">
        <v>1</v>
      </c>
      <c r="O2660" s="12" t="n">
        <v>1</v>
      </c>
      <c r="P2660" s="12" t="n">
        <v>480</v>
      </c>
      <c r="Q2660" s="12" t="n">
        <v>4</v>
      </c>
      <c r="R2660" s="12" t="n">
        <v>6</v>
      </c>
      <c r="S2660" s="12" t="inlineStr">
        <is>
          <t>Tray</t>
        </is>
      </c>
      <c r="T2660" s="16" t="n">
        <v>180</v>
      </c>
      <c r="U2660" s="16" t="n">
        <v>20</v>
      </c>
      <c r="V2660" s="16">
        <f>ROUNDUP((T2660+U2660+2*'Read Me'!$B$13)*(1+'Read Me'!$B$12),-1)</f>
        <v/>
      </c>
      <c r="W2660" s="16">
        <f>V2660*N2660*O2660</f>
        <v/>
      </c>
      <c r="X2660" s="12">
        <f>IF(LEFT(I2660,2)="MV",2*N2660*IF(L2660="1/C",O2660,1),0)</f>
        <v/>
      </c>
      <c r="Y2660" s="12">
        <f>IF(OR(LEFT(K2660,4)="LVAX",LEFT(K2660,6)="MV15AX",LEFT(K2660,4)="CTAX",LEFT(K2660,2)="W|"),2*N2660*O2660,0)</f>
        <v/>
      </c>
      <c r="Z2660" s="12" t="inlineStr">
        <is>
          <t>heat-trace cable itself by others</t>
        </is>
      </c>
      <c r="AA2660" s="12">
        <f>N2660*O2660</f>
        <v/>
      </c>
    </row>
    <row r="2661">
      <c r="A2661" s="12" t="inlineStr">
        <is>
          <t>D-P-0021</t>
        </is>
      </c>
      <c r="B2661" s="12" t="inlineStr">
        <is>
          <t>D</t>
        </is>
      </c>
      <c r="C2661" s="12" t="inlineStr">
        <is>
          <t>Fuel gas</t>
        </is>
      </c>
      <c r="D2661" s="12" t="inlineStr">
        <is>
          <t>Heat-trace circuit 2 (power to the trace junction box)</t>
        </is>
      </c>
      <c r="E2661" s="12" t="inlineStr">
        <is>
          <t>HTP-4</t>
        </is>
      </c>
      <c r="F2661" s="12" t="inlineStr">
        <is>
          <t>HTP-4: heat-trace panel (gas)</t>
        </is>
      </c>
      <c r="G2661" s="12" t="inlineStr">
        <is>
          <t>HTP-4</t>
        </is>
      </c>
      <c r="H2661" s="12" t="inlineStr">
        <is>
          <t>HTP-4: heat-trace panel (gas)</t>
        </is>
      </c>
      <c r="I2661" s="12" t="inlineStr">
        <is>
          <t>LV 600 V</t>
        </is>
      </c>
      <c r="J2661" s="12" t="inlineStr">
        <is>
          <t>Type TC-ER 600 V 3/C Cu XHHW-2 + ground, PVC jacket</t>
        </is>
      </c>
      <c r="K2661" s="12" t="inlineStr">
        <is>
          <t>LV|3/C+G|10</t>
        </is>
      </c>
      <c r="L2661" s="12" t="inlineStr">
        <is>
          <t>3/C+G</t>
        </is>
      </c>
      <c r="M2661" s="12" t="inlineStr">
        <is>
          <t>10</t>
        </is>
      </c>
      <c r="N2661" s="12" t="n">
        <v>1</v>
      </c>
      <c r="O2661" s="12" t="n">
        <v>1</v>
      </c>
      <c r="P2661" s="12" t="n">
        <v>480</v>
      </c>
      <c r="Q2661" s="12" t="n">
        <v>4</v>
      </c>
      <c r="R2661" s="12" t="n">
        <v>6</v>
      </c>
      <c r="S2661" s="12" t="inlineStr">
        <is>
          <t>Tray</t>
        </is>
      </c>
      <c r="T2661" s="16" t="n">
        <v>180</v>
      </c>
      <c r="U2661" s="16" t="n">
        <v>20</v>
      </c>
      <c r="V2661" s="16">
        <f>ROUNDUP((T2661+U2661+2*'Read Me'!$B$13)*(1+'Read Me'!$B$12),-1)</f>
        <v/>
      </c>
      <c r="W2661" s="16">
        <f>V2661*N2661*O2661</f>
        <v/>
      </c>
      <c r="X2661" s="12">
        <f>IF(LEFT(I2661,2)="MV",2*N2661*IF(L2661="1/C",O2661,1),0)</f>
        <v/>
      </c>
      <c r="Y2661" s="12">
        <f>IF(OR(LEFT(K2661,4)="LVAX",LEFT(K2661,6)="MV15AX",LEFT(K2661,4)="CTAX",LEFT(K2661,2)="W|"),2*N2661*O2661,0)</f>
        <v/>
      </c>
      <c r="Z2661" s="12" t="inlineStr">
        <is>
          <t>heat-trace cable itself by others</t>
        </is>
      </c>
      <c r="AA2661" s="12">
        <f>N2661*O2661</f>
        <v/>
      </c>
    </row>
    <row r="2662">
      <c r="A2662" s="12" t="inlineStr">
        <is>
          <t>D-P-0022</t>
        </is>
      </c>
      <c r="B2662" s="12" t="inlineStr">
        <is>
          <t>D</t>
        </is>
      </c>
      <c r="C2662" s="12" t="inlineStr">
        <is>
          <t>Fuel gas</t>
        </is>
      </c>
      <c r="D2662" s="12" t="inlineStr">
        <is>
          <t>Heat-trace circuit 3 (power to the trace junction box)</t>
        </is>
      </c>
      <c r="E2662" s="12" t="inlineStr">
        <is>
          <t>HTP-4</t>
        </is>
      </c>
      <c r="F2662" s="12" t="inlineStr">
        <is>
          <t>HTP-4: heat-trace panel (gas)</t>
        </is>
      </c>
      <c r="G2662" s="12" t="inlineStr">
        <is>
          <t>HTP-4</t>
        </is>
      </c>
      <c r="H2662" s="12" t="inlineStr">
        <is>
          <t>HTP-4: heat-trace panel (gas)</t>
        </is>
      </c>
      <c r="I2662" s="12" t="inlineStr">
        <is>
          <t>LV 600 V</t>
        </is>
      </c>
      <c r="J2662" s="12" t="inlineStr">
        <is>
          <t>Type TC-ER 600 V 3/C Cu XHHW-2 + ground, PVC jacket</t>
        </is>
      </c>
      <c r="K2662" s="12" t="inlineStr">
        <is>
          <t>LV|3/C+G|10</t>
        </is>
      </c>
      <c r="L2662" s="12" t="inlineStr">
        <is>
          <t>3/C+G</t>
        </is>
      </c>
      <c r="M2662" s="12" t="inlineStr">
        <is>
          <t>10</t>
        </is>
      </c>
      <c r="N2662" s="12" t="n">
        <v>1</v>
      </c>
      <c r="O2662" s="12" t="n">
        <v>1</v>
      </c>
      <c r="P2662" s="12" t="n">
        <v>480</v>
      </c>
      <c r="Q2662" s="12" t="n">
        <v>4</v>
      </c>
      <c r="R2662" s="12" t="n">
        <v>6</v>
      </c>
      <c r="S2662" s="12" t="inlineStr">
        <is>
          <t>Tray</t>
        </is>
      </c>
      <c r="T2662" s="16" t="n">
        <v>180</v>
      </c>
      <c r="U2662" s="16" t="n">
        <v>20</v>
      </c>
      <c r="V2662" s="16">
        <f>ROUNDUP((T2662+U2662+2*'Read Me'!$B$13)*(1+'Read Me'!$B$12),-1)</f>
        <v/>
      </c>
      <c r="W2662" s="16">
        <f>V2662*N2662*O2662</f>
        <v/>
      </c>
      <c r="X2662" s="12">
        <f>IF(LEFT(I2662,2)="MV",2*N2662*IF(L2662="1/C",O2662,1),0)</f>
        <v/>
      </c>
      <c r="Y2662" s="12">
        <f>IF(OR(LEFT(K2662,4)="LVAX",LEFT(K2662,6)="MV15AX",LEFT(K2662,4)="CTAX",LEFT(K2662,2)="W|"),2*N2662*O2662,0)</f>
        <v/>
      </c>
      <c r="Z2662" s="12" t="inlineStr">
        <is>
          <t>heat-trace cable itself by others</t>
        </is>
      </c>
      <c r="AA2662" s="12">
        <f>N2662*O2662</f>
        <v/>
      </c>
    </row>
    <row r="2663">
      <c r="A2663" s="12" t="inlineStr">
        <is>
          <t>D-P-0023</t>
        </is>
      </c>
      <c r="B2663" s="12" t="inlineStr">
        <is>
          <t>D</t>
        </is>
      </c>
      <c r="C2663" s="12" t="inlineStr">
        <is>
          <t>Fuel gas</t>
        </is>
      </c>
      <c r="D2663" s="12" t="inlineStr">
        <is>
          <t>Heat-trace circuit 4 (power to the trace junction box)</t>
        </is>
      </c>
      <c r="E2663" s="12" t="inlineStr">
        <is>
          <t>HTP-4</t>
        </is>
      </c>
      <c r="F2663" s="12" t="inlineStr">
        <is>
          <t>HTP-4: heat-trace panel (gas)</t>
        </is>
      </c>
      <c r="G2663" s="12" t="inlineStr">
        <is>
          <t>HTP-4</t>
        </is>
      </c>
      <c r="H2663" s="12" t="inlineStr">
        <is>
          <t>HTP-4: heat-trace panel (gas)</t>
        </is>
      </c>
      <c r="I2663" s="12" t="inlineStr">
        <is>
          <t>LV 600 V</t>
        </is>
      </c>
      <c r="J2663" s="12" t="inlineStr">
        <is>
          <t>Type TC-ER 600 V 3/C Cu XHHW-2 + ground, PVC jacket</t>
        </is>
      </c>
      <c r="K2663" s="12" t="inlineStr">
        <is>
          <t>LV|3/C+G|10</t>
        </is>
      </c>
      <c r="L2663" s="12" t="inlineStr">
        <is>
          <t>3/C+G</t>
        </is>
      </c>
      <c r="M2663" s="12" t="inlineStr">
        <is>
          <t>10</t>
        </is>
      </c>
      <c r="N2663" s="12" t="n">
        <v>1</v>
      </c>
      <c r="O2663" s="12" t="n">
        <v>1</v>
      </c>
      <c r="P2663" s="12" t="n">
        <v>480</v>
      </c>
      <c r="Q2663" s="12" t="n">
        <v>4</v>
      </c>
      <c r="R2663" s="12" t="n">
        <v>6</v>
      </c>
      <c r="S2663" s="12" t="inlineStr">
        <is>
          <t>Tray</t>
        </is>
      </c>
      <c r="T2663" s="16" t="n">
        <v>180</v>
      </c>
      <c r="U2663" s="16" t="n">
        <v>20</v>
      </c>
      <c r="V2663" s="16">
        <f>ROUNDUP((T2663+U2663+2*'Read Me'!$B$13)*(1+'Read Me'!$B$12),-1)</f>
        <v/>
      </c>
      <c r="W2663" s="16">
        <f>V2663*N2663*O2663</f>
        <v/>
      </c>
      <c r="X2663" s="12">
        <f>IF(LEFT(I2663,2)="MV",2*N2663*IF(L2663="1/C",O2663,1),0)</f>
        <v/>
      </c>
      <c r="Y2663" s="12">
        <f>IF(OR(LEFT(K2663,4)="LVAX",LEFT(K2663,6)="MV15AX",LEFT(K2663,4)="CTAX",LEFT(K2663,2)="W|"),2*N2663*O2663,0)</f>
        <v/>
      </c>
      <c r="Z2663" s="12" t="inlineStr">
        <is>
          <t>heat-trace cable itself by others</t>
        </is>
      </c>
      <c r="AA2663" s="12">
        <f>N2663*O2663</f>
        <v/>
      </c>
    </row>
    <row r="2664">
      <c r="A2664" s="12" t="inlineStr">
        <is>
          <t>D-P-0024</t>
        </is>
      </c>
      <c r="B2664" s="12" t="inlineStr">
        <is>
          <t>D</t>
        </is>
      </c>
      <c r="C2664" s="12" t="inlineStr">
        <is>
          <t>Fuel gas</t>
        </is>
      </c>
      <c r="D2664" s="12" t="inlineStr">
        <is>
          <t>Heat-trace circuit 5 (power to the trace junction box)</t>
        </is>
      </c>
      <c r="E2664" s="12" t="inlineStr">
        <is>
          <t>HTP-4</t>
        </is>
      </c>
      <c r="F2664" s="12" t="inlineStr">
        <is>
          <t>HTP-4: heat-trace panel (gas)</t>
        </is>
      </c>
      <c r="G2664" s="12" t="inlineStr">
        <is>
          <t>HTP-4</t>
        </is>
      </c>
      <c r="H2664" s="12" t="inlineStr">
        <is>
          <t>HTP-4: heat-trace panel (gas)</t>
        </is>
      </c>
      <c r="I2664" s="12" t="inlineStr">
        <is>
          <t>LV 600 V</t>
        </is>
      </c>
      <c r="J2664" s="12" t="inlineStr">
        <is>
          <t>Type TC-ER 600 V 3/C Cu XHHW-2 + ground, PVC jacket</t>
        </is>
      </c>
      <c r="K2664" s="12" t="inlineStr">
        <is>
          <t>LV|3/C+G|10</t>
        </is>
      </c>
      <c r="L2664" s="12" t="inlineStr">
        <is>
          <t>3/C+G</t>
        </is>
      </c>
      <c r="M2664" s="12" t="inlineStr">
        <is>
          <t>10</t>
        </is>
      </c>
      <c r="N2664" s="12" t="n">
        <v>1</v>
      </c>
      <c r="O2664" s="12" t="n">
        <v>1</v>
      </c>
      <c r="P2664" s="12" t="n">
        <v>480</v>
      </c>
      <c r="Q2664" s="12" t="n">
        <v>4</v>
      </c>
      <c r="R2664" s="12" t="n">
        <v>6</v>
      </c>
      <c r="S2664" s="12" t="inlineStr">
        <is>
          <t>Tray</t>
        </is>
      </c>
      <c r="T2664" s="16" t="n">
        <v>180</v>
      </c>
      <c r="U2664" s="16" t="n">
        <v>20</v>
      </c>
      <c r="V2664" s="16">
        <f>ROUNDUP((T2664+U2664+2*'Read Me'!$B$13)*(1+'Read Me'!$B$12),-1)</f>
        <v/>
      </c>
      <c r="W2664" s="16">
        <f>V2664*N2664*O2664</f>
        <v/>
      </c>
      <c r="X2664" s="12">
        <f>IF(LEFT(I2664,2)="MV",2*N2664*IF(L2664="1/C",O2664,1),0)</f>
        <v/>
      </c>
      <c r="Y2664" s="12">
        <f>IF(OR(LEFT(K2664,4)="LVAX",LEFT(K2664,6)="MV15AX",LEFT(K2664,4)="CTAX",LEFT(K2664,2)="W|"),2*N2664*O2664,0)</f>
        <v/>
      </c>
      <c r="Z2664" s="12" t="inlineStr">
        <is>
          <t>heat-trace cable itself by others</t>
        </is>
      </c>
      <c r="AA2664" s="12">
        <f>N2664*O2664</f>
        <v/>
      </c>
    </row>
    <row r="2665">
      <c r="A2665" s="12" t="inlineStr">
        <is>
          <t>D-P-0025</t>
        </is>
      </c>
      <c r="B2665" s="12" t="inlineStr">
        <is>
          <t>D</t>
        </is>
      </c>
      <c r="C2665" s="12" t="inlineStr">
        <is>
          <t>Fuel gas</t>
        </is>
      </c>
      <c r="D2665" s="12" t="inlineStr">
        <is>
          <t>Heat-trace circuit 6 (power to the trace junction box)</t>
        </is>
      </c>
      <c r="E2665" s="12" t="inlineStr">
        <is>
          <t>HTP-4</t>
        </is>
      </c>
      <c r="F2665" s="12" t="inlineStr">
        <is>
          <t>HTP-4: heat-trace panel (gas)</t>
        </is>
      </c>
      <c r="G2665" s="12" t="inlineStr">
        <is>
          <t>HTP-4</t>
        </is>
      </c>
      <c r="H2665" s="12" t="inlineStr">
        <is>
          <t>HTP-4: heat-trace panel (gas)</t>
        </is>
      </c>
      <c r="I2665" s="12" t="inlineStr">
        <is>
          <t>LV 600 V</t>
        </is>
      </c>
      <c r="J2665" s="12" t="inlineStr">
        <is>
          <t>Type TC-ER 600 V 3/C Cu XHHW-2 + ground, PVC jacket</t>
        </is>
      </c>
      <c r="K2665" s="12" t="inlineStr">
        <is>
          <t>LV|3/C+G|10</t>
        </is>
      </c>
      <c r="L2665" s="12" t="inlineStr">
        <is>
          <t>3/C+G</t>
        </is>
      </c>
      <c r="M2665" s="12" t="inlineStr">
        <is>
          <t>10</t>
        </is>
      </c>
      <c r="N2665" s="12" t="n">
        <v>1</v>
      </c>
      <c r="O2665" s="12" t="n">
        <v>1</v>
      </c>
      <c r="P2665" s="12" t="n">
        <v>480</v>
      </c>
      <c r="Q2665" s="12" t="n">
        <v>4</v>
      </c>
      <c r="R2665" s="12" t="n">
        <v>6</v>
      </c>
      <c r="S2665" s="12" t="inlineStr">
        <is>
          <t>Tray</t>
        </is>
      </c>
      <c r="T2665" s="16" t="n">
        <v>180</v>
      </c>
      <c r="U2665" s="16" t="n">
        <v>20</v>
      </c>
      <c r="V2665" s="16">
        <f>ROUNDUP((T2665+U2665+2*'Read Me'!$B$13)*(1+'Read Me'!$B$12),-1)</f>
        <v/>
      </c>
      <c r="W2665" s="16">
        <f>V2665*N2665*O2665</f>
        <v/>
      </c>
      <c r="X2665" s="12">
        <f>IF(LEFT(I2665,2)="MV",2*N2665*IF(L2665="1/C",O2665,1),0)</f>
        <v/>
      </c>
      <c r="Y2665" s="12">
        <f>IF(OR(LEFT(K2665,4)="LVAX",LEFT(K2665,6)="MV15AX",LEFT(K2665,4)="CTAX",LEFT(K2665,2)="W|"),2*N2665*O2665,0)</f>
        <v/>
      </c>
      <c r="Z2665" s="12" t="inlineStr">
        <is>
          <t>heat-trace cable itself by others</t>
        </is>
      </c>
      <c r="AA2665" s="12">
        <f>N2665*O2665</f>
        <v/>
      </c>
    </row>
    <row r="2666">
      <c r="A2666" s="12" t="inlineStr">
        <is>
          <t>D-P-0026</t>
        </is>
      </c>
      <c r="B2666" s="12" t="inlineStr">
        <is>
          <t>D</t>
        </is>
      </c>
      <c r="C2666" s="12" t="inlineStr">
        <is>
          <t>Fuel gas</t>
        </is>
      </c>
      <c r="D2666" s="12" t="inlineStr">
        <is>
          <t>Heat-trace circuit 7 (power to the trace junction box)</t>
        </is>
      </c>
      <c r="E2666" s="12" t="inlineStr">
        <is>
          <t>HTP-4</t>
        </is>
      </c>
      <c r="F2666" s="12" t="inlineStr">
        <is>
          <t>HTP-4: heat-trace panel (gas)</t>
        </is>
      </c>
      <c r="G2666" s="12" t="inlineStr">
        <is>
          <t>HTP-4</t>
        </is>
      </c>
      <c r="H2666" s="12" t="inlineStr">
        <is>
          <t>HTP-4: heat-trace panel (gas)</t>
        </is>
      </c>
      <c r="I2666" s="12" t="inlineStr">
        <is>
          <t>LV 600 V</t>
        </is>
      </c>
      <c r="J2666" s="12" t="inlineStr">
        <is>
          <t>Type TC-ER 600 V 3/C Cu XHHW-2 + ground, PVC jacket</t>
        </is>
      </c>
      <c r="K2666" s="12" t="inlineStr">
        <is>
          <t>LV|3/C+G|10</t>
        </is>
      </c>
      <c r="L2666" s="12" t="inlineStr">
        <is>
          <t>3/C+G</t>
        </is>
      </c>
      <c r="M2666" s="12" t="inlineStr">
        <is>
          <t>10</t>
        </is>
      </c>
      <c r="N2666" s="12" t="n">
        <v>1</v>
      </c>
      <c r="O2666" s="12" t="n">
        <v>1</v>
      </c>
      <c r="P2666" s="12" t="n">
        <v>480</v>
      </c>
      <c r="Q2666" s="12" t="n">
        <v>4</v>
      </c>
      <c r="R2666" s="12" t="n">
        <v>6</v>
      </c>
      <c r="S2666" s="12" t="inlineStr">
        <is>
          <t>Tray</t>
        </is>
      </c>
      <c r="T2666" s="16" t="n">
        <v>180</v>
      </c>
      <c r="U2666" s="16" t="n">
        <v>20</v>
      </c>
      <c r="V2666" s="16">
        <f>ROUNDUP((T2666+U2666+2*'Read Me'!$B$13)*(1+'Read Me'!$B$12),-1)</f>
        <v/>
      </c>
      <c r="W2666" s="16">
        <f>V2666*N2666*O2666</f>
        <v/>
      </c>
      <c r="X2666" s="12">
        <f>IF(LEFT(I2666,2)="MV",2*N2666*IF(L2666="1/C",O2666,1),0)</f>
        <v/>
      </c>
      <c r="Y2666" s="12">
        <f>IF(OR(LEFT(K2666,4)="LVAX",LEFT(K2666,6)="MV15AX",LEFT(K2666,4)="CTAX",LEFT(K2666,2)="W|"),2*N2666*O2666,0)</f>
        <v/>
      </c>
      <c r="Z2666" s="12" t="inlineStr">
        <is>
          <t>heat-trace cable itself by others</t>
        </is>
      </c>
      <c r="AA2666" s="12">
        <f>N2666*O2666</f>
        <v/>
      </c>
    </row>
    <row r="2667">
      <c r="A2667" s="12" t="inlineStr">
        <is>
          <t>D-P-0027</t>
        </is>
      </c>
      <c r="B2667" s="12" t="inlineStr">
        <is>
          <t>D</t>
        </is>
      </c>
      <c r="C2667" s="12" t="inlineStr">
        <is>
          <t>Fuel gas</t>
        </is>
      </c>
      <c r="D2667" s="12" t="inlineStr">
        <is>
          <t>Heat-trace circuit 8 (power to the trace junction box)</t>
        </is>
      </c>
      <c r="E2667" s="12" t="inlineStr">
        <is>
          <t>HTP-4</t>
        </is>
      </c>
      <c r="F2667" s="12" t="inlineStr">
        <is>
          <t>HTP-4: heat-trace panel (gas)</t>
        </is>
      </c>
      <c r="G2667" s="12" t="inlineStr">
        <is>
          <t>HTP-4</t>
        </is>
      </c>
      <c r="H2667" s="12" t="inlineStr">
        <is>
          <t>HTP-4: heat-trace panel (gas)</t>
        </is>
      </c>
      <c r="I2667" s="12" t="inlineStr">
        <is>
          <t>LV 600 V</t>
        </is>
      </c>
      <c r="J2667" s="12" t="inlineStr">
        <is>
          <t>Type TC-ER 600 V 3/C Cu XHHW-2 + ground, PVC jacket</t>
        </is>
      </c>
      <c r="K2667" s="12" t="inlineStr">
        <is>
          <t>LV|3/C+G|10</t>
        </is>
      </c>
      <c r="L2667" s="12" t="inlineStr">
        <is>
          <t>3/C+G</t>
        </is>
      </c>
      <c r="M2667" s="12" t="inlineStr">
        <is>
          <t>10</t>
        </is>
      </c>
      <c r="N2667" s="12" t="n">
        <v>1</v>
      </c>
      <c r="O2667" s="12" t="n">
        <v>1</v>
      </c>
      <c r="P2667" s="12" t="n">
        <v>480</v>
      </c>
      <c r="Q2667" s="12" t="n">
        <v>4</v>
      </c>
      <c r="R2667" s="12" t="n">
        <v>6</v>
      </c>
      <c r="S2667" s="12" t="inlineStr">
        <is>
          <t>Tray</t>
        </is>
      </c>
      <c r="T2667" s="16" t="n">
        <v>180</v>
      </c>
      <c r="U2667" s="16" t="n">
        <v>20</v>
      </c>
      <c r="V2667" s="16">
        <f>ROUNDUP((T2667+U2667+2*'Read Me'!$B$13)*(1+'Read Me'!$B$12),-1)</f>
        <v/>
      </c>
      <c r="W2667" s="16">
        <f>V2667*N2667*O2667</f>
        <v/>
      </c>
      <c r="X2667" s="12">
        <f>IF(LEFT(I2667,2)="MV",2*N2667*IF(L2667="1/C",O2667,1),0)</f>
        <v/>
      </c>
      <c r="Y2667" s="12">
        <f>IF(OR(LEFT(K2667,4)="LVAX",LEFT(K2667,6)="MV15AX",LEFT(K2667,4)="CTAX",LEFT(K2667,2)="W|"),2*N2667*O2667,0)</f>
        <v/>
      </c>
      <c r="Z2667" s="12" t="inlineStr">
        <is>
          <t>heat-trace cable itself by others</t>
        </is>
      </c>
      <c r="AA2667" s="12">
        <f>N2667*O2667</f>
        <v/>
      </c>
    </row>
    <row r="2668">
      <c r="A2668" s="12" t="inlineStr">
        <is>
          <t>D-P-0028</t>
        </is>
      </c>
      <c r="B2668" s="12" t="inlineStr">
        <is>
          <t>D</t>
        </is>
      </c>
      <c r="C2668" s="12" t="inlineStr">
        <is>
          <t>Fuel gas</t>
        </is>
      </c>
      <c r="D2668" s="12" t="inlineStr">
        <is>
          <t>Heat-trace circuit 9 (power to the trace junction box)</t>
        </is>
      </c>
      <c r="E2668" s="12" t="inlineStr">
        <is>
          <t>HTP-4</t>
        </is>
      </c>
      <c r="F2668" s="12" t="inlineStr">
        <is>
          <t>HTP-4: heat-trace panel (gas)</t>
        </is>
      </c>
      <c r="G2668" s="12" t="inlineStr">
        <is>
          <t>HTP-4</t>
        </is>
      </c>
      <c r="H2668" s="12" t="inlineStr">
        <is>
          <t>HTP-4: heat-trace panel (gas)</t>
        </is>
      </c>
      <c r="I2668" s="12" t="inlineStr">
        <is>
          <t>LV 600 V</t>
        </is>
      </c>
      <c r="J2668" s="12" t="inlineStr">
        <is>
          <t>Type TC-ER 600 V 3/C Cu XHHW-2 + ground, PVC jacket</t>
        </is>
      </c>
      <c r="K2668" s="12" t="inlineStr">
        <is>
          <t>LV|3/C+G|10</t>
        </is>
      </c>
      <c r="L2668" s="12" t="inlineStr">
        <is>
          <t>3/C+G</t>
        </is>
      </c>
      <c r="M2668" s="12" t="inlineStr">
        <is>
          <t>10</t>
        </is>
      </c>
      <c r="N2668" s="12" t="n">
        <v>1</v>
      </c>
      <c r="O2668" s="12" t="n">
        <v>1</v>
      </c>
      <c r="P2668" s="12" t="n">
        <v>480</v>
      </c>
      <c r="Q2668" s="12" t="n">
        <v>4</v>
      </c>
      <c r="R2668" s="12" t="n">
        <v>6</v>
      </c>
      <c r="S2668" s="12" t="inlineStr">
        <is>
          <t>Tray</t>
        </is>
      </c>
      <c r="T2668" s="16" t="n">
        <v>180</v>
      </c>
      <c r="U2668" s="16" t="n">
        <v>20</v>
      </c>
      <c r="V2668" s="16">
        <f>ROUNDUP((T2668+U2668+2*'Read Me'!$B$13)*(1+'Read Me'!$B$12),-1)</f>
        <v/>
      </c>
      <c r="W2668" s="16">
        <f>V2668*N2668*O2668</f>
        <v/>
      </c>
      <c r="X2668" s="12">
        <f>IF(LEFT(I2668,2)="MV",2*N2668*IF(L2668="1/C",O2668,1),0)</f>
        <v/>
      </c>
      <c r="Y2668" s="12">
        <f>IF(OR(LEFT(K2668,4)="LVAX",LEFT(K2668,6)="MV15AX",LEFT(K2668,4)="CTAX",LEFT(K2668,2)="W|"),2*N2668*O2668,0)</f>
        <v/>
      </c>
      <c r="Z2668" s="12" t="inlineStr">
        <is>
          <t>heat-trace cable itself by others</t>
        </is>
      </c>
      <c r="AA2668" s="12">
        <f>N2668*O2668</f>
        <v/>
      </c>
    </row>
    <row r="2669">
      <c r="A2669" s="12" t="inlineStr">
        <is>
          <t>D-P-0029</t>
        </is>
      </c>
      <c r="B2669" s="12" t="inlineStr">
        <is>
          <t>D</t>
        </is>
      </c>
      <c r="C2669" s="12" t="inlineStr">
        <is>
          <t>Fuel gas</t>
        </is>
      </c>
      <c r="D2669" s="12" t="inlineStr">
        <is>
          <t>Heat-trace circuit 10 (power to the trace junction box)</t>
        </is>
      </c>
      <c r="E2669" s="12" t="inlineStr">
        <is>
          <t>HTP-4</t>
        </is>
      </c>
      <c r="F2669" s="12" t="inlineStr">
        <is>
          <t>HTP-4: heat-trace panel (gas)</t>
        </is>
      </c>
      <c r="G2669" s="12" t="inlineStr">
        <is>
          <t>HTP-4</t>
        </is>
      </c>
      <c r="H2669" s="12" t="inlineStr">
        <is>
          <t>HTP-4: heat-trace panel (gas)</t>
        </is>
      </c>
      <c r="I2669" s="12" t="inlineStr">
        <is>
          <t>LV 600 V</t>
        </is>
      </c>
      <c r="J2669" s="12" t="inlineStr">
        <is>
          <t>Type TC-ER 600 V 3/C Cu XHHW-2 + ground, PVC jacket</t>
        </is>
      </c>
      <c r="K2669" s="12" t="inlineStr">
        <is>
          <t>LV|3/C+G|10</t>
        </is>
      </c>
      <c r="L2669" s="12" t="inlineStr">
        <is>
          <t>3/C+G</t>
        </is>
      </c>
      <c r="M2669" s="12" t="inlineStr">
        <is>
          <t>10</t>
        </is>
      </c>
      <c r="N2669" s="12" t="n">
        <v>1</v>
      </c>
      <c r="O2669" s="12" t="n">
        <v>1</v>
      </c>
      <c r="P2669" s="12" t="n">
        <v>480</v>
      </c>
      <c r="Q2669" s="12" t="n">
        <v>4</v>
      </c>
      <c r="R2669" s="12" t="n">
        <v>6</v>
      </c>
      <c r="S2669" s="12" t="inlineStr">
        <is>
          <t>Tray</t>
        </is>
      </c>
      <c r="T2669" s="16" t="n">
        <v>180</v>
      </c>
      <c r="U2669" s="16" t="n">
        <v>20</v>
      </c>
      <c r="V2669" s="16">
        <f>ROUNDUP((T2669+U2669+2*'Read Me'!$B$13)*(1+'Read Me'!$B$12),-1)</f>
        <v/>
      </c>
      <c r="W2669" s="16">
        <f>V2669*N2669*O2669</f>
        <v/>
      </c>
      <c r="X2669" s="12">
        <f>IF(LEFT(I2669,2)="MV",2*N2669*IF(L2669="1/C",O2669,1),0)</f>
        <v/>
      </c>
      <c r="Y2669" s="12">
        <f>IF(OR(LEFT(K2669,4)="LVAX",LEFT(K2669,6)="MV15AX",LEFT(K2669,4)="CTAX",LEFT(K2669,2)="W|"),2*N2669*O2669,0)</f>
        <v/>
      </c>
      <c r="Z2669" s="12" t="inlineStr">
        <is>
          <t>heat-trace cable itself by others</t>
        </is>
      </c>
      <c r="AA2669" s="12">
        <f>N2669*O2669</f>
        <v/>
      </c>
    </row>
    <row r="2670">
      <c r="A2670" s="12" t="inlineStr">
        <is>
          <t>D-P-0030</t>
        </is>
      </c>
      <c r="B2670" s="12" t="inlineStr">
        <is>
          <t>D</t>
        </is>
      </c>
      <c r="C2670" s="12" t="inlineStr">
        <is>
          <t>Fuel gas</t>
        </is>
      </c>
      <c r="D2670" s="12" t="inlineStr">
        <is>
          <t>Heat-trace circuit 11 (power to the trace junction box)</t>
        </is>
      </c>
      <c r="E2670" s="12" t="inlineStr">
        <is>
          <t>HTP-4</t>
        </is>
      </c>
      <c r="F2670" s="12" t="inlineStr">
        <is>
          <t>HTP-4: heat-trace panel (gas)</t>
        </is>
      </c>
      <c r="G2670" s="12" t="inlineStr">
        <is>
          <t>HTP-4</t>
        </is>
      </c>
      <c r="H2670" s="12" t="inlineStr">
        <is>
          <t>HTP-4: heat-trace panel (gas)</t>
        </is>
      </c>
      <c r="I2670" s="12" t="inlineStr">
        <is>
          <t>LV 600 V</t>
        </is>
      </c>
      <c r="J2670" s="12" t="inlineStr">
        <is>
          <t>Type TC-ER 600 V 3/C Cu XHHW-2 + ground, PVC jacket</t>
        </is>
      </c>
      <c r="K2670" s="12" t="inlineStr">
        <is>
          <t>LV|3/C+G|10</t>
        </is>
      </c>
      <c r="L2670" s="12" t="inlineStr">
        <is>
          <t>3/C+G</t>
        </is>
      </c>
      <c r="M2670" s="12" t="inlineStr">
        <is>
          <t>10</t>
        </is>
      </c>
      <c r="N2670" s="12" t="n">
        <v>1</v>
      </c>
      <c r="O2670" s="12" t="n">
        <v>1</v>
      </c>
      <c r="P2670" s="12" t="n">
        <v>480</v>
      </c>
      <c r="Q2670" s="12" t="n">
        <v>4</v>
      </c>
      <c r="R2670" s="12" t="n">
        <v>6</v>
      </c>
      <c r="S2670" s="12" t="inlineStr">
        <is>
          <t>Tray</t>
        </is>
      </c>
      <c r="T2670" s="16" t="n">
        <v>180</v>
      </c>
      <c r="U2670" s="16" t="n">
        <v>20</v>
      </c>
      <c r="V2670" s="16">
        <f>ROUNDUP((T2670+U2670+2*'Read Me'!$B$13)*(1+'Read Me'!$B$12),-1)</f>
        <v/>
      </c>
      <c r="W2670" s="16">
        <f>V2670*N2670*O2670</f>
        <v/>
      </c>
      <c r="X2670" s="12">
        <f>IF(LEFT(I2670,2)="MV",2*N2670*IF(L2670="1/C",O2670,1),0)</f>
        <v/>
      </c>
      <c r="Y2670" s="12">
        <f>IF(OR(LEFT(K2670,4)="LVAX",LEFT(K2670,6)="MV15AX",LEFT(K2670,4)="CTAX",LEFT(K2670,2)="W|"),2*N2670*O2670,0)</f>
        <v/>
      </c>
      <c r="Z2670" s="12" t="inlineStr">
        <is>
          <t>heat-trace cable itself by others</t>
        </is>
      </c>
      <c r="AA2670" s="12">
        <f>N2670*O2670</f>
        <v/>
      </c>
    </row>
    <row r="2671">
      <c r="A2671" s="12" t="inlineStr">
        <is>
          <t>D-P-0031</t>
        </is>
      </c>
      <c r="B2671" s="12" t="inlineStr">
        <is>
          <t>D</t>
        </is>
      </c>
      <c r="C2671" s="12" t="inlineStr">
        <is>
          <t>Fuel gas</t>
        </is>
      </c>
      <c r="D2671" s="12" t="inlineStr">
        <is>
          <t>Heat-trace circuit 12 (power to the trace junction box)</t>
        </is>
      </c>
      <c r="E2671" s="12" t="inlineStr">
        <is>
          <t>HTP-4</t>
        </is>
      </c>
      <c r="F2671" s="12" t="inlineStr">
        <is>
          <t>HTP-4: heat-trace panel (gas)</t>
        </is>
      </c>
      <c r="G2671" s="12" t="inlineStr">
        <is>
          <t>HTP-4</t>
        </is>
      </c>
      <c r="H2671" s="12" t="inlineStr">
        <is>
          <t>HTP-4: heat-trace panel (gas)</t>
        </is>
      </c>
      <c r="I2671" s="12" t="inlineStr">
        <is>
          <t>LV 600 V</t>
        </is>
      </c>
      <c r="J2671" s="12" t="inlineStr">
        <is>
          <t>Type TC-ER 600 V 3/C Cu XHHW-2 + ground, PVC jacket</t>
        </is>
      </c>
      <c r="K2671" s="12" t="inlineStr">
        <is>
          <t>LV|3/C+G|10</t>
        </is>
      </c>
      <c r="L2671" s="12" t="inlineStr">
        <is>
          <t>3/C+G</t>
        </is>
      </c>
      <c r="M2671" s="12" t="inlineStr">
        <is>
          <t>10</t>
        </is>
      </c>
      <c r="N2671" s="12" t="n">
        <v>1</v>
      </c>
      <c r="O2671" s="12" t="n">
        <v>1</v>
      </c>
      <c r="P2671" s="12" t="n">
        <v>480</v>
      </c>
      <c r="Q2671" s="12" t="n">
        <v>4</v>
      </c>
      <c r="R2671" s="12" t="n">
        <v>6</v>
      </c>
      <c r="S2671" s="12" t="inlineStr">
        <is>
          <t>Tray</t>
        </is>
      </c>
      <c r="T2671" s="16" t="n">
        <v>180</v>
      </c>
      <c r="U2671" s="16" t="n">
        <v>20</v>
      </c>
      <c r="V2671" s="16">
        <f>ROUNDUP((T2671+U2671+2*'Read Me'!$B$13)*(1+'Read Me'!$B$12),-1)</f>
        <v/>
      </c>
      <c r="W2671" s="16">
        <f>V2671*N2671*O2671</f>
        <v/>
      </c>
      <c r="X2671" s="12">
        <f>IF(LEFT(I2671,2)="MV",2*N2671*IF(L2671="1/C",O2671,1),0)</f>
        <v/>
      </c>
      <c r="Y2671" s="12">
        <f>IF(OR(LEFT(K2671,4)="LVAX",LEFT(K2671,6)="MV15AX",LEFT(K2671,4)="CTAX",LEFT(K2671,2)="W|"),2*N2671*O2671,0)</f>
        <v/>
      </c>
      <c r="Z2671" s="12" t="inlineStr">
        <is>
          <t>heat-trace cable itself by others</t>
        </is>
      </c>
      <c r="AA2671" s="12">
        <f>N2671*O2671</f>
        <v/>
      </c>
    </row>
    <row r="2672">
      <c r="A2672" s="12" t="inlineStr">
        <is>
          <t>D-P-0032</t>
        </is>
      </c>
      <c r="B2672" s="12" t="inlineStr">
        <is>
          <t>D</t>
        </is>
      </c>
      <c r="C2672" s="12" t="inlineStr">
        <is>
          <t>Fuel gas</t>
        </is>
      </c>
      <c r="D2672" s="12" t="inlineStr">
        <is>
          <t>Heat-trace circuit 13 (power to the trace junction box)</t>
        </is>
      </c>
      <c r="E2672" s="12" t="inlineStr">
        <is>
          <t>HTP-4</t>
        </is>
      </c>
      <c r="F2672" s="12" t="inlineStr">
        <is>
          <t>HTP-4: heat-trace panel (gas)</t>
        </is>
      </c>
      <c r="G2672" s="12" t="inlineStr">
        <is>
          <t>HTP-4</t>
        </is>
      </c>
      <c r="H2672" s="12" t="inlineStr">
        <is>
          <t>HTP-4: heat-trace panel (gas)</t>
        </is>
      </c>
      <c r="I2672" s="12" t="inlineStr">
        <is>
          <t>LV 600 V</t>
        </is>
      </c>
      <c r="J2672" s="12" t="inlineStr">
        <is>
          <t>Type TC-ER 600 V 3/C Cu XHHW-2 + ground, PVC jacket</t>
        </is>
      </c>
      <c r="K2672" s="12" t="inlineStr">
        <is>
          <t>LV|3/C+G|10</t>
        </is>
      </c>
      <c r="L2672" s="12" t="inlineStr">
        <is>
          <t>3/C+G</t>
        </is>
      </c>
      <c r="M2672" s="12" t="inlineStr">
        <is>
          <t>10</t>
        </is>
      </c>
      <c r="N2672" s="12" t="n">
        <v>1</v>
      </c>
      <c r="O2672" s="12" t="n">
        <v>1</v>
      </c>
      <c r="P2672" s="12" t="n">
        <v>480</v>
      </c>
      <c r="Q2672" s="12" t="n">
        <v>4</v>
      </c>
      <c r="R2672" s="12" t="n">
        <v>6</v>
      </c>
      <c r="S2672" s="12" t="inlineStr">
        <is>
          <t>Tray</t>
        </is>
      </c>
      <c r="T2672" s="16" t="n">
        <v>180</v>
      </c>
      <c r="U2672" s="16" t="n">
        <v>20</v>
      </c>
      <c r="V2672" s="16">
        <f>ROUNDUP((T2672+U2672+2*'Read Me'!$B$13)*(1+'Read Me'!$B$12),-1)</f>
        <v/>
      </c>
      <c r="W2672" s="16">
        <f>V2672*N2672*O2672</f>
        <v/>
      </c>
      <c r="X2672" s="12">
        <f>IF(LEFT(I2672,2)="MV",2*N2672*IF(L2672="1/C",O2672,1),0)</f>
        <v/>
      </c>
      <c r="Y2672" s="12">
        <f>IF(OR(LEFT(K2672,4)="LVAX",LEFT(K2672,6)="MV15AX",LEFT(K2672,4)="CTAX",LEFT(K2672,2)="W|"),2*N2672*O2672,0)</f>
        <v/>
      </c>
      <c r="Z2672" s="12" t="inlineStr">
        <is>
          <t>heat-trace cable itself by others</t>
        </is>
      </c>
      <c r="AA2672" s="12">
        <f>N2672*O2672</f>
        <v/>
      </c>
    </row>
    <row r="2673">
      <c r="A2673" s="12" t="inlineStr">
        <is>
          <t>D-P-0033</t>
        </is>
      </c>
      <c r="B2673" s="12" t="inlineStr">
        <is>
          <t>D</t>
        </is>
      </c>
      <c r="C2673" s="12" t="inlineStr">
        <is>
          <t>Fuel gas</t>
        </is>
      </c>
      <c r="D2673" s="12" t="inlineStr">
        <is>
          <t>Heat-trace circuit 14 (power to the trace junction box)</t>
        </is>
      </c>
      <c r="E2673" s="12" t="inlineStr">
        <is>
          <t>HTP-4</t>
        </is>
      </c>
      <c r="F2673" s="12" t="inlineStr">
        <is>
          <t>HTP-4: heat-trace panel (gas)</t>
        </is>
      </c>
      <c r="G2673" s="12" t="inlineStr">
        <is>
          <t>HTP-4</t>
        </is>
      </c>
      <c r="H2673" s="12" t="inlineStr">
        <is>
          <t>HTP-4: heat-trace panel (gas)</t>
        </is>
      </c>
      <c r="I2673" s="12" t="inlineStr">
        <is>
          <t>LV 600 V</t>
        </is>
      </c>
      <c r="J2673" s="12" t="inlineStr">
        <is>
          <t>Type TC-ER 600 V 3/C Cu XHHW-2 + ground, PVC jacket</t>
        </is>
      </c>
      <c r="K2673" s="12" t="inlineStr">
        <is>
          <t>LV|3/C+G|10</t>
        </is>
      </c>
      <c r="L2673" s="12" t="inlineStr">
        <is>
          <t>3/C+G</t>
        </is>
      </c>
      <c r="M2673" s="12" t="inlineStr">
        <is>
          <t>10</t>
        </is>
      </c>
      <c r="N2673" s="12" t="n">
        <v>1</v>
      </c>
      <c r="O2673" s="12" t="n">
        <v>1</v>
      </c>
      <c r="P2673" s="12" t="n">
        <v>480</v>
      </c>
      <c r="Q2673" s="12" t="n">
        <v>4</v>
      </c>
      <c r="R2673" s="12" t="n">
        <v>6</v>
      </c>
      <c r="S2673" s="12" t="inlineStr">
        <is>
          <t>Tray</t>
        </is>
      </c>
      <c r="T2673" s="16" t="n">
        <v>180</v>
      </c>
      <c r="U2673" s="16" t="n">
        <v>20</v>
      </c>
      <c r="V2673" s="16">
        <f>ROUNDUP((T2673+U2673+2*'Read Me'!$B$13)*(1+'Read Me'!$B$12),-1)</f>
        <v/>
      </c>
      <c r="W2673" s="16">
        <f>V2673*N2673*O2673</f>
        <v/>
      </c>
      <c r="X2673" s="12">
        <f>IF(LEFT(I2673,2)="MV",2*N2673*IF(L2673="1/C",O2673,1),0)</f>
        <v/>
      </c>
      <c r="Y2673" s="12">
        <f>IF(OR(LEFT(K2673,4)="LVAX",LEFT(K2673,6)="MV15AX",LEFT(K2673,4)="CTAX",LEFT(K2673,2)="W|"),2*N2673*O2673,0)</f>
        <v/>
      </c>
      <c r="Z2673" s="12" t="inlineStr">
        <is>
          <t>heat-trace cable itself by others</t>
        </is>
      </c>
      <c r="AA2673" s="12">
        <f>N2673*O2673</f>
        <v/>
      </c>
    </row>
    <row r="2674">
      <c r="A2674" s="12" t="inlineStr">
        <is>
          <t>D-P-0034</t>
        </is>
      </c>
      <c r="B2674" s="12" t="inlineStr">
        <is>
          <t>D</t>
        </is>
      </c>
      <c r="C2674" s="12" t="inlineStr">
        <is>
          <t>Fuel gas</t>
        </is>
      </c>
      <c r="D2674" s="12" t="inlineStr">
        <is>
          <t>Heat-trace circuit 15 (power to the trace junction box)</t>
        </is>
      </c>
      <c r="E2674" s="12" t="inlineStr">
        <is>
          <t>HTP-4</t>
        </is>
      </c>
      <c r="F2674" s="12" t="inlineStr">
        <is>
          <t>HTP-4: heat-trace panel (gas)</t>
        </is>
      </c>
      <c r="G2674" s="12" t="inlineStr">
        <is>
          <t>HTP-4</t>
        </is>
      </c>
      <c r="H2674" s="12" t="inlineStr">
        <is>
          <t>HTP-4: heat-trace panel (gas)</t>
        </is>
      </c>
      <c r="I2674" s="12" t="inlineStr">
        <is>
          <t>LV 600 V</t>
        </is>
      </c>
      <c r="J2674" s="12" t="inlineStr">
        <is>
          <t>Type TC-ER 600 V 3/C Cu XHHW-2 + ground, PVC jacket</t>
        </is>
      </c>
      <c r="K2674" s="12" t="inlineStr">
        <is>
          <t>LV|3/C+G|10</t>
        </is>
      </c>
      <c r="L2674" s="12" t="inlineStr">
        <is>
          <t>3/C+G</t>
        </is>
      </c>
      <c r="M2674" s="12" t="inlineStr">
        <is>
          <t>10</t>
        </is>
      </c>
      <c r="N2674" s="12" t="n">
        <v>1</v>
      </c>
      <c r="O2674" s="12" t="n">
        <v>1</v>
      </c>
      <c r="P2674" s="12" t="n">
        <v>480</v>
      </c>
      <c r="Q2674" s="12" t="n">
        <v>4</v>
      </c>
      <c r="R2674" s="12" t="n">
        <v>6</v>
      </c>
      <c r="S2674" s="12" t="inlineStr">
        <is>
          <t>Tray</t>
        </is>
      </c>
      <c r="T2674" s="16" t="n">
        <v>180</v>
      </c>
      <c r="U2674" s="16" t="n">
        <v>20</v>
      </c>
      <c r="V2674" s="16">
        <f>ROUNDUP((T2674+U2674+2*'Read Me'!$B$13)*(1+'Read Me'!$B$12),-1)</f>
        <v/>
      </c>
      <c r="W2674" s="16">
        <f>V2674*N2674*O2674</f>
        <v/>
      </c>
      <c r="X2674" s="12">
        <f>IF(LEFT(I2674,2)="MV",2*N2674*IF(L2674="1/C",O2674,1),0)</f>
        <v/>
      </c>
      <c r="Y2674" s="12">
        <f>IF(OR(LEFT(K2674,4)="LVAX",LEFT(K2674,6)="MV15AX",LEFT(K2674,4)="CTAX",LEFT(K2674,2)="W|"),2*N2674*O2674,0)</f>
        <v/>
      </c>
      <c r="Z2674" s="12" t="inlineStr">
        <is>
          <t>heat-trace cable itself by others</t>
        </is>
      </c>
      <c r="AA2674" s="12">
        <f>N2674*O2674</f>
        <v/>
      </c>
    </row>
    <row r="2675">
      <c r="A2675" s="12" t="inlineStr">
        <is>
          <t>D-P-0035</t>
        </is>
      </c>
      <c r="B2675" s="12" t="inlineStr">
        <is>
          <t>D</t>
        </is>
      </c>
      <c r="C2675" s="12" t="inlineStr">
        <is>
          <t>Fuel gas</t>
        </is>
      </c>
      <c r="D2675" s="12" t="inlineStr">
        <is>
          <t>Heat-trace circuit 16 (power to the trace junction box)</t>
        </is>
      </c>
      <c r="E2675" s="12" t="inlineStr">
        <is>
          <t>HTP-4</t>
        </is>
      </c>
      <c r="F2675" s="12" t="inlineStr">
        <is>
          <t>HTP-4: heat-trace panel (gas)</t>
        </is>
      </c>
      <c r="G2675" s="12" t="inlineStr">
        <is>
          <t>HTP-4</t>
        </is>
      </c>
      <c r="H2675" s="12" t="inlineStr">
        <is>
          <t>HTP-4: heat-trace panel (gas)</t>
        </is>
      </c>
      <c r="I2675" s="12" t="inlineStr">
        <is>
          <t>LV 600 V</t>
        </is>
      </c>
      <c r="J2675" s="12" t="inlineStr">
        <is>
          <t>Type TC-ER 600 V 3/C Cu XHHW-2 + ground, PVC jacket</t>
        </is>
      </c>
      <c r="K2675" s="12" t="inlineStr">
        <is>
          <t>LV|3/C+G|10</t>
        </is>
      </c>
      <c r="L2675" s="12" t="inlineStr">
        <is>
          <t>3/C+G</t>
        </is>
      </c>
      <c r="M2675" s="12" t="inlineStr">
        <is>
          <t>10</t>
        </is>
      </c>
      <c r="N2675" s="12" t="n">
        <v>1</v>
      </c>
      <c r="O2675" s="12" t="n">
        <v>1</v>
      </c>
      <c r="P2675" s="12" t="n">
        <v>480</v>
      </c>
      <c r="Q2675" s="12" t="n">
        <v>4</v>
      </c>
      <c r="R2675" s="12" t="n">
        <v>6</v>
      </c>
      <c r="S2675" s="12" t="inlineStr">
        <is>
          <t>Tray</t>
        </is>
      </c>
      <c r="T2675" s="16" t="n">
        <v>180</v>
      </c>
      <c r="U2675" s="16" t="n">
        <v>20</v>
      </c>
      <c r="V2675" s="16">
        <f>ROUNDUP((T2675+U2675+2*'Read Me'!$B$13)*(1+'Read Me'!$B$12),-1)</f>
        <v/>
      </c>
      <c r="W2675" s="16">
        <f>V2675*N2675*O2675</f>
        <v/>
      </c>
      <c r="X2675" s="12">
        <f>IF(LEFT(I2675,2)="MV",2*N2675*IF(L2675="1/C",O2675,1),0)</f>
        <v/>
      </c>
      <c r="Y2675" s="12">
        <f>IF(OR(LEFT(K2675,4)="LVAX",LEFT(K2675,6)="MV15AX",LEFT(K2675,4)="CTAX",LEFT(K2675,2)="W|"),2*N2675*O2675,0)</f>
        <v/>
      </c>
      <c r="Z2675" s="12" t="inlineStr">
        <is>
          <t>heat-trace cable itself by others</t>
        </is>
      </c>
      <c r="AA2675" s="12">
        <f>N2675*O2675</f>
        <v/>
      </c>
    </row>
    <row r="2676">
      <c r="A2676" s="12" t="inlineStr">
        <is>
          <t>D-P-0036</t>
        </is>
      </c>
      <c r="B2676" s="12" t="inlineStr">
        <is>
          <t>D</t>
        </is>
      </c>
      <c r="C2676" s="12" t="inlineStr">
        <is>
          <t>Fuel gas</t>
        </is>
      </c>
      <c r="D2676" s="12" t="inlineStr">
        <is>
          <t>Heat-trace circuit 17 (power to the trace junction box)</t>
        </is>
      </c>
      <c r="E2676" s="12" t="inlineStr">
        <is>
          <t>HTP-4</t>
        </is>
      </c>
      <c r="F2676" s="12" t="inlineStr">
        <is>
          <t>HTP-4: heat-trace panel (gas)</t>
        </is>
      </c>
      <c r="G2676" s="12" t="inlineStr">
        <is>
          <t>HTP-4</t>
        </is>
      </c>
      <c r="H2676" s="12" t="inlineStr">
        <is>
          <t>HTP-4: heat-trace panel (gas)</t>
        </is>
      </c>
      <c r="I2676" s="12" t="inlineStr">
        <is>
          <t>LV 600 V</t>
        </is>
      </c>
      <c r="J2676" s="12" t="inlineStr">
        <is>
          <t>Type TC-ER 600 V 3/C Cu XHHW-2 + ground, PVC jacket</t>
        </is>
      </c>
      <c r="K2676" s="12" t="inlineStr">
        <is>
          <t>LV|3/C+G|10</t>
        </is>
      </c>
      <c r="L2676" s="12" t="inlineStr">
        <is>
          <t>3/C+G</t>
        </is>
      </c>
      <c r="M2676" s="12" t="inlineStr">
        <is>
          <t>10</t>
        </is>
      </c>
      <c r="N2676" s="12" t="n">
        <v>1</v>
      </c>
      <c r="O2676" s="12" t="n">
        <v>1</v>
      </c>
      <c r="P2676" s="12" t="n">
        <v>480</v>
      </c>
      <c r="Q2676" s="12" t="n">
        <v>4</v>
      </c>
      <c r="R2676" s="12" t="n">
        <v>6</v>
      </c>
      <c r="S2676" s="12" t="inlineStr">
        <is>
          <t>Tray</t>
        </is>
      </c>
      <c r="T2676" s="16" t="n">
        <v>180</v>
      </c>
      <c r="U2676" s="16" t="n">
        <v>20</v>
      </c>
      <c r="V2676" s="16">
        <f>ROUNDUP((T2676+U2676+2*'Read Me'!$B$13)*(1+'Read Me'!$B$12),-1)</f>
        <v/>
      </c>
      <c r="W2676" s="16">
        <f>V2676*N2676*O2676</f>
        <v/>
      </c>
      <c r="X2676" s="12">
        <f>IF(LEFT(I2676,2)="MV",2*N2676*IF(L2676="1/C",O2676,1),0)</f>
        <v/>
      </c>
      <c r="Y2676" s="12">
        <f>IF(OR(LEFT(K2676,4)="LVAX",LEFT(K2676,6)="MV15AX",LEFT(K2676,4)="CTAX",LEFT(K2676,2)="W|"),2*N2676*O2676,0)</f>
        <v/>
      </c>
      <c r="Z2676" s="12" t="inlineStr">
        <is>
          <t>heat-trace cable itself by others</t>
        </is>
      </c>
      <c r="AA2676" s="12">
        <f>N2676*O2676</f>
        <v/>
      </c>
    </row>
    <row r="2677">
      <c r="A2677" s="12" t="inlineStr">
        <is>
          <t>D-P-0037</t>
        </is>
      </c>
      <c r="B2677" s="12" t="inlineStr">
        <is>
          <t>D</t>
        </is>
      </c>
      <c r="C2677" s="12" t="inlineStr">
        <is>
          <t>Fuel gas</t>
        </is>
      </c>
      <c r="D2677" s="12" t="inlineStr">
        <is>
          <t>Heat-trace circuit 18 (power to the trace junction box)</t>
        </is>
      </c>
      <c r="E2677" s="12" t="inlineStr">
        <is>
          <t>HTP-4</t>
        </is>
      </c>
      <c r="F2677" s="12" t="inlineStr">
        <is>
          <t>HTP-4: heat-trace panel (gas)</t>
        </is>
      </c>
      <c r="G2677" s="12" t="inlineStr">
        <is>
          <t>HTP-4</t>
        </is>
      </c>
      <c r="H2677" s="12" t="inlineStr">
        <is>
          <t>HTP-4: heat-trace panel (gas)</t>
        </is>
      </c>
      <c r="I2677" s="12" t="inlineStr">
        <is>
          <t>LV 600 V</t>
        </is>
      </c>
      <c r="J2677" s="12" t="inlineStr">
        <is>
          <t>Type TC-ER 600 V 3/C Cu XHHW-2 + ground, PVC jacket</t>
        </is>
      </c>
      <c r="K2677" s="12" t="inlineStr">
        <is>
          <t>LV|3/C+G|10</t>
        </is>
      </c>
      <c r="L2677" s="12" t="inlineStr">
        <is>
          <t>3/C+G</t>
        </is>
      </c>
      <c r="M2677" s="12" t="inlineStr">
        <is>
          <t>10</t>
        </is>
      </c>
      <c r="N2677" s="12" t="n">
        <v>1</v>
      </c>
      <c r="O2677" s="12" t="n">
        <v>1</v>
      </c>
      <c r="P2677" s="12" t="n">
        <v>480</v>
      </c>
      <c r="Q2677" s="12" t="n">
        <v>4</v>
      </c>
      <c r="R2677" s="12" t="n">
        <v>6</v>
      </c>
      <c r="S2677" s="12" t="inlineStr">
        <is>
          <t>Tray</t>
        </is>
      </c>
      <c r="T2677" s="16" t="n">
        <v>180</v>
      </c>
      <c r="U2677" s="16" t="n">
        <v>20</v>
      </c>
      <c r="V2677" s="16">
        <f>ROUNDUP((T2677+U2677+2*'Read Me'!$B$13)*(1+'Read Me'!$B$12),-1)</f>
        <v/>
      </c>
      <c r="W2677" s="16">
        <f>V2677*N2677*O2677</f>
        <v/>
      </c>
      <c r="X2677" s="12">
        <f>IF(LEFT(I2677,2)="MV",2*N2677*IF(L2677="1/C",O2677,1),0)</f>
        <v/>
      </c>
      <c r="Y2677" s="12">
        <f>IF(OR(LEFT(K2677,4)="LVAX",LEFT(K2677,6)="MV15AX",LEFT(K2677,4)="CTAX",LEFT(K2677,2)="W|"),2*N2677*O2677,0)</f>
        <v/>
      </c>
      <c r="Z2677" s="12" t="inlineStr">
        <is>
          <t>heat-trace cable itself by others</t>
        </is>
      </c>
      <c r="AA2677" s="12">
        <f>N2677*O2677</f>
        <v/>
      </c>
    </row>
    <row r="2678">
      <c r="A2678" s="12" t="inlineStr">
        <is>
          <t>D-P-0038</t>
        </is>
      </c>
      <c r="B2678" s="12" t="inlineStr">
        <is>
          <t>D</t>
        </is>
      </c>
      <c r="C2678" s="12" t="inlineStr">
        <is>
          <t>Fuel gas</t>
        </is>
      </c>
      <c r="D2678" s="12" t="inlineStr">
        <is>
          <t>Heat-trace circuit 19 (power to the trace junction box)</t>
        </is>
      </c>
      <c r="E2678" s="12" t="inlineStr">
        <is>
          <t>HTP-4</t>
        </is>
      </c>
      <c r="F2678" s="12" t="inlineStr">
        <is>
          <t>HTP-4: heat-trace panel (gas)</t>
        </is>
      </c>
      <c r="G2678" s="12" t="inlineStr">
        <is>
          <t>HTP-4</t>
        </is>
      </c>
      <c r="H2678" s="12" t="inlineStr">
        <is>
          <t>HTP-4: heat-trace panel (gas)</t>
        </is>
      </c>
      <c r="I2678" s="12" t="inlineStr">
        <is>
          <t>LV 600 V</t>
        </is>
      </c>
      <c r="J2678" s="12" t="inlineStr">
        <is>
          <t>Type TC-ER 600 V 3/C Cu XHHW-2 + ground, PVC jacket</t>
        </is>
      </c>
      <c r="K2678" s="12" t="inlineStr">
        <is>
          <t>LV|3/C+G|10</t>
        </is>
      </c>
      <c r="L2678" s="12" t="inlineStr">
        <is>
          <t>3/C+G</t>
        </is>
      </c>
      <c r="M2678" s="12" t="inlineStr">
        <is>
          <t>10</t>
        </is>
      </c>
      <c r="N2678" s="12" t="n">
        <v>1</v>
      </c>
      <c r="O2678" s="12" t="n">
        <v>1</v>
      </c>
      <c r="P2678" s="12" t="n">
        <v>480</v>
      </c>
      <c r="Q2678" s="12" t="n">
        <v>4</v>
      </c>
      <c r="R2678" s="12" t="n">
        <v>6</v>
      </c>
      <c r="S2678" s="12" t="inlineStr">
        <is>
          <t>Tray</t>
        </is>
      </c>
      <c r="T2678" s="16" t="n">
        <v>180</v>
      </c>
      <c r="U2678" s="16" t="n">
        <v>20</v>
      </c>
      <c r="V2678" s="16">
        <f>ROUNDUP((T2678+U2678+2*'Read Me'!$B$13)*(1+'Read Me'!$B$12),-1)</f>
        <v/>
      </c>
      <c r="W2678" s="16">
        <f>V2678*N2678*O2678</f>
        <v/>
      </c>
      <c r="X2678" s="12">
        <f>IF(LEFT(I2678,2)="MV",2*N2678*IF(L2678="1/C",O2678,1),0)</f>
        <v/>
      </c>
      <c r="Y2678" s="12">
        <f>IF(OR(LEFT(K2678,4)="LVAX",LEFT(K2678,6)="MV15AX",LEFT(K2678,4)="CTAX",LEFT(K2678,2)="W|"),2*N2678*O2678,0)</f>
        <v/>
      </c>
      <c r="Z2678" s="12" t="inlineStr">
        <is>
          <t>heat-trace cable itself by others</t>
        </is>
      </c>
      <c r="AA2678" s="12">
        <f>N2678*O2678</f>
        <v/>
      </c>
    </row>
    <row r="2679">
      <c r="A2679" s="12" t="inlineStr">
        <is>
          <t>D-P-0039</t>
        </is>
      </c>
      <c r="B2679" s="12" t="inlineStr">
        <is>
          <t>D</t>
        </is>
      </c>
      <c r="C2679" s="12" t="inlineStr">
        <is>
          <t>Fuel gas</t>
        </is>
      </c>
      <c r="D2679" s="12" t="inlineStr">
        <is>
          <t>Heat-trace circuit 20 (power to the trace junction box)</t>
        </is>
      </c>
      <c r="E2679" s="12" t="inlineStr">
        <is>
          <t>HTP-4</t>
        </is>
      </c>
      <c r="F2679" s="12" t="inlineStr">
        <is>
          <t>HTP-4: heat-trace panel (gas)</t>
        </is>
      </c>
      <c r="G2679" s="12" t="inlineStr">
        <is>
          <t>HTP-4</t>
        </is>
      </c>
      <c r="H2679" s="12" t="inlineStr">
        <is>
          <t>HTP-4: heat-trace panel (gas)</t>
        </is>
      </c>
      <c r="I2679" s="12" t="inlineStr">
        <is>
          <t>LV 600 V</t>
        </is>
      </c>
      <c r="J2679" s="12" t="inlineStr">
        <is>
          <t>Type TC-ER 600 V 3/C Cu XHHW-2 + ground, PVC jacket</t>
        </is>
      </c>
      <c r="K2679" s="12" t="inlineStr">
        <is>
          <t>LV|3/C+G|10</t>
        </is>
      </c>
      <c r="L2679" s="12" t="inlineStr">
        <is>
          <t>3/C+G</t>
        </is>
      </c>
      <c r="M2679" s="12" t="inlineStr">
        <is>
          <t>10</t>
        </is>
      </c>
      <c r="N2679" s="12" t="n">
        <v>1</v>
      </c>
      <c r="O2679" s="12" t="n">
        <v>1</v>
      </c>
      <c r="P2679" s="12" t="n">
        <v>480</v>
      </c>
      <c r="Q2679" s="12" t="n">
        <v>4</v>
      </c>
      <c r="R2679" s="12" t="n">
        <v>6</v>
      </c>
      <c r="S2679" s="12" t="inlineStr">
        <is>
          <t>Tray</t>
        </is>
      </c>
      <c r="T2679" s="16" t="n">
        <v>180</v>
      </c>
      <c r="U2679" s="16" t="n">
        <v>20</v>
      </c>
      <c r="V2679" s="16">
        <f>ROUNDUP((T2679+U2679+2*'Read Me'!$B$13)*(1+'Read Me'!$B$12),-1)</f>
        <v/>
      </c>
      <c r="W2679" s="16">
        <f>V2679*N2679*O2679</f>
        <v/>
      </c>
      <c r="X2679" s="12">
        <f>IF(LEFT(I2679,2)="MV",2*N2679*IF(L2679="1/C",O2679,1),0)</f>
        <v/>
      </c>
      <c r="Y2679" s="12">
        <f>IF(OR(LEFT(K2679,4)="LVAX",LEFT(K2679,6)="MV15AX",LEFT(K2679,4)="CTAX",LEFT(K2679,2)="W|"),2*N2679*O2679,0)</f>
        <v/>
      </c>
      <c r="Z2679" s="12" t="inlineStr">
        <is>
          <t>heat-trace cable itself by others</t>
        </is>
      </c>
      <c r="AA2679" s="12">
        <f>N2679*O2679</f>
        <v/>
      </c>
    </row>
    <row r="2680">
      <c r="A2680" s="12" t="inlineStr">
        <is>
          <t>D-P-0040</t>
        </is>
      </c>
      <c r="B2680" s="12" t="inlineStr">
        <is>
          <t>D</t>
        </is>
      </c>
      <c r="C2680" s="12" t="inlineStr">
        <is>
          <t>Fuel gas</t>
        </is>
      </c>
      <c r="D2680" s="12" t="inlineStr">
        <is>
          <t>Heat-trace circuit 21 (power to the trace junction box)</t>
        </is>
      </c>
      <c r="E2680" s="12" t="inlineStr">
        <is>
          <t>HTP-4</t>
        </is>
      </c>
      <c r="F2680" s="12" t="inlineStr">
        <is>
          <t>HTP-4: heat-trace panel (gas)</t>
        </is>
      </c>
      <c r="G2680" s="12" t="inlineStr">
        <is>
          <t>HTP-4</t>
        </is>
      </c>
      <c r="H2680" s="12" t="inlineStr">
        <is>
          <t>HTP-4: heat-trace panel (gas)</t>
        </is>
      </c>
      <c r="I2680" s="12" t="inlineStr">
        <is>
          <t>LV 600 V</t>
        </is>
      </c>
      <c r="J2680" s="12" t="inlineStr">
        <is>
          <t>Type TC-ER 600 V 3/C Cu XHHW-2 + ground, PVC jacket</t>
        </is>
      </c>
      <c r="K2680" s="12" t="inlineStr">
        <is>
          <t>LV|3/C+G|10</t>
        </is>
      </c>
      <c r="L2680" s="12" t="inlineStr">
        <is>
          <t>3/C+G</t>
        </is>
      </c>
      <c r="M2680" s="12" t="inlineStr">
        <is>
          <t>10</t>
        </is>
      </c>
      <c r="N2680" s="12" t="n">
        <v>1</v>
      </c>
      <c r="O2680" s="12" t="n">
        <v>1</v>
      </c>
      <c r="P2680" s="12" t="n">
        <v>480</v>
      </c>
      <c r="Q2680" s="12" t="n">
        <v>4</v>
      </c>
      <c r="R2680" s="12" t="n">
        <v>6</v>
      </c>
      <c r="S2680" s="12" t="inlineStr">
        <is>
          <t>Tray</t>
        </is>
      </c>
      <c r="T2680" s="16" t="n">
        <v>180</v>
      </c>
      <c r="U2680" s="16" t="n">
        <v>20</v>
      </c>
      <c r="V2680" s="16">
        <f>ROUNDUP((T2680+U2680+2*'Read Me'!$B$13)*(1+'Read Me'!$B$12),-1)</f>
        <v/>
      </c>
      <c r="W2680" s="16">
        <f>V2680*N2680*O2680</f>
        <v/>
      </c>
      <c r="X2680" s="12">
        <f>IF(LEFT(I2680,2)="MV",2*N2680*IF(L2680="1/C",O2680,1),0)</f>
        <v/>
      </c>
      <c r="Y2680" s="12">
        <f>IF(OR(LEFT(K2680,4)="LVAX",LEFT(K2680,6)="MV15AX",LEFT(K2680,4)="CTAX",LEFT(K2680,2)="W|"),2*N2680*O2680,0)</f>
        <v/>
      </c>
      <c r="Z2680" s="12" t="inlineStr">
        <is>
          <t>heat-trace cable itself by others</t>
        </is>
      </c>
      <c r="AA2680" s="12">
        <f>N2680*O2680</f>
        <v/>
      </c>
    </row>
    <row r="2681">
      <c r="A2681" s="12" t="inlineStr">
        <is>
          <t>D-P-0041</t>
        </is>
      </c>
      <c r="B2681" s="12" t="inlineStr">
        <is>
          <t>D</t>
        </is>
      </c>
      <c r="C2681" s="12" t="inlineStr">
        <is>
          <t>Fuel gas</t>
        </is>
      </c>
      <c r="D2681" s="12" t="inlineStr">
        <is>
          <t>Heat-trace circuit 22 (power to the trace junction box)</t>
        </is>
      </c>
      <c r="E2681" s="12" t="inlineStr">
        <is>
          <t>HTP-4</t>
        </is>
      </c>
      <c r="F2681" s="12" t="inlineStr">
        <is>
          <t>HTP-4: heat-trace panel (gas)</t>
        </is>
      </c>
      <c r="G2681" s="12" t="inlineStr">
        <is>
          <t>HTP-4</t>
        </is>
      </c>
      <c r="H2681" s="12" t="inlineStr">
        <is>
          <t>HTP-4: heat-trace panel (gas)</t>
        </is>
      </c>
      <c r="I2681" s="12" t="inlineStr">
        <is>
          <t>LV 600 V</t>
        </is>
      </c>
      <c r="J2681" s="12" t="inlineStr">
        <is>
          <t>Type TC-ER 600 V 3/C Cu XHHW-2 + ground, PVC jacket</t>
        </is>
      </c>
      <c r="K2681" s="12" t="inlineStr">
        <is>
          <t>LV|3/C+G|10</t>
        </is>
      </c>
      <c r="L2681" s="12" t="inlineStr">
        <is>
          <t>3/C+G</t>
        </is>
      </c>
      <c r="M2681" s="12" t="inlineStr">
        <is>
          <t>10</t>
        </is>
      </c>
      <c r="N2681" s="12" t="n">
        <v>1</v>
      </c>
      <c r="O2681" s="12" t="n">
        <v>1</v>
      </c>
      <c r="P2681" s="12" t="n">
        <v>480</v>
      </c>
      <c r="Q2681" s="12" t="n">
        <v>4</v>
      </c>
      <c r="R2681" s="12" t="n">
        <v>6</v>
      </c>
      <c r="S2681" s="12" t="inlineStr">
        <is>
          <t>Tray</t>
        </is>
      </c>
      <c r="T2681" s="16" t="n">
        <v>180</v>
      </c>
      <c r="U2681" s="16" t="n">
        <v>20</v>
      </c>
      <c r="V2681" s="16">
        <f>ROUNDUP((T2681+U2681+2*'Read Me'!$B$13)*(1+'Read Me'!$B$12),-1)</f>
        <v/>
      </c>
      <c r="W2681" s="16">
        <f>V2681*N2681*O2681</f>
        <v/>
      </c>
      <c r="X2681" s="12">
        <f>IF(LEFT(I2681,2)="MV",2*N2681*IF(L2681="1/C",O2681,1),0)</f>
        <v/>
      </c>
      <c r="Y2681" s="12">
        <f>IF(OR(LEFT(K2681,4)="LVAX",LEFT(K2681,6)="MV15AX",LEFT(K2681,4)="CTAX",LEFT(K2681,2)="W|"),2*N2681*O2681,0)</f>
        <v/>
      </c>
      <c r="Z2681" s="12" t="inlineStr">
        <is>
          <t>heat-trace cable itself by others</t>
        </is>
      </c>
      <c r="AA2681" s="12">
        <f>N2681*O2681</f>
        <v/>
      </c>
    </row>
    <row r="2682">
      <c r="A2682" s="12" t="inlineStr">
        <is>
          <t>D-P-0042</t>
        </is>
      </c>
      <c r="B2682" s="12" t="inlineStr">
        <is>
          <t>D</t>
        </is>
      </c>
      <c r="C2682" s="12" t="inlineStr">
        <is>
          <t>Fuel gas</t>
        </is>
      </c>
      <c r="D2682" s="12" t="inlineStr">
        <is>
          <t>Heat-trace circuit 23 (power to the trace junction box)</t>
        </is>
      </c>
      <c r="E2682" s="12" t="inlineStr">
        <is>
          <t>HTP-4</t>
        </is>
      </c>
      <c r="F2682" s="12" t="inlineStr">
        <is>
          <t>HTP-4: heat-trace panel (gas)</t>
        </is>
      </c>
      <c r="G2682" s="12" t="inlineStr">
        <is>
          <t>HTP-4</t>
        </is>
      </c>
      <c r="H2682" s="12" t="inlineStr">
        <is>
          <t>HTP-4: heat-trace panel (gas)</t>
        </is>
      </c>
      <c r="I2682" s="12" t="inlineStr">
        <is>
          <t>LV 600 V</t>
        </is>
      </c>
      <c r="J2682" s="12" t="inlineStr">
        <is>
          <t>Type TC-ER 600 V 3/C Cu XHHW-2 + ground, PVC jacket</t>
        </is>
      </c>
      <c r="K2682" s="12" t="inlineStr">
        <is>
          <t>LV|3/C+G|10</t>
        </is>
      </c>
      <c r="L2682" s="12" t="inlineStr">
        <is>
          <t>3/C+G</t>
        </is>
      </c>
      <c r="M2682" s="12" t="inlineStr">
        <is>
          <t>10</t>
        </is>
      </c>
      <c r="N2682" s="12" t="n">
        <v>1</v>
      </c>
      <c r="O2682" s="12" t="n">
        <v>1</v>
      </c>
      <c r="P2682" s="12" t="n">
        <v>480</v>
      </c>
      <c r="Q2682" s="12" t="n">
        <v>4</v>
      </c>
      <c r="R2682" s="12" t="n">
        <v>6</v>
      </c>
      <c r="S2682" s="12" t="inlineStr">
        <is>
          <t>Tray</t>
        </is>
      </c>
      <c r="T2682" s="16" t="n">
        <v>180</v>
      </c>
      <c r="U2682" s="16" t="n">
        <v>20</v>
      </c>
      <c r="V2682" s="16">
        <f>ROUNDUP((T2682+U2682+2*'Read Me'!$B$13)*(1+'Read Me'!$B$12),-1)</f>
        <v/>
      </c>
      <c r="W2682" s="16">
        <f>V2682*N2682*O2682</f>
        <v/>
      </c>
      <c r="X2682" s="12">
        <f>IF(LEFT(I2682,2)="MV",2*N2682*IF(L2682="1/C",O2682,1),0)</f>
        <v/>
      </c>
      <c r="Y2682" s="12">
        <f>IF(OR(LEFT(K2682,4)="LVAX",LEFT(K2682,6)="MV15AX",LEFT(K2682,4)="CTAX",LEFT(K2682,2)="W|"),2*N2682*O2682,0)</f>
        <v/>
      </c>
      <c r="Z2682" s="12" t="inlineStr">
        <is>
          <t>heat-trace cable itself by others</t>
        </is>
      </c>
      <c r="AA2682" s="12">
        <f>N2682*O2682</f>
        <v/>
      </c>
    </row>
    <row r="2683">
      <c r="A2683" s="12" t="inlineStr">
        <is>
          <t>D-P-0043</t>
        </is>
      </c>
      <c r="B2683" s="12" t="inlineStr">
        <is>
          <t>D</t>
        </is>
      </c>
      <c r="C2683" s="12" t="inlineStr">
        <is>
          <t>Fuel gas</t>
        </is>
      </c>
      <c r="D2683" s="12" t="inlineStr">
        <is>
          <t>Heat-trace circuit 24 (power to the trace junction box)</t>
        </is>
      </c>
      <c r="E2683" s="12" t="inlineStr">
        <is>
          <t>HTP-4</t>
        </is>
      </c>
      <c r="F2683" s="12" t="inlineStr">
        <is>
          <t>HTP-4: heat-trace panel (gas)</t>
        </is>
      </c>
      <c r="G2683" s="12" t="inlineStr">
        <is>
          <t>HTP-4</t>
        </is>
      </c>
      <c r="H2683" s="12" t="inlineStr">
        <is>
          <t>HTP-4: heat-trace panel (gas)</t>
        </is>
      </c>
      <c r="I2683" s="12" t="inlineStr">
        <is>
          <t>LV 600 V</t>
        </is>
      </c>
      <c r="J2683" s="12" t="inlineStr">
        <is>
          <t>Type TC-ER 600 V 3/C Cu XHHW-2 + ground, PVC jacket</t>
        </is>
      </c>
      <c r="K2683" s="12" t="inlineStr">
        <is>
          <t>LV|3/C+G|10</t>
        </is>
      </c>
      <c r="L2683" s="12" t="inlineStr">
        <is>
          <t>3/C+G</t>
        </is>
      </c>
      <c r="M2683" s="12" t="inlineStr">
        <is>
          <t>10</t>
        </is>
      </c>
      <c r="N2683" s="12" t="n">
        <v>1</v>
      </c>
      <c r="O2683" s="12" t="n">
        <v>1</v>
      </c>
      <c r="P2683" s="12" t="n">
        <v>480</v>
      </c>
      <c r="Q2683" s="12" t="n">
        <v>4</v>
      </c>
      <c r="R2683" s="12" t="n">
        <v>6</v>
      </c>
      <c r="S2683" s="12" t="inlineStr">
        <is>
          <t>Tray</t>
        </is>
      </c>
      <c r="T2683" s="16" t="n">
        <v>180</v>
      </c>
      <c r="U2683" s="16" t="n">
        <v>20</v>
      </c>
      <c r="V2683" s="16">
        <f>ROUNDUP((T2683+U2683+2*'Read Me'!$B$13)*(1+'Read Me'!$B$12),-1)</f>
        <v/>
      </c>
      <c r="W2683" s="16">
        <f>V2683*N2683*O2683</f>
        <v/>
      </c>
      <c r="X2683" s="12">
        <f>IF(LEFT(I2683,2)="MV",2*N2683*IF(L2683="1/C",O2683,1),0)</f>
        <v/>
      </c>
      <c r="Y2683" s="12">
        <f>IF(OR(LEFT(K2683,4)="LVAX",LEFT(K2683,6)="MV15AX",LEFT(K2683,4)="CTAX",LEFT(K2683,2)="W|"),2*N2683*O2683,0)</f>
        <v/>
      </c>
      <c r="Z2683" s="12" t="inlineStr">
        <is>
          <t>heat-trace cable itself by others</t>
        </is>
      </c>
      <c r="AA2683" s="12">
        <f>N2683*O2683</f>
        <v/>
      </c>
    </row>
    <row r="2684">
      <c r="A2684" s="12" t="inlineStr">
        <is>
          <t>D-MV-0001</t>
        </is>
      </c>
      <c r="B2684" s="12" t="inlineStr">
        <is>
          <t>D</t>
        </is>
      </c>
      <c r="C2684" s="12" t="inlineStr">
        <is>
          <t>Fuel gas</t>
        </is>
      </c>
      <c r="D2684" s="12" t="inlineStr">
        <is>
          <t>Fuel-gas compressor (conditional)</t>
        </is>
      </c>
      <c r="E2684" s="12" t="inlineStr">
        <is>
          <t>SWGR-13.8-3</t>
        </is>
      </c>
      <c r="F2684" s="12" t="inlineStr">
        <is>
          <t>R1 SWGR-13.8-3 (11 x 36 in cubicles, 15 kV metal-clad)</t>
        </is>
      </c>
      <c r="G2684" s="12" t="inlineStr"/>
      <c r="H2684" s="12" t="inlineStr">
        <is>
          <t>CONDITIONAL: fuel-gas compressors</t>
        </is>
      </c>
      <c r="I2684" s="12" t="inlineStr">
        <is>
          <t>MV 15 kV</t>
        </is>
      </c>
      <c r="J2684" s="12" t="inlineStr">
        <is>
          <t>ARMOR-X MC-HL / MV-105 15 kV 3/C Cu, EPR 133%, tape shield, gnd, CWA, red PVC</t>
        </is>
      </c>
      <c r="K2684" s="12" t="inlineStr">
        <is>
          <t>MV15AX|3/C|1/0</t>
        </is>
      </c>
      <c r="L2684" s="12" t="inlineStr">
        <is>
          <t>3/C</t>
        </is>
      </c>
      <c r="M2684" s="12" t="inlineStr">
        <is>
          <t>1/0</t>
        </is>
      </c>
      <c r="N2684" s="12" t="n">
        <v>1</v>
      </c>
      <c r="O2684" s="12" t="n">
        <v>1</v>
      </c>
      <c r="P2684" s="12" t="n">
        <v>13800</v>
      </c>
      <c r="Q2684" s="12" t="n">
        <v>3000</v>
      </c>
      <c r="R2684" s="12" t="n">
        <v>139</v>
      </c>
      <c r="S2684" s="12" t="inlineStr">
        <is>
          <t>Duct bank</t>
        </is>
      </c>
      <c r="T2684" s="16" t="n">
        <v>2380</v>
      </c>
      <c r="U2684" s="16" t="n">
        <v>124</v>
      </c>
      <c r="V2684" s="16">
        <f>ROUNDUP((T2684+U2684+2*'Read Me'!$B$13)*(1+'Read Me'!$B$12),-1)</f>
        <v/>
      </c>
      <c r="W2684" s="16">
        <f>V2684*N2684*O2684</f>
        <v/>
      </c>
      <c r="X2684" s="12">
        <f>IF(LEFT(I2684,2)="MV",2*N2684*IF(L2684="1/C",O2684,1),0)</f>
        <v/>
      </c>
      <c r="Y2684" s="12">
        <f>IF(OR(LEFT(K2684,4)="LVAX",LEFT(K2684,6)="MV15AX",LEFT(K2684,4)="CTAX",LEFT(K2684,2)="W|"),2*N2684*O2684,0)</f>
        <v/>
      </c>
      <c r="Z2684" s="12" t="inlineStr"/>
      <c r="AA2684" s="12">
        <f>N2684*O2684</f>
        <v/>
      </c>
    </row>
    <row r="2685">
      <c r="A2685" s="12" t="inlineStr">
        <is>
          <t>D-MV-0002</t>
        </is>
      </c>
      <c r="B2685" s="12" t="inlineStr">
        <is>
          <t>D</t>
        </is>
      </c>
      <c r="C2685" s="12" t="inlineStr">
        <is>
          <t>Fuel gas</t>
        </is>
      </c>
      <c r="D2685" s="12" t="inlineStr">
        <is>
          <t>Fuel-gas compressor (conditional)</t>
        </is>
      </c>
      <c r="E2685" s="12" t="inlineStr">
        <is>
          <t>SWGR-13.8-3</t>
        </is>
      </c>
      <c r="F2685" s="12" t="inlineStr">
        <is>
          <t>R1 SWGR-13.8-3 (11 x 36 in cubicles, 15 kV metal-clad)</t>
        </is>
      </c>
      <c r="G2685" s="12" t="inlineStr"/>
      <c r="H2685" s="12" t="inlineStr">
        <is>
          <t>CONDITIONAL: fuel-gas compressors</t>
        </is>
      </c>
      <c r="I2685" s="12" t="inlineStr">
        <is>
          <t>MV 15 kV</t>
        </is>
      </c>
      <c r="J2685" s="12" t="inlineStr">
        <is>
          <t>ARMOR-X MC-HL / MV-105 15 kV 3/C Cu, EPR 133%, tape shield, gnd, CWA, red PVC</t>
        </is>
      </c>
      <c r="K2685" s="12" t="inlineStr">
        <is>
          <t>MV15AX|3/C|1/0</t>
        </is>
      </c>
      <c r="L2685" s="12" t="inlineStr">
        <is>
          <t>3/C</t>
        </is>
      </c>
      <c r="M2685" s="12" t="inlineStr">
        <is>
          <t>1/0</t>
        </is>
      </c>
      <c r="N2685" s="12" t="n">
        <v>1</v>
      </c>
      <c r="O2685" s="12" t="n">
        <v>1</v>
      </c>
      <c r="P2685" s="12" t="n">
        <v>13800</v>
      </c>
      <c r="Q2685" s="12" t="n">
        <v>3000</v>
      </c>
      <c r="R2685" s="12" t="n">
        <v>139</v>
      </c>
      <c r="S2685" s="12" t="inlineStr">
        <is>
          <t>Duct bank</t>
        </is>
      </c>
      <c r="T2685" s="16" t="n">
        <v>2380</v>
      </c>
      <c r="U2685" s="16" t="n">
        <v>124</v>
      </c>
      <c r="V2685" s="16">
        <f>ROUNDUP((T2685+U2685+2*'Read Me'!$B$13)*(1+'Read Me'!$B$12),-1)</f>
        <v/>
      </c>
      <c r="W2685" s="16">
        <f>V2685*N2685*O2685</f>
        <v/>
      </c>
      <c r="X2685" s="12">
        <f>IF(LEFT(I2685,2)="MV",2*N2685*IF(L2685="1/C",O2685,1),0)</f>
        <v/>
      </c>
      <c r="Y2685" s="12">
        <f>IF(OR(LEFT(K2685,4)="LVAX",LEFT(K2685,6)="MV15AX",LEFT(K2685,4)="CTAX",LEFT(K2685,2)="W|"),2*N2685*O2685,0)</f>
        <v/>
      </c>
      <c r="Z2685" s="12" t="inlineStr"/>
      <c r="AA2685" s="12">
        <f>N2685*O2685</f>
        <v/>
      </c>
    </row>
    <row r="2686">
      <c r="A2686" s="12" t="inlineStr">
        <is>
          <t>D-MV-0003</t>
        </is>
      </c>
      <c r="B2686" s="12" t="inlineStr">
        <is>
          <t>D</t>
        </is>
      </c>
      <c r="C2686" s="12" t="inlineStr">
        <is>
          <t>Fuel gas</t>
        </is>
      </c>
      <c r="D2686" s="12" t="inlineStr">
        <is>
          <t>Fuel-gas compressor (conditional)</t>
        </is>
      </c>
      <c r="E2686" s="12" t="inlineStr">
        <is>
          <t>SWGR-13.8-3</t>
        </is>
      </c>
      <c r="F2686" s="12" t="inlineStr">
        <is>
          <t>R1 SWGR-13.8-3 (11 x 36 in cubicles, 15 kV metal-clad)</t>
        </is>
      </c>
      <c r="G2686" s="12" t="inlineStr"/>
      <c r="H2686" s="12" t="inlineStr">
        <is>
          <t>CONDITIONAL: fuel-gas compressors</t>
        </is>
      </c>
      <c r="I2686" s="12" t="inlineStr">
        <is>
          <t>MV 15 kV</t>
        </is>
      </c>
      <c r="J2686" s="12" t="inlineStr">
        <is>
          <t>ARMOR-X MC-HL / MV-105 15 kV 3/C Cu, EPR 133%, tape shield, gnd, CWA, red PVC</t>
        </is>
      </c>
      <c r="K2686" s="12" t="inlineStr">
        <is>
          <t>MV15AX|3/C|1/0</t>
        </is>
      </c>
      <c r="L2686" s="12" t="inlineStr">
        <is>
          <t>3/C</t>
        </is>
      </c>
      <c r="M2686" s="12" t="inlineStr">
        <is>
          <t>1/0</t>
        </is>
      </c>
      <c r="N2686" s="12" t="n">
        <v>1</v>
      </c>
      <c r="O2686" s="12" t="n">
        <v>1</v>
      </c>
      <c r="P2686" s="12" t="n">
        <v>13800</v>
      </c>
      <c r="Q2686" s="12" t="n">
        <v>3000</v>
      </c>
      <c r="R2686" s="12" t="n">
        <v>139</v>
      </c>
      <c r="S2686" s="12" t="inlineStr">
        <is>
          <t>Duct bank</t>
        </is>
      </c>
      <c r="T2686" s="16" t="n">
        <v>2380</v>
      </c>
      <c r="U2686" s="16" t="n">
        <v>124</v>
      </c>
      <c r="V2686" s="16">
        <f>ROUNDUP((T2686+U2686+2*'Read Me'!$B$13)*(1+'Read Me'!$B$12),-1)</f>
        <v/>
      </c>
      <c r="W2686" s="16">
        <f>V2686*N2686*O2686</f>
        <v/>
      </c>
      <c r="X2686" s="12">
        <f>IF(LEFT(I2686,2)="MV",2*N2686*IF(L2686="1/C",O2686,1),0)</f>
        <v/>
      </c>
      <c r="Y2686" s="12">
        <f>IF(OR(LEFT(K2686,4)="LVAX",LEFT(K2686,6)="MV15AX",LEFT(K2686,4)="CTAX",LEFT(K2686,2)="W|"),2*N2686*O2686,0)</f>
        <v/>
      </c>
      <c r="Z2686" s="12" t="inlineStr"/>
      <c r="AA2686" s="12">
        <f>N2686*O2686</f>
        <v/>
      </c>
    </row>
    <row r="2687">
      <c r="A2687" s="12" t="inlineStr">
        <is>
          <t>E-L-0001</t>
        </is>
      </c>
      <c r="B2687" s="12" t="inlineStr">
        <is>
          <t>E</t>
        </is>
      </c>
      <c r="C2687" s="12" t="inlineStr">
        <is>
          <t>Water / utilities</t>
        </is>
      </c>
      <c r="D2687" s="12" t="inlineStr">
        <is>
          <t>Lighting, receptacles and small power branch circuits (allowance)</t>
        </is>
      </c>
      <c r="E2687" s="12" t="inlineStr"/>
      <c r="F2687" s="12" t="inlineStr">
        <is>
          <t>Fire pump house</t>
        </is>
      </c>
      <c r="G2687" s="12" t="inlineStr"/>
      <c r="H2687" s="12" t="inlineStr">
        <is>
          <t>Fire pump house</t>
        </is>
      </c>
      <c r="I2687" s="12" t="inlineStr">
        <is>
          <t>Building wire</t>
        </is>
      </c>
      <c r="J2687" s="12" t="inlineStr">
        <is>
          <t>SIMpull THHN/THWN-2 600 V 1/C Cu (lighting, receptacles, small power)</t>
        </is>
      </c>
      <c r="K2687" s="12" t="inlineStr">
        <is>
          <t>THHN|1/C|12</t>
        </is>
      </c>
      <c r="L2687" s="12" t="inlineStr">
        <is>
          <t>1/C</t>
        </is>
      </c>
      <c r="M2687" s="12" t="inlineStr">
        <is>
          <t>12</t>
        </is>
      </c>
      <c r="N2687" s="12" t="n">
        <v>1</v>
      </c>
      <c r="O2687" s="12" t="n">
        <v>1</v>
      </c>
      <c r="P2687" s="12" t="n">
        <v>277</v>
      </c>
      <c r="Q2687" s="12" t="n"/>
      <c r="R2687" s="12" t="n"/>
      <c r="S2687" s="12" t="inlineStr">
        <is>
          <t>Conduit</t>
        </is>
      </c>
      <c r="T2687" s="16" t="n">
        <v>1920</v>
      </c>
      <c r="U2687" s="16" t="n">
        <v>0</v>
      </c>
      <c r="V2687" s="16">
        <f>ROUNDUP((T2687+U2687+2*'Read Me'!$B$13)*(1+'Read Me'!$B$12),-1)</f>
        <v/>
      </c>
      <c r="W2687" s="16">
        <f>V2687*N2687*O2687</f>
        <v/>
      </c>
      <c r="X2687" s="12">
        <f>IF(LEFT(I2687,2)="MV",2*N2687*IF(L2687="1/C",O2687,1),0)</f>
        <v/>
      </c>
      <c r="Y2687" s="12">
        <f>IF(OR(LEFT(K2687,4)="LVAX",LEFT(K2687,6)="MV15AX",LEFT(K2687,4)="CTAX",LEFT(K2687,2)="W|"),2*N2687*O2687,0)</f>
        <v/>
      </c>
      <c r="Z2687" s="12" t="inlineStr">
        <is>
          <t>allowance: 1.6 ft of conductor per ft2 of floor</t>
        </is>
      </c>
      <c r="AA2687" s="12">
        <f>N2687*O2687</f>
        <v/>
      </c>
    </row>
    <row r="2688">
      <c r="A2688" s="12" t="inlineStr">
        <is>
          <t>E-L-0002</t>
        </is>
      </c>
      <c r="B2688" s="12" t="inlineStr">
        <is>
          <t>E</t>
        </is>
      </c>
      <c r="C2688" s="12" t="inlineStr">
        <is>
          <t>Water / utilities</t>
        </is>
      </c>
      <c r="D2688" s="12" t="inlineStr">
        <is>
          <t>Lighting, receptacles and small power branch circuits (allowance)</t>
        </is>
      </c>
      <c r="E2688" s="12" t="inlineStr">
        <is>
          <t>R-WT</t>
        </is>
      </c>
      <c r="F2688" s="12" t="inlineStr">
        <is>
          <t>Water treatment building (incl. R-WT electrical room)</t>
        </is>
      </c>
      <c r="G2688" s="12" t="inlineStr">
        <is>
          <t>R-WT</t>
        </is>
      </c>
      <c r="H2688" s="12" t="inlineStr">
        <is>
          <t>Water treatment building (incl. R-WT electrical room)</t>
        </is>
      </c>
      <c r="I2688" s="12" t="inlineStr">
        <is>
          <t>Building wire</t>
        </is>
      </c>
      <c r="J2688" s="12" t="inlineStr">
        <is>
          <t>SIMpull THHN/THWN-2 600 V 1/C Cu (lighting, receptacles, small power)</t>
        </is>
      </c>
      <c r="K2688" s="12" t="inlineStr">
        <is>
          <t>THHN|1/C|12</t>
        </is>
      </c>
      <c r="L2688" s="12" t="inlineStr">
        <is>
          <t>1/C</t>
        </is>
      </c>
      <c r="M2688" s="12" t="inlineStr">
        <is>
          <t>12</t>
        </is>
      </c>
      <c r="N2688" s="12" t="n">
        <v>1</v>
      </c>
      <c r="O2688" s="12" t="n">
        <v>1</v>
      </c>
      <c r="P2688" s="12" t="n">
        <v>277</v>
      </c>
      <c r="Q2688" s="12" t="n"/>
      <c r="R2688" s="12" t="n"/>
      <c r="S2688" s="12" t="inlineStr">
        <is>
          <t>Conduit</t>
        </is>
      </c>
      <c r="T2688" s="16" t="n">
        <v>21760</v>
      </c>
      <c r="U2688" s="16" t="n">
        <v>0</v>
      </c>
      <c r="V2688" s="16">
        <f>ROUNDUP((T2688+U2688+2*'Read Me'!$B$13)*(1+'Read Me'!$B$12),-1)</f>
        <v/>
      </c>
      <c r="W2688" s="16">
        <f>V2688*N2688*O2688</f>
        <v/>
      </c>
      <c r="X2688" s="12">
        <f>IF(LEFT(I2688,2)="MV",2*N2688*IF(L2688="1/C",O2688,1),0)</f>
        <v/>
      </c>
      <c r="Y2688" s="12">
        <f>IF(OR(LEFT(K2688,4)="LVAX",LEFT(K2688,6)="MV15AX",LEFT(K2688,4)="CTAX",LEFT(K2688,2)="W|"),2*N2688*O2688,0)</f>
        <v/>
      </c>
      <c r="Z2688" s="12" t="inlineStr">
        <is>
          <t>allowance: 1.6 ft of conductor per ft2 of floor</t>
        </is>
      </c>
      <c r="AA2688" s="12">
        <f>N2688*O2688</f>
        <v/>
      </c>
    </row>
    <row r="2689">
      <c r="A2689" s="12" t="inlineStr">
        <is>
          <t>E-C-0001</t>
        </is>
      </c>
      <c r="B2689" s="12" t="inlineStr">
        <is>
          <t>E</t>
        </is>
      </c>
      <c r="C2689" s="12" t="inlineStr">
        <is>
          <t>Water / utilities</t>
        </is>
      </c>
      <c r="D2689" s="12" t="inlineStr">
        <is>
          <t>Motor 1 of 2: control / local station</t>
        </is>
      </c>
      <c r="E2689" s="12" t="inlineStr">
        <is>
          <t>MCC-C2</t>
        </is>
      </c>
      <c r="F2689" s="12" t="inlineStr">
        <is>
          <t>R1 MCC-C2</t>
        </is>
      </c>
      <c r="G2689" s="12" t="inlineStr"/>
      <c r="H2689" s="12" t="inlineStr">
        <is>
          <t>Ammonia storage (aqueous, SCR reagent)</t>
        </is>
      </c>
      <c r="I2689" s="12" t="inlineStr">
        <is>
          <t>Control</t>
        </is>
      </c>
      <c r="J2689" s="12" t="inlineStr">
        <is>
          <t>Control cable 600 V Type TC-ER, Cu #14 AWG, PVC jacket</t>
        </is>
      </c>
      <c r="K2689" s="12" t="inlineStr">
        <is>
          <t>CT|7/C|14</t>
        </is>
      </c>
      <c r="L2689" s="12" t="inlineStr">
        <is>
          <t>7/C</t>
        </is>
      </c>
      <c r="M2689" s="12" t="inlineStr">
        <is>
          <t>14</t>
        </is>
      </c>
      <c r="N2689" s="12" t="n">
        <v>1</v>
      </c>
      <c r="O2689" s="12" t="n">
        <v>1</v>
      </c>
      <c r="P2689" s="12" t="n"/>
      <c r="Q2689" s="12" t="n"/>
      <c r="R2689" s="12" t="n"/>
      <c r="S2689" s="12" t="inlineStr">
        <is>
          <t>Duct bank</t>
        </is>
      </c>
      <c r="T2689" s="16" t="n">
        <v>2010</v>
      </c>
      <c r="U2689" s="16" t="n">
        <v>145</v>
      </c>
      <c r="V2689" s="16">
        <f>ROUNDUP((T2689+U2689+2*'Read Me'!$B$13)*(1+'Read Me'!$B$12),-1)</f>
        <v/>
      </c>
      <c r="W2689" s="16">
        <f>V2689*N2689*O2689</f>
        <v/>
      </c>
      <c r="X2689" s="12">
        <f>IF(LEFT(I2689,2)="MV",2*N2689*IF(L2689="1/C",O2689,1),0)</f>
        <v/>
      </c>
      <c r="Y2689" s="12">
        <f>IF(OR(LEFT(K2689,4)="LVAX",LEFT(K2689,6)="MV15AX",LEFT(K2689,4)="CTAX",LEFT(K2689,2)="W|"),2*N2689*O2689,0)</f>
        <v/>
      </c>
      <c r="Z2689" s="12" t="inlineStr"/>
      <c r="AA2689" s="12">
        <f>N2689*O2689</f>
        <v/>
      </c>
    </row>
    <row r="2690">
      <c r="A2690" s="12" t="inlineStr">
        <is>
          <t>E-C-0002</t>
        </is>
      </c>
      <c r="B2690" s="12" t="inlineStr">
        <is>
          <t>E</t>
        </is>
      </c>
      <c r="C2690" s="12" t="inlineStr">
        <is>
          <t>Water / utilities</t>
        </is>
      </c>
      <c r="D2690" s="12" t="inlineStr">
        <is>
          <t>Motor 2 of 2: control / local station</t>
        </is>
      </c>
      <c r="E2690" s="12" t="inlineStr">
        <is>
          <t>MCC-C2</t>
        </is>
      </c>
      <c r="F2690" s="12" t="inlineStr">
        <is>
          <t>R1 MCC-C2</t>
        </is>
      </c>
      <c r="G2690" s="12" t="inlineStr"/>
      <c r="H2690" s="12" t="inlineStr">
        <is>
          <t>Ammonia storage (aqueous, SCR reagent)</t>
        </is>
      </c>
      <c r="I2690" s="12" t="inlineStr">
        <is>
          <t>Control</t>
        </is>
      </c>
      <c r="J2690" s="12" t="inlineStr">
        <is>
          <t>Control cable 600 V Type TC-ER, Cu #14 AWG, PVC jacket</t>
        </is>
      </c>
      <c r="K2690" s="12" t="inlineStr">
        <is>
          <t>CT|7/C|14</t>
        </is>
      </c>
      <c r="L2690" s="12" t="inlineStr">
        <is>
          <t>7/C</t>
        </is>
      </c>
      <c r="M2690" s="12" t="inlineStr">
        <is>
          <t>14</t>
        </is>
      </c>
      <c r="N2690" s="12" t="n">
        <v>1</v>
      </c>
      <c r="O2690" s="12" t="n">
        <v>1</v>
      </c>
      <c r="P2690" s="12" t="n"/>
      <c r="Q2690" s="12" t="n"/>
      <c r="R2690" s="12" t="n"/>
      <c r="S2690" s="12" t="inlineStr">
        <is>
          <t>Duct bank</t>
        </is>
      </c>
      <c r="T2690" s="16" t="n">
        <v>2010</v>
      </c>
      <c r="U2690" s="16" t="n">
        <v>145</v>
      </c>
      <c r="V2690" s="16">
        <f>ROUNDUP((T2690+U2690+2*'Read Me'!$B$13)*(1+'Read Me'!$B$12),-1)</f>
        <v/>
      </c>
      <c r="W2690" s="16">
        <f>V2690*N2690*O2690</f>
        <v/>
      </c>
      <c r="X2690" s="12">
        <f>IF(LEFT(I2690,2)="MV",2*N2690*IF(L2690="1/C",O2690,1),0)</f>
        <v/>
      </c>
      <c r="Y2690" s="12">
        <f>IF(OR(LEFT(K2690,4)="LVAX",LEFT(K2690,6)="MV15AX",LEFT(K2690,4)="CTAX",LEFT(K2690,2)="W|"),2*N2690*O2690,0)</f>
        <v/>
      </c>
      <c r="Z2690" s="12" t="inlineStr"/>
      <c r="AA2690" s="12">
        <f>N2690*O2690</f>
        <v/>
      </c>
    </row>
    <row r="2691">
      <c r="A2691" s="12" t="inlineStr">
        <is>
          <t>E-C-0003</t>
        </is>
      </c>
      <c r="B2691" s="12" t="inlineStr">
        <is>
          <t>E</t>
        </is>
      </c>
      <c r="C2691" s="12" t="inlineStr">
        <is>
          <t>Water / utilities</t>
        </is>
      </c>
      <c r="D2691" s="12" t="inlineStr">
        <is>
          <t>Motor 1 of 3: control / local station</t>
        </is>
      </c>
      <c r="E2691" s="12" t="inlineStr">
        <is>
          <t>MCC-C2</t>
        </is>
      </c>
      <c r="F2691" s="12" t="inlineStr">
        <is>
          <t>R1 MCC-C2</t>
        </is>
      </c>
      <c r="G2691" s="12" t="inlineStr"/>
      <c r="H2691" s="12" t="inlineStr">
        <is>
          <t>Auxiliary boiler</t>
        </is>
      </c>
      <c r="I2691" s="12" t="inlineStr">
        <is>
          <t>Control</t>
        </is>
      </c>
      <c r="J2691" s="12" t="inlineStr">
        <is>
          <t>Control cable 600 V Type TC-ER, Cu #14 AWG, PVC jacket</t>
        </is>
      </c>
      <c r="K2691" s="12" t="inlineStr">
        <is>
          <t>CT|7/C|14</t>
        </is>
      </c>
      <c r="L2691" s="12" t="inlineStr">
        <is>
          <t>7/C</t>
        </is>
      </c>
      <c r="M2691" s="12" t="inlineStr">
        <is>
          <t>14</t>
        </is>
      </c>
      <c r="N2691" s="12" t="n">
        <v>1</v>
      </c>
      <c r="O2691" s="12" t="n">
        <v>1</v>
      </c>
      <c r="P2691" s="12" t="n"/>
      <c r="Q2691" s="12" t="n"/>
      <c r="R2691" s="12" t="n"/>
      <c r="S2691" s="12" t="inlineStr">
        <is>
          <t>Duct bank</t>
        </is>
      </c>
      <c r="T2691" s="16" t="n">
        <v>2089</v>
      </c>
      <c r="U2691" s="16" t="n">
        <v>165</v>
      </c>
      <c r="V2691" s="16">
        <f>ROUNDUP((T2691+U2691+2*'Read Me'!$B$13)*(1+'Read Me'!$B$12),-1)</f>
        <v/>
      </c>
      <c r="W2691" s="16">
        <f>V2691*N2691*O2691</f>
        <v/>
      </c>
      <c r="X2691" s="12">
        <f>IF(LEFT(I2691,2)="MV",2*N2691*IF(L2691="1/C",O2691,1),0)</f>
        <v/>
      </c>
      <c r="Y2691" s="12">
        <f>IF(OR(LEFT(K2691,4)="LVAX",LEFT(K2691,6)="MV15AX",LEFT(K2691,4)="CTAX",LEFT(K2691,2)="W|"),2*N2691*O2691,0)</f>
        <v/>
      </c>
      <c r="Z2691" s="12" t="inlineStr"/>
      <c r="AA2691" s="12">
        <f>N2691*O2691</f>
        <v/>
      </c>
    </row>
    <row r="2692">
      <c r="A2692" s="12" t="inlineStr">
        <is>
          <t>E-C-0004</t>
        </is>
      </c>
      <c r="B2692" s="12" t="inlineStr">
        <is>
          <t>E</t>
        </is>
      </c>
      <c r="C2692" s="12" t="inlineStr">
        <is>
          <t>Water / utilities</t>
        </is>
      </c>
      <c r="D2692" s="12" t="inlineStr">
        <is>
          <t>Motor 2 of 3: control / local station</t>
        </is>
      </c>
      <c r="E2692" s="12" t="inlineStr">
        <is>
          <t>MCC-C2</t>
        </is>
      </c>
      <c r="F2692" s="12" t="inlineStr">
        <is>
          <t>R1 MCC-C2</t>
        </is>
      </c>
      <c r="G2692" s="12" t="inlineStr"/>
      <c r="H2692" s="12" t="inlineStr">
        <is>
          <t>Auxiliary boiler</t>
        </is>
      </c>
      <c r="I2692" s="12" t="inlineStr">
        <is>
          <t>Control</t>
        </is>
      </c>
      <c r="J2692" s="12" t="inlineStr">
        <is>
          <t>Control cable 600 V Type TC-ER, Cu #14 AWG, PVC jacket</t>
        </is>
      </c>
      <c r="K2692" s="12" t="inlineStr">
        <is>
          <t>CT|7/C|14</t>
        </is>
      </c>
      <c r="L2692" s="12" t="inlineStr">
        <is>
          <t>7/C</t>
        </is>
      </c>
      <c r="M2692" s="12" t="inlineStr">
        <is>
          <t>14</t>
        </is>
      </c>
      <c r="N2692" s="12" t="n">
        <v>1</v>
      </c>
      <c r="O2692" s="12" t="n">
        <v>1</v>
      </c>
      <c r="P2692" s="12" t="n"/>
      <c r="Q2692" s="12" t="n"/>
      <c r="R2692" s="12" t="n"/>
      <c r="S2692" s="12" t="inlineStr">
        <is>
          <t>Duct bank</t>
        </is>
      </c>
      <c r="T2692" s="16" t="n">
        <v>2089</v>
      </c>
      <c r="U2692" s="16" t="n">
        <v>165</v>
      </c>
      <c r="V2692" s="16">
        <f>ROUNDUP((T2692+U2692+2*'Read Me'!$B$13)*(1+'Read Me'!$B$12),-1)</f>
        <v/>
      </c>
      <c r="W2692" s="16">
        <f>V2692*N2692*O2692</f>
        <v/>
      </c>
      <c r="X2692" s="12">
        <f>IF(LEFT(I2692,2)="MV",2*N2692*IF(L2692="1/C",O2692,1),0)</f>
        <v/>
      </c>
      <c r="Y2692" s="12">
        <f>IF(OR(LEFT(K2692,4)="LVAX",LEFT(K2692,6)="MV15AX",LEFT(K2692,4)="CTAX",LEFT(K2692,2)="W|"),2*N2692*O2692,0)</f>
        <v/>
      </c>
      <c r="Z2692" s="12" t="inlineStr"/>
      <c r="AA2692" s="12">
        <f>N2692*O2692</f>
        <v/>
      </c>
    </row>
    <row r="2693">
      <c r="A2693" s="12" t="inlineStr">
        <is>
          <t>E-C-0005</t>
        </is>
      </c>
      <c r="B2693" s="12" t="inlineStr">
        <is>
          <t>E</t>
        </is>
      </c>
      <c r="C2693" s="12" t="inlineStr">
        <is>
          <t>Water / utilities</t>
        </is>
      </c>
      <c r="D2693" s="12" t="inlineStr">
        <is>
          <t>Motor 3 of 3: control / local station</t>
        </is>
      </c>
      <c r="E2693" s="12" t="inlineStr">
        <is>
          <t>MCC-C2</t>
        </is>
      </c>
      <c r="F2693" s="12" t="inlineStr">
        <is>
          <t>R1 MCC-C2</t>
        </is>
      </c>
      <c r="G2693" s="12" t="inlineStr"/>
      <c r="H2693" s="12" t="inlineStr">
        <is>
          <t>Auxiliary boiler</t>
        </is>
      </c>
      <c r="I2693" s="12" t="inlineStr">
        <is>
          <t>Control</t>
        </is>
      </c>
      <c r="J2693" s="12" t="inlineStr">
        <is>
          <t>Control cable 600 V Type TC-ER, Cu #14 AWG, PVC jacket</t>
        </is>
      </c>
      <c r="K2693" s="12" t="inlineStr">
        <is>
          <t>CT|7/C|14</t>
        </is>
      </c>
      <c r="L2693" s="12" t="inlineStr">
        <is>
          <t>7/C</t>
        </is>
      </c>
      <c r="M2693" s="12" t="inlineStr">
        <is>
          <t>14</t>
        </is>
      </c>
      <c r="N2693" s="12" t="n">
        <v>1</v>
      </c>
      <c r="O2693" s="12" t="n">
        <v>1</v>
      </c>
      <c r="P2693" s="12" t="n"/>
      <c r="Q2693" s="12" t="n"/>
      <c r="R2693" s="12" t="n"/>
      <c r="S2693" s="12" t="inlineStr">
        <is>
          <t>Duct bank</t>
        </is>
      </c>
      <c r="T2693" s="16" t="n">
        <v>2089</v>
      </c>
      <c r="U2693" s="16" t="n">
        <v>165</v>
      </c>
      <c r="V2693" s="16">
        <f>ROUNDUP((T2693+U2693+2*'Read Me'!$B$13)*(1+'Read Me'!$B$12),-1)</f>
        <v/>
      </c>
      <c r="W2693" s="16">
        <f>V2693*N2693*O2693</f>
        <v/>
      </c>
      <c r="X2693" s="12">
        <f>IF(LEFT(I2693,2)="MV",2*N2693*IF(L2693="1/C",O2693,1),0)</f>
        <v/>
      </c>
      <c r="Y2693" s="12">
        <f>IF(OR(LEFT(K2693,4)="LVAX",LEFT(K2693,6)="MV15AX",LEFT(K2693,4)="CTAX",LEFT(K2693,2)="W|"),2*N2693*O2693,0)</f>
        <v/>
      </c>
      <c r="Z2693" s="12" t="inlineStr"/>
      <c r="AA2693" s="12">
        <f>N2693*O2693</f>
        <v/>
      </c>
    </row>
    <row r="2694">
      <c r="A2694" s="12" t="inlineStr">
        <is>
          <t>E-C-0006</t>
        </is>
      </c>
      <c r="B2694" s="12" t="inlineStr">
        <is>
          <t>E</t>
        </is>
      </c>
      <c r="C2694" s="12" t="inlineStr">
        <is>
          <t>Water / utilities</t>
        </is>
      </c>
      <c r="D2694" s="12" t="inlineStr">
        <is>
          <t>Control</t>
        </is>
      </c>
      <c r="E2694" s="12" t="inlineStr">
        <is>
          <t>R-WT</t>
        </is>
      </c>
      <c r="F2694" s="12" t="inlineStr">
        <is>
          <t>Water treatment building (incl. R-WT electrical room)</t>
        </is>
      </c>
      <c r="G2694" s="12" t="inlineStr">
        <is>
          <t>CPR-2</t>
        </is>
      </c>
      <c r="H2694" s="12" t="inlineStr">
        <is>
          <t>CPR-2: cathodic-protection rectifier</t>
        </is>
      </c>
      <c r="I2694" s="12" t="inlineStr">
        <is>
          <t>Control</t>
        </is>
      </c>
      <c r="J2694" s="12" t="inlineStr">
        <is>
          <t>Control cable 600 V Type TC-ER, Cu #14 AWG, PVC jacket</t>
        </is>
      </c>
      <c r="K2694" s="12" t="inlineStr">
        <is>
          <t>CT|7/C|14</t>
        </is>
      </c>
      <c r="L2694" s="12" t="inlineStr">
        <is>
          <t>7/C</t>
        </is>
      </c>
      <c r="M2694" s="12" t="inlineStr">
        <is>
          <t>14</t>
        </is>
      </c>
      <c r="N2694" s="12" t="n">
        <v>1</v>
      </c>
      <c r="O2694" s="12" t="n">
        <v>1</v>
      </c>
      <c r="P2694" s="12" t="n"/>
      <c r="Q2694" s="12" t="n"/>
      <c r="R2694" s="12" t="n"/>
      <c r="S2694" s="12" t="inlineStr">
        <is>
          <t>Duct bank</t>
        </is>
      </c>
      <c r="T2694" s="16" t="n">
        <v>115</v>
      </c>
      <c r="U2694" s="16" t="n">
        <v>96</v>
      </c>
      <c r="V2694" s="16">
        <f>ROUNDUP((T2694+U2694+2*'Read Me'!$B$13)*(1+'Read Me'!$B$12),-1)</f>
        <v/>
      </c>
      <c r="W2694" s="16">
        <f>V2694*N2694*O2694</f>
        <v/>
      </c>
      <c r="X2694" s="12">
        <f>IF(LEFT(I2694,2)="MV",2*N2694*IF(L2694="1/C",O2694,1),0)</f>
        <v/>
      </c>
      <c r="Y2694" s="12">
        <f>IF(OR(LEFT(K2694,4)="LVAX",LEFT(K2694,6)="MV15AX",LEFT(K2694,4)="CTAX",LEFT(K2694,2)="W|"),2*N2694*O2694,0)</f>
        <v/>
      </c>
      <c r="Z2694" s="12" t="inlineStr"/>
      <c r="AA2694" s="12">
        <f>N2694*O2694</f>
        <v/>
      </c>
    </row>
    <row r="2695">
      <c r="A2695" s="12" t="inlineStr">
        <is>
          <t>E-C-0007</t>
        </is>
      </c>
      <c r="B2695" s="12" t="inlineStr">
        <is>
          <t>E</t>
        </is>
      </c>
      <c r="C2695" s="12" t="inlineStr">
        <is>
          <t>Water / utilities</t>
        </is>
      </c>
      <c r="D2695" s="12" t="inlineStr">
        <is>
          <t>Motor 1 of 1: control / local station</t>
        </is>
      </c>
      <c r="E2695" s="12" t="inlineStr">
        <is>
          <t>MCC-C2</t>
        </is>
      </c>
      <c r="F2695" s="12" t="inlineStr">
        <is>
          <t>R1 MCC-C2</t>
        </is>
      </c>
      <c r="G2695" s="12" t="inlineStr"/>
      <c r="H2695" s="12" t="inlineStr">
        <is>
          <t>Fire pump house</t>
        </is>
      </c>
      <c r="I2695" s="12" t="inlineStr">
        <is>
          <t>Control</t>
        </is>
      </c>
      <c r="J2695" s="12" t="inlineStr">
        <is>
          <t>Control cable 600 V Type TC-ER, Cu #14 AWG, PVC jacket</t>
        </is>
      </c>
      <c r="K2695" s="12" t="inlineStr">
        <is>
          <t>CT|7/C|14</t>
        </is>
      </c>
      <c r="L2695" s="12" t="inlineStr">
        <is>
          <t>7/C</t>
        </is>
      </c>
      <c r="M2695" s="12" t="inlineStr">
        <is>
          <t>14</t>
        </is>
      </c>
      <c r="N2695" s="12" t="n">
        <v>1</v>
      </c>
      <c r="O2695" s="12" t="n">
        <v>1</v>
      </c>
      <c r="P2695" s="12" t="n"/>
      <c r="Q2695" s="12" t="n"/>
      <c r="R2695" s="12" t="n"/>
      <c r="S2695" s="12" t="inlineStr">
        <is>
          <t>Duct bank</t>
        </is>
      </c>
      <c r="T2695" s="16" t="n">
        <v>2004</v>
      </c>
      <c r="U2695" s="16" t="n">
        <v>209</v>
      </c>
      <c r="V2695" s="16">
        <f>ROUNDUP((T2695+U2695+2*'Read Me'!$B$13)*(1+'Read Me'!$B$12),-1)</f>
        <v/>
      </c>
      <c r="W2695" s="16">
        <f>V2695*N2695*O2695</f>
        <v/>
      </c>
      <c r="X2695" s="12">
        <f>IF(LEFT(I2695,2)="MV",2*N2695*IF(L2695="1/C",O2695,1),0)</f>
        <v/>
      </c>
      <c r="Y2695" s="12">
        <f>IF(OR(LEFT(K2695,4)="LVAX",LEFT(K2695,6)="MV15AX",LEFT(K2695,4)="CTAX",LEFT(K2695,2)="W|"),2*N2695*O2695,0)</f>
        <v/>
      </c>
      <c r="Z2695" s="12" t="inlineStr"/>
      <c r="AA2695" s="12">
        <f>N2695*O2695</f>
        <v/>
      </c>
    </row>
    <row r="2696">
      <c r="A2696" s="12" t="inlineStr">
        <is>
          <t>E-C-0008</t>
        </is>
      </c>
      <c r="B2696" s="12" t="inlineStr">
        <is>
          <t>E</t>
        </is>
      </c>
      <c r="C2696" s="12" t="inlineStr">
        <is>
          <t>Water / utilities</t>
        </is>
      </c>
      <c r="D2696" s="12" t="inlineStr">
        <is>
          <t>Motor 1 of 1: control / local station</t>
        </is>
      </c>
      <c r="E2696" s="12" t="inlineStr">
        <is>
          <t>MCC-C2</t>
        </is>
      </c>
      <c r="F2696" s="12" t="inlineStr">
        <is>
          <t>R1 MCC-C2</t>
        </is>
      </c>
      <c r="G2696" s="12" t="inlineStr"/>
      <c r="H2696" s="12" t="inlineStr">
        <is>
          <t>Fire pump house</t>
        </is>
      </c>
      <c r="I2696" s="12" t="inlineStr">
        <is>
          <t>Control</t>
        </is>
      </c>
      <c r="J2696" s="12" t="inlineStr">
        <is>
          <t>Control cable 600 V Type TC-ER, Cu #14 AWG, PVC jacket</t>
        </is>
      </c>
      <c r="K2696" s="12" t="inlineStr">
        <is>
          <t>CT|7/C|14</t>
        </is>
      </c>
      <c r="L2696" s="12" t="inlineStr">
        <is>
          <t>7/C</t>
        </is>
      </c>
      <c r="M2696" s="12" t="inlineStr">
        <is>
          <t>14</t>
        </is>
      </c>
      <c r="N2696" s="12" t="n">
        <v>1</v>
      </c>
      <c r="O2696" s="12" t="n">
        <v>1</v>
      </c>
      <c r="P2696" s="12" t="n"/>
      <c r="Q2696" s="12" t="n"/>
      <c r="R2696" s="12" t="n"/>
      <c r="S2696" s="12" t="inlineStr">
        <is>
          <t>Duct bank</t>
        </is>
      </c>
      <c r="T2696" s="16" t="n">
        <v>2004</v>
      </c>
      <c r="U2696" s="16" t="n">
        <v>209</v>
      </c>
      <c r="V2696" s="16">
        <f>ROUNDUP((T2696+U2696+2*'Read Me'!$B$13)*(1+'Read Me'!$B$12),-1)</f>
        <v/>
      </c>
      <c r="W2696" s="16">
        <f>V2696*N2696*O2696</f>
        <v/>
      </c>
      <c r="X2696" s="12">
        <f>IF(LEFT(I2696,2)="MV",2*N2696*IF(L2696="1/C",O2696,1),0)</f>
        <v/>
      </c>
      <c r="Y2696" s="12">
        <f>IF(OR(LEFT(K2696,4)="LVAX",LEFT(K2696,6)="MV15AX",LEFT(K2696,4)="CTAX",LEFT(K2696,2)="W|"),2*N2696*O2696,0)</f>
        <v/>
      </c>
      <c r="Z2696" s="12" t="inlineStr"/>
      <c r="AA2696" s="12">
        <f>N2696*O2696</f>
        <v/>
      </c>
    </row>
    <row r="2697">
      <c r="A2697" s="12" t="inlineStr">
        <is>
          <t>E-C-0009</t>
        </is>
      </c>
      <c r="B2697" s="12" t="inlineStr">
        <is>
          <t>E</t>
        </is>
      </c>
      <c r="C2697" s="12" t="inlineStr">
        <is>
          <t>Water / utilities</t>
        </is>
      </c>
      <c r="D2697" s="12" t="inlineStr">
        <is>
          <t>Control</t>
        </is>
      </c>
      <c r="E2697" s="12" t="inlineStr">
        <is>
          <t>R-WT</t>
        </is>
      </c>
      <c r="F2697" s="12" t="inlineStr">
        <is>
          <t>Water treatment building (incl. R-WT electrical room)</t>
        </is>
      </c>
      <c r="G2697" s="12" t="inlineStr">
        <is>
          <t>HTP-2</t>
        </is>
      </c>
      <c r="H2697" s="12" t="inlineStr">
        <is>
          <t>HTP-2: heat-trace panel (NH3)</t>
        </is>
      </c>
      <c r="I2697" s="12" t="inlineStr">
        <is>
          <t>Control</t>
        </is>
      </c>
      <c r="J2697" s="12" t="inlineStr">
        <is>
          <t>Control cable 600 V Type TC-ER, Cu #14 AWG, PVC jacket</t>
        </is>
      </c>
      <c r="K2697" s="12" t="inlineStr">
        <is>
          <t>CT|7/C|14</t>
        </is>
      </c>
      <c r="L2697" s="12" t="inlineStr">
        <is>
          <t>7/C</t>
        </is>
      </c>
      <c r="M2697" s="12" t="inlineStr">
        <is>
          <t>14</t>
        </is>
      </c>
      <c r="N2697" s="12" t="n">
        <v>1</v>
      </c>
      <c r="O2697" s="12" t="n">
        <v>1</v>
      </c>
      <c r="P2697" s="12" t="n"/>
      <c r="Q2697" s="12" t="n"/>
      <c r="R2697" s="12" t="n"/>
      <c r="S2697" s="12" t="inlineStr">
        <is>
          <t>Duct bank</t>
        </is>
      </c>
      <c r="T2697" s="16" t="n">
        <v>292</v>
      </c>
      <c r="U2697" s="16" t="n">
        <v>108</v>
      </c>
      <c r="V2697" s="16">
        <f>ROUNDUP((T2697+U2697+2*'Read Me'!$B$13)*(1+'Read Me'!$B$12),-1)</f>
        <v/>
      </c>
      <c r="W2697" s="16">
        <f>V2697*N2697*O2697</f>
        <v/>
      </c>
      <c r="X2697" s="12">
        <f>IF(LEFT(I2697,2)="MV",2*N2697*IF(L2697="1/C",O2697,1),0)</f>
        <v/>
      </c>
      <c r="Y2697" s="12">
        <f>IF(OR(LEFT(K2697,4)="LVAX",LEFT(K2697,6)="MV15AX",LEFT(K2697,4)="CTAX",LEFT(K2697,2)="W|"),2*N2697*O2697,0)</f>
        <v/>
      </c>
      <c r="Z2697" s="12" t="inlineStr"/>
      <c r="AA2697" s="12">
        <f>N2697*O2697</f>
        <v/>
      </c>
    </row>
    <row r="2698">
      <c r="A2698" s="12" t="inlineStr">
        <is>
          <t>E-C-0010</t>
        </is>
      </c>
      <c r="B2698" s="12" t="inlineStr">
        <is>
          <t>E</t>
        </is>
      </c>
      <c r="C2698" s="12" t="inlineStr">
        <is>
          <t>Water / utilities</t>
        </is>
      </c>
      <c r="D2698" s="12" t="inlineStr">
        <is>
          <t>Motor 1 of 2: control / local station</t>
        </is>
      </c>
      <c r="E2698" s="12" t="inlineStr">
        <is>
          <t>MCC-C2</t>
        </is>
      </c>
      <c r="F2698" s="12" t="inlineStr">
        <is>
          <t>R1 MCC-C2</t>
        </is>
      </c>
      <c r="G2698" s="12" t="inlineStr"/>
      <c r="H2698" s="12" t="inlineStr">
        <is>
          <t>Oil-water separator</t>
        </is>
      </c>
      <c r="I2698" s="12" t="inlineStr">
        <is>
          <t>Control</t>
        </is>
      </c>
      <c r="J2698" s="12" t="inlineStr">
        <is>
          <t>Control cable 600 V Type TC-ER, Cu #14 AWG, PVC jacket</t>
        </is>
      </c>
      <c r="K2698" s="12" t="inlineStr">
        <is>
          <t>CT|7/C|14</t>
        </is>
      </c>
      <c r="L2698" s="12" t="inlineStr">
        <is>
          <t>7/C</t>
        </is>
      </c>
      <c r="M2698" s="12" t="inlineStr">
        <is>
          <t>14</t>
        </is>
      </c>
      <c r="N2698" s="12" t="n">
        <v>1</v>
      </c>
      <c r="O2698" s="12" t="n">
        <v>1</v>
      </c>
      <c r="P2698" s="12" t="n"/>
      <c r="Q2698" s="12" t="n"/>
      <c r="R2698" s="12" t="n"/>
      <c r="S2698" s="12" t="inlineStr">
        <is>
          <t>Duct bank</t>
        </is>
      </c>
      <c r="T2698" s="16" t="n">
        <v>2002</v>
      </c>
      <c r="U2698" s="16" t="n">
        <v>347</v>
      </c>
      <c r="V2698" s="16">
        <f>ROUNDUP((T2698+U2698+2*'Read Me'!$B$13)*(1+'Read Me'!$B$12),-1)</f>
        <v/>
      </c>
      <c r="W2698" s="16">
        <f>V2698*N2698*O2698</f>
        <v/>
      </c>
      <c r="X2698" s="12">
        <f>IF(LEFT(I2698,2)="MV",2*N2698*IF(L2698="1/C",O2698,1),0)</f>
        <v/>
      </c>
      <c r="Y2698" s="12">
        <f>IF(OR(LEFT(K2698,4)="LVAX",LEFT(K2698,6)="MV15AX",LEFT(K2698,4)="CTAX",LEFT(K2698,2)="W|"),2*N2698*O2698,0)</f>
        <v/>
      </c>
      <c r="Z2698" s="12" t="inlineStr"/>
      <c r="AA2698" s="12">
        <f>N2698*O2698</f>
        <v/>
      </c>
    </row>
    <row r="2699">
      <c r="A2699" s="12" t="inlineStr">
        <is>
          <t>E-C-0011</t>
        </is>
      </c>
      <c r="B2699" s="12" t="inlineStr">
        <is>
          <t>E</t>
        </is>
      </c>
      <c r="C2699" s="12" t="inlineStr">
        <is>
          <t>Water / utilities</t>
        </is>
      </c>
      <c r="D2699" s="12" t="inlineStr">
        <is>
          <t>Motor 2 of 2: control / local station</t>
        </is>
      </c>
      <c r="E2699" s="12" t="inlineStr">
        <is>
          <t>MCC-C2</t>
        </is>
      </c>
      <c r="F2699" s="12" t="inlineStr">
        <is>
          <t>R1 MCC-C2</t>
        </is>
      </c>
      <c r="G2699" s="12" t="inlineStr"/>
      <c r="H2699" s="12" t="inlineStr">
        <is>
          <t>Oil-water separator</t>
        </is>
      </c>
      <c r="I2699" s="12" t="inlineStr">
        <is>
          <t>Control</t>
        </is>
      </c>
      <c r="J2699" s="12" t="inlineStr">
        <is>
          <t>Control cable 600 V Type TC-ER, Cu #14 AWG, PVC jacket</t>
        </is>
      </c>
      <c r="K2699" s="12" t="inlineStr">
        <is>
          <t>CT|7/C|14</t>
        </is>
      </c>
      <c r="L2699" s="12" t="inlineStr">
        <is>
          <t>7/C</t>
        </is>
      </c>
      <c r="M2699" s="12" t="inlineStr">
        <is>
          <t>14</t>
        </is>
      </c>
      <c r="N2699" s="12" t="n">
        <v>1</v>
      </c>
      <c r="O2699" s="12" t="n">
        <v>1</v>
      </c>
      <c r="P2699" s="12" t="n"/>
      <c r="Q2699" s="12" t="n"/>
      <c r="R2699" s="12" t="n"/>
      <c r="S2699" s="12" t="inlineStr">
        <is>
          <t>Duct bank</t>
        </is>
      </c>
      <c r="T2699" s="16" t="n">
        <v>2002</v>
      </c>
      <c r="U2699" s="16" t="n">
        <v>347</v>
      </c>
      <c r="V2699" s="16">
        <f>ROUNDUP((T2699+U2699+2*'Read Me'!$B$13)*(1+'Read Me'!$B$12),-1)</f>
        <v/>
      </c>
      <c r="W2699" s="16">
        <f>V2699*N2699*O2699</f>
        <v/>
      </c>
      <c r="X2699" s="12">
        <f>IF(LEFT(I2699,2)="MV",2*N2699*IF(L2699="1/C",O2699,1),0)</f>
        <v/>
      </c>
      <c r="Y2699" s="12">
        <f>IF(OR(LEFT(K2699,4)="LVAX",LEFT(K2699,6)="MV15AX",LEFT(K2699,4)="CTAX",LEFT(K2699,2)="W|"),2*N2699*O2699,0)</f>
        <v/>
      </c>
      <c r="Z2699" s="12" t="inlineStr"/>
      <c r="AA2699" s="12">
        <f>N2699*O2699</f>
        <v/>
      </c>
    </row>
    <row r="2700">
      <c r="A2700" s="12" t="inlineStr">
        <is>
          <t>E-C-0012</t>
        </is>
      </c>
      <c r="B2700" s="12" t="inlineStr">
        <is>
          <t>E</t>
        </is>
      </c>
      <c r="C2700" s="12" t="inlineStr">
        <is>
          <t>Water / utilities</t>
        </is>
      </c>
      <c r="D2700" s="12" t="inlineStr">
        <is>
          <t>Motor 1 of 8: control / local station</t>
        </is>
      </c>
      <c r="E2700" s="12" t="inlineStr">
        <is>
          <t>MCC-C2</t>
        </is>
      </c>
      <c r="F2700" s="12" t="inlineStr">
        <is>
          <t>R1 MCC-C2</t>
        </is>
      </c>
      <c r="G2700" s="12" t="inlineStr"/>
      <c r="H2700" s="12" t="inlineStr">
        <is>
          <t>Wastewater treatment</t>
        </is>
      </c>
      <c r="I2700" s="12" t="inlineStr">
        <is>
          <t>Control</t>
        </is>
      </c>
      <c r="J2700" s="12" t="inlineStr">
        <is>
          <t>Control cable 600 V Type TC-ER, Cu #14 AWG, PVC jacket</t>
        </is>
      </c>
      <c r="K2700" s="12" t="inlineStr">
        <is>
          <t>CT|7/C|14</t>
        </is>
      </c>
      <c r="L2700" s="12" t="inlineStr">
        <is>
          <t>7/C</t>
        </is>
      </c>
      <c r="M2700" s="12" t="inlineStr">
        <is>
          <t>14</t>
        </is>
      </c>
      <c r="N2700" s="12" t="n">
        <v>1</v>
      </c>
      <c r="O2700" s="12" t="n">
        <v>1</v>
      </c>
      <c r="P2700" s="12" t="n"/>
      <c r="Q2700" s="12" t="n"/>
      <c r="R2700" s="12" t="n"/>
      <c r="S2700" s="12" t="inlineStr">
        <is>
          <t>Duct bank</t>
        </is>
      </c>
      <c r="T2700" s="16" t="n">
        <v>1859</v>
      </c>
      <c r="U2700" s="16" t="n">
        <v>212</v>
      </c>
      <c r="V2700" s="16">
        <f>ROUNDUP((T2700+U2700+2*'Read Me'!$B$13)*(1+'Read Me'!$B$12),-1)</f>
        <v/>
      </c>
      <c r="W2700" s="16">
        <f>V2700*N2700*O2700</f>
        <v/>
      </c>
      <c r="X2700" s="12">
        <f>IF(LEFT(I2700,2)="MV",2*N2700*IF(L2700="1/C",O2700,1),0)</f>
        <v/>
      </c>
      <c r="Y2700" s="12">
        <f>IF(OR(LEFT(K2700,4)="LVAX",LEFT(K2700,6)="MV15AX",LEFT(K2700,4)="CTAX",LEFT(K2700,2)="W|"),2*N2700*O2700,0)</f>
        <v/>
      </c>
      <c r="Z2700" s="12" t="inlineStr"/>
      <c r="AA2700" s="12">
        <f>N2700*O2700</f>
        <v/>
      </c>
    </row>
    <row r="2701">
      <c r="A2701" s="12" t="inlineStr">
        <is>
          <t>E-C-0013</t>
        </is>
      </c>
      <c r="B2701" s="12" t="inlineStr">
        <is>
          <t>E</t>
        </is>
      </c>
      <c r="C2701" s="12" t="inlineStr">
        <is>
          <t>Water / utilities</t>
        </is>
      </c>
      <c r="D2701" s="12" t="inlineStr">
        <is>
          <t>Motor 2 of 8: control / local station</t>
        </is>
      </c>
      <c r="E2701" s="12" t="inlineStr">
        <is>
          <t>MCC-C2</t>
        </is>
      </c>
      <c r="F2701" s="12" t="inlineStr">
        <is>
          <t>R1 MCC-C2</t>
        </is>
      </c>
      <c r="G2701" s="12" t="inlineStr"/>
      <c r="H2701" s="12" t="inlineStr">
        <is>
          <t>Wastewater treatment</t>
        </is>
      </c>
      <c r="I2701" s="12" t="inlineStr">
        <is>
          <t>Control</t>
        </is>
      </c>
      <c r="J2701" s="12" t="inlineStr">
        <is>
          <t>Control cable 600 V Type TC-ER, Cu #14 AWG, PVC jacket</t>
        </is>
      </c>
      <c r="K2701" s="12" t="inlineStr">
        <is>
          <t>CT|7/C|14</t>
        </is>
      </c>
      <c r="L2701" s="12" t="inlineStr">
        <is>
          <t>7/C</t>
        </is>
      </c>
      <c r="M2701" s="12" t="inlineStr">
        <is>
          <t>14</t>
        </is>
      </c>
      <c r="N2701" s="12" t="n">
        <v>1</v>
      </c>
      <c r="O2701" s="12" t="n">
        <v>1</v>
      </c>
      <c r="P2701" s="12" t="n"/>
      <c r="Q2701" s="12" t="n"/>
      <c r="R2701" s="12" t="n"/>
      <c r="S2701" s="12" t="inlineStr">
        <is>
          <t>Duct bank</t>
        </is>
      </c>
      <c r="T2701" s="16" t="n">
        <v>1859</v>
      </c>
      <c r="U2701" s="16" t="n">
        <v>212</v>
      </c>
      <c r="V2701" s="16">
        <f>ROUNDUP((T2701+U2701+2*'Read Me'!$B$13)*(1+'Read Me'!$B$12),-1)</f>
        <v/>
      </c>
      <c r="W2701" s="16">
        <f>V2701*N2701*O2701</f>
        <v/>
      </c>
      <c r="X2701" s="12">
        <f>IF(LEFT(I2701,2)="MV",2*N2701*IF(L2701="1/C",O2701,1),0)</f>
        <v/>
      </c>
      <c r="Y2701" s="12">
        <f>IF(OR(LEFT(K2701,4)="LVAX",LEFT(K2701,6)="MV15AX",LEFT(K2701,4)="CTAX",LEFT(K2701,2)="W|"),2*N2701*O2701,0)</f>
        <v/>
      </c>
      <c r="Z2701" s="12" t="inlineStr"/>
      <c r="AA2701" s="12">
        <f>N2701*O2701</f>
        <v/>
      </c>
    </row>
    <row r="2702">
      <c r="A2702" s="12" t="inlineStr">
        <is>
          <t>E-C-0014</t>
        </is>
      </c>
      <c r="B2702" s="12" t="inlineStr">
        <is>
          <t>E</t>
        </is>
      </c>
      <c r="C2702" s="12" t="inlineStr">
        <is>
          <t>Water / utilities</t>
        </is>
      </c>
      <c r="D2702" s="12" t="inlineStr">
        <is>
          <t>Motor 3 of 8: control / local station</t>
        </is>
      </c>
      <c r="E2702" s="12" t="inlineStr">
        <is>
          <t>MCC-C2</t>
        </is>
      </c>
      <c r="F2702" s="12" t="inlineStr">
        <is>
          <t>R1 MCC-C2</t>
        </is>
      </c>
      <c r="G2702" s="12" t="inlineStr"/>
      <c r="H2702" s="12" t="inlineStr">
        <is>
          <t>Wastewater treatment</t>
        </is>
      </c>
      <c r="I2702" s="12" t="inlineStr">
        <is>
          <t>Control</t>
        </is>
      </c>
      <c r="J2702" s="12" t="inlineStr">
        <is>
          <t>Control cable 600 V Type TC-ER, Cu #14 AWG, PVC jacket</t>
        </is>
      </c>
      <c r="K2702" s="12" t="inlineStr">
        <is>
          <t>CT|7/C|14</t>
        </is>
      </c>
      <c r="L2702" s="12" t="inlineStr">
        <is>
          <t>7/C</t>
        </is>
      </c>
      <c r="M2702" s="12" t="inlineStr">
        <is>
          <t>14</t>
        </is>
      </c>
      <c r="N2702" s="12" t="n">
        <v>1</v>
      </c>
      <c r="O2702" s="12" t="n">
        <v>1</v>
      </c>
      <c r="P2702" s="12" t="n"/>
      <c r="Q2702" s="12" t="n"/>
      <c r="R2702" s="12" t="n"/>
      <c r="S2702" s="12" t="inlineStr">
        <is>
          <t>Duct bank</t>
        </is>
      </c>
      <c r="T2702" s="16" t="n">
        <v>1859</v>
      </c>
      <c r="U2702" s="16" t="n">
        <v>212</v>
      </c>
      <c r="V2702" s="16">
        <f>ROUNDUP((T2702+U2702+2*'Read Me'!$B$13)*(1+'Read Me'!$B$12),-1)</f>
        <v/>
      </c>
      <c r="W2702" s="16">
        <f>V2702*N2702*O2702</f>
        <v/>
      </c>
      <c r="X2702" s="12">
        <f>IF(LEFT(I2702,2)="MV",2*N2702*IF(L2702="1/C",O2702,1),0)</f>
        <v/>
      </c>
      <c r="Y2702" s="12">
        <f>IF(OR(LEFT(K2702,4)="LVAX",LEFT(K2702,6)="MV15AX",LEFT(K2702,4)="CTAX",LEFT(K2702,2)="W|"),2*N2702*O2702,0)</f>
        <v/>
      </c>
      <c r="Z2702" s="12" t="inlineStr"/>
      <c r="AA2702" s="12">
        <f>N2702*O2702</f>
        <v/>
      </c>
    </row>
    <row r="2703">
      <c r="A2703" s="12" t="inlineStr">
        <is>
          <t>E-C-0015</t>
        </is>
      </c>
      <c r="B2703" s="12" t="inlineStr">
        <is>
          <t>E</t>
        </is>
      </c>
      <c r="C2703" s="12" t="inlineStr">
        <is>
          <t>Water / utilities</t>
        </is>
      </c>
      <c r="D2703" s="12" t="inlineStr">
        <is>
          <t>Motor 4 of 8: control / local station</t>
        </is>
      </c>
      <c r="E2703" s="12" t="inlineStr">
        <is>
          <t>MCC-C2</t>
        </is>
      </c>
      <c r="F2703" s="12" t="inlineStr">
        <is>
          <t>R1 MCC-C2</t>
        </is>
      </c>
      <c r="G2703" s="12" t="inlineStr"/>
      <c r="H2703" s="12" t="inlineStr">
        <is>
          <t>Wastewater treatment</t>
        </is>
      </c>
      <c r="I2703" s="12" t="inlineStr">
        <is>
          <t>Control</t>
        </is>
      </c>
      <c r="J2703" s="12" t="inlineStr">
        <is>
          <t>Control cable 600 V Type TC-ER, Cu #14 AWG, PVC jacket</t>
        </is>
      </c>
      <c r="K2703" s="12" t="inlineStr">
        <is>
          <t>CT|7/C|14</t>
        </is>
      </c>
      <c r="L2703" s="12" t="inlineStr">
        <is>
          <t>7/C</t>
        </is>
      </c>
      <c r="M2703" s="12" t="inlineStr">
        <is>
          <t>14</t>
        </is>
      </c>
      <c r="N2703" s="12" t="n">
        <v>1</v>
      </c>
      <c r="O2703" s="12" t="n">
        <v>1</v>
      </c>
      <c r="P2703" s="12" t="n"/>
      <c r="Q2703" s="12" t="n"/>
      <c r="R2703" s="12" t="n"/>
      <c r="S2703" s="12" t="inlineStr">
        <is>
          <t>Duct bank</t>
        </is>
      </c>
      <c r="T2703" s="16" t="n">
        <v>1859</v>
      </c>
      <c r="U2703" s="16" t="n">
        <v>212</v>
      </c>
      <c r="V2703" s="16">
        <f>ROUNDUP((T2703+U2703+2*'Read Me'!$B$13)*(1+'Read Me'!$B$12),-1)</f>
        <v/>
      </c>
      <c r="W2703" s="16">
        <f>V2703*N2703*O2703</f>
        <v/>
      </c>
      <c r="X2703" s="12">
        <f>IF(LEFT(I2703,2)="MV",2*N2703*IF(L2703="1/C",O2703,1),0)</f>
        <v/>
      </c>
      <c r="Y2703" s="12">
        <f>IF(OR(LEFT(K2703,4)="LVAX",LEFT(K2703,6)="MV15AX",LEFT(K2703,4)="CTAX",LEFT(K2703,2)="W|"),2*N2703*O2703,0)</f>
        <v/>
      </c>
      <c r="Z2703" s="12" t="inlineStr"/>
      <c r="AA2703" s="12">
        <f>N2703*O2703</f>
        <v/>
      </c>
    </row>
    <row r="2704">
      <c r="A2704" s="12" t="inlineStr">
        <is>
          <t>E-C-0016</t>
        </is>
      </c>
      <c r="B2704" s="12" t="inlineStr">
        <is>
          <t>E</t>
        </is>
      </c>
      <c r="C2704" s="12" t="inlineStr">
        <is>
          <t>Water / utilities</t>
        </is>
      </c>
      <c r="D2704" s="12" t="inlineStr">
        <is>
          <t>Motor 5 of 8: control / local station</t>
        </is>
      </c>
      <c r="E2704" s="12" t="inlineStr">
        <is>
          <t>MCC-C2</t>
        </is>
      </c>
      <c r="F2704" s="12" t="inlineStr">
        <is>
          <t>R1 MCC-C2</t>
        </is>
      </c>
      <c r="G2704" s="12" t="inlineStr"/>
      <c r="H2704" s="12" t="inlineStr">
        <is>
          <t>Wastewater treatment</t>
        </is>
      </c>
      <c r="I2704" s="12" t="inlineStr">
        <is>
          <t>Control</t>
        </is>
      </c>
      <c r="J2704" s="12" t="inlineStr">
        <is>
          <t>Control cable 600 V Type TC-ER, Cu #14 AWG, PVC jacket</t>
        </is>
      </c>
      <c r="K2704" s="12" t="inlineStr">
        <is>
          <t>CT|7/C|14</t>
        </is>
      </c>
      <c r="L2704" s="12" t="inlineStr">
        <is>
          <t>7/C</t>
        </is>
      </c>
      <c r="M2704" s="12" t="inlineStr">
        <is>
          <t>14</t>
        </is>
      </c>
      <c r="N2704" s="12" t="n">
        <v>1</v>
      </c>
      <c r="O2704" s="12" t="n">
        <v>1</v>
      </c>
      <c r="P2704" s="12" t="n"/>
      <c r="Q2704" s="12" t="n"/>
      <c r="R2704" s="12" t="n"/>
      <c r="S2704" s="12" t="inlineStr">
        <is>
          <t>Duct bank</t>
        </is>
      </c>
      <c r="T2704" s="16" t="n">
        <v>1859</v>
      </c>
      <c r="U2704" s="16" t="n">
        <v>212</v>
      </c>
      <c r="V2704" s="16">
        <f>ROUNDUP((T2704+U2704+2*'Read Me'!$B$13)*(1+'Read Me'!$B$12),-1)</f>
        <v/>
      </c>
      <c r="W2704" s="16">
        <f>V2704*N2704*O2704</f>
        <v/>
      </c>
      <c r="X2704" s="12">
        <f>IF(LEFT(I2704,2)="MV",2*N2704*IF(L2704="1/C",O2704,1),0)</f>
        <v/>
      </c>
      <c r="Y2704" s="12">
        <f>IF(OR(LEFT(K2704,4)="LVAX",LEFT(K2704,6)="MV15AX",LEFT(K2704,4)="CTAX",LEFT(K2704,2)="W|"),2*N2704*O2704,0)</f>
        <v/>
      </c>
      <c r="Z2704" s="12" t="inlineStr"/>
      <c r="AA2704" s="12">
        <f>N2704*O2704</f>
        <v/>
      </c>
    </row>
    <row r="2705">
      <c r="A2705" s="12" t="inlineStr">
        <is>
          <t>E-C-0017</t>
        </is>
      </c>
      <c r="B2705" s="12" t="inlineStr">
        <is>
          <t>E</t>
        </is>
      </c>
      <c r="C2705" s="12" t="inlineStr">
        <is>
          <t>Water / utilities</t>
        </is>
      </c>
      <c r="D2705" s="12" t="inlineStr">
        <is>
          <t>Motor 6 of 8: control / local station</t>
        </is>
      </c>
      <c r="E2705" s="12" t="inlineStr">
        <is>
          <t>MCC-C2</t>
        </is>
      </c>
      <c r="F2705" s="12" t="inlineStr">
        <is>
          <t>R1 MCC-C2</t>
        </is>
      </c>
      <c r="G2705" s="12" t="inlineStr"/>
      <c r="H2705" s="12" t="inlineStr">
        <is>
          <t>Wastewater treatment</t>
        </is>
      </c>
      <c r="I2705" s="12" t="inlineStr">
        <is>
          <t>Control</t>
        </is>
      </c>
      <c r="J2705" s="12" t="inlineStr">
        <is>
          <t>Control cable 600 V Type TC-ER, Cu #14 AWG, PVC jacket</t>
        </is>
      </c>
      <c r="K2705" s="12" t="inlineStr">
        <is>
          <t>CT|7/C|14</t>
        </is>
      </c>
      <c r="L2705" s="12" t="inlineStr">
        <is>
          <t>7/C</t>
        </is>
      </c>
      <c r="M2705" s="12" t="inlineStr">
        <is>
          <t>14</t>
        </is>
      </c>
      <c r="N2705" s="12" t="n">
        <v>1</v>
      </c>
      <c r="O2705" s="12" t="n">
        <v>1</v>
      </c>
      <c r="P2705" s="12" t="n"/>
      <c r="Q2705" s="12" t="n"/>
      <c r="R2705" s="12" t="n"/>
      <c r="S2705" s="12" t="inlineStr">
        <is>
          <t>Duct bank</t>
        </is>
      </c>
      <c r="T2705" s="16" t="n">
        <v>1859</v>
      </c>
      <c r="U2705" s="16" t="n">
        <v>212</v>
      </c>
      <c r="V2705" s="16">
        <f>ROUNDUP((T2705+U2705+2*'Read Me'!$B$13)*(1+'Read Me'!$B$12),-1)</f>
        <v/>
      </c>
      <c r="W2705" s="16">
        <f>V2705*N2705*O2705</f>
        <v/>
      </c>
      <c r="X2705" s="12">
        <f>IF(LEFT(I2705,2)="MV",2*N2705*IF(L2705="1/C",O2705,1),0)</f>
        <v/>
      </c>
      <c r="Y2705" s="12">
        <f>IF(OR(LEFT(K2705,4)="LVAX",LEFT(K2705,6)="MV15AX",LEFT(K2705,4)="CTAX",LEFT(K2705,2)="W|"),2*N2705*O2705,0)</f>
        <v/>
      </c>
      <c r="Z2705" s="12" t="inlineStr"/>
      <c r="AA2705" s="12">
        <f>N2705*O2705</f>
        <v/>
      </c>
    </row>
    <row r="2706">
      <c r="A2706" s="12" t="inlineStr">
        <is>
          <t>E-C-0018</t>
        </is>
      </c>
      <c r="B2706" s="12" t="inlineStr">
        <is>
          <t>E</t>
        </is>
      </c>
      <c r="C2706" s="12" t="inlineStr">
        <is>
          <t>Water / utilities</t>
        </is>
      </c>
      <c r="D2706" s="12" t="inlineStr">
        <is>
          <t>Motor 7 of 8: control / local station</t>
        </is>
      </c>
      <c r="E2706" s="12" t="inlineStr">
        <is>
          <t>MCC-C2</t>
        </is>
      </c>
      <c r="F2706" s="12" t="inlineStr">
        <is>
          <t>R1 MCC-C2</t>
        </is>
      </c>
      <c r="G2706" s="12" t="inlineStr"/>
      <c r="H2706" s="12" t="inlineStr">
        <is>
          <t>Wastewater treatment</t>
        </is>
      </c>
      <c r="I2706" s="12" t="inlineStr">
        <is>
          <t>Control</t>
        </is>
      </c>
      <c r="J2706" s="12" t="inlineStr">
        <is>
          <t>Control cable 600 V Type TC-ER, Cu #14 AWG, PVC jacket</t>
        </is>
      </c>
      <c r="K2706" s="12" t="inlineStr">
        <is>
          <t>CT|7/C|14</t>
        </is>
      </c>
      <c r="L2706" s="12" t="inlineStr">
        <is>
          <t>7/C</t>
        </is>
      </c>
      <c r="M2706" s="12" t="inlineStr">
        <is>
          <t>14</t>
        </is>
      </c>
      <c r="N2706" s="12" t="n">
        <v>1</v>
      </c>
      <c r="O2706" s="12" t="n">
        <v>1</v>
      </c>
      <c r="P2706" s="12" t="n"/>
      <c r="Q2706" s="12" t="n"/>
      <c r="R2706" s="12" t="n"/>
      <c r="S2706" s="12" t="inlineStr">
        <is>
          <t>Duct bank</t>
        </is>
      </c>
      <c r="T2706" s="16" t="n">
        <v>1859</v>
      </c>
      <c r="U2706" s="16" t="n">
        <v>212</v>
      </c>
      <c r="V2706" s="16">
        <f>ROUNDUP((T2706+U2706+2*'Read Me'!$B$13)*(1+'Read Me'!$B$12),-1)</f>
        <v/>
      </c>
      <c r="W2706" s="16">
        <f>V2706*N2706*O2706</f>
        <v/>
      </c>
      <c r="X2706" s="12">
        <f>IF(LEFT(I2706,2)="MV",2*N2706*IF(L2706="1/C",O2706,1),0)</f>
        <v/>
      </c>
      <c r="Y2706" s="12">
        <f>IF(OR(LEFT(K2706,4)="LVAX",LEFT(K2706,6)="MV15AX",LEFT(K2706,4)="CTAX",LEFT(K2706,2)="W|"),2*N2706*O2706,0)</f>
        <v/>
      </c>
      <c r="Z2706" s="12" t="inlineStr"/>
      <c r="AA2706" s="12">
        <f>N2706*O2706</f>
        <v/>
      </c>
    </row>
    <row r="2707">
      <c r="A2707" s="12" t="inlineStr">
        <is>
          <t>E-C-0019</t>
        </is>
      </c>
      <c r="B2707" s="12" t="inlineStr">
        <is>
          <t>E</t>
        </is>
      </c>
      <c r="C2707" s="12" t="inlineStr">
        <is>
          <t>Water / utilities</t>
        </is>
      </c>
      <c r="D2707" s="12" t="inlineStr">
        <is>
          <t>Motor 8 of 8: control / local station</t>
        </is>
      </c>
      <c r="E2707" s="12" t="inlineStr">
        <is>
          <t>MCC-C2</t>
        </is>
      </c>
      <c r="F2707" s="12" t="inlineStr">
        <is>
          <t>R1 MCC-C2</t>
        </is>
      </c>
      <c r="G2707" s="12" t="inlineStr"/>
      <c r="H2707" s="12" t="inlineStr">
        <is>
          <t>Wastewater treatment</t>
        </is>
      </c>
      <c r="I2707" s="12" t="inlineStr">
        <is>
          <t>Control</t>
        </is>
      </c>
      <c r="J2707" s="12" t="inlineStr">
        <is>
          <t>Control cable 600 V Type TC-ER, Cu #14 AWG, PVC jacket</t>
        </is>
      </c>
      <c r="K2707" s="12" t="inlineStr">
        <is>
          <t>CT|7/C|14</t>
        </is>
      </c>
      <c r="L2707" s="12" t="inlineStr">
        <is>
          <t>7/C</t>
        </is>
      </c>
      <c r="M2707" s="12" t="inlineStr">
        <is>
          <t>14</t>
        </is>
      </c>
      <c r="N2707" s="12" t="n">
        <v>1</v>
      </c>
      <c r="O2707" s="12" t="n">
        <v>1</v>
      </c>
      <c r="P2707" s="12" t="n"/>
      <c r="Q2707" s="12" t="n"/>
      <c r="R2707" s="12" t="n"/>
      <c r="S2707" s="12" t="inlineStr">
        <is>
          <t>Duct bank</t>
        </is>
      </c>
      <c r="T2707" s="16" t="n">
        <v>1859</v>
      </c>
      <c r="U2707" s="16" t="n">
        <v>212</v>
      </c>
      <c r="V2707" s="16">
        <f>ROUNDUP((T2707+U2707+2*'Read Me'!$B$13)*(1+'Read Me'!$B$12),-1)</f>
        <v/>
      </c>
      <c r="W2707" s="16">
        <f>V2707*N2707*O2707</f>
        <v/>
      </c>
      <c r="X2707" s="12">
        <f>IF(LEFT(I2707,2)="MV",2*N2707*IF(L2707="1/C",O2707,1),0)</f>
        <v/>
      </c>
      <c r="Y2707" s="12">
        <f>IF(OR(LEFT(K2707,4)="LVAX",LEFT(K2707,6)="MV15AX",LEFT(K2707,4)="CTAX",LEFT(K2707,2)="W|"),2*N2707*O2707,0)</f>
        <v/>
      </c>
      <c r="Z2707" s="12" t="inlineStr"/>
      <c r="AA2707" s="12">
        <f>N2707*O2707</f>
        <v/>
      </c>
    </row>
    <row r="2708">
      <c r="A2708" s="12" t="inlineStr">
        <is>
          <t>E-C-0020</t>
        </is>
      </c>
      <c r="B2708" s="12" t="inlineStr">
        <is>
          <t>E</t>
        </is>
      </c>
      <c r="C2708" s="12" t="inlineStr">
        <is>
          <t>Water / utilities</t>
        </is>
      </c>
      <c r="D2708" s="12" t="inlineStr">
        <is>
          <t>Motor 1 of 20: control / local station</t>
        </is>
      </c>
      <c r="E2708" s="12" t="inlineStr">
        <is>
          <t>MCC-C2</t>
        </is>
      </c>
      <c r="F2708" s="12" t="inlineStr">
        <is>
          <t>R1 MCC-C2</t>
        </is>
      </c>
      <c r="G2708" s="12" t="inlineStr">
        <is>
          <t>R-WT</t>
        </is>
      </c>
      <c r="H2708" s="12" t="inlineStr">
        <is>
          <t>Water treatment building (incl. R-WT electrical room)</t>
        </is>
      </c>
      <c r="I2708" s="12" t="inlineStr">
        <is>
          <t>Control</t>
        </is>
      </c>
      <c r="J2708" s="12" t="inlineStr">
        <is>
          <t>Control cable 600 V Type TC-ER, Cu #14 AWG, PVC jacket</t>
        </is>
      </c>
      <c r="K2708" s="12" t="inlineStr">
        <is>
          <t>CT|7/C|14</t>
        </is>
      </c>
      <c r="L2708" s="12" t="inlineStr">
        <is>
          <t>7/C</t>
        </is>
      </c>
      <c r="M2708" s="12" t="inlineStr">
        <is>
          <t>14</t>
        </is>
      </c>
      <c r="N2708" s="12" t="n">
        <v>1</v>
      </c>
      <c r="O2708" s="12" t="n">
        <v>1</v>
      </c>
      <c r="P2708" s="12" t="n"/>
      <c r="Q2708" s="12" t="n"/>
      <c r="R2708" s="12" t="n"/>
      <c r="S2708" s="12" t="inlineStr">
        <is>
          <t>Duct bank</t>
        </is>
      </c>
      <c r="T2708" s="16" t="n">
        <v>1629</v>
      </c>
      <c r="U2708" s="16" t="n">
        <v>145</v>
      </c>
      <c r="V2708" s="16">
        <f>ROUNDUP((T2708+U2708+2*'Read Me'!$B$13)*(1+'Read Me'!$B$12),-1)</f>
        <v/>
      </c>
      <c r="W2708" s="16">
        <f>V2708*N2708*O2708</f>
        <v/>
      </c>
      <c r="X2708" s="12">
        <f>IF(LEFT(I2708,2)="MV",2*N2708*IF(L2708="1/C",O2708,1),0)</f>
        <v/>
      </c>
      <c r="Y2708" s="12">
        <f>IF(OR(LEFT(K2708,4)="LVAX",LEFT(K2708,6)="MV15AX",LEFT(K2708,4)="CTAX",LEFT(K2708,2)="W|"),2*N2708*O2708,0)</f>
        <v/>
      </c>
      <c r="Z2708" s="12" t="inlineStr"/>
      <c r="AA2708" s="12">
        <f>N2708*O2708</f>
        <v/>
      </c>
    </row>
    <row r="2709">
      <c r="A2709" s="12" t="inlineStr">
        <is>
          <t>E-C-0021</t>
        </is>
      </c>
      <c r="B2709" s="12" t="inlineStr">
        <is>
          <t>E</t>
        </is>
      </c>
      <c r="C2709" s="12" t="inlineStr">
        <is>
          <t>Water / utilities</t>
        </is>
      </c>
      <c r="D2709" s="12" t="inlineStr">
        <is>
          <t>Motor 2 of 20: control / local station</t>
        </is>
      </c>
      <c r="E2709" s="12" t="inlineStr">
        <is>
          <t>MCC-C2</t>
        </is>
      </c>
      <c r="F2709" s="12" t="inlineStr">
        <is>
          <t>R1 MCC-C2</t>
        </is>
      </c>
      <c r="G2709" s="12" t="inlineStr">
        <is>
          <t>R-WT</t>
        </is>
      </c>
      <c r="H2709" s="12" t="inlineStr">
        <is>
          <t>Water treatment building (incl. R-WT electrical room)</t>
        </is>
      </c>
      <c r="I2709" s="12" t="inlineStr">
        <is>
          <t>Control</t>
        </is>
      </c>
      <c r="J2709" s="12" t="inlineStr">
        <is>
          <t>Control cable 600 V Type TC-ER, Cu #14 AWG, PVC jacket</t>
        </is>
      </c>
      <c r="K2709" s="12" t="inlineStr">
        <is>
          <t>CT|7/C|14</t>
        </is>
      </c>
      <c r="L2709" s="12" t="inlineStr">
        <is>
          <t>7/C</t>
        </is>
      </c>
      <c r="M2709" s="12" t="inlineStr">
        <is>
          <t>14</t>
        </is>
      </c>
      <c r="N2709" s="12" t="n">
        <v>1</v>
      </c>
      <c r="O2709" s="12" t="n">
        <v>1</v>
      </c>
      <c r="P2709" s="12" t="n"/>
      <c r="Q2709" s="12" t="n"/>
      <c r="R2709" s="12" t="n"/>
      <c r="S2709" s="12" t="inlineStr">
        <is>
          <t>Duct bank</t>
        </is>
      </c>
      <c r="T2709" s="16" t="n">
        <v>1629</v>
      </c>
      <c r="U2709" s="16" t="n">
        <v>145</v>
      </c>
      <c r="V2709" s="16">
        <f>ROUNDUP((T2709+U2709+2*'Read Me'!$B$13)*(1+'Read Me'!$B$12),-1)</f>
        <v/>
      </c>
      <c r="W2709" s="16">
        <f>V2709*N2709*O2709</f>
        <v/>
      </c>
      <c r="X2709" s="12">
        <f>IF(LEFT(I2709,2)="MV",2*N2709*IF(L2709="1/C",O2709,1),0)</f>
        <v/>
      </c>
      <c r="Y2709" s="12">
        <f>IF(OR(LEFT(K2709,4)="LVAX",LEFT(K2709,6)="MV15AX",LEFT(K2709,4)="CTAX",LEFT(K2709,2)="W|"),2*N2709*O2709,0)</f>
        <v/>
      </c>
      <c r="Z2709" s="12" t="inlineStr"/>
      <c r="AA2709" s="12">
        <f>N2709*O2709</f>
        <v/>
      </c>
    </row>
    <row r="2710">
      <c r="A2710" s="12" t="inlineStr">
        <is>
          <t>E-C-0022</t>
        </is>
      </c>
      <c r="B2710" s="12" t="inlineStr">
        <is>
          <t>E</t>
        </is>
      </c>
      <c r="C2710" s="12" t="inlineStr">
        <is>
          <t>Water / utilities</t>
        </is>
      </c>
      <c r="D2710" s="12" t="inlineStr">
        <is>
          <t>Motor 3 of 20: control / local station</t>
        </is>
      </c>
      <c r="E2710" s="12" t="inlineStr">
        <is>
          <t>MCC-C2</t>
        </is>
      </c>
      <c r="F2710" s="12" t="inlineStr">
        <is>
          <t>R1 MCC-C2</t>
        </is>
      </c>
      <c r="G2710" s="12" t="inlineStr">
        <is>
          <t>R-WT</t>
        </is>
      </c>
      <c r="H2710" s="12" t="inlineStr">
        <is>
          <t>Water treatment building (incl. R-WT electrical room)</t>
        </is>
      </c>
      <c r="I2710" s="12" t="inlineStr">
        <is>
          <t>Control</t>
        </is>
      </c>
      <c r="J2710" s="12" t="inlineStr">
        <is>
          <t>Control cable 600 V Type TC-ER, Cu #14 AWG, PVC jacket</t>
        </is>
      </c>
      <c r="K2710" s="12" t="inlineStr">
        <is>
          <t>CT|7/C|14</t>
        </is>
      </c>
      <c r="L2710" s="12" t="inlineStr">
        <is>
          <t>7/C</t>
        </is>
      </c>
      <c r="M2710" s="12" t="inlineStr">
        <is>
          <t>14</t>
        </is>
      </c>
      <c r="N2710" s="12" t="n">
        <v>1</v>
      </c>
      <c r="O2710" s="12" t="n">
        <v>1</v>
      </c>
      <c r="P2710" s="12" t="n"/>
      <c r="Q2710" s="12" t="n"/>
      <c r="R2710" s="12" t="n"/>
      <c r="S2710" s="12" t="inlineStr">
        <is>
          <t>Duct bank</t>
        </is>
      </c>
      <c r="T2710" s="16" t="n">
        <v>1629</v>
      </c>
      <c r="U2710" s="16" t="n">
        <v>145</v>
      </c>
      <c r="V2710" s="16">
        <f>ROUNDUP((T2710+U2710+2*'Read Me'!$B$13)*(1+'Read Me'!$B$12),-1)</f>
        <v/>
      </c>
      <c r="W2710" s="16">
        <f>V2710*N2710*O2710</f>
        <v/>
      </c>
      <c r="X2710" s="12">
        <f>IF(LEFT(I2710,2)="MV",2*N2710*IF(L2710="1/C",O2710,1),0)</f>
        <v/>
      </c>
      <c r="Y2710" s="12">
        <f>IF(OR(LEFT(K2710,4)="LVAX",LEFT(K2710,6)="MV15AX",LEFT(K2710,4)="CTAX",LEFT(K2710,2)="W|"),2*N2710*O2710,0)</f>
        <v/>
      </c>
      <c r="Z2710" s="12" t="inlineStr"/>
      <c r="AA2710" s="12">
        <f>N2710*O2710</f>
        <v/>
      </c>
    </row>
    <row r="2711">
      <c r="A2711" s="12" t="inlineStr">
        <is>
          <t>E-C-0023</t>
        </is>
      </c>
      <c r="B2711" s="12" t="inlineStr">
        <is>
          <t>E</t>
        </is>
      </c>
      <c r="C2711" s="12" t="inlineStr">
        <is>
          <t>Water / utilities</t>
        </is>
      </c>
      <c r="D2711" s="12" t="inlineStr">
        <is>
          <t>Motor 4 of 20: control / local station</t>
        </is>
      </c>
      <c r="E2711" s="12" t="inlineStr">
        <is>
          <t>MCC-C2</t>
        </is>
      </c>
      <c r="F2711" s="12" t="inlineStr">
        <is>
          <t>R1 MCC-C2</t>
        </is>
      </c>
      <c r="G2711" s="12" t="inlineStr">
        <is>
          <t>R-WT</t>
        </is>
      </c>
      <c r="H2711" s="12" t="inlineStr">
        <is>
          <t>Water treatment building (incl. R-WT electrical room)</t>
        </is>
      </c>
      <c r="I2711" s="12" t="inlineStr">
        <is>
          <t>Control</t>
        </is>
      </c>
      <c r="J2711" s="12" t="inlineStr">
        <is>
          <t>Control cable 600 V Type TC-ER, Cu #14 AWG, PVC jacket</t>
        </is>
      </c>
      <c r="K2711" s="12" t="inlineStr">
        <is>
          <t>CT|7/C|14</t>
        </is>
      </c>
      <c r="L2711" s="12" t="inlineStr">
        <is>
          <t>7/C</t>
        </is>
      </c>
      <c r="M2711" s="12" t="inlineStr">
        <is>
          <t>14</t>
        </is>
      </c>
      <c r="N2711" s="12" t="n">
        <v>1</v>
      </c>
      <c r="O2711" s="12" t="n">
        <v>1</v>
      </c>
      <c r="P2711" s="12" t="n"/>
      <c r="Q2711" s="12" t="n"/>
      <c r="R2711" s="12" t="n"/>
      <c r="S2711" s="12" t="inlineStr">
        <is>
          <t>Duct bank</t>
        </is>
      </c>
      <c r="T2711" s="16" t="n">
        <v>1629</v>
      </c>
      <c r="U2711" s="16" t="n">
        <v>145</v>
      </c>
      <c r="V2711" s="16">
        <f>ROUNDUP((T2711+U2711+2*'Read Me'!$B$13)*(1+'Read Me'!$B$12),-1)</f>
        <v/>
      </c>
      <c r="W2711" s="16">
        <f>V2711*N2711*O2711</f>
        <v/>
      </c>
      <c r="X2711" s="12">
        <f>IF(LEFT(I2711,2)="MV",2*N2711*IF(L2711="1/C",O2711,1),0)</f>
        <v/>
      </c>
      <c r="Y2711" s="12">
        <f>IF(OR(LEFT(K2711,4)="LVAX",LEFT(K2711,6)="MV15AX",LEFT(K2711,4)="CTAX",LEFT(K2711,2)="W|"),2*N2711*O2711,0)</f>
        <v/>
      </c>
      <c r="Z2711" s="12" t="inlineStr"/>
      <c r="AA2711" s="12">
        <f>N2711*O2711</f>
        <v/>
      </c>
    </row>
    <row r="2712">
      <c r="A2712" s="12" t="inlineStr">
        <is>
          <t>E-C-0024</t>
        </is>
      </c>
      <c r="B2712" s="12" t="inlineStr">
        <is>
          <t>E</t>
        </is>
      </c>
      <c r="C2712" s="12" t="inlineStr">
        <is>
          <t>Water / utilities</t>
        </is>
      </c>
      <c r="D2712" s="12" t="inlineStr">
        <is>
          <t>Motor 5 of 20: control / local station</t>
        </is>
      </c>
      <c r="E2712" s="12" t="inlineStr">
        <is>
          <t>MCC-C2</t>
        </is>
      </c>
      <c r="F2712" s="12" t="inlineStr">
        <is>
          <t>R1 MCC-C2</t>
        </is>
      </c>
      <c r="G2712" s="12" t="inlineStr">
        <is>
          <t>R-WT</t>
        </is>
      </c>
      <c r="H2712" s="12" t="inlineStr">
        <is>
          <t>Water treatment building (incl. R-WT electrical room)</t>
        </is>
      </c>
      <c r="I2712" s="12" t="inlineStr">
        <is>
          <t>Control</t>
        </is>
      </c>
      <c r="J2712" s="12" t="inlineStr">
        <is>
          <t>Control cable 600 V Type TC-ER, Cu #14 AWG, PVC jacket</t>
        </is>
      </c>
      <c r="K2712" s="12" t="inlineStr">
        <is>
          <t>CT|7/C|14</t>
        </is>
      </c>
      <c r="L2712" s="12" t="inlineStr">
        <is>
          <t>7/C</t>
        </is>
      </c>
      <c r="M2712" s="12" t="inlineStr">
        <is>
          <t>14</t>
        </is>
      </c>
      <c r="N2712" s="12" t="n">
        <v>1</v>
      </c>
      <c r="O2712" s="12" t="n">
        <v>1</v>
      </c>
      <c r="P2712" s="12" t="n"/>
      <c r="Q2712" s="12" t="n"/>
      <c r="R2712" s="12" t="n"/>
      <c r="S2712" s="12" t="inlineStr">
        <is>
          <t>Duct bank</t>
        </is>
      </c>
      <c r="T2712" s="16" t="n">
        <v>1629</v>
      </c>
      <c r="U2712" s="16" t="n">
        <v>145</v>
      </c>
      <c r="V2712" s="16">
        <f>ROUNDUP((T2712+U2712+2*'Read Me'!$B$13)*(1+'Read Me'!$B$12),-1)</f>
        <v/>
      </c>
      <c r="W2712" s="16">
        <f>V2712*N2712*O2712</f>
        <v/>
      </c>
      <c r="X2712" s="12">
        <f>IF(LEFT(I2712,2)="MV",2*N2712*IF(L2712="1/C",O2712,1),0)</f>
        <v/>
      </c>
      <c r="Y2712" s="12">
        <f>IF(OR(LEFT(K2712,4)="LVAX",LEFT(K2712,6)="MV15AX",LEFT(K2712,4)="CTAX",LEFT(K2712,2)="W|"),2*N2712*O2712,0)</f>
        <v/>
      </c>
      <c r="Z2712" s="12" t="inlineStr"/>
      <c r="AA2712" s="12">
        <f>N2712*O2712</f>
        <v/>
      </c>
    </row>
    <row r="2713">
      <c r="A2713" s="12" t="inlineStr">
        <is>
          <t>E-C-0025</t>
        </is>
      </c>
      <c r="B2713" s="12" t="inlineStr">
        <is>
          <t>E</t>
        </is>
      </c>
      <c r="C2713" s="12" t="inlineStr">
        <is>
          <t>Water / utilities</t>
        </is>
      </c>
      <c r="D2713" s="12" t="inlineStr">
        <is>
          <t>Motor 6 of 20: control / local station</t>
        </is>
      </c>
      <c r="E2713" s="12" t="inlineStr">
        <is>
          <t>MCC-C2</t>
        </is>
      </c>
      <c r="F2713" s="12" t="inlineStr">
        <is>
          <t>R1 MCC-C2</t>
        </is>
      </c>
      <c r="G2713" s="12" t="inlineStr">
        <is>
          <t>R-WT</t>
        </is>
      </c>
      <c r="H2713" s="12" t="inlineStr">
        <is>
          <t>Water treatment building (incl. R-WT electrical room)</t>
        </is>
      </c>
      <c r="I2713" s="12" t="inlineStr">
        <is>
          <t>Control</t>
        </is>
      </c>
      <c r="J2713" s="12" t="inlineStr">
        <is>
          <t>Control cable 600 V Type TC-ER, Cu #14 AWG, PVC jacket</t>
        </is>
      </c>
      <c r="K2713" s="12" t="inlineStr">
        <is>
          <t>CT|7/C|14</t>
        </is>
      </c>
      <c r="L2713" s="12" t="inlineStr">
        <is>
          <t>7/C</t>
        </is>
      </c>
      <c r="M2713" s="12" t="inlineStr">
        <is>
          <t>14</t>
        </is>
      </c>
      <c r="N2713" s="12" t="n">
        <v>1</v>
      </c>
      <c r="O2713" s="12" t="n">
        <v>1</v>
      </c>
      <c r="P2713" s="12" t="n"/>
      <c r="Q2713" s="12" t="n"/>
      <c r="R2713" s="12" t="n"/>
      <c r="S2713" s="12" t="inlineStr">
        <is>
          <t>Duct bank</t>
        </is>
      </c>
      <c r="T2713" s="16" t="n">
        <v>1629</v>
      </c>
      <c r="U2713" s="16" t="n">
        <v>145</v>
      </c>
      <c r="V2713" s="16">
        <f>ROUNDUP((T2713+U2713+2*'Read Me'!$B$13)*(1+'Read Me'!$B$12),-1)</f>
        <v/>
      </c>
      <c r="W2713" s="16">
        <f>V2713*N2713*O2713</f>
        <v/>
      </c>
      <c r="X2713" s="12">
        <f>IF(LEFT(I2713,2)="MV",2*N2713*IF(L2713="1/C",O2713,1),0)</f>
        <v/>
      </c>
      <c r="Y2713" s="12">
        <f>IF(OR(LEFT(K2713,4)="LVAX",LEFT(K2713,6)="MV15AX",LEFT(K2713,4)="CTAX",LEFT(K2713,2)="W|"),2*N2713*O2713,0)</f>
        <v/>
      </c>
      <c r="Z2713" s="12" t="inlineStr"/>
      <c r="AA2713" s="12">
        <f>N2713*O2713</f>
        <v/>
      </c>
    </row>
    <row r="2714">
      <c r="A2714" s="12" t="inlineStr">
        <is>
          <t>E-C-0026</t>
        </is>
      </c>
      <c r="B2714" s="12" t="inlineStr">
        <is>
          <t>E</t>
        </is>
      </c>
      <c r="C2714" s="12" t="inlineStr">
        <is>
          <t>Water / utilities</t>
        </is>
      </c>
      <c r="D2714" s="12" t="inlineStr">
        <is>
          <t>Motor 7 of 20: control / local station</t>
        </is>
      </c>
      <c r="E2714" s="12" t="inlineStr">
        <is>
          <t>MCC-C2</t>
        </is>
      </c>
      <c r="F2714" s="12" t="inlineStr">
        <is>
          <t>R1 MCC-C2</t>
        </is>
      </c>
      <c r="G2714" s="12" t="inlineStr">
        <is>
          <t>R-WT</t>
        </is>
      </c>
      <c r="H2714" s="12" t="inlineStr">
        <is>
          <t>Water treatment building (incl. R-WT electrical room)</t>
        </is>
      </c>
      <c r="I2714" s="12" t="inlineStr">
        <is>
          <t>Control</t>
        </is>
      </c>
      <c r="J2714" s="12" t="inlineStr">
        <is>
          <t>Control cable 600 V Type TC-ER, Cu #14 AWG, PVC jacket</t>
        </is>
      </c>
      <c r="K2714" s="12" t="inlineStr">
        <is>
          <t>CT|7/C|14</t>
        </is>
      </c>
      <c r="L2714" s="12" t="inlineStr">
        <is>
          <t>7/C</t>
        </is>
      </c>
      <c r="M2714" s="12" t="inlineStr">
        <is>
          <t>14</t>
        </is>
      </c>
      <c r="N2714" s="12" t="n">
        <v>1</v>
      </c>
      <c r="O2714" s="12" t="n">
        <v>1</v>
      </c>
      <c r="P2714" s="12" t="n"/>
      <c r="Q2714" s="12" t="n"/>
      <c r="R2714" s="12" t="n"/>
      <c r="S2714" s="12" t="inlineStr">
        <is>
          <t>Duct bank</t>
        </is>
      </c>
      <c r="T2714" s="16" t="n">
        <v>1629</v>
      </c>
      <c r="U2714" s="16" t="n">
        <v>145</v>
      </c>
      <c r="V2714" s="16">
        <f>ROUNDUP((T2714+U2714+2*'Read Me'!$B$13)*(1+'Read Me'!$B$12),-1)</f>
        <v/>
      </c>
      <c r="W2714" s="16">
        <f>V2714*N2714*O2714</f>
        <v/>
      </c>
      <c r="X2714" s="12">
        <f>IF(LEFT(I2714,2)="MV",2*N2714*IF(L2714="1/C",O2714,1),0)</f>
        <v/>
      </c>
      <c r="Y2714" s="12">
        <f>IF(OR(LEFT(K2714,4)="LVAX",LEFT(K2714,6)="MV15AX",LEFT(K2714,4)="CTAX",LEFT(K2714,2)="W|"),2*N2714*O2714,0)</f>
        <v/>
      </c>
      <c r="Z2714" s="12" t="inlineStr"/>
      <c r="AA2714" s="12">
        <f>N2714*O2714</f>
        <v/>
      </c>
    </row>
    <row r="2715">
      <c r="A2715" s="12" t="inlineStr">
        <is>
          <t>E-C-0027</t>
        </is>
      </c>
      <c r="B2715" s="12" t="inlineStr">
        <is>
          <t>E</t>
        </is>
      </c>
      <c r="C2715" s="12" t="inlineStr">
        <is>
          <t>Water / utilities</t>
        </is>
      </c>
      <c r="D2715" s="12" t="inlineStr">
        <is>
          <t>Motor 8 of 20: control / local station</t>
        </is>
      </c>
      <c r="E2715" s="12" t="inlineStr">
        <is>
          <t>MCC-C2</t>
        </is>
      </c>
      <c r="F2715" s="12" t="inlineStr">
        <is>
          <t>R1 MCC-C2</t>
        </is>
      </c>
      <c r="G2715" s="12" t="inlineStr">
        <is>
          <t>R-WT</t>
        </is>
      </c>
      <c r="H2715" s="12" t="inlineStr">
        <is>
          <t>Water treatment building (incl. R-WT electrical room)</t>
        </is>
      </c>
      <c r="I2715" s="12" t="inlineStr">
        <is>
          <t>Control</t>
        </is>
      </c>
      <c r="J2715" s="12" t="inlineStr">
        <is>
          <t>Control cable 600 V Type TC-ER, Cu #14 AWG, PVC jacket</t>
        </is>
      </c>
      <c r="K2715" s="12" t="inlineStr">
        <is>
          <t>CT|7/C|14</t>
        </is>
      </c>
      <c r="L2715" s="12" t="inlineStr">
        <is>
          <t>7/C</t>
        </is>
      </c>
      <c r="M2715" s="12" t="inlineStr">
        <is>
          <t>14</t>
        </is>
      </c>
      <c r="N2715" s="12" t="n">
        <v>1</v>
      </c>
      <c r="O2715" s="12" t="n">
        <v>1</v>
      </c>
      <c r="P2715" s="12" t="n"/>
      <c r="Q2715" s="12" t="n"/>
      <c r="R2715" s="12" t="n"/>
      <c r="S2715" s="12" t="inlineStr">
        <is>
          <t>Duct bank</t>
        </is>
      </c>
      <c r="T2715" s="16" t="n">
        <v>1629</v>
      </c>
      <c r="U2715" s="16" t="n">
        <v>145</v>
      </c>
      <c r="V2715" s="16">
        <f>ROUNDUP((T2715+U2715+2*'Read Me'!$B$13)*(1+'Read Me'!$B$12),-1)</f>
        <v/>
      </c>
      <c r="W2715" s="16">
        <f>V2715*N2715*O2715</f>
        <v/>
      </c>
      <c r="X2715" s="12">
        <f>IF(LEFT(I2715,2)="MV",2*N2715*IF(L2715="1/C",O2715,1),0)</f>
        <v/>
      </c>
      <c r="Y2715" s="12">
        <f>IF(OR(LEFT(K2715,4)="LVAX",LEFT(K2715,6)="MV15AX",LEFT(K2715,4)="CTAX",LEFT(K2715,2)="W|"),2*N2715*O2715,0)</f>
        <v/>
      </c>
      <c r="Z2715" s="12" t="inlineStr"/>
      <c r="AA2715" s="12">
        <f>N2715*O2715</f>
        <v/>
      </c>
    </row>
    <row r="2716">
      <c r="A2716" s="12" t="inlineStr">
        <is>
          <t>E-C-0028</t>
        </is>
      </c>
      <c r="B2716" s="12" t="inlineStr">
        <is>
          <t>E</t>
        </is>
      </c>
      <c r="C2716" s="12" t="inlineStr">
        <is>
          <t>Water / utilities</t>
        </is>
      </c>
      <c r="D2716" s="12" t="inlineStr">
        <is>
          <t>Motor 9 of 20: control / local station</t>
        </is>
      </c>
      <c r="E2716" s="12" t="inlineStr">
        <is>
          <t>MCC-C2</t>
        </is>
      </c>
      <c r="F2716" s="12" t="inlineStr">
        <is>
          <t>R1 MCC-C2</t>
        </is>
      </c>
      <c r="G2716" s="12" t="inlineStr">
        <is>
          <t>R-WT</t>
        </is>
      </c>
      <c r="H2716" s="12" t="inlineStr">
        <is>
          <t>Water treatment building (incl. R-WT electrical room)</t>
        </is>
      </c>
      <c r="I2716" s="12" t="inlineStr">
        <is>
          <t>Control</t>
        </is>
      </c>
      <c r="J2716" s="12" t="inlineStr">
        <is>
          <t>Control cable 600 V Type TC-ER, Cu #14 AWG, PVC jacket</t>
        </is>
      </c>
      <c r="K2716" s="12" t="inlineStr">
        <is>
          <t>CT|7/C|14</t>
        </is>
      </c>
      <c r="L2716" s="12" t="inlineStr">
        <is>
          <t>7/C</t>
        </is>
      </c>
      <c r="M2716" s="12" t="inlineStr">
        <is>
          <t>14</t>
        </is>
      </c>
      <c r="N2716" s="12" t="n">
        <v>1</v>
      </c>
      <c r="O2716" s="12" t="n">
        <v>1</v>
      </c>
      <c r="P2716" s="12" t="n"/>
      <c r="Q2716" s="12" t="n"/>
      <c r="R2716" s="12" t="n"/>
      <c r="S2716" s="12" t="inlineStr">
        <is>
          <t>Duct bank</t>
        </is>
      </c>
      <c r="T2716" s="16" t="n">
        <v>1629</v>
      </c>
      <c r="U2716" s="16" t="n">
        <v>145</v>
      </c>
      <c r="V2716" s="16">
        <f>ROUNDUP((T2716+U2716+2*'Read Me'!$B$13)*(1+'Read Me'!$B$12),-1)</f>
        <v/>
      </c>
      <c r="W2716" s="16">
        <f>V2716*N2716*O2716</f>
        <v/>
      </c>
      <c r="X2716" s="12">
        <f>IF(LEFT(I2716,2)="MV",2*N2716*IF(L2716="1/C",O2716,1),0)</f>
        <v/>
      </c>
      <c r="Y2716" s="12">
        <f>IF(OR(LEFT(K2716,4)="LVAX",LEFT(K2716,6)="MV15AX",LEFT(K2716,4)="CTAX",LEFT(K2716,2)="W|"),2*N2716*O2716,0)</f>
        <v/>
      </c>
      <c r="Z2716" s="12" t="inlineStr"/>
      <c r="AA2716" s="12">
        <f>N2716*O2716</f>
        <v/>
      </c>
    </row>
    <row r="2717">
      <c r="A2717" s="12" t="inlineStr">
        <is>
          <t>E-C-0029</t>
        </is>
      </c>
      <c r="B2717" s="12" t="inlineStr">
        <is>
          <t>E</t>
        </is>
      </c>
      <c r="C2717" s="12" t="inlineStr">
        <is>
          <t>Water / utilities</t>
        </is>
      </c>
      <c r="D2717" s="12" t="inlineStr">
        <is>
          <t>Motor 10 of 20: control / local station</t>
        </is>
      </c>
      <c r="E2717" s="12" t="inlineStr">
        <is>
          <t>MCC-C2</t>
        </is>
      </c>
      <c r="F2717" s="12" t="inlineStr">
        <is>
          <t>R1 MCC-C2</t>
        </is>
      </c>
      <c r="G2717" s="12" t="inlineStr">
        <is>
          <t>R-WT</t>
        </is>
      </c>
      <c r="H2717" s="12" t="inlineStr">
        <is>
          <t>Water treatment building (incl. R-WT electrical room)</t>
        </is>
      </c>
      <c r="I2717" s="12" t="inlineStr">
        <is>
          <t>Control</t>
        </is>
      </c>
      <c r="J2717" s="12" t="inlineStr">
        <is>
          <t>Control cable 600 V Type TC-ER, Cu #14 AWG, PVC jacket</t>
        </is>
      </c>
      <c r="K2717" s="12" t="inlineStr">
        <is>
          <t>CT|7/C|14</t>
        </is>
      </c>
      <c r="L2717" s="12" t="inlineStr">
        <is>
          <t>7/C</t>
        </is>
      </c>
      <c r="M2717" s="12" t="inlineStr">
        <is>
          <t>14</t>
        </is>
      </c>
      <c r="N2717" s="12" t="n">
        <v>1</v>
      </c>
      <c r="O2717" s="12" t="n">
        <v>1</v>
      </c>
      <c r="P2717" s="12" t="n"/>
      <c r="Q2717" s="12" t="n"/>
      <c r="R2717" s="12" t="n"/>
      <c r="S2717" s="12" t="inlineStr">
        <is>
          <t>Duct bank</t>
        </is>
      </c>
      <c r="T2717" s="16" t="n">
        <v>1629</v>
      </c>
      <c r="U2717" s="16" t="n">
        <v>145</v>
      </c>
      <c r="V2717" s="16">
        <f>ROUNDUP((T2717+U2717+2*'Read Me'!$B$13)*(1+'Read Me'!$B$12),-1)</f>
        <v/>
      </c>
      <c r="W2717" s="16">
        <f>V2717*N2717*O2717</f>
        <v/>
      </c>
      <c r="X2717" s="12">
        <f>IF(LEFT(I2717,2)="MV",2*N2717*IF(L2717="1/C",O2717,1),0)</f>
        <v/>
      </c>
      <c r="Y2717" s="12">
        <f>IF(OR(LEFT(K2717,4)="LVAX",LEFT(K2717,6)="MV15AX",LEFT(K2717,4)="CTAX",LEFT(K2717,2)="W|"),2*N2717*O2717,0)</f>
        <v/>
      </c>
      <c r="Z2717" s="12" t="inlineStr"/>
      <c r="AA2717" s="12">
        <f>N2717*O2717</f>
        <v/>
      </c>
    </row>
    <row r="2718">
      <c r="A2718" s="12" t="inlineStr">
        <is>
          <t>E-C-0030</t>
        </is>
      </c>
      <c r="B2718" s="12" t="inlineStr">
        <is>
          <t>E</t>
        </is>
      </c>
      <c r="C2718" s="12" t="inlineStr">
        <is>
          <t>Water / utilities</t>
        </is>
      </c>
      <c r="D2718" s="12" t="inlineStr">
        <is>
          <t>Motor 11 of 20: control / local station</t>
        </is>
      </c>
      <c r="E2718" s="12" t="inlineStr">
        <is>
          <t>MCC-C2</t>
        </is>
      </c>
      <c r="F2718" s="12" t="inlineStr">
        <is>
          <t>R1 MCC-C2</t>
        </is>
      </c>
      <c r="G2718" s="12" t="inlineStr">
        <is>
          <t>R-WT</t>
        </is>
      </c>
      <c r="H2718" s="12" t="inlineStr">
        <is>
          <t>Water treatment building (incl. R-WT electrical room)</t>
        </is>
      </c>
      <c r="I2718" s="12" t="inlineStr">
        <is>
          <t>Control</t>
        </is>
      </c>
      <c r="J2718" s="12" t="inlineStr">
        <is>
          <t>Control cable 600 V Type TC-ER, Cu #14 AWG, PVC jacket</t>
        </is>
      </c>
      <c r="K2718" s="12" t="inlineStr">
        <is>
          <t>CT|7/C|14</t>
        </is>
      </c>
      <c r="L2718" s="12" t="inlineStr">
        <is>
          <t>7/C</t>
        </is>
      </c>
      <c r="M2718" s="12" t="inlineStr">
        <is>
          <t>14</t>
        </is>
      </c>
      <c r="N2718" s="12" t="n">
        <v>1</v>
      </c>
      <c r="O2718" s="12" t="n">
        <v>1</v>
      </c>
      <c r="P2718" s="12" t="n"/>
      <c r="Q2718" s="12" t="n"/>
      <c r="R2718" s="12" t="n"/>
      <c r="S2718" s="12" t="inlineStr">
        <is>
          <t>Duct bank</t>
        </is>
      </c>
      <c r="T2718" s="16" t="n">
        <v>1629</v>
      </c>
      <c r="U2718" s="16" t="n">
        <v>145</v>
      </c>
      <c r="V2718" s="16">
        <f>ROUNDUP((T2718+U2718+2*'Read Me'!$B$13)*(1+'Read Me'!$B$12),-1)</f>
        <v/>
      </c>
      <c r="W2718" s="16">
        <f>V2718*N2718*O2718</f>
        <v/>
      </c>
      <c r="X2718" s="12">
        <f>IF(LEFT(I2718,2)="MV",2*N2718*IF(L2718="1/C",O2718,1),0)</f>
        <v/>
      </c>
      <c r="Y2718" s="12">
        <f>IF(OR(LEFT(K2718,4)="LVAX",LEFT(K2718,6)="MV15AX",LEFT(K2718,4)="CTAX",LEFT(K2718,2)="W|"),2*N2718*O2718,0)</f>
        <v/>
      </c>
      <c r="Z2718" s="12" t="inlineStr"/>
      <c r="AA2718" s="12">
        <f>N2718*O2718</f>
        <v/>
      </c>
    </row>
    <row r="2719">
      <c r="A2719" s="12" t="inlineStr">
        <is>
          <t>E-C-0031</t>
        </is>
      </c>
      <c r="B2719" s="12" t="inlineStr">
        <is>
          <t>E</t>
        </is>
      </c>
      <c r="C2719" s="12" t="inlineStr">
        <is>
          <t>Water / utilities</t>
        </is>
      </c>
      <c r="D2719" s="12" t="inlineStr">
        <is>
          <t>Motor 12 of 20: control / local station</t>
        </is>
      </c>
      <c r="E2719" s="12" t="inlineStr">
        <is>
          <t>MCC-C2</t>
        </is>
      </c>
      <c r="F2719" s="12" t="inlineStr">
        <is>
          <t>R1 MCC-C2</t>
        </is>
      </c>
      <c r="G2719" s="12" t="inlineStr">
        <is>
          <t>R-WT</t>
        </is>
      </c>
      <c r="H2719" s="12" t="inlineStr">
        <is>
          <t>Water treatment building (incl. R-WT electrical room)</t>
        </is>
      </c>
      <c r="I2719" s="12" t="inlineStr">
        <is>
          <t>Control</t>
        </is>
      </c>
      <c r="J2719" s="12" t="inlineStr">
        <is>
          <t>Control cable 600 V Type TC-ER, Cu #14 AWG, PVC jacket</t>
        </is>
      </c>
      <c r="K2719" s="12" t="inlineStr">
        <is>
          <t>CT|7/C|14</t>
        </is>
      </c>
      <c r="L2719" s="12" t="inlineStr">
        <is>
          <t>7/C</t>
        </is>
      </c>
      <c r="M2719" s="12" t="inlineStr">
        <is>
          <t>14</t>
        </is>
      </c>
      <c r="N2719" s="12" t="n">
        <v>1</v>
      </c>
      <c r="O2719" s="12" t="n">
        <v>1</v>
      </c>
      <c r="P2719" s="12" t="n"/>
      <c r="Q2719" s="12" t="n"/>
      <c r="R2719" s="12" t="n"/>
      <c r="S2719" s="12" t="inlineStr">
        <is>
          <t>Duct bank</t>
        </is>
      </c>
      <c r="T2719" s="16" t="n">
        <v>1629</v>
      </c>
      <c r="U2719" s="16" t="n">
        <v>145</v>
      </c>
      <c r="V2719" s="16">
        <f>ROUNDUP((T2719+U2719+2*'Read Me'!$B$13)*(1+'Read Me'!$B$12),-1)</f>
        <v/>
      </c>
      <c r="W2719" s="16">
        <f>V2719*N2719*O2719</f>
        <v/>
      </c>
      <c r="X2719" s="12">
        <f>IF(LEFT(I2719,2)="MV",2*N2719*IF(L2719="1/C",O2719,1),0)</f>
        <v/>
      </c>
      <c r="Y2719" s="12">
        <f>IF(OR(LEFT(K2719,4)="LVAX",LEFT(K2719,6)="MV15AX",LEFT(K2719,4)="CTAX",LEFT(K2719,2)="W|"),2*N2719*O2719,0)</f>
        <v/>
      </c>
      <c r="Z2719" s="12" t="inlineStr"/>
      <c r="AA2719" s="12">
        <f>N2719*O2719</f>
        <v/>
      </c>
    </row>
    <row r="2720">
      <c r="A2720" s="12" t="inlineStr">
        <is>
          <t>E-C-0032</t>
        </is>
      </c>
      <c r="B2720" s="12" t="inlineStr">
        <is>
          <t>E</t>
        </is>
      </c>
      <c r="C2720" s="12" t="inlineStr">
        <is>
          <t>Water / utilities</t>
        </is>
      </c>
      <c r="D2720" s="12" t="inlineStr">
        <is>
          <t>Motor 13 of 20: control / local station</t>
        </is>
      </c>
      <c r="E2720" s="12" t="inlineStr">
        <is>
          <t>MCC-C2</t>
        </is>
      </c>
      <c r="F2720" s="12" t="inlineStr">
        <is>
          <t>R1 MCC-C2</t>
        </is>
      </c>
      <c r="G2720" s="12" t="inlineStr">
        <is>
          <t>R-WT</t>
        </is>
      </c>
      <c r="H2720" s="12" t="inlineStr">
        <is>
          <t>Water treatment building (incl. R-WT electrical room)</t>
        </is>
      </c>
      <c r="I2720" s="12" t="inlineStr">
        <is>
          <t>Control</t>
        </is>
      </c>
      <c r="J2720" s="12" t="inlineStr">
        <is>
          <t>Control cable 600 V Type TC-ER, Cu #14 AWG, PVC jacket</t>
        </is>
      </c>
      <c r="K2720" s="12" t="inlineStr">
        <is>
          <t>CT|7/C|14</t>
        </is>
      </c>
      <c r="L2720" s="12" t="inlineStr">
        <is>
          <t>7/C</t>
        </is>
      </c>
      <c r="M2720" s="12" t="inlineStr">
        <is>
          <t>14</t>
        </is>
      </c>
      <c r="N2720" s="12" t="n">
        <v>1</v>
      </c>
      <c r="O2720" s="12" t="n">
        <v>1</v>
      </c>
      <c r="P2720" s="12" t="n"/>
      <c r="Q2720" s="12" t="n"/>
      <c r="R2720" s="12" t="n"/>
      <c r="S2720" s="12" t="inlineStr">
        <is>
          <t>Duct bank</t>
        </is>
      </c>
      <c r="T2720" s="16" t="n">
        <v>1629</v>
      </c>
      <c r="U2720" s="16" t="n">
        <v>145</v>
      </c>
      <c r="V2720" s="16">
        <f>ROUNDUP((T2720+U2720+2*'Read Me'!$B$13)*(1+'Read Me'!$B$12),-1)</f>
        <v/>
      </c>
      <c r="W2720" s="16">
        <f>V2720*N2720*O2720</f>
        <v/>
      </c>
      <c r="X2720" s="12">
        <f>IF(LEFT(I2720,2)="MV",2*N2720*IF(L2720="1/C",O2720,1),0)</f>
        <v/>
      </c>
      <c r="Y2720" s="12">
        <f>IF(OR(LEFT(K2720,4)="LVAX",LEFT(K2720,6)="MV15AX",LEFT(K2720,4)="CTAX",LEFT(K2720,2)="W|"),2*N2720*O2720,0)</f>
        <v/>
      </c>
      <c r="Z2720" s="12" t="inlineStr"/>
      <c r="AA2720" s="12">
        <f>N2720*O2720</f>
        <v/>
      </c>
    </row>
    <row r="2721">
      <c r="A2721" s="12" t="inlineStr">
        <is>
          <t>E-C-0033</t>
        </is>
      </c>
      <c r="B2721" s="12" t="inlineStr">
        <is>
          <t>E</t>
        </is>
      </c>
      <c r="C2721" s="12" t="inlineStr">
        <is>
          <t>Water / utilities</t>
        </is>
      </c>
      <c r="D2721" s="12" t="inlineStr">
        <is>
          <t>Motor 14 of 20: control / local station</t>
        </is>
      </c>
      <c r="E2721" s="12" t="inlineStr">
        <is>
          <t>MCC-C2</t>
        </is>
      </c>
      <c r="F2721" s="12" t="inlineStr">
        <is>
          <t>R1 MCC-C2</t>
        </is>
      </c>
      <c r="G2721" s="12" t="inlineStr">
        <is>
          <t>R-WT</t>
        </is>
      </c>
      <c r="H2721" s="12" t="inlineStr">
        <is>
          <t>Water treatment building (incl. R-WT electrical room)</t>
        </is>
      </c>
      <c r="I2721" s="12" t="inlineStr">
        <is>
          <t>Control</t>
        </is>
      </c>
      <c r="J2721" s="12" t="inlineStr">
        <is>
          <t>Control cable 600 V Type TC-ER, Cu #14 AWG, PVC jacket</t>
        </is>
      </c>
      <c r="K2721" s="12" t="inlineStr">
        <is>
          <t>CT|7/C|14</t>
        </is>
      </c>
      <c r="L2721" s="12" t="inlineStr">
        <is>
          <t>7/C</t>
        </is>
      </c>
      <c r="M2721" s="12" t="inlineStr">
        <is>
          <t>14</t>
        </is>
      </c>
      <c r="N2721" s="12" t="n">
        <v>1</v>
      </c>
      <c r="O2721" s="12" t="n">
        <v>1</v>
      </c>
      <c r="P2721" s="12" t="n"/>
      <c r="Q2721" s="12" t="n"/>
      <c r="R2721" s="12" t="n"/>
      <c r="S2721" s="12" t="inlineStr">
        <is>
          <t>Duct bank</t>
        </is>
      </c>
      <c r="T2721" s="16" t="n">
        <v>1629</v>
      </c>
      <c r="U2721" s="16" t="n">
        <v>145</v>
      </c>
      <c r="V2721" s="16">
        <f>ROUNDUP((T2721+U2721+2*'Read Me'!$B$13)*(1+'Read Me'!$B$12),-1)</f>
        <v/>
      </c>
      <c r="W2721" s="16">
        <f>V2721*N2721*O2721</f>
        <v/>
      </c>
      <c r="X2721" s="12">
        <f>IF(LEFT(I2721,2)="MV",2*N2721*IF(L2721="1/C",O2721,1),0)</f>
        <v/>
      </c>
      <c r="Y2721" s="12">
        <f>IF(OR(LEFT(K2721,4)="LVAX",LEFT(K2721,6)="MV15AX",LEFT(K2721,4)="CTAX",LEFT(K2721,2)="W|"),2*N2721*O2721,0)</f>
        <v/>
      </c>
      <c r="Z2721" s="12" t="inlineStr"/>
      <c r="AA2721" s="12">
        <f>N2721*O2721</f>
        <v/>
      </c>
    </row>
    <row r="2722">
      <c r="A2722" s="12" t="inlineStr">
        <is>
          <t>E-C-0034</t>
        </is>
      </c>
      <c r="B2722" s="12" t="inlineStr">
        <is>
          <t>E</t>
        </is>
      </c>
      <c r="C2722" s="12" t="inlineStr">
        <is>
          <t>Water / utilities</t>
        </is>
      </c>
      <c r="D2722" s="12" t="inlineStr">
        <is>
          <t>Motor 15 of 20: control / local station</t>
        </is>
      </c>
      <c r="E2722" s="12" t="inlineStr">
        <is>
          <t>MCC-C2</t>
        </is>
      </c>
      <c r="F2722" s="12" t="inlineStr">
        <is>
          <t>R1 MCC-C2</t>
        </is>
      </c>
      <c r="G2722" s="12" t="inlineStr">
        <is>
          <t>R-WT</t>
        </is>
      </c>
      <c r="H2722" s="12" t="inlineStr">
        <is>
          <t>Water treatment building (incl. R-WT electrical room)</t>
        </is>
      </c>
      <c r="I2722" s="12" t="inlineStr">
        <is>
          <t>Control</t>
        </is>
      </c>
      <c r="J2722" s="12" t="inlineStr">
        <is>
          <t>Control cable 600 V Type TC-ER, Cu #14 AWG, PVC jacket</t>
        </is>
      </c>
      <c r="K2722" s="12" t="inlineStr">
        <is>
          <t>CT|7/C|14</t>
        </is>
      </c>
      <c r="L2722" s="12" t="inlineStr">
        <is>
          <t>7/C</t>
        </is>
      </c>
      <c r="M2722" s="12" t="inlineStr">
        <is>
          <t>14</t>
        </is>
      </c>
      <c r="N2722" s="12" t="n">
        <v>1</v>
      </c>
      <c r="O2722" s="12" t="n">
        <v>1</v>
      </c>
      <c r="P2722" s="12" t="n"/>
      <c r="Q2722" s="12" t="n"/>
      <c r="R2722" s="12" t="n"/>
      <c r="S2722" s="12" t="inlineStr">
        <is>
          <t>Duct bank</t>
        </is>
      </c>
      <c r="T2722" s="16" t="n">
        <v>1629</v>
      </c>
      <c r="U2722" s="16" t="n">
        <v>145</v>
      </c>
      <c r="V2722" s="16">
        <f>ROUNDUP((T2722+U2722+2*'Read Me'!$B$13)*(1+'Read Me'!$B$12),-1)</f>
        <v/>
      </c>
      <c r="W2722" s="16">
        <f>V2722*N2722*O2722</f>
        <v/>
      </c>
      <c r="X2722" s="12">
        <f>IF(LEFT(I2722,2)="MV",2*N2722*IF(L2722="1/C",O2722,1),0)</f>
        <v/>
      </c>
      <c r="Y2722" s="12">
        <f>IF(OR(LEFT(K2722,4)="LVAX",LEFT(K2722,6)="MV15AX",LEFT(K2722,4)="CTAX",LEFT(K2722,2)="W|"),2*N2722*O2722,0)</f>
        <v/>
      </c>
      <c r="Z2722" s="12" t="inlineStr"/>
      <c r="AA2722" s="12">
        <f>N2722*O2722</f>
        <v/>
      </c>
    </row>
    <row r="2723">
      <c r="A2723" s="12" t="inlineStr">
        <is>
          <t>E-C-0035</t>
        </is>
      </c>
      <c r="B2723" s="12" t="inlineStr">
        <is>
          <t>E</t>
        </is>
      </c>
      <c r="C2723" s="12" t="inlineStr">
        <is>
          <t>Water / utilities</t>
        </is>
      </c>
      <c r="D2723" s="12" t="inlineStr">
        <is>
          <t>Motor 16 of 20: control / local station</t>
        </is>
      </c>
      <c r="E2723" s="12" t="inlineStr">
        <is>
          <t>MCC-C2</t>
        </is>
      </c>
      <c r="F2723" s="12" t="inlineStr">
        <is>
          <t>R1 MCC-C2</t>
        </is>
      </c>
      <c r="G2723" s="12" t="inlineStr">
        <is>
          <t>R-WT</t>
        </is>
      </c>
      <c r="H2723" s="12" t="inlineStr">
        <is>
          <t>Water treatment building (incl. R-WT electrical room)</t>
        </is>
      </c>
      <c r="I2723" s="12" t="inlineStr">
        <is>
          <t>Control</t>
        </is>
      </c>
      <c r="J2723" s="12" t="inlineStr">
        <is>
          <t>Control cable 600 V Type TC-ER, Cu #14 AWG, PVC jacket</t>
        </is>
      </c>
      <c r="K2723" s="12" t="inlineStr">
        <is>
          <t>CT|7/C|14</t>
        </is>
      </c>
      <c r="L2723" s="12" t="inlineStr">
        <is>
          <t>7/C</t>
        </is>
      </c>
      <c r="M2723" s="12" t="inlineStr">
        <is>
          <t>14</t>
        </is>
      </c>
      <c r="N2723" s="12" t="n">
        <v>1</v>
      </c>
      <c r="O2723" s="12" t="n">
        <v>1</v>
      </c>
      <c r="P2723" s="12" t="n"/>
      <c r="Q2723" s="12" t="n"/>
      <c r="R2723" s="12" t="n"/>
      <c r="S2723" s="12" t="inlineStr">
        <is>
          <t>Duct bank</t>
        </is>
      </c>
      <c r="T2723" s="16" t="n">
        <v>1629</v>
      </c>
      <c r="U2723" s="16" t="n">
        <v>145</v>
      </c>
      <c r="V2723" s="16">
        <f>ROUNDUP((T2723+U2723+2*'Read Me'!$B$13)*(1+'Read Me'!$B$12),-1)</f>
        <v/>
      </c>
      <c r="W2723" s="16">
        <f>V2723*N2723*O2723</f>
        <v/>
      </c>
      <c r="X2723" s="12">
        <f>IF(LEFT(I2723,2)="MV",2*N2723*IF(L2723="1/C",O2723,1),0)</f>
        <v/>
      </c>
      <c r="Y2723" s="12">
        <f>IF(OR(LEFT(K2723,4)="LVAX",LEFT(K2723,6)="MV15AX",LEFT(K2723,4)="CTAX",LEFT(K2723,2)="W|"),2*N2723*O2723,0)</f>
        <v/>
      </c>
      <c r="Z2723" s="12" t="inlineStr"/>
      <c r="AA2723" s="12">
        <f>N2723*O2723</f>
        <v/>
      </c>
    </row>
    <row r="2724">
      <c r="A2724" s="12" t="inlineStr">
        <is>
          <t>E-C-0036</t>
        </is>
      </c>
      <c r="B2724" s="12" t="inlineStr">
        <is>
          <t>E</t>
        </is>
      </c>
      <c r="C2724" s="12" t="inlineStr">
        <is>
          <t>Water / utilities</t>
        </is>
      </c>
      <c r="D2724" s="12" t="inlineStr">
        <is>
          <t>Motor 17 of 20: control / local station</t>
        </is>
      </c>
      <c r="E2724" s="12" t="inlineStr">
        <is>
          <t>MCC-C2</t>
        </is>
      </c>
      <c r="F2724" s="12" t="inlineStr">
        <is>
          <t>R1 MCC-C2</t>
        </is>
      </c>
      <c r="G2724" s="12" t="inlineStr">
        <is>
          <t>R-WT</t>
        </is>
      </c>
      <c r="H2724" s="12" t="inlineStr">
        <is>
          <t>Water treatment building (incl. R-WT electrical room)</t>
        </is>
      </c>
      <c r="I2724" s="12" t="inlineStr">
        <is>
          <t>Control</t>
        </is>
      </c>
      <c r="J2724" s="12" t="inlineStr">
        <is>
          <t>Control cable 600 V Type TC-ER, Cu #14 AWG, PVC jacket</t>
        </is>
      </c>
      <c r="K2724" s="12" t="inlineStr">
        <is>
          <t>CT|7/C|14</t>
        </is>
      </c>
      <c r="L2724" s="12" t="inlineStr">
        <is>
          <t>7/C</t>
        </is>
      </c>
      <c r="M2724" s="12" t="inlineStr">
        <is>
          <t>14</t>
        </is>
      </c>
      <c r="N2724" s="12" t="n">
        <v>1</v>
      </c>
      <c r="O2724" s="12" t="n">
        <v>1</v>
      </c>
      <c r="P2724" s="12" t="n"/>
      <c r="Q2724" s="12" t="n"/>
      <c r="R2724" s="12" t="n"/>
      <c r="S2724" s="12" t="inlineStr">
        <is>
          <t>Duct bank</t>
        </is>
      </c>
      <c r="T2724" s="16" t="n">
        <v>1629</v>
      </c>
      <c r="U2724" s="16" t="n">
        <v>145</v>
      </c>
      <c r="V2724" s="16">
        <f>ROUNDUP((T2724+U2724+2*'Read Me'!$B$13)*(1+'Read Me'!$B$12),-1)</f>
        <v/>
      </c>
      <c r="W2724" s="16">
        <f>V2724*N2724*O2724</f>
        <v/>
      </c>
      <c r="X2724" s="12">
        <f>IF(LEFT(I2724,2)="MV",2*N2724*IF(L2724="1/C",O2724,1),0)</f>
        <v/>
      </c>
      <c r="Y2724" s="12">
        <f>IF(OR(LEFT(K2724,4)="LVAX",LEFT(K2724,6)="MV15AX",LEFT(K2724,4)="CTAX",LEFT(K2724,2)="W|"),2*N2724*O2724,0)</f>
        <v/>
      </c>
      <c r="Z2724" s="12" t="inlineStr"/>
      <c r="AA2724" s="12">
        <f>N2724*O2724</f>
        <v/>
      </c>
    </row>
    <row r="2725">
      <c r="A2725" s="12" t="inlineStr">
        <is>
          <t>E-C-0037</t>
        </is>
      </c>
      <c r="B2725" s="12" t="inlineStr">
        <is>
          <t>E</t>
        </is>
      </c>
      <c r="C2725" s="12" t="inlineStr">
        <is>
          <t>Water / utilities</t>
        </is>
      </c>
      <c r="D2725" s="12" t="inlineStr">
        <is>
          <t>Motor 18 of 20: control / local station</t>
        </is>
      </c>
      <c r="E2725" s="12" t="inlineStr">
        <is>
          <t>MCC-C2</t>
        </is>
      </c>
      <c r="F2725" s="12" t="inlineStr">
        <is>
          <t>R1 MCC-C2</t>
        </is>
      </c>
      <c r="G2725" s="12" t="inlineStr">
        <is>
          <t>R-WT</t>
        </is>
      </c>
      <c r="H2725" s="12" t="inlineStr">
        <is>
          <t>Water treatment building (incl. R-WT electrical room)</t>
        </is>
      </c>
      <c r="I2725" s="12" t="inlineStr">
        <is>
          <t>Control</t>
        </is>
      </c>
      <c r="J2725" s="12" t="inlineStr">
        <is>
          <t>Control cable 600 V Type TC-ER, Cu #14 AWG, PVC jacket</t>
        </is>
      </c>
      <c r="K2725" s="12" t="inlineStr">
        <is>
          <t>CT|7/C|14</t>
        </is>
      </c>
      <c r="L2725" s="12" t="inlineStr">
        <is>
          <t>7/C</t>
        </is>
      </c>
      <c r="M2725" s="12" t="inlineStr">
        <is>
          <t>14</t>
        </is>
      </c>
      <c r="N2725" s="12" t="n">
        <v>1</v>
      </c>
      <c r="O2725" s="12" t="n">
        <v>1</v>
      </c>
      <c r="P2725" s="12" t="n"/>
      <c r="Q2725" s="12" t="n"/>
      <c r="R2725" s="12" t="n"/>
      <c r="S2725" s="12" t="inlineStr">
        <is>
          <t>Duct bank</t>
        </is>
      </c>
      <c r="T2725" s="16" t="n">
        <v>1629</v>
      </c>
      <c r="U2725" s="16" t="n">
        <v>145</v>
      </c>
      <c r="V2725" s="16">
        <f>ROUNDUP((T2725+U2725+2*'Read Me'!$B$13)*(1+'Read Me'!$B$12),-1)</f>
        <v/>
      </c>
      <c r="W2725" s="16">
        <f>V2725*N2725*O2725</f>
        <v/>
      </c>
      <c r="X2725" s="12">
        <f>IF(LEFT(I2725,2)="MV",2*N2725*IF(L2725="1/C",O2725,1),0)</f>
        <v/>
      </c>
      <c r="Y2725" s="12">
        <f>IF(OR(LEFT(K2725,4)="LVAX",LEFT(K2725,6)="MV15AX",LEFT(K2725,4)="CTAX",LEFT(K2725,2)="W|"),2*N2725*O2725,0)</f>
        <v/>
      </c>
      <c r="Z2725" s="12" t="inlineStr"/>
      <c r="AA2725" s="12">
        <f>N2725*O2725</f>
        <v/>
      </c>
    </row>
    <row r="2726">
      <c r="A2726" s="12" t="inlineStr">
        <is>
          <t>E-C-0038</t>
        </is>
      </c>
      <c r="B2726" s="12" t="inlineStr">
        <is>
          <t>E</t>
        </is>
      </c>
      <c r="C2726" s="12" t="inlineStr">
        <is>
          <t>Water / utilities</t>
        </is>
      </c>
      <c r="D2726" s="12" t="inlineStr">
        <is>
          <t>Motor 19 of 20: control / local station</t>
        </is>
      </c>
      <c r="E2726" s="12" t="inlineStr">
        <is>
          <t>MCC-C2</t>
        </is>
      </c>
      <c r="F2726" s="12" t="inlineStr">
        <is>
          <t>R1 MCC-C2</t>
        </is>
      </c>
      <c r="G2726" s="12" t="inlineStr">
        <is>
          <t>R-WT</t>
        </is>
      </c>
      <c r="H2726" s="12" t="inlineStr">
        <is>
          <t>Water treatment building (incl. R-WT electrical room)</t>
        </is>
      </c>
      <c r="I2726" s="12" t="inlineStr">
        <is>
          <t>Control</t>
        </is>
      </c>
      <c r="J2726" s="12" t="inlineStr">
        <is>
          <t>Control cable 600 V Type TC-ER, Cu #14 AWG, PVC jacket</t>
        </is>
      </c>
      <c r="K2726" s="12" t="inlineStr">
        <is>
          <t>CT|7/C|14</t>
        </is>
      </c>
      <c r="L2726" s="12" t="inlineStr">
        <is>
          <t>7/C</t>
        </is>
      </c>
      <c r="M2726" s="12" t="inlineStr">
        <is>
          <t>14</t>
        </is>
      </c>
      <c r="N2726" s="12" t="n">
        <v>1</v>
      </c>
      <c r="O2726" s="12" t="n">
        <v>1</v>
      </c>
      <c r="P2726" s="12" t="n"/>
      <c r="Q2726" s="12" t="n"/>
      <c r="R2726" s="12" t="n"/>
      <c r="S2726" s="12" t="inlineStr">
        <is>
          <t>Duct bank</t>
        </is>
      </c>
      <c r="T2726" s="16" t="n">
        <v>1629</v>
      </c>
      <c r="U2726" s="16" t="n">
        <v>145</v>
      </c>
      <c r="V2726" s="16">
        <f>ROUNDUP((T2726+U2726+2*'Read Me'!$B$13)*(1+'Read Me'!$B$12),-1)</f>
        <v/>
      </c>
      <c r="W2726" s="16">
        <f>V2726*N2726*O2726</f>
        <v/>
      </c>
      <c r="X2726" s="12">
        <f>IF(LEFT(I2726,2)="MV",2*N2726*IF(L2726="1/C",O2726,1),0)</f>
        <v/>
      </c>
      <c r="Y2726" s="12">
        <f>IF(OR(LEFT(K2726,4)="LVAX",LEFT(K2726,6)="MV15AX",LEFT(K2726,4)="CTAX",LEFT(K2726,2)="W|"),2*N2726*O2726,0)</f>
        <v/>
      </c>
      <c r="Z2726" s="12" t="inlineStr"/>
      <c r="AA2726" s="12">
        <f>N2726*O2726</f>
        <v/>
      </c>
    </row>
    <row r="2727">
      <c r="A2727" s="12" t="inlineStr">
        <is>
          <t>E-C-0039</t>
        </is>
      </c>
      <c r="B2727" s="12" t="inlineStr">
        <is>
          <t>E</t>
        </is>
      </c>
      <c r="C2727" s="12" t="inlineStr">
        <is>
          <t>Water / utilities</t>
        </is>
      </c>
      <c r="D2727" s="12" t="inlineStr">
        <is>
          <t>Motor 20 of 20: control / local station</t>
        </is>
      </c>
      <c r="E2727" s="12" t="inlineStr">
        <is>
          <t>MCC-C2</t>
        </is>
      </c>
      <c r="F2727" s="12" t="inlineStr">
        <is>
          <t>R1 MCC-C2</t>
        </is>
      </c>
      <c r="G2727" s="12" t="inlineStr">
        <is>
          <t>R-WT</t>
        </is>
      </c>
      <c r="H2727" s="12" t="inlineStr">
        <is>
          <t>Water treatment building (incl. R-WT electrical room)</t>
        </is>
      </c>
      <c r="I2727" s="12" t="inlineStr">
        <is>
          <t>Control</t>
        </is>
      </c>
      <c r="J2727" s="12" t="inlineStr">
        <is>
          <t>Control cable 600 V Type TC-ER, Cu #14 AWG, PVC jacket</t>
        </is>
      </c>
      <c r="K2727" s="12" t="inlineStr">
        <is>
          <t>CT|7/C|14</t>
        </is>
      </c>
      <c r="L2727" s="12" t="inlineStr">
        <is>
          <t>7/C</t>
        </is>
      </c>
      <c r="M2727" s="12" t="inlineStr">
        <is>
          <t>14</t>
        </is>
      </c>
      <c r="N2727" s="12" t="n">
        <v>1</v>
      </c>
      <c r="O2727" s="12" t="n">
        <v>1</v>
      </c>
      <c r="P2727" s="12" t="n"/>
      <c r="Q2727" s="12" t="n"/>
      <c r="R2727" s="12" t="n"/>
      <c r="S2727" s="12" t="inlineStr">
        <is>
          <t>Duct bank</t>
        </is>
      </c>
      <c r="T2727" s="16" t="n">
        <v>1629</v>
      </c>
      <c r="U2727" s="16" t="n">
        <v>145</v>
      </c>
      <c r="V2727" s="16">
        <f>ROUNDUP((T2727+U2727+2*'Read Me'!$B$13)*(1+'Read Me'!$B$12),-1)</f>
        <v/>
      </c>
      <c r="W2727" s="16">
        <f>V2727*N2727*O2727</f>
        <v/>
      </c>
      <c r="X2727" s="12">
        <f>IF(LEFT(I2727,2)="MV",2*N2727*IF(L2727="1/C",O2727,1),0)</f>
        <v/>
      </c>
      <c r="Y2727" s="12">
        <f>IF(OR(LEFT(K2727,4)="LVAX",LEFT(K2727,6)="MV15AX",LEFT(K2727,4)="CTAX",LEFT(K2727,2)="W|"),2*N2727*O2727,0)</f>
        <v/>
      </c>
      <c r="Z2727" s="12" t="inlineStr"/>
      <c r="AA2727" s="12">
        <f>N2727*O2727</f>
        <v/>
      </c>
    </row>
    <row r="2728">
      <c r="A2728" s="12" t="inlineStr">
        <is>
          <t>E-F-0001</t>
        </is>
      </c>
      <c r="B2728" s="12" t="inlineStr">
        <is>
          <t>E</t>
        </is>
      </c>
      <c r="C2728" s="12" t="inlineStr">
        <is>
          <t>Water / utilities</t>
        </is>
      </c>
      <c r="D2728" s="12" t="inlineStr">
        <is>
          <t>Plant network / DCS fibre</t>
        </is>
      </c>
      <c r="E2728" s="12" t="inlineStr">
        <is>
          <t>CR</t>
        </is>
      </c>
      <c r="F2728" s="12" t="inlineStr">
        <is>
          <t>Control / admin building (main control room)</t>
        </is>
      </c>
      <c r="G2728" s="12" t="inlineStr">
        <is>
          <t>R-WT</t>
        </is>
      </c>
      <c r="H2728" s="12" t="inlineStr">
        <is>
          <t>Water treatment building (incl. R-WT electrical room)</t>
        </is>
      </c>
      <c r="I2728" s="12" t="inlineStr">
        <is>
          <t>Fibre / data</t>
        </is>
      </c>
      <c r="J2728" s="12" t="inlineStr">
        <is>
          <t>Fibre optic, single-mode, 12-fibre, armored, orange jacket</t>
        </is>
      </c>
      <c r="K2728" s="12" t="inlineStr">
        <is>
          <t>FO|12 SM|-</t>
        </is>
      </c>
      <c r="L2728" s="12" t="inlineStr">
        <is>
          <t>12 SM</t>
        </is>
      </c>
      <c r="M2728" s="12" t="inlineStr">
        <is>
          <t>-</t>
        </is>
      </c>
      <c r="N2728" s="12" t="n">
        <v>1</v>
      </c>
      <c r="O2728" s="12" t="n">
        <v>1</v>
      </c>
      <c r="P2728" s="12" t="n"/>
      <c r="Q2728" s="12" t="n"/>
      <c r="R2728" s="12" t="n"/>
      <c r="S2728" s="12" t="inlineStr">
        <is>
          <t>Duct bank</t>
        </is>
      </c>
      <c r="T2728" s="16" t="n">
        <v>1251</v>
      </c>
      <c r="U2728" s="16" t="n">
        <v>32</v>
      </c>
      <c r="V2728" s="16">
        <f>ROUNDUP((T2728+U2728+2*'Read Me'!$B$13)*(1+'Read Me'!$B$12),-1)</f>
        <v/>
      </c>
      <c r="W2728" s="16">
        <f>V2728*N2728*O2728</f>
        <v/>
      </c>
      <c r="X2728" s="12">
        <f>IF(LEFT(I2728,2)="MV",2*N2728*IF(L2728="1/C",O2728,1),0)</f>
        <v/>
      </c>
      <c r="Y2728" s="12">
        <f>IF(OR(LEFT(K2728,4)="LVAX",LEFT(K2728,6)="MV15AX",LEFT(K2728,4)="CTAX",LEFT(K2728,2)="W|"),2*N2728*O2728,0)</f>
        <v/>
      </c>
      <c r="Z2728" s="12" t="inlineStr"/>
      <c r="AA2728" s="12">
        <f>N2728*O2728</f>
        <v/>
      </c>
    </row>
    <row r="2729">
      <c r="A2729" s="12" t="inlineStr">
        <is>
          <t>E-FA-0001</t>
        </is>
      </c>
      <c r="B2729" s="12" t="inlineStr">
        <is>
          <t>E</t>
        </is>
      </c>
      <c r="C2729" s="12" t="inlineStr">
        <is>
          <t>Water / utilities</t>
        </is>
      </c>
      <c r="D2729" s="12" t="inlineStr">
        <is>
          <t>Fire alarm / F&amp;G loop (to the local FACP / F&amp;G node)</t>
        </is>
      </c>
      <c r="E2729" s="12" t="inlineStr">
        <is>
          <t>R-WT</t>
        </is>
      </c>
      <c r="F2729" s="12" t="inlineStr">
        <is>
          <t>Water treatment building (incl. R-WT electrical room)</t>
        </is>
      </c>
      <c r="G2729" s="12" t="inlineStr"/>
      <c r="H2729" s="12" t="inlineStr">
        <is>
          <t>Auxiliary boiler</t>
        </is>
      </c>
      <c r="I2729" s="12" t="inlineStr">
        <is>
          <t>Fire alarm</t>
        </is>
      </c>
      <c r="J2729" s="12" t="inlineStr">
        <is>
          <t>Fire alarm FPLR 2/C #14 shielded, red jacket (NEC 760)</t>
        </is>
      </c>
      <c r="K2729" s="12" t="inlineStr">
        <is>
          <t>FA|2/C|14</t>
        </is>
      </c>
      <c r="L2729" s="12" t="inlineStr">
        <is>
          <t>2/C</t>
        </is>
      </c>
      <c r="M2729" s="12" t="inlineStr">
        <is>
          <t>14</t>
        </is>
      </c>
      <c r="N2729" s="12" t="n">
        <v>1</v>
      </c>
      <c r="O2729" s="12" t="n">
        <v>1</v>
      </c>
      <c r="P2729" s="12" t="n"/>
      <c r="Q2729" s="12" t="n"/>
      <c r="R2729" s="12" t="n"/>
      <c r="S2729" s="12" t="inlineStr">
        <is>
          <t>Duct bank</t>
        </is>
      </c>
      <c r="T2729" s="16" t="n">
        <v>370</v>
      </c>
      <c r="U2729" s="16" t="n">
        <v>52</v>
      </c>
      <c r="V2729" s="16">
        <f>ROUNDUP((T2729+U2729+2*'Read Me'!$B$13)*(1+'Read Me'!$B$12),-1)</f>
        <v/>
      </c>
      <c r="W2729" s="16">
        <f>V2729*N2729*O2729</f>
        <v/>
      </c>
      <c r="X2729" s="12">
        <f>IF(LEFT(I2729,2)="MV",2*N2729*IF(L2729="1/C",O2729,1),0)</f>
        <v/>
      </c>
      <c r="Y2729" s="12">
        <f>IF(OR(LEFT(K2729,4)="LVAX",LEFT(K2729,6)="MV15AX",LEFT(K2729,4)="CTAX",LEFT(K2729,2)="W|"),2*N2729*O2729,0)</f>
        <v/>
      </c>
      <c r="Z2729" s="12" t="inlineStr"/>
      <c r="AA2729" s="12">
        <f>N2729*O2729</f>
        <v/>
      </c>
    </row>
    <row r="2730">
      <c r="A2730" s="12" t="inlineStr">
        <is>
          <t>E-FA-0002</t>
        </is>
      </c>
      <c r="B2730" s="12" t="inlineStr">
        <is>
          <t>E</t>
        </is>
      </c>
      <c r="C2730" s="12" t="inlineStr">
        <is>
          <t>Water / utilities</t>
        </is>
      </c>
      <c r="D2730" s="12" t="inlineStr">
        <is>
          <t>Fire alarm / F&amp;G loop (to the local FACP / F&amp;G node)</t>
        </is>
      </c>
      <c r="E2730" s="12" t="inlineStr">
        <is>
          <t>R-WT</t>
        </is>
      </c>
      <c r="F2730" s="12" t="inlineStr">
        <is>
          <t>Water treatment building (incl. R-WT electrical room)</t>
        </is>
      </c>
      <c r="G2730" s="12" t="inlineStr"/>
      <c r="H2730" s="12" t="inlineStr">
        <is>
          <t>Fire pump house</t>
        </is>
      </c>
      <c r="I2730" s="12" t="inlineStr">
        <is>
          <t>Fire alarm</t>
        </is>
      </c>
      <c r="J2730" s="12" t="inlineStr">
        <is>
          <t>Fire alarm FPLR 2/C #14 shielded, red jacket (NEC 760)</t>
        </is>
      </c>
      <c r="K2730" s="12" t="inlineStr">
        <is>
          <t>FA|2/C|14</t>
        </is>
      </c>
      <c r="L2730" s="12" t="inlineStr">
        <is>
          <t>2/C</t>
        </is>
      </c>
      <c r="M2730" s="12" t="inlineStr">
        <is>
          <t>14</t>
        </is>
      </c>
      <c r="N2730" s="12" t="n">
        <v>1</v>
      </c>
      <c r="O2730" s="12" t="n">
        <v>1</v>
      </c>
      <c r="P2730" s="12" t="n"/>
      <c r="Q2730" s="12" t="n"/>
      <c r="R2730" s="12" t="n"/>
      <c r="S2730" s="12" t="inlineStr">
        <is>
          <t>Duct bank</t>
        </is>
      </c>
      <c r="T2730" s="16" t="n">
        <v>160</v>
      </c>
      <c r="U2730" s="16" t="n">
        <v>96</v>
      </c>
      <c r="V2730" s="16">
        <f>ROUNDUP((T2730+U2730+2*'Read Me'!$B$13)*(1+'Read Me'!$B$12),-1)</f>
        <v/>
      </c>
      <c r="W2730" s="16">
        <f>V2730*N2730*O2730</f>
        <v/>
      </c>
      <c r="X2730" s="12">
        <f>IF(LEFT(I2730,2)="MV",2*N2730*IF(L2730="1/C",O2730,1),0)</f>
        <v/>
      </c>
      <c r="Y2730" s="12">
        <f>IF(OR(LEFT(K2730,4)="LVAX",LEFT(K2730,6)="MV15AX",LEFT(K2730,4)="CTAX",LEFT(K2730,2)="W|"),2*N2730*O2730,0)</f>
        <v/>
      </c>
      <c r="Z2730" s="12" t="inlineStr"/>
      <c r="AA2730" s="12">
        <f>N2730*O2730</f>
        <v/>
      </c>
    </row>
    <row r="2731">
      <c r="A2731" s="12" t="inlineStr">
        <is>
          <t>E-FA-0003</t>
        </is>
      </c>
      <c r="B2731" s="12" t="inlineStr">
        <is>
          <t>E</t>
        </is>
      </c>
      <c r="C2731" s="12" t="inlineStr">
        <is>
          <t>Water / utilities</t>
        </is>
      </c>
      <c r="D2731" s="12" t="inlineStr">
        <is>
          <t>Fire alarm / F&amp;G loop (to the local FACP / F&amp;G node)</t>
        </is>
      </c>
      <c r="E2731" s="12" t="inlineStr">
        <is>
          <t>R-WT</t>
        </is>
      </c>
      <c r="F2731" s="12" t="inlineStr">
        <is>
          <t>Water treatment building (incl. R-WT electrical room)</t>
        </is>
      </c>
      <c r="G2731" s="12" t="inlineStr">
        <is>
          <t>R-WT</t>
        </is>
      </c>
      <c r="H2731" s="12" t="inlineStr">
        <is>
          <t>Water treatment building (incl. R-WT electrical room)</t>
        </is>
      </c>
      <c r="I2731" s="12" t="inlineStr">
        <is>
          <t>Fire alarm</t>
        </is>
      </c>
      <c r="J2731" s="12" t="inlineStr">
        <is>
          <t>Fire alarm FPLR 2/C #14 shielded, red jacket (NEC 760)</t>
        </is>
      </c>
      <c r="K2731" s="12" t="inlineStr">
        <is>
          <t>FA|2/C|14</t>
        </is>
      </c>
      <c r="L2731" s="12" t="inlineStr">
        <is>
          <t>2/C</t>
        </is>
      </c>
      <c r="M2731" s="12" t="inlineStr">
        <is>
          <t>14</t>
        </is>
      </c>
      <c r="N2731" s="12" t="n">
        <v>1</v>
      </c>
      <c r="O2731" s="12" t="n">
        <v>1</v>
      </c>
      <c r="P2731" s="12" t="n"/>
      <c r="Q2731" s="12" t="n"/>
      <c r="R2731" s="12" t="n"/>
      <c r="S2731" s="12" t="inlineStr">
        <is>
          <t>Tray</t>
        </is>
      </c>
      <c r="T2731" s="16" t="n">
        <v>0</v>
      </c>
      <c r="U2731" s="16" t="n">
        <v>32</v>
      </c>
      <c r="V2731" s="16">
        <f>ROUNDUP((T2731+U2731+2*'Read Me'!$B$13)*(1+'Read Me'!$B$12),-1)</f>
        <v/>
      </c>
      <c r="W2731" s="16">
        <f>V2731*N2731*O2731</f>
        <v/>
      </c>
      <c r="X2731" s="12">
        <f>IF(LEFT(I2731,2)="MV",2*N2731*IF(L2731="1/C",O2731,1),0)</f>
        <v/>
      </c>
      <c r="Y2731" s="12">
        <f>IF(OR(LEFT(K2731,4)="LVAX",LEFT(K2731,6)="MV15AX",LEFT(K2731,4)="CTAX",LEFT(K2731,2)="W|"),2*N2731*O2731,0)</f>
        <v/>
      </c>
      <c r="Z2731" s="12" t="inlineStr"/>
      <c r="AA2731" s="12">
        <f>N2731*O2731</f>
        <v/>
      </c>
    </row>
    <row r="2732">
      <c r="A2732" s="12" t="inlineStr">
        <is>
          <t>E-I-0001</t>
        </is>
      </c>
      <c r="B2732" s="12" t="inlineStr">
        <is>
          <t>E</t>
        </is>
      </c>
      <c r="C2732" s="12" t="inlineStr">
        <is>
          <t>Water / utilities</t>
        </is>
      </c>
      <c r="D2732" s="12" t="inlineStr">
        <is>
          <t>Analog instrument to JB JB-Ammonia storage (a-AI01: 8 x 1 pr (field cables)</t>
        </is>
      </c>
      <c r="E2732" s="12" t="inlineStr"/>
      <c r="F2732" s="12" t="inlineStr">
        <is>
          <t>Ammonia storage (aqueous, SCR reagent)</t>
        </is>
      </c>
      <c r="G2732" s="12" t="inlineStr">
        <is>
          <t>JB-Ammonia storage (a-AI01</t>
        </is>
      </c>
      <c r="H2732" s="12" t="inlineStr">
        <is>
          <t>Ammonia storage (aqueous, SCR reagent)</t>
        </is>
      </c>
      <c r="I2732" s="12" t="inlineStr">
        <is>
          <t>Instrumentation</t>
        </is>
      </c>
      <c r="J2732" s="12" t="inlineStr">
        <is>
          <t>Instrumentation PLTC / TC-ER 300 V, #18 twisted shielded pairs, overall shield</t>
        </is>
      </c>
      <c r="K2732" s="12" t="inlineStr">
        <is>
          <t>PLTC|1 pr|16</t>
        </is>
      </c>
      <c r="L2732" s="12" t="inlineStr">
        <is>
          <t>1 pr</t>
        </is>
      </c>
      <c r="M2732" s="12" t="inlineStr">
        <is>
          <t>16</t>
        </is>
      </c>
      <c r="N2732" s="12" t="n">
        <v>8</v>
      </c>
      <c r="O2732" s="12" t="n">
        <v>1</v>
      </c>
      <c r="P2732" s="12" t="n"/>
      <c r="Q2732" s="12" t="n"/>
      <c r="R2732" s="12" t="n"/>
      <c r="S2732" s="12" t="inlineStr">
        <is>
          <t>Tray / conduit</t>
        </is>
      </c>
      <c r="T2732" s="16" t="n">
        <v>90</v>
      </c>
      <c r="U2732" s="16" t="n">
        <v>10</v>
      </c>
      <c r="V2732" s="16">
        <f>ROUNDUP((T2732+U2732+2*'Read Me'!$B$13)*(1+'Read Me'!$B$12),-1)</f>
        <v/>
      </c>
      <c r="W2732" s="16">
        <f>V2732*N2732*O2732</f>
        <v/>
      </c>
      <c r="X2732" s="12">
        <f>IF(LEFT(I2732,2)="MV",2*N2732*IF(L2732="1/C",O2732,1),0)</f>
        <v/>
      </c>
      <c r="Y2732" s="12">
        <f>IF(OR(LEFT(K2732,4)="LVAX",LEFT(K2732,6)="MV15AX",LEFT(K2732,4)="CTAX",LEFT(K2732,2)="W|"),2*N2732*O2732,0)</f>
        <v/>
      </c>
      <c r="Z2732" s="12" t="inlineStr">
        <is>
          <t>device-to-JB field wiring, one cable per device</t>
        </is>
      </c>
      <c r="AA2732" s="12">
        <f>N2732*O2732</f>
        <v/>
      </c>
    </row>
    <row r="2733">
      <c r="A2733" s="12" t="inlineStr">
        <is>
          <t>E-I-0002</t>
        </is>
      </c>
      <c r="B2733" s="12" t="inlineStr">
        <is>
          <t>E</t>
        </is>
      </c>
      <c r="C2733" s="12" t="inlineStr">
        <is>
          <t>Water / utilities</t>
        </is>
      </c>
      <c r="D2733" s="12" t="inlineStr">
        <is>
          <t>Home run JB-Ammonia storage (a-AI01 to the control / marshalling room</t>
        </is>
      </c>
      <c r="E2733" s="12" t="inlineStr">
        <is>
          <t>R-WT</t>
        </is>
      </c>
      <c r="F2733" s="12" t="inlineStr">
        <is>
          <t>Water treatment building (incl. R-WT electrical room)</t>
        </is>
      </c>
      <c r="G2733" s="12" t="inlineStr">
        <is>
          <t>JB-Ammonia storage (a-AI01</t>
        </is>
      </c>
      <c r="H2733" s="12" t="inlineStr">
        <is>
          <t>Ammonia storage (aqueous, SCR reagent)</t>
        </is>
      </c>
      <c r="I2733" s="12" t="inlineStr">
        <is>
          <t>Instrumentation</t>
        </is>
      </c>
      <c r="J2733" s="12" t="inlineStr">
        <is>
          <t>Instrumentation PLTC / TC-ER 300 V, #18 twisted shielded pairs, overall shield</t>
        </is>
      </c>
      <c r="K2733" s="12" t="inlineStr">
        <is>
          <t>PLTC|24 pr|18</t>
        </is>
      </c>
      <c r="L2733" s="12" t="inlineStr">
        <is>
          <t>24 pr</t>
        </is>
      </c>
      <c r="M2733" s="12" t="inlineStr">
        <is>
          <t>18</t>
        </is>
      </c>
      <c r="N2733" s="12" t="n">
        <v>1</v>
      </c>
      <c r="O2733" s="12" t="n">
        <v>1</v>
      </c>
      <c r="P2733" s="12" t="n"/>
      <c r="Q2733" s="12" t="n"/>
      <c r="R2733" s="12" t="n"/>
      <c r="S2733" s="12" t="inlineStr">
        <is>
          <t>Duct bank</t>
        </is>
      </c>
      <c r="T2733" s="16" t="n">
        <v>292</v>
      </c>
      <c r="U2733" s="16" t="n">
        <v>32</v>
      </c>
      <c r="V2733" s="16">
        <f>ROUNDUP((T2733+U2733+2*'Read Me'!$B$13)*(1+'Read Me'!$B$12),-1)</f>
        <v/>
      </c>
      <c r="W2733" s="16">
        <f>V2733*N2733*O2733</f>
        <v/>
      </c>
      <c r="X2733" s="12">
        <f>IF(LEFT(I2733,2)="MV",2*N2733*IF(L2733="1/C",O2733,1),0)</f>
        <v/>
      </c>
      <c r="Y2733" s="12">
        <f>IF(OR(LEFT(K2733,4)="LVAX",LEFT(K2733,6)="MV15AX",LEFT(K2733,4)="CTAX",LEFT(K2733,2)="W|"),2*N2733*O2733,0)</f>
        <v/>
      </c>
      <c r="Z2733" s="12" t="inlineStr"/>
      <c r="AA2733" s="12">
        <f>N2733*O2733</f>
        <v/>
      </c>
    </row>
    <row r="2734">
      <c r="A2734" s="12" t="inlineStr">
        <is>
          <t>E-I-0003</t>
        </is>
      </c>
      <c r="B2734" s="12" t="inlineStr">
        <is>
          <t>E</t>
        </is>
      </c>
      <c r="C2734" s="12" t="inlineStr">
        <is>
          <t>Water / utilities</t>
        </is>
      </c>
      <c r="D2734" s="12" t="inlineStr">
        <is>
          <t>Discrete device to JB JB-Ammonia storage (a-DI01: 10 x 1 pr (field cables)</t>
        </is>
      </c>
      <c r="E2734" s="12" t="inlineStr"/>
      <c r="F2734" s="12" t="inlineStr">
        <is>
          <t>Ammonia storage (aqueous, SCR reagent)</t>
        </is>
      </c>
      <c r="G2734" s="12" t="inlineStr">
        <is>
          <t>JB-Ammonia storage (a-DI01</t>
        </is>
      </c>
      <c r="H2734" s="12" t="inlineStr">
        <is>
          <t>Ammonia storage (aqueous, SCR reagent)</t>
        </is>
      </c>
      <c r="I2734" s="12" t="inlineStr">
        <is>
          <t>Instrumentation</t>
        </is>
      </c>
      <c r="J2734" s="12" t="inlineStr">
        <is>
          <t>Instrumentation PLTC / TC-ER 300 V, #18 twisted shielded pairs, overall shield</t>
        </is>
      </c>
      <c r="K2734" s="12" t="inlineStr">
        <is>
          <t>PLTC|1 pr|16</t>
        </is>
      </c>
      <c r="L2734" s="12" t="inlineStr">
        <is>
          <t>1 pr</t>
        </is>
      </c>
      <c r="M2734" s="12" t="inlineStr">
        <is>
          <t>16</t>
        </is>
      </c>
      <c r="N2734" s="12" t="n">
        <v>10</v>
      </c>
      <c r="O2734" s="12" t="n">
        <v>1</v>
      </c>
      <c r="P2734" s="12" t="n"/>
      <c r="Q2734" s="12" t="n"/>
      <c r="R2734" s="12" t="n"/>
      <c r="S2734" s="12" t="inlineStr">
        <is>
          <t>Tray / conduit</t>
        </is>
      </c>
      <c r="T2734" s="16" t="n">
        <v>90</v>
      </c>
      <c r="U2734" s="16" t="n">
        <v>10</v>
      </c>
      <c r="V2734" s="16">
        <f>ROUNDUP((T2734+U2734+2*'Read Me'!$B$13)*(1+'Read Me'!$B$12),-1)</f>
        <v/>
      </c>
      <c r="W2734" s="16">
        <f>V2734*N2734*O2734</f>
        <v/>
      </c>
      <c r="X2734" s="12">
        <f>IF(LEFT(I2734,2)="MV",2*N2734*IF(L2734="1/C",O2734,1),0)</f>
        <v/>
      </c>
      <c r="Y2734" s="12">
        <f>IF(OR(LEFT(K2734,4)="LVAX",LEFT(K2734,6)="MV15AX",LEFT(K2734,4)="CTAX",LEFT(K2734,2)="W|"),2*N2734*O2734,0)</f>
        <v/>
      </c>
      <c r="Z2734" s="12" t="inlineStr">
        <is>
          <t>device-to-JB field wiring, one cable per device</t>
        </is>
      </c>
      <c r="AA2734" s="12">
        <f>N2734*O2734</f>
        <v/>
      </c>
    </row>
    <row r="2735">
      <c r="A2735" s="12" t="inlineStr">
        <is>
          <t>E-I-0004</t>
        </is>
      </c>
      <c r="B2735" s="12" t="inlineStr">
        <is>
          <t>E</t>
        </is>
      </c>
      <c r="C2735" s="12" t="inlineStr">
        <is>
          <t>Water / utilities</t>
        </is>
      </c>
      <c r="D2735" s="12" t="inlineStr">
        <is>
          <t>Home run JB-Ammonia storage (a-DI01 to the control / marshalling room</t>
        </is>
      </c>
      <c r="E2735" s="12" t="inlineStr">
        <is>
          <t>R-WT</t>
        </is>
      </c>
      <c r="F2735" s="12" t="inlineStr">
        <is>
          <t>Water treatment building (incl. R-WT electrical room)</t>
        </is>
      </c>
      <c r="G2735" s="12" t="inlineStr">
        <is>
          <t>JB-Ammonia storage (a-DI01</t>
        </is>
      </c>
      <c r="H2735" s="12" t="inlineStr">
        <is>
          <t>Ammonia storage (aqueous, SCR reagent)</t>
        </is>
      </c>
      <c r="I2735" s="12" t="inlineStr">
        <is>
          <t>Instrumentation</t>
        </is>
      </c>
      <c r="J2735" s="12" t="inlineStr">
        <is>
          <t>Instrumentation PLTC / TC-ER 300 V, #18 twisted shielded pairs, overall shield</t>
        </is>
      </c>
      <c r="K2735" s="12" t="inlineStr">
        <is>
          <t>PLTC|24 pr|18</t>
        </is>
      </c>
      <c r="L2735" s="12" t="inlineStr">
        <is>
          <t>24 pr</t>
        </is>
      </c>
      <c r="M2735" s="12" t="inlineStr">
        <is>
          <t>18</t>
        </is>
      </c>
      <c r="N2735" s="12" t="n">
        <v>1</v>
      </c>
      <c r="O2735" s="12" t="n">
        <v>1</v>
      </c>
      <c r="P2735" s="12" t="n"/>
      <c r="Q2735" s="12" t="n"/>
      <c r="R2735" s="12" t="n"/>
      <c r="S2735" s="12" t="inlineStr">
        <is>
          <t>Duct bank</t>
        </is>
      </c>
      <c r="T2735" s="16" t="n">
        <v>292</v>
      </c>
      <c r="U2735" s="16" t="n">
        <v>32</v>
      </c>
      <c r="V2735" s="16">
        <f>ROUNDUP((T2735+U2735+2*'Read Me'!$B$13)*(1+'Read Me'!$B$12),-1)</f>
        <v/>
      </c>
      <c r="W2735" s="16">
        <f>V2735*N2735*O2735</f>
        <v/>
      </c>
      <c r="X2735" s="12">
        <f>IF(LEFT(I2735,2)="MV",2*N2735*IF(L2735="1/C",O2735,1),0)</f>
        <v/>
      </c>
      <c r="Y2735" s="12">
        <f>IF(OR(LEFT(K2735,4)="LVAX",LEFT(K2735,6)="MV15AX",LEFT(K2735,4)="CTAX",LEFT(K2735,2)="W|"),2*N2735*O2735,0)</f>
        <v/>
      </c>
      <c r="Z2735" s="12" t="inlineStr"/>
      <c r="AA2735" s="12">
        <f>N2735*O2735</f>
        <v/>
      </c>
    </row>
    <row r="2736">
      <c r="A2736" s="12" t="inlineStr">
        <is>
          <t>E-I-0005</t>
        </is>
      </c>
      <c r="B2736" s="12" t="inlineStr">
        <is>
          <t>E</t>
        </is>
      </c>
      <c r="C2736" s="12" t="inlineStr">
        <is>
          <t>Water / utilities</t>
        </is>
      </c>
      <c r="D2736" s="12" t="inlineStr">
        <is>
          <t>Analog instrument to JB JB-Auxiliary boiler-AI01: 20 x 1 pr (field cables)</t>
        </is>
      </c>
      <c r="E2736" s="12" t="inlineStr"/>
      <c r="F2736" s="12" t="inlineStr">
        <is>
          <t>Auxiliary boiler</t>
        </is>
      </c>
      <c r="G2736" s="12" t="inlineStr">
        <is>
          <t>JB-Auxiliary boiler-AI01</t>
        </is>
      </c>
      <c r="H2736" s="12" t="inlineStr">
        <is>
          <t>Auxiliary boiler</t>
        </is>
      </c>
      <c r="I2736" s="12" t="inlineStr">
        <is>
          <t>Instrumentation</t>
        </is>
      </c>
      <c r="J2736" s="12" t="inlineStr">
        <is>
          <t>Instrumentation PLTC / TC-ER 300 V, #18 twisted shielded pairs, overall shield</t>
        </is>
      </c>
      <c r="K2736" s="12" t="inlineStr">
        <is>
          <t>PLTC|1 pr|16</t>
        </is>
      </c>
      <c r="L2736" s="12" t="inlineStr">
        <is>
          <t>1 pr</t>
        </is>
      </c>
      <c r="M2736" s="12" t="inlineStr">
        <is>
          <t>16</t>
        </is>
      </c>
      <c r="N2736" s="12" t="n">
        <v>20</v>
      </c>
      <c r="O2736" s="12" t="n">
        <v>1</v>
      </c>
      <c r="P2736" s="12" t="n"/>
      <c r="Q2736" s="12" t="n"/>
      <c r="R2736" s="12" t="n"/>
      <c r="S2736" s="12" t="inlineStr">
        <is>
          <t>Tray / conduit</t>
        </is>
      </c>
      <c r="T2736" s="16" t="n">
        <v>128</v>
      </c>
      <c r="U2736" s="16" t="n">
        <v>10</v>
      </c>
      <c r="V2736" s="16">
        <f>ROUNDUP((T2736+U2736+2*'Read Me'!$B$13)*(1+'Read Me'!$B$12),-1)</f>
        <v/>
      </c>
      <c r="W2736" s="16">
        <f>V2736*N2736*O2736</f>
        <v/>
      </c>
      <c r="X2736" s="12">
        <f>IF(LEFT(I2736,2)="MV",2*N2736*IF(L2736="1/C",O2736,1),0)</f>
        <v/>
      </c>
      <c r="Y2736" s="12">
        <f>IF(OR(LEFT(K2736,4)="LVAX",LEFT(K2736,6)="MV15AX",LEFT(K2736,4)="CTAX",LEFT(K2736,2)="W|"),2*N2736*O2736,0)</f>
        <v/>
      </c>
      <c r="Z2736" s="12" t="inlineStr">
        <is>
          <t>device-to-JB field wiring, one cable per device</t>
        </is>
      </c>
      <c r="AA2736" s="12">
        <f>N2736*O2736</f>
        <v/>
      </c>
    </row>
    <row r="2737">
      <c r="A2737" s="12" t="inlineStr">
        <is>
          <t>E-I-0006</t>
        </is>
      </c>
      <c r="B2737" s="12" t="inlineStr">
        <is>
          <t>E</t>
        </is>
      </c>
      <c r="C2737" s="12" t="inlineStr">
        <is>
          <t>Water / utilities</t>
        </is>
      </c>
      <c r="D2737" s="12" t="inlineStr">
        <is>
          <t>Home run JB-Auxiliary boiler-AI01 to the control / marshalling room</t>
        </is>
      </c>
      <c r="E2737" s="12" t="inlineStr">
        <is>
          <t>R-WT</t>
        </is>
      </c>
      <c r="F2737" s="12" t="inlineStr">
        <is>
          <t>Water treatment building (incl. R-WT electrical room)</t>
        </is>
      </c>
      <c r="G2737" s="12" t="inlineStr">
        <is>
          <t>JB-Auxiliary boiler-AI01</t>
        </is>
      </c>
      <c r="H2737" s="12" t="inlineStr">
        <is>
          <t>Auxiliary boiler</t>
        </is>
      </c>
      <c r="I2737" s="12" t="inlineStr">
        <is>
          <t>Instrumentation</t>
        </is>
      </c>
      <c r="J2737" s="12" t="inlineStr">
        <is>
          <t>Instrumentation PLTC / TC-ER 300 V, #18 twisted shielded pairs, overall shield</t>
        </is>
      </c>
      <c r="K2737" s="12" t="inlineStr">
        <is>
          <t>PLTC|24 pr|18</t>
        </is>
      </c>
      <c r="L2737" s="12" t="inlineStr">
        <is>
          <t>24 pr</t>
        </is>
      </c>
      <c r="M2737" s="12" t="inlineStr">
        <is>
          <t>18</t>
        </is>
      </c>
      <c r="N2737" s="12" t="n">
        <v>1</v>
      </c>
      <c r="O2737" s="12" t="n">
        <v>1</v>
      </c>
      <c r="P2737" s="12" t="n"/>
      <c r="Q2737" s="12" t="n"/>
      <c r="R2737" s="12" t="n"/>
      <c r="S2737" s="12" t="inlineStr">
        <is>
          <t>Duct bank</t>
        </is>
      </c>
      <c r="T2737" s="16" t="n">
        <v>370</v>
      </c>
      <c r="U2737" s="16" t="n">
        <v>52</v>
      </c>
      <c r="V2737" s="16">
        <f>ROUNDUP((T2737+U2737+2*'Read Me'!$B$13)*(1+'Read Me'!$B$12),-1)</f>
        <v/>
      </c>
      <c r="W2737" s="16">
        <f>V2737*N2737*O2737</f>
        <v/>
      </c>
      <c r="X2737" s="12">
        <f>IF(LEFT(I2737,2)="MV",2*N2737*IF(L2737="1/C",O2737,1),0)</f>
        <v/>
      </c>
      <c r="Y2737" s="12">
        <f>IF(OR(LEFT(K2737,4)="LVAX",LEFT(K2737,6)="MV15AX",LEFT(K2737,4)="CTAX",LEFT(K2737,2)="W|"),2*N2737*O2737,0)</f>
        <v/>
      </c>
      <c r="Z2737" s="12" t="inlineStr"/>
      <c r="AA2737" s="12">
        <f>N2737*O2737</f>
        <v/>
      </c>
    </row>
    <row r="2738">
      <c r="A2738" s="12" t="inlineStr">
        <is>
          <t>E-I-0007</t>
        </is>
      </c>
      <c r="B2738" s="12" t="inlineStr">
        <is>
          <t>E</t>
        </is>
      </c>
      <c r="C2738" s="12" t="inlineStr">
        <is>
          <t>Water / utilities</t>
        </is>
      </c>
      <c r="D2738" s="12" t="inlineStr">
        <is>
          <t>Analog instrument to JB JB-Auxiliary boiler-AI02: 5 x 1 pr (field cables)</t>
        </is>
      </c>
      <c r="E2738" s="12" t="inlineStr"/>
      <c r="F2738" s="12" t="inlineStr">
        <is>
          <t>Auxiliary boiler</t>
        </is>
      </c>
      <c r="G2738" s="12" t="inlineStr">
        <is>
          <t>JB-Auxiliary boiler-AI02</t>
        </is>
      </c>
      <c r="H2738" s="12" t="inlineStr">
        <is>
          <t>Auxiliary boiler</t>
        </is>
      </c>
      <c r="I2738" s="12" t="inlineStr">
        <is>
          <t>Instrumentation</t>
        </is>
      </c>
      <c r="J2738" s="12" t="inlineStr">
        <is>
          <t>Instrumentation PLTC / TC-ER 300 V, #18 twisted shielded pairs, overall shield</t>
        </is>
      </c>
      <c r="K2738" s="12" t="inlineStr">
        <is>
          <t>PLTC|1 pr|16</t>
        </is>
      </c>
      <c r="L2738" s="12" t="inlineStr">
        <is>
          <t>1 pr</t>
        </is>
      </c>
      <c r="M2738" s="12" t="inlineStr">
        <is>
          <t>16</t>
        </is>
      </c>
      <c r="N2738" s="12" t="n">
        <v>5</v>
      </c>
      <c r="O2738" s="12" t="n">
        <v>1</v>
      </c>
      <c r="P2738" s="12" t="n"/>
      <c r="Q2738" s="12" t="n"/>
      <c r="R2738" s="12" t="n"/>
      <c r="S2738" s="12" t="inlineStr">
        <is>
          <t>Tray / conduit</t>
        </is>
      </c>
      <c r="T2738" s="16" t="n">
        <v>128</v>
      </c>
      <c r="U2738" s="16" t="n">
        <v>10</v>
      </c>
      <c r="V2738" s="16">
        <f>ROUNDUP((T2738+U2738+2*'Read Me'!$B$13)*(1+'Read Me'!$B$12),-1)</f>
        <v/>
      </c>
      <c r="W2738" s="16">
        <f>V2738*N2738*O2738</f>
        <v/>
      </c>
      <c r="X2738" s="12">
        <f>IF(LEFT(I2738,2)="MV",2*N2738*IF(L2738="1/C",O2738,1),0)</f>
        <v/>
      </c>
      <c r="Y2738" s="12">
        <f>IF(OR(LEFT(K2738,4)="LVAX",LEFT(K2738,6)="MV15AX",LEFT(K2738,4)="CTAX",LEFT(K2738,2)="W|"),2*N2738*O2738,0)</f>
        <v/>
      </c>
      <c r="Z2738" s="12" t="inlineStr">
        <is>
          <t>device-to-JB field wiring, one cable per device</t>
        </is>
      </c>
      <c r="AA2738" s="12">
        <f>N2738*O2738</f>
        <v/>
      </c>
    </row>
    <row r="2739">
      <c r="A2739" s="12" t="inlineStr">
        <is>
          <t>E-I-0008</t>
        </is>
      </c>
      <c r="B2739" s="12" t="inlineStr">
        <is>
          <t>E</t>
        </is>
      </c>
      <c r="C2739" s="12" t="inlineStr">
        <is>
          <t>Water / utilities</t>
        </is>
      </c>
      <c r="D2739" s="12" t="inlineStr">
        <is>
          <t>Home run JB-Auxiliary boiler-AI02 to the control / marshalling room</t>
        </is>
      </c>
      <c r="E2739" s="12" t="inlineStr">
        <is>
          <t>R-WT</t>
        </is>
      </c>
      <c r="F2739" s="12" t="inlineStr">
        <is>
          <t>Water treatment building (incl. R-WT electrical room)</t>
        </is>
      </c>
      <c r="G2739" s="12" t="inlineStr">
        <is>
          <t>JB-Auxiliary boiler-AI02</t>
        </is>
      </c>
      <c r="H2739" s="12" t="inlineStr">
        <is>
          <t>Auxiliary boiler</t>
        </is>
      </c>
      <c r="I2739" s="12" t="inlineStr">
        <is>
          <t>Instrumentation</t>
        </is>
      </c>
      <c r="J2739" s="12" t="inlineStr">
        <is>
          <t>Instrumentation PLTC / TC-ER 300 V, #18 twisted shielded pairs, overall shield</t>
        </is>
      </c>
      <c r="K2739" s="12" t="inlineStr">
        <is>
          <t>PLTC|24 pr|18</t>
        </is>
      </c>
      <c r="L2739" s="12" t="inlineStr">
        <is>
          <t>24 pr</t>
        </is>
      </c>
      <c r="M2739" s="12" t="inlineStr">
        <is>
          <t>18</t>
        </is>
      </c>
      <c r="N2739" s="12" t="n">
        <v>1</v>
      </c>
      <c r="O2739" s="12" t="n">
        <v>1</v>
      </c>
      <c r="P2739" s="12" t="n"/>
      <c r="Q2739" s="12" t="n"/>
      <c r="R2739" s="12" t="n"/>
      <c r="S2739" s="12" t="inlineStr">
        <is>
          <t>Duct bank</t>
        </is>
      </c>
      <c r="T2739" s="16" t="n">
        <v>370</v>
      </c>
      <c r="U2739" s="16" t="n">
        <v>52</v>
      </c>
      <c r="V2739" s="16">
        <f>ROUNDUP((T2739+U2739+2*'Read Me'!$B$13)*(1+'Read Me'!$B$12),-1)</f>
        <v/>
      </c>
      <c r="W2739" s="16">
        <f>V2739*N2739*O2739</f>
        <v/>
      </c>
      <c r="X2739" s="12">
        <f>IF(LEFT(I2739,2)="MV",2*N2739*IF(L2739="1/C",O2739,1),0)</f>
        <v/>
      </c>
      <c r="Y2739" s="12">
        <f>IF(OR(LEFT(K2739,4)="LVAX",LEFT(K2739,6)="MV15AX",LEFT(K2739,4)="CTAX",LEFT(K2739,2)="W|"),2*N2739*O2739,0)</f>
        <v/>
      </c>
      <c r="Z2739" s="12" t="inlineStr"/>
      <c r="AA2739" s="12">
        <f>N2739*O2739</f>
        <v/>
      </c>
    </row>
    <row r="2740">
      <c r="A2740" s="12" t="inlineStr">
        <is>
          <t>E-I-0009</t>
        </is>
      </c>
      <c r="B2740" s="12" t="inlineStr">
        <is>
          <t>E</t>
        </is>
      </c>
      <c r="C2740" s="12" t="inlineStr">
        <is>
          <t>Water / utilities</t>
        </is>
      </c>
      <c r="D2740" s="12" t="inlineStr">
        <is>
          <t>Discrete device to JB JB-Auxiliary boiler-DI01: 20 x 1 pr (field cables)</t>
        </is>
      </c>
      <c r="E2740" s="12" t="inlineStr"/>
      <c r="F2740" s="12" t="inlineStr">
        <is>
          <t>Auxiliary boiler</t>
        </is>
      </c>
      <c r="G2740" s="12" t="inlineStr">
        <is>
          <t>JB-Auxiliary boiler-DI01</t>
        </is>
      </c>
      <c r="H2740" s="12" t="inlineStr">
        <is>
          <t>Auxiliary boiler</t>
        </is>
      </c>
      <c r="I2740" s="12" t="inlineStr">
        <is>
          <t>Instrumentation</t>
        </is>
      </c>
      <c r="J2740" s="12" t="inlineStr">
        <is>
          <t>Instrumentation PLTC / TC-ER 300 V, #18 twisted shielded pairs, overall shield</t>
        </is>
      </c>
      <c r="K2740" s="12" t="inlineStr">
        <is>
          <t>PLTC|1 pr|16</t>
        </is>
      </c>
      <c r="L2740" s="12" t="inlineStr">
        <is>
          <t>1 pr</t>
        </is>
      </c>
      <c r="M2740" s="12" t="inlineStr">
        <is>
          <t>16</t>
        </is>
      </c>
      <c r="N2740" s="12" t="n">
        <v>20</v>
      </c>
      <c r="O2740" s="12" t="n">
        <v>1</v>
      </c>
      <c r="P2740" s="12" t="n"/>
      <c r="Q2740" s="12" t="n"/>
      <c r="R2740" s="12" t="n"/>
      <c r="S2740" s="12" t="inlineStr">
        <is>
          <t>Tray / conduit</t>
        </is>
      </c>
      <c r="T2740" s="16" t="n">
        <v>128</v>
      </c>
      <c r="U2740" s="16" t="n">
        <v>10</v>
      </c>
      <c r="V2740" s="16">
        <f>ROUNDUP((T2740+U2740+2*'Read Me'!$B$13)*(1+'Read Me'!$B$12),-1)</f>
        <v/>
      </c>
      <c r="W2740" s="16">
        <f>V2740*N2740*O2740</f>
        <v/>
      </c>
      <c r="X2740" s="12">
        <f>IF(LEFT(I2740,2)="MV",2*N2740*IF(L2740="1/C",O2740,1),0)</f>
        <v/>
      </c>
      <c r="Y2740" s="12">
        <f>IF(OR(LEFT(K2740,4)="LVAX",LEFT(K2740,6)="MV15AX",LEFT(K2740,4)="CTAX",LEFT(K2740,2)="W|"),2*N2740*O2740,0)</f>
        <v/>
      </c>
      <c r="Z2740" s="12" t="inlineStr">
        <is>
          <t>device-to-JB field wiring, one cable per device</t>
        </is>
      </c>
      <c r="AA2740" s="12">
        <f>N2740*O2740</f>
        <v/>
      </c>
    </row>
    <row r="2741">
      <c r="A2741" s="12" t="inlineStr">
        <is>
          <t>E-I-0010</t>
        </is>
      </c>
      <c r="B2741" s="12" t="inlineStr">
        <is>
          <t>E</t>
        </is>
      </c>
      <c r="C2741" s="12" t="inlineStr">
        <is>
          <t>Water / utilities</t>
        </is>
      </c>
      <c r="D2741" s="12" t="inlineStr">
        <is>
          <t>Home run JB-Auxiliary boiler-DI01 to the control / marshalling room</t>
        </is>
      </c>
      <c r="E2741" s="12" t="inlineStr">
        <is>
          <t>R-WT</t>
        </is>
      </c>
      <c r="F2741" s="12" t="inlineStr">
        <is>
          <t>Water treatment building (incl. R-WT electrical room)</t>
        </is>
      </c>
      <c r="G2741" s="12" t="inlineStr">
        <is>
          <t>JB-Auxiliary boiler-DI01</t>
        </is>
      </c>
      <c r="H2741" s="12" t="inlineStr">
        <is>
          <t>Auxiliary boiler</t>
        </is>
      </c>
      <c r="I2741" s="12" t="inlineStr">
        <is>
          <t>Instrumentation</t>
        </is>
      </c>
      <c r="J2741" s="12" t="inlineStr">
        <is>
          <t>Instrumentation PLTC / TC-ER 300 V, #18 twisted shielded pairs, overall shield</t>
        </is>
      </c>
      <c r="K2741" s="12" t="inlineStr">
        <is>
          <t>PLTC|24 pr|18</t>
        </is>
      </c>
      <c r="L2741" s="12" t="inlineStr">
        <is>
          <t>24 pr</t>
        </is>
      </c>
      <c r="M2741" s="12" t="inlineStr">
        <is>
          <t>18</t>
        </is>
      </c>
      <c r="N2741" s="12" t="n">
        <v>1</v>
      </c>
      <c r="O2741" s="12" t="n">
        <v>1</v>
      </c>
      <c r="P2741" s="12" t="n"/>
      <c r="Q2741" s="12" t="n"/>
      <c r="R2741" s="12" t="n"/>
      <c r="S2741" s="12" t="inlineStr">
        <is>
          <t>Duct bank</t>
        </is>
      </c>
      <c r="T2741" s="16" t="n">
        <v>370</v>
      </c>
      <c r="U2741" s="16" t="n">
        <v>52</v>
      </c>
      <c r="V2741" s="16">
        <f>ROUNDUP((T2741+U2741+2*'Read Me'!$B$13)*(1+'Read Me'!$B$12),-1)</f>
        <v/>
      </c>
      <c r="W2741" s="16">
        <f>V2741*N2741*O2741</f>
        <v/>
      </c>
      <c r="X2741" s="12">
        <f>IF(LEFT(I2741,2)="MV",2*N2741*IF(L2741="1/C",O2741,1),0)</f>
        <v/>
      </c>
      <c r="Y2741" s="12">
        <f>IF(OR(LEFT(K2741,4)="LVAX",LEFT(K2741,6)="MV15AX",LEFT(K2741,4)="CTAX",LEFT(K2741,2)="W|"),2*N2741*O2741,0)</f>
        <v/>
      </c>
      <c r="Z2741" s="12" t="inlineStr"/>
      <c r="AA2741" s="12">
        <f>N2741*O2741</f>
        <v/>
      </c>
    </row>
    <row r="2742">
      <c r="A2742" s="12" t="inlineStr">
        <is>
          <t>E-I-0011</t>
        </is>
      </c>
      <c r="B2742" s="12" t="inlineStr">
        <is>
          <t>E</t>
        </is>
      </c>
      <c r="C2742" s="12" t="inlineStr">
        <is>
          <t>Water / utilities</t>
        </is>
      </c>
      <c r="D2742" s="12" t="inlineStr">
        <is>
          <t>Discrete device to JB JB-Auxiliary boiler-DI02: 5 x 1 pr (field cables)</t>
        </is>
      </c>
      <c r="E2742" s="12" t="inlineStr"/>
      <c r="F2742" s="12" t="inlineStr">
        <is>
          <t>Auxiliary boiler</t>
        </is>
      </c>
      <c r="G2742" s="12" t="inlineStr">
        <is>
          <t>JB-Auxiliary boiler-DI02</t>
        </is>
      </c>
      <c r="H2742" s="12" t="inlineStr">
        <is>
          <t>Auxiliary boiler</t>
        </is>
      </c>
      <c r="I2742" s="12" t="inlineStr">
        <is>
          <t>Instrumentation</t>
        </is>
      </c>
      <c r="J2742" s="12" t="inlineStr">
        <is>
          <t>Instrumentation PLTC / TC-ER 300 V, #18 twisted shielded pairs, overall shield</t>
        </is>
      </c>
      <c r="K2742" s="12" t="inlineStr">
        <is>
          <t>PLTC|1 pr|16</t>
        </is>
      </c>
      <c r="L2742" s="12" t="inlineStr">
        <is>
          <t>1 pr</t>
        </is>
      </c>
      <c r="M2742" s="12" t="inlineStr">
        <is>
          <t>16</t>
        </is>
      </c>
      <c r="N2742" s="12" t="n">
        <v>5</v>
      </c>
      <c r="O2742" s="12" t="n">
        <v>1</v>
      </c>
      <c r="P2742" s="12" t="n"/>
      <c r="Q2742" s="12" t="n"/>
      <c r="R2742" s="12" t="n"/>
      <c r="S2742" s="12" t="inlineStr">
        <is>
          <t>Tray / conduit</t>
        </is>
      </c>
      <c r="T2742" s="16" t="n">
        <v>128</v>
      </c>
      <c r="U2742" s="16" t="n">
        <v>10</v>
      </c>
      <c r="V2742" s="16">
        <f>ROUNDUP((T2742+U2742+2*'Read Me'!$B$13)*(1+'Read Me'!$B$12),-1)</f>
        <v/>
      </c>
      <c r="W2742" s="16">
        <f>V2742*N2742*O2742</f>
        <v/>
      </c>
      <c r="X2742" s="12">
        <f>IF(LEFT(I2742,2)="MV",2*N2742*IF(L2742="1/C",O2742,1),0)</f>
        <v/>
      </c>
      <c r="Y2742" s="12">
        <f>IF(OR(LEFT(K2742,4)="LVAX",LEFT(K2742,6)="MV15AX",LEFT(K2742,4)="CTAX",LEFT(K2742,2)="W|"),2*N2742*O2742,0)</f>
        <v/>
      </c>
      <c r="Z2742" s="12" t="inlineStr">
        <is>
          <t>device-to-JB field wiring, one cable per device</t>
        </is>
      </c>
      <c r="AA2742" s="12">
        <f>N2742*O2742</f>
        <v/>
      </c>
    </row>
    <row r="2743">
      <c r="A2743" s="12" t="inlineStr">
        <is>
          <t>E-I-0012</t>
        </is>
      </c>
      <c r="B2743" s="12" t="inlineStr">
        <is>
          <t>E</t>
        </is>
      </c>
      <c r="C2743" s="12" t="inlineStr">
        <is>
          <t>Water / utilities</t>
        </is>
      </c>
      <c r="D2743" s="12" t="inlineStr">
        <is>
          <t>Home run JB-Auxiliary boiler-DI02 to the control / marshalling room</t>
        </is>
      </c>
      <c r="E2743" s="12" t="inlineStr">
        <is>
          <t>R-WT</t>
        </is>
      </c>
      <c r="F2743" s="12" t="inlineStr">
        <is>
          <t>Water treatment building (incl. R-WT electrical room)</t>
        </is>
      </c>
      <c r="G2743" s="12" t="inlineStr">
        <is>
          <t>JB-Auxiliary boiler-DI02</t>
        </is>
      </c>
      <c r="H2743" s="12" t="inlineStr">
        <is>
          <t>Auxiliary boiler</t>
        </is>
      </c>
      <c r="I2743" s="12" t="inlineStr">
        <is>
          <t>Instrumentation</t>
        </is>
      </c>
      <c r="J2743" s="12" t="inlineStr">
        <is>
          <t>Instrumentation PLTC / TC-ER 300 V, #18 twisted shielded pairs, overall shield</t>
        </is>
      </c>
      <c r="K2743" s="12" t="inlineStr">
        <is>
          <t>PLTC|24 pr|18</t>
        </is>
      </c>
      <c r="L2743" s="12" t="inlineStr">
        <is>
          <t>24 pr</t>
        </is>
      </c>
      <c r="M2743" s="12" t="inlineStr">
        <is>
          <t>18</t>
        </is>
      </c>
      <c r="N2743" s="12" t="n">
        <v>1</v>
      </c>
      <c r="O2743" s="12" t="n">
        <v>1</v>
      </c>
      <c r="P2743" s="12" t="n"/>
      <c r="Q2743" s="12" t="n"/>
      <c r="R2743" s="12" t="n"/>
      <c r="S2743" s="12" t="inlineStr">
        <is>
          <t>Duct bank</t>
        </is>
      </c>
      <c r="T2743" s="16" t="n">
        <v>370</v>
      </c>
      <c r="U2743" s="16" t="n">
        <v>52</v>
      </c>
      <c r="V2743" s="16">
        <f>ROUNDUP((T2743+U2743+2*'Read Me'!$B$13)*(1+'Read Me'!$B$12),-1)</f>
        <v/>
      </c>
      <c r="W2743" s="16">
        <f>V2743*N2743*O2743</f>
        <v/>
      </c>
      <c r="X2743" s="12">
        <f>IF(LEFT(I2743,2)="MV",2*N2743*IF(L2743="1/C",O2743,1),0)</f>
        <v/>
      </c>
      <c r="Y2743" s="12">
        <f>IF(OR(LEFT(K2743,4)="LVAX",LEFT(K2743,6)="MV15AX",LEFT(K2743,4)="CTAX",LEFT(K2743,2)="W|"),2*N2743*O2743,0)</f>
        <v/>
      </c>
      <c r="Z2743" s="12" t="inlineStr"/>
      <c r="AA2743" s="12">
        <f>N2743*O2743</f>
        <v/>
      </c>
    </row>
    <row r="2744">
      <c r="A2744" s="12" t="inlineStr">
        <is>
          <t>E-I-0013</t>
        </is>
      </c>
      <c r="B2744" s="12" t="inlineStr">
        <is>
          <t>E</t>
        </is>
      </c>
      <c r="C2744" s="12" t="inlineStr">
        <is>
          <t>Water / utilities</t>
        </is>
      </c>
      <c r="D2744" s="12" t="inlineStr">
        <is>
          <t>Instrumentation</t>
        </is>
      </c>
      <c r="E2744" s="12" t="inlineStr">
        <is>
          <t>R-WT</t>
        </is>
      </c>
      <c r="F2744" s="12" t="inlineStr">
        <is>
          <t>Water treatment building (incl. R-WT electrical room)</t>
        </is>
      </c>
      <c r="G2744" s="12" t="inlineStr">
        <is>
          <t>CPR-2</t>
        </is>
      </c>
      <c r="H2744" s="12" t="inlineStr">
        <is>
          <t>CPR-2: cathodic-protection rectifier</t>
        </is>
      </c>
      <c r="I2744" s="12" t="inlineStr">
        <is>
          <t>Instrumentation</t>
        </is>
      </c>
      <c r="J2744" s="12" t="inlineStr">
        <is>
          <t>Instrumentation PLTC / TC-ER 300 V, #18 twisted shielded pairs, overall shield</t>
        </is>
      </c>
      <c r="K2744" s="12" t="inlineStr">
        <is>
          <t>PLTC|4 pr|18</t>
        </is>
      </c>
      <c r="L2744" s="12" t="inlineStr">
        <is>
          <t>4 pr</t>
        </is>
      </c>
      <c r="M2744" s="12" t="inlineStr">
        <is>
          <t>18</t>
        </is>
      </c>
      <c r="N2744" s="12" t="n">
        <v>1</v>
      </c>
      <c r="O2744" s="12" t="n">
        <v>1</v>
      </c>
      <c r="P2744" s="12" t="n"/>
      <c r="Q2744" s="12" t="n"/>
      <c r="R2744" s="12" t="n"/>
      <c r="S2744" s="12" t="inlineStr">
        <is>
          <t>Duct bank</t>
        </is>
      </c>
      <c r="T2744" s="16" t="n">
        <v>115</v>
      </c>
      <c r="U2744" s="16" t="n">
        <v>96</v>
      </c>
      <c r="V2744" s="16">
        <f>ROUNDUP((T2744+U2744+2*'Read Me'!$B$13)*(1+'Read Me'!$B$12),-1)</f>
        <v/>
      </c>
      <c r="W2744" s="16">
        <f>V2744*N2744*O2744</f>
        <v/>
      </c>
      <c r="X2744" s="12">
        <f>IF(LEFT(I2744,2)="MV",2*N2744*IF(L2744="1/C",O2744,1),0)</f>
        <v/>
      </c>
      <c r="Y2744" s="12">
        <f>IF(OR(LEFT(K2744,4)="LVAX",LEFT(K2744,6)="MV15AX",LEFT(K2744,4)="CTAX",LEFT(K2744,2)="W|"),2*N2744*O2744,0)</f>
        <v/>
      </c>
      <c r="Z2744" s="12" t="inlineStr"/>
      <c r="AA2744" s="12">
        <f>N2744*O2744</f>
        <v/>
      </c>
    </row>
    <row r="2745">
      <c r="A2745" s="12" t="inlineStr">
        <is>
          <t>E-I-0014</t>
        </is>
      </c>
      <c r="B2745" s="12" t="inlineStr">
        <is>
          <t>E</t>
        </is>
      </c>
      <c r="C2745" s="12" t="inlineStr">
        <is>
          <t>Water / utilities</t>
        </is>
      </c>
      <c r="D2745" s="12" t="inlineStr">
        <is>
          <t>Analog instrument to JB JB-Demineralised wate-AI01: 4 x 1 pr (field cables)</t>
        </is>
      </c>
      <c r="E2745" s="12" t="inlineStr"/>
      <c r="F2745" s="12" t="inlineStr">
        <is>
          <t>Demineralised water tank</t>
        </is>
      </c>
      <c r="G2745" s="12" t="inlineStr">
        <is>
          <t>JB-Demineralised wate-AI01</t>
        </is>
      </c>
      <c r="H2745" s="12" t="inlineStr">
        <is>
          <t>Demineralised water tank</t>
        </is>
      </c>
      <c r="I2745" s="12" t="inlineStr">
        <is>
          <t>Instrumentation</t>
        </is>
      </c>
      <c r="J2745" s="12" t="inlineStr">
        <is>
          <t>Instrumentation PLTC / TC-ER 300 V, #18 twisted shielded pairs, overall shield</t>
        </is>
      </c>
      <c r="K2745" s="12" t="inlineStr">
        <is>
          <t>PLTC|1 pr|16</t>
        </is>
      </c>
      <c r="L2745" s="12" t="inlineStr">
        <is>
          <t>1 pr</t>
        </is>
      </c>
      <c r="M2745" s="12" t="inlineStr">
        <is>
          <t>16</t>
        </is>
      </c>
      <c r="N2745" s="12" t="n">
        <v>4</v>
      </c>
      <c r="O2745" s="12" t="n">
        <v>1</v>
      </c>
      <c r="P2745" s="12" t="n"/>
      <c r="Q2745" s="12" t="n"/>
      <c r="R2745" s="12" t="n"/>
      <c r="S2745" s="12" t="inlineStr">
        <is>
          <t>Tray / conduit</t>
        </is>
      </c>
      <c r="T2745" s="16" t="n">
        <v>86</v>
      </c>
      <c r="U2745" s="16" t="n">
        <v>10</v>
      </c>
      <c r="V2745" s="16">
        <f>ROUNDUP((T2745+U2745+2*'Read Me'!$B$13)*(1+'Read Me'!$B$12),-1)</f>
        <v/>
      </c>
      <c r="W2745" s="16">
        <f>V2745*N2745*O2745</f>
        <v/>
      </c>
      <c r="X2745" s="12">
        <f>IF(LEFT(I2745,2)="MV",2*N2745*IF(L2745="1/C",O2745,1),0)</f>
        <v/>
      </c>
      <c r="Y2745" s="12">
        <f>IF(OR(LEFT(K2745,4)="LVAX",LEFT(K2745,6)="MV15AX",LEFT(K2745,4)="CTAX",LEFT(K2745,2)="W|"),2*N2745*O2745,0)</f>
        <v/>
      </c>
      <c r="Z2745" s="12" t="inlineStr">
        <is>
          <t>device-to-JB field wiring, one cable per device</t>
        </is>
      </c>
      <c r="AA2745" s="12">
        <f>N2745*O2745</f>
        <v/>
      </c>
    </row>
    <row r="2746">
      <c r="A2746" s="12" t="inlineStr">
        <is>
          <t>E-I-0015</t>
        </is>
      </c>
      <c r="B2746" s="12" t="inlineStr">
        <is>
          <t>E</t>
        </is>
      </c>
      <c r="C2746" s="12" t="inlineStr">
        <is>
          <t>Water / utilities</t>
        </is>
      </c>
      <c r="D2746" s="12" t="inlineStr">
        <is>
          <t>Home run JB-Demineralised wate-AI01 to the control / marshalling room</t>
        </is>
      </c>
      <c r="E2746" s="12" t="inlineStr">
        <is>
          <t>R-WT</t>
        </is>
      </c>
      <c r="F2746" s="12" t="inlineStr">
        <is>
          <t>Water treatment building (incl. R-WT electrical room)</t>
        </is>
      </c>
      <c r="G2746" s="12" t="inlineStr">
        <is>
          <t>JB-Demineralised wate-AI01</t>
        </is>
      </c>
      <c r="H2746" s="12" t="inlineStr">
        <is>
          <t>Demineralised water tank</t>
        </is>
      </c>
      <c r="I2746" s="12" t="inlineStr">
        <is>
          <t>Instrumentation</t>
        </is>
      </c>
      <c r="J2746" s="12" t="inlineStr">
        <is>
          <t>Instrumentation PLTC / TC-ER 300 V, #18 twisted shielded pairs, overall shield</t>
        </is>
      </c>
      <c r="K2746" s="12" t="inlineStr">
        <is>
          <t>PLTC|24 pr|18</t>
        </is>
      </c>
      <c r="L2746" s="12" t="inlineStr">
        <is>
          <t>24 pr</t>
        </is>
      </c>
      <c r="M2746" s="12" t="inlineStr">
        <is>
          <t>18</t>
        </is>
      </c>
      <c r="N2746" s="12" t="n">
        <v>1</v>
      </c>
      <c r="O2746" s="12" t="n">
        <v>1</v>
      </c>
      <c r="P2746" s="12" t="n"/>
      <c r="Q2746" s="12" t="n"/>
      <c r="R2746" s="12" t="n"/>
      <c r="S2746" s="12" t="inlineStr">
        <is>
          <t>Duct bank</t>
        </is>
      </c>
      <c r="T2746" s="16" t="n">
        <v>28</v>
      </c>
      <c r="U2746" s="16" t="n">
        <v>123</v>
      </c>
      <c r="V2746" s="16">
        <f>ROUNDUP((T2746+U2746+2*'Read Me'!$B$13)*(1+'Read Me'!$B$12),-1)</f>
        <v/>
      </c>
      <c r="W2746" s="16">
        <f>V2746*N2746*O2746</f>
        <v/>
      </c>
      <c r="X2746" s="12">
        <f>IF(LEFT(I2746,2)="MV",2*N2746*IF(L2746="1/C",O2746,1),0)</f>
        <v/>
      </c>
      <c r="Y2746" s="12">
        <f>IF(OR(LEFT(K2746,4)="LVAX",LEFT(K2746,6)="MV15AX",LEFT(K2746,4)="CTAX",LEFT(K2746,2)="W|"),2*N2746*O2746,0)</f>
        <v/>
      </c>
      <c r="Z2746" s="12" t="inlineStr"/>
      <c r="AA2746" s="12">
        <f>N2746*O2746</f>
        <v/>
      </c>
    </row>
    <row r="2747">
      <c r="A2747" s="12" t="inlineStr">
        <is>
          <t>E-I-0016</t>
        </is>
      </c>
      <c r="B2747" s="12" t="inlineStr">
        <is>
          <t>E</t>
        </is>
      </c>
      <c r="C2747" s="12" t="inlineStr">
        <is>
          <t>Water / utilities</t>
        </is>
      </c>
      <c r="D2747" s="12" t="inlineStr">
        <is>
          <t>Discrete device to JB JB-Demineralised wate-DI01: 4 x 1 pr (field cables)</t>
        </is>
      </c>
      <c r="E2747" s="12" t="inlineStr"/>
      <c r="F2747" s="12" t="inlineStr">
        <is>
          <t>Demineralised water tank</t>
        </is>
      </c>
      <c r="G2747" s="12" t="inlineStr">
        <is>
          <t>JB-Demineralised wate-DI01</t>
        </is>
      </c>
      <c r="H2747" s="12" t="inlineStr">
        <is>
          <t>Demineralised water tank</t>
        </is>
      </c>
      <c r="I2747" s="12" t="inlineStr">
        <is>
          <t>Instrumentation</t>
        </is>
      </c>
      <c r="J2747" s="12" t="inlineStr">
        <is>
          <t>Instrumentation PLTC / TC-ER 300 V, #18 twisted shielded pairs, overall shield</t>
        </is>
      </c>
      <c r="K2747" s="12" t="inlineStr">
        <is>
          <t>PLTC|1 pr|16</t>
        </is>
      </c>
      <c r="L2747" s="12" t="inlineStr">
        <is>
          <t>1 pr</t>
        </is>
      </c>
      <c r="M2747" s="12" t="inlineStr">
        <is>
          <t>16</t>
        </is>
      </c>
      <c r="N2747" s="12" t="n">
        <v>4</v>
      </c>
      <c r="O2747" s="12" t="n">
        <v>1</v>
      </c>
      <c r="P2747" s="12" t="n"/>
      <c r="Q2747" s="12" t="n"/>
      <c r="R2747" s="12" t="n"/>
      <c r="S2747" s="12" t="inlineStr">
        <is>
          <t>Tray / conduit</t>
        </is>
      </c>
      <c r="T2747" s="16" t="n">
        <v>86</v>
      </c>
      <c r="U2747" s="16" t="n">
        <v>10</v>
      </c>
      <c r="V2747" s="16">
        <f>ROUNDUP((T2747+U2747+2*'Read Me'!$B$13)*(1+'Read Me'!$B$12),-1)</f>
        <v/>
      </c>
      <c r="W2747" s="16">
        <f>V2747*N2747*O2747</f>
        <v/>
      </c>
      <c r="X2747" s="12">
        <f>IF(LEFT(I2747,2)="MV",2*N2747*IF(L2747="1/C",O2747,1),0)</f>
        <v/>
      </c>
      <c r="Y2747" s="12">
        <f>IF(OR(LEFT(K2747,4)="LVAX",LEFT(K2747,6)="MV15AX",LEFT(K2747,4)="CTAX",LEFT(K2747,2)="W|"),2*N2747*O2747,0)</f>
        <v/>
      </c>
      <c r="Z2747" s="12" t="inlineStr">
        <is>
          <t>device-to-JB field wiring, one cable per device</t>
        </is>
      </c>
      <c r="AA2747" s="12">
        <f>N2747*O2747</f>
        <v/>
      </c>
    </row>
    <row r="2748">
      <c r="A2748" s="12" t="inlineStr">
        <is>
          <t>E-I-0017</t>
        </is>
      </c>
      <c r="B2748" s="12" t="inlineStr">
        <is>
          <t>E</t>
        </is>
      </c>
      <c r="C2748" s="12" t="inlineStr">
        <is>
          <t>Water / utilities</t>
        </is>
      </c>
      <c r="D2748" s="12" t="inlineStr">
        <is>
          <t>Home run JB-Demineralised wate-DI01 to the control / marshalling room</t>
        </is>
      </c>
      <c r="E2748" s="12" t="inlineStr">
        <is>
          <t>R-WT</t>
        </is>
      </c>
      <c r="F2748" s="12" t="inlineStr">
        <is>
          <t>Water treatment building (incl. R-WT electrical room)</t>
        </is>
      </c>
      <c r="G2748" s="12" t="inlineStr">
        <is>
          <t>JB-Demineralised wate-DI01</t>
        </is>
      </c>
      <c r="H2748" s="12" t="inlineStr">
        <is>
          <t>Demineralised water tank</t>
        </is>
      </c>
      <c r="I2748" s="12" t="inlineStr">
        <is>
          <t>Instrumentation</t>
        </is>
      </c>
      <c r="J2748" s="12" t="inlineStr">
        <is>
          <t>Instrumentation PLTC / TC-ER 300 V, #18 twisted shielded pairs, overall shield</t>
        </is>
      </c>
      <c r="K2748" s="12" t="inlineStr">
        <is>
          <t>PLTC|24 pr|18</t>
        </is>
      </c>
      <c r="L2748" s="12" t="inlineStr">
        <is>
          <t>24 pr</t>
        </is>
      </c>
      <c r="M2748" s="12" t="inlineStr">
        <is>
          <t>18</t>
        </is>
      </c>
      <c r="N2748" s="12" t="n">
        <v>1</v>
      </c>
      <c r="O2748" s="12" t="n">
        <v>1</v>
      </c>
      <c r="P2748" s="12" t="n"/>
      <c r="Q2748" s="12" t="n"/>
      <c r="R2748" s="12" t="n"/>
      <c r="S2748" s="12" t="inlineStr">
        <is>
          <t>Duct bank</t>
        </is>
      </c>
      <c r="T2748" s="16" t="n">
        <v>28</v>
      </c>
      <c r="U2748" s="16" t="n">
        <v>123</v>
      </c>
      <c r="V2748" s="16">
        <f>ROUNDUP((T2748+U2748+2*'Read Me'!$B$13)*(1+'Read Me'!$B$12),-1)</f>
        <v/>
      </c>
      <c r="W2748" s="16">
        <f>V2748*N2748*O2748</f>
        <v/>
      </c>
      <c r="X2748" s="12">
        <f>IF(LEFT(I2748,2)="MV",2*N2748*IF(L2748="1/C",O2748,1),0)</f>
        <v/>
      </c>
      <c r="Y2748" s="12">
        <f>IF(OR(LEFT(K2748,4)="LVAX",LEFT(K2748,6)="MV15AX",LEFT(K2748,4)="CTAX",LEFT(K2748,2)="W|"),2*N2748*O2748,0)</f>
        <v/>
      </c>
      <c r="Z2748" s="12" t="inlineStr"/>
      <c r="AA2748" s="12">
        <f>N2748*O2748</f>
        <v/>
      </c>
    </row>
    <row r="2749">
      <c r="A2749" s="12" t="inlineStr">
        <is>
          <t>E-I-0018</t>
        </is>
      </c>
      <c r="B2749" s="12" t="inlineStr">
        <is>
          <t>E</t>
        </is>
      </c>
      <c r="C2749" s="12" t="inlineStr">
        <is>
          <t>Water / utilities</t>
        </is>
      </c>
      <c r="D2749" s="12" t="inlineStr">
        <is>
          <t>Analog instrument to JB JB-Fire / service wat-AI01: 4 x 1 pr (field cables)</t>
        </is>
      </c>
      <c r="E2749" s="12" t="inlineStr"/>
      <c r="F2749" s="12" t="inlineStr">
        <is>
          <t>Fire / service water tank</t>
        </is>
      </c>
      <c r="G2749" s="12" t="inlineStr">
        <is>
          <t>JB-Fire / service wat-AI01</t>
        </is>
      </c>
      <c r="H2749" s="12" t="inlineStr">
        <is>
          <t>Fire / service water tank</t>
        </is>
      </c>
      <c r="I2749" s="12" t="inlineStr">
        <is>
          <t>Instrumentation</t>
        </is>
      </c>
      <c r="J2749" s="12" t="inlineStr">
        <is>
          <t>Instrumentation PLTC / TC-ER 300 V, #18 twisted shielded pairs, overall shield</t>
        </is>
      </c>
      <c r="K2749" s="12" t="inlineStr">
        <is>
          <t>PLTC|1 pr|16</t>
        </is>
      </c>
      <c r="L2749" s="12" t="inlineStr">
        <is>
          <t>1 pr</t>
        </is>
      </c>
      <c r="M2749" s="12" t="inlineStr">
        <is>
          <t>16</t>
        </is>
      </c>
      <c r="N2749" s="12" t="n">
        <v>4</v>
      </c>
      <c r="O2749" s="12" t="n">
        <v>1</v>
      </c>
      <c r="P2749" s="12" t="n"/>
      <c r="Q2749" s="12" t="n"/>
      <c r="R2749" s="12" t="n"/>
      <c r="S2749" s="12" t="inlineStr">
        <is>
          <t>Tray / conduit</t>
        </is>
      </c>
      <c r="T2749" s="16" t="n">
        <v>95</v>
      </c>
      <c r="U2749" s="16" t="n">
        <v>10</v>
      </c>
      <c r="V2749" s="16">
        <f>ROUNDUP((T2749+U2749+2*'Read Me'!$B$13)*(1+'Read Me'!$B$12),-1)</f>
        <v/>
      </c>
      <c r="W2749" s="16">
        <f>V2749*N2749*O2749</f>
        <v/>
      </c>
      <c r="X2749" s="12">
        <f>IF(LEFT(I2749,2)="MV",2*N2749*IF(L2749="1/C",O2749,1),0)</f>
        <v/>
      </c>
      <c r="Y2749" s="12">
        <f>IF(OR(LEFT(K2749,4)="LVAX",LEFT(K2749,6)="MV15AX",LEFT(K2749,4)="CTAX",LEFT(K2749,2)="W|"),2*N2749*O2749,0)</f>
        <v/>
      </c>
      <c r="Z2749" s="12" t="inlineStr">
        <is>
          <t>device-to-JB field wiring, one cable per device</t>
        </is>
      </c>
      <c r="AA2749" s="12">
        <f>N2749*O2749</f>
        <v/>
      </c>
    </row>
    <row r="2750">
      <c r="A2750" s="12" t="inlineStr">
        <is>
          <t>E-I-0019</t>
        </is>
      </c>
      <c r="B2750" s="12" t="inlineStr">
        <is>
          <t>E</t>
        </is>
      </c>
      <c r="C2750" s="12" t="inlineStr">
        <is>
          <t>Water / utilities</t>
        </is>
      </c>
      <c r="D2750" s="12" t="inlineStr">
        <is>
          <t>Home run JB-Fire / service wat-AI01 to the control / marshalling room</t>
        </is>
      </c>
      <c r="E2750" s="12" t="inlineStr">
        <is>
          <t>R-WT</t>
        </is>
      </c>
      <c r="F2750" s="12" t="inlineStr">
        <is>
          <t>Water treatment building (incl. R-WT electrical room)</t>
        </is>
      </c>
      <c r="G2750" s="12" t="inlineStr">
        <is>
          <t>JB-Fire / service wat-AI01</t>
        </is>
      </c>
      <c r="H2750" s="12" t="inlineStr">
        <is>
          <t>Fire / service water tank</t>
        </is>
      </c>
      <c r="I2750" s="12" t="inlineStr">
        <is>
          <t>Instrumentation</t>
        </is>
      </c>
      <c r="J2750" s="12" t="inlineStr">
        <is>
          <t>Instrumentation PLTC / TC-ER 300 V, #18 twisted shielded pairs, overall shield</t>
        </is>
      </c>
      <c r="K2750" s="12" t="inlineStr">
        <is>
          <t>PLTC|24 pr|18</t>
        </is>
      </c>
      <c r="L2750" s="12" t="inlineStr">
        <is>
          <t>24 pr</t>
        </is>
      </c>
      <c r="M2750" s="12" t="inlineStr">
        <is>
          <t>18</t>
        </is>
      </c>
      <c r="N2750" s="12" t="n">
        <v>1</v>
      </c>
      <c r="O2750" s="12" t="n">
        <v>1</v>
      </c>
      <c r="P2750" s="12" t="n"/>
      <c r="Q2750" s="12" t="n"/>
      <c r="R2750" s="12" t="n"/>
      <c r="S2750" s="12" t="inlineStr">
        <is>
          <t>Duct bank</t>
        </is>
      </c>
      <c r="T2750" s="16" t="n">
        <v>0</v>
      </c>
      <c r="U2750" s="16" t="n">
        <v>100</v>
      </c>
      <c r="V2750" s="16">
        <f>ROUNDUP((T2750+U2750+2*'Read Me'!$B$13)*(1+'Read Me'!$B$12),-1)</f>
        <v/>
      </c>
      <c r="W2750" s="16">
        <f>V2750*N2750*O2750</f>
        <v/>
      </c>
      <c r="X2750" s="12">
        <f>IF(LEFT(I2750,2)="MV",2*N2750*IF(L2750="1/C",O2750,1),0)</f>
        <v/>
      </c>
      <c r="Y2750" s="12">
        <f>IF(OR(LEFT(K2750,4)="LVAX",LEFT(K2750,6)="MV15AX",LEFT(K2750,4)="CTAX",LEFT(K2750,2)="W|"),2*N2750*O2750,0)</f>
        <v/>
      </c>
      <c r="Z2750" s="12" t="inlineStr"/>
      <c r="AA2750" s="12">
        <f>N2750*O2750</f>
        <v/>
      </c>
    </row>
    <row r="2751">
      <c r="A2751" s="12" t="inlineStr">
        <is>
          <t>E-I-0020</t>
        </is>
      </c>
      <c r="B2751" s="12" t="inlineStr">
        <is>
          <t>E</t>
        </is>
      </c>
      <c r="C2751" s="12" t="inlineStr">
        <is>
          <t>Water / utilities</t>
        </is>
      </c>
      <c r="D2751" s="12" t="inlineStr">
        <is>
          <t>Discrete device to JB JB-Fire / service wat-DI01: 4 x 1 pr (field cables)</t>
        </is>
      </c>
      <c r="E2751" s="12" t="inlineStr"/>
      <c r="F2751" s="12" t="inlineStr">
        <is>
          <t>Fire / service water tank</t>
        </is>
      </c>
      <c r="G2751" s="12" t="inlineStr">
        <is>
          <t>JB-Fire / service wat-DI01</t>
        </is>
      </c>
      <c r="H2751" s="12" t="inlineStr">
        <is>
          <t>Fire / service water tank</t>
        </is>
      </c>
      <c r="I2751" s="12" t="inlineStr">
        <is>
          <t>Instrumentation</t>
        </is>
      </c>
      <c r="J2751" s="12" t="inlineStr">
        <is>
          <t>Instrumentation PLTC / TC-ER 300 V, #18 twisted shielded pairs, overall shield</t>
        </is>
      </c>
      <c r="K2751" s="12" t="inlineStr">
        <is>
          <t>PLTC|1 pr|16</t>
        </is>
      </c>
      <c r="L2751" s="12" t="inlineStr">
        <is>
          <t>1 pr</t>
        </is>
      </c>
      <c r="M2751" s="12" t="inlineStr">
        <is>
          <t>16</t>
        </is>
      </c>
      <c r="N2751" s="12" t="n">
        <v>4</v>
      </c>
      <c r="O2751" s="12" t="n">
        <v>1</v>
      </c>
      <c r="P2751" s="12" t="n"/>
      <c r="Q2751" s="12" t="n"/>
      <c r="R2751" s="12" t="n"/>
      <c r="S2751" s="12" t="inlineStr">
        <is>
          <t>Tray / conduit</t>
        </is>
      </c>
      <c r="T2751" s="16" t="n">
        <v>95</v>
      </c>
      <c r="U2751" s="16" t="n">
        <v>10</v>
      </c>
      <c r="V2751" s="16">
        <f>ROUNDUP((T2751+U2751+2*'Read Me'!$B$13)*(1+'Read Me'!$B$12),-1)</f>
        <v/>
      </c>
      <c r="W2751" s="16">
        <f>V2751*N2751*O2751</f>
        <v/>
      </c>
      <c r="X2751" s="12">
        <f>IF(LEFT(I2751,2)="MV",2*N2751*IF(L2751="1/C",O2751,1),0)</f>
        <v/>
      </c>
      <c r="Y2751" s="12">
        <f>IF(OR(LEFT(K2751,4)="LVAX",LEFT(K2751,6)="MV15AX",LEFT(K2751,4)="CTAX",LEFT(K2751,2)="W|"),2*N2751*O2751,0)</f>
        <v/>
      </c>
      <c r="Z2751" s="12" t="inlineStr">
        <is>
          <t>device-to-JB field wiring, one cable per device</t>
        </is>
      </c>
      <c r="AA2751" s="12">
        <f>N2751*O2751</f>
        <v/>
      </c>
    </row>
    <row r="2752">
      <c r="A2752" s="12" t="inlineStr">
        <is>
          <t>E-I-0021</t>
        </is>
      </c>
      <c r="B2752" s="12" t="inlineStr">
        <is>
          <t>E</t>
        </is>
      </c>
      <c r="C2752" s="12" t="inlineStr">
        <is>
          <t>Water / utilities</t>
        </is>
      </c>
      <c r="D2752" s="12" t="inlineStr">
        <is>
          <t>Home run JB-Fire / service wat-DI01 to the control / marshalling room</t>
        </is>
      </c>
      <c r="E2752" s="12" t="inlineStr">
        <is>
          <t>R-WT</t>
        </is>
      </c>
      <c r="F2752" s="12" t="inlineStr">
        <is>
          <t>Water treatment building (incl. R-WT electrical room)</t>
        </is>
      </c>
      <c r="G2752" s="12" t="inlineStr">
        <is>
          <t>JB-Fire / service wat-DI01</t>
        </is>
      </c>
      <c r="H2752" s="12" t="inlineStr">
        <is>
          <t>Fire / service water tank</t>
        </is>
      </c>
      <c r="I2752" s="12" t="inlineStr">
        <is>
          <t>Instrumentation</t>
        </is>
      </c>
      <c r="J2752" s="12" t="inlineStr">
        <is>
          <t>Instrumentation PLTC / TC-ER 300 V, #18 twisted shielded pairs, overall shield</t>
        </is>
      </c>
      <c r="K2752" s="12" t="inlineStr">
        <is>
          <t>PLTC|24 pr|18</t>
        </is>
      </c>
      <c r="L2752" s="12" t="inlineStr">
        <is>
          <t>24 pr</t>
        </is>
      </c>
      <c r="M2752" s="12" t="inlineStr">
        <is>
          <t>18</t>
        </is>
      </c>
      <c r="N2752" s="12" t="n">
        <v>1</v>
      </c>
      <c r="O2752" s="12" t="n">
        <v>1</v>
      </c>
      <c r="P2752" s="12" t="n"/>
      <c r="Q2752" s="12" t="n"/>
      <c r="R2752" s="12" t="n"/>
      <c r="S2752" s="12" t="inlineStr">
        <is>
          <t>Duct bank</t>
        </is>
      </c>
      <c r="T2752" s="16" t="n">
        <v>0</v>
      </c>
      <c r="U2752" s="16" t="n">
        <v>100</v>
      </c>
      <c r="V2752" s="16">
        <f>ROUNDUP((T2752+U2752+2*'Read Me'!$B$13)*(1+'Read Me'!$B$12),-1)</f>
        <v/>
      </c>
      <c r="W2752" s="16">
        <f>V2752*N2752*O2752</f>
        <v/>
      </c>
      <c r="X2752" s="12">
        <f>IF(LEFT(I2752,2)="MV",2*N2752*IF(L2752="1/C",O2752,1),0)</f>
        <v/>
      </c>
      <c r="Y2752" s="12">
        <f>IF(OR(LEFT(K2752,4)="LVAX",LEFT(K2752,6)="MV15AX",LEFT(K2752,4)="CTAX",LEFT(K2752,2)="W|"),2*N2752*O2752,0)</f>
        <v/>
      </c>
      <c r="Z2752" s="12" t="inlineStr"/>
      <c r="AA2752" s="12">
        <f>N2752*O2752</f>
        <v/>
      </c>
    </row>
    <row r="2753">
      <c r="A2753" s="12" t="inlineStr">
        <is>
          <t>E-I-0022</t>
        </is>
      </c>
      <c r="B2753" s="12" t="inlineStr">
        <is>
          <t>E</t>
        </is>
      </c>
      <c r="C2753" s="12" t="inlineStr">
        <is>
          <t>Water / utilities</t>
        </is>
      </c>
      <c r="D2753" s="12" t="inlineStr">
        <is>
          <t>Analog instrument to JB JB-Fire pump house-AI01: 10 x 1 pr (field cables)</t>
        </is>
      </c>
      <c r="E2753" s="12" t="inlineStr"/>
      <c r="F2753" s="12" t="inlineStr">
        <is>
          <t>Fire pump house</t>
        </is>
      </c>
      <c r="G2753" s="12" t="inlineStr">
        <is>
          <t>JB-Fire pump house-AI01</t>
        </is>
      </c>
      <c r="H2753" s="12" t="inlineStr">
        <is>
          <t>Fire pump house</t>
        </is>
      </c>
      <c r="I2753" s="12" t="inlineStr">
        <is>
          <t>Instrumentation</t>
        </is>
      </c>
      <c r="J2753" s="12" t="inlineStr">
        <is>
          <t>Instrumentation PLTC / TC-ER 300 V, #18 twisted shielded pairs, overall shield</t>
        </is>
      </c>
      <c r="K2753" s="12" t="inlineStr">
        <is>
          <t>PLTC|1 pr|16</t>
        </is>
      </c>
      <c r="L2753" s="12" t="inlineStr">
        <is>
          <t>1 pr</t>
        </is>
      </c>
      <c r="M2753" s="12" t="inlineStr">
        <is>
          <t>16</t>
        </is>
      </c>
      <c r="N2753" s="12" t="n">
        <v>10</v>
      </c>
      <c r="O2753" s="12" t="n">
        <v>1</v>
      </c>
      <c r="P2753" s="12" t="n"/>
      <c r="Q2753" s="12" t="n"/>
      <c r="R2753" s="12" t="n"/>
      <c r="S2753" s="12" t="inlineStr">
        <is>
          <t>Tray / conduit</t>
        </is>
      </c>
      <c r="T2753" s="16" t="n">
        <v>66</v>
      </c>
      <c r="U2753" s="16" t="n">
        <v>10</v>
      </c>
      <c r="V2753" s="16">
        <f>ROUNDUP((T2753+U2753+2*'Read Me'!$B$13)*(1+'Read Me'!$B$12),-1)</f>
        <v/>
      </c>
      <c r="W2753" s="16">
        <f>V2753*N2753*O2753</f>
        <v/>
      </c>
      <c r="X2753" s="12">
        <f>IF(LEFT(I2753,2)="MV",2*N2753*IF(L2753="1/C",O2753,1),0)</f>
        <v/>
      </c>
      <c r="Y2753" s="12">
        <f>IF(OR(LEFT(K2753,4)="LVAX",LEFT(K2753,6)="MV15AX",LEFT(K2753,4)="CTAX",LEFT(K2753,2)="W|"),2*N2753*O2753,0)</f>
        <v/>
      </c>
      <c r="Z2753" s="12" t="inlineStr">
        <is>
          <t>device-to-JB field wiring, one cable per device</t>
        </is>
      </c>
      <c r="AA2753" s="12">
        <f>N2753*O2753</f>
        <v/>
      </c>
    </row>
    <row r="2754">
      <c r="A2754" s="12" t="inlineStr">
        <is>
          <t>E-I-0023</t>
        </is>
      </c>
      <c r="B2754" s="12" t="inlineStr">
        <is>
          <t>E</t>
        </is>
      </c>
      <c r="C2754" s="12" t="inlineStr">
        <is>
          <t>Water / utilities</t>
        </is>
      </c>
      <c r="D2754" s="12" t="inlineStr">
        <is>
          <t>Home run JB-Fire pump house-AI01 to the control / marshalling room</t>
        </is>
      </c>
      <c r="E2754" s="12" t="inlineStr">
        <is>
          <t>R-WT</t>
        </is>
      </c>
      <c r="F2754" s="12" t="inlineStr">
        <is>
          <t>Water treatment building (incl. R-WT electrical room)</t>
        </is>
      </c>
      <c r="G2754" s="12" t="inlineStr">
        <is>
          <t>JB-Fire pump house-AI01</t>
        </is>
      </c>
      <c r="H2754" s="12" t="inlineStr">
        <is>
          <t>Fire pump house</t>
        </is>
      </c>
      <c r="I2754" s="12" t="inlineStr">
        <is>
          <t>Instrumentation</t>
        </is>
      </c>
      <c r="J2754" s="12" t="inlineStr">
        <is>
          <t>Instrumentation PLTC / TC-ER 300 V, #18 twisted shielded pairs, overall shield</t>
        </is>
      </c>
      <c r="K2754" s="12" t="inlineStr">
        <is>
          <t>PLTC|24 pr|18</t>
        </is>
      </c>
      <c r="L2754" s="12" t="inlineStr">
        <is>
          <t>24 pr</t>
        </is>
      </c>
      <c r="M2754" s="12" t="inlineStr">
        <is>
          <t>18</t>
        </is>
      </c>
      <c r="N2754" s="12" t="n">
        <v>1</v>
      </c>
      <c r="O2754" s="12" t="n">
        <v>1</v>
      </c>
      <c r="P2754" s="12" t="n"/>
      <c r="Q2754" s="12" t="n"/>
      <c r="R2754" s="12" t="n"/>
      <c r="S2754" s="12" t="inlineStr">
        <is>
          <t>Duct bank</t>
        </is>
      </c>
      <c r="T2754" s="16" t="n">
        <v>160</v>
      </c>
      <c r="U2754" s="16" t="n">
        <v>96</v>
      </c>
      <c r="V2754" s="16">
        <f>ROUNDUP((T2754+U2754+2*'Read Me'!$B$13)*(1+'Read Me'!$B$12),-1)</f>
        <v/>
      </c>
      <c r="W2754" s="16">
        <f>V2754*N2754*O2754</f>
        <v/>
      </c>
      <c r="X2754" s="12">
        <f>IF(LEFT(I2754,2)="MV",2*N2754*IF(L2754="1/C",O2754,1),0)</f>
        <v/>
      </c>
      <c r="Y2754" s="12">
        <f>IF(OR(LEFT(K2754,4)="LVAX",LEFT(K2754,6)="MV15AX",LEFT(K2754,4)="CTAX",LEFT(K2754,2)="W|"),2*N2754*O2754,0)</f>
        <v/>
      </c>
      <c r="Z2754" s="12" t="inlineStr"/>
      <c r="AA2754" s="12">
        <f>N2754*O2754</f>
        <v/>
      </c>
    </row>
    <row r="2755">
      <c r="A2755" s="12" t="inlineStr">
        <is>
          <t>E-I-0024</t>
        </is>
      </c>
      <c r="B2755" s="12" t="inlineStr">
        <is>
          <t>E</t>
        </is>
      </c>
      <c r="C2755" s="12" t="inlineStr">
        <is>
          <t>Water / utilities</t>
        </is>
      </c>
      <c r="D2755" s="12" t="inlineStr">
        <is>
          <t>Discrete device to JB JB-Fire pump house-DI01: 20 x 1 pr (field cables)</t>
        </is>
      </c>
      <c r="E2755" s="12" t="inlineStr"/>
      <c r="F2755" s="12" t="inlineStr">
        <is>
          <t>Fire pump house</t>
        </is>
      </c>
      <c r="G2755" s="12" t="inlineStr">
        <is>
          <t>JB-Fire pump house-DI01</t>
        </is>
      </c>
      <c r="H2755" s="12" t="inlineStr">
        <is>
          <t>Fire pump house</t>
        </is>
      </c>
      <c r="I2755" s="12" t="inlineStr">
        <is>
          <t>Instrumentation</t>
        </is>
      </c>
      <c r="J2755" s="12" t="inlineStr">
        <is>
          <t>Instrumentation PLTC / TC-ER 300 V, #18 twisted shielded pairs, overall shield</t>
        </is>
      </c>
      <c r="K2755" s="12" t="inlineStr">
        <is>
          <t>PLTC|1 pr|16</t>
        </is>
      </c>
      <c r="L2755" s="12" t="inlineStr">
        <is>
          <t>1 pr</t>
        </is>
      </c>
      <c r="M2755" s="12" t="inlineStr">
        <is>
          <t>16</t>
        </is>
      </c>
      <c r="N2755" s="12" t="n">
        <v>20</v>
      </c>
      <c r="O2755" s="12" t="n">
        <v>1</v>
      </c>
      <c r="P2755" s="12" t="n"/>
      <c r="Q2755" s="12" t="n"/>
      <c r="R2755" s="12" t="n"/>
      <c r="S2755" s="12" t="inlineStr">
        <is>
          <t>Tray / conduit</t>
        </is>
      </c>
      <c r="T2755" s="16" t="n">
        <v>66</v>
      </c>
      <c r="U2755" s="16" t="n">
        <v>10</v>
      </c>
      <c r="V2755" s="16">
        <f>ROUNDUP((T2755+U2755+2*'Read Me'!$B$13)*(1+'Read Me'!$B$12),-1)</f>
        <v/>
      </c>
      <c r="W2755" s="16">
        <f>V2755*N2755*O2755</f>
        <v/>
      </c>
      <c r="X2755" s="12">
        <f>IF(LEFT(I2755,2)="MV",2*N2755*IF(L2755="1/C",O2755,1),0)</f>
        <v/>
      </c>
      <c r="Y2755" s="12">
        <f>IF(OR(LEFT(K2755,4)="LVAX",LEFT(K2755,6)="MV15AX",LEFT(K2755,4)="CTAX",LEFT(K2755,2)="W|"),2*N2755*O2755,0)</f>
        <v/>
      </c>
      <c r="Z2755" s="12" t="inlineStr">
        <is>
          <t>device-to-JB field wiring, one cable per device</t>
        </is>
      </c>
      <c r="AA2755" s="12">
        <f>N2755*O2755</f>
        <v/>
      </c>
    </row>
    <row r="2756">
      <c r="A2756" s="12" t="inlineStr">
        <is>
          <t>E-I-0025</t>
        </is>
      </c>
      <c r="B2756" s="12" t="inlineStr">
        <is>
          <t>E</t>
        </is>
      </c>
      <c r="C2756" s="12" t="inlineStr">
        <is>
          <t>Water / utilities</t>
        </is>
      </c>
      <c r="D2756" s="12" t="inlineStr">
        <is>
          <t>Home run JB-Fire pump house-DI01 to the control / marshalling room</t>
        </is>
      </c>
      <c r="E2756" s="12" t="inlineStr">
        <is>
          <t>R-WT</t>
        </is>
      </c>
      <c r="F2756" s="12" t="inlineStr">
        <is>
          <t>Water treatment building (incl. R-WT electrical room)</t>
        </is>
      </c>
      <c r="G2756" s="12" t="inlineStr">
        <is>
          <t>JB-Fire pump house-DI01</t>
        </is>
      </c>
      <c r="H2756" s="12" t="inlineStr">
        <is>
          <t>Fire pump house</t>
        </is>
      </c>
      <c r="I2756" s="12" t="inlineStr">
        <is>
          <t>Instrumentation</t>
        </is>
      </c>
      <c r="J2756" s="12" t="inlineStr">
        <is>
          <t>Instrumentation PLTC / TC-ER 300 V, #18 twisted shielded pairs, overall shield</t>
        </is>
      </c>
      <c r="K2756" s="12" t="inlineStr">
        <is>
          <t>PLTC|24 pr|18</t>
        </is>
      </c>
      <c r="L2756" s="12" t="inlineStr">
        <is>
          <t>24 pr</t>
        </is>
      </c>
      <c r="M2756" s="12" t="inlineStr">
        <is>
          <t>18</t>
        </is>
      </c>
      <c r="N2756" s="12" t="n">
        <v>1</v>
      </c>
      <c r="O2756" s="12" t="n">
        <v>1</v>
      </c>
      <c r="P2756" s="12" t="n"/>
      <c r="Q2756" s="12" t="n"/>
      <c r="R2756" s="12" t="n"/>
      <c r="S2756" s="12" t="inlineStr">
        <is>
          <t>Duct bank</t>
        </is>
      </c>
      <c r="T2756" s="16" t="n">
        <v>160</v>
      </c>
      <c r="U2756" s="16" t="n">
        <v>96</v>
      </c>
      <c r="V2756" s="16">
        <f>ROUNDUP((T2756+U2756+2*'Read Me'!$B$13)*(1+'Read Me'!$B$12),-1)</f>
        <v/>
      </c>
      <c r="W2756" s="16">
        <f>V2756*N2756*O2756</f>
        <v/>
      </c>
      <c r="X2756" s="12">
        <f>IF(LEFT(I2756,2)="MV",2*N2756*IF(L2756="1/C",O2756,1),0)</f>
        <v/>
      </c>
      <c r="Y2756" s="12">
        <f>IF(OR(LEFT(K2756,4)="LVAX",LEFT(K2756,6)="MV15AX",LEFT(K2756,4)="CTAX",LEFT(K2756,2)="W|"),2*N2756*O2756,0)</f>
        <v/>
      </c>
      <c r="Z2756" s="12" t="inlineStr"/>
      <c r="AA2756" s="12">
        <f>N2756*O2756</f>
        <v/>
      </c>
    </row>
    <row r="2757">
      <c r="A2757" s="12" t="inlineStr">
        <is>
          <t>E-I-0026</t>
        </is>
      </c>
      <c r="B2757" s="12" t="inlineStr">
        <is>
          <t>E</t>
        </is>
      </c>
      <c r="C2757" s="12" t="inlineStr">
        <is>
          <t>Water / utilities</t>
        </is>
      </c>
      <c r="D2757" s="12" t="inlineStr">
        <is>
          <t>Discrete device to JB JB-Fire pump house-DI02: 10 x 1 pr (field cables)</t>
        </is>
      </c>
      <c r="E2757" s="12" t="inlineStr"/>
      <c r="F2757" s="12" t="inlineStr">
        <is>
          <t>Fire pump house</t>
        </is>
      </c>
      <c r="G2757" s="12" t="inlineStr">
        <is>
          <t>JB-Fire pump house-DI02</t>
        </is>
      </c>
      <c r="H2757" s="12" t="inlineStr">
        <is>
          <t>Fire pump house</t>
        </is>
      </c>
      <c r="I2757" s="12" t="inlineStr">
        <is>
          <t>Instrumentation</t>
        </is>
      </c>
      <c r="J2757" s="12" t="inlineStr">
        <is>
          <t>Instrumentation PLTC / TC-ER 300 V, #18 twisted shielded pairs, overall shield</t>
        </is>
      </c>
      <c r="K2757" s="12" t="inlineStr">
        <is>
          <t>PLTC|1 pr|16</t>
        </is>
      </c>
      <c r="L2757" s="12" t="inlineStr">
        <is>
          <t>1 pr</t>
        </is>
      </c>
      <c r="M2757" s="12" t="inlineStr">
        <is>
          <t>16</t>
        </is>
      </c>
      <c r="N2757" s="12" t="n">
        <v>10</v>
      </c>
      <c r="O2757" s="12" t="n">
        <v>1</v>
      </c>
      <c r="P2757" s="12" t="n"/>
      <c r="Q2757" s="12" t="n"/>
      <c r="R2757" s="12" t="n"/>
      <c r="S2757" s="12" t="inlineStr">
        <is>
          <t>Tray / conduit</t>
        </is>
      </c>
      <c r="T2757" s="16" t="n">
        <v>66</v>
      </c>
      <c r="U2757" s="16" t="n">
        <v>10</v>
      </c>
      <c r="V2757" s="16">
        <f>ROUNDUP((T2757+U2757+2*'Read Me'!$B$13)*(1+'Read Me'!$B$12),-1)</f>
        <v/>
      </c>
      <c r="W2757" s="16">
        <f>V2757*N2757*O2757</f>
        <v/>
      </c>
      <c r="X2757" s="12">
        <f>IF(LEFT(I2757,2)="MV",2*N2757*IF(L2757="1/C",O2757,1),0)</f>
        <v/>
      </c>
      <c r="Y2757" s="12">
        <f>IF(OR(LEFT(K2757,4)="LVAX",LEFT(K2757,6)="MV15AX",LEFT(K2757,4)="CTAX",LEFT(K2757,2)="W|"),2*N2757*O2757,0)</f>
        <v/>
      </c>
      <c r="Z2757" s="12" t="inlineStr">
        <is>
          <t>device-to-JB field wiring, one cable per device</t>
        </is>
      </c>
      <c r="AA2757" s="12">
        <f>N2757*O2757</f>
        <v/>
      </c>
    </row>
    <row r="2758">
      <c r="A2758" s="12" t="inlineStr">
        <is>
          <t>E-I-0027</t>
        </is>
      </c>
      <c r="B2758" s="12" t="inlineStr">
        <is>
          <t>E</t>
        </is>
      </c>
      <c r="C2758" s="12" t="inlineStr">
        <is>
          <t>Water / utilities</t>
        </is>
      </c>
      <c r="D2758" s="12" t="inlineStr">
        <is>
          <t>Home run JB-Fire pump house-DI02 to the control / marshalling room</t>
        </is>
      </c>
      <c r="E2758" s="12" t="inlineStr">
        <is>
          <t>R-WT</t>
        </is>
      </c>
      <c r="F2758" s="12" t="inlineStr">
        <is>
          <t>Water treatment building (incl. R-WT electrical room)</t>
        </is>
      </c>
      <c r="G2758" s="12" t="inlineStr">
        <is>
          <t>JB-Fire pump house-DI02</t>
        </is>
      </c>
      <c r="H2758" s="12" t="inlineStr">
        <is>
          <t>Fire pump house</t>
        </is>
      </c>
      <c r="I2758" s="12" t="inlineStr">
        <is>
          <t>Instrumentation</t>
        </is>
      </c>
      <c r="J2758" s="12" t="inlineStr">
        <is>
          <t>Instrumentation PLTC / TC-ER 300 V, #18 twisted shielded pairs, overall shield</t>
        </is>
      </c>
      <c r="K2758" s="12" t="inlineStr">
        <is>
          <t>PLTC|24 pr|18</t>
        </is>
      </c>
      <c r="L2758" s="12" t="inlineStr">
        <is>
          <t>24 pr</t>
        </is>
      </c>
      <c r="M2758" s="12" t="inlineStr">
        <is>
          <t>18</t>
        </is>
      </c>
      <c r="N2758" s="12" t="n">
        <v>1</v>
      </c>
      <c r="O2758" s="12" t="n">
        <v>1</v>
      </c>
      <c r="P2758" s="12" t="n"/>
      <c r="Q2758" s="12" t="n"/>
      <c r="R2758" s="12" t="n"/>
      <c r="S2758" s="12" t="inlineStr">
        <is>
          <t>Duct bank</t>
        </is>
      </c>
      <c r="T2758" s="16" t="n">
        <v>160</v>
      </c>
      <c r="U2758" s="16" t="n">
        <v>96</v>
      </c>
      <c r="V2758" s="16">
        <f>ROUNDUP((T2758+U2758+2*'Read Me'!$B$13)*(1+'Read Me'!$B$12),-1)</f>
        <v/>
      </c>
      <c r="W2758" s="16">
        <f>V2758*N2758*O2758</f>
        <v/>
      </c>
      <c r="X2758" s="12">
        <f>IF(LEFT(I2758,2)="MV",2*N2758*IF(L2758="1/C",O2758,1),0)</f>
        <v/>
      </c>
      <c r="Y2758" s="12">
        <f>IF(OR(LEFT(K2758,4)="LVAX",LEFT(K2758,6)="MV15AX",LEFT(K2758,4)="CTAX",LEFT(K2758,2)="W|"),2*N2758*O2758,0)</f>
        <v/>
      </c>
      <c r="Z2758" s="12" t="inlineStr"/>
      <c r="AA2758" s="12">
        <f>N2758*O2758</f>
        <v/>
      </c>
    </row>
    <row r="2759">
      <c r="A2759" s="12" t="inlineStr">
        <is>
          <t>E-I-0028</t>
        </is>
      </c>
      <c r="B2759" s="12" t="inlineStr">
        <is>
          <t>E</t>
        </is>
      </c>
      <c r="C2759" s="12" t="inlineStr">
        <is>
          <t>Water / utilities</t>
        </is>
      </c>
      <c r="D2759" s="12" t="inlineStr">
        <is>
          <t>Analog instrument to JB JB-H2 / CO2 storage (-AI01: 8 x 1 pr (field cables)</t>
        </is>
      </c>
      <c r="E2759" s="12" t="inlineStr"/>
      <c r="F2759" s="12" t="inlineStr">
        <is>
          <t>H2 / CO2 storage (generator gas)</t>
        </is>
      </c>
      <c r="G2759" s="12" t="inlineStr">
        <is>
          <t>JB-H2 / CO2 storage (-AI01</t>
        </is>
      </c>
      <c r="H2759" s="12" t="inlineStr">
        <is>
          <t>H2 / CO2 storage (generator gas)</t>
        </is>
      </c>
      <c r="I2759" s="12" t="inlineStr">
        <is>
          <t>Instrumentation</t>
        </is>
      </c>
      <c r="J2759" s="12" t="inlineStr">
        <is>
          <t>Instrumentation ITC / PLTC, IS, #18 shielded pairs, blue jacket</t>
        </is>
      </c>
      <c r="K2759" s="12" t="inlineStr">
        <is>
          <t>ITC|1 pr|16</t>
        </is>
      </c>
      <c r="L2759" s="12" t="inlineStr">
        <is>
          <t>1 pr</t>
        </is>
      </c>
      <c r="M2759" s="12" t="inlineStr">
        <is>
          <t>16</t>
        </is>
      </c>
      <c r="N2759" s="12" t="n">
        <v>8</v>
      </c>
      <c r="O2759" s="12" t="n">
        <v>1</v>
      </c>
      <c r="P2759" s="12" t="n"/>
      <c r="Q2759" s="12" t="n"/>
      <c r="R2759" s="12" t="n"/>
      <c r="S2759" s="12" t="inlineStr">
        <is>
          <t>Tray / conduit</t>
        </is>
      </c>
      <c r="T2759" s="16" t="n">
        <v>82</v>
      </c>
      <c r="U2759" s="16" t="n">
        <v>10</v>
      </c>
      <c r="V2759" s="16">
        <f>ROUNDUP((T2759+U2759+2*'Read Me'!$B$13)*(1+'Read Me'!$B$12),-1)</f>
        <v/>
      </c>
      <c r="W2759" s="16">
        <f>V2759*N2759*O2759</f>
        <v/>
      </c>
      <c r="X2759" s="12">
        <f>IF(LEFT(I2759,2)="MV",2*N2759*IF(L2759="1/C",O2759,1),0)</f>
        <v/>
      </c>
      <c r="Y2759" s="12">
        <f>IF(OR(LEFT(K2759,4)="LVAX",LEFT(K2759,6)="MV15AX",LEFT(K2759,4)="CTAX",LEFT(K2759,2)="W|"),2*N2759*O2759,0)</f>
        <v/>
      </c>
      <c r="Z2759" s="12" t="inlineStr">
        <is>
          <t>device-to-JB field wiring, one cable per device</t>
        </is>
      </c>
      <c r="AA2759" s="12">
        <f>N2759*O2759</f>
        <v/>
      </c>
    </row>
    <row r="2760">
      <c r="A2760" s="12" t="inlineStr">
        <is>
          <t>E-I-0029</t>
        </is>
      </c>
      <c r="B2760" s="12" t="inlineStr">
        <is>
          <t>E</t>
        </is>
      </c>
      <c r="C2760" s="12" t="inlineStr">
        <is>
          <t>Water / utilities</t>
        </is>
      </c>
      <c r="D2760" s="12" t="inlineStr">
        <is>
          <t>Home run JB-H2 / CO2 storage (-AI01 to the control / marshalling room</t>
        </is>
      </c>
      <c r="E2760" s="12" t="inlineStr">
        <is>
          <t>R-WT</t>
        </is>
      </c>
      <c r="F2760" s="12" t="inlineStr">
        <is>
          <t>Water treatment building (incl. R-WT electrical room)</t>
        </is>
      </c>
      <c r="G2760" s="12" t="inlineStr">
        <is>
          <t>JB-H2 / CO2 storage (-AI01</t>
        </is>
      </c>
      <c r="H2760" s="12" t="inlineStr">
        <is>
          <t>H2 / CO2 storage (generator gas)</t>
        </is>
      </c>
      <c r="I2760" s="12" t="inlineStr">
        <is>
          <t>Instrumentation</t>
        </is>
      </c>
      <c r="J2760" s="12" t="inlineStr">
        <is>
          <t>Instrumentation ITC / PLTC, IS, #18 shielded pairs, blue jacket</t>
        </is>
      </c>
      <c r="K2760" s="12" t="inlineStr">
        <is>
          <t>ITC|24 pr|18</t>
        </is>
      </c>
      <c r="L2760" s="12" t="inlineStr">
        <is>
          <t>24 pr</t>
        </is>
      </c>
      <c r="M2760" s="12" t="inlineStr">
        <is>
          <t>18</t>
        </is>
      </c>
      <c r="N2760" s="12" t="n">
        <v>1</v>
      </c>
      <c r="O2760" s="12" t="n">
        <v>1</v>
      </c>
      <c r="P2760" s="12" t="n"/>
      <c r="Q2760" s="12" t="n"/>
      <c r="R2760" s="12" t="n"/>
      <c r="S2760" s="12" t="inlineStr">
        <is>
          <t>Duct bank</t>
        </is>
      </c>
      <c r="T2760" s="16" t="n">
        <v>535</v>
      </c>
      <c r="U2760" s="16" t="n">
        <v>32</v>
      </c>
      <c r="V2760" s="16">
        <f>ROUNDUP((T2760+U2760+2*'Read Me'!$B$13)*(1+'Read Me'!$B$12),-1)</f>
        <v/>
      </c>
      <c r="W2760" s="16">
        <f>V2760*N2760*O2760</f>
        <v/>
      </c>
      <c r="X2760" s="12">
        <f>IF(LEFT(I2760,2)="MV",2*N2760*IF(L2760="1/C",O2760,1),0)</f>
        <v/>
      </c>
      <c r="Y2760" s="12">
        <f>IF(OR(LEFT(K2760,4)="LVAX",LEFT(K2760,6)="MV15AX",LEFT(K2760,4)="CTAX",LEFT(K2760,2)="W|"),2*N2760*O2760,0)</f>
        <v/>
      </c>
      <c r="Z2760" s="12" t="inlineStr"/>
      <c r="AA2760" s="12">
        <f>N2760*O2760</f>
        <v/>
      </c>
    </row>
    <row r="2761">
      <c r="A2761" s="12" t="inlineStr">
        <is>
          <t>E-I-0030</t>
        </is>
      </c>
      <c r="B2761" s="12" t="inlineStr">
        <is>
          <t>E</t>
        </is>
      </c>
      <c r="C2761" s="12" t="inlineStr">
        <is>
          <t>Water / utilities</t>
        </is>
      </c>
      <c r="D2761" s="12" t="inlineStr">
        <is>
          <t>Discrete device to JB JB-H2 / CO2 storage (-DI01: 8 x 1 pr (field cables)</t>
        </is>
      </c>
      <c r="E2761" s="12" t="inlineStr"/>
      <c r="F2761" s="12" t="inlineStr">
        <is>
          <t>H2 / CO2 storage (generator gas)</t>
        </is>
      </c>
      <c r="G2761" s="12" t="inlineStr">
        <is>
          <t>JB-H2 / CO2 storage (-DI01</t>
        </is>
      </c>
      <c r="H2761" s="12" t="inlineStr">
        <is>
          <t>H2 / CO2 storage (generator gas)</t>
        </is>
      </c>
      <c r="I2761" s="12" t="inlineStr">
        <is>
          <t>Instrumentation</t>
        </is>
      </c>
      <c r="J2761" s="12" t="inlineStr">
        <is>
          <t>Instrumentation ITC / PLTC, IS, #18 shielded pairs, blue jacket</t>
        </is>
      </c>
      <c r="K2761" s="12" t="inlineStr">
        <is>
          <t>ITC|1 pr|16</t>
        </is>
      </c>
      <c r="L2761" s="12" t="inlineStr">
        <is>
          <t>1 pr</t>
        </is>
      </c>
      <c r="M2761" s="12" t="inlineStr">
        <is>
          <t>16</t>
        </is>
      </c>
      <c r="N2761" s="12" t="n">
        <v>8</v>
      </c>
      <c r="O2761" s="12" t="n">
        <v>1</v>
      </c>
      <c r="P2761" s="12" t="n"/>
      <c r="Q2761" s="12" t="n"/>
      <c r="R2761" s="12" t="n"/>
      <c r="S2761" s="12" t="inlineStr">
        <is>
          <t>Tray / conduit</t>
        </is>
      </c>
      <c r="T2761" s="16" t="n">
        <v>82</v>
      </c>
      <c r="U2761" s="16" t="n">
        <v>10</v>
      </c>
      <c r="V2761" s="16">
        <f>ROUNDUP((T2761+U2761+2*'Read Me'!$B$13)*(1+'Read Me'!$B$12),-1)</f>
        <v/>
      </c>
      <c r="W2761" s="16">
        <f>V2761*N2761*O2761</f>
        <v/>
      </c>
      <c r="X2761" s="12">
        <f>IF(LEFT(I2761,2)="MV",2*N2761*IF(L2761="1/C",O2761,1),0)</f>
        <v/>
      </c>
      <c r="Y2761" s="12">
        <f>IF(OR(LEFT(K2761,4)="LVAX",LEFT(K2761,6)="MV15AX",LEFT(K2761,4)="CTAX",LEFT(K2761,2)="W|"),2*N2761*O2761,0)</f>
        <v/>
      </c>
      <c r="Z2761" s="12" t="inlineStr">
        <is>
          <t>device-to-JB field wiring, one cable per device</t>
        </is>
      </c>
      <c r="AA2761" s="12">
        <f>N2761*O2761</f>
        <v/>
      </c>
    </row>
    <row r="2762">
      <c r="A2762" s="12" t="inlineStr">
        <is>
          <t>E-I-0031</t>
        </is>
      </c>
      <c r="B2762" s="12" t="inlineStr">
        <is>
          <t>E</t>
        </is>
      </c>
      <c r="C2762" s="12" t="inlineStr">
        <is>
          <t>Water / utilities</t>
        </is>
      </c>
      <c r="D2762" s="12" t="inlineStr">
        <is>
          <t>Home run JB-H2 / CO2 storage (-DI01 to the control / marshalling room</t>
        </is>
      </c>
      <c r="E2762" s="12" t="inlineStr">
        <is>
          <t>R-WT</t>
        </is>
      </c>
      <c r="F2762" s="12" t="inlineStr">
        <is>
          <t>Water treatment building (incl. R-WT electrical room)</t>
        </is>
      </c>
      <c r="G2762" s="12" t="inlineStr">
        <is>
          <t>JB-H2 / CO2 storage (-DI01</t>
        </is>
      </c>
      <c r="H2762" s="12" t="inlineStr">
        <is>
          <t>H2 / CO2 storage (generator gas)</t>
        </is>
      </c>
      <c r="I2762" s="12" t="inlineStr">
        <is>
          <t>Instrumentation</t>
        </is>
      </c>
      <c r="J2762" s="12" t="inlineStr">
        <is>
          <t>Instrumentation ITC / PLTC, IS, #18 shielded pairs, blue jacket</t>
        </is>
      </c>
      <c r="K2762" s="12" t="inlineStr">
        <is>
          <t>ITC|24 pr|18</t>
        </is>
      </c>
      <c r="L2762" s="12" t="inlineStr">
        <is>
          <t>24 pr</t>
        </is>
      </c>
      <c r="M2762" s="12" t="inlineStr">
        <is>
          <t>18</t>
        </is>
      </c>
      <c r="N2762" s="12" t="n">
        <v>1</v>
      </c>
      <c r="O2762" s="12" t="n">
        <v>1</v>
      </c>
      <c r="P2762" s="12" t="n"/>
      <c r="Q2762" s="12" t="n"/>
      <c r="R2762" s="12" t="n"/>
      <c r="S2762" s="12" t="inlineStr">
        <is>
          <t>Duct bank</t>
        </is>
      </c>
      <c r="T2762" s="16" t="n">
        <v>535</v>
      </c>
      <c r="U2762" s="16" t="n">
        <v>32</v>
      </c>
      <c r="V2762" s="16">
        <f>ROUNDUP((T2762+U2762+2*'Read Me'!$B$13)*(1+'Read Me'!$B$12),-1)</f>
        <v/>
      </c>
      <c r="W2762" s="16">
        <f>V2762*N2762*O2762</f>
        <v/>
      </c>
      <c r="X2762" s="12">
        <f>IF(LEFT(I2762,2)="MV",2*N2762*IF(L2762="1/C",O2762,1),0)</f>
        <v/>
      </c>
      <c r="Y2762" s="12">
        <f>IF(OR(LEFT(K2762,4)="LVAX",LEFT(K2762,6)="MV15AX",LEFT(K2762,4)="CTAX",LEFT(K2762,2)="W|"),2*N2762*O2762,0)</f>
        <v/>
      </c>
      <c r="Z2762" s="12" t="inlineStr"/>
      <c r="AA2762" s="12">
        <f>N2762*O2762</f>
        <v/>
      </c>
    </row>
    <row r="2763">
      <c r="A2763" s="12" t="inlineStr">
        <is>
          <t>E-I-0032</t>
        </is>
      </c>
      <c r="B2763" s="12" t="inlineStr">
        <is>
          <t>E</t>
        </is>
      </c>
      <c r="C2763" s="12" t="inlineStr">
        <is>
          <t>Water / utilities</t>
        </is>
      </c>
      <c r="D2763" s="12" t="inlineStr">
        <is>
          <t>Analog instrument to JB JB-HTP-3-AI01: 4 x 1 pr (field cables)</t>
        </is>
      </c>
      <c r="E2763" s="12" t="inlineStr">
        <is>
          <t>HTP-3</t>
        </is>
      </c>
      <c r="F2763" s="12" t="inlineStr">
        <is>
          <t>HTP-3: heat-trace panel (tanks)</t>
        </is>
      </c>
      <c r="G2763" s="12" t="inlineStr">
        <is>
          <t>JB-HTP-3-AI01</t>
        </is>
      </c>
      <c r="H2763" s="12" t="inlineStr">
        <is>
          <t>HTP-3: heat-trace panel (tanks)</t>
        </is>
      </c>
      <c r="I2763" s="12" t="inlineStr">
        <is>
          <t>Instrumentation</t>
        </is>
      </c>
      <c r="J2763" s="12" t="inlineStr">
        <is>
          <t>Instrumentation PLTC / TC-ER 300 V, #18 twisted shielded pairs, overall shield</t>
        </is>
      </c>
      <c r="K2763" s="12" t="inlineStr">
        <is>
          <t>PLTC|1 pr|16</t>
        </is>
      </c>
      <c r="L2763" s="12" t="inlineStr">
        <is>
          <t>1 pr</t>
        </is>
      </c>
      <c r="M2763" s="12" t="inlineStr">
        <is>
          <t>16</t>
        </is>
      </c>
      <c r="N2763" s="12" t="n">
        <v>4</v>
      </c>
      <c r="O2763" s="12" t="n">
        <v>1</v>
      </c>
      <c r="P2763" s="12" t="n"/>
      <c r="Q2763" s="12" t="n"/>
      <c r="R2763" s="12" t="n"/>
      <c r="S2763" s="12" t="inlineStr">
        <is>
          <t>Tray / conduit</t>
        </is>
      </c>
      <c r="T2763" s="16" t="n">
        <v>40</v>
      </c>
      <c r="U2763" s="16" t="n">
        <v>10</v>
      </c>
      <c r="V2763" s="16">
        <f>ROUNDUP((T2763+U2763+2*'Read Me'!$B$13)*(1+'Read Me'!$B$12),-1)</f>
        <v/>
      </c>
      <c r="W2763" s="16">
        <f>V2763*N2763*O2763</f>
        <v/>
      </c>
      <c r="X2763" s="12">
        <f>IF(LEFT(I2763,2)="MV",2*N2763*IF(L2763="1/C",O2763,1),0)</f>
        <v/>
      </c>
      <c r="Y2763" s="12">
        <f>IF(OR(LEFT(K2763,4)="LVAX",LEFT(K2763,6)="MV15AX",LEFT(K2763,4)="CTAX",LEFT(K2763,2)="W|"),2*N2763*O2763,0)</f>
        <v/>
      </c>
      <c r="Z2763" s="12" t="inlineStr">
        <is>
          <t>device-to-JB field wiring, one cable per device</t>
        </is>
      </c>
      <c r="AA2763" s="12">
        <f>N2763*O2763</f>
        <v/>
      </c>
    </row>
    <row r="2764">
      <c r="A2764" s="12" t="inlineStr">
        <is>
          <t>E-I-0033</t>
        </is>
      </c>
      <c r="B2764" s="12" t="inlineStr">
        <is>
          <t>E</t>
        </is>
      </c>
      <c r="C2764" s="12" t="inlineStr">
        <is>
          <t>Water / utilities</t>
        </is>
      </c>
      <c r="D2764" s="12" t="inlineStr">
        <is>
          <t>Home run JB-HTP-3-AI01 to the control / marshalling room</t>
        </is>
      </c>
      <c r="E2764" s="12" t="inlineStr">
        <is>
          <t>R-WT</t>
        </is>
      </c>
      <c r="F2764" s="12" t="inlineStr">
        <is>
          <t>Water treatment building (incl. R-WT electrical room)</t>
        </is>
      </c>
      <c r="G2764" s="12" t="inlineStr">
        <is>
          <t>JB-HTP-3-AI01</t>
        </is>
      </c>
      <c r="H2764" s="12" t="inlineStr">
        <is>
          <t>HTP-3: heat-trace panel (tanks)</t>
        </is>
      </c>
      <c r="I2764" s="12" t="inlineStr">
        <is>
          <t>Instrumentation</t>
        </is>
      </c>
      <c r="J2764" s="12" t="inlineStr">
        <is>
          <t>Instrumentation PLTC / TC-ER 300 V, #18 twisted shielded pairs, overall shield</t>
        </is>
      </c>
      <c r="K2764" s="12" t="inlineStr">
        <is>
          <t>PLTC|24 pr|18</t>
        </is>
      </c>
      <c r="L2764" s="12" t="inlineStr">
        <is>
          <t>24 pr</t>
        </is>
      </c>
      <c r="M2764" s="12" t="inlineStr">
        <is>
          <t>18</t>
        </is>
      </c>
      <c r="N2764" s="12" t="n">
        <v>1</v>
      </c>
      <c r="O2764" s="12" t="n">
        <v>1</v>
      </c>
      <c r="P2764" s="12" t="n"/>
      <c r="Q2764" s="12" t="n"/>
      <c r="R2764" s="12" t="n"/>
      <c r="S2764" s="12" t="inlineStr">
        <is>
          <t>Duct bank</t>
        </is>
      </c>
      <c r="T2764" s="16" t="n">
        <v>0</v>
      </c>
      <c r="U2764" s="16" t="n">
        <v>58</v>
      </c>
      <c r="V2764" s="16">
        <f>ROUNDUP((T2764+U2764+2*'Read Me'!$B$13)*(1+'Read Me'!$B$12),-1)</f>
        <v/>
      </c>
      <c r="W2764" s="16">
        <f>V2764*N2764*O2764</f>
        <v/>
      </c>
      <c r="X2764" s="12">
        <f>IF(LEFT(I2764,2)="MV",2*N2764*IF(L2764="1/C",O2764,1),0)</f>
        <v/>
      </c>
      <c r="Y2764" s="12">
        <f>IF(OR(LEFT(K2764,4)="LVAX",LEFT(K2764,6)="MV15AX",LEFT(K2764,4)="CTAX",LEFT(K2764,2)="W|"),2*N2764*O2764,0)</f>
        <v/>
      </c>
      <c r="Z2764" s="12" t="inlineStr"/>
      <c r="AA2764" s="12">
        <f>N2764*O2764</f>
        <v/>
      </c>
    </row>
    <row r="2765">
      <c r="A2765" s="12" t="inlineStr">
        <is>
          <t>E-I-0034</t>
        </is>
      </c>
      <c r="B2765" s="12" t="inlineStr">
        <is>
          <t>E</t>
        </is>
      </c>
      <c r="C2765" s="12" t="inlineStr">
        <is>
          <t>Water / utilities</t>
        </is>
      </c>
      <c r="D2765" s="12" t="inlineStr">
        <is>
          <t>Discrete device to JB JB-HTP-3-DI01: 4 x 1 pr (field cables)</t>
        </is>
      </c>
      <c r="E2765" s="12" t="inlineStr">
        <is>
          <t>HTP-3</t>
        </is>
      </c>
      <c r="F2765" s="12" t="inlineStr">
        <is>
          <t>HTP-3: heat-trace panel (tanks)</t>
        </is>
      </c>
      <c r="G2765" s="12" t="inlineStr">
        <is>
          <t>JB-HTP-3-DI01</t>
        </is>
      </c>
      <c r="H2765" s="12" t="inlineStr">
        <is>
          <t>HTP-3: heat-trace panel (tanks)</t>
        </is>
      </c>
      <c r="I2765" s="12" t="inlineStr">
        <is>
          <t>Instrumentation</t>
        </is>
      </c>
      <c r="J2765" s="12" t="inlineStr">
        <is>
          <t>Instrumentation PLTC / TC-ER 300 V, #18 twisted shielded pairs, overall shield</t>
        </is>
      </c>
      <c r="K2765" s="12" t="inlineStr">
        <is>
          <t>PLTC|1 pr|16</t>
        </is>
      </c>
      <c r="L2765" s="12" t="inlineStr">
        <is>
          <t>1 pr</t>
        </is>
      </c>
      <c r="M2765" s="12" t="inlineStr">
        <is>
          <t>16</t>
        </is>
      </c>
      <c r="N2765" s="12" t="n">
        <v>4</v>
      </c>
      <c r="O2765" s="12" t="n">
        <v>1</v>
      </c>
      <c r="P2765" s="12" t="n"/>
      <c r="Q2765" s="12" t="n"/>
      <c r="R2765" s="12" t="n"/>
      <c r="S2765" s="12" t="inlineStr">
        <is>
          <t>Tray / conduit</t>
        </is>
      </c>
      <c r="T2765" s="16" t="n">
        <v>40</v>
      </c>
      <c r="U2765" s="16" t="n">
        <v>10</v>
      </c>
      <c r="V2765" s="16">
        <f>ROUNDUP((T2765+U2765+2*'Read Me'!$B$13)*(1+'Read Me'!$B$12),-1)</f>
        <v/>
      </c>
      <c r="W2765" s="16">
        <f>V2765*N2765*O2765</f>
        <v/>
      </c>
      <c r="X2765" s="12">
        <f>IF(LEFT(I2765,2)="MV",2*N2765*IF(L2765="1/C",O2765,1),0)</f>
        <v/>
      </c>
      <c r="Y2765" s="12">
        <f>IF(OR(LEFT(K2765,4)="LVAX",LEFT(K2765,6)="MV15AX",LEFT(K2765,4)="CTAX",LEFT(K2765,2)="W|"),2*N2765*O2765,0)</f>
        <v/>
      </c>
      <c r="Z2765" s="12" t="inlineStr">
        <is>
          <t>device-to-JB field wiring, one cable per device</t>
        </is>
      </c>
      <c r="AA2765" s="12">
        <f>N2765*O2765</f>
        <v/>
      </c>
    </row>
    <row r="2766">
      <c r="A2766" s="12" t="inlineStr">
        <is>
          <t>E-I-0035</t>
        </is>
      </c>
      <c r="B2766" s="12" t="inlineStr">
        <is>
          <t>E</t>
        </is>
      </c>
      <c r="C2766" s="12" t="inlineStr">
        <is>
          <t>Water / utilities</t>
        </is>
      </c>
      <c r="D2766" s="12" t="inlineStr">
        <is>
          <t>Home run JB-HTP-3-DI01 to the control / marshalling room</t>
        </is>
      </c>
      <c r="E2766" s="12" t="inlineStr">
        <is>
          <t>R-WT</t>
        </is>
      </c>
      <c r="F2766" s="12" t="inlineStr">
        <is>
          <t>Water treatment building (incl. R-WT electrical room)</t>
        </is>
      </c>
      <c r="G2766" s="12" t="inlineStr">
        <is>
          <t>JB-HTP-3-DI01</t>
        </is>
      </c>
      <c r="H2766" s="12" t="inlineStr">
        <is>
          <t>HTP-3: heat-trace panel (tanks)</t>
        </is>
      </c>
      <c r="I2766" s="12" t="inlineStr">
        <is>
          <t>Instrumentation</t>
        </is>
      </c>
      <c r="J2766" s="12" t="inlineStr">
        <is>
          <t>Instrumentation PLTC / TC-ER 300 V, #18 twisted shielded pairs, overall shield</t>
        </is>
      </c>
      <c r="K2766" s="12" t="inlineStr">
        <is>
          <t>PLTC|24 pr|18</t>
        </is>
      </c>
      <c r="L2766" s="12" t="inlineStr">
        <is>
          <t>24 pr</t>
        </is>
      </c>
      <c r="M2766" s="12" t="inlineStr">
        <is>
          <t>18</t>
        </is>
      </c>
      <c r="N2766" s="12" t="n">
        <v>1</v>
      </c>
      <c r="O2766" s="12" t="n">
        <v>1</v>
      </c>
      <c r="P2766" s="12" t="n"/>
      <c r="Q2766" s="12" t="n"/>
      <c r="R2766" s="12" t="n"/>
      <c r="S2766" s="12" t="inlineStr">
        <is>
          <t>Duct bank</t>
        </is>
      </c>
      <c r="T2766" s="16" t="n">
        <v>0</v>
      </c>
      <c r="U2766" s="16" t="n">
        <v>58</v>
      </c>
      <c r="V2766" s="16">
        <f>ROUNDUP((T2766+U2766+2*'Read Me'!$B$13)*(1+'Read Me'!$B$12),-1)</f>
        <v/>
      </c>
      <c r="W2766" s="16">
        <f>V2766*N2766*O2766</f>
        <v/>
      </c>
      <c r="X2766" s="12">
        <f>IF(LEFT(I2766,2)="MV",2*N2766*IF(L2766="1/C",O2766,1),0)</f>
        <v/>
      </c>
      <c r="Y2766" s="12">
        <f>IF(OR(LEFT(K2766,4)="LVAX",LEFT(K2766,6)="MV15AX",LEFT(K2766,4)="CTAX",LEFT(K2766,2)="W|"),2*N2766*O2766,0)</f>
        <v/>
      </c>
      <c r="Z2766" s="12" t="inlineStr"/>
      <c r="AA2766" s="12">
        <f>N2766*O2766</f>
        <v/>
      </c>
    </row>
    <row r="2767">
      <c r="A2767" s="12" t="inlineStr">
        <is>
          <t>E-I-0036</t>
        </is>
      </c>
      <c r="B2767" s="12" t="inlineStr">
        <is>
          <t>E</t>
        </is>
      </c>
      <c r="C2767" s="12" t="inlineStr">
        <is>
          <t>Water / utilities</t>
        </is>
      </c>
      <c r="D2767" s="12" t="inlineStr">
        <is>
          <t>Analog instrument to JB JB-Oil-water separato-AI01: 4 x 1 pr (field cables)</t>
        </is>
      </c>
      <c r="E2767" s="12" t="inlineStr"/>
      <c r="F2767" s="12" t="inlineStr">
        <is>
          <t>Oil-water separator</t>
        </is>
      </c>
      <c r="G2767" s="12" t="inlineStr">
        <is>
          <t>JB-Oil-water separato-AI01</t>
        </is>
      </c>
      <c r="H2767" s="12" t="inlineStr">
        <is>
          <t>Oil-water separator</t>
        </is>
      </c>
      <c r="I2767" s="12" t="inlineStr">
        <is>
          <t>Instrumentation</t>
        </is>
      </c>
      <c r="J2767" s="12" t="inlineStr">
        <is>
          <t>Instrumentation PLTC / TC-ER 300 V, #18 twisted shielded pairs, overall shield</t>
        </is>
      </c>
      <c r="K2767" s="12" t="inlineStr">
        <is>
          <t>PLTC|1 pr|16</t>
        </is>
      </c>
      <c r="L2767" s="12" t="inlineStr">
        <is>
          <t>1 pr</t>
        </is>
      </c>
      <c r="M2767" s="12" t="inlineStr">
        <is>
          <t>16</t>
        </is>
      </c>
      <c r="N2767" s="12" t="n">
        <v>4</v>
      </c>
      <c r="O2767" s="12" t="n">
        <v>1</v>
      </c>
      <c r="P2767" s="12" t="n"/>
      <c r="Q2767" s="12" t="n"/>
      <c r="R2767" s="12" t="n"/>
      <c r="S2767" s="12" t="inlineStr">
        <is>
          <t>Tray / conduit</t>
        </is>
      </c>
      <c r="T2767" s="16" t="n">
        <v>45</v>
      </c>
      <c r="U2767" s="16" t="n">
        <v>10</v>
      </c>
      <c r="V2767" s="16">
        <f>ROUNDUP((T2767+U2767+2*'Read Me'!$B$13)*(1+'Read Me'!$B$12),-1)</f>
        <v/>
      </c>
      <c r="W2767" s="16">
        <f>V2767*N2767*O2767</f>
        <v/>
      </c>
      <c r="X2767" s="12">
        <f>IF(LEFT(I2767,2)="MV",2*N2767*IF(L2767="1/C",O2767,1),0)</f>
        <v/>
      </c>
      <c r="Y2767" s="12">
        <f>IF(OR(LEFT(K2767,4)="LVAX",LEFT(K2767,6)="MV15AX",LEFT(K2767,4)="CTAX",LEFT(K2767,2)="W|"),2*N2767*O2767,0)</f>
        <v/>
      </c>
      <c r="Z2767" s="12" t="inlineStr">
        <is>
          <t>device-to-JB field wiring, one cable per device</t>
        </is>
      </c>
      <c r="AA2767" s="12">
        <f>N2767*O2767</f>
        <v/>
      </c>
    </row>
    <row r="2768">
      <c r="A2768" s="12" t="inlineStr">
        <is>
          <t>E-I-0037</t>
        </is>
      </c>
      <c r="B2768" s="12" t="inlineStr">
        <is>
          <t>E</t>
        </is>
      </c>
      <c r="C2768" s="12" t="inlineStr">
        <is>
          <t>Water / utilities</t>
        </is>
      </c>
      <c r="D2768" s="12" t="inlineStr">
        <is>
          <t>Home run JB-Oil-water separato-AI01 to the control / marshalling room</t>
        </is>
      </c>
      <c r="E2768" s="12" t="inlineStr">
        <is>
          <t>R-WT</t>
        </is>
      </c>
      <c r="F2768" s="12" t="inlineStr">
        <is>
          <t>Water treatment building (incl. R-WT electrical room)</t>
        </is>
      </c>
      <c r="G2768" s="12" t="inlineStr">
        <is>
          <t>JB-Oil-water separato-AI01</t>
        </is>
      </c>
      <c r="H2768" s="12" t="inlineStr">
        <is>
          <t>Oil-water separator</t>
        </is>
      </c>
      <c r="I2768" s="12" t="inlineStr">
        <is>
          <t>Instrumentation</t>
        </is>
      </c>
      <c r="J2768" s="12" t="inlineStr">
        <is>
          <t>Instrumentation PLTC / TC-ER 300 V, #18 twisted shielded pairs, overall shield</t>
        </is>
      </c>
      <c r="K2768" s="12" t="inlineStr">
        <is>
          <t>PLTC|24 pr|18</t>
        </is>
      </c>
      <c r="L2768" s="12" t="inlineStr">
        <is>
          <t>24 pr</t>
        </is>
      </c>
      <c r="M2768" s="12" t="inlineStr">
        <is>
          <t>18</t>
        </is>
      </c>
      <c r="N2768" s="12" t="n">
        <v>1</v>
      </c>
      <c r="O2768" s="12" t="n">
        <v>1</v>
      </c>
      <c r="P2768" s="12" t="n"/>
      <c r="Q2768" s="12" t="n"/>
      <c r="R2768" s="12" t="n"/>
      <c r="S2768" s="12" t="inlineStr">
        <is>
          <t>Duct bank</t>
        </is>
      </c>
      <c r="T2768" s="16" t="n">
        <v>655</v>
      </c>
      <c r="U2768" s="16" t="n">
        <v>32</v>
      </c>
      <c r="V2768" s="16">
        <f>ROUNDUP((T2768+U2768+2*'Read Me'!$B$13)*(1+'Read Me'!$B$12),-1)</f>
        <v/>
      </c>
      <c r="W2768" s="16">
        <f>V2768*N2768*O2768</f>
        <v/>
      </c>
      <c r="X2768" s="12">
        <f>IF(LEFT(I2768,2)="MV",2*N2768*IF(L2768="1/C",O2768,1),0)</f>
        <v/>
      </c>
      <c r="Y2768" s="12">
        <f>IF(OR(LEFT(K2768,4)="LVAX",LEFT(K2768,6)="MV15AX",LEFT(K2768,4)="CTAX",LEFT(K2768,2)="W|"),2*N2768*O2768,0)</f>
        <v/>
      </c>
      <c r="Z2768" s="12" t="inlineStr"/>
      <c r="AA2768" s="12">
        <f>N2768*O2768</f>
        <v/>
      </c>
    </row>
    <row r="2769">
      <c r="A2769" s="12" t="inlineStr">
        <is>
          <t>E-I-0038</t>
        </is>
      </c>
      <c r="B2769" s="12" t="inlineStr">
        <is>
          <t>E</t>
        </is>
      </c>
      <c r="C2769" s="12" t="inlineStr">
        <is>
          <t>Water / utilities</t>
        </is>
      </c>
      <c r="D2769" s="12" t="inlineStr">
        <is>
          <t>Discrete device to JB JB-Oil-water separato-DI01: 4 x 1 pr (field cables)</t>
        </is>
      </c>
      <c r="E2769" s="12" t="inlineStr"/>
      <c r="F2769" s="12" t="inlineStr">
        <is>
          <t>Oil-water separator</t>
        </is>
      </c>
      <c r="G2769" s="12" t="inlineStr">
        <is>
          <t>JB-Oil-water separato-DI01</t>
        </is>
      </c>
      <c r="H2769" s="12" t="inlineStr">
        <is>
          <t>Oil-water separator</t>
        </is>
      </c>
      <c r="I2769" s="12" t="inlineStr">
        <is>
          <t>Instrumentation</t>
        </is>
      </c>
      <c r="J2769" s="12" t="inlineStr">
        <is>
          <t>Instrumentation PLTC / TC-ER 300 V, #18 twisted shielded pairs, overall shield</t>
        </is>
      </c>
      <c r="K2769" s="12" t="inlineStr">
        <is>
          <t>PLTC|1 pr|16</t>
        </is>
      </c>
      <c r="L2769" s="12" t="inlineStr">
        <is>
          <t>1 pr</t>
        </is>
      </c>
      <c r="M2769" s="12" t="inlineStr">
        <is>
          <t>16</t>
        </is>
      </c>
      <c r="N2769" s="12" t="n">
        <v>4</v>
      </c>
      <c r="O2769" s="12" t="n">
        <v>1</v>
      </c>
      <c r="P2769" s="12" t="n"/>
      <c r="Q2769" s="12" t="n"/>
      <c r="R2769" s="12" t="n"/>
      <c r="S2769" s="12" t="inlineStr">
        <is>
          <t>Tray / conduit</t>
        </is>
      </c>
      <c r="T2769" s="16" t="n">
        <v>45</v>
      </c>
      <c r="U2769" s="16" t="n">
        <v>10</v>
      </c>
      <c r="V2769" s="16">
        <f>ROUNDUP((T2769+U2769+2*'Read Me'!$B$13)*(1+'Read Me'!$B$12),-1)</f>
        <v/>
      </c>
      <c r="W2769" s="16">
        <f>V2769*N2769*O2769</f>
        <v/>
      </c>
      <c r="X2769" s="12">
        <f>IF(LEFT(I2769,2)="MV",2*N2769*IF(L2769="1/C",O2769,1),0)</f>
        <v/>
      </c>
      <c r="Y2769" s="12">
        <f>IF(OR(LEFT(K2769,4)="LVAX",LEFT(K2769,6)="MV15AX",LEFT(K2769,4)="CTAX",LEFT(K2769,2)="W|"),2*N2769*O2769,0)</f>
        <v/>
      </c>
      <c r="Z2769" s="12" t="inlineStr">
        <is>
          <t>device-to-JB field wiring, one cable per device</t>
        </is>
      </c>
      <c r="AA2769" s="12">
        <f>N2769*O2769</f>
        <v/>
      </c>
    </row>
    <row r="2770">
      <c r="A2770" s="12" t="inlineStr">
        <is>
          <t>E-I-0039</t>
        </is>
      </c>
      <c r="B2770" s="12" t="inlineStr">
        <is>
          <t>E</t>
        </is>
      </c>
      <c r="C2770" s="12" t="inlineStr">
        <is>
          <t>Water / utilities</t>
        </is>
      </c>
      <c r="D2770" s="12" t="inlineStr">
        <is>
          <t>Home run JB-Oil-water separato-DI01 to the control / marshalling room</t>
        </is>
      </c>
      <c r="E2770" s="12" t="inlineStr">
        <is>
          <t>R-WT</t>
        </is>
      </c>
      <c r="F2770" s="12" t="inlineStr">
        <is>
          <t>Water treatment building (incl. R-WT electrical room)</t>
        </is>
      </c>
      <c r="G2770" s="12" t="inlineStr">
        <is>
          <t>JB-Oil-water separato-DI01</t>
        </is>
      </c>
      <c r="H2770" s="12" t="inlineStr">
        <is>
          <t>Oil-water separator</t>
        </is>
      </c>
      <c r="I2770" s="12" t="inlineStr">
        <is>
          <t>Instrumentation</t>
        </is>
      </c>
      <c r="J2770" s="12" t="inlineStr">
        <is>
          <t>Instrumentation PLTC / TC-ER 300 V, #18 twisted shielded pairs, overall shield</t>
        </is>
      </c>
      <c r="K2770" s="12" t="inlineStr">
        <is>
          <t>PLTC|24 pr|18</t>
        </is>
      </c>
      <c r="L2770" s="12" t="inlineStr">
        <is>
          <t>24 pr</t>
        </is>
      </c>
      <c r="M2770" s="12" t="inlineStr">
        <is>
          <t>18</t>
        </is>
      </c>
      <c r="N2770" s="12" t="n">
        <v>1</v>
      </c>
      <c r="O2770" s="12" t="n">
        <v>1</v>
      </c>
      <c r="P2770" s="12" t="n"/>
      <c r="Q2770" s="12" t="n"/>
      <c r="R2770" s="12" t="n"/>
      <c r="S2770" s="12" t="inlineStr">
        <is>
          <t>Duct bank</t>
        </is>
      </c>
      <c r="T2770" s="16" t="n">
        <v>655</v>
      </c>
      <c r="U2770" s="16" t="n">
        <v>32</v>
      </c>
      <c r="V2770" s="16">
        <f>ROUNDUP((T2770+U2770+2*'Read Me'!$B$13)*(1+'Read Me'!$B$12),-1)</f>
        <v/>
      </c>
      <c r="W2770" s="16">
        <f>V2770*N2770*O2770</f>
        <v/>
      </c>
      <c r="X2770" s="12">
        <f>IF(LEFT(I2770,2)="MV",2*N2770*IF(L2770="1/C",O2770,1),0)</f>
        <v/>
      </c>
      <c r="Y2770" s="12">
        <f>IF(OR(LEFT(K2770,4)="LVAX",LEFT(K2770,6)="MV15AX",LEFT(K2770,4)="CTAX",LEFT(K2770,2)="W|"),2*N2770*O2770,0)</f>
        <v/>
      </c>
      <c r="Z2770" s="12" t="inlineStr"/>
      <c r="AA2770" s="12">
        <f>N2770*O2770</f>
        <v/>
      </c>
    </row>
    <row r="2771">
      <c r="A2771" s="12" t="inlineStr">
        <is>
          <t>E-I-0040</t>
        </is>
      </c>
      <c r="B2771" s="12" t="inlineStr">
        <is>
          <t>E</t>
        </is>
      </c>
      <c r="C2771" s="12" t="inlineStr">
        <is>
          <t>Water / utilities</t>
        </is>
      </c>
      <c r="D2771" s="12" t="inlineStr">
        <is>
          <t>Analog instrument to JB JB-Raw water tank-AI01: 4 x 1 pr (field cables)</t>
        </is>
      </c>
      <c r="E2771" s="12" t="inlineStr"/>
      <c r="F2771" s="12" t="inlineStr">
        <is>
          <t>Raw water tank</t>
        </is>
      </c>
      <c r="G2771" s="12" t="inlineStr">
        <is>
          <t>JB-Raw water tank-AI01</t>
        </is>
      </c>
      <c r="H2771" s="12" t="inlineStr">
        <is>
          <t>Raw water tank</t>
        </is>
      </c>
      <c r="I2771" s="12" t="inlineStr">
        <is>
          <t>Instrumentation</t>
        </is>
      </c>
      <c r="J2771" s="12" t="inlineStr">
        <is>
          <t>Instrumentation PLTC / TC-ER 300 V, #18 twisted shielded pairs, overall shield</t>
        </is>
      </c>
      <c r="K2771" s="12" t="inlineStr">
        <is>
          <t>PLTC|1 pr|16</t>
        </is>
      </c>
      <c r="L2771" s="12" t="inlineStr">
        <is>
          <t>1 pr</t>
        </is>
      </c>
      <c r="M2771" s="12" t="inlineStr">
        <is>
          <t>16</t>
        </is>
      </c>
      <c r="N2771" s="12" t="n">
        <v>4</v>
      </c>
      <c r="O2771" s="12" t="n">
        <v>1</v>
      </c>
      <c r="P2771" s="12" t="n"/>
      <c r="Q2771" s="12" t="n"/>
      <c r="R2771" s="12" t="n"/>
      <c r="S2771" s="12" t="inlineStr">
        <is>
          <t>Tray / conduit</t>
        </is>
      </c>
      <c r="T2771" s="16" t="n">
        <v>86</v>
      </c>
      <c r="U2771" s="16" t="n">
        <v>10</v>
      </c>
      <c r="V2771" s="16">
        <f>ROUNDUP((T2771+U2771+2*'Read Me'!$B$13)*(1+'Read Me'!$B$12),-1)</f>
        <v/>
      </c>
      <c r="W2771" s="16">
        <f>V2771*N2771*O2771</f>
        <v/>
      </c>
      <c r="X2771" s="12">
        <f>IF(LEFT(I2771,2)="MV",2*N2771*IF(L2771="1/C",O2771,1),0)</f>
        <v/>
      </c>
      <c r="Y2771" s="12">
        <f>IF(OR(LEFT(K2771,4)="LVAX",LEFT(K2771,6)="MV15AX",LEFT(K2771,4)="CTAX",LEFT(K2771,2)="W|"),2*N2771*O2771,0)</f>
        <v/>
      </c>
      <c r="Z2771" s="12" t="inlineStr">
        <is>
          <t>device-to-JB field wiring, one cable per device</t>
        </is>
      </c>
      <c r="AA2771" s="12">
        <f>N2771*O2771</f>
        <v/>
      </c>
    </row>
    <row r="2772">
      <c r="A2772" s="12" t="inlineStr">
        <is>
          <t>E-I-0041</t>
        </is>
      </c>
      <c r="B2772" s="12" t="inlineStr">
        <is>
          <t>E</t>
        </is>
      </c>
      <c r="C2772" s="12" t="inlineStr">
        <is>
          <t>Water / utilities</t>
        </is>
      </c>
      <c r="D2772" s="12" t="inlineStr">
        <is>
          <t>Home run JB-Raw water tank-AI01 to the control / marshalling room</t>
        </is>
      </c>
      <c r="E2772" s="12" t="inlineStr">
        <is>
          <t>R-WT</t>
        </is>
      </c>
      <c r="F2772" s="12" t="inlineStr">
        <is>
          <t>Water treatment building (incl. R-WT electrical room)</t>
        </is>
      </c>
      <c r="G2772" s="12" t="inlineStr">
        <is>
          <t>JB-Raw water tank-AI01</t>
        </is>
      </c>
      <c r="H2772" s="12" t="inlineStr">
        <is>
          <t>Raw water tank</t>
        </is>
      </c>
      <c r="I2772" s="12" t="inlineStr">
        <is>
          <t>Instrumentation</t>
        </is>
      </c>
      <c r="J2772" s="12" t="inlineStr">
        <is>
          <t>Instrumentation PLTC / TC-ER 300 V, #18 twisted shielded pairs, overall shield</t>
        </is>
      </c>
      <c r="K2772" s="12" t="inlineStr">
        <is>
          <t>PLTC|24 pr|18</t>
        </is>
      </c>
      <c r="L2772" s="12" t="inlineStr">
        <is>
          <t>24 pr</t>
        </is>
      </c>
      <c r="M2772" s="12" t="inlineStr">
        <is>
          <t>18</t>
        </is>
      </c>
      <c r="N2772" s="12" t="n">
        <v>1</v>
      </c>
      <c r="O2772" s="12" t="n">
        <v>1</v>
      </c>
      <c r="P2772" s="12" t="n"/>
      <c r="Q2772" s="12" t="n"/>
      <c r="R2772" s="12" t="n"/>
      <c r="S2772" s="12" t="inlineStr">
        <is>
          <t>Duct bank</t>
        </is>
      </c>
      <c r="T2772" s="16" t="n">
        <v>125</v>
      </c>
      <c r="U2772" s="16" t="n">
        <v>32</v>
      </c>
      <c r="V2772" s="16">
        <f>ROUNDUP((T2772+U2772+2*'Read Me'!$B$13)*(1+'Read Me'!$B$12),-1)</f>
        <v/>
      </c>
      <c r="W2772" s="16">
        <f>V2772*N2772*O2772</f>
        <v/>
      </c>
      <c r="X2772" s="12">
        <f>IF(LEFT(I2772,2)="MV",2*N2772*IF(L2772="1/C",O2772,1),0)</f>
        <v/>
      </c>
      <c r="Y2772" s="12">
        <f>IF(OR(LEFT(K2772,4)="LVAX",LEFT(K2772,6)="MV15AX",LEFT(K2772,4)="CTAX",LEFT(K2772,2)="W|"),2*N2772*O2772,0)</f>
        <v/>
      </c>
      <c r="Z2772" s="12" t="inlineStr"/>
      <c r="AA2772" s="12">
        <f>N2772*O2772</f>
        <v/>
      </c>
    </row>
    <row r="2773">
      <c r="A2773" s="12" t="inlineStr">
        <is>
          <t>E-I-0042</t>
        </is>
      </c>
      <c r="B2773" s="12" t="inlineStr">
        <is>
          <t>E</t>
        </is>
      </c>
      <c r="C2773" s="12" t="inlineStr">
        <is>
          <t>Water / utilities</t>
        </is>
      </c>
      <c r="D2773" s="12" t="inlineStr">
        <is>
          <t>Discrete device to JB JB-Raw water tank-DI01: 4 x 1 pr (field cables)</t>
        </is>
      </c>
      <c r="E2773" s="12" t="inlineStr"/>
      <c r="F2773" s="12" t="inlineStr">
        <is>
          <t>Raw water tank</t>
        </is>
      </c>
      <c r="G2773" s="12" t="inlineStr">
        <is>
          <t>JB-Raw water tank-DI01</t>
        </is>
      </c>
      <c r="H2773" s="12" t="inlineStr">
        <is>
          <t>Raw water tank</t>
        </is>
      </c>
      <c r="I2773" s="12" t="inlineStr">
        <is>
          <t>Instrumentation</t>
        </is>
      </c>
      <c r="J2773" s="12" t="inlineStr">
        <is>
          <t>Instrumentation PLTC / TC-ER 300 V, #18 twisted shielded pairs, overall shield</t>
        </is>
      </c>
      <c r="K2773" s="12" t="inlineStr">
        <is>
          <t>PLTC|1 pr|16</t>
        </is>
      </c>
      <c r="L2773" s="12" t="inlineStr">
        <is>
          <t>1 pr</t>
        </is>
      </c>
      <c r="M2773" s="12" t="inlineStr">
        <is>
          <t>16</t>
        </is>
      </c>
      <c r="N2773" s="12" t="n">
        <v>4</v>
      </c>
      <c r="O2773" s="12" t="n">
        <v>1</v>
      </c>
      <c r="P2773" s="12" t="n"/>
      <c r="Q2773" s="12" t="n"/>
      <c r="R2773" s="12" t="n"/>
      <c r="S2773" s="12" t="inlineStr">
        <is>
          <t>Tray / conduit</t>
        </is>
      </c>
      <c r="T2773" s="16" t="n">
        <v>86</v>
      </c>
      <c r="U2773" s="16" t="n">
        <v>10</v>
      </c>
      <c r="V2773" s="16">
        <f>ROUNDUP((T2773+U2773+2*'Read Me'!$B$13)*(1+'Read Me'!$B$12),-1)</f>
        <v/>
      </c>
      <c r="W2773" s="16">
        <f>V2773*N2773*O2773</f>
        <v/>
      </c>
      <c r="X2773" s="12">
        <f>IF(LEFT(I2773,2)="MV",2*N2773*IF(L2773="1/C",O2773,1),0)</f>
        <v/>
      </c>
      <c r="Y2773" s="12">
        <f>IF(OR(LEFT(K2773,4)="LVAX",LEFT(K2773,6)="MV15AX",LEFT(K2773,4)="CTAX",LEFT(K2773,2)="W|"),2*N2773*O2773,0)</f>
        <v/>
      </c>
      <c r="Z2773" s="12" t="inlineStr">
        <is>
          <t>device-to-JB field wiring, one cable per device</t>
        </is>
      </c>
      <c r="AA2773" s="12">
        <f>N2773*O2773</f>
        <v/>
      </c>
    </row>
    <row r="2774">
      <c r="A2774" s="12" t="inlineStr">
        <is>
          <t>E-I-0043</t>
        </is>
      </c>
      <c r="B2774" s="12" t="inlineStr">
        <is>
          <t>E</t>
        </is>
      </c>
      <c r="C2774" s="12" t="inlineStr">
        <is>
          <t>Water / utilities</t>
        </is>
      </c>
      <c r="D2774" s="12" t="inlineStr">
        <is>
          <t>Home run JB-Raw water tank-DI01 to the control / marshalling room</t>
        </is>
      </c>
      <c r="E2774" s="12" t="inlineStr">
        <is>
          <t>R-WT</t>
        </is>
      </c>
      <c r="F2774" s="12" t="inlineStr">
        <is>
          <t>Water treatment building (incl. R-WT electrical room)</t>
        </is>
      </c>
      <c r="G2774" s="12" t="inlineStr">
        <is>
          <t>JB-Raw water tank-DI01</t>
        </is>
      </c>
      <c r="H2774" s="12" t="inlineStr">
        <is>
          <t>Raw water tank</t>
        </is>
      </c>
      <c r="I2774" s="12" t="inlineStr">
        <is>
          <t>Instrumentation</t>
        </is>
      </c>
      <c r="J2774" s="12" t="inlineStr">
        <is>
          <t>Instrumentation PLTC / TC-ER 300 V, #18 twisted shielded pairs, overall shield</t>
        </is>
      </c>
      <c r="K2774" s="12" t="inlineStr">
        <is>
          <t>PLTC|24 pr|18</t>
        </is>
      </c>
      <c r="L2774" s="12" t="inlineStr">
        <is>
          <t>24 pr</t>
        </is>
      </c>
      <c r="M2774" s="12" t="inlineStr">
        <is>
          <t>18</t>
        </is>
      </c>
      <c r="N2774" s="12" t="n">
        <v>1</v>
      </c>
      <c r="O2774" s="12" t="n">
        <v>1</v>
      </c>
      <c r="P2774" s="12" t="n"/>
      <c r="Q2774" s="12" t="n"/>
      <c r="R2774" s="12" t="n"/>
      <c r="S2774" s="12" t="inlineStr">
        <is>
          <t>Duct bank</t>
        </is>
      </c>
      <c r="T2774" s="16" t="n">
        <v>125</v>
      </c>
      <c r="U2774" s="16" t="n">
        <v>32</v>
      </c>
      <c r="V2774" s="16">
        <f>ROUNDUP((T2774+U2774+2*'Read Me'!$B$13)*(1+'Read Me'!$B$12),-1)</f>
        <v/>
      </c>
      <c r="W2774" s="16">
        <f>V2774*N2774*O2774</f>
        <v/>
      </c>
      <c r="X2774" s="12">
        <f>IF(LEFT(I2774,2)="MV",2*N2774*IF(L2774="1/C",O2774,1),0)</f>
        <v/>
      </c>
      <c r="Y2774" s="12">
        <f>IF(OR(LEFT(K2774,4)="LVAX",LEFT(K2774,6)="MV15AX",LEFT(K2774,4)="CTAX",LEFT(K2774,2)="W|"),2*N2774*O2774,0)</f>
        <v/>
      </c>
      <c r="Z2774" s="12" t="inlineStr"/>
      <c r="AA2774" s="12">
        <f>N2774*O2774</f>
        <v/>
      </c>
    </row>
    <row r="2775">
      <c r="A2775" s="12" t="inlineStr">
        <is>
          <t>E-I-0044</t>
        </is>
      </c>
      <c r="B2775" s="12" t="inlineStr">
        <is>
          <t>E</t>
        </is>
      </c>
      <c r="C2775" s="12" t="inlineStr">
        <is>
          <t>Water / utilities</t>
        </is>
      </c>
      <c r="D2775" s="12" t="inlineStr">
        <is>
          <t>Analog instrument to JB JB-Wastewater treatme-AI01: 20 x 1 pr (field cables)</t>
        </is>
      </c>
      <c r="E2775" s="12" t="inlineStr"/>
      <c r="F2775" s="12" t="inlineStr">
        <is>
          <t>Wastewater treatment</t>
        </is>
      </c>
      <c r="G2775" s="12" t="inlineStr">
        <is>
          <t>JB-Wastewater treatme-AI01</t>
        </is>
      </c>
      <c r="H2775" s="12" t="inlineStr">
        <is>
          <t>Wastewater treatment</t>
        </is>
      </c>
      <c r="I2775" s="12" t="inlineStr">
        <is>
          <t>Instrumentation</t>
        </is>
      </c>
      <c r="J2775" s="12" t="inlineStr">
        <is>
          <t>Instrumentation PLTC / TC-ER 300 V, #18 twisted shielded pairs, overall shield</t>
        </is>
      </c>
      <c r="K2775" s="12" t="inlineStr">
        <is>
          <t>PLTC|1 pr|16</t>
        </is>
      </c>
      <c r="L2775" s="12" t="inlineStr">
        <is>
          <t>1 pr</t>
        </is>
      </c>
      <c r="M2775" s="12" t="inlineStr">
        <is>
          <t>16</t>
        </is>
      </c>
      <c r="N2775" s="12" t="n">
        <v>20</v>
      </c>
      <c r="O2775" s="12" t="n">
        <v>1</v>
      </c>
      <c r="P2775" s="12" t="n"/>
      <c r="Q2775" s="12" t="n"/>
      <c r="R2775" s="12" t="n"/>
      <c r="S2775" s="12" t="inlineStr">
        <is>
          <t>Tray / conduit</t>
        </is>
      </c>
      <c r="T2775" s="16" t="n">
        <v>140</v>
      </c>
      <c r="U2775" s="16" t="n">
        <v>10</v>
      </c>
      <c r="V2775" s="16">
        <f>ROUNDUP((T2775+U2775+2*'Read Me'!$B$13)*(1+'Read Me'!$B$12),-1)</f>
        <v/>
      </c>
      <c r="W2775" s="16">
        <f>V2775*N2775*O2775</f>
        <v/>
      </c>
      <c r="X2775" s="12">
        <f>IF(LEFT(I2775,2)="MV",2*N2775*IF(L2775="1/C",O2775,1),0)</f>
        <v/>
      </c>
      <c r="Y2775" s="12">
        <f>IF(OR(LEFT(K2775,4)="LVAX",LEFT(K2775,6)="MV15AX",LEFT(K2775,4)="CTAX",LEFT(K2775,2)="W|"),2*N2775*O2775,0)</f>
        <v/>
      </c>
      <c r="Z2775" s="12" t="inlineStr">
        <is>
          <t>device-to-JB field wiring, one cable per device</t>
        </is>
      </c>
      <c r="AA2775" s="12">
        <f>N2775*O2775</f>
        <v/>
      </c>
    </row>
    <row r="2776">
      <c r="A2776" s="12" t="inlineStr">
        <is>
          <t>E-I-0045</t>
        </is>
      </c>
      <c r="B2776" s="12" t="inlineStr">
        <is>
          <t>E</t>
        </is>
      </c>
      <c r="C2776" s="12" t="inlineStr">
        <is>
          <t>Water / utilities</t>
        </is>
      </c>
      <c r="D2776" s="12" t="inlineStr">
        <is>
          <t>Home run JB-Wastewater treatme-AI01 to the control / marshalling room</t>
        </is>
      </c>
      <c r="E2776" s="12" t="inlineStr">
        <is>
          <t>R-WT</t>
        </is>
      </c>
      <c r="F2776" s="12" t="inlineStr">
        <is>
          <t>Water treatment building (incl. R-WT electrical room)</t>
        </is>
      </c>
      <c r="G2776" s="12" t="inlineStr">
        <is>
          <t>JB-Wastewater treatme-AI01</t>
        </is>
      </c>
      <c r="H2776" s="12" t="inlineStr">
        <is>
          <t>Wastewater treatment</t>
        </is>
      </c>
      <c r="I2776" s="12" t="inlineStr">
        <is>
          <t>Instrumentation</t>
        </is>
      </c>
      <c r="J2776" s="12" t="inlineStr">
        <is>
          <t>Instrumentation PLTC / TC-ER 300 V, #18 twisted shielded pairs, overall shield</t>
        </is>
      </c>
      <c r="K2776" s="12" t="inlineStr">
        <is>
          <t>PLTC|24 pr|18</t>
        </is>
      </c>
      <c r="L2776" s="12" t="inlineStr">
        <is>
          <t>24 pr</t>
        </is>
      </c>
      <c r="M2776" s="12" t="inlineStr">
        <is>
          <t>18</t>
        </is>
      </c>
      <c r="N2776" s="12" t="n">
        <v>1</v>
      </c>
      <c r="O2776" s="12" t="n">
        <v>1</v>
      </c>
      <c r="P2776" s="12" t="n"/>
      <c r="Q2776" s="12" t="n"/>
      <c r="R2776" s="12" t="n"/>
      <c r="S2776" s="12" t="inlineStr">
        <is>
          <t>Duct bank</t>
        </is>
      </c>
      <c r="T2776" s="16" t="n">
        <v>15</v>
      </c>
      <c r="U2776" s="16" t="n">
        <v>99</v>
      </c>
      <c r="V2776" s="16">
        <f>ROUNDUP((T2776+U2776+2*'Read Me'!$B$13)*(1+'Read Me'!$B$12),-1)</f>
        <v/>
      </c>
      <c r="W2776" s="16">
        <f>V2776*N2776*O2776</f>
        <v/>
      </c>
      <c r="X2776" s="12">
        <f>IF(LEFT(I2776,2)="MV",2*N2776*IF(L2776="1/C",O2776,1),0)</f>
        <v/>
      </c>
      <c r="Y2776" s="12">
        <f>IF(OR(LEFT(K2776,4)="LVAX",LEFT(K2776,6)="MV15AX",LEFT(K2776,4)="CTAX",LEFT(K2776,2)="W|"),2*N2776*O2776,0)</f>
        <v/>
      </c>
      <c r="Z2776" s="12" t="inlineStr"/>
      <c r="AA2776" s="12">
        <f>N2776*O2776</f>
        <v/>
      </c>
    </row>
    <row r="2777">
      <c r="A2777" s="12" t="inlineStr">
        <is>
          <t>E-I-0046</t>
        </is>
      </c>
      <c r="B2777" s="12" t="inlineStr">
        <is>
          <t>E</t>
        </is>
      </c>
      <c r="C2777" s="12" t="inlineStr">
        <is>
          <t>Water / utilities</t>
        </is>
      </c>
      <c r="D2777" s="12" t="inlineStr">
        <is>
          <t>Discrete device to JB JB-Wastewater treatme-DI01: 20 x 1 pr (field cables)</t>
        </is>
      </c>
      <c r="E2777" s="12" t="inlineStr"/>
      <c r="F2777" s="12" t="inlineStr">
        <is>
          <t>Wastewater treatment</t>
        </is>
      </c>
      <c r="G2777" s="12" t="inlineStr">
        <is>
          <t>JB-Wastewater treatme-DI01</t>
        </is>
      </c>
      <c r="H2777" s="12" t="inlineStr">
        <is>
          <t>Wastewater treatment</t>
        </is>
      </c>
      <c r="I2777" s="12" t="inlineStr">
        <is>
          <t>Instrumentation</t>
        </is>
      </c>
      <c r="J2777" s="12" t="inlineStr">
        <is>
          <t>Instrumentation PLTC / TC-ER 300 V, #18 twisted shielded pairs, overall shield</t>
        </is>
      </c>
      <c r="K2777" s="12" t="inlineStr">
        <is>
          <t>PLTC|1 pr|16</t>
        </is>
      </c>
      <c r="L2777" s="12" t="inlineStr">
        <is>
          <t>1 pr</t>
        </is>
      </c>
      <c r="M2777" s="12" t="inlineStr">
        <is>
          <t>16</t>
        </is>
      </c>
      <c r="N2777" s="12" t="n">
        <v>20</v>
      </c>
      <c r="O2777" s="12" t="n">
        <v>1</v>
      </c>
      <c r="P2777" s="12" t="n"/>
      <c r="Q2777" s="12" t="n"/>
      <c r="R2777" s="12" t="n"/>
      <c r="S2777" s="12" t="inlineStr">
        <is>
          <t>Tray / conduit</t>
        </is>
      </c>
      <c r="T2777" s="16" t="n">
        <v>140</v>
      </c>
      <c r="U2777" s="16" t="n">
        <v>10</v>
      </c>
      <c r="V2777" s="16">
        <f>ROUNDUP((T2777+U2777+2*'Read Me'!$B$13)*(1+'Read Me'!$B$12),-1)</f>
        <v/>
      </c>
      <c r="W2777" s="16">
        <f>V2777*N2777*O2777</f>
        <v/>
      </c>
      <c r="X2777" s="12">
        <f>IF(LEFT(I2777,2)="MV",2*N2777*IF(L2777="1/C",O2777,1),0)</f>
        <v/>
      </c>
      <c r="Y2777" s="12">
        <f>IF(OR(LEFT(K2777,4)="LVAX",LEFT(K2777,6)="MV15AX",LEFT(K2777,4)="CTAX",LEFT(K2777,2)="W|"),2*N2777*O2777,0)</f>
        <v/>
      </c>
      <c r="Z2777" s="12" t="inlineStr">
        <is>
          <t>device-to-JB field wiring, one cable per device</t>
        </is>
      </c>
      <c r="AA2777" s="12">
        <f>N2777*O2777</f>
        <v/>
      </c>
    </row>
    <row r="2778">
      <c r="A2778" s="12" t="inlineStr">
        <is>
          <t>E-I-0047</t>
        </is>
      </c>
      <c r="B2778" s="12" t="inlineStr">
        <is>
          <t>E</t>
        </is>
      </c>
      <c r="C2778" s="12" t="inlineStr">
        <is>
          <t>Water / utilities</t>
        </is>
      </c>
      <c r="D2778" s="12" t="inlineStr">
        <is>
          <t>Home run JB-Wastewater treatme-DI01 to the control / marshalling room</t>
        </is>
      </c>
      <c r="E2778" s="12" t="inlineStr">
        <is>
          <t>R-WT</t>
        </is>
      </c>
      <c r="F2778" s="12" t="inlineStr">
        <is>
          <t>Water treatment building (incl. R-WT electrical room)</t>
        </is>
      </c>
      <c r="G2778" s="12" t="inlineStr">
        <is>
          <t>JB-Wastewater treatme-DI01</t>
        </is>
      </c>
      <c r="H2778" s="12" t="inlineStr">
        <is>
          <t>Wastewater treatment</t>
        </is>
      </c>
      <c r="I2778" s="12" t="inlineStr">
        <is>
          <t>Instrumentation</t>
        </is>
      </c>
      <c r="J2778" s="12" t="inlineStr">
        <is>
          <t>Instrumentation PLTC / TC-ER 300 V, #18 twisted shielded pairs, overall shield</t>
        </is>
      </c>
      <c r="K2778" s="12" t="inlineStr">
        <is>
          <t>PLTC|24 pr|18</t>
        </is>
      </c>
      <c r="L2778" s="12" t="inlineStr">
        <is>
          <t>24 pr</t>
        </is>
      </c>
      <c r="M2778" s="12" t="inlineStr">
        <is>
          <t>18</t>
        </is>
      </c>
      <c r="N2778" s="12" t="n">
        <v>1</v>
      </c>
      <c r="O2778" s="12" t="n">
        <v>1</v>
      </c>
      <c r="P2778" s="12" t="n"/>
      <c r="Q2778" s="12" t="n"/>
      <c r="R2778" s="12" t="n"/>
      <c r="S2778" s="12" t="inlineStr">
        <is>
          <t>Duct bank</t>
        </is>
      </c>
      <c r="T2778" s="16" t="n">
        <v>15</v>
      </c>
      <c r="U2778" s="16" t="n">
        <v>99</v>
      </c>
      <c r="V2778" s="16">
        <f>ROUNDUP((T2778+U2778+2*'Read Me'!$B$13)*(1+'Read Me'!$B$12),-1)</f>
        <v/>
      </c>
      <c r="W2778" s="16">
        <f>V2778*N2778*O2778</f>
        <v/>
      </c>
      <c r="X2778" s="12">
        <f>IF(LEFT(I2778,2)="MV",2*N2778*IF(L2778="1/C",O2778,1),0)</f>
        <v/>
      </c>
      <c r="Y2778" s="12">
        <f>IF(OR(LEFT(K2778,4)="LVAX",LEFT(K2778,6)="MV15AX",LEFT(K2778,4)="CTAX",LEFT(K2778,2)="W|"),2*N2778*O2778,0)</f>
        <v/>
      </c>
      <c r="Z2778" s="12" t="inlineStr"/>
      <c r="AA2778" s="12">
        <f>N2778*O2778</f>
        <v/>
      </c>
    </row>
    <row r="2779">
      <c r="A2779" s="12" t="inlineStr">
        <is>
          <t>E-I-0048</t>
        </is>
      </c>
      <c r="B2779" s="12" t="inlineStr">
        <is>
          <t>E</t>
        </is>
      </c>
      <c r="C2779" s="12" t="inlineStr">
        <is>
          <t>Water / utilities</t>
        </is>
      </c>
      <c r="D2779" s="12" t="inlineStr">
        <is>
          <t>Discrete device to JB JB-Wastewater treatme-DI02: 10 x 1 pr (field cables)</t>
        </is>
      </c>
      <c r="E2779" s="12" t="inlineStr"/>
      <c r="F2779" s="12" t="inlineStr">
        <is>
          <t>Wastewater treatment</t>
        </is>
      </c>
      <c r="G2779" s="12" t="inlineStr">
        <is>
          <t>JB-Wastewater treatme-DI02</t>
        </is>
      </c>
      <c r="H2779" s="12" t="inlineStr">
        <is>
          <t>Wastewater treatment</t>
        </is>
      </c>
      <c r="I2779" s="12" t="inlineStr">
        <is>
          <t>Instrumentation</t>
        </is>
      </c>
      <c r="J2779" s="12" t="inlineStr">
        <is>
          <t>Instrumentation PLTC / TC-ER 300 V, #18 twisted shielded pairs, overall shield</t>
        </is>
      </c>
      <c r="K2779" s="12" t="inlineStr">
        <is>
          <t>PLTC|1 pr|16</t>
        </is>
      </c>
      <c r="L2779" s="12" t="inlineStr">
        <is>
          <t>1 pr</t>
        </is>
      </c>
      <c r="M2779" s="12" t="inlineStr">
        <is>
          <t>16</t>
        </is>
      </c>
      <c r="N2779" s="12" t="n">
        <v>10</v>
      </c>
      <c r="O2779" s="12" t="n">
        <v>1</v>
      </c>
      <c r="P2779" s="12" t="n"/>
      <c r="Q2779" s="12" t="n"/>
      <c r="R2779" s="12" t="n"/>
      <c r="S2779" s="12" t="inlineStr">
        <is>
          <t>Tray / conduit</t>
        </is>
      </c>
      <c r="T2779" s="16" t="n">
        <v>140</v>
      </c>
      <c r="U2779" s="16" t="n">
        <v>10</v>
      </c>
      <c r="V2779" s="16">
        <f>ROUNDUP((T2779+U2779+2*'Read Me'!$B$13)*(1+'Read Me'!$B$12),-1)</f>
        <v/>
      </c>
      <c r="W2779" s="16">
        <f>V2779*N2779*O2779</f>
        <v/>
      </c>
      <c r="X2779" s="12">
        <f>IF(LEFT(I2779,2)="MV",2*N2779*IF(L2779="1/C",O2779,1),0)</f>
        <v/>
      </c>
      <c r="Y2779" s="12">
        <f>IF(OR(LEFT(K2779,4)="LVAX",LEFT(K2779,6)="MV15AX",LEFT(K2779,4)="CTAX",LEFT(K2779,2)="W|"),2*N2779*O2779,0)</f>
        <v/>
      </c>
      <c r="Z2779" s="12" t="inlineStr">
        <is>
          <t>device-to-JB field wiring, one cable per device</t>
        </is>
      </c>
      <c r="AA2779" s="12">
        <f>N2779*O2779</f>
        <v/>
      </c>
    </row>
    <row r="2780">
      <c r="A2780" s="12" t="inlineStr">
        <is>
          <t>E-I-0049</t>
        </is>
      </c>
      <c r="B2780" s="12" t="inlineStr">
        <is>
          <t>E</t>
        </is>
      </c>
      <c r="C2780" s="12" t="inlineStr">
        <is>
          <t>Water / utilities</t>
        </is>
      </c>
      <c r="D2780" s="12" t="inlineStr">
        <is>
          <t>Home run JB-Wastewater treatme-DI02 to the control / marshalling room</t>
        </is>
      </c>
      <c r="E2780" s="12" t="inlineStr">
        <is>
          <t>R-WT</t>
        </is>
      </c>
      <c r="F2780" s="12" t="inlineStr">
        <is>
          <t>Water treatment building (incl. R-WT electrical room)</t>
        </is>
      </c>
      <c r="G2780" s="12" t="inlineStr">
        <is>
          <t>JB-Wastewater treatme-DI02</t>
        </is>
      </c>
      <c r="H2780" s="12" t="inlineStr">
        <is>
          <t>Wastewater treatment</t>
        </is>
      </c>
      <c r="I2780" s="12" t="inlineStr">
        <is>
          <t>Instrumentation</t>
        </is>
      </c>
      <c r="J2780" s="12" t="inlineStr">
        <is>
          <t>Instrumentation PLTC / TC-ER 300 V, #18 twisted shielded pairs, overall shield</t>
        </is>
      </c>
      <c r="K2780" s="12" t="inlineStr">
        <is>
          <t>PLTC|24 pr|18</t>
        </is>
      </c>
      <c r="L2780" s="12" t="inlineStr">
        <is>
          <t>24 pr</t>
        </is>
      </c>
      <c r="M2780" s="12" t="inlineStr">
        <is>
          <t>18</t>
        </is>
      </c>
      <c r="N2780" s="12" t="n">
        <v>1</v>
      </c>
      <c r="O2780" s="12" t="n">
        <v>1</v>
      </c>
      <c r="P2780" s="12" t="n"/>
      <c r="Q2780" s="12" t="n"/>
      <c r="R2780" s="12" t="n"/>
      <c r="S2780" s="12" t="inlineStr">
        <is>
          <t>Duct bank</t>
        </is>
      </c>
      <c r="T2780" s="16" t="n">
        <v>15</v>
      </c>
      <c r="U2780" s="16" t="n">
        <v>99</v>
      </c>
      <c r="V2780" s="16">
        <f>ROUNDUP((T2780+U2780+2*'Read Me'!$B$13)*(1+'Read Me'!$B$12),-1)</f>
        <v/>
      </c>
      <c r="W2780" s="16">
        <f>V2780*N2780*O2780</f>
        <v/>
      </c>
      <c r="X2780" s="12">
        <f>IF(LEFT(I2780,2)="MV",2*N2780*IF(L2780="1/C",O2780,1),0)</f>
        <v/>
      </c>
      <c r="Y2780" s="12">
        <f>IF(OR(LEFT(K2780,4)="LVAX",LEFT(K2780,6)="MV15AX",LEFT(K2780,4)="CTAX",LEFT(K2780,2)="W|"),2*N2780*O2780,0)</f>
        <v/>
      </c>
      <c r="Z2780" s="12" t="inlineStr"/>
      <c r="AA2780" s="12">
        <f>N2780*O2780</f>
        <v/>
      </c>
    </row>
    <row r="2781">
      <c r="A2781" s="12" t="inlineStr">
        <is>
          <t>E-I-0050</t>
        </is>
      </c>
      <c r="B2781" s="12" t="inlineStr">
        <is>
          <t>E</t>
        </is>
      </c>
      <c r="C2781" s="12" t="inlineStr">
        <is>
          <t>Water / utilities</t>
        </is>
      </c>
      <c r="D2781" s="12" t="inlineStr">
        <is>
          <t>Analog instrument to JB JB-R-WT-AI01: 20 x 1 pr (field cables)</t>
        </is>
      </c>
      <c r="E2781" s="12" t="inlineStr">
        <is>
          <t>R-WT</t>
        </is>
      </c>
      <c r="F2781" s="12" t="inlineStr">
        <is>
          <t>Water treatment building (incl. R-WT electrical room)</t>
        </is>
      </c>
      <c r="G2781" s="12" t="inlineStr">
        <is>
          <t>JB-R-WT-AI01</t>
        </is>
      </c>
      <c r="H2781" s="12" t="inlineStr">
        <is>
          <t>Water treatment building (incl. R-WT electrical room)</t>
        </is>
      </c>
      <c r="I2781" s="12" t="inlineStr">
        <is>
          <t>Instrumentation</t>
        </is>
      </c>
      <c r="J2781" s="12" t="inlineStr">
        <is>
          <t>Instrumentation PLTC / TC-ER 300 V, #18 twisted shielded pairs, overall shield</t>
        </is>
      </c>
      <c r="K2781" s="12" t="inlineStr">
        <is>
          <t>PLTC|1 pr|16</t>
        </is>
      </c>
      <c r="L2781" s="12" t="inlineStr">
        <is>
          <t>1 pr</t>
        </is>
      </c>
      <c r="M2781" s="12" t="inlineStr">
        <is>
          <t>16</t>
        </is>
      </c>
      <c r="N2781" s="12" t="n">
        <v>20</v>
      </c>
      <c r="O2781" s="12" t="n">
        <v>1</v>
      </c>
      <c r="P2781" s="12" t="n"/>
      <c r="Q2781" s="12" t="n"/>
      <c r="R2781" s="12" t="n"/>
      <c r="S2781" s="12" t="inlineStr">
        <is>
          <t>Tray / conduit</t>
        </is>
      </c>
      <c r="T2781" s="16" t="n">
        <v>160</v>
      </c>
      <c r="U2781" s="16" t="n">
        <v>10</v>
      </c>
      <c r="V2781" s="16">
        <f>ROUNDUP((T2781+U2781+2*'Read Me'!$B$13)*(1+'Read Me'!$B$12),-1)</f>
        <v/>
      </c>
      <c r="W2781" s="16">
        <f>V2781*N2781*O2781</f>
        <v/>
      </c>
      <c r="X2781" s="12">
        <f>IF(LEFT(I2781,2)="MV",2*N2781*IF(L2781="1/C",O2781,1),0)</f>
        <v/>
      </c>
      <c r="Y2781" s="12">
        <f>IF(OR(LEFT(K2781,4)="LVAX",LEFT(K2781,6)="MV15AX",LEFT(K2781,4)="CTAX",LEFT(K2781,2)="W|"),2*N2781*O2781,0)</f>
        <v/>
      </c>
      <c r="Z2781" s="12" t="inlineStr">
        <is>
          <t>device-to-JB field wiring, one cable per device</t>
        </is>
      </c>
      <c r="AA2781" s="12">
        <f>N2781*O2781</f>
        <v/>
      </c>
    </row>
    <row r="2782">
      <c r="A2782" s="12" t="inlineStr">
        <is>
          <t>E-I-0051</t>
        </is>
      </c>
      <c r="B2782" s="12" t="inlineStr">
        <is>
          <t>E</t>
        </is>
      </c>
      <c r="C2782" s="12" t="inlineStr">
        <is>
          <t>Water / utilities</t>
        </is>
      </c>
      <c r="D2782" s="12" t="inlineStr">
        <is>
          <t>Home run JB-R-WT-AI01 to the control / marshalling room</t>
        </is>
      </c>
      <c r="E2782" s="12" t="inlineStr">
        <is>
          <t>R-WT</t>
        </is>
      </c>
      <c r="F2782" s="12" t="inlineStr">
        <is>
          <t>Water treatment building (incl. R-WT electrical room)</t>
        </is>
      </c>
      <c r="G2782" s="12" t="inlineStr">
        <is>
          <t>JB-R-WT-AI01</t>
        </is>
      </c>
      <c r="H2782" s="12" t="inlineStr">
        <is>
          <t>Water treatment building (incl. R-WT electrical room)</t>
        </is>
      </c>
      <c r="I2782" s="12" t="inlineStr">
        <is>
          <t>Instrumentation</t>
        </is>
      </c>
      <c r="J2782" s="12" t="inlineStr">
        <is>
          <t>Instrumentation PLTC / TC-ER 300 V, #18 twisted shielded pairs, overall shield</t>
        </is>
      </c>
      <c r="K2782" s="12" t="inlineStr">
        <is>
          <t>PLTC|24 pr|18</t>
        </is>
      </c>
      <c r="L2782" s="12" t="inlineStr">
        <is>
          <t>24 pr</t>
        </is>
      </c>
      <c r="M2782" s="12" t="inlineStr">
        <is>
          <t>18</t>
        </is>
      </c>
      <c r="N2782" s="12" t="n">
        <v>1</v>
      </c>
      <c r="O2782" s="12" t="n">
        <v>1</v>
      </c>
      <c r="P2782" s="12" t="n"/>
      <c r="Q2782" s="12" t="n"/>
      <c r="R2782" s="12" t="n"/>
      <c r="S2782" s="12" t="inlineStr">
        <is>
          <t>Tray</t>
        </is>
      </c>
      <c r="T2782" s="16" t="n">
        <v>0</v>
      </c>
      <c r="U2782" s="16" t="n">
        <v>32</v>
      </c>
      <c r="V2782" s="16">
        <f>ROUNDUP((T2782+U2782+2*'Read Me'!$B$13)*(1+'Read Me'!$B$12),-1)</f>
        <v/>
      </c>
      <c r="W2782" s="16">
        <f>V2782*N2782*O2782</f>
        <v/>
      </c>
      <c r="X2782" s="12">
        <f>IF(LEFT(I2782,2)="MV",2*N2782*IF(L2782="1/C",O2782,1),0)</f>
        <v/>
      </c>
      <c r="Y2782" s="12">
        <f>IF(OR(LEFT(K2782,4)="LVAX",LEFT(K2782,6)="MV15AX",LEFT(K2782,4)="CTAX",LEFT(K2782,2)="W|"),2*N2782*O2782,0)</f>
        <v/>
      </c>
      <c r="Z2782" s="12" t="inlineStr"/>
      <c r="AA2782" s="12">
        <f>N2782*O2782</f>
        <v/>
      </c>
    </row>
    <row r="2783">
      <c r="A2783" s="12" t="inlineStr">
        <is>
          <t>E-I-0052</t>
        </is>
      </c>
      <c r="B2783" s="12" t="inlineStr">
        <is>
          <t>E</t>
        </is>
      </c>
      <c r="C2783" s="12" t="inlineStr">
        <is>
          <t>Water / utilities</t>
        </is>
      </c>
      <c r="D2783" s="12" t="inlineStr">
        <is>
          <t>Analog instrument to JB JB-R-WT-AI02: 20 x 1 pr (field cables)</t>
        </is>
      </c>
      <c r="E2783" s="12" t="inlineStr">
        <is>
          <t>R-WT</t>
        </is>
      </c>
      <c r="F2783" s="12" t="inlineStr">
        <is>
          <t>Water treatment building (incl. R-WT electrical room)</t>
        </is>
      </c>
      <c r="G2783" s="12" t="inlineStr">
        <is>
          <t>JB-R-WT-AI02</t>
        </is>
      </c>
      <c r="H2783" s="12" t="inlineStr">
        <is>
          <t>Water treatment building (incl. R-WT electrical room)</t>
        </is>
      </c>
      <c r="I2783" s="12" t="inlineStr">
        <is>
          <t>Instrumentation</t>
        </is>
      </c>
      <c r="J2783" s="12" t="inlineStr">
        <is>
          <t>Instrumentation PLTC / TC-ER 300 V, #18 twisted shielded pairs, overall shield</t>
        </is>
      </c>
      <c r="K2783" s="12" t="inlineStr">
        <is>
          <t>PLTC|1 pr|16</t>
        </is>
      </c>
      <c r="L2783" s="12" t="inlineStr">
        <is>
          <t>1 pr</t>
        </is>
      </c>
      <c r="M2783" s="12" t="inlineStr">
        <is>
          <t>16</t>
        </is>
      </c>
      <c r="N2783" s="12" t="n">
        <v>20</v>
      </c>
      <c r="O2783" s="12" t="n">
        <v>1</v>
      </c>
      <c r="P2783" s="12" t="n"/>
      <c r="Q2783" s="12" t="n"/>
      <c r="R2783" s="12" t="n"/>
      <c r="S2783" s="12" t="inlineStr">
        <is>
          <t>Tray / conduit</t>
        </is>
      </c>
      <c r="T2783" s="16" t="n">
        <v>160</v>
      </c>
      <c r="U2783" s="16" t="n">
        <v>10</v>
      </c>
      <c r="V2783" s="16">
        <f>ROUNDUP((T2783+U2783+2*'Read Me'!$B$13)*(1+'Read Me'!$B$12),-1)</f>
        <v/>
      </c>
      <c r="W2783" s="16">
        <f>V2783*N2783*O2783</f>
        <v/>
      </c>
      <c r="X2783" s="12">
        <f>IF(LEFT(I2783,2)="MV",2*N2783*IF(L2783="1/C",O2783,1),0)</f>
        <v/>
      </c>
      <c r="Y2783" s="12">
        <f>IF(OR(LEFT(K2783,4)="LVAX",LEFT(K2783,6)="MV15AX",LEFT(K2783,4)="CTAX",LEFT(K2783,2)="W|"),2*N2783*O2783,0)</f>
        <v/>
      </c>
      <c r="Z2783" s="12" t="inlineStr">
        <is>
          <t>device-to-JB field wiring, one cable per device</t>
        </is>
      </c>
      <c r="AA2783" s="12">
        <f>N2783*O2783</f>
        <v/>
      </c>
    </row>
    <row r="2784">
      <c r="A2784" s="12" t="inlineStr">
        <is>
          <t>E-I-0053</t>
        </is>
      </c>
      <c r="B2784" s="12" t="inlineStr">
        <is>
          <t>E</t>
        </is>
      </c>
      <c r="C2784" s="12" t="inlineStr">
        <is>
          <t>Water / utilities</t>
        </is>
      </c>
      <c r="D2784" s="12" t="inlineStr">
        <is>
          <t>Home run JB-R-WT-AI02 to the control / marshalling room</t>
        </is>
      </c>
      <c r="E2784" s="12" t="inlineStr">
        <is>
          <t>R-WT</t>
        </is>
      </c>
      <c r="F2784" s="12" t="inlineStr">
        <is>
          <t>Water treatment building (incl. R-WT electrical room)</t>
        </is>
      </c>
      <c r="G2784" s="12" t="inlineStr">
        <is>
          <t>JB-R-WT-AI02</t>
        </is>
      </c>
      <c r="H2784" s="12" t="inlineStr">
        <is>
          <t>Water treatment building (incl. R-WT electrical room)</t>
        </is>
      </c>
      <c r="I2784" s="12" t="inlineStr">
        <is>
          <t>Instrumentation</t>
        </is>
      </c>
      <c r="J2784" s="12" t="inlineStr">
        <is>
          <t>Instrumentation PLTC / TC-ER 300 V, #18 twisted shielded pairs, overall shield</t>
        </is>
      </c>
      <c r="K2784" s="12" t="inlineStr">
        <is>
          <t>PLTC|24 pr|18</t>
        </is>
      </c>
      <c r="L2784" s="12" t="inlineStr">
        <is>
          <t>24 pr</t>
        </is>
      </c>
      <c r="M2784" s="12" t="inlineStr">
        <is>
          <t>18</t>
        </is>
      </c>
      <c r="N2784" s="12" t="n">
        <v>1</v>
      </c>
      <c r="O2784" s="12" t="n">
        <v>1</v>
      </c>
      <c r="P2784" s="12" t="n"/>
      <c r="Q2784" s="12" t="n"/>
      <c r="R2784" s="12" t="n"/>
      <c r="S2784" s="12" t="inlineStr">
        <is>
          <t>Tray</t>
        </is>
      </c>
      <c r="T2784" s="16" t="n">
        <v>0</v>
      </c>
      <c r="U2784" s="16" t="n">
        <v>32</v>
      </c>
      <c r="V2784" s="16">
        <f>ROUNDUP((T2784+U2784+2*'Read Me'!$B$13)*(1+'Read Me'!$B$12),-1)</f>
        <v/>
      </c>
      <c r="W2784" s="16">
        <f>V2784*N2784*O2784</f>
        <v/>
      </c>
      <c r="X2784" s="12">
        <f>IF(LEFT(I2784,2)="MV",2*N2784*IF(L2784="1/C",O2784,1),0)</f>
        <v/>
      </c>
      <c r="Y2784" s="12">
        <f>IF(OR(LEFT(K2784,4)="LVAX",LEFT(K2784,6)="MV15AX",LEFT(K2784,4)="CTAX",LEFT(K2784,2)="W|"),2*N2784*O2784,0)</f>
        <v/>
      </c>
      <c r="Z2784" s="12" t="inlineStr"/>
      <c r="AA2784" s="12">
        <f>N2784*O2784</f>
        <v/>
      </c>
    </row>
    <row r="2785">
      <c r="A2785" s="12" t="inlineStr">
        <is>
          <t>E-I-0054</t>
        </is>
      </c>
      <c r="B2785" s="12" t="inlineStr">
        <is>
          <t>E</t>
        </is>
      </c>
      <c r="C2785" s="12" t="inlineStr">
        <is>
          <t>Water / utilities</t>
        </is>
      </c>
      <c r="D2785" s="12" t="inlineStr">
        <is>
          <t>Analog instrument to JB JB-R-WT-AI03: 20 x 1 pr (field cables)</t>
        </is>
      </c>
      <c r="E2785" s="12" t="inlineStr">
        <is>
          <t>R-WT</t>
        </is>
      </c>
      <c r="F2785" s="12" t="inlineStr">
        <is>
          <t>Water treatment building (incl. R-WT electrical room)</t>
        </is>
      </c>
      <c r="G2785" s="12" t="inlineStr">
        <is>
          <t>JB-R-WT-AI03</t>
        </is>
      </c>
      <c r="H2785" s="12" t="inlineStr">
        <is>
          <t>Water treatment building (incl. R-WT electrical room)</t>
        </is>
      </c>
      <c r="I2785" s="12" t="inlineStr">
        <is>
          <t>Instrumentation</t>
        </is>
      </c>
      <c r="J2785" s="12" t="inlineStr">
        <is>
          <t>Instrumentation PLTC / TC-ER 300 V, #18 twisted shielded pairs, overall shield</t>
        </is>
      </c>
      <c r="K2785" s="12" t="inlineStr">
        <is>
          <t>PLTC|1 pr|16</t>
        </is>
      </c>
      <c r="L2785" s="12" t="inlineStr">
        <is>
          <t>1 pr</t>
        </is>
      </c>
      <c r="M2785" s="12" t="inlineStr">
        <is>
          <t>16</t>
        </is>
      </c>
      <c r="N2785" s="12" t="n">
        <v>20</v>
      </c>
      <c r="O2785" s="12" t="n">
        <v>1</v>
      </c>
      <c r="P2785" s="12" t="n"/>
      <c r="Q2785" s="12" t="n"/>
      <c r="R2785" s="12" t="n"/>
      <c r="S2785" s="12" t="inlineStr">
        <is>
          <t>Tray / conduit</t>
        </is>
      </c>
      <c r="T2785" s="16" t="n">
        <v>160</v>
      </c>
      <c r="U2785" s="16" t="n">
        <v>10</v>
      </c>
      <c r="V2785" s="16">
        <f>ROUNDUP((T2785+U2785+2*'Read Me'!$B$13)*(1+'Read Me'!$B$12),-1)</f>
        <v/>
      </c>
      <c r="W2785" s="16">
        <f>V2785*N2785*O2785</f>
        <v/>
      </c>
      <c r="X2785" s="12">
        <f>IF(LEFT(I2785,2)="MV",2*N2785*IF(L2785="1/C",O2785,1),0)</f>
        <v/>
      </c>
      <c r="Y2785" s="12">
        <f>IF(OR(LEFT(K2785,4)="LVAX",LEFT(K2785,6)="MV15AX",LEFT(K2785,4)="CTAX",LEFT(K2785,2)="W|"),2*N2785*O2785,0)</f>
        <v/>
      </c>
      <c r="Z2785" s="12" t="inlineStr">
        <is>
          <t>device-to-JB field wiring, one cable per device</t>
        </is>
      </c>
      <c r="AA2785" s="12">
        <f>N2785*O2785</f>
        <v/>
      </c>
    </row>
    <row r="2786">
      <c r="A2786" s="12" t="inlineStr">
        <is>
          <t>E-I-0055</t>
        </is>
      </c>
      <c r="B2786" s="12" t="inlineStr">
        <is>
          <t>E</t>
        </is>
      </c>
      <c r="C2786" s="12" t="inlineStr">
        <is>
          <t>Water / utilities</t>
        </is>
      </c>
      <c r="D2786" s="12" t="inlineStr">
        <is>
          <t>Home run JB-R-WT-AI03 to the control / marshalling room</t>
        </is>
      </c>
      <c r="E2786" s="12" t="inlineStr">
        <is>
          <t>R-WT</t>
        </is>
      </c>
      <c r="F2786" s="12" t="inlineStr">
        <is>
          <t>Water treatment building (incl. R-WT electrical room)</t>
        </is>
      </c>
      <c r="G2786" s="12" t="inlineStr">
        <is>
          <t>JB-R-WT-AI03</t>
        </is>
      </c>
      <c r="H2786" s="12" t="inlineStr">
        <is>
          <t>Water treatment building (incl. R-WT electrical room)</t>
        </is>
      </c>
      <c r="I2786" s="12" t="inlineStr">
        <is>
          <t>Instrumentation</t>
        </is>
      </c>
      <c r="J2786" s="12" t="inlineStr">
        <is>
          <t>Instrumentation PLTC / TC-ER 300 V, #18 twisted shielded pairs, overall shield</t>
        </is>
      </c>
      <c r="K2786" s="12" t="inlineStr">
        <is>
          <t>PLTC|24 pr|18</t>
        </is>
      </c>
      <c r="L2786" s="12" t="inlineStr">
        <is>
          <t>24 pr</t>
        </is>
      </c>
      <c r="M2786" s="12" t="inlineStr">
        <is>
          <t>18</t>
        </is>
      </c>
      <c r="N2786" s="12" t="n">
        <v>1</v>
      </c>
      <c r="O2786" s="12" t="n">
        <v>1</v>
      </c>
      <c r="P2786" s="12" t="n"/>
      <c r="Q2786" s="12" t="n"/>
      <c r="R2786" s="12" t="n"/>
      <c r="S2786" s="12" t="inlineStr">
        <is>
          <t>Tray</t>
        </is>
      </c>
      <c r="T2786" s="16" t="n">
        <v>0</v>
      </c>
      <c r="U2786" s="16" t="n">
        <v>32</v>
      </c>
      <c r="V2786" s="16">
        <f>ROUNDUP((T2786+U2786+2*'Read Me'!$B$13)*(1+'Read Me'!$B$12),-1)</f>
        <v/>
      </c>
      <c r="W2786" s="16">
        <f>V2786*N2786*O2786</f>
        <v/>
      </c>
      <c r="X2786" s="12">
        <f>IF(LEFT(I2786,2)="MV",2*N2786*IF(L2786="1/C",O2786,1),0)</f>
        <v/>
      </c>
      <c r="Y2786" s="12">
        <f>IF(OR(LEFT(K2786,4)="LVAX",LEFT(K2786,6)="MV15AX",LEFT(K2786,4)="CTAX",LEFT(K2786,2)="W|"),2*N2786*O2786,0)</f>
        <v/>
      </c>
      <c r="Z2786" s="12" t="inlineStr"/>
      <c r="AA2786" s="12">
        <f>N2786*O2786</f>
        <v/>
      </c>
    </row>
    <row r="2787">
      <c r="A2787" s="12" t="inlineStr">
        <is>
          <t>E-I-0056</t>
        </is>
      </c>
      <c r="B2787" s="12" t="inlineStr">
        <is>
          <t>E</t>
        </is>
      </c>
      <c r="C2787" s="12" t="inlineStr">
        <is>
          <t>Water / utilities</t>
        </is>
      </c>
      <c r="D2787" s="12" t="inlineStr">
        <is>
          <t>Discrete device to JB JB-R-WT-DI01: 20 x 1 pr (field cables)</t>
        </is>
      </c>
      <c r="E2787" s="12" t="inlineStr">
        <is>
          <t>R-WT</t>
        </is>
      </c>
      <c r="F2787" s="12" t="inlineStr">
        <is>
          <t>Water treatment building (incl. R-WT electrical room)</t>
        </is>
      </c>
      <c r="G2787" s="12" t="inlineStr">
        <is>
          <t>JB-R-WT-DI01</t>
        </is>
      </c>
      <c r="H2787" s="12" t="inlineStr">
        <is>
          <t>Water treatment building (incl. R-WT electrical room)</t>
        </is>
      </c>
      <c r="I2787" s="12" t="inlineStr">
        <is>
          <t>Instrumentation</t>
        </is>
      </c>
      <c r="J2787" s="12" t="inlineStr">
        <is>
          <t>Instrumentation PLTC / TC-ER 300 V, #18 twisted shielded pairs, overall shield</t>
        </is>
      </c>
      <c r="K2787" s="12" t="inlineStr">
        <is>
          <t>PLTC|1 pr|16</t>
        </is>
      </c>
      <c r="L2787" s="12" t="inlineStr">
        <is>
          <t>1 pr</t>
        </is>
      </c>
      <c r="M2787" s="12" t="inlineStr">
        <is>
          <t>16</t>
        </is>
      </c>
      <c r="N2787" s="12" t="n">
        <v>20</v>
      </c>
      <c r="O2787" s="12" t="n">
        <v>1</v>
      </c>
      <c r="P2787" s="12" t="n"/>
      <c r="Q2787" s="12" t="n"/>
      <c r="R2787" s="12" t="n"/>
      <c r="S2787" s="12" t="inlineStr">
        <is>
          <t>Tray / conduit</t>
        </is>
      </c>
      <c r="T2787" s="16" t="n">
        <v>160</v>
      </c>
      <c r="U2787" s="16" t="n">
        <v>10</v>
      </c>
      <c r="V2787" s="16">
        <f>ROUNDUP((T2787+U2787+2*'Read Me'!$B$13)*(1+'Read Me'!$B$12),-1)</f>
        <v/>
      </c>
      <c r="W2787" s="16">
        <f>V2787*N2787*O2787</f>
        <v/>
      </c>
      <c r="X2787" s="12">
        <f>IF(LEFT(I2787,2)="MV",2*N2787*IF(L2787="1/C",O2787,1),0)</f>
        <v/>
      </c>
      <c r="Y2787" s="12">
        <f>IF(OR(LEFT(K2787,4)="LVAX",LEFT(K2787,6)="MV15AX",LEFT(K2787,4)="CTAX",LEFT(K2787,2)="W|"),2*N2787*O2787,0)</f>
        <v/>
      </c>
      <c r="Z2787" s="12" t="inlineStr">
        <is>
          <t>device-to-JB field wiring, one cable per device</t>
        </is>
      </c>
      <c r="AA2787" s="12">
        <f>N2787*O2787</f>
        <v/>
      </c>
    </row>
    <row r="2788">
      <c r="A2788" s="12" t="inlineStr">
        <is>
          <t>E-I-0057</t>
        </is>
      </c>
      <c r="B2788" s="12" t="inlineStr">
        <is>
          <t>E</t>
        </is>
      </c>
      <c r="C2788" s="12" t="inlineStr">
        <is>
          <t>Water / utilities</t>
        </is>
      </c>
      <c r="D2788" s="12" t="inlineStr">
        <is>
          <t>Home run JB-R-WT-DI01 to the control / marshalling room</t>
        </is>
      </c>
      <c r="E2788" s="12" t="inlineStr">
        <is>
          <t>R-WT</t>
        </is>
      </c>
      <c r="F2788" s="12" t="inlineStr">
        <is>
          <t>Water treatment building (incl. R-WT electrical room)</t>
        </is>
      </c>
      <c r="G2788" s="12" t="inlineStr">
        <is>
          <t>JB-R-WT-DI01</t>
        </is>
      </c>
      <c r="H2788" s="12" t="inlineStr">
        <is>
          <t>Water treatment building (incl. R-WT electrical room)</t>
        </is>
      </c>
      <c r="I2788" s="12" t="inlineStr">
        <is>
          <t>Instrumentation</t>
        </is>
      </c>
      <c r="J2788" s="12" t="inlineStr">
        <is>
          <t>Instrumentation PLTC / TC-ER 300 V, #18 twisted shielded pairs, overall shield</t>
        </is>
      </c>
      <c r="K2788" s="12" t="inlineStr">
        <is>
          <t>PLTC|24 pr|18</t>
        </is>
      </c>
      <c r="L2788" s="12" t="inlineStr">
        <is>
          <t>24 pr</t>
        </is>
      </c>
      <c r="M2788" s="12" t="inlineStr">
        <is>
          <t>18</t>
        </is>
      </c>
      <c r="N2788" s="12" t="n">
        <v>1</v>
      </c>
      <c r="O2788" s="12" t="n">
        <v>1</v>
      </c>
      <c r="P2788" s="12" t="n"/>
      <c r="Q2788" s="12" t="n"/>
      <c r="R2788" s="12" t="n"/>
      <c r="S2788" s="12" t="inlineStr">
        <is>
          <t>Tray</t>
        </is>
      </c>
      <c r="T2788" s="16" t="n">
        <v>0</v>
      </c>
      <c r="U2788" s="16" t="n">
        <v>32</v>
      </c>
      <c r="V2788" s="16">
        <f>ROUNDUP((T2788+U2788+2*'Read Me'!$B$13)*(1+'Read Me'!$B$12),-1)</f>
        <v/>
      </c>
      <c r="W2788" s="16">
        <f>V2788*N2788*O2788</f>
        <v/>
      </c>
      <c r="X2788" s="12">
        <f>IF(LEFT(I2788,2)="MV",2*N2788*IF(L2788="1/C",O2788,1),0)</f>
        <v/>
      </c>
      <c r="Y2788" s="12">
        <f>IF(OR(LEFT(K2788,4)="LVAX",LEFT(K2788,6)="MV15AX",LEFT(K2788,4)="CTAX",LEFT(K2788,2)="W|"),2*N2788*O2788,0)</f>
        <v/>
      </c>
      <c r="Z2788" s="12" t="inlineStr"/>
      <c r="AA2788" s="12">
        <f>N2788*O2788</f>
        <v/>
      </c>
    </row>
    <row r="2789">
      <c r="A2789" s="12" t="inlineStr">
        <is>
          <t>E-I-0058</t>
        </is>
      </c>
      <c r="B2789" s="12" t="inlineStr">
        <is>
          <t>E</t>
        </is>
      </c>
      <c r="C2789" s="12" t="inlineStr">
        <is>
          <t>Water / utilities</t>
        </is>
      </c>
      <c r="D2789" s="12" t="inlineStr">
        <is>
          <t>Discrete device to JB JB-R-WT-DI02: 20 x 1 pr (field cables)</t>
        </is>
      </c>
      <c r="E2789" s="12" t="inlineStr">
        <is>
          <t>R-WT</t>
        </is>
      </c>
      <c r="F2789" s="12" t="inlineStr">
        <is>
          <t>Water treatment building (incl. R-WT electrical room)</t>
        </is>
      </c>
      <c r="G2789" s="12" t="inlineStr">
        <is>
          <t>JB-R-WT-DI02</t>
        </is>
      </c>
      <c r="H2789" s="12" t="inlineStr">
        <is>
          <t>Water treatment building (incl. R-WT electrical room)</t>
        </is>
      </c>
      <c r="I2789" s="12" t="inlineStr">
        <is>
          <t>Instrumentation</t>
        </is>
      </c>
      <c r="J2789" s="12" t="inlineStr">
        <is>
          <t>Instrumentation PLTC / TC-ER 300 V, #18 twisted shielded pairs, overall shield</t>
        </is>
      </c>
      <c r="K2789" s="12" t="inlineStr">
        <is>
          <t>PLTC|1 pr|16</t>
        </is>
      </c>
      <c r="L2789" s="12" t="inlineStr">
        <is>
          <t>1 pr</t>
        </is>
      </c>
      <c r="M2789" s="12" t="inlineStr">
        <is>
          <t>16</t>
        </is>
      </c>
      <c r="N2789" s="12" t="n">
        <v>20</v>
      </c>
      <c r="O2789" s="12" t="n">
        <v>1</v>
      </c>
      <c r="P2789" s="12" t="n"/>
      <c r="Q2789" s="12" t="n"/>
      <c r="R2789" s="12" t="n"/>
      <c r="S2789" s="12" t="inlineStr">
        <is>
          <t>Tray / conduit</t>
        </is>
      </c>
      <c r="T2789" s="16" t="n">
        <v>160</v>
      </c>
      <c r="U2789" s="16" t="n">
        <v>10</v>
      </c>
      <c r="V2789" s="16">
        <f>ROUNDUP((T2789+U2789+2*'Read Me'!$B$13)*(1+'Read Me'!$B$12),-1)</f>
        <v/>
      </c>
      <c r="W2789" s="16">
        <f>V2789*N2789*O2789</f>
        <v/>
      </c>
      <c r="X2789" s="12">
        <f>IF(LEFT(I2789,2)="MV",2*N2789*IF(L2789="1/C",O2789,1),0)</f>
        <v/>
      </c>
      <c r="Y2789" s="12">
        <f>IF(OR(LEFT(K2789,4)="LVAX",LEFT(K2789,6)="MV15AX",LEFT(K2789,4)="CTAX",LEFT(K2789,2)="W|"),2*N2789*O2789,0)</f>
        <v/>
      </c>
      <c r="Z2789" s="12" t="inlineStr">
        <is>
          <t>device-to-JB field wiring, one cable per device</t>
        </is>
      </c>
      <c r="AA2789" s="12">
        <f>N2789*O2789</f>
        <v/>
      </c>
    </row>
    <row r="2790">
      <c r="A2790" s="12" t="inlineStr">
        <is>
          <t>E-I-0059</t>
        </is>
      </c>
      <c r="B2790" s="12" t="inlineStr">
        <is>
          <t>E</t>
        </is>
      </c>
      <c r="C2790" s="12" t="inlineStr">
        <is>
          <t>Water / utilities</t>
        </is>
      </c>
      <c r="D2790" s="12" t="inlineStr">
        <is>
          <t>Home run JB-R-WT-DI02 to the control / marshalling room</t>
        </is>
      </c>
      <c r="E2790" s="12" t="inlineStr">
        <is>
          <t>R-WT</t>
        </is>
      </c>
      <c r="F2790" s="12" t="inlineStr">
        <is>
          <t>Water treatment building (incl. R-WT electrical room)</t>
        </is>
      </c>
      <c r="G2790" s="12" t="inlineStr">
        <is>
          <t>JB-R-WT-DI02</t>
        </is>
      </c>
      <c r="H2790" s="12" t="inlineStr">
        <is>
          <t>Water treatment building (incl. R-WT electrical room)</t>
        </is>
      </c>
      <c r="I2790" s="12" t="inlineStr">
        <is>
          <t>Instrumentation</t>
        </is>
      </c>
      <c r="J2790" s="12" t="inlineStr">
        <is>
          <t>Instrumentation PLTC / TC-ER 300 V, #18 twisted shielded pairs, overall shield</t>
        </is>
      </c>
      <c r="K2790" s="12" t="inlineStr">
        <is>
          <t>PLTC|24 pr|18</t>
        </is>
      </c>
      <c r="L2790" s="12" t="inlineStr">
        <is>
          <t>24 pr</t>
        </is>
      </c>
      <c r="M2790" s="12" t="inlineStr">
        <is>
          <t>18</t>
        </is>
      </c>
      <c r="N2790" s="12" t="n">
        <v>1</v>
      </c>
      <c r="O2790" s="12" t="n">
        <v>1</v>
      </c>
      <c r="P2790" s="12" t="n"/>
      <c r="Q2790" s="12" t="n"/>
      <c r="R2790" s="12" t="n"/>
      <c r="S2790" s="12" t="inlineStr">
        <is>
          <t>Tray</t>
        </is>
      </c>
      <c r="T2790" s="16" t="n">
        <v>0</v>
      </c>
      <c r="U2790" s="16" t="n">
        <v>32</v>
      </c>
      <c r="V2790" s="16">
        <f>ROUNDUP((T2790+U2790+2*'Read Me'!$B$13)*(1+'Read Me'!$B$12),-1)</f>
        <v/>
      </c>
      <c r="W2790" s="16">
        <f>V2790*N2790*O2790</f>
        <v/>
      </c>
      <c r="X2790" s="12">
        <f>IF(LEFT(I2790,2)="MV",2*N2790*IF(L2790="1/C",O2790,1),0)</f>
        <v/>
      </c>
      <c r="Y2790" s="12">
        <f>IF(OR(LEFT(K2790,4)="LVAX",LEFT(K2790,6)="MV15AX",LEFT(K2790,4)="CTAX",LEFT(K2790,2)="W|"),2*N2790*O2790,0)</f>
        <v/>
      </c>
      <c r="Z2790" s="12" t="inlineStr"/>
      <c r="AA2790" s="12">
        <f>N2790*O2790</f>
        <v/>
      </c>
    </row>
    <row r="2791">
      <c r="A2791" s="12" t="inlineStr">
        <is>
          <t>E-I-0060</t>
        </is>
      </c>
      <c r="B2791" s="12" t="inlineStr">
        <is>
          <t>E</t>
        </is>
      </c>
      <c r="C2791" s="12" t="inlineStr">
        <is>
          <t>Water / utilities</t>
        </is>
      </c>
      <c r="D2791" s="12" t="inlineStr">
        <is>
          <t>Discrete device to JB JB-R-WT-DI03: 20 x 1 pr (field cables)</t>
        </is>
      </c>
      <c r="E2791" s="12" t="inlineStr">
        <is>
          <t>R-WT</t>
        </is>
      </c>
      <c r="F2791" s="12" t="inlineStr">
        <is>
          <t>Water treatment building (incl. R-WT electrical room)</t>
        </is>
      </c>
      <c r="G2791" s="12" t="inlineStr">
        <is>
          <t>JB-R-WT-DI03</t>
        </is>
      </c>
      <c r="H2791" s="12" t="inlineStr">
        <is>
          <t>Water treatment building (incl. R-WT electrical room)</t>
        </is>
      </c>
      <c r="I2791" s="12" t="inlineStr">
        <is>
          <t>Instrumentation</t>
        </is>
      </c>
      <c r="J2791" s="12" t="inlineStr">
        <is>
          <t>Instrumentation PLTC / TC-ER 300 V, #18 twisted shielded pairs, overall shield</t>
        </is>
      </c>
      <c r="K2791" s="12" t="inlineStr">
        <is>
          <t>PLTC|1 pr|16</t>
        </is>
      </c>
      <c r="L2791" s="12" t="inlineStr">
        <is>
          <t>1 pr</t>
        </is>
      </c>
      <c r="M2791" s="12" t="inlineStr">
        <is>
          <t>16</t>
        </is>
      </c>
      <c r="N2791" s="12" t="n">
        <v>20</v>
      </c>
      <c r="O2791" s="12" t="n">
        <v>1</v>
      </c>
      <c r="P2791" s="12" t="n"/>
      <c r="Q2791" s="12" t="n"/>
      <c r="R2791" s="12" t="n"/>
      <c r="S2791" s="12" t="inlineStr">
        <is>
          <t>Tray / conduit</t>
        </is>
      </c>
      <c r="T2791" s="16" t="n">
        <v>160</v>
      </c>
      <c r="U2791" s="16" t="n">
        <v>10</v>
      </c>
      <c r="V2791" s="16">
        <f>ROUNDUP((T2791+U2791+2*'Read Me'!$B$13)*(1+'Read Me'!$B$12),-1)</f>
        <v/>
      </c>
      <c r="W2791" s="16">
        <f>V2791*N2791*O2791</f>
        <v/>
      </c>
      <c r="X2791" s="12">
        <f>IF(LEFT(I2791,2)="MV",2*N2791*IF(L2791="1/C",O2791,1),0)</f>
        <v/>
      </c>
      <c r="Y2791" s="12">
        <f>IF(OR(LEFT(K2791,4)="LVAX",LEFT(K2791,6)="MV15AX",LEFT(K2791,4)="CTAX",LEFT(K2791,2)="W|"),2*N2791*O2791,0)</f>
        <v/>
      </c>
      <c r="Z2791" s="12" t="inlineStr">
        <is>
          <t>device-to-JB field wiring, one cable per device</t>
        </is>
      </c>
      <c r="AA2791" s="12">
        <f>N2791*O2791</f>
        <v/>
      </c>
    </row>
    <row r="2792">
      <c r="A2792" s="12" t="inlineStr">
        <is>
          <t>E-I-0061</t>
        </is>
      </c>
      <c r="B2792" s="12" t="inlineStr">
        <is>
          <t>E</t>
        </is>
      </c>
      <c r="C2792" s="12" t="inlineStr">
        <is>
          <t>Water / utilities</t>
        </is>
      </c>
      <c r="D2792" s="12" t="inlineStr">
        <is>
          <t>Home run JB-R-WT-DI03 to the control / marshalling room</t>
        </is>
      </c>
      <c r="E2792" s="12" t="inlineStr">
        <is>
          <t>R-WT</t>
        </is>
      </c>
      <c r="F2792" s="12" t="inlineStr">
        <is>
          <t>Water treatment building (incl. R-WT electrical room)</t>
        </is>
      </c>
      <c r="G2792" s="12" t="inlineStr">
        <is>
          <t>JB-R-WT-DI03</t>
        </is>
      </c>
      <c r="H2792" s="12" t="inlineStr">
        <is>
          <t>Water treatment building (incl. R-WT electrical room)</t>
        </is>
      </c>
      <c r="I2792" s="12" t="inlineStr">
        <is>
          <t>Instrumentation</t>
        </is>
      </c>
      <c r="J2792" s="12" t="inlineStr">
        <is>
          <t>Instrumentation PLTC / TC-ER 300 V, #18 twisted shielded pairs, overall shield</t>
        </is>
      </c>
      <c r="K2792" s="12" t="inlineStr">
        <is>
          <t>PLTC|24 pr|18</t>
        </is>
      </c>
      <c r="L2792" s="12" t="inlineStr">
        <is>
          <t>24 pr</t>
        </is>
      </c>
      <c r="M2792" s="12" t="inlineStr">
        <is>
          <t>18</t>
        </is>
      </c>
      <c r="N2792" s="12" t="n">
        <v>1</v>
      </c>
      <c r="O2792" s="12" t="n">
        <v>1</v>
      </c>
      <c r="P2792" s="12" t="n"/>
      <c r="Q2792" s="12" t="n"/>
      <c r="R2792" s="12" t="n"/>
      <c r="S2792" s="12" t="inlineStr">
        <is>
          <t>Tray</t>
        </is>
      </c>
      <c r="T2792" s="16" t="n">
        <v>0</v>
      </c>
      <c r="U2792" s="16" t="n">
        <v>32</v>
      </c>
      <c r="V2792" s="16">
        <f>ROUNDUP((T2792+U2792+2*'Read Me'!$B$13)*(1+'Read Me'!$B$12),-1)</f>
        <v/>
      </c>
      <c r="W2792" s="16">
        <f>V2792*N2792*O2792</f>
        <v/>
      </c>
      <c r="X2792" s="12">
        <f>IF(LEFT(I2792,2)="MV",2*N2792*IF(L2792="1/C",O2792,1),0)</f>
        <v/>
      </c>
      <c r="Y2792" s="12">
        <f>IF(OR(LEFT(K2792,4)="LVAX",LEFT(K2792,6)="MV15AX",LEFT(K2792,4)="CTAX",LEFT(K2792,2)="W|"),2*N2792*O2792,0)</f>
        <v/>
      </c>
      <c r="Z2792" s="12" t="inlineStr"/>
      <c r="AA2792" s="12">
        <f>N2792*O2792</f>
        <v/>
      </c>
    </row>
    <row r="2793">
      <c r="A2793" s="12" t="inlineStr">
        <is>
          <t>E-I-0062</t>
        </is>
      </c>
      <c r="B2793" s="12" t="inlineStr">
        <is>
          <t>E</t>
        </is>
      </c>
      <c r="C2793" s="12" t="inlineStr">
        <is>
          <t>Water / utilities</t>
        </is>
      </c>
      <c r="D2793" s="12" t="inlineStr">
        <is>
          <t>Discrete device to JB JB-R-WT-DI04: 20 x 1 pr (field cables)</t>
        </is>
      </c>
      <c r="E2793" s="12" t="inlineStr">
        <is>
          <t>R-WT</t>
        </is>
      </c>
      <c r="F2793" s="12" t="inlineStr">
        <is>
          <t>Water treatment building (incl. R-WT electrical room)</t>
        </is>
      </c>
      <c r="G2793" s="12" t="inlineStr">
        <is>
          <t>JB-R-WT-DI04</t>
        </is>
      </c>
      <c r="H2793" s="12" t="inlineStr">
        <is>
          <t>Water treatment building (incl. R-WT electrical room)</t>
        </is>
      </c>
      <c r="I2793" s="12" t="inlineStr">
        <is>
          <t>Instrumentation</t>
        </is>
      </c>
      <c r="J2793" s="12" t="inlineStr">
        <is>
          <t>Instrumentation PLTC / TC-ER 300 V, #18 twisted shielded pairs, overall shield</t>
        </is>
      </c>
      <c r="K2793" s="12" t="inlineStr">
        <is>
          <t>PLTC|1 pr|16</t>
        </is>
      </c>
      <c r="L2793" s="12" t="inlineStr">
        <is>
          <t>1 pr</t>
        </is>
      </c>
      <c r="M2793" s="12" t="inlineStr">
        <is>
          <t>16</t>
        </is>
      </c>
      <c r="N2793" s="12" t="n">
        <v>20</v>
      </c>
      <c r="O2793" s="12" t="n">
        <v>1</v>
      </c>
      <c r="P2793" s="12" t="n"/>
      <c r="Q2793" s="12" t="n"/>
      <c r="R2793" s="12" t="n"/>
      <c r="S2793" s="12" t="inlineStr">
        <is>
          <t>Tray / conduit</t>
        </is>
      </c>
      <c r="T2793" s="16" t="n">
        <v>160</v>
      </c>
      <c r="U2793" s="16" t="n">
        <v>10</v>
      </c>
      <c r="V2793" s="16">
        <f>ROUNDUP((T2793+U2793+2*'Read Me'!$B$13)*(1+'Read Me'!$B$12),-1)</f>
        <v/>
      </c>
      <c r="W2793" s="16">
        <f>V2793*N2793*O2793</f>
        <v/>
      </c>
      <c r="X2793" s="12">
        <f>IF(LEFT(I2793,2)="MV",2*N2793*IF(L2793="1/C",O2793,1),0)</f>
        <v/>
      </c>
      <c r="Y2793" s="12">
        <f>IF(OR(LEFT(K2793,4)="LVAX",LEFT(K2793,6)="MV15AX",LEFT(K2793,4)="CTAX",LEFT(K2793,2)="W|"),2*N2793*O2793,0)</f>
        <v/>
      </c>
      <c r="Z2793" s="12" t="inlineStr">
        <is>
          <t>device-to-JB field wiring, one cable per device</t>
        </is>
      </c>
      <c r="AA2793" s="12">
        <f>N2793*O2793</f>
        <v/>
      </c>
    </row>
    <row r="2794">
      <c r="A2794" s="12" t="inlineStr">
        <is>
          <t>E-I-0063</t>
        </is>
      </c>
      <c r="B2794" s="12" t="inlineStr">
        <is>
          <t>E</t>
        </is>
      </c>
      <c r="C2794" s="12" t="inlineStr">
        <is>
          <t>Water / utilities</t>
        </is>
      </c>
      <c r="D2794" s="12" t="inlineStr">
        <is>
          <t>Home run JB-R-WT-DI04 to the control / marshalling room</t>
        </is>
      </c>
      <c r="E2794" s="12" t="inlineStr">
        <is>
          <t>R-WT</t>
        </is>
      </c>
      <c r="F2794" s="12" t="inlineStr">
        <is>
          <t>Water treatment building (incl. R-WT electrical room)</t>
        </is>
      </c>
      <c r="G2794" s="12" t="inlineStr">
        <is>
          <t>JB-R-WT-DI04</t>
        </is>
      </c>
      <c r="H2794" s="12" t="inlineStr">
        <is>
          <t>Water treatment building (incl. R-WT electrical room)</t>
        </is>
      </c>
      <c r="I2794" s="12" t="inlineStr">
        <is>
          <t>Instrumentation</t>
        </is>
      </c>
      <c r="J2794" s="12" t="inlineStr">
        <is>
          <t>Instrumentation PLTC / TC-ER 300 V, #18 twisted shielded pairs, overall shield</t>
        </is>
      </c>
      <c r="K2794" s="12" t="inlineStr">
        <is>
          <t>PLTC|24 pr|18</t>
        </is>
      </c>
      <c r="L2794" s="12" t="inlineStr">
        <is>
          <t>24 pr</t>
        </is>
      </c>
      <c r="M2794" s="12" t="inlineStr">
        <is>
          <t>18</t>
        </is>
      </c>
      <c r="N2794" s="12" t="n">
        <v>1</v>
      </c>
      <c r="O2794" s="12" t="n">
        <v>1</v>
      </c>
      <c r="P2794" s="12" t="n"/>
      <c r="Q2794" s="12" t="n"/>
      <c r="R2794" s="12" t="n"/>
      <c r="S2794" s="12" t="inlineStr">
        <is>
          <t>Tray</t>
        </is>
      </c>
      <c r="T2794" s="16" t="n">
        <v>0</v>
      </c>
      <c r="U2794" s="16" t="n">
        <v>32</v>
      </c>
      <c r="V2794" s="16">
        <f>ROUNDUP((T2794+U2794+2*'Read Me'!$B$13)*(1+'Read Me'!$B$12),-1)</f>
        <v/>
      </c>
      <c r="W2794" s="16">
        <f>V2794*N2794*O2794</f>
        <v/>
      </c>
      <c r="X2794" s="12">
        <f>IF(LEFT(I2794,2)="MV",2*N2794*IF(L2794="1/C",O2794,1),0)</f>
        <v/>
      </c>
      <c r="Y2794" s="12">
        <f>IF(OR(LEFT(K2794,4)="LVAX",LEFT(K2794,6)="MV15AX",LEFT(K2794,4)="CTAX",LEFT(K2794,2)="W|"),2*N2794*O2794,0)</f>
        <v/>
      </c>
      <c r="Z2794" s="12" t="inlineStr"/>
      <c r="AA2794" s="12">
        <f>N2794*O2794</f>
        <v/>
      </c>
    </row>
    <row r="2795">
      <c r="A2795" s="12" t="inlineStr">
        <is>
          <t>E-P-0001</t>
        </is>
      </c>
      <c r="B2795" s="12" t="inlineStr">
        <is>
          <t>E</t>
        </is>
      </c>
      <c r="C2795" s="12" t="inlineStr">
        <is>
          <t>Water / utilities</t>
        </is>
      </c>
      <c r="D2795" s="12" t="inlineStr">
        <is>
          <t>Motor 1 of 2, 7 kW</t>
        </is>
      </c>
      <c r="E2795" s="12" t="inlineStr">
        <is>
          <t>MCC-C2</t>
        </is>
      </c>
      <c r="F2795" s="12" t="inlineStr">
        <is>
          <t>R1 MCC-C2</t>
        </is>
      </c>
      <c r="G2795" s="12" t="inlineStr"/>
      <c r="H2795" s="12" t="inlineStr">
        <is>
          <t>Ammonia storage (aqueous, SCR reagent)</t>
        </is>
      </c>
      <c r="I2795" s="12" t="inlineStr">
        <is>
          <t>LV 600 V</t>
        </is>
      </c>
      <c r="J2795" s="12" t="inlineStr">
        <is>
          <t>Type TC-ER 600 V 3/C Cu XHHW-2 + ground, PVC jacket</t>
        </is>
      </c>
      <c r="K2795" s="12" t="inlineStr">
        <is>
          <t>LV|3/C+G|4</t>
        </is>
      </c>
      <c r="L2795" s="12" t="inlineStr">
        <is>
          <t>3/C+G</t>
        </is>
      </c>
      <c r="M2795" s="12" t="inlineStr">
        <is>
          <t>4</t>
        </is>
      </c>
      <c r="N2795" s="12" t="n">
        <v>1</v>
      </c>
      <c r="O2795" s="12" t="n">
        <v>1</v>
      </c>
      <c r="P2795" s="12" t="n">
        <v>480</v>
      </c>
      <c r="Q2795" s="12" t="n">
        <v>7</v>
      </c>
      <c r="R2795" s="12" t="n">
        <v>9.9</v>
      </c>
      <c r="S2795" s="12" t="inlineStr">
        <is>
          <t>Duct bank</t>
        </is>
      </c>
      <c r="T2795" s="16" t="n">
        <v>2010</v>
      </c>
      <c r="U2795" s="16" t="n">
        <v>145</v>
      </c>
      <c r="V2795" s="16">
        <f>ROUNDUP((T2795+U2795+2*'Read Me'!$B$13)*(1+'Read Me'!$B$12),-1)</f>
        <v/>
      </c>
      <c r="W2795" s="16">
        <f>V2795*N2795*O2795</f>
        <v/>
      </c>
      <c r="X2795" s="12">
        <f>IF(LEFT(I2795,2)="MV",2*N2795*IF(L2795="1/C",O2795,1),0)</f>
        <v/>
      </c>
      <c r="Y2795" s="12">
        <f>IF(OR(LEFT(K2795,4)="LVAX",LEFT(K2795,6)="MV15AX",LEFT(K2795,4)="CTAX",LEFT(K2795,2)="W|"),2*N2795*O2795,0)</f>
        <v/>
      </c>
      <c r="Z2795" s="12" t="inlineStr">
        <is>
          <t>VD 2.6 %</t>
        </is>
      </c>
      <c r="AA2795" s="12">
        <f>N2795*O2795</f>
        <v/>
      </c>
    </row>
    <row r="2796">
      <c r="A2796" s="12" t="inlineStr">
        <is>
          <t>E-P-0002</t>
        </is>
      </c>
      <c r="B2796" s="12" t="inlineStr">
        <is>
          <t>E</t>
        </is>
      </c>
      <c r="C2796" s="12" t="inlineStr">
        <is>
          <t>Water / utilities</t>
        </is>
      </c>
      <c r="D2796" s="12" t="inlineStr">
        <is>
          <t>Motor 2 of 2, 7 kW</t>
        </is>
      </c>
      <c r="E2796" s="12" t="inlineStr">
        <is>
          <t>MCC-C2</t>
        </is>
      </c>
      <c r="F2796" s="12" t="inlineStr">
        <is>
          <t>R1 MCC-C2</t>
        </is>
      </c>
      <c r="G2796" s="12" t="inlineStr"/>
      <c r="H2796" s="12" t="inlineStr">
        <is>
          <t>Ammonia storage (aqueous, SCR reagent)</t>
        </is>
      </c>
      <c r="I2796" s="12" t="inlineStr">
        <is>
          <t>LV 600 V</t>
        </is>
      </c>
      <c r="J2796" s="12" t="inlineStr">
        <is>
          <t>Type TC-ER 600 V 3/C Cu XHHW-2 + ground, PVC jacket</t>
        </is>
      </c>
      <c r="K2796" s="12" t="inlineStr">
        <is>
          <t>LV|3/C+G|4</t>
        </is>
      </c>
      <c r="L2796" s="12" t="inlineStr">
        <is>
          <t>3/C+G</t>
        </is>
      </c>
      <c r="M2796" s="12" t="inlineStr">
        <is>
          <t>4</t>
        </is>
      </c>
      <c r="N2796" s="12" t="n">
        <v>1</v>
      </c>
      <c r="O2796" s="12" t="n">
        <v>1</v>
      </c>
      <c r="P2796" s="12" t="n">
        <v>480</v>
      </c>
      <c r="Q2796" s="12" t="n">
        <v>7</v>
      </c>
      <c r="R2796" s="12" t="n">
        <v>9.9</v>
      </c>
      <c r="S2796" s="12" t="inlineStr">
        <is>
          <t>Duct bank</t>
        </is>
      </c>
      <c r="T2796" s="16" t="n">
        <v>2010</v>
      </c>
      <c r="U2796" s="16" t="n">
        <v>145</v>
      </c>
      <c r="V2796" s="16">
        <f>ROUNDUP((T2796+U2796+2*'Read Me'!$B$13)*(1+'Read Me'!$B$12),-1)</f>
        <v/>
      </c>
      <c r="W2796" s="16">
        <f>V2796*N2796*O2796</f>
        <v/>
      </c>
      <c r="X2796" s="12">
        <f>IF(LEFT(I2796,2)="MV",2*N2796*IF(L2796="1/C",O2796,1),0)</f>
        <v/>
      </c>
      <c r="Y2796" s="12">
        <f>IF(OR(LEFT(K2796,4)="LVAX",LEFT(K2796,6)="MV15AX",LEFT(K2796,4)="CTAX",LEFT(K2796,2)="W|"),2*N2796*O2796,0)</f>
        <v/>
      </c>
      <c r="Z2796" s="12" t="inlineStr">
        <is>
          <t>VD 2.6 %</t>
        </is>
      </c>
      <c r="AA2796" s="12">
        <f>N2796*O2796</f>
        <v/>
      </c>
    </row>
    <row r="2797">
      <c r="A2797" s="12" t="inlineStr">
        <is>
          <t>E-P-0003</t>
        </is>
      </c>
      <c r="B2797" s="12" t="inlineStr">
        <is>
          <t>E</t>
        </is>
      </c>
      <c r="C2797" s="12" t="inlineStr">
        <is>
          <t>Water / utilities</t>
        </is>
      </c>
      <c r="D2797" s="12" t="inlineStr">
        <is>
          <t>Motor 1 of 3, 30 kW</t>
        </is>
      </c>
      <c r="E2797" s="12" t="inlineStr">
        <is>
          <t>MCC-C2</t>
        </is>
      </c>
      <c r="F2797" s="12" t="inlineStr">
        <is>
          <t>R1 MCC-C2</t>
        </is>
      </c>
      <c r="G2797" s="12" t="inlineStr"/>
      <c r="H2797" s="12" t="inlineStr">
        <is>
          <t>Auxiliary boiler</t>
        </is>
      </c>
      <c r="I2797" s="12" t="inlineStr">
        <is>
          <t>LV 600 V</t>
        </is>
      </c>
      <c r="J2797" s="12" t="inlineStr">
        <is>
          <t>Type TC-ER 600 V 3/C Cu XHHW-2 + ground, PVC jacket</t>
        </is>
      </c>
      <c r="K2797" s="12" t="inlineStr">
        <is>
          <t>LV|3/C+G|3/0</t>
        </is>
      </c>
      <c r="L2797" s="12" t="inlineStr">
        <is>
          <t>3/C+G</t>
        </is>
      </c>
      <c r="M2797" s="12" t="inlineStr">
        <is>
          <t>3/0</t>
        </is>
      </c>
      <c r="N2797" s="12" t="n">
        <v>1</v>
      </c>
      <c r="O2797" s="12" t="n">
        <v>1</v>
      </c>
      <c r="P2797" s="12" t="n">
        <v>480</v>
      </c>
      <c r="Q2797" s="12" t="n">
        <v>30</v>
      </c>
      <c r="R2797" s="12" t="n">
        <v>42.5</v>
      </c>
      <c r="S2797" s="12" t="inlineStr">
        <is>
          <t>Duct bank</t>
        </is>
      </c>
      <c r="T2797" s="16" t="n">
        <v>2089</v>
      </c>
      <c r="U2797" s="16" t="n">
        <v>165</v>
      </c>
      <c r="V2797" s="16">
        <f>ROUNDUP((T2797+U2797+2*'Read Me'!$B$13)*(1+'Read Me'!$B$12),-1)</f>
        <v/>
      </c>
      <c r="W2797" s="16">
        <f>V2797*N2797*O2797</f>
        <v/>
      </c>
      <c r="X2797" s="12">
        <f>IF(LEFT(I2797,2)="MV",2*N2797*IF(L2797="1/C",O2797,1),0)</f>
        <v/>
      </c>
      <c r="Y2797" s="12">
        <f>IF(OR(LEFT(K2797,4)="LVAX",LEFT(K2797,6)="MV15AX",LEFT(K2797,4)="CTAX",LEFT(K2797,2)="W|"),2*N2797*O2797,0)</f>
        <v/>
      </c>
      <c r="Z2797" s="12" t="inlineStr">
        <is>
          <t>VD 2.9 %</t>
        </is>
      </c>
      <c r="AA2797" s="12">
        <f>N2797*O2797</f>
        <v/>
      </c>
    </row>
    <row r="2798">
      <c r="A2798" s="12" t="inlineStr">
        <is>
          <t>E-P-0004</t>
        </is>
      </c>
      <c r="B2798" s="12" t="inlineStr">
        <is>
          <t>E</t>
        </is>
      </c>
      <c r="C2798" s="12" t="inlineStr">
        <is>
          <t>Water / utilities</t>
        </is>
      </c>
      <c r="D2798" s="12" t="inlineStr">
        <is>
          <t>Motor 2 of 3, 30 kW</t>
        </is>
      </c>
      <c r="E2798" s="12" t="inlineStr">
        <is>
          <t>MCC-C2</t>
        </is>
      </c>
      <c r="F2798" s="12" t="inlineStr">
        <is>
          <t>R1 MCC-C2</t>
        </is>
      </c>
      <c r="G2798" s="12" t="inlineStr"/>
      <c r="H2798" s="12" t="inlineStr">
        <is>
          <t>Auxiliary boiler</t>
        </is>
      </c>
      <c r="I2798" s="12" t="inlineStr">
        <is>
          <t>LV 600 V</t>
        </is>
      </c>
      <c r="J2798" s="12" t="inlineStr">
        <is>
          <t>Type TC-ER 600 V 3/C Cu XHHW-2 + ground, PVC jacket</t>
        </is>
      </c>
      <c r="K2798" s="12" t="inlineStr">
        <is>
          <t>LV|3/C+G|3/0</t>
        </is>
      </c>
      <c r="L2798" s="12" t="inlineStr">
        <is>
          <t>3/C+G</t>
        </is>
      </c>
      <c r="M2798" s="12" t="inlineStr">
        <is>
          <t>3/0</t>
        </is>
      </c>
      <c r="N2798" s="12" t="n">
        <v>1</v>
      </c>
      <c r="O2798" s="12" t="n">
        <v>1</v>
      </c>
      <c r="P2798" s="12" t="n">
        <v>480</v>
      </c>
      <c r="Q2798" s="12" t="n">
        <v>30</v>
      </c>
      <c r="R2798" s="12" t="n">
        <v>42.5</v>
      </c>
      <c r="S2798" s="12" t="inlineStr">
        <is>
          <t>Duct bank</t>
        </is>
      </c>
      <c r="T2798" s="16" t="n">
        <v>2089</v>
      </c>
      <c r="U2798" s="16" t="n">
        <v>165</v>
      </c>
      <c r="V2798" s="16">
        <f>ROUNDUP((T2798+U2798+2*'Read Me'!$B$13)*(1+'Read Me'!$B$12),-1)</f>
        <v/>
      </c>
      <c r="W2798" s="16">
        <f>V2798*N2798*O2798</f>
        <v/>
      </c>
      <c r="X2798" s="12">
        <f>IF(LEFT(I2798,2)="MV",2*N2798*IF(L2798="1/C",O2798,1),0)</f>
        <v/>
      </c>
      <c r="Y2798" s="12">
        <f>IF(OR(LEFT(K2798,4)="LVAX",LEFT(K2798,6)="MV15AX",LEFT(K2798,4)="CTAX",LEFT(K2798,2)="W|"),2*N2798*O2798,0)</f>
        <v/>
      </c>
      <c r="Z2798" s="12" t="inlineStr">
        <is>
          <t>VD 2.9 %</t>
        </is>
      </c>
      <c r="AA2798" s="12">
        <f>N2798*O2798</f>
        <v/>
      </c>
    </row>
    <row r="2799">
      <c r="A2799" s="12" t="inlineStr">
        <is>
          <t>E-P-0005</t>
        </is>
      </c>
      <c r="B2799" s="12" t="inlineStr">
        <is>
          <t>E</t>
        </is>
      </c>
      <c r="C2799" s="12" t="inlineStr">
        <is>
          <t>Water / utilities</t>
        </is>
      </c>
      <c r="D2799" s="12" t="inlineStr">
        <is>
          <t>Motor 3 of 3, 30 kW</t>
        </is>
      </c>
      <c r="E2799" s="12" t="inlineStr">
        <is>
          <t>MCC-C2</t>
        </is>
      </c>
      <c r="F2799" s="12" t="inlineStr">
        <is>
          <t>R1 MCC-C2</t>
        </is>
      </c>
      <c r="G2799" s="12" t="inlineStr"/>
      <c r="H2799" s="12" t="inlineStr">
        <is>
          <t>Auxiliary boiler</t>
        </is>
      </c>
      <c r="I2799" s="12" t="inlineStr">
        <is>
          <t>LV 600 V</t>
        </is>
      </c>
      <c r="J2799" s="12" t="inlineStr">
        <is>
          <t>Type TC-ER 600 V 3/C Cu XHHW-2 + ground, PVC jacket</t>
        </is>
      </c>
      <c r="K2799" s="12" t="inlineStr">
        <is>
          <t>LV|3/C+G|3/0</t>
        </is>
      </c>
      <c r="L2799" s="12" t="inlineStr">
        <is>
          <t>3/C+G</t>
        </is>
      </c>
      <c r="M2799" s="12" t="inlineStr">
        <is>
          <t>3/0</t>
        </is>
      </c>
      <c r="N2799" s="12" t="n">
        <v>1</v>
      </c>
      <c r="O2799" s="12" t="n">
        <v>1</v>
      </c>
      <c r="P2799" s="12" t="n">
        <v>480</v>
      </c>
      <c r="Q2799" s="12" t="n">
        <v>30</v>
      </c>
      <c r="R2799" s="12" t="n">
        <v>42.5</v>
      </c>
      <c r="S2799" s="12" t="inlineStr">
        <is>
          <t>Duct bank</t>
        </is>
      </c>
      <c r="T2799" s="16" t="n">
        <v>2089</v>
      </c>
      <c r="U2799" s="16" t="n">
        <v>165</v>
      </c>
      <c r="V2799" s="16">
        <f>ROUNDUP((T2799+U2799+2*'Read Me'!$B$13)*(1+'Read Me'!$B$12),-1)</f>
        <v/>
      </c>
      <c r="W2799" s="16">
        <f>V2799*N2799*O2799</f>
        <v/>
      </c>
      <c r="X2799" s="12">
        <f>IF(LEFT(I2799,2)="MV",2*N2799*IF(L2799="1/C",O2799,1),0)</f>
        <v/>
      </c>
      <c r="Y2799" s="12">
        <f>IF(OR(LEFT(K2799,4)="LVAX",LEFT(K2799,6)="MV15AX",LEFT(K2799,4)="CTAX",LEFT(K2799,2)="W|"),2*N2799*O2799,0)</f>
        <v/>
      </c>
      <c r="Z2799" s="12" t="inlineStr">
        <is>
          <t>VD 2.9 %</t>
        </is>
      </c>
      <c r="AA2799" s="12">
        <f>N2799*O2799</f>
        <v/>
      </c>
    </row>
    <row r="2800">
      <c r="A2800" s="12" t="inlineStr">
        <is>
          <t>E-P-0006</t>
        </is>
      </c>
      <c r="B2800" s="12" t="inlineStr">
        <is>
          <t>E</t>
        </is>
      </c>
      <c r="C2800" s="12" t="inlineStr">
        <is>
          <t>Water / utilities</t>
        </is>
      </c>
      <c r="D2800" s="12" t="inlineStr">
        <is>
          <t>Cathodic-protection rectifier supply</t>
        </is>
      </c>
      <c r="E2800" s="12" t="inlineStr">
        <is>
          <t>MCC-C2</t>
        </is>
      </c>
      <c r="F2800" s="12" t="inlineStr">
        <is>
          <t>R1 MCC-C2</t>
        </is>
      </c>
      <c r="G2800" s="12" t="inlineStr">
        <is>
          <t>CPR-2</t>
        </is>
      </c>
      <c r="H2800" s="12" t="inlineStr">
        <is>
          <t>CPR-2: cathodic-protection rectifier</t>
        </is>
      </c>
      <c r="I2800" s="12" t="inlineStr">
        <is>
          <t>LV 600 V</t>
        </is>
      </c>
      <c r="J2800" s="12" t="inlineStr">
        <is>
          <t>Type TC-ER 600 V 3/C Cu XHHW-2 + ground, PVC jacket</t>
        </is>
      </c>
      <c r="K2800" s="12" t="inlineStr">
        <is>
          <t>LV|3/C+G|2</t>
        </is>
      </c>
      <c r="L2800" s="12" t="inlineStr">
        <is>
          <t>3/C+G</t>
        </is>
      </c>
      <c r="M2800" s="12" t="inlineStr">
        <is>
          <t>2</t>
        </is>
      </c>
      <c r="N2800" s="12" t="n">
        <v>1</v>
      </c>
      <c r="O2800" s="12" t="n">
        <v>1</v>
      </c>
      <c r="P2800" s="12" t="n">
        <v>480</v>
      </c>
      <c r="Q2800" s="12" t="n">
        <v>10</v>
      </c>
      <c r="R2800" s="12" t="n">
        <v>12.7</v>
      </c>
      <c r="S2800" s="12" t="inlineStr">
        <is>
          <t>Duct bank</t>
        </is>
      </c>
      <c r="T2800" s="16" t="n">
        <v>1959</v>
      </c>
      <c r="U2800" s="16" t="n">
        <v>209</v>
      </c>
      <c r="V2800" s="16">
        <f>ROUNDUP((T2800+U2800+2*'Read Me'!$B$13)*(1+'Read Me'!$B$12),-1)</f>
        <v/>
      </c>
      <c r="W2800" s="16">
        <f>V2800*N2800*O2800</f>
        <v/>
      </c>
      <c r="X2800" s="12">
        <f>IF(LEFT(I2800,2)="MV",2*N2800*IF(L2800="1/C",O2800,1),0)</f>
        <v/>
      </c>
      <c r="Y2800" s="12">
        <f>IF(OR(LEFT(K2800,4)="LVAX",LEFT(K2800,6)="MV15AX",LEFT(K2800,4)="CTAX",LEFT(K2800,2)="W|"),2*N2800*O2800,0)</f>
        <v/>
      </c>
      <c r="Z2800" s="12" t="inlineStr">
        <is>
          <t>VD 2.1 %</t>
        </is>
      </c>
      <c r="AA2800" s="12">
        <f>N2800*O2800</f>
        <v/>
      </c>
    </row>
    <row r="2801">
      <c r="A2801" s="12" t="inlineStr">
        <is>
          <t>E-P-0007</t>
        </is>
      </c>
      <c r="B2801" s="12" t="inlineStr">
        <is>
          <t>E</t>
        </is>
      </c>
      <c r="C2801" s="12" t="inlineStr">
        <is>
          <t>Water / utilities</t>
        </is>
      </c>
      <c r="D2801" s="12" t="inlineStr">
        <is>
          <t>CP anode / structure leads (allowance)</t>
        </is>
      </c>
      <c r="E2801" s="12" t="inlineStr">
        <is>
          <t>CPR-2</t>
        </is>
      </c>
      <c r="F2801" s="12" t="inlineStr">
        <is>
          <t>CPR-2: cathodic-protection rectifier</t>
        </is>
      </c>
      <c r="G2801" s="12" t="inlineStr">
        <is>
          <t>CPR-2</t>
        </is>
      </c>
      <c r="H2801" s="12" t="inlineStr">
        <is>
          <t>CPR-2: cathodic-protection rectifier</t>
        </is>
      </c>
      <c r="I2801" s="12" t="inlineStr">
        <is>
          <t>LV 600 V</t>
        </is>
      </c>
      <c r="J2801" s="12" t="inlineStr">
        <is>
          <t>Type TC-ER 600 V 3/C Cu XHHW-2 + ground, PVC jacket</t>
        </is>
      </c>
      <c r="K2801" s="12" t="inlineStr">
        <is>
          <t>LV|1/C|8</t>
        </is>
      </c>
      <c r="L2801" s="12" t="inlineStr">
        <is>
          <t>1/C</t>
        </is>
      </c>
      <c r="M2801" s="12" t="inlineStr">
        <is>
          <t>8</t>
        </is>
      </c>
      <c r="N2801" s="12" t="n">
        <v>1</v>
      </c>
      <c r="O2801" s="12" t="n">
        <v>1</v>
      </c>
      <c r="P2801" s="12" t="n"/>
      <c r="Q2801" s="12" t="n"/>
      <c r="R2801" s="12" t="n"/>
      <c r="S2801" s="12" t="inlineStr">
        <is>
          <t>Buried</t>
        </is>
      </c>
      <c r="T2801" s="16" t="n">
        <v>1500</v>
      </c>
      <c r="U2801" s="16" t="n">
        <v>0</v>
      </c>
      <c r="V2801" s="16">
        <f>ROUNDUP((T2801+U2801+2*'Read Me'!$B$13)*(1+'Read Me'!$B$12),-1)</f>
        <v/>
      </c>
      <c r="W2801" s="16">
        <f>V2801*N2801*O2801</f>
        <v/>
      </c>
      <c r="X2801" s="12">
        <f>IF(LEFT(I2801,2)="MV",2*N2801*IF(L2801="1/C",O2801,1),0)</f>
        <v/>
      </c>
      <c r="Y2801" s="12">
        <f>IF(OR(LEFT(K2801,4)="LVAX",LEFT(K2801,6)="MV15AX",LEFT(K2801,4)="CTAX",LEFT(K2801,2)="W|"),2*N2801*O2801,0)</f>
        <v/>
      </c>
      <c r="Z2801" s="12" t="inlineStr">
        <is>
          <t>HMWPE anode lead cable by CP vendor; allowance</t>
        </is>
      </c>
      <c r="AA2801" s="12">
        <f>N2801*O2801</f>
        <v/>
      </c>
    </row>
    <row r="2802">
      <c r="A2802" s="12" t="inlineStr">
        <is>
          <t>E-P-0008</t>
        </is>
      </c>
      <c r="B2802" s="12" t="inlineStr">
        <is>
          <t>E</t>
        </is>
      </c>
      <c r="C2802" s="12" t="inlineStr">
        <is>
          <t>Water / utilities</t>
        </is>
      </c>
      <c r="D2802" s="12" t="inlineStr">
        <is>
          <t>LV power feeder</t>
        </is>
      </c>
      <c r="E2802" s="12" t="inlineStr">
        <is>
          <t>MCC-C2</t>
        </is>
      </c>
      <c r="F2802" s="12" t="inlineStr">
        <is>
          <t>R1 MCC-C2</t>
        </is>
      </c>
      <c r="G2802" s="12" t="inlineStr"/>
      <c r="H2802" s="12" t="inlineStr">
        <is>
          <t>Demineralised water tank</t>
        </is>
      </c>
      <c r="I2802" s="12" t="inlineStr">
        <is>
          <t>LV 600 V</t>
        </is>
      </c>
      <c r="J2802" s="12" t="inlineStr">
        <is>
          <t>Type TC-ER 600 V 3/C Cu XHHW-2 + ground, PVC jacket</t>
        </is>
      </c>
      <c r="K2802" s="12" t="inlineStr">
        <is>
          <t>LV|3/C+G|2</t>
        </is>
      </c>
      <c r="L2802" s="12" t="inlineStr">
        <is>
          <t>3/C+G</t>
        </is>
      </c>
      <c r="M2802" s="12" t="inlineStr">
        <is>
          <t>2</t>
        </is>
      </c>
      <c r="N2802" s="12" t="n">
        <v>1</v>
      </c>
      <c r="O2802" s="12" t="n">
        <v>1</v>
      </c>
      <c r="P2802" s="12" t="n">
        <v>480</v>
      </c>
      <c r="Q2802" s="12" t="n">
        <v>10</v>
      </c>
      <c r="R2802" s="12" t="n">
        <v>14.2</v>
      </c>
      <c r="S2802" s="12" t="inlineStr">
        <is>
          <t>Duct bank</t>
        </is>
      </c>
      <c r="T2802" s="16" t="n">
        <v>1872</v>
      </c>
      <c r="U2802" s="16" t="n">
        <v>236</v>
      </c>
      <c r="V2802" s="16">
        <f>ROUNDUP((T2802+U2802+2*'Read Me'!$B$13)*(1+'Read Me'!$B$12),-1)</f>
        <v/>
      </c>
      <c r="W2802" s="16">
        <f>V2802*N2802*O2802</f>
        <v/>
      </c>
      <c r="X2802" s="12">
        <f>IF(LEFT(I2802,2)="MV",2*N2802*IF(L2802="1/C",O2802,1),0)</f>
        <v/>
      </c>
      <c r="Y2802" s="12">
        <f>IF(OR(LEFT(K2802,4)="LVAX",LEFT(K2802,6)="MV15AX",LEFT(K2802,4)="CTAX",LEFT(K2802,2)="W|"),2*N2802*O2802,0)</f>
        <v/>
      </c>
      <c r="Z2802" s="12" t="inlineStr">
        <is>
          <t>VD 2.3 %</t>
        </is>
      </c>
      <c r="AA2802" s="12">
        <f>N2802*O2802</f>
        <v/>
      </c>
    </row>
    <row r="2803">
      <c r="A2803" s="12" t="inlineStr">
        <is>
          <t>E-P-0009</t>
        </is>
      </c>
      <c r="B2803" s="12" t="inlineStr">
        <is>
          <t>E</t>
        </is>
      </c>
      <c r="C2803" s="12" t="inlineStr">
        <is>
          <t>Water / utilities</t>
        </is>
      </c>
      <c r="D2803" s="12" t="inlineStr">
        <is>
          <t>LV power feeder</t>
        </is>
      </c>
      <c r="E2803" s="12" t="inlineStr">
        <is>
          <t>MCC-C2</t>
        </is>
      </c>
      <c r="F2803" s="12" t="inlineStr">
        <is>
          <t>R1 MCC-C2</t>
        </is>
      </c>
      <c r="G2803" s="12" t="inlineStr"/>
      <c r="H2803" s="12" t="inlineStr">
        <is>
          <t>Fire / service water tank</t>
        </is>
      </c>
      <c r="I2803" s="12" t="inlineStr">
        <is>
          <t>LV 600 V</t>
        </is>
      </c>
      <c r="J2803" s="12" t="inlineStr">
        <is>
          <t>Type TC-ER 600 V 3/C Cu XHHW-2 + ground, PVC jacket</t>
        </is>
      </c>
      <c r="K2803" s="12" t="inlineStr">
        <is>
          <t>LV|3/C+G|2</t>
        </is>
      </c>
      <c r="L2803" s="12" t="inlineStr">
        <is>
          <t>3/C+G</t>
        </is>
      </c>
      <c r="M2803" s="12" t="inlineStr">
        <is>
          <t>2</t>
        </is>
      </c>
      <c r="N2803" s="12" t="n">
        <v>1</v>
      </c>
      <c r="O2803" s="12" t="n">
        <v>1</v>
      </c>
      <c r="P2803" s="12" t="n">
        <v>480</v>
      </c>
      <c r="Q2803" s="12" t="n">
        <v>10</v>
      </c>
      <c r="R2803" s="12" t="n">
        <v>14.2</v>
      </c>
      <c r="S2803" s="12" t="inlineStr">
        <is>
          <t>Duct bank</t>
        </is>
      </c>
      <c r="T2803" s="16" t="n">
        <v>1798</v>
      </c>
      <c r="U2803" s="16" t="n">
        <v>145</v>
      </c>
      <c r="V2803" s="16">
        <f>ROUNDUP((T2803+U2803+2*'Read Me'!$B$13)*(1+'Read Me'!$B$12),-1)</f>
        <v/>
      </c>
      <c r="W2803" s="16">
        <f>V2803*N2803*O2803</f>
        <v/>
      </c>
      <c r="X2803" s="12">
        <f>IF(LEFT(I2803,2)="MV",2*N2803*IF(L2803="1/C",O2803,1),0)</f>
        <v/>
      </c>
      <c r="Y2803" s="12">
        <f>IF(OR(LEFT(K2803,4)="LVAX",LEFT(K2803,6)="MV15AX",LEFT(K2803,4)="CTAX",LEFT(K2803,2)="W|"),2*N2803*O2803,0)</f>
        <v/>
      </c>
      <c r="Z2803" s="12" t="inlineStr">
        <is>
          <t>VD 2.1 %</t>
        </is>
      </c>
      <c r="AA2803" s="12">
        <f>N2803*O2803</f>
        <v/>
      </c>
    </row>
    <row r="2804">
      <c r="A2804" s="12" t="inlineStr">
        <is>
          <t>E-P-0010</t>
        </is>
      </c>
      <c r="B2804" s="12" t="inlineStr">
        <is>
          <t>E</t>
        </is>
      </c>
      <c r="C2804" s="12" t="inlineStr">
        <is>
          <t>Water / utilities</t>
        </is>
      </c>
      <c r="D2804" s="12" t="inlineStr">
        <is>
          <t>Motor 1 of 1, 250 kW</t>
        </is>
      </c>
      <c r="E2804" s="12" t="inlineStr">
        <is>
          <t>MCC-C2</t>
        </is>
      </c>
      <c r="F2804" s="12" t="inlineStr">
        <is>
          <t>R1 MCC-C2</t>
        </is>
      </c>
      <c r="G2804" s="12" t="inlineStr"/>
      <c r="H2804" s="12" t="inlineStr">
        <is>
          <t>Fire pump house</t>
        </is>
      </c>
      <c r="I2804" s="12" t="inlineStr">
        <is>
          <t>LV 600 V</t>
        </is>
      </c>
      <c r="J2804" s="12" t="inlineStr">
        <is>
          <t>Type TC-ER 600 V 3/C Cu XHHW-2 + ground, PVC jacket</t>
        </is>
      </c>
      <c r="K2804" s="12" t="inlineStr">
        <is>
          <t>LV|3/C+G|500</t>
        </is>
      </c>
      <c r="L2804" s="12" t="inlineStr">
        <is>
          <t>3/C+G</t>
        </is>
      </c>
      <c r="M2804" s="12" t="inlineStr">
        <is>
          <t>500 kcmil</t>
        </is>
      </c>
      <c r="N2804" s="12" t="n">
        <v>3</v>
      </c>
      <c r="O2804" s="12" t="n">
        <v>1</v>
      </c>
      <c r="P2804" s="12" t="n">
        <v>480</v>
      </c>
      <c r="Q2804" s="12" t="n">
        <v>250</v>
      </c>
      <c r="R2804" s="12" t="n">
        <v>353.8</v>
      </c>
      <c r="S2804" s="12" t="inlineStr">
        <is>
          <t>Duct bank</t>
        </is>
      </c>
      <c r="T2804" s="16" t="n">
        <v>2004</v>
      </c>
      <c r="U2804" s="16" t="n">
        <v>209</v>
      </c>
      <c r="V2804" s="16">
        <f>ROUNDUP((T2804+U2804+2*'Read Me'!$B$13)*(1+'Read Me'!$B$12),-1)</f>
        <v/>
      </c>
      <c r="W2804" s="16">
        <f>V2804*N2804*O2804</f>
        <v/>
      </c>
      <c r="X2804" s="12">
        <f>IF(LEFT(I2804,2)="MV",2*N2804*IF(L2804="1/C",O2804,1),0)</f>
        <v/>
      </c>
      <c r="Y2804" s="12">
        <f>IF(OR(LEFT(K2804,4)="LVAX",LEFT(K2804,6)="MV15AX",LEFT(K2804,4)="CTAX",LEFT(K2804,2)="W|"),2*N2804*O2804,0)</f>
        <v/>
      </c>
      <c r="Z2804" s="12" t="inlineStr">
        <is>
          <t>VD 2.7 %</t>
        </is>
      </c>
      <c r="AA2804" s="12">
        <f>N2804*O2804</f>
        <v/>
      </c>
    </row>
    <row r="2805">
      <c r="A2805" s="12" t="inlineStr">
        <is>
          <t>E-P-0011</t>
        </is>
      </c>
      <c r="B2805" s="12" t="inlineStr">
        <is>
          <t>E</t>
        </is>
      </c>
      <c r="C2805" s="12" t="inlineStr">
        <is>
          <t>Water / utilities</t>
        </is>
      </c>
      <c r="D2805" s="12" t="inlineStr">
        <is>
          <t>Motor 1 of 1, 15 kW</t>
        </is>
      </c>
      <c r="E2805" s="12" t="inlineStr">
        <is>
          <t>MCC-C2</t>
        </is>
      </c>
      <c r="F2805" s="12" t="inlineStr">
        <is>
          <t>R1 MCC-C2</t>
        </is>
      </c>
      <c r="G2805" s="12" t="inlineStr"/>
      <c r="H2805" s="12" t="inlineStr">
        <is>
          <t>Fire pump house</t>
        </is>
      </c>
      <c r="I2805" s="12" t="inlineStr">
        <is>
          <t>LV 600 V</t>
        </is>
      </c>
      <c r="J2805" s="12" t="inlineStr">
        <is>
          <t>Type TC-ER 600 V 3/C Cu XHHW-2 + ground, PVC jacket</t>
        </is>
      </c>
      <c r="K2805" s="12" t="inlineStr">
        <is>
          <t>LV|3/C+G|1</t>
        </is>
      </c>
      <c r="L2805" s="12" t="inlineStr">
        <is>
          <t>3/C+G</t>
        </is>
      </c>
      <c r="M2805" s="12" t="inlineStr">
        <is>
          <t>1</t>
        </is>
      </c>
      <c r="N2805" s="12" t="n">
        <v>1</v>
      </c>
      <c r="O2805" s="12" t="n">
        <v>1</v>
      </c>
      <c r="P2805" s="12" t="n">
        <v>480</v>
      </c>
      <c r="Q2805" s="12" t="n">
        <v>15</v>
      </c>
      <c r="R2805" s="12" t="n">
        <v>21.2</v>
      </c>
      <c r="S2805" s="12" t="inlineStr">
        <is>
          <t>Duct bank</t>
        </is>
      </c>
      <c r="T2805" s="16" t="n">
        <v>2004</v>
      </c>
      <c r="U2805" s="16" t="n">
        <v>209</v>
      </c>
      <c r="V2805" s="16">
        <f>ROUNDUP((T2805+U2805+2*'Read Me'!$B$13)*(1+'Read Me'!$B$12),-1)</f>
        <v/>
      </c>
      <c r="W2805" s="16">
        <f>V2805*N2805*O2805</f>
        <v/>
      </c>
      <c r="X2805" s="12">
        <f>IF(LEFT(I2805,2)="MV",2*N2805*IF(L2805="1/C",O2805,1),0)</f>
        <v/>
      </c>
      <c r="Y2805" s="12">
        <f>IF(OR(LEFT(K2805,4)="LVAX",LEFT(K2805,6)="MV15AX",LEFT(K2805,4)="CTAX",LEFT(K2805,2)="W|"),2*N2805*O2805,0)</f>
        <v/>
      </c>
      <c r="Z2805" s="12" t="inlineStr">
        <is>
          <t>VD 2.9 %</t>
        </is>
      </c>
      <c r="AA2805" s="12">
        <f>N2805*O2805</f>
        <v/>
      </c>
    </row>
    <row r="2806">
      <c r="A2806" s="12" t="inlineStr">
        <is>
          <t>E-P-0012</t>
        </is>
      </c>
      <c r="B2806" s="12" t="inlineStr">
        <is>
          <t>E</t>
        </is>
      </c>
      <c r="C2806" s="12" t="inlineStr">
        <is>
          <t>Water / utilities</t>
        </is>
      </c>
      <c r="D2806" s="12" t="inlineStr">
        <is>
          <t>LV power feeder</t>
        </is>
      </c>
      <c r="E2806" s="12" t="inlineStr">
        <is>
          <t>MCC-C2</t>
        </is>
      </c>
      <c r="F2806" s="12" t="inlineStr">
        <is>
          <t>R1 MCC-C2</t>
        </is>
      </c>
      <c r="G2806" s="12" t="inlineStr"/>
      <c r="H2806" s="12" t="inlineStr">
        <is>
          <t>H2 / CO2 storage (generator gas)</t>
        </is>
      </c>
      <c r="I2806" s="12" t="inlineStr">
        <is>
          <t>LV 600 V</t>
        </is>
      </c>
      <c r="J2806" s="12" t="inlineStr">
        <is>
          <t>ARMOR-X MC-HL 600 V 3/C Cu XHHW-2 + ground, CWA, black PVC (Class I Div 2)</t>
        </is>
      </c>
      <c r="K2806" s="12" t="inlineStr">
        <is>
          <t>LVAX|3/C+G|1/0</t>
        </is>
      </c>
      <c r="L2806" s="12" t="inlineStr">
        <is>
          <t>3/C+G</t>
        </is>
      </c>
      <c r="M2806" s="12" t="inlineStr">
        <is>
          <t>1/0</t>
        </is>
      </c>
      <c r="N2806" s="12" t="n">
        <v>1</v>
      </c>
      <c r="O2806" s="12" t="n">
        <v>1</v>
      </c>
      <c r="P2806" s="12" t="n">
        <v>480</v>
      </c>
      <c r="Q2806" s="12" t="n">
        <v>15</v>
      </c>
      <c r="R2806" s="12" t="n">
        <v>21.2</v>
      </c>
      <c r="S2806" s="12" t="inlineStr">
        <is>
          <t>Duct bank</t>
        </is>
      </c>
      <c r="T2806" s="16" t="n">
        <v>2254</v>
      </c>
      <c r="U2806" s="16" t="n">
        <v>145</v>
      </c>
      <c r="V2806" s="16">
        <f>ROUNDUP((T2806+U2806+2*'Read Me'!$B$13)*(1+'Read Me'!$B$12),-1)</f>
        <v/>
      </c>
      <c r="W2806" s="16">
        <f>V2806*N2806*O2806</f>
        <v/>
      </c>
      <c r="X2806" s="12">
        <f>IF(LEFT(I2806,2)="MV",2*N2806*IF(L2806="1/C",O2806,1),0)</f>
        <v/>
      </c>
      <c r="Y2806" s="12">
        <f>IF(OR(LEFT(K2806,4)="LVAX",LEFT(K2806,6)="MV15AX",LEFT(K2806,4)="CTAX",LEFT(K2806,2)="W|"),2*N2806*O2806,0)</f>
        <v/>
      </c>
      <c r="Z2806" s="12" t="inlineStr">
        <is>
          <t>VD 2.5 %</t>
        </is>
      </c>
      <c r="AA2806" s="12">
        <f>N2806*O2806</f>
        <v/>
      </c>
    </row>
    <row r="2807">
      <c r="A2807" s="12" t="inlineStr">
        <is>
          <t>E-P-0013</t>
        </is>
      </c>
      <c r="B2807" s="12" t="inlineStr">
        <is>
          <t>E</t>
        </is>
      </c>
      <c r="C2807" s="12" t="inlineStr">
        <is>
          <t>Water / utilities</t>
        </is>
      </c>
      <c r="D2807" s="12" t="inlineStr">
        <is>
          <t>LV power feeder</t>
        </is>
      </c>
      <c r="E2807" s="12" t="inlineStr">
        <is>
          <t>MCC-C2</t>
        </is>
      </c>
      <c r="F2807" s="12" t="inlineStr">
        <is>
          <t>R1 MCC-C2</t>
        </is>
      </c>
      <c r="G2807" s="12" t="inlineStr">
        <is>
          <t>HTP-2</t>
        </is>
      </c>
      <c r="H2807" s="12" t="inlineStr">
        <is>
          <t>HTP-2: heat-trace panel (NH3)</t>
        </is>
      </c>
      <c r="I2807" s="12" t="inlineStr">
        <is>
          <t>LV 600 V</t>
        </is>
      </c>
      <c r="J2807" s="12" t="inlineStr">
        <is>
          <t>Type TC-ER 600 V 3/C Cu XHHW-2 + ground, PVC jacket</t>
        </is>
      </c>
      <c r="K2807" s="12" t="inlineStr">
        <is>
          <t>LV|3/C+G|350</t>
        </is>
      </c>
      <c r="L2807" s="12" t="inlineStr">
        <is>
          <t>3/C+G</t>
        </is>
      </c>
      <c r="M2807" s="12" t="inlineStr">
        <is>
          <t>350 kcmil</t>
        </is>
      </c>
      <c r="N2807" s="12" t="n">
        <v>2</v>
      </c>
      <c r="O2807" s="12" t="n">
        <v>1</v>
      </c>
      <c r="P2807" s="12" t="n">
        <v>480</v>
      </c>
      <c r="Q2807" s="12" t="n">
        <v>120</v>
      </c>
      <c r="R2807" s="12" t="n">
        <v>169.8</v>
      </c>
      <c r="S2807" s="12" t="inlineStr">
        <is>
          <t>Duct bank</t>
        </is>
      </c>
      <c r="T2807" s="16" t="n">
        <v>2010</v>
      </c>
      <c r="U2807" s="16" t="n">
        <v>220</v>
      </c>
      <c r="V2807" s="16">
        <f>ROUNDUP((T2807+U2807+2*'Read Me'!$B$13)*(1+'Read Me'!$B$12),-1)</f>
        <v/>
      </c>
      <c r="W2807" s="16">
        <f>V2807*N2807*O2807</f>
        <v/>
      </c>
      <c r="X2807" s="12">
        <f>IF(LEFT(I2807,2)="MV",2*N2807*IF(L2807="1/C",O2807,1),0)</f>
        <v/>
      </c>
      <c r="Y2807" s="12">
        <f>IF(OR(LEFT(K2807,4)="LVAX",LEFT(K2807,6)="MV15AX",LEFT(K2807,4)="CTAX",LEFT(K2807,2)="W|"),2*N2807*O2807,0)</f>
        <v/>
      </c>
      <c r="Z2807" s="12" t="inlineStr">
        <is>
          <t>VD 2.8 %</t>
        </is>
      </c>
      <c r="AA2807" s="12">
        <f>N2807*O2807</f>
        <v/>
      </c>
    </row>
    <row r="2808">
      <c r="A2808" s="12" t="inlineStr">
        <is>
          <t>E-P-0014</t>
        </is>
      </c>
      <c r="B2808" s="12" t="inlineStr">
        <is>
          <t>E</t>
        </is>
      </c>
      <c r="C2808" s="12" t="inlineStr">
        <is>
          <t>Water / utilities</t>
        </is>
      </c>
      <c r="D2808" s="12" t="inlineStr">
        <is>
          <t>Heat-trace circuit 1 (power to the trace junction box)</t>
        </is>
      </c>
      <c r="E2808" s="12" t="inlineStr">
        <is>
          <t>HTP-2</t>
        </is>
      </c>
      <c r="F2808" s="12" t="inlineStr">
        <is>
          <t>HTP-2: heat-trace panel (NH3)</t>
        </is>
      </c>
      <c r="G2808" s="12" t="inlineStr">
        <is>
          <t>HTP-2</t>
        </is>
      </c>
      <c r="H2808" s="12" t="inlineStr">
        <is>
          <t>HTP-2: heat-trace panel (NH3)</t>
        </is>
      </c>
      <c r="I2808" s="12" t="inlineStr">
        <is>
          <t>LV 600 V</t>
        </is>
      </c>
      <c r="J2808" s="12" t="inlineStr">
        <is>
          <t>Type TC-ER 600 V 3/C Cu XHHW-2 + ground, PVC jacket</t>
        </is>
      </c>
      <c r="K2808" s="12" t="inlineStr">
        <is>
          <t>LV|3/C+G|10</t>
        </is>
      </c>
      <c r="L2808" s="12" t="inlineStr">
        <is>
          <t>3/C+G</t>
        </is>
      </c>
      <c r="M2808" s="12" t="inlineStr">
        <is>
          <t>10</t>
        </is>
      </c>
      <c r="N2808" s="12" t="n">
        <v>1</v>
      </c>
      <c r="O2808" s="12" t="n">
        <v>1</v>
      </c>
      <c r="P2808" s="12" t="n">
        <v>480</v>
      </c>
      <c r="Q2808" s="12" t="n">
        <v>4</v>
      </c>
      <c r="R2808" s="12" t="n">
        <v>6</v>
      </c>
      <c r="S2808" s="12" t="inlineStr">
        <is>
          <t>Tray</t>
        </is>
      </c>
      <c r="T2808" s="16" t="n">
        <v>180</v>
      </c>
      <c r="U2808" s="16" t="n">
        <v>20</v>
      </c>
      <c r="V2808" s="16">
        <f>ROUNDUP((T2808+U2808+2*'Read Me'!$B$13)*(1+'Read Me'!$B$12),-1)</f>
        <v/>
      </c>
      <c r="W2808" s="16">
        <f>V2808*N2808*O2808</f>
        <v/>
      </c>
      <c r="X2808" s="12">
        <f>IF(LEFT(I2808,2)="MV",2*N2808*IF(L2808="1/C",O2808,1),0)</f>
        <v/>
      </c>
      <c r="Y2808" s="12">
        <f>IF(OR(LEFT(K2808,4)="LVAX",LEFT(K2808,6)="MV15AX",LEFT(K2808,4)="CTAX",LEFT(K2808,2)="W|"),2*N2808*O2808,0)</f>
        <v/>
      </c>
      <c r="Z2808" s="12" t="inlineStr">
        <is>
          <t>heat-trace cable itself by others</t>
        </is>
      </c>
      <c r="AA2808" s="12">
        <f>N2808*O2808</f>
        <v/>
      </c>
    </row>
    <row r="2809">
      <c r="A2809" s="12" t="inlineStr">
        <is>
          <t>E-P-0015</t>
        </is>
      </c>
      <c r="B2809" s="12" t="inlineStr">
        <is>
          <t>E</t>
        </is>
      </c>
      <c r="C2809" s="12" t="inlineStr">
        <is>
          <t>Water / utilities</t>
        </is>
      </c>
      <c r="D2809" s="12" t="inlineStr">
        <is>
          <t>Heat-trace circuit 2 (power to the trace junction box)</t>
        </is>
      </c>
      <c r="E2809" s="12" t="inlineStr">
        <is>
          <t>HTP-2</t>
        </is>
      </c>
      <c r="F2809" s="12" t="inlineStr">
        <is>
          <t>HTP-2: heat-trace panel (NH3)</t>
        </is>
      </c>
      <c r="G2809" s="12" t="inlineStr">
        <is>
          <t>HTP-2</t>
        </is>
      </c>
      <c r="H2809" s="12" t="inlineStr">
        <is>
          <t>HTP-2: heat-trace panel (NH3)</t>
        </is>
      </c>
      <c r="I2809" s="12" t="inlineStr">
        <is>
          <t>LV 600 V</t>
        </is>
      </c>
      <c r="J2809" s="12" t="inlineStr">
        <is>
          <t>Type TC-ER 600 V 3/C Cu XHHW-2 + ground, PVC jacket</t>
        </is>
      </c>
      <c r="K2809" s="12" t="inlineStr">
        <is>
          <t>LV|3/C+G|10</t>
        </is>
      </c>
      <c r="L2809" s="12" t="inlineStr">
        <is>
          <t>3/C+G</t>
        </is>
      </c>
      <c r="M2809" s="12" t="inlineStr">
        <is>
          <t>10</t>
        </is>
      </c>
      <c r="N2809" s="12" t="n">
        <v>1</v>
      </c>
      <c r="O2809" s="12" t="n">
        <v>1</v>
      </c>
      <c r="P2809" s="12" t="n">
        <v>480</v>
      </c>
      <c r="Q2809" s="12" t="n">
        <v>4</v>
      </c>
      <c r="R2809" s="12" t="n">
        <v>6</v>
      </c>
      <c r="S2809" s="12" t="inlineStr">
        <is>
          <t>Tray</t>
        </is>
      </c>
      <c r="T2809" s="16" t="n">
        <v>180</v>
      </c>
      <c r="U2809" s="16" t="n">
        <v>20</v>
      </c>
      <c r="V2809" s="16">
        <f>ROUNDUP((T2809+U2809+2*'Read Me'!$B$13)*(1+'Read Me'!$B$12),-1)</f>
        <v/>
      </c>
      <c r="W2809" s="16">
        <f>V2809*N2809*O2809</f>
        <v/>
      </c>
      <c r="X2809" s="12">
        <f>IF(LEFT(I2809,2)="MV",2*N2809*IF(L2809="1/C",O2809,1),0)</f>
        <v/>
      </c>
      <c r="Y2809" s="12">
        <f>IF(OR(LEFT(K2809,4)="LVAX",LEFT(K2809,6)="MV15AX",LEFT(K2809,4)="CTAX",LEFT(K2809,2)="W|"),2*N2809*O2809,0)</f>
        <v/>
      </c>
      <c r="Z2809" s="12" t="inlineStr">
        <is>
          <t>heat-trace cable itself by others</t>
        </is>
      </c>
      <c r="AA2809" s="12">
        <f>N2809*O2809</f>
        <v/>
      </c>
    </row>
    <row r="2810">
      <c r="A2810" s="12" t="inlineStr">
        <is>
          <t>E-P-0016</t>
        </is>
      </c>
      <c r="B2810" s="12" t="inlineStr">
        <is>
          <t>E</t>
        </is>
      </c>
      <c r="C2810" s="12" t="inlineStr">
        <is>
          <t>Water / utilities</t>
        </is>
      </c>
      <c r="D2810" s="12" t="inlineStr">
        <is>
          <t>Heat-trace circuit 3 (power to the trace junction box)</t>
        </is>
      </c>
      <c r="E2810" s="12" t="inlineStr">
        <is>
          <t>HTP-2</t>
        </is>
      </c>
      <c r="F2810" s="12" t="inlineStr">
        <is>
          <t>HTP-2: heat-trace panel (NH3)</t>
        </is>
      </c>
      <c r="G2810" s="12" t="inlineStr">
        <is>
          <t>HTP-2</t>
        </is>
      </c>
      <c r="H2810" s="12" t="inlineStr">
        <is>
          <t>HTP-2: heat-trace panel (NH3)</t>
        </is>
      </c>
      <c r="I2810" s="12" t="inlineStr">
        <is>
          <t>LV 600 V</t>
        </is>
      </c>
      <c r="J2810" s="12" t="inlineStr">
        <is>
          <t>Type TC-ER 600 V 3/C Cu XHHW-2 + ground, PVC jacket</t>
        </is>
      </c>
      <c r="K2810" s="12" t="inlineStr">
        <is>
          <t>LV|3/C+G|10</t>
        </is>
      </c>
      <c r="L2810" s="12" t="inlineStr">
        <is>
          <t>3/C+G</t>
        </is>
      </c>
      <c r="M2810" s="12" t="inlineStr">
        <is>
          <t>10</t>
        </is>
      </c>
      <c r="N2810" s="12" t="n">
        <v>1</v>
      </c>
      <c r="O2810" s="12" t="n">
        <v>1</v>
      </c>
      <c r="P2810" s="12" t="n">
        <v>480</v>
      </c>
      <c r="Q2810" s="12" t="n">
        <v>4</v>
      </c>
      <c r="R2810" s="12" t="n">
        <v>6</v>
      </c>
      <c r="S2810" s="12" t="inlineStr">
        <is>
          <t>Tray</t>
        </is>
      </c>
      <c r="T2810" s="16" t="n">
        <v>180</v>
      </c>
      <c r="U2810" s="16" t="n">
        <v>20</v>
      </c>
      <c r="V2810" s="16">
        <f>ROUNDUP((T2810+U2810+2*'Read Me'!$B$13)*(1+'Read Me'!$B$12),-1)</f>
        <v/>
      </c>
      <c r="W2810" s="16">
        <f>V2810*N2810*O2810</f>
        <v/>
      </c>
      <c r="X2810" s="12">
        <f>IF(LEFT(I2810,2)="MV",2*N2810*IF(L2810="1/C",O2810,1),0)</f>
        <v/>
      </c>
      <c r="Y2810" s="12">
        <f>IF(OR(LEFT(K2810,4)="LVAX",LEFT(K2810,6)="MV15AX",LEFT(K2810,4)="CTAX",LEFT(K2810,2)="W|"),2*N2810*O2810,0)</f>
        <v/>
      </c>
      <c r="Z2810" s="12" t="inlineStr">
        <is>
          <t>heat-trace cable itself by others</t>
        </is>
      </c>
      <c r="AA2810" s="12">
        <f>N2810*O2810</f>
        <v/>
      </c>
    </row>
    <row r="2811">
      <c r="A2811" s="12" t="inlineStr">
        <is>
          <t>E-P-0017</t>
        </is>
      </c>
      <c r="B2811" s="12" t="inlineStr">
        <is>
          <t>E</t>
        </is>
      </c>
      <c r="C2811" s="12" t="inlineStr">
        <is>
          <t>Water / utilities</t>
        </is>
      </c>
      <c r="D2811" s="12" t="inlineStr">
        <is>
          <t>Heat-trace circuit 4 (power to the trace junction box)</t>
        </is>
      </c>
      <c r="E2811" s="12" t="inlineStr">
        <is>
          <t>HTP-2</t>
        </is>
      </c>
      <c r="F2811" s="12" t="inlineStr">
        <is>
          <t>HTP-2: heat-trace panel (NH3)</t>
        </is>
      </c>
      <c r="G2811" s="12" t="inlineStr">
        <is>
          <t>HTP-2</t>
        </is>
      </c>
      <c r="H2811" s="12" t="inlineStr">
        <is>
          <t>HTP-2: heat-trace panel (NH3)</t>
        </is>
      </c>
      <c r="I2811" s="12" t="inlineStr">
        <is>
          <t>LV 600 V</t>
        </is>
      </c>
      <c r="J2811" s="12" t="inlineStr">
        <is>
          <t>Type TC-ER 600 V 3/C Cu XHHW-2 + ground, PVC jacket</t>
        </is>
      </c>
      <c r="K2811" s="12" t="inlineStr">
        <is>
          <t>LV|3/C+G|10</t>
        </is>
      </c>
      <c r="L2811" s="12" t="inlineStr">
        <is>
          <t>3/C+G</t>
        </is>
      </c>
      <c r="M2811" s="12" t="inlineStr">
        <is>
          <t>10</t>
        </is>
      </c>
      <c r="N2811" s="12" t="n">
        <v>1</v>
      </c>
      <c r="O2811" s="12" t="n">
        <v>1</v>
      </c>
      <c r="P2811" s="12" t="n">
        <v>480</v>
      </c>
      <c r="Q2811" s="12" t="n">
        <v>4</v>
      </c>
      <c r="R2811" s="12" t="n">
        <v>6</v>
      </c>
      <c r="S2811" s="12" t="inlineStr">
        <is>
          <t>Tray</t>
        </is>
      </c>
      <c r="T2811" s="16" t="n">
        <v>180</v>
      </c>
      <c r="U2811" s="16" t="n">
        <v>20</v>
      </c>
      <c r="V2811" s="16">
        <f>ROUNDUP((T2811+U2811+2*'Read Me'!$B$13)*(1+'Read Me'!$B$12),-1)</f>
        <v/>
      </c>
      <c r="W2811" s="16">
        <f>V2811*N2811*O2811</f>
        <v/>
      </c>
      <c r="X2811" s="12">
        <f>IF(LEFT(I2811,2)="MV",2*N2811*IF(L2811="1/C",O2811,1),0)</f>
        <v/>
      </c>
      <c r="Y2811" s="12">
        <f>IF(OR(LEFT(K2811,4)="LVAX",LEFT(K2811,6)="MV15AX",LEFT(K2811,4)="CTAX",LEFT(K2811,2)="W|"),2*N2811*O2811,0)</f>
        <v/>
      </c>
      <c r="Z2811" s="12" t="inlineStr">
        <is>
          <t>heat-trace cable itself by others</t>
        </is>
      </c>
      <c r="AA2811" s="12">
        <f>N2811*O2811</f>
        <v/>
      </c>
    </row>
    <row r="2812">
      <c r="A2812" s="12" t="inlineStr">
        <is>
          <t>E-P-0018</t>
        </is>
      </c>
      <c r="B2812" s="12" t="inlineStr">
        <is>
          <t>E</t>
        </is>
      </c>
      <c r="C2812" s="12" t="inlineStr">
        <is>
          <t>Water / utilities</t>
        </is>
      </c>
      <c r="D2812" s="12" t="inlineStr">
        <is>
          <t>Heat-trace circuit 5 (power to the trace junction box)</t>
        </is>
      </c>
      <c r="E2812" s="12" t="inlineStr">
        <is>
          <t>HTP-2</t>
        </is>
      </c>
      <c r="F2812" s="12" t="inlineStr">
        <is>
          <t>HTP-2: heat-trace panel (NH3)</t>
        </is>
      </c>
      <c r="G2812" s="12" t="inlineStr">
        <is>
          <t>HTP-2</t>
        </is>
      </c>
      <c r="H2812" s="12" t="inlineStr">
        <is>
          <t>HTP-2: heat-trace panel (NH3)</t>
        </is>
      </c>
      <c r="I2812" s="12" t="inlineStr">
        <is>
          <t>LV 600 V</t>
        </is>
      </c>
      <c r="J2812" s="12" t="inlineStr">
        <is>
          <t>Type TC-ER 600 V 3/C Cu XHHW-2 + ground, PVC jacket</t>
        </is>
      </c>
      <c r="K2812" s="12" t="inlineStr">
        <is>
          <t>LV|3/C+G|10</t>
        </is>
      </c>
      <c r="L2812" s="12" t="inlineStr">
        <is>
          <t>3/C+G</t>
        </is>
      </c>
      <c r="M2812" s="12" t="inlineStr">
        <is>
          <t>10</t>
        </is>
      </c>
      <c r="N2812" s="12" t="n">
        <v>1</v>
      </c>
      <c r="O2812" s="12" t="n">
        <v>1</v>
      </c>
      <c r="P2812" s="12" t="n">
        <v>480</v>
      </c>
      <c r="Q2812" s="12" t="n">
        <v>4</v>
      </c>
      <c r="R2812" s="12" t="n">
        <v>6</v>
      </c>
      <c r="S2812" s="12" t="inlineStr">
        <is>
          <t>Tray</t>
        </is>
      </c>
      <c r="T2812" s="16" t="n">
        <v>180</v>
      </c>
      <c r="U2812" s="16" t="n">
        <v>20</v>
      </c>
      <c r="V2812" s="16">
        <f>ROUNDUP((T2812+U2812+2*'Read Me'!$B$13)*(1+'Read Me'!$B$12),-1)</f>
        <v/>
      </c>
      <c r="W2812" s="16">
        <f>V2812*N2812*O2812</f>
        <v/>
      </c>
      <c r="X2812" s="12">
        <f>IF(LEFT(I2812,2)="MV",2*N2812*IF(L2812="1/C",O2812,1),0)</f>
        <v/>
      </c>
      <c r="Y2812" s="12">
        <f>IF(OR(LEFT(K2812,4)="LVAX",LEFT(K2812,6)="MV15AX",LEFT(K2812,4)="CTAX",LEFT(K2812,2)="W|"),2*N2812*O2812,0)</f>
        <v/>
      </c>
      <c r="Z2812" s="12" t="inlineStr">
        <is>
          <t>heat-trace cable itself by others</t>
        </is>
      </c>
      <c r="AA2812" s="12">
        <f>N2812*O2812</f>
        <v/>
      </c>
    </row>
    <row r="2813">
      <c r="A2813" s="12" t="inlineStr">
        <is>
          <t>E-P-0019</t>
        </is>
      </c>
      <c r="B2813" s="12" t="inlineStr">
        <is>
          <t>E</t>
        </is>
      </c>
      <c r="C2813" s="12" t="inlineStr">
        <is>
          <t>Water / utilities</t>
        </is>
      </c>
      <c r="D2813" s="12" t="inlineStr">
        <is>
          <t>Heat-trace circuit 6 (power to the trace junction box)</t>
        </is>
      </c>
      <c r="E2813" s="12" t="inlineStr">
        <is>
          <t>HTP-2</t>
        </is>
      </c>
      <c r="F2813" s="12" t="inlineStr">
        <is>
          <t>HTP-2: heat-trace panel (NH3)</t>
        </is>
      </c>
      <c r="G2813" s="12" t="inlineStr">
        <is>
          <t>HTP-2</t>
        </is>
      </c>
      <c r="H2813" s="12" t="inlineStr">
        <is>
          <t>HTP-2: heat-trace panel (NH3)</t>
        </is>
      </c>
      <c r="I2813" s="12" t="inlineStr">
        <is>
          <t>LV 600 V</t>
        </is>
      </c>
      <c r="J2813" s="12" t="inlineStr">
        <is>
          <t>Type TC-ER 600 V 3/C Cu XHHW-2 + ground, PVC jacket</t>
        </is>
      </c>
      <c r="K2813" s="12" t="inlineStr">
        <is>
          <t>LV|3/C+G|10</t>
        </is>
      </c>
      <c r="L2813" s="12" t="inlineStr">
        <is>
          <t>3/C+G</t>
        </is>
      </c>
      <c r="M2813" s="12" t="inlineStr">
        <is>
          <t>10</t>
        </is>
      </c>
      <c r="N2813" s="12" t="n">
        <v>1</v>
      </c>
      <c r="O2813" s="12" t="n">
        <v>1</v>
      </c>
      <c r="P2813" s="12" t="n">
        <v>480</v>
      </c>
      <c r="Q2813" s="12" t="n">
        <v>4</v>
      </c>
      <c r="R2813" s="12" t="n">
        <v>6</v>
      </c>
      <c r="S2813" s="12" t="inlineStr">
        <is>
          <t>Tray</t>
        </is>
      </c>
      <c r="T2813" s="16" t="n">
        <v>180</v>
      </c>
      <c r="U2813" s="16" t="n">
        <v>20</v>
      </c>
      <c r="V2813" s="16">
        <f>ROUNDUP((T2813+U2813+2*'Read Me'!$B$13)*(1+'Read Me'!$B$12),-1)</f>
        <v/>
      </c>
      <c r="W2813" s="16">
        <f>V2813*N2813*O2813</f>
        <v/>
      </c>
      <c r="X2813" s="12">
        <f>IF(LEFT(I2813,2)="MV",2*N2813*IF(L2813="1/C",O2813,1),0)</f>
        <v/>
      </c>
      <c r="Y2813" s="12">
        <f>IF(OR(LEFT(K2813,4)="LVAX",LEFT(K2813,6)="MV15AX",LEFT(K2813,4)="CTAX",LEFT(K2813,2)="W|"),2*N2813*O2813,0)</f>
        <v/>
      </c>
      <c r="Z2813" s="12" t="inlineStr">
        <is>
          <t>heat-trace cable itself by others</t>
        </is>
      </c>
      <c r="AA2813" s="12">
        <f>N2813*O2813</f>
        <v/>
      </c>
    </row>
    <row r="2814">
      <c r="A2814" s="12" t="inlineStr">
        <is>
          <t>E-P-0020</t>
        </is>
      </c>
      <c r="B2814" s="12" t="inlineStr">
        <is>
          <t>E</t>
        </is>
      </c>
      <c r="C2814" s="12" t="inlineStr">
        <is>
          <t>Water / utilities</t>
        </is>
      </c>
      <c r="D2814" s="12" t="inlineStr">
        <is>
          <t>Heat-trace circuit 7 (power to the trace junction box)</t>
        </is>
      </c>
      <c r="E2814" s="12" t="inlineStr">
        <is>
          <t>HTP-2</t>
        </is>
      </c>
      <c r="F2814" s="12" t="inlineStr">
        <is>
          <t>HTP-2: heat-trace panel (NH3)</t>
        </is>
      </c>
      <c r="G2814" s="12" t="inlineStr">
        <is>
          <t>HTP-2</t>
        </is>
      </c>
      <c r="H2814" s="12" t="inlineStr">
        <is>
          <t>HTP-2: heat-trace panel (NH3)</t>
        </is>
      </c>
      <c r="I2814" s="12" t="inlineStr">
        <is>
          <t>LV 600 V</t>
        </is>
      </c>
      <c r="J2814" s="12" t="inlineStr">
        <is>
          <t>Type TC-ER 600 V 3/C Cu XHHW-2 + ground, PVC jacket</t>
        </is>
      </c>
      <c r="K2814" s="12" t="inlineStr">
        <is>
          <t>LV|3/C+G|10</t>
        </is>
      </c>
      <c r="L2814" s="12" t="inlineStr">
        <is>
          <t>3/C+G</t>
        </is>
      </c>
      <c r="M2814" s="12" t="inlineStr">
        <is>
          <t>10</t>
        </is>
      </c>
      <c r="N2814" s="12" t="n">
        <v>1</v>
      </c>
      <c r="O2814" s="12" t="n">
        <v>1</v>
      </c>
      <c r="P2814" s="12" t="n">
        <v>480</v>
      </c>
      <c r="Q2814" s="12" t="n">
        <v>4</v>
      </c>
      <c r="R2814" s="12" t="n">
        <v>6</v>
      </c>
      <c r="S2814" s="12" t="inlineStr">
        <is>
          <t>Tray</t>
        </is>
      </c>
      <c r="T2814" s="16" t="n">
        <v>180</v>
      </c>
      <c r="U2814" s="16" t="n">
        <v>20</v>
      </c>
      <c r="V2814" s="16">
        <f>ROUNDUP((T2814+U2814+2*'Read Me'!$B$13)*(1+'Read Me'!$B$12),-1)</f>
        <v/>
      </c>
      <c r="W2814" s="16">
        <f>V2814*N2814*O2814</f>
        <v/>
      </c>
      <c r="X2814" s="12">
        <f>IF(LEFT(I2814,2)="MV",2*N2814*IF(L2814="1/C",O2814,1),0)</f>
        <v/>
      </c>
      <c r="Y2814" s="12">
        <f>IF(OR(LEFT(K2814,4)="LVAX",LEFT(K2814,6)="MV15AX",LEFT(K2814,4)="CTAX",LEFT(K2814,2)="W|"),2*N2814*O2814,0)</f>
        <v/>
      </c>
      <c r="Z2814" s="12" t="inlineStr">
        <is>
          <t>heat-trace cable itself by others</t>
        </is>
      </c>
      <c r="AA2814" s="12">
        <f>N2814*O2814</f>
        <v/>
      </c>
    </row>
    <row r="2815">
      <c r="A2815" s="12" t="inlineStr">
        <is>
          <t>E-P-0021</t>
        </is>
      </c>
      <c r="B2815" s="12" t="inlineStr">
        <is>
          <t>E</t>
        </is>
      </c>
      <c r="C2815" s="12" t="inlineStr">
        <is>
          <t>Water / utilities</t>
        </is>
      </c>
      <c r="D2815" s="12" t="inlineStr">
        <is>
          <t>Heat-trace circuit 8 (power to the trace junction box)</t>
        </is>
      </c>
      <c r="E2815" s="12" t="inlineStr">
        <is>
          <t>HTP-2</t>
        </is>
      </c>
      <c r="F2815" s="12" t="inlineStr">
        <is>
          <t>HTP-2: heat-trace panel (NH3)</t>
        </is>
      </c>
      <c r="G2815" s="12" t="inlineStr">
        <is>
          <t>HTP-2</t>
        </is>
      </c>
      <c r="H2815" s="12" t="inlineStr">
        <is>
          <t>HTP-2: heat-trace panel (NH3)</t>
        </is>
      </c>
      <c r="I2815" s="12" t="inlineStr">
        <is>
          <t>LV 600 V</t>
        </is>
      </c>
      <c r="J2815" s="12" t="inlineStr">
        <is>
          <t>Type TC-ER 600 V 3/C Cu XHHW-2 + ground, PVC jacket</t>
        </is>
      </c>
      <c r="K2815" s="12" t="inlineStr">
        <is>
          <t>LV|3/C+G|10</t>
        </is>
      </c>
      <c r="L2815" s="12" t="inlineStr">
        <is>
          <t>3/C+G</t>
        </is>
      </c>
      <c r="M2815" s="12" t="inlineStr">
        <is>
          <t>10</t>
        </is>
      </c>
      <c r="N2815" s="12" t="n">
        <v>1</v>
      </c>
      <c r="O2815" s="12" t="n">
        <v>1</v>
      </c>
      <c r="P2815" s="12" t="n">
        <v>480</v>
      </c>
      <c r="Q2815" s="12" t="n">
        <v>4</v>
      </c>
      <c r="R2815" s="12" t="n">
        <v>6</v>
      </c>
      <c r="S2815" s="12" t="inlineStr">
        <is>
          <t>Tray</t>
        </is>
      </c>
      <c r="T2815" s="16" t="n">
        <v>180</v>
      </c>
      <c r="U2815" s="16" t="n">
        <v>20</v>
      </c>
      <c r="V2815" s="16">
        <f>ROUNDUP((T2815+U2815+2*'Read Me'!$B$13)*(1+'Read Me'!$B$12),-1)</f>
        <v/>
      </c>
      <c r="W2815" s="16">
        <f>V2815*N2815*O2815</f>
        <v/>
      </c>
      <c r="X2815" s="12">
        <f>IF(LEFT(I2815,2)="MV",2*N2815*IF(L2815="1/C",O2815,1),0)</f>
        <v/>
      </c>
      <c r="Y2815" s="12">
        <f>IF(OR(LEFT(K2815,4)="LVAX",LEFT(K2815,6)="MV15AX",LEFT(K2815,4)="CTAX",LEFT(K2815,2)="W|"),2*N2815*O2815,0)</f>
        <v/>
      </c>
      <c r="Z2815" s="12" t="inlineStr">
        <is>
          <t>heat-trace cable itself by others</t>
        </is>
      </c>
      <c r="AA2815" s="12">
        <f>N2815*O2815</f>
        <v/>
      </c>
    </row>
    <row r="2816">
      <c r="A2816" s="12" t="inlineStr">
        <is>
          <t>E-P-0022</t>
        </is>
      </c>
      <c r="B2816" s="12" t="inlineStr">
        <is>
          <t>E</t>
        </is>
      </c>
      <c r="C2816" s="12" t="inlineStr">
        <is>
          <t>Water / utilities</t>
        </is>
      </c>
      <c r="D2816" s="12" t="inlineStr">
        <is>
          <t>Heat-trace circuit 9 (power to the trace junction box)</t>
        </is>
      </c>
      <c r="E2816" s="12" t="inlineStr">
        <is>
          <t>HTP-2</t>
        </is>
      </c>
      <c r="F2816" s="12" t="inlineStr">
        <is>
          <t>HTP-2: heat-trace panel (NH3)</t>
        </is>
      </c>
      <c r="G2816" s="12" t="inlineStr">
        <is>
          <t>HTP-2</t>
        </is>
      </c>
      <c r="H2816" s="12" t="inlineStr">
        <is>
          <t>HTP-2: heat-trace panel (NH3)</t>
        </is>
      </c>
      <c r="I2816" s="12" t="inlineStr">
        <is>
          <t>LV 600 V</t>
        </is>
      </c>
      <c r="J2816" s="12" t="inlineStr">
        <is>
          <t>Type TC-ER 600 V 3/C Cu XHHW-2 + ground, PVC jacket</t>
        </is>
      </c>
      <c r="K2816" s="12" t="inlineStr">
        <is>
          <t>LV|3/C+G|10</t>
        </is>
      </c>
      <c r="L2816" s="12" t="inlineStr">
        <is>
          <t>3/C+G</t>
        </is>
      </c>
      <c r="M2816" s="12" t="inlineStr">
        <is>
          <t>10</t>
        </is>
      </c>
      <c r="N2816" s="12" t="n">
        <v>1</v>
      </c>
      <c r="O2816" s="12" t="n">
        <v>1</v>
      </c>
      <c r="P2816" s="12" t="n">
        <v>480</v>
      </c>
      <c r="Q2816" s="12" t="n">
        <v>4</v>
      </c>
      <c r="R2816" s="12" t="n">
        <v>6</v>
      </c>
      <c r="S2816" s="12" t="inlineStr">
        <is>
          <t>Tray</t>
        </is>
      </c>
      <c r="T2816" s="16" t="n">
        <v>180</v>
      </c>
      <c r="U2816" s="16" t="n">
        <v>20</v>
      </c>
      <c r="V2816" s="16">
        <f>ROUNDUP((T2816+U2816+2*'Read Me'!$B$13)*(1+'Read Me'!$B$12),-1)</f>
        <v/>
      </c>
      <c r="W2816" s="16">
        <f>V2816*N2816*O2816</f>
        <v/>
      </c>
      <c r="X2816" s="12">
        <f>IF(LEFT(I2816,2)="MV",2*N2816*IF(L2816="1/C",O2816,1),0)</f>
        <v/>
      </c>
      <c r="Y2816" s="12">
        <f>IF(OR(LEFT(K2816,4)="LVAX",LEFT(K2816,6)="MV15AX",LEFT(K2816,4)="CTAX",LEFT(K2816,2)="W|"),2*N2816*O2816,0)</f>
        <v/>
      </c>
      <c r="Z2816" s="12" t="inlineStr">
        <is>
          <t>heat-trace cable itself by others</t>
        </is>
      </c>
      <c r="AA2816" s="12">
        <f>N2816*O2816</f>
        <v/>
      </c>
    </row>
    <row r="2817">
      <c r="A2817" s="12" t="inlineStr">
        <is>
          <t>E-P-0023</t>
        </is>
      </c>
      <c r="B2817" s="12" t="inlineStr">
        <is>
          <t>E</t>
        </is>
      </c>
      <c r="C2817" s="12" t="inlineStr">
        <is>
          <t>Water / utilities</t>
        </is>
      </c>
      <c r="D2817" s="12" t="inlineStr">
        <is>
          <t>Heat-trace circuit 10 (power to the trace junction box)</t>
        </is>
      </c>
      <c r="E2817" s="12" t="inlineStr">
        <is>
          <t>HTP-2</t>
        </is>
      </c>
      <c r="F2817" s="12" t="inlineStr">
        <is>
          <t>HTP-2: heat-trace panel (NH3)</t>
        </is>
      </c>
      <c r="G2817" s="12" t="inlineStr">
        <is>
          <t>HTP-2</t>
        </is>
      </c>
      <c r="H2817" s="12" t="inlineStr">
        <is>
          <t>HTP-2: heat-trace panel (NH3)</t>
        </is>
      </c>
      <c r="I2817" s="12" t="inlineStr">
        <is>
          <t>LV 600 V</t>
        </is>
      </c>
      <c r="J2817" s="12" t="inlineStr">
        <is>
          <t>Type TC-ER 600 V 3/C Cu XHHW-2 + ground, PVC jacket</t>
        </is>
      </c>
      <c r="K2817" s="12" t="inlineStr">
        <is>
          <t>LV|3/C+G|10</t>
        </is>
      </c>
      <c r="L2817" s="12" t="inlineStr">
        <is>
          <t>3/C+G</t>
        </is>
      </c>
      <c r="M2817" s="12" t="inlineStr">
        <is>
          <t>10</t>
        </is>
      </c>
      <c r="N2817" s="12" t="n">
        <v>1</v>
      </c>
      <c r="O2817" s="12" t="n">
        <v>1</v>
      </c>
      <c r="P2817" s="12" t="n">
        <v>480</v>
      </c>
      <c r="Q2817" s="12" t="n">
        <v>4</v>
      </c>
      <c r="R2817" s="12" t="n">
        <v>6</v>
      </c>
      <c r="S2817" s="12" t="inlineStr">
        <is>
          <t>Tray</t>
        </is>
      </c>
      <c r="T2817" s="16" t="n">
        <v>180</v>
      </c>
      <c r="U2817" s="16" t="n">
        <v>20</v>
      </c>
      <c r="V2817" s="16">
        <f>ROUNDUP((T2817+U2817+2*'Read Me'!$B$13)*(1+'Read Me'!$B$12),-1)</f>
        <v/>
      </c>
      <c r="W2817" s="16">
        <f>V2817*N2817*O2817</f>
        <v/>
      </c>
      <c r="X2817" s="12">
        <f>IF(LEFT(I2817,2)="MV",2*N2817*IF(L2817="1/C",O2817,1),0)</f>
        <v/>
      </c>
      <c r="Y2817" s="12">
        <f>IF(OR(LEFT(K2817,4)="LVAX",LEFT(K2817,6)="MV15AX",LEFT(K2817,4)="CTAX",LEFT(K2817,2)="W|"),2*N2817*O2817,0)</f>
        <v/>
      </c>
      <c r="Z2817" s="12" t="inlineStr">
        <is>
          <t>heat-trace cable itself by others</t>
        </is>
      </c>
      <c r="AA2817" s="12">
        <f>N2817*O2817</f>
        <v/>
      </c>
    </row>
    <row r="2818">
      <c r="A2818" s="12" t="inlineStr">
        <is>
          <t>E-P-0024</t>
        </is>
      </c>
      <c r="B2818" s="12" t="inlineStr">
        <is>
          <t>E</t>
        </is>
      </c>
      <c r="C2818" s="12" t="inlineStr">
        <is>
          <t>Water / utilities</t>
        </is>
      </c>
      <c r="D2818" s="12" t="inlineStr">
        <is>
          <t>Heat-trace circuit 11 (power to the trace junction box)</t>
        </is>
      </c>
      <c r="E2818" s="12" t="inlineStr">
        <is>
          <t>HTP-2</t>
        </is>
      </c>
      <c r="F2818" s="12" t="inlineStr">
        <is>
          <t>HTP-2: heat-trace panel (NH3)</t>
        </is>
      </c>
      <c r="G2818" s="12" t="inlineStr">
        <is>
          <t>HTP-2</t>
        </is>
      </c>
      <c r="H2818" s="12" t="inlineStr">
        <is>
          <t>HTP-2: heat-trace panel (NH3)</t>
        </is>
      </c>
      <c r="I2818" s="12" t="inlineStr">
        <is>
          <t>LV 600 V</t>
        </is>
      </c>
      <c r="J2818" s="12" t="inlineStr">
        <is>
          <t>Type TC-ER 600 V 3/C Cu XHHW-2 + ground, PVC jacket</t>
        </is>
      </c>
      <c r="K2818" s="12" t="inlineStr">
        <is>
          <t>LV|3/C+G|10</t>
        </is>
      </c>
      <c r="L2818" s="12" t="inlineStr">
        <is>
          <t>3/C+G</t>
        </is>
      </c>
      <c r="M2818" s="12" t="inlineStr">
        <is>
          <t>10</t>
        </is>
      </c>
      <c r="N2818" s="12" t="n">
        <v>1</v>
      </c>
      <c r="O2818" s="12" t="n">
        <v>1</v>
      </c>
      <c r="P2818" s="12" t="n">
        <v>480</v>
      </c>
      <c r="Q2818" s="12" t="n">
        <v>4</v>
      </c>
      <c r="R2818" s="12" t="n">
        <v>6</v>
      </c>
      <c r="S2818" s="12" t="inlineStr">
        <is>
          <t>Tray</t>
        </is>
      </c>
      <c r="T2818" s="16" t="n">
        <v>180</v>
      </c>
      <c r="U2818" s="16" t="n">
        <v>20</v>
      </c>
      <c r="V2818" s="16">
        <f>ROUNDUP((T2818+U2818+2*'Read Me'!$B$13)*(1+'Read Me'!$B$12),-1)</f>
        <v/>
      </c>
      <c r="W2818" s="16">
        <f>V2818*N2818*O2818</f>
        <v/>
      </c>
      <c r="X2818" s="12">
        <f>IF(LEFT(I2818,2)="MV",2*N2818*IF(L2818="1/C",O2818,1),0)</f>
        <v/>
      </c>
      <c r="Y2818" s="12">
        <f>IF(OR(LEFT(K2818,4)="LVAX",LEFT(K2818,6)="MV15AX",LEFT(K2818,4)="CTAX",LEFT(K2818,2)="W|"),2*N2818*O2818,0)</f>
        <v/>
      </c>
      <c r="Z2818" s="12" t="inlineStr">
        <is>
          <t>heat-trace cable itself by others</t>
        </is>
      </c>
      <c r="AA2818" s="12">
        <f>N2818*O2818</f>
        <v/>
      </c>
    </row>
    <row r="2819">
      <c r="A2819" s="12" t="inlineStr">
        <is>
          <t>E-P-0025</t>
        </is>
      </c>
      <c r="B2819" s="12" t="inlineStr">
        <is>
          <t>E</t>
        </is>
      </c>
      <c r="C2819" s="12" t="inlineStr">
        <is>
          <t>Water / utilities</t>
        </is>
      </c>
      <c r="D2819" s="12" t="inlineStr">
        <is>
          <t>Heat-trace circuit 12 (power to the trace junction box)</t>
        </is>
      </c>
      <c r="E2819" s="12" t="inlineStr">
        <is>
          <t>HTP-2</t>
        </is>
      </c>
      <c r="F2819" s="12" t="inlineStr">
        <is>
          <t>HTP-2: heat-trace panel (NH3)</t>
        </is>
      </c>
      <c r="G2819" s="12" t="inlineStr">
        <is>
          <t>HTP-2</t>
        </is>
      </c>
      <c r="H2819" s="12" t="inlineStr">
        <is>
          <t>HTP-2: heat-trace panel (NH3)</t>
        </is>
      </c>
      <c r="I2819" s="12" t="inlineStr">
        <is>
          <t>LV 600 V</t>
        </is>
      </c>
      <c r="J2819" s="12" t="inlineStr">
        <is>
          <t>Type TC-ER 600 V 3/C Cu XHHW-2 + ground, PVC jacket</t>
        </is>
      </c>
      <c r="K2819" s="12" t="inlineStr">
        <is>
          <t>LV|3/C+G|10</t>
        </is>
      </c>
      <c r="L2819" s="12" t="inlineStr">
        <is>
          <t>3/C+G</t>
        </is>
      </c>
      <c r="M2819" s="12" t="inlineStr">
        <is>
          <t>10</t>
        </is>
      </c>
      <c r="N2819" s="12" t="n">
        <v>1</v>
      </c>
      <c r="O2819" s="12" t="n">
        <v>1</v>
      </c>
      <c r="P2819" s="12" t="n">
        <v>480</v>
      </c>
      <c r="Q2819" s="12" t="n">
        <v>4</v>
      </c>
      <c r="R2819" s="12" t="n">
        <v>6</v>
      </c>
      <c r="S2819" s="12" t="inlineStr">
        <is>
          <t>Tray</t>
        </is>
      </c>
      <c r="T2819" s="16" t="n">
        <v>180</v>
      </c>
      <c r="U2819" s="16" t="n">
        <v>20</v>
      </c>
      <c r="V2819" s="16">
        <f>ROUNDUP((T2819+U2819+2*'Read Me'!$B$13)*(1+'Read Me'!$B$12),-1)</f>
        <v/>
      </c>
      <c r="W2819" s="16">
        <f>V2819*N2819*O2819</f>
        <v/>
      </c>
      <c r="X2819" s="12">
        <f>IF(LEFT(I2819,2)="MV",2*N2819*IF(L2819="1/C",O2819,1),0)</f>
        <v/>
      </c>
      <c r="Y2819" s="12">
        <f>IF(OR(LEFT(K2819,4)="LVAX",LEFT(K2819,6)="MV15AX",LEFT(K2819,4)="CTAX",LEFT(K2819,2)="W|"),2*N2819*O2819,0)</f>
        <v/>
      </c>
      <c r="Z2819" s="12" t="inlineStr">
        <is>
          <t>heat-trace cable itself by others</t>
        </is>
      </c>
      <c r="AA2819" s="12">
        <f>N2819*O2819</f>
        <v/>
      </c>
    </row>
    <row r="2820">
      <c r="A2820" s="12" t="inlineStr">
        <is>
          <t>E-P-0026</t>
        </is>
      </c>
      <c r="B2820" s="12" t="inlineStr">
        <is>
          <t>E</t>
        </is>
      </c>
      <c r="C2820" s="12" t="inlineStr">
        <is>
          <t>Water / utilities</t>
        </is>
      </c>
      <c r="D2820" s="12" t="inlineStr">
        <is>
          <t>Heat-trace circuit 13 (power to the trace junction box)</t>
        </is>
      </c>
      <c r="E2820" s="12" t="inlineStr">
        <is>
          <t>HTP-2</t>
        </is>
      </c>
      <c r="F2820" s="12" t="inlineStr">
        <is>
          <t>HTP-2: heat-trace panel (NH3)</t>
        </is>
      </c>
      <c r="G2820" s="12" t="inlineStr">
        <is>
          <t>HTP-2</t>
        </is>
      </c>
      <c r="H2820" s="12" t="inlineStr">
        <is>
          <t>HTP-2: heat-trace panel (NH3)</t>
        </is>
      </c>
      <c r="I2820" s="12" t="inlineStr">
        <is>
          <t>LV 600 V</t>
        </is>
      </c>
      <c r="J2820" s="12" t="inlineStr">
        <is>
          <t>Type TC-ER 600 V 3/C Cu XHHW-2 + ground, PVC jacket</t>
        </is>
      </c>
      <c r="K2820" s="12" t="inlineStr">
        <is>
          <t>LV|3/C+G|10</t>
        </is>
      </c>
      <c r="L2820" s="12" t="inlineStr">
        <is>
          <t>3/C+G</t>
        </is>
      </c>
      <c r="M2820" s="12" t="inlineStr">
        <is>
          <t>10</t>
        </is>
      </c>
      <c r="N2820" s="12" t="n">
        <v>1</v>
      </c>
      <c r="O2820" s="12" t="n">
        <v>1</v>
      </c>
      <c r="P2820" s="12" t="n">
        <v>480</v>
      </c>
      <c r="Q2820" s="12" t="n">
        <v>4</v>
      </c>
      <c r="R2820" s="12" t="n">
        <v>6</v>
      </c>
      <c r="S2820" s="12" t="inlineStr">
        <is>
          <t>Tray</t>
        </is>
      </c>
      <c r="T2820" s="16" t="n">
        <v>180</v>
      </c>
      <c r="U2820" s="16" t="n">
        <v>20</v>
      </c>
      <c r="V2820" s="16">
        <f>ROUNDUP((T2820+U2820+2*'Read Me'!$B$13)*(1+'Read Me'!$B$12),-1)</f>
        <v/>
      </c>
      <c r="W2820" s="16">
        <f>V2820*N2820*O2820</f>
        <v/>
      </c>
      <c r="X2820" s="12">
        <f>IF(LEFT(I2820,2)="MV",2*N2820*IF(L2820="1/C",O2820,1),0)</f>
        <v/>
      </c>
      <c r="Y2820" s="12">
        <f>IF(OR(LEFT(K2820,4)="LVAX",LEFT(K2820,6)="MV15AX",LEFT(K2820,4)="CTAX",LEFT(K2820,2)="W|"),2*N2820*O2820,0)</f>
        <v/>
      </c>
      <c r="Z2820" s="12" t="inlineStr">
        <is>
          <t>heat-trace cable itself by others</t>
        </is>
      </c>
      <c r="AA2820" s="12">
        <f>N2820*O2820</f>
        <v/>
      </c>
    </row>
    <row r="2821">
      <c r="A2821" s="12" t="inlineStr">
        <is>
          <t>E-P-0027</t>
        </is>
      </c>
      <c r="B2821" s="12" t="inlineStr">
        <is>
          <t>E</t>
        </is>
      </c>
      <c r="C2821" s="12" t="inlineStr">
        <is>
          <t>Water / utilities</t>
        </is>
      </c>
      <c r="D2821" s="12" t="inlineStr">
        <is>
          <t>Heat-trace circuit 14 (power to the trace junction box)</t>
        </is>
      </c>
      <c r="E2821" s="12" t="inlineStr">
        <is>
          <t>HTP-2</t>
        </is>
      </c>
      <c r="F2821" s="12" t="inlineStr">
        <is>
          <t>HTP-2: heat-trace panel (NH3)</t>
        </is>
      </c>
      <c r="G2821" s="12" t="inlineStr">
        <is>
          <t>HTP-2</t>
        </is>
      </c>
      <c r="H2821" s="12" t="inlineStr">
        <is>
          <t>HTP-2: heat-trace panel (NH3)</t>
        </is>
      </c>
      <c r="I2821" s="12" t="inlineStr">
        <is>
          <t>LV 600 V</t>
        </is>
      </c>
      <c r="J2821" s="12" t="inlineStr">
        <is>
          <t>Type TC-ER 600 V 3/C Cu XHHW-2 + ground, PVC jacket</t>
        </is>
      </c>
      <c r="K2821" s="12" t="inlineStr">
        <is>
          <t>LV|3/C+G|10</t>
        </is>
      </c>
      <c r="L2821" s="12" t="inlineStr">
        <is>
          <t>3/C+G</t>
        </is>
      </c>
      <c r="M2821" s="12" t="inlineStr">
        <is>
          <t>10</t>
        </is>
      </c>
      <c r="N2821" s="12" t="n">
        <v>1</v>
      </c>
      <c r="O2821" s="12" t="n">
        <v>1</v>
      </c>
      <c r="P2821" s="12" t="n">
        <v>480</v>
      </c>
      <c r="Q2821" s="12" t="n">
        <v>4</v>
      </c>
      <c r="R2821" s="12" t="n">
        <v>6</v>
      </c>
      <c r="S2821" s="12" t="inlineStr">
        <is>
          <t>Tray</t>
        </is>
      </c>
      <c r="T2821" s="16" t="n">
        <v>180</v>
      </c>
      <c r="U2821" s="16" t="n">
        <v>20</v>
      </c>
      <c r="V2821" s="16">
        <f>ROUNDUP((T2821+U2821+2*'Read Me'!$B$13)*(1+'Read Me'!$B$12),-1)</f>
        <v/>
      </c>
      <c r="W2821" s="16">
        <f>V2821*N2821*O2821</f>
        <v/>
      </c>
      <c r="X2821" s="12">
        <f>IF(LEFT(I2821,2)="MV",2*N2821*IF(L2821="1/C",O2821,1),0)</f>
        <v/>
      </c>
      <c r="Y2821" s="12">
        <f>IF(OR(LEFT(K2821,4)="LVAX",LEFT(K2821,6)="MV15AX",LEFT(K2821,4)="CTAX",LEFT(K2821,2)="W|"),2*N2821*O2821,0)</f>
        <v/>
      </c>
      <c r="Z2821" s="12" t="inlineStr">
        <is>
          <t>heat-trace cable itself by others</t>
        </is>
      </c>
      <c r="AA2821" s="12">
        <f>N2821*O2821</f>
        <v/>
      </c>
    </row>
    <row r="2822">
      <c r="A2822" s="12" t="inlineStr">
        <is>
          <t>E-P-0028</t>
        </is>
      </c>
      <c r="B2822" s="12" t="inlineStr">
        <is>
          <t>E</t>
        </is>
      </c>
      <c r="C2822" s="12" t="inlineStr">
        <is>
          <t>Water / utilities</t>
        </is>
      </c>
      <c r="D2822" s="12" t="inlineStr">
        <is>
          <t>Heat-trace circuit 15 (power to the trace junction box)</t>
        </is>
      </c>
      <c r="E2822" s="12" t="inlineStr">
        <is>
          <t>HTP-2</t>
        </is>
      </c>
      <c r="F2822" s="12" t="inlineStr">
        <is>
          <t>HTP-2: heat-trace panel (NH3)</t>
        </is>
      </c>
      <c r="G2822" s="12" t="inlineStr">
        <is>
          <t>HTP-2</t>
        </is>
      </c>
      <c r="H2822" s="12" t="inlineStr">
        <is>
          <t>HTP-2: heat-trace panel (NH3)</t>
        </is>
      </c>
      <c r="I2822" s="12" t="inlineStr">
        <is>
          <t>LV 600 V</t>
        </is>
      </c>
      <c r="J2822" s="12" t="inlineStr">
        <is>
          <t>Type TC-ER 600 V 3/C Cu XHHW-2 + ground, PVC jacket</t>
        </is>
      </c>
      <c r="K2822" s="12" t="inlineStr">
        <is>
          <t>LV|3/C+G|10</t>
        </is>
      </c>
      <c r="L2822" s="12" t="inlineStr">
        <is>
          <t>3/C+G</t>
        </is>
      </c>
      <c r="M2822" s="12" t="inlineStr">
        <is>
          <t>10</t>
        </is>
      </c>
      <c r="N2822" s="12" t="n">
        <v>1</v>
      </c>
      <c r="O2822" s="12" t="n">
        <v>1</v>
      </c>
      <c r="P2822" s="12" t="n">
        <v>480</v>
      </c>
      <c r="Q2822" s="12" t="n">
        <v>4</v>
      </c>
      <c r="R2822" s="12" t="n">
        <v>6</v>
      </c>
      <c r="S2822" s="12" t="inlineStr">
        <is>
          <t>Tray</t>
        </is>
      </c>
      <c r="T2822" s="16" t="n">
        <v>180</v>
      </c>
      <c r="U2822" s="16" t="n">
        <v>20</v>
      </c>
      <c r="V2822" s="16">
        <f>ROUNDUP((T2822+U2822+2*'Read Me'!$B$13)*(1+'Read Me'!$B$12),-1)</f>
        <v/>
      </c>
      <c r="W2822" s="16">
        <f>V2822*N2822*O2822</f>
        <v/>
      </c>
      <c r="X2822" s="12">
        <f>IF(LEFT(I2822,2)="MV",2*N2822*IF(L2822="1/C",O2822,1),0)</f>
        <v/>
      </c>
      <c r="Y2822" s="12">
        <f>IF(OR(LEFT(K2822,4)="LVAX",LEFT(K2822,6)="MV15AX",LEFT(K2822,4)="CTAX",LEFT(K2822,2)="W|"),2*N2822*O2822,0)</f>
        <v/>
      </c>
      <c r="Z2822" s="12" t="inlineStr">
        <is>
          <t>heat-trace cable itself by others</t>
        </is>
      </c>
      <c r="AA2822" s="12">
        <f>N2822*O2822</f>
        <v/>
      </c>
    </row>
    <row r="2823">
      <c r="A2823" s="12" t="inlineStr">
        <is>
          <t>E-P-0029</t>
        </is>
      </c>
      <c r="B2823" s="12" t="inlineStr">
        <is>
          <t>E</t>
        </is>
      </c>
      <c r="C2823" s="12" t="inlineStr">
        <is>
          <t>Water / utilities</t>
        </is>
      </c>
      <c r="D2823" s="12" t="inlineStr">
        <is>
          <t>Heat-trace circuit 16 (power to the trace junction box)</t>
        </is>
      </c>
      <c r="E2823" s="12" t="inlineStr">
        <is>
          <t>HTP-2</t>
        </is>
      </c>
      <c r="F2823" s="12" t="inlineStr">
        <is>
          <t>HTP-2: heat-trace panel (NH3)</t>
        </is>
      </c>
      <c r="G2823" s="12" t="inlineStr">
        <is>
          <t>HTP-2</t>
        </is>
      </c>
      <c r="H2823" s="12" t="inlineStr">
        <is>
          <t>HTP-2: heat-trace panel (NH3)</t>
        </is>
      </c>
      <c r="I2823" s="12" t="inlineStr">
        <is>
          <t>LV 600 V</t>
        </is>
      </c>
      <c r="J2823" s="12" t="inlineStr">
        <is>
          <t>Type TC-ER 600 V 3/C Cu XHHW-2 + ground, PVC jacket</t>
        </is>
      </c>
      <c r="K2823" s="12" t="inlineStr">
        <is>
          <t>LV|3/C+G|10</t>
        </is>
      </c>
      <c r="L2823" s="12" t="inlineStr">
        <is>
          <t>3/C+G</t>
        </is>
      </c>
      <c r="M2823" s="12" t="inlineStr">
        <is>
          <t>10</t>
        </is>
      </c>
      <c r="N2823" s="12" t="n">
        <v>1</v>
      </c>
      <c r="O2823" s="12" t="n">
        <v>1</v>
      </c>
      <c r="P2823" s="12" t="n">
        <v>480</v>
      </c>
      <c r="Q2823" s="12" t="n">
        <v>4</v>
      </c>
      <c r="R2823" s="12" t="n">
        <v>6</v>
      </c>
      <c r="S2823" s="12" t="inlineStr">
        <is>
          <t>Tray</t>
        </is>
      </c>
      <c r="T2823" s="16" t="n">
        <v>180</v>
      </c>
      <c r="U2823" s="16" t="n">
        <v>20</v>
      </c>
      <c r="V2823" s="16">
        <f>ROUNDUP((T2823+U2823+2*'Read Me'!$B$13)*(1+'Read Me'!$B$12),-1)</f>
        <v/>
      </c>
      <c r="W2823" s="16">
        <f>V2823*N2823*O2823</f>
        <v/>
      </c>
      <c r="X2823" s="12">
        <f>IF(LEFT(I2823,2)="MV",2*N2823*IF(L2823="1/C",O2823,1),0)</f>
        <v/>
      </c>
      <c r="Y2823" s="12">
        <f>IF(OR(LEFT(K2823,4)="LVAX",LEFT(K2823,6)="MV15AX",LEFT(K2823,4)="CTAX",LEFT(K2823,2)="W|"),2*N2823*O2823,0)</f>
        <v/>
      </c>
      <c r="Z2823" s="12" t="inlineStr">
        <is>
          <t>heat-trace cable itself by others</t>
        </is>
      </c>
      <c r="AA2823" s="12">
        <f>N2823*O2823</f>
        <v/>
      </c>
    </row>
    <row r="2824">
      <c r="A2824" s="12" t="inlineStr">
        <is>
          <t>E-P-0030</t>
        </is>
      </c>
      <c r="B2824" s="12" t="inlineStr">
        <is>
          <t>E</t>
        </is>
      </c>
      <c r="C2824" s="12" t="inlineStr">
        <is>
          <t>Water / utilities</t>
        </is>
      </c>
      <c r="D2824" s="12" t="inlineStr">
        <is>
          <t>Heat-trace circuit 17 (power to the trace junction box)</t>
        </is>
      </c>
      <c r="E2824" s="12" t="inlineStr">
        <is>
          <t>HTP-2</t>
        </is>
      </c>
      <c r="F2824" s="12" t="inlineStr">
        <is>
          <t>HTP-2: heat-trace panel (NH3)</t>
        </is>
      </c>
      <c r="G2824" s="12" t="inlineStr">
        <is>
          <t>HTP-2</t>
        </is>
      </c>
      <c r="H2824" s="12" t="inlineStr">
        <is>
          <t>HTP-2: heat-trace panel (NH3)</t>
        </is>
      </c>
      <c r="I2824" s="12" t="inlineStr">
        <is>
          <t>LV 600 V</t>
        </is>
      </c>
      <c r="J2824" s="12" t="inlineStr">
        <is>
          <t>Type TC-ER 600 V 3/C Cu XHHW-2 + ground, PVC jacket</t>
        </is>
      </c>
      <c r="K2824" s="12" t="inlineStr">
        <is>
          <t>LV|3/C+G|10</t>
        </is>
      </c>
      <c r="L2824" s="12" t="inlineStr">
        <is>
          <t>3/C+G</t>
        </is>
      </c>
      <c r="M2824" s="12" t="inlineStr">
        <is>
          <t>10</t>
        </is>
      </c>
      <c r="N2824" s="12" t="n">
        <v>1</v>
      </c>
      <c r="O2824" s="12" t="n">
        <v>1</v>
      </c>
      <c r="P2824" s="12" t="n">
        <v>480</v>
      </c>
      <c r="Q2824" s="12" t="n">
        <v>4</v>
      </c>
      <c r="R2824" s="12" t="n">
        <v>6</v>
      </c>
      <c r="S2824" s="12" t="inlineStr">
        <is>
          <t>Tray</t>
        </is>
      </c>
      <c r="T2824" s="16" t="n">
        <v>180</v>
      </c>
      <c r="U2824" s="16" t="n">
        <v>20</v>
      </c>
      <c r="V2824" s="16">
        <f>ROUNDUP((T2824+U2824+2*'Read Me'!$B$13)*(1+'Read Me'!$B$12),-1)</f>
        <v/>
      </c>
      <c r="W2824" s="16">
        <f>V2824*N2824*O2824</f>
        <v/>
      </c>
      <c r="X2824" s="12">
        <f>IF(LEFT(I2824,2)="MV",2*N2824*IF(L2824="1/C",O2824,1),0)</f>
        <v/>
      </c>
      <c r="Y2824" s="12">
        <f>IF(OR(LEFT(K2824,4)="LVAX",LEFT(K2824,6)="MV15AX",LEFT(K2824,4)="CTAX",LEFT(K2824,2)="W|"),2*N2824*O2824,0)</f>
        <v/>
      </c>
      <c r="Z2824" s="12" t="inlineStr">
        <is>
          <t>heat-trace cable itself by others</t>
        </is>
      </c>
      <c r="AA2824" s="12">
        <f>N2824*O2824</f>
        <v/>
      </c>
    </row>
    <row r="2825">
      <c r="A2825" s="12" t="inlineStr">
        <is>
          <t>E-P-0031</t>
        </is>
      </c>
      <c r="B2825" s="12" t="inlineStr">
        <is>
          <t>E</t>
        </is>
      </c>
      <c r="C2825" s="12" t="inlineStr">
        <is>
          <t>Water / utilities</t>
        </is>
      </c>
      <c r="D2825" s="12" t="inlineStr">
        <is>
          <t>Heat-trace circuit 18 (power to the trace junction box)</t>
        </is>
      </c>
      <c r="E2825" s="12" t="inlineStr">
        <is>
          <t>HTP-2</t>
        </is>
      </c>
      <c r="F2825" s="12" t="inlineStr">
        <is>
          <t>HTP-2: heat-trace panel (NH3)</t>
        </is>
      </c>
      <c r="G2825" s="12" t="inlineStr">
        <is>
          <t>HTP-2</t>
        </is>
      </c>
      <c r="H2825" s="12" t="inlineStr">
        <is>
          <t>HTP-2: heat-trace panel (NH3)</t>
        </is>
      </c>
      <c r="I2825" s="12" t="inlineStr">
        <is>
          <t>LV 600 V</t>
        </is>
      </c>
      <c r="J2825" s="12" t="inlineStr">
        <is>
          <t>Type TC-ER 600 V 3/C Cu XHHW-2 + ground, PVC jacket</t>
        </is>
      </c>
      <c r="K2825" s="12" t="inlineStr">
        <is>
          <t>LV|3/C+G|10</t>
        </is>
      </c>
      <c r="L2825" s="12" t="inlineStr">
        <is>
          <t>3/C+G</t>
        </is>
      </c>
      <c r="M2825" s="12" t="inlineStr">
        <is>
          <t>10</t>
        </is>
      </c>
      <c r="N2825" s="12" t="n">
        <v>1</v>
      </c>
      <c r="O2825" s="12" t="n">
        <v>1</v>
      </c>
      <c r="P2825" s="12" t="n">
        <v>480</v>
      </c>
      <c r="Q2825" s="12" t="n">
        <v>4</v>
      </c>
      <c r="R2825" s="12" t="n">
        <v>6</v>
      </c>
      <c r="S2825" s="12" t="inlineStr">
        <is>
          <t>Tray</t>
        </is>
      </c>
      <c r="T2825" s="16" t="n">
        <v>180</v>
      </c>
      <c r="U2825" s="16" t="n">
        <v>20</v>
      </c>
      <c r="V2825" s="16">
        <f>ROUNDUP((T2825+U2825+2*'Read Me'!$B$13)*(1+'Read Me'!$B$12),-1)</f>
        <v/>
      </c>
      <c r="W2825" s="16">
        <f>V2825*N2825*O2825</f>
        <v/>
      </c>
      <c r="X2825" s="12">
        <f>IF(LEFT(I2825,2)="MV",2*N2825*IF(L2825="1/C",O2825,1),0)</f>
        <v/>
      </c>
      <c r="Y2825" s="12">
        <f>IF(OR(LEFT(K2825,4)="LVAX",LEFT(K2825,6)="MV15AX",LEFT(K2825,4)="CTAX",LEFT(K2825,2)="W|"),2*N2825*O2825,0)</f>
        <v/>
      </c>
      <c r="Z2825" s="12" t="inlineStr">
        <is>
          <t>heat-trace cable itself by others</t>
        </is>
      </c>
      <c r="AA2825" s="12">
        <f>N2825*O2825</f>
        <v/>
      </c>
    </row>
    <row r="2826">
      <c r="A2826" s="12" t="inlineStr">
        <is>
          <t>E-P-0032</t>
        </is>
      </c>
      <c r="B2826" s="12" t="inlineStr">
        <is>
          <t>E</t>
        </is>
      </c>
      <c r="C2826" s="12" t="inlineStr">
        <is>
          <t>Water / utilities</t>
        </is>
      </c>
      <c r="D2826" s="12" t="inlineStr">
        <is>
          <t>Heat-trace circuit 19 (power to the trace junction box)</t>
        </is>
      </c>
      <c r="E2826" s="12" t="inlineStr">
        <is>
          <t>HTP-2</t>
        </is>
      </c>
      <c r="F2826" s="12" t="inlineStr">
        <is>
          <t>HTP-2: heat-trace panel (NH3)</t>
        </is>
      </c>
      <c r="G2826" s="12" t="inlineStr">
        <is>
          <t>HTP-2</t>
        </is>
      </c>
      <c r="H2826" s="12" t="inlineStr">
        <is>
          <t>HTP-2: heat-trace panel (NH3)</t>
        </is>
      </c>
      <c r="I2826" s="12" t="inlineStr">
        <is>
          <t>LV 600 V</t>
        </is>
      </c>
      <c r="J2826" s="12" t="inlineStr">
        <is>
          <t>Type TC-ER 600 V 3/C Cu XHHW-2 + ground, PVC jacket</t>
        </is>
      </c>
      <c r="K2826" s="12" t="inlineStr">
        <is>
          <t>LV|3/C+G|10</t>
        </is>
      </c>
      <c r="L2826" s="12" t="inlineStr">
        <is>
          <t>3/C+G</t>
        </is>
      </c>
      <c r="M2826" s="12" t="inlineStr">
        <is>
          <t>10</t>
        </is>
      </c>
      <c r="N2826" s="12" t="n">
        <v>1</v>
      </c>
      <c r="O2826" s="12" t="n">
        <v>1</v>
      </c>
      <c r="P2826" s="12" t="n">
        <v>480</v>
      </c>
      <c r="Q2826" s="12" t="n">
        <v>4</v>
      </c>
      <c r="R2826" s="12" t="n">
        <v>6</v>
      </c>
      <c r="S2826" s="12" t="inlineStr">
        <is>
          <t>Tray</t>
        </is>
      </c>
      <c r="T2826" s="16" t="n">
        <v>180</v>
      </c>
      <c r="U2826" s="16" t="n">
        <v>20</v>
      </c>
      <c r="V2826" s="16">
        <f>ROUNDUP((T2826+U2826+2*'Read Me'!$B$13)*(1+'Read Me'!$B$12),-1)</f>
        <v/>
      </c>
      <c r="W2826" s="16">
        <f>V2826*N2826*O2826</f>
        <v/>
      </c>
      <c r="X2826" s="12">
        <f>IF(LEFT(I2826,2)="MV",2*N2826*IF(L2826="1/C",O2826,1),0)</f>
        <v/>
      </c>
      <c r="Y2826" s="12">
        <f>IF(OR(LEFT(K2826,4)="LVAX",LEFT(K2826,6)="MV15AX",LEFT(K2826,4)="CTAX",LEFT(K2826,2)="W|"),2*N2826*O2826,0)</f>
        <v/>
      </c>
      <c r="Z2826" s="12" t="inlineStr">
        <is>
          <t>heat-trace cable itself by others</t>
        </is>
      </c>
      <c r="AA2826" s="12">
        <f>N2826*O2826</f>
        <v/>
      </c>
    </row>
    <row r="2827">
      <c r="A2827" s="12" t="inlineStr">
        <is>
          <t>E-P-0033</t>
        </is>
      </c>
      <c r="B2827" s="12" t="inlineStr">
        <is>
          <t>E</t>
        </is>
      </c>
      <c r="C2827" s="12" t="inlineStr">
        <is>
          <t>Water / utilities</t>
        </is>
      </c>
      <c r="D2827" s="12" t="inlineStr">
        <is>
          <t>Heat-trace circuit 20 (power to the trace junction box)</t>
        </is>
      </c>
      <c r="E2827" s="12" t="inlineStr">
        <is>
          <t>HTP-2</t>
        </is>
      </c>
      <c r="F2827" s="12" t="inlineStr">
        <is>
          <t>HTP-2: heat-trace panel (NH3)</t>
        </is>
      </c>
      <c r="G2827" s="12" t="inlineStr">
        <is>
          <t>HTP-2</t>
        </is>
      </c>
      <c r="H2827" s="12" t="inlineStr">
        <is>
          <t>HTP-2: heat-trace panel (NH3)</t>
        </is>
      </c>
      <c r="I2827" s="12" t="inlineStr">
        <is>
          <t>LV 600 V</t>
        </is>
      </c>
      <c r="J2827" s="12" t="inlineStr">
        <is>
          <t>Type TC-ER 600 V 3/C Cu XHHW-2 + ground, PVC jacket</t>
        </is>
      </c>
      <c r="K2827" s="12" t="inlineStr">
        <is>
          <t>LV|3/C+G|10</t>
        </is>
      </c>
      <c r="L2827" s="12" t="inlineStr">
        <is>
          <t>3/C+G</t>
        </is>
      </c>
      <c r="M2827" s="12" t="inlineStr">
        <is>
          <t>10</t>
        </is>
      </c>
      <c r="N2827" s="12" t="n">
        <v>1</v>
      </c>
      <c r="O2827" s="12" t="n">
        <v>1</v>
      </c>
      <c r="P2827" s="12" t="n">
        <v>480</v>
      </c>
      <c r="Q2827" s="12" t="n">
        <v>4</v>
      </c>
      <c r="R2827" s="12" t="n">
        <v>6</v>
      </c>
      <c r="S2827" s="12" t="inlineStr">
        <is>
          <t>Tray</t>
        </is>
      </c>
      <c r="T2827" s="16" t="n">
        <v>180</v>
      </c>
      <c r="U2827" s="16" t="n">
        <v>20</v>
      </c>
      <c r="V2827" s="16">
        <f>ROUNDUP((T2827+U2827+2*'Read Me'!$B$13)*(1+'Read Me'!$B$12),-1)</f>
        <v/>
      </c>
      <c r="W2827" s="16">
        <f>V2827*N2827*O2827</f>
        <v/>
      </c>
      <c r="X2827" s="12">
        <f>IF(LEFT(I2827,2)="MV",2*N2827*IF(L2827="1/C",O2827,1),0)</f>
        <v/>
      </c>
      <c r="Y2827" s="12">
        <f>IF(OR(LEFT(K2827,4)="LVAX",LEFT(K2827,6)="MV15AX",LEFT(K2827,4)="CTAX",LEFT(K2827,2)="W|"),2*N2827*O2827,0)</f>
        <v/>
      </c>
      <c r="Z2827" s="12" t="inlineStr">
        <is>
          <t>heat-trace cable itself by others</t>
        </is>
      </c>
      <c r="AA2827" s="12">
        <f>N2827*O2827</f>
        <v/>
      </c>
    </row>
    <row r="2828">
      <c r="A2828" s="12" t="inlineStr">
        <is>
          <t>E-P-0034</t>
        </is>
      </c>
      <c r="B2828" s="12" t="inlineStr">
        <is>
          <t>E</t>
        </is>
      </c>
      <c r="C2828" s="12" t="inlineStr">
        <is>
          <t>Water / utilities</t>
        </is>
      </c>
      <c r="D2828" s="12" t="inlineStr">
        <is>
          <t>Heat-trace circuit 21 (power to the trace junction box)</t>
        </is>
      </c>
      <c r="E2828" s="12" t="inlineStr">
        <is>
          <t>HTP-2</t>
        </is>
      </c>
      <c r="F2828" s="12" t="inlineStr">
        <is>
          <t>HTP-2: heat-trace panel (NH3)</t>
        </is>
      </c>
      <c r="G2828" s="12" t="inlineStr">
        <is>
          <t>HTP-2</t>
        </is>
      </c>
      <c r="H2828" s="12" t="inlineStr">
        <is>
          <t>HTP-2: heat-trace panel (NH3)</t>
        </is>
      </c>
      <c r="I2828" s="12" t="inlineStr">
        <is>
          <t>LV 600 V</t>
        </is>
      </c>
      <c r="J2828" s="12" t="inlineStr">
        <is>
          <t>Type TC-ER 600 V 3/C Cu XHHW-2 + ground, PVC jacket</t>
        </is>
      </c>
      <c r="K2828" s="12" t="inlineStr">
        <is>
          <t>LV|3/C+G|10</t>
        </is>
      </c>
      <c r="L2828" s="12" t="inlineStr">
        <is>
          <t>3/C+G</t>
        </is>
      </c>
      <c r="M2828" s="12" t="inlineStr">
        <is>
          <t>10</t>
        </is>
      </c>
      <c r="N2828" s="12" t="n">
        <v>1</v>
      </c>
      <c r="O2828" s="12" t="n">
        <v>1</v>
      </c>
      <c r="P2828" s="12" t="n">
        <v>480</v>
      </c>
      <c r="Q2828" s="12" t="n">
        <v>4</v>
      </c>
      <c r="R2828" s="12" t="n">
        <v>6</v>
      </c>
      <c r="S2828" s="12" t="inlineStr">
        <is>
          <t>Tray</t>
        </is>
      </c>
      <c r="T2828" s="16" t="n">
        <v>180</v>
      </c>
      <c r="U2828" s="16" t="n">
        <v>20</v>
      </c>
      <c r="V2828" s="16">
        <f>ROUNDUP((T2828+U2828+2*'Read Me'!$B$13)*(1+'Read Me'!$B$12),-1)</f>
        <v/>
      </c>
      <c r="W2828" s="16">
        <f>V2828*N2828*O2828</f>
        <v/>
      </c>
      <c r="X2828" s="12">
        <f>IF(LEFT(I2828,2)="MV",2*N2828*IF(L2828="1/C",O2828,1),0)</f>
        <v/>
      </c>
      <c r="Y2828" s="12">
        <f>IF(OR(LEFT(K2828,4)="LVAX",LEFT(K2828,6)="MV15AX",LEFT(K2828,4)="CTAX",LEFT(K2828,2)="W|"),2*N2828*O2828,0)</f>
        <v/>
      </c>
      <c r="Z2828" s="12" t="inlineStr">
        <is>
          <t>heat-trace cable itself by others</t>
        </is>
      </c>
      <c r="AA2828" s="12">
        <f>N2828*O2828</f>
        <v/>
      </c>
    </row>
    <row r="2829">
      <c r="A2829" s="12" t="inlineStr">
        <is>
          <t>E-P-0035</t>
        </is>
      </c>
      <c r="B2829" s="12" t="inlineStr">
        <is>
          <t>E</t>
        </is>
      </c>
      <c r="C2829" s="12" t="inlineStr">
        <is>
          <t>Water / utilities</t>
        </is>
      </c>
      <c r="D2829" s="12" t="inlineStr">
        <is>
          <t>Heat-trace circuit 22 (power to the trace junction box)</t>
        </is>
      </c>
      <c r="E2829" s="12" t="inlineStr">
        <is>
          <t>HTP-2</t>
        </is>
      </c>
      <c r="F2829" s="12" t="inlineStr">
        <is>
          <t>HTP-2: heat-trace panel (NH3)</t>
        </is>
      </c>
      <c r="G2829" s="12" t="inlineStr">
        <is>
          <t>HTP-2</t>
        </is>
      </c>
      <c r="H2829" s="12" t="inlineStr">
        <is>
          <t>HTP-2: heat-trace panel (NH3)</t>
        </is>
      </c>
      <c r="I2829" s="12" t="inlineStr">
        <is>
          <t>LV 600 V</t>
        </is>
      </c>
      <c r="J2829" s="12" t="inlineStr">
        <is>
          <t>Type TC-ER 600 V 3/C Cu XHHW-2 + ground, PVC jacket</t>
        </is>
      </c>
      <c r="K2829" s="12" t="inlineStr">
        <is>
          <t>LV|3/C+G|10</t>
        </is>
      </c>
      <c r="L2829" s="12" t="inlineStr">
        <is>
          <t>3/C+G</t>
        </is>
      </c>
      <c r="M2829" s="12" t="inlineStr">
        <is>
          <t>10</t>
        </is>
      </c>
      <c r="N2829" s="12" t="n">
        <v>1</v>
      </c>
      <c r="O2829" s="12" t="n">
        <v>1</v>
      </c>
      <c r="P2829" s="12" t="n">
        <v>480</v>
      </c>
      <c r="Q2829" s="12" t="n">
        <v>4</v>
      </c>
      <c r="R2829" s="12" t="n">
        <v>6</v>
      </c>
      <c r="S2829" s="12" t="inlineStr">
        <is>
          <t>Tray</t>
        </is>
      </c>
      <c r="T2829" s="16" t="n">
        <v>180</v>
      </c>
      <c r="U2829" s="16" t="n">
        <v>20</v>
      </c>
      <c r="V2829" s="16">
        <f>ROUNDUP((T2829+U2829+2*'Read Me'!$B$13)*(1+'Read Me'!$B$12),-1)</f>
        <v/>
      </c>
      <c r="W2829" s="16">
        <f>V2829*N2829*O2829</f>
        <v/>
      </c>
      <c r="X2829" s="12">
        <f>IF(LEFT(I2829,2)="MV",2*N2829*IF(L2829="1/C",O2829,1),0)</f>
        <v/>
      </c>
      <c r="Y2829" s="12">
        <f>IF(OR(LEFT(K2829,4)="LVAX",LEFT(K2829,6)="MV15AX",LEFT(K2829,4)="CTAX",LEFT(K2829,2)="W|"),2*N2829*O2829,0)</f>
        <v/>
      </c>
      <c r="Z2829" s="12" t="inlineStr">
        <is>
          <t>heat-trace cable itself by others</t>
        </is>
      </c>
      <c r="AA2829" s="12">
        <f>N2829*O2829</f>
        <v/>
      </c>
    </row>
    <row r="2830">
      <c r="A2830" s="12" t="inlineStr">
        <is>
          <t>E-P-0036</t>
        </is>
      </c>
      <c r="B2830" s="12" t="inlineStr">
        <is>
          <t>E</t>
        </is>
      </c>
      <c r="C2830" s="12" t="inlineStr">
        <is>
          <t>Water / utilities</t>
        </is>
      </c>
      <c r="D2830" s="12" t="inlineStr">
        <is>
          <t>Heat-trace circuit 23 (power to the trace junction box)</t>
        </is>
      </c>
      <c r="E2830" s="12" t="inlineStr">
        <is>
          <t>HTP-2</t>
        </is>
      </c>
      <c r="F2830" s="12" t="inlineStr">
        <is>
          <t>HTP-2: heat-trace panel (NH3)</t>
        </is>
      </c>
      <c r="G2830" s="12" t="inlineStr">
        <is>
          <t>HTP-2</t>
        </is>
      </c>
      <c r="H2830" s="12" t="inlineStr">
        <is>
          <t>HTP-2: heat-trace panel (NH3)</t>
        </is>
      </c>
      <c r="I2830" s="12" t="inlineStr">
        <is>
          <t>LV 600 V</t>
        </is>
      </c>
      <c r="J2830" s="12" t="inlineStr">
        <is>
          <t>Type TC-ER 600 V 3/C Cu XHHW-2 + ground, PVC jacket</t>
        </is>
      </c>
      <c r="K2830" s="12" t="inlineStr">
        <is>
          <t>LV|3/C+G|10</t>
        </is>
      </c>
      <c r="L2830" s="12" t="inlineStr">
        <is>
          <t>3/C+G</t>
        </is>
      </c>
      <c r="M2830" s="12" t="inlineStr">
        <is>
          <t>10</t>
        </is>
      </c>
      <c r="N2830" s="12" t="n">
        <v>1</v>
      </c>
      <c r="O2830" s="12" t="n">
        <v>1</v>
      </c>
      <c r="P2830" s="12" t="n">
        <v>480</v>
      </c>
      <c r="Q2830" s="12" t="n">
        <v>4</v>
      </c>
      <c r="R2830" s="12" t="n">
        <v>6</v>
      </c>
      <c r="S2830" s="12" t="inlineStr">
        <is>
          <t>Tray</t>
        </is>
      </c>
      <c r="T2830" s="16" t="n">
        <v>180</v>
      </c>
      <c r="U2830" s="16" t="n">
        <v>20</v>
      </c>
      <c r="V2830" s="16">
        <f>ROUNDUP((T2830+U2830+2*'Read Me'!$B$13)*(1+'Read Me'!$B$12),-1)</f>
        <v/>
      </c>
      <c r="W2830" s="16">
        <f>V2830*N2830*O2830</f>
        <v/>
      </c>
      <c r="X2830" s="12">
        <f>IF(LEFT(I2830,2)="MV",2*N2830*IF(L2830="1/C",O2830,1),0)</f>
        <v/>
      </c>
      <c r="Y2830" s="12">
        <f>IF(OR(LEFT(K2830,4)="LVAX",LEFT(K2830,6)="MV15AX",LEFT(K2830,4)="CTAX",LEFT(K2830,2)="W|"),2*N2830*O2830,0)</f>
        <v/>
      </c>
      <c r="Z2830" s="12" t="inlineStr">
        <is>
          <t>heat-trace cable itself by others</t>
        </is>
      </c>
      <c r="AA2830" s="12">
        <f>N2830*O2830</f>
        <v/>
      </c>
    </row>
    <row r="2831">
      <c r="A2831" s="12" t="inlineStr">
        <is>
          <t>E-P-0037</t>
        </is>
      </c>
      <c r="B2831" s="12" t="inlineStr">
        <is>
          <t>E</t>
        </is>
      </c>
      <c r="C2831" s="12" t="inlineStr">
        <is>
          <t>Water / utilities</t>
        </is>
      </c>
      <c r="D2831" s="12" t="inlineStr">
        <is>
          <t>Heat-trace circuit 24 (power to the trace junction box)</t>
        </is>
      </c>
      <c r="E2831" s="12" t="inlineStr">
        <is>
          <t>HTP-2</t>
        </is>
      </c>
      <c r="F2831" s="12" t="inlineStr">
        <is>
          <t>HTP-2: heat-trace panel (NH3)</t>
        </is>
      </c>
      <c r="G2831" s="12" t="inlineStr">
        <is>
          <t>HTP-2</t>
        </is>
      </c>
      <c r="H2831" s="12" t="inlineStr">
        <is>
          <t>HTP-2: heat-trace panel (NH3)</t>
        </is>
      </c>
      <c r="I2831" s="12" t="inlineStr">
        <is>
          <t>LV 600 V</t>
        </is>
      </c>
      <c r="J2831" s="12" t="inlineStr">
        <is>
          <t>Type TC-ER 600 V 3/C Cu XHHW-2 + ground, PVC jacket</t>
        </is>
      </c>
      <c r="K2831" s="12" t="inlineStr">
        <is>
          <t>LV|3/C+G|10</t>
        </is>
      </c>
      <c r="L2831" s="12" t="inlineStr">
        <is>
          <t>3/C+G</t>
        </is>
      </c>
      <c r="M2831" s="12" t="inlineStr">
        <is>
          <t>10</t>
        </is>
      </c>
      <c r="N2831" s="12" t="n">
        <v>1</v>
      </c>
      <c r="O2831" s="12" t="n">
        <v>1</v>
      </c>
      <c r="P2831" s="12" t="n">
        <v>480</v>
      </c>
      <c r="Q2831" s="12" t="n">
        <v>4</v>
      </c>
      <c r="R2831" s="12" t="n">
        <v>6</v>
      </c>
      <c r="S2831" s="12" t="inlineStr">
        <is>
          <t>Tray</t>
        </is>
      </c>
      <c r="T2831" s="16" t="n">
        <v>180</v>
      </c>
      <c r="U2831" s="16" t="n">
        <v>20</v>
      </c>
      <c r="V2831" s="16">
        <f>ROUNDUP((T2831+U2831+2*'Read Me'!$B$13)*(1+'Read Me'!$B$12),-1)</f>
        <v/>
      </c>
      <c r="W2831" s="16">
        <f>V2831*N2831*O2831</f>
        <v/>
      </c>
      <c r="X2831" s="12">
        <f>IF(LEFT(I2831,2)="MV",2*N2831*IF(L2831="1/C",O2831,1),0)</f>
        <v/>
      </c>
      <c r="Y2831" s="12">
        <f>IF(OR(LEFT(K2831,4)="LVAX",LEFT(K2831,6)="MV15AX",LEFT(K2831,4)="CTAX",LEFT(K2831,2)="W|"),2*N2831*O2831,0)</f>
        <v/>
      </c>
      <c r="Z2831" s="12" t="inlineStr">
        <is>
          <t>heat-trace cable itself by others</t>
        </is>
      </c>
      <c r="AA2831" s="12">
        <f>N2831*O2831</f>
        <v/>
      </c>
    </row>
    <row r="2832">
      <c r="A2832" s="12" t="inlineStr">
        <is>
          <t>E-P-0038</t>
        </is>
      </c>
      <c r="B2832" s="12" t="inlineStr">
        <is>
          <t>E</t>
        </is>
      </c>
      <c r="C2832" s="12" t="inlineStr">
        <is>
          <t>Water / utilities</t>
        </is>
      </c>
      <c r="D2832" s="12" t="inlineStr">
        <is>
          <t>LV power feeder</t>
        </is>
      </c>
      <c r="E2832" s="12" t="inlineStr">
        <is>
          <t>MCC-C2</t>
        </is>
      </c>
      <c r="F2832" s="12" t="inlineStr">
        <is>
          <t>R1 MCC-C2</t>
        </is>
      </c>
      <c r="G2832" s="12" t="inlineStr">
        <is>
          <t>HTP-3</t>
        </is>
      </c>
      <c r="H2832" s="12" t="inlineStr">
        <is>
          <t>HTP-3: heat-trace panel (tanks)</t>
        </is>
      </c>
      <c r="I2832" s="12" t="inlineStr">
        <is>
          <t>LV 600 V</t>
        </is>
      </c>
      <c r="J2832" s="12" t="inlineStr">
        <is>
          <t>Type TC-ER 600 V 3/C Cu XHHW-2 + ground, PVC jacket</t>
        </is>
      </c>
      <c r="K2832" s="12" t="inlineStr">
        <is>
          <t>LV|3/C+G|2</t>
        </is>
      </c>
      <c r="L2832" s="12" t="inlineStr">
        <is>
          <t>3/C+G</t>
        </is>
      </c>
      <c r="M2832" s="12" t="inlineStr">
        <is>
          <t>2</t>
        </is>
      </c>
      <c r="N2832" s="12" t="n">
        <v>1</v>
      </c>
      <c r="O2832" s="12" t="n">
        <v>1</v>
      </c>
      <c r="P2832" s="12" t="n">
        <v>480</v>
      </c>
      <c r="Q2832" s="12" t="n">
        <v>10</v>
      </c>
      <c r="R2832" s="12" t="n">
        <v>14.2</v>
      </c>
      <c r="S2832" s="12" t="inlineStr">
        <is>
          <t>Duct bank</t>
        </is>
      </c>
      <c r="T2832" s="16" t="n">
        <v>1844</v>
      </c>
      <c r="U2832" s="16" t="n">
        <v>171</v>
      </c>
      <c r="V2832" s="16">
        <f>ROUNDUP((T2832+U2832+2*'Read Me'!$B$13)*(1+'Read Me'!$B$12),-1)</f>
        <v/>
      </c>
      <c r="W2832" s="16">
        <f>V2832*N2832*O2832</f>
        <v/>
      </c>
      <c r="X2832" s="12">
        <f>IF(LEFT(I2832,2)="MV",2*N2832*IF(L2832="1/C",O2832,1),0)</f>
        <v/>
      </c>
      <c r="Y2832" s="12">
        <f>IF(OR(LEFT(K2832,4)="LVAX",LEFT(K2832,6)="MV15AX",LEFT(K2832,4)="CTAX",LEFT(K2832,2)="W|"),2*N2832*O2832,0)</f>
        <v/>
      </c>
      <c r="Z2832" s="12" t="inlineStr">
        <is>
          <t>VD 2.2 %</t>
        </is>
      </c>
      <c r="AA2832" s="12">
        <f>N2832*O2832</f>
        <v/>
      </c>
    </row>
    <row r="2833">
      <c r="A2833" s="12" t="inlineStr">
        <is>
          <t>E-P-0039</t>
        </is>
      </c>
      <c r="B2833" s="12" t="inlineStr">
        <is>
          <t>E</t>
        </is>
      </c>
      <c r="C2833" s="12" t="inlineStr">
        <is>
          <t>Water / utilities</t>
        </is>
      </c>
      <c r="D2833" s="12" t="inlineStr">
        <is>
          <t>Heat-trace circuit 1 (power to the trace junction box)</t>
        </is>
      </c>
      <c r="E2833" s="12" t="inlineStr">
        <is>
          <t>HTP-3</t>
        </is>
      </c>
      <c r="F2833" s="12" t="inlineStr">
        <is>
          <t>HTP-3: heat-trace panel (tanks)</t>
        </is>
      </c>
      <c r="G2833" s="12" t="inlineStr">
        <is>
          <t>HTP-3</t>
        </is>
      </c>
      <c r="H2833" s="12" t="inlineStr">
        <is>
          <t>HTP-3: heat-trace panel (tanks)</t>
        </is>
      </c>
      <c r="I2833" s="12" t="inlineStr">
        <is>
          <t>LV 600 V</t>
        </is>
      </c>
      <c r="J2833" s="12" t="inlineStr">
        <is>
          <t>Type TC-ER 600 V 3/C Cu XHHW-2 + ground, PVC jacket</t>
        </is>
      </c>
      <c r="K2833" s="12" t="inlineStr">
        <is>
          <t>LV|3/C+G|10</t>
        </is>
      </c>
      <c r="L2833" s="12" t="inlineStr">
        <is>
          <t>3/C+G</t>
        </is>
      </c>
      <c r="M2833" s="12" t="inlineStr">
        <is>
          <t>10</t>
        </is>
      </c>
      <c r="N2833" s="12" t="n">
        <v>1</v>
      </c>
      <c r="O2833" s="12" t="n">
        <v>1</v>
      </c>
      <c r="P2833" s="12" t="n">
        <v>480</v>
      </c>
      <c r="Q2833" s="12" t="n">
        <v>4</v>
      </c>
      <c r="R2833" s="12" t="n">
        <v>6</v>
      </c>
      <c r="S2833" s="12" t="inlineStr">
        <is>
          <t>Tray</t>
        </is>
      </c>
      <c r="T2833" s="16" t="n">
        <v>180</v>
      </c>
      <c r="U2833" s="16" t="n">
        <v>20</v>
      </c>
      <c r="V2833" s="16">
        <f>ROUNDUP((T2833+U2833+2*'Read Me'!$B$13)*(1+'Read Me'!$B$12),-1)</f>
        <v/>
      </c>
      <c r="W2833" s="16">
        <f>V2833*N2833*O2833</f>
        <v/>
      </c>
      <c r="X2833" s="12">
        <f>IF(LEFT(I2833,2)="MV",2*N2833*IF(L2833="1/C",O2833,1),0)</f>
        <v/>
      </c>
      <c r="Y2833" s="12">
        <f>IF(OR(LEFT(K2833,4)="LVAX",LEFT(K2833,6)="MV15AX",LEFT(K2833,4)="CTAX",LEFT(K2833,2)="W|"),2*N2833*O2833,0)</f>
        <v/>
      </c>
      <c r="Z2833" s="12" t="inlineStr">
        <is>
          <t>heat-trace cable itself by others</t>
        </is>
      </c>
      <c r="AA2833" s="12">
        <f>N2833*O2833</f>
        <v/>
      </c>
    </row>
    <row r="2834">
      <c r="A2834" s="12" t="inlineStr">
        <is>
          <t>E-P-0040</t>
        </is>
      </c>
      <c r="B2834" s="12" t="inlineStr">
        <is>
          <t>E</t>
        </is>
      </c>
      <c r="C2834" s="12" t="inlineStr">
        <is>
          <t>Water / utilities</t>
        </is>
      </c>
      <c r="D2834" s="12" t="inlineStr">
        <is>
          <t>Heat-trace circuit 2 (power to the trace junction box)</t>
        </is>
      </c>
      <c r="E2834" s="12" t="inlineStr">
        <is>
          <t>HTP-3</t>
        </is>
      </c>
      <c r="F2834" s="12" t="inlineStr">
        <is>
          <t>HTP-3: heat-trace panel (tanks)</t>
        </is>
      </c>
      <c r="G2834" s="12" t="inlineStr">
        <is>
          <t>HTP-3</t>
        </is>
      </c>
      <c r="H2834" s="12" t="inlineStr">
        <is>
          <t>HTP-3: heat-trace panel (tanks)</t>
        </is>
      </c>
      <c r="I2834" s="12" t="inlineStr">
        <is>
          <t>LV 600 V</t>
        </is>
      </c>
      <c r="J2834" s="12" t="inlineStr">
        <is>
          <t>Type TC-ER 600 V 3/C Cu XHHW-2 + ground, PVC jacket</t>
        </is>
      </c>
      <c r="K2834" s="12" t="inlineStr">
        <is>
          <t>LV|3/C+G|10</t>
        </is>
      </c>
      <c r="L2834" s="12" t="inlineStr">
        <is>
          <t>3/C+G</t>
        </is>
      </c>
      <c r="M2834" s="12" t="inlineStr">
        <is>
          <t>10</t>
        </is>
      </c>
      <c r="N2834" s="12" t="n">
        <v>1</v>
      </c>
      <c r="O2834" s="12" t="n">
        <v>1</v>
      </c>
      <c r="P2834" s="12" t="n">
        <v>480</v>
      </c>
      <c r="Q2834" s="12" t="n">
        <v>4</v>
      </c>
      <c r="R2834" s="12" t="n">
        <v>6</v>
      </c>
      <c r="S2834" s="12" t="inlineStr">
        <is>
          <t>Tray</t>
        </is>
      </c>
      <c r="T2834" s="16" t="n">
        <v>180</v>
      </c>
      <c r="U2834" s="16" t="n">
        <v>20</v>
      </c>
      <c r="V2834" s="16">
        <f>ROUNDUP((T2834+U2834+2*'Read Me'!$B$13)*(1+'Read Me'!$B$12),-1)</f>
        <v/>
      </c>
      <c r="W2834" s="16">
        <f>V2834*N2834*O2834</f>
        <v/>
      </c>
      <c r="X2834" s="12">
        <f>IF(LEFT(I2834,2)="MV",2*N2834*IF(L2834="1/C",O2834,1),0)</f>
        <v/>
      </c>
      <c r="Y2834" s="12">
        <f>IF(OR(LEFT(K2834,4)="LVAX",LEFT(K2834,6)="MV15AX",LEFT(K2834,4)="CTAX",LEFT(K2834,2)="W|"),2*N2834*O2834,0)</f>
        <v/>
      </c>
      <c r="Z2834" s="12" t="inlineStr">
        <is>
          <t>heat-trace cable itself by others</t>
        </is>
      </c>
      <c r="AA2834" s="12">
        <f>N2834*O2834</f>
        <v/>
      </c>
    </row>
    <row r="2835">
      <c r="A2835" s="12" t="inlineStr">
        <is>
          <t>E-P-0041</t>
        </is>
      </c>
      <c r="B2835" s="12" t="inlineStr">
        <is>
          <t>E</t>
        </is>
      </c>
      <c r="C2835" s="12" t="inlineStr">
        <is>
          <t>Water / utilities</t>
        </is>
      </c>
      <c r="D2835" s="12" t="inlineStr">
        <is>
          <t>Heat-trace circuit 3 (power to the trace junction box)</t>
        </is>
      </c>
      <c r="E2835" s="12" t="inlineStr">
        <is>
          <t>HTP-3</t>
        </is>
      </c>
      <c r="F2835" s="12" t="inlineStr">
        <is>
          <t>HTP-3: heat-trace panel (tanks)</t>
        </is>
      </c>
      <c r="G2835" s="12" t="inlineStr">
        <is>
          <t>HTP-3</t>
        </is>
      </c>
      <c r="H2835" s="12" t="inlineStr">
        <is>
          <t>HTP-3: heat-trace panel (tanks)</t>
        </is>
      </c>
      <c r="I2835" s="12" t="inlineStr">
        <is>
          <t>LV 600 V</t>
        </is>
      </c>
      <c r="J2835" s="12" t="inlineStr">
        <is>
          <t>Type TC-ER 600 V 3/C Cu XHHW-2 + ground, PVC jacket</t>
        </is>
      </c>
      <c r="K2835" s="12" t="inlineStr">
        <is>
          <t>LV|3/C+G|10</t>
        </is>
      </c>
      <c r="L2835" s="12" t="inlineStr">
        <is>
          <t>3/C+G</t>
        </is>
      </c>
      <c r="M2835" s="12" t="inlineStr">
        <is>
          <t>10</t>
        </is>
      </c>
      <c r="N2835" s="12" t="n">
        <v>1</v>
      </c>
      <c r="O2835" s="12" t="n">
        <v>1</v>
      </c>
      <c r="P2835" s="12" t="n">
        <v>480</v>
      </c>
      <c r="Q2835" s="12" t="n">
        <v>4</v>
      </c>
      <c r="R2835" s="12" t="n">
        <v>6</v>
      </c>
      <c r="S2835" s="12" t="inlineStr">
        <is>
          <t>Tray</t>
        </is>
      </c>
      <c r="T2835" s="16" t="n">
        <v>180</v>
      </c>
      <c r="U2835" s="16" t="n">
        <v>20</v>
      </c>
      <c r="V2835" s="16">
        <f>ROUNDUP((T2835+U2835+2*'Read Me'!$B$13)*(1+'Read Me'!$B$12),-1)</f>
        <v/>
      </c>
      <c r="W2835" s="16">
        <f>V2835*N2835*O2835</f>
        <v/>
      </c>
      <c r="X2835" s="12">
        <f>IF(LEFT(I2835,2)="MV",2*N2835*IF(L2835="1/C",O2835,1),0)</f>
        <v/>
      </c>
      <c r="Y2835" s="12">
        <f>IF(OR(LEFT(K2835,4)="LVAX",LEFT(K2835,6)="MV15AX",LEFT(K2835,4)="CTAX",LEFT(K2835,2)="W|"),2*N2835*O2835,0)</f>
        <v/>
      </c>
      <c r="Z2835" s="12" t="inlineStr">
        <is>
          <t>heat-trace cable itself by others</t>
        </is>
      </c>
      <c r="AA2835" s="12">
        <f>N2835*O2835</f>
        <v/>
      </c>
    </row>
    <row r="2836">
      <c r="A2836" s="12" t="inlineStr">
        <is>
          <t>E-P-0042</t>
        </is>
      </c>
      <c r="B2836" s="12" t="inlineStr">
        <is>
          <t>E</t>
        </is>
      </c>
      <c r="C2836" s="12" t="inlineStr">
        <is>
          <t>Water / utilities</t>
        </is>
      </c>
      <c r="D2836" s="12" t="inlineStr">
        <is>
          <t>Heat-trace circuit 4 (power to the trace junction box)</t>
        </is>
      </c>
      <c r="E2836" s="12" t="inlineStr">
        <is>
          <t>HTP-3</t>
        </is>
      </c>
      <c r="F2836" s="12" t="inlineStr">
        <is>
          <t>HTP-3: heat-trace panel (tanks)</t>
        </is>
      </c>
      <c r="G2836" s="12" t="inlineStr">
        <is>
          <t>HTP-3</t>
        </is>
      </c>
      <c r="H2836" s="12" t="inlineStr">
        <is>
          <t>HTP-3: heat-trace panel (tanks)</t>
        </is>
      </c>
      <c r="I2836" s="12" t="inlineStr">
        <is>
          <t>LV 600 V</t>
        </is>
      </c>
      <c r="J2836" s="12" t="inlineStr">
        <is>
          <t>Type TC-ER 600 V 3/C Cu XHHW-2 + ground, PVC jacket</t>
        </is>
      </c>
      <c r="K2836" s="12" t="inlineStr">
        <is>
          <t>LV|3/C+G|10</t>
        </is>
      </c>
      <c r="L2836" s="12" t="inlineStr">
        <is>
          <t>3/C+G</t>
        </is>
      </c>
      <c r="M2836" s="12" t="inlineStr">
        <is>
          <t>10</t>
        </is>
      </c>
      <c r="N2836" s="12" t="n">
        <v>1</v>
      </c>
      <c r="O2836" s="12" t="n">
        <v>1</v>
      </c>
      <c r="P2836" s="12" t="n">
        <v>480</v>
      </c>
      <c r="Q2836" s="12" t="n">
        <v>4</v>
      </c>
      <c r="R2836" s="12" t="n">
        <v>6</v>
      </c>
      <c r="S2836" s="12" t="inlineStr">
        <is>
          <t>Tray</t>
        </is>
      </c>
      <c r="T2836" s="16" t="n">
        <v>180</v>
      </c>
      <c r="U2836" s="16" t="n">
        <v>20</v>
      </c>
      <c r="V2836" s="16">
        <f>ROUNDUP((T2836+U2836+2*'Read Me'!$B$13)*(1+'Read Me'!$B$12),-1)</f>
        <v/>
      </c>
      <c r="W2836" s="16">
        <f>V2836*N2836*O2836</f>
        <v/>
      </c>
      <c r="X2836" s="12">
        <f>IF(LEFT(I2836,2)="MV",2*N2836*IF(L2836="1/C",O2836,1),0)</f>
        <v/>
      </c>
      <c r="Y2836" s="12">
        <f>IF(OR(LEFT(K2836,4)="LVAX",LEFT(K2836,6)="MV15AX",LEFT(K2836,4)="CTAX",LEFT(K2836,2)="W|"),2*N2836*O2836,0)</f>
        <v/>
      </c>
      <c r="Z2836" s="12" t="inlineStr">
        <is>
          <t>heat-trace cable itself by others</t>
        </is>
      </c>
      <c r="AA2836" s="12">
        <f>N2836*O2836</f>
        <v/>
      </c>
    </row>
    <row r="2837">
      <c r="A2837" s="12" t="inlineStr">
        <is>
          <t>E-P-0043</t>
        </is>
      </c>
      <c r="B2837" s="12" t="inlineStr">
        <is>
          <t>E</t>
        </is>
      </c>
      <c r="C2837" s="12" t="inlineStr">
        <is>
          <t>Water / utilities</t>
        </is>
      </c>
      <c r="D2837" s="12" t="inlineStr">
        <is>
          <t>Heat-trace circuit 5 (power to the trace junction box)</t>
        </is>
      </c>
      <c r="E2837" s="12" t="inlineStr">
        <is>
          <t>HTP-3</t>
        </is>
      </c>
      <c r="F2837" s="12" t="inlineStr">
        <is>
          <t>HTP-3: heat-trace panel (tanks)</t>
        </is>
      </c>
      <c r="G2837" s="12" t="inlineStr">
        <is>
          <t>HTP-3</t>
        </is>
      </c>
      <c r="H2837" s="12" t="inlineStr">
        <is>
          <t>HTP-3: heat-trace panel (tanks)</t>
        </is>
      </c>
      <c r="I2837" s="12" t="inlineStr">
        <is>
          <t>LV 600 V</t>
        </is>
      </c>
      <c r="J2837" s="12" t="inlineStr">
        <is>
          <t>Type TC-ER 600 V 3/C Cu XHHW-2 + ground, PVC jacket</t>
        </is>
      </c>
      <c r="K2837" s="12" t="inlineStr">
        <is>
          <t>LV|3/C+G|10</t>
        </is>
      </c>
      <c r="L2837" s="12" t="inlineStr">
        <is>
          <t>3/C+G</t>
        </is>
      </c>
      <c r="M2837" s="12" t="inlineStr">
        <is>
          <t>10</t>
        </is>
      </c>
      <c r="N2837" s="12" t="n">
        <v>1</v>
      </c>
      <c r="O2837" s="12" t="n">
        <v>1</v>
      </c>
      <c r="P2837" s="12" t="n">
        <v>480</v>
      </c>
      <c r="Q2837" s="12" t="n">
        <v>4</v>
      </c>
      <c r="R2837" s="12" t="n">
        <v>6</v>
      </c>
      <c r="S2837" s="12" t="inlineStr">
        <is>
          <t>Tray</t>
        </is>
      </c>
      <c r="T2837" s="16" t="n">
        <v>180</v>
      </c>
      <c r="U2837" s="16" t="n">
        <v>20</v>
      </c>
      <c r="V2837" s="16">
        <f>ROUNDUP((T2837+U2837+2*'Read Me'!$B$13)*(1+'Read Me'!$B$12),-1)</f>
        <v/>
      </c>
      <c r="W2837" s="16">
        <f>V2837*N2837*O2837</f>
        <v/>
      </c>
      <c r="X2837" s="12">
        <f>IF(LEFT(I2837,2)="MV",2*N2837*IF(L2837="1/C",O2837,1),0)</f>
        <v/>
      </c>
      <c r="Y2837" s="12">
        <f>IF(OR(LEFT(K2837,4)="LVAX",LEFT(K2837,6)="MV15AX",LEFT(K2837,4)="CTAX",LEFT(K2837,2)="W|"),2*N2837*O2837,0)</f>
        <v/>
      </c>
      <c r="Z2837" s="12" t="inlineStr">
        <is>
          <t>heat-trace cable itself by others</t>
        </is>
      </c>
      <c r="AA2837" s="12">
        <f>N2837*O2837</f>
        <v/>
      </c>
    </row>
    <row r="2838">
      <c r="A2838" s="12" t="inlineStr">
        <is>
          <t>E-P-0044</t>
        </is>
      </c>
      <c r="B2838" s="12" t="inlineStr">
        <is>
          <t>E</t>
        </is>
      </c>
      <c r="C2838" s="12" t="inlineStr">
        <is>
          <t>Water / utilities</t>
        </is>
      </c>
      <c r="D2838" s="12" t="inlineStr">
        <is>
          <t>Heat-trace circuit 6 (power to the trace junction box)</t>
        </is>
      </c>
      <c r="E2838" s="12" t="inlineStr">
        <is>
          <t>HTP-3</t>
        </is>
      </c>
      <c r="F2838" s="12" t="inlineStr">
        <is>
          <t>HTP-3: heat-trace panel (tanks)</t>
        </is>
      </c>
      <c r="G2838" s="12" t="inlineStr">
        <is>
          <t>HTP-3</t>
        </is>
      </c>
      <c r="H2838" s="12" t="inlineStr">
        <is>
          <t>HTP-3: heat-trace panel (tanks)</t>
        </is>
      </c>
      <c r="I2838" s="12" t="inlineStr">
        <is>
          <t>LV 600 V</t>
        </is>
      </c>
      <c r="J2838" s="12" t="inlineStr">
        <is>
          <t>Type TC-ER 600 V 3/C Cu XHHW-2 + ground, PVC jacket</t>
        </is>
      </c>
      <c r="K2838" s="12" t="inlineStr">
        <is>
          <t>LV|3/C+G|10</t>
        </is>
      </c>
      <c r="L2838" s="12" t="inlineStr">
        <is>
          <t>3/C+G</t>
        </is>
      </c>
      <c r="M2838" s="12" t="inlineStr">
        <is>
          <t>10</t>
        </is>
      </c>
      <c r="N2838" s="12" t="n">
        <v>1</v>
      </c>
      <c r="O2838" s="12" t="n">
        <v>1</v>
      </c>
      <c r="P2838" s="12" t="n">
        <v>480</v>
      </c>
      <c r="Q2838" s="12" t="n">
        <v>4</v>
      </c>
      <c r="R2838" s="12" t="n">
        <v>6</v>
      </c>
      <c r="S2838" s="12" t="inlineStr">
        <is>
          <t>Tray</t>
        </is>
      </c>
      <c r="T2838" s="16" t="n">
        <v>180</v>
      </c>
      <c r="U2838" s="16" t="n">
        <v>20</v>
      </c>
      <c r="V2838" s="16">
        <f>ROUNDUP((T2838+U2838+2*'Read Me'!$B$13)*(1+'Read Me'!$B$12),-1)</f>
        <v/>
      </c>
      <c r="W2838" s="16">
        <f>V2838*N2838*O2838</f>
        <v/>
      </c>
      <c r="X2838" s="12">
        <f>IF(LEFT(I2838,2)="MV",2*N2838*IF(L2838="1/C",O2838,1),0)</f>
        <v/>
      </c>
      <c r="Y2838" s="12">
        <f>IF(OR(LEFT(K2838,4)="LVAX",LEFT(K2838,6)="MV15AX",LEFT(K2838,4)="CTAX",LEFT(K2838,2)="W|"),2*N2838*O2838,0)</f>
        <v/>
      </c>
      <c r="Z2838" s="12" t="inlineStr">
        <is>
          <t>heat-trace cable itself by others</t>
        </is>
      </c>
      <c r="AA2838" s="12">
        <f>N2838*O2838</f>
        <v/>
      </c>
    </row>
    <row r="2839">
      <c r="A2839" s="12" t="inlineStr">
        <is>
          <t>E-P-0045</t>
        </is>
      </c>
      <c r="B2839" s="12" t="inlineStr">
        <is>
          <t>E</t>
        </is>
      </c>
      <c r="C2839" s="12" t="inlineStr">
        <is>
          <t>Water / utilities</t>
        </is>
      </c>
      <c r="D2839" s="12" t="inlineStr">
        <is>
          <t>Heat-trace circuit 7 (power to the trace junction box)</t>
        </is>
      </c>
      <c r="E2839" s="12" t="inlineStr">
        <is>
          <t>HTP-3</t>
        </is>
      </c>
      <c r="F2839" s="12" t="inlineStr">
        <is>
          <t>HTP-3: heat-trace panel (tanks)</t>
        </is>
      </c>
      <c r="G2839" s="12" t="inlineStr">
        <is>
          <t>HTP-3</t>
        </is>
      </c>
      <c r="H2839" s="12" t="inlineStr">
        <is>
          <t>HTP-3: heat-trace panel (tanks)</t>
        </is>
      </c>
      <c r="I2839" s="12" t="inlineStr">
        <is>
          <t>LV 600 V</t>
        </is>
      </c>
      <c r="J2839" s="12" t="inlineStr">
        <is>
          <t>Type TC-ER 600 V 3/C Cu XHHW-2 + ground, PVC jacket</t>
        </is>
      </c>
      <c r="K2839" s="12" t="inlineStr">
        <is>
          <t>LV|3/C+G|10</t>
        </is>
      </c>
      <c r="L2839" s="12" t="inlineStr">
        <is>
          <t>3/C+G</t>
        </is>
      </c>
      <c r="M2839" s="12" t="inlineStr">
        <is>
          <t>10</t>
        </is>
      </c>
      <c r="N2839" s="12" t="n">
        <v>1</v>
      </c>
      <c r="O2839" s="12" t="n">
        <v>1</v>
      </c>
      <c r="P2839" s="12" t="n">
        <v>480</v>
      </c>
      <c r="Q2839" s="12" t="n">
        <v>4</v>
      </c>
      <c r="R2839" s="12" t="n">
        <v>6</v>
      </c>
      <c r="S2839" s="12" t="inlineStr">
        <is>
          <t>Tray</t>
        </is>
      </c>
      <c r="T2839" s="16" t="n">
        <v>180</v>
      </c>
      <c r="U2839" s="16" t="n">
        <v>20</v>
      </c>
      <c r="V2839" s="16">
        <f>ROUNDUP((T2839+U2839+2*'Read Me'!$B$13)*(1+'Read Me'!$B$12),-1)</f>
        <v/>
      </c>
      <c r="W2839" s="16">
        <f>V2839*N2839*O2839</f>
        <v/>
      </c>
      <c r="X2839" s="12">
        <f>IF(LEFT(I2839,2)="MV",2*N2839*IF(L2839="1/C",O2839,1),0)</f>
        <v/>
      </c>
      <c r="Y2839" s="12">
        <f>IF(OR(LEFT(K2839,4)="LVAX",LEFT(K2839,6)="MV15AX",LEFT(K2839,4)="CTAX",LEFT(K2839,2)="W|"),2*N2839*O2839,0)</f>
        <v/>
      </c>
      <c r="Z2839" s="12" t="inlineStr">
        <is>
          <t>heat-trace cable itself by others</t>
        </is>
      </c>
      <c r="AA2839" s="12">
        <f>N2839*O2839</f>
        <v/>
      </c>
    </row>
    <row r="2840">
      <c r="A2840" s="12" t="inlineStr">
        <is>
          <t>E-P-0046</t>
        </is>
      </c>
      <c r="B2840" s="12" t="inlineStr">
        <is>
          <t>E</t>
        </is>
      </c>
      <c r="C2840" s="12" t="inlineStr">
        <is>
          <t>Water / utilities</t>
        </is>
      </c>
      <c r="D2840" s="12" t="inlineStr">
        <is>
          <t>Heat-trace circuit 8 (power to the trace junction box)</t>
        </is>
      </c>
      <c r="E2840" s="12" t="inlineStr">
        <is>
          <t>HTP-3</t>
        </is>
      </c>
      <c r="F2840" s="12" t="inlineStr">
        <is>
          <t>HTP-3: heat-trace panel (tanks)</t>
        </is>
      </c>
      <c r="G2840" s="12" t="inlineStr">
        <is>
          <t>HTP-3</t>
        </is>
      </c>
      <c r="H2840" s="12" t="inlineStr">
        <is>
          <t>HTP-3: heat-trace panel (tanks)</t>
        </is>
      </c>
      <c r="I2840" s="12" t="inlineStr">
        <is>
          <t>LV 600 V</t>
        </is>
      </c>
      <c r="J2840" s="12" t="inlineStr">
        <is>
          <t>Type TC-ER 600 V 3/C Cu XHHW-2 + ground, PVC jacket</t>
        </is>
      </c>
      <c r="K2840" s="12" t="inlineStr">
        <is>
          <t>LV|3/C+G|10</t>
        </is>
      </c>
      <c r="L2840" s="12" t="inlineStr">
        <is>
          <t>3/C+G</t>
        </is>
      </c>
      <c r="M2840" s="12" t="inlineStr">
        <is>
          <t>10</t>
        </is>
      </c>
      <c r="N2840" s="12" t="n">
        <v>1</v>
      </c>
      <c r="O2840" s="12" t="n">
        <v>1</v>
      </c>
      <c r="P2840" s="12" t="n">
        <v>480</v>
      </c>
      <c r="Q2840" s="12" t="n">
        <v>4</v>
      </c>
      <c r="R2840" s="12" t="n">
        <v>6</v>
      </c>
      <c r="S2840" s="12" t="inlineStr">
        <is>
          <t>Tray</t>
        </is>
      </c>
      <c r="T2840" s="16" t="n">
        <v>180</v>
      </c>
      <c r="U2840" s="16" t="n">
        <v>20</v>
      </c>
      <c r="V2840" s="16">
        <f>ROUNDUP((T2840+U2840+2*'Read Me'!$B$13)*(1+'Read Me'!$B$12),-1)</f>
        <v/>
      </c>
      <c r="W2840" s="16">
        <f>V2840*N2840*O2840</f>
        <v/>
      </c>
      <c r="X2840" s="12">
        <f>IF(LEFT(I2840,2)="MV",2*N2840*IF(L2840="1/C",O2840,1),0)</f>
        <v/>
      </c>
      <c r="Y2840" s="12">
        <f>IF(OR(LEFT(K2840,4)="LVAX",LEFT(K2840,6)="MV15AX",LEFT(K2840,4)="CTAX",LEFT(K2840,2)="W|"),2*N2840*O2840,0)</f>
        <v/>
      </c>
      <c r="Z2840" s="12" t="inlineStr">
        <is>
          <t>heat-trace cable itself by others</t>
        </is>
      </c>
      <c r="AA2840" s="12">
        <f>N2840*O2840</f>
        <v/>
      </c>
    </row>
    <row r="2841">
      <c r="A2841" s="12" t="inlineStr">
        <is>
          <t>E-P-0047</t>
        </is>
      </c>
      <c r="B2841" s="12" t="inlineStr">
        <is>
          <t>E</t>
        </is>
      </c>
      <c r="C2841" s="12" t="inlineStr">
        <is>
          <t>Water / utilities</t>
        </is>
      </c>
      <c r="D2841" s="12" t="inlineStr">
        <is>
          <t>Heat-trace circuit 9 (power to the trace junction box)</t>
        </is>
      </c>
      <c r="E2841" s="12" t="inlineStr">
        <is>
          <t>HTP-3</t>
        </is>
      </c>
      <c r="F2841" s="12" t="inlineStr">
        <is>
          <t>HTP-3: heat-trace panel (tanks)</t>
        </is>
      </c>
      <c r="G2841" s="12" t="inlineStr">
        <is>
          <t>HTP-3</t>
        </is>
      </c>
      <c r="H2841" s="12" t="inlineStr">
        <is>
          <t>HTP-3: heat-trace panel (tanks)</t>
        </is>
      </c>
      <c r="I2841" s="12" t="inlineStr">
        <is>
          <t>LV 600 V</t>
        </is>
      </c>
      <c r="J2841" s="12" t="inlineStr">
        <is>
          <t>Type TC-ER 600 V 3/C Cu XHHW-2 + ground, PVC jacket</t>
        </is>
      </c>
      <c r="K2841" s="12" t="inlineStr">
        <is>
          <t>LV|3/C+G|10</t>
        </is>
      </c>
      <c r="L2841" s="12" t="inlineStr">
        <is>
          <t>3/C+G</t>
        </is>
      </c>
      <c r="M2841" s="12" t="inlineStr">
        <is>
          <t>10</t>
        </is>
      </c>
      <c r="N2841" s="12" t="n">
        <v>1</v>
      </c>
      <c r="O2841" s="12" t="n">
        <v>1</v>
      </c>
      <c r="P2841" s="12" t="n">
        <v>480</v>
      </c>
      <c r="Q2841" s="12" t="n">
        <v>4</v>
      </c>
      <c r="R2841" s="12" t="n">
        <v>6</v>
      </c>
      <c r="S2841" s="12" t="inlineStr">
        <is>
          <t>Tray</t>
        </is>
      </c>
      <c r="T2841" s="16" t="n">
        <v>180</v>
      </c>
      <c r="U2841" s="16" t="n">
        <v>20</v>
      </c>
      <c r="V2841" s="16">
        <f>ROUNDUP((T2841+U2841+2*'Read Me'!$B$13)*(1+'Read Me'!$B$12),-1)</f>
        <v/>
      </c>
      <c r="W2841" s="16">
        <f>V2841*N2841*O2841</f>
        <v/>
      </c>
      <c r="X2841" s="12">
        <f>IF(LEFT(I2841,2)="MV",2*N2841*IF(L2841="1/C",O2841,1),0)</f>
        <v/>
      </c>
      <c r="Y2841" s="12">
        <f>IF(OR(LEFT(K2841,4)="LVAX",LEFT(K2841,6)="MV15AX",LEFT(K2841,4)="CTAX",LEFT(K2841,2)="W|"),2*N2841*O2841,0)</f>
        <v/>
      </c>
      <c r="Z2841" s="12" t="inlineStr">
        <is>
          <t>heat-trace cable itself by others</t>
        </is>
      </c>
      <c r="AA2841" s="12">
        <f>N2841*O2841</f>
        <v/>
      </c>
    </row>
    <row r="2842">
      <c r="A2842" s="12" t="inlineStr">
        <is>
          <t>E-P-0048</t>
        </is>
      </c>
      <c r="B2842" s="12" t="inlineStr">
        <is>
          <t>E</t>
        </is>
      </c>
      <c r="C2842" s="12" t="inlineStr">
        <is>
          <t>Water / utilities</t>
        </is>
      </c>
      <c r="D2842" s="12" t="inlineStr">
        <is>
          <t>Heat-trace circuit 10 (power to the trace junction box)</t>
        </is>
      </c>
      <c r="E2842" s="12" t="inlineStr">
        <is>
          <t>HTP-3</t>
        </is>
      </c>
      <c r="F2842" s="12" t="inlineStr">
        <is>
          <t>HTP-3: heat-trace panel (tanks)</t>
        </is>
      </c>
      <c r="G2842" s="12" t="inlineStr">
        <is>
          <t>HTP-3</t>
        </is>
      </c>
      <c r="H2842" s="12" t="inlineStr">
        <is>
          <t>HTP-3: heat-trace panel (tanks)</t>
        </is>
      </c>
      <c r="I2842" s="12" t="inlineStr">
        <is>
          <t>LV 600 V</t>
        </is>
      </c>
      <c r="J2842" s="12" t="inlineStr">
        <is>
          <t>Type TC-ER 600 V 3/C Cu XHHW-2 + ground, PVC jacket</t>
        </is>
      </c>
      <c r="K2842" s="12" t="inlineStr">
        <is>
          <t>LV|3/C+G|10</t>
        </is>
      </c>
      <c r="L2842" s="12" t="inlineStr">
        <is>
          <t>3/C+G</t>
        </is>
      </c>
      <c r="M2842" s="12" t="inlineStr">
        <is>
          <t>10</t>
        </is>
      </c>
      <c r="N2842" s="12" t="n">
        <v>1</v>
      </c>
      <c r="O2842" s="12" t="n">
        <v>1</v>
      </c>
      <c r="P2842" s="12" t="n">
        <v>480</v>
      </c>
      <c r="Q2842" s="12" t="n">
        <v>4</v>
      </c>
      <c r="R2842" s="12" t="n">
        <v>6</v>
      </c>
      <c r="S2842" s="12" t="inlineStr">
        <is>
          <t>Tray</t>
        </is>
      </c>
      <c r="T2842" s="16" t="n">
        <v>180</v>
      </c>
      <c r="U2842" s="16" t="n">
        <v>20</v>
      </c>
      <c r="V2842" s="16">
        <f>ROUNDUP((T2842+U2842+2*'Read Me'!$B$13)*(1+'Read Me'!$B$12),-1)</f>
        <v/>
      </c>
      <c r="W2842" s="16">
        <f>V2842*N2842*O2842</f>
        <v/>
      </c>
      <c r="X2842" s="12">
        <f>IF(LEFT(I2842,2)="MV",2*N2842*IF(L2842="1/C",O2842,1),0)</f>
        <v/>
      </c>
      <c r="Y2842" s="12">
        <f>IF(OR(LEFT(K2842,4)="LVAX",LEFT(K2842,6)="MV15AX",LEFT(K2842,4)="CTAX",LEFT(K2842,2)="W|"),2*N2842*O2842,0)</f>
        <v/>
      </c>
      <c r="Z2842" s="12" t="inlineStr">
        <is>
          <t>heat-trace cable itself by others</t>
        </is>
      </c>
      <c r="AA2842" s="12">
        <f>N2842*O2842</f>
        <v/>
      </c>
    </row>
    <row r="2843">
      <c r="A2843" s="12" t="inlineStr">
        <is>
          <t>E-P-0049</t>
        </is>
      </c>
      <c r="B2843" s="12" t="inlineStr">
        <is>
          <t>E</t>
        </is>
      </c>
      <c r="C2843" s="12" t="inlineStr">
        <is>
          <t>Water / utilities</t>
        </is>
      </c>
      <c r="D2843" s="12" t="inlineStr">
        <is>
          <t>Heat-trace circuit 11 (power to the trace junction box)</t>
        </is>
      </c>
      <c r="E2843" s="12" t="inlineStr">
        <is>
          <t>HTP-3</t>
        </is>
      </c>
      <c r="F2843" s="12" t="inlineStr">
        <is>
          <t>HTP-3: heat-trace panel (tanks)</t>
        </is>
      </c>
      <c r="G2843" s="12" t="inlineStr">
        <is>
          <t>HTP-3</t>
        </is>
      </c>
      <c r="H2843" s="12" t="inlineStr">
        <is>
          <t>HTP-3: heat-trace panel (tanks)</t>
        </is>
      </c>
      <c r="I2843" s="12" t="inlineStr">
        <is>
          <t>LV 600 V</t>
        </is>
      </c>
      <c r="J2843" s="12" t="inlineStr">
        <is>
          <t>Type TC-ER 600 V 3/C Cu XHHW-2 + ground, PVC jacket</t>
        </is>
      </c>
      <c r="K2843" s="12" t="inlineStr">
        <is>
          <t>LV|3/C+G|10</t>
        </is>
      </c>
      <c r="L2843" s="12" t="inlineStr">
        <is>
          <t>3/C+G</t>
        </is>
      </c>
      <c r="M2843" s="12" t="inlineStr">
        <is>
          <t>10</t>
        </is>
      </c>
      <c r="N2843" s="12" t="n">
        <v>1</v>
      </c>
      <c r="O2843" s="12" t="n">
        <v>1</v>
      </c>
      <c r="P2843" s="12" t="n">
        <v>480</v>
      </c>
      <c r="Q2843" s="12" t="n">
        <v>4</v>
      </c>
      <c r="R2843" s="12" t="n">
        <v>6</v>
      </c>
      <c r="S2843" s="12" t="inlineStr">
        <is>
          <t>Tray</t>
        </is>
      </c>
      <c r="T2843" s="16" t="n">
        <v>180</v>
      </c>
      <c r="U2843" s="16" t="n">
        <v>20</v>
      </c>
      <c r="V2843" s="16">
        <f>ROUNDUP((T2843+U2843+2*'Read Me'!$B$13)*(1+'Read Me'!$B$12),-1)</f>
        <v/>
      </c>
      <c r="W2843" s="16">
        <f>V2843*N2843*O2843</f>
        <v/>
      </c>
      <c r="X2843" s="12">
        <f>IF(LEFT(I2843,2)="MV",2*N2843*IF(L2843="1/C",O2843,1),0)</f>
        <v/>
      </c>
      <c r="Y2843" s="12">
        <f>IF(OR(LEFT(K2843,4)="LVAX",LEFT(K2843,6)="MV15AX",LEFT(K2843,4)="CTAX",LEFT(K2843,2)="W|"),2*N2843*O2843,0)</f>
        <v/>
      </c>
      <c r="Z2843" s="12" t="inlineStr">
        <is>
          <t>heat-trace cable itself by others</t>
        </is>
      </c>
      <c r="AA2843" s="12">
        <f>N2843*O2843</f>
        <v/>
      </c>
    </row>
    <row r="2844">
      <c r="A2844" s="12" t="inlineStr">
        <is>
          <t>E-P-0050</t>
        </is>
      </c>
      <c r="B2844" s="12" t="inlineStr">
        <is>
          <t>E</t>
        </is>
      </c>
      <c r="C2844" s="12" t="inlineStr">
        <is>
          <t>Water / utilities</t>
        </is>
      </c>
      <c r="D2844" s="12" t="inlineStr">
        <is>
          <t>Heat-trace circuit 12 (power to the trace junction box)</t>
        </is>
      </c>
      <c r="E2844" s="12" t="inlineStr">
        <is>
          <t>HTP-3</t>
        </is>
      </c>
      <c r="F2844" s="12" t="inlineStr">
        <is>
          <t>HTP-3: heat-trace panel (tanks)</t>
        </is>
      </c>
      <c r="G2844" s="12" t="inlineStr">
        <is>
          <t>HTP-3</t>
        </is>
      </c>
      <c r="H2844" s="12" t="inlineStr">
        <is>
          <t>HTP-3: heat-trace panel (tanks)</t>
        </is>
      </c>
      <c r="I2844" s="12" t="inlineStr">
        <is>
          <t>LV 600 V</t>
        </is>
      </c>
      <c r="J2844" s="12" t="inlineStr">
        <is>
          <t>Type TC-ER 600 V 3/C Cu XHHW-2 + ground, PVC jacket</t>
        </is>
      </c>
      <c r="K2844" s="12" t="inlineStr">
        <is>
          <t>LV|3/C+G|10</t>
        </is>
      </c>
      <c r="L2844" s="12" t="inlineStr">
        <is>
          <t>3/C+G</t>
        </is>
      </c>
      <c r="M2844" s="12" t="inlineStr">
        <is>
          <t>10</t>
        </is>
      </c>
      <c r="N2844" s="12" t="n">
        <v>1</v>
      </c>
      <c r="O2844" s="12" t="n">
        <v>1</v>
      </c>
      <c r="P2844" s="12" t="n">
        <v>480</v>
      </c>
      <c r="Q2844" s="12" t="n">
        <v>4</v>
      </c>
      <c r="R2844" s="12" t="n">
        <v>6</v>
      </c>
      <c r="S2844" s="12" t="inlineStr">
        <is>
          <t>Tray</t>
        </is>
      </c>
      <c r="T2844" s="16" t="n">
        <v>180</v>
      </c>
      <c r="U2844" s="16" t="n">
        <v>20</v>
      </c>
      <c r="V2844" s="16">
        <f>ROUNDUP((T2844+U2844+2*'Read Me'!$B$13)*(1+'Read Me'!$B$12),-1)</f>
        <v/>
      </c>
      <c r="W2844" s="16">
        <f>V2844*N2844*O2844</f>
        <v/>
      </c>
      <c r="X2844" s="12">
        <f>IF(LEFT(I2844,2)="MV",2*N2844*IF(L2844="1/C",O2844,1),0)</f>
        <v/>
      </c>
      <c r="Y2844" s="12">
        <f>IF(OR(LEFT(K2844,4)="LVAX",LEFT(K2844,6)="MV15AX",LEFT(K2844,4)="CTAX",LEFT(K2844,2)="W|"),2*N2844*O2844,0)</f>
        <v/>
      </c>
      <c r="Z2844" s="12" t="inlineStr">
        <is>
          <t>heat-trace cable itself by others</t>
        </is>
      </c>
      <c r="AA2844" s="12">
        <f>N2844*O2844</f>
        <v/>
      </c>
    </row>
    <row r="2845">
      <c r="A2845" s="12" t="inlineStr">
        <is>
          <t>E-P-0051</t>
        </is>
      </c>
      <c r="B2845" s="12" t="inlineStr">
        <is>
          <t>E</t>
        </is>
      </c>
      <c r="C2845" s="12" t="inlineStr">
        <is>
          <t>Water / utilities</t>
        </is>
      </c>
      <c r="D2845" s="12" t="inlineStr">
        <is>
          <t>Heat-trace circuit 13 (power to the trace junction box)</t>
        </is>
      </c>
      <c r="E2845" s="12" t="inlineStr">
        <is>
          <t>HTP-3</t>
        </is>
      </c>
      <c r="F2845" s="12" t="inlineStr">
        <is>
          <t>HTP-3: heat-trace panel (tanks)</t>
        </is>
      </c>
      <c r="G2845" s="12" t="inlineStr">
        <is>
          <t>HTP-3</t>
        </is>
      </c>
      <c r="H2845" s="12" t="inlineStr">
        <is>
          <t>HTP-3: heat-trace panel (tanks)</t>
        </is>
      </c>
      <c r="I2845" s="12" t="inlineStr">
        <is>
          <t>LV 600 V</t>
        </is>
      </c>
      <c r="J2845" s="12" t="inlineStr">
        <is>
          <t>Type TC-ER 600 V 3/C Cu XHHW-2 + ground, PVC jacket</t>
        </is>
      </c>
      <c r="K2845" s="12" t="inlineStr">
        <is>
          <t>LV|3/C+G|10</t>
        </is>
      </c>
      <c r="L2845" s="12" t="inlineStr">
        <is>
          <t>3/C+G</t>
        </is>
      </c>
      <c r="M2845" s="12" t="inlineStr">
        <is>
          <t>10</t>
        </is>
      </c>
      <c r="N2845" s="12" t="n">
        <v>1</v>
      </c>
      <c r="O2845" s="12" t="n">
        <v>1</v>
      </c>
      <c r="P2845" s="12" t="n">
        <v>480</v>
      </c>
      <c r="Q2845" s="12" t="n">
        <v>4</v>
      </c>
      <c r="R2845" s="12" t="n">
        <v>6</v>
      </c>
      <c r="S2845" s="12" t="inlineStr">
        <is>
          <t>Tray</t>
        </is>
      </c>
      <c r="T2845" s="16" t="n">
        <v>180</v>
      </c>
      <c r="U2845" s="16" t="n">
        <v>20</v>
      </c>
      <c r="V2845" s="16">
        <f>ROUNDUP((T2845+U2845+2*'Read Me'!$B$13)*(1+'Read Me'!$B$12),-1)</f>
        <v/>
      </c>
      <c r="W2845" s="16">
        <f>V2845*N2845*O2845</f>
        <v/>
      </c>
      <c r="X2845" s="12">
        <f>IF(LEFT(I2845,2)="MV",2*N2845*IF(L2845="1/C",O2845,1),0)</f>
        <v/>
      </c>
      <c r="Y2845" s="12">
        <f>IF(OR(LEFT(K2845,4)="LVAX",LEFT(K2845,6)="MV15AX",LEFT(K2845,4)="CTAX",LEFT(K2845,2)="W|"),2*N2845*O2845,0)</f>
        <v/>
      </c>
      <c r="Z2845" s="12" t="inlineStr">
        <is>
          <t>heat-trace cable itself by others</t>
        </is>
      </c>
      <c r="AA2845" s="12">
        <f>N2845*O2845</f>
        <v/>
      </c>
    </row>
    <row r="2846">
      <c r="A2846" s="12" t="inlineStr">
        <is>
          <t>E-P-0052</t>
        </is>
      </c>
      <c r="B2846" s="12" t="inlineStr">
        <is>
          <t>E</t>
        </is>
      </c>
      <c r="C2846" s="12" t="inlineStr">
        <is>
          <t>Water / utilities</t>
        </is>
      </c>
      <c r="D2846" s="12" t="inlineStr">
        <is>
          <t>Heat-trace circuit 14 (power to the trace junction box)</t>
        </is>
      </c>
      <c r="E2846" s="12" t="inlineStr">
        <is>
          <t>HTP-3</t>
        </is>
      </c>
      <c r="F2846" s="12" t="inlineStr">
        <is>
          <t>HTP-3: heat-trace panel (tanks)</t>
        </is>
      </c>
      <c r="G2846" s="12" t="inlineStr">
        <is>
          <t>HTP-3</t>
        </is>
      </c>
      <c r="H2846" s="12" t="inlineStr">
        <is>
          <t>HTP-3: heat-trace panel (tanks)</t>
        </is>
      </c>
      <c r="I2846" s="12" t="inlineStr">
        <is>
          <t>LV 600 V</t>
        </is>
      </c>
      <c r="J2846" s="12" t="inlineStr">
        <is>
          <t>Type TC-ER 600 V 3/C Cu XHHW-2 + ground, PVC jacket</t>
        </is>
      </c>
      <c r="K2846" s="12" t="inlineStr">
        <is>
          <t>LV|3/C+G|10</t>
        </is>
      </c>
      <c r="L2846" s="12" t="inlineStr">
        <is>
          <t>3/C+G</t>
        </is>
      </c>
      <c r="M2846" s="12" t="inlineStr">
        <is>
          <t>10</t>
        </is>
      </c>
      <c r="N2846" s="12" t="n">
        <v>1</v>
      </c>
      <c r="O2846" s="12" t="n">
        <v>1</v>
      </c>
      <c r="P2846" s="12" t="n">
        <v>480</v>
      </c>
      <c r="Q2846" s="12" t="n">
        <v>4</v>
      </c>
      <c r="R2846" s="12" t="n">
        <v>6</v>
      </c>
      <c r="S2846" s="12" t="inlineStr">
        <is>
          <t>Tray</t>
        </is>
      </c>
      <c r="T2846" s="16" t="n">
        <v>180</v>
      </c>
      <c r="U2846" s="16" t="n">
        <v>20</v>
      </c>
      <c r="V2846" s="16">
        <f>ROUNDUP((T2846+U2846+2*'Read Me'!$B$13)*(1+'Read Me'!$B$12),-1)</f>
        <v/>
      </c>
      <c r="W2846" s="16">
        <f>V2846*N2846*O2846</f>
        <v/>
      </c>
      <c r="X2846" s="12">
        <f>IF(LEFT(I2846,2)="MV",2*N2846*IF(L2846="1/C",O2846,1),0)</f>
        <v/>
      </c>
      <c r="Y2846" s="12">
        <f>IF(OR(LEFT(K2846,4)="LVAX",LEFT(K2846,6)="MV15AX",LEFT(K2846,4)="CTAX",LEFT(K2846,2)="W|"),2*N2846*O2846,0)</f>
        <v/>
      </c>
      <c r="Z2846" s="12" t="inlineStr">
        <is>
          <t>heat-trace cable itself by others</t>
        </is>
      </c>
      <c r="AA2846" s="12">
        <f>N2846*O2846</f>
        <v/>
      </c>
    </row>
    <row r="2847">
      <c r="A2847" s="12" t="inlineStr">
        <is>
          <t>E-P-0053</t>
        </is>
      </c>
      <c r="B2847" s="12" t="inlineStr">
        <is>
          <t>E</t>
        </is>
      </c>
      <c r="C2847" s="12" t="inlineStr">
        <is>
          <t>Water / utilities</t>
        </is>
      </c>
      <c r="D2847" s="12" t="inlineStr">
        <is>
          <t>Heat-trace circuit 15 (power to the trace junction box)</t>
        </is>
      </c>
      <c r="E2847" s="12" t="inlineStr">
        <is>
          <t>HTP-3</t>
        </is>
      </c>
      <c r="F2847" s="12" t="inlineStr">
        <is>
          <t>HTP-3: heat-trace panel (tanks)</t>
        </is>
      </c>
      <c r="G2847" s="12" t="inlineStr">
        <is>
          <t>HTP-3</t>
        </is>
      </c>
      <c r="H2847" s="12" t="inlineStr">
        <is>
          <t>HTP-3: heat-trace panel (tanks)</t>
        </is>
      </c>
      <c r="I2847" s="12" t="inlineStr">
        <is>
          <t>LV 600 V</t>
        </is>
      </c>
      <c r="J2847" s="12" t="inlineStr">
        <is>
          <t>Type TC-ER 600 V 3/C Cu XHHW-2 + ground, PVC jacket</t>
        </is>
      </c>
      <c r="K2847" s="12" t="inlineStr">
        <is>
          <t>LV|3/C+G|10</t>
        </is>
      </c>
      <c r="L2847" s="12" t="inlineStr">
        <is>
          <t>3/C+G</t>
        </is>
      </c>
      <c r="M2847" s="12" t="inlineStr">
        <is>
          <t>10</t>
        </is>
      </c>
      <c r="N2847" s="12" t="n">
        <v>1</v>
      </c>
      <c r="O2847" s="12" t="n">
        <v>1</v>
      </c>
      <c r="P2847" s="12" t="n">
        <v>480</v>
      </c>
      <c r="Q2847" s="12" t="n">
        <v>4</v>
      </c>
      <c r="R2847" s="12" t="n">
        <v>6</v>
      </c>
      <c r="S2847" s="12" t="inlineStr">
        <is>
          <t>Tray</t>
        </is>
      </c>
      <c r="T2847" s="16" t="n">
        <v>180</v>
      </c>
      <c r="U2847" s="16" t="n">
        <v>20</v>
      </c>
      <c r="V2847" s="16">
        <f>ROUNDUP((T2847+U2847+2*'Read Me'!$B$13)*(1+'Read Me'!$B$12),-1)</f>
        <v/>
      </c>
      <c r="W2847" s="16">
        <f>V2847*N2847*O2847</f>
        <v/>
      </c>
      <c r="X2847" s="12">
        <f>IF(LEFT(I2847,2)="MV",2*N2847*IF(L2847="1/C",O2847,1),0)</f>
        <v/>
      </c>
      <c r="Y2847" s="12">
        <f>IF(OR(LEFT(K2847,4)="LVAX",LEFT(K2847,6)="MV15AX",LEFT(K2847,4)="CTAX",LEFT(K2847,2)="W|"),2*N2847*O2847,0)</f>
        <v/>
      </c>
      <c r="Z2847" s="12" t="inlineStr">
        <is>
          <t>heat-trace cable itself by others</t>
        </is>
      </c>
      <c r="AA2847" s="12">
        <f>N2847*O2847</f>
        <v/>
      </c>
    </row>
    <row r="2848">
      <c r="A2848" s="12" t="inlineStr">
        <is>
          <t>E-P-0054</t>
        </is>
      </c>
      <c r="B2848" s="12" t="inlineStr">
        <is>
          <t>E</t>
        </is>
      </c>
      <c r="C2848" s="12" t="inlineStr">
        <is>
          <t>Water / utilities</t>
        </is>
      </c>
      <c r="D2848" s="12" t="inlineStr">
        <is>
          <t>Heat-trace circuit 16 (power to the trace junction box)</t>
        </is>
      </c>
      <c r="E2848" s="12" t="inlineStr">
        <is>
          <t>HTP-3</t>
        </is>
      </c>
      <c r="F2848" s="12" t="inlineStr">
        <is>
          <t>HTP-3: heat-trace panel (tanks)</t>
        </is>
      </c>
      <c r="G2848" s="12" t="inlineStr">
        <is>
          <t>HTP-3</t>
        </is>
      </c>
      <c r="H2848" s="12" t="inlineStr">
        <is>
          <t>HTP-3: heat-trace panel (tanks)</t>
        </is>
      </c>
      <c r="I2848" s="12" t="inlineStr">
        <is>
          <t>LV 600 V</t>
        </is>
      </c>
      <c r="J2848" s="12" t="inlineStr">
        <is>
          <t>Type TC-ER 600 V 3/C Cu XHHW-2 + ground, PVC jacket</t>
        </is>
      </c>
      <c r="K2848" s="12" t="inlineStr">
        <is>
          <t>LV|3/C+G|10</t>
        </is>
      </c>
      <c r="L2848" s="12" t="inlineStr">
        <is>
          <t>3/C+G</t>
        </is>
      </c>
      <c r="M2848" s="12" t="inlineStr">
        <is>
          <t>10</t>
        </is>
      </c>
      <c r="N2848" s="12" t="n">
        <v>1</v>
      </c>
      <c r="O2848" s="12" t="n">
        <v>1</v>
      </c>
      <c r="P2848" s="12" t="n">
        <v>480</v>
      </c>
      <c r="Q2848" s="12" t="n">
        <v>4</v>
      </c>
      <c r="R2848" s="12" t="n">
        <v>6</v>
      </c>
      <c r="S2848" s="12" t="inlineStr">
        <is>
          <t>Tray</t>
        </is>
      </c>
      <c r="T2848" s="16" t="n">
        <v>180</v>
      </c>
      <c r="U2848" s="16" t="n">
        <v>20</v>
      </c>
      <c r="V2848" s="16">
        <f>ROUNDUP((T2848+U2848+2*'Read Me'!$B$13)*(1+'Read Me'!$B$12),-1)</f>
        <v/>
      </c>
      <c r="W2848" s="16">
        <f>V2848*N2848*O2848</f>
        <v/>
      </c>
      <c r="X2848" s="12">
        <f>IF(LEFT(I2848,2)="MV",2*N2848*IF(L2848="1/C",O2848,1),0)</f>
        <v/>
      </c>
      <c r="Y2848" s="12">
        <f>IF(OR(LEFT(K2848,4)="LVAX",LEFT(K2848,6)="MV15AX",LEFT(K2848,4)="CTAX",LEFT(K2848,2)="W|"),2*N2848*O2848,0)</f>
        <v/>
      </c>
      <c r="Z2848" s="12" t="inlineStr">
        <is>
          <t>heat-trace cable itself by others</t>
        </is>
      </c>
      <c r="AA2848" s="12">
        <f>N2848*O2848</f>
        <v/>
      </c>
    </row>
    <row r="2849">
      <c r="A2849" s="12" t="inlineStr">
        <is>
          <t>E-P-0055</t>
        </is>
      </c>
      <c r="B2849" s="12" t="inlineStr">
        <is>
          <t>E</t>
        </is>
      </c>
      <c r="C2849" s="12" t="inlineStr">
        <is>
          <t>Water / utilities</t>
        </is>
      </c>
      <c r="D2849" s="12" t="inlineStr">
        <is>
          <t>Heat-trace circuit 17 (power to the trace junction box)</t>
        </is>
      </c>
      <c r="E2849" s="12" t="inlineStr">
        <is>
          <t>HTP-3</t>
        </is>
      </c>
      <c r="F2849" s="12" t="inlineStr">
        <is>
          <t>HTP-3: heat-trace panel (tanks)</t>
        </is>
      </c>
      <c r="G2849" s="12" t="inlineStr">
        <is>
          <t>HTP-3</t>
        </is>
      </c>
      <c r="H2849" s="12" t="inlineStr">
        <is>
          <t>HTP-3: heat-trace panel (tanks)</t>
        </is>
      </c>
      <c r="I2849" s="12" t="inlineStr">
        <is>
          <t>LV 600 V</t>
        </is>
      </c>
      <c r="J2849" s="12" t="inlineStr">
        <is>
          <t>Type TC-ER 600 V 3/C Cu XHHW-2 + ground, PVC jacket</t>
        </is>
      </c>
      <c r="K2849" s="12" t="inlineStr">
        <is>
          <t>LV|3/C+G|10</t>
        </is>
      </c>
      <c r="L2849" s="12" t="inlineStr">
        <is>
          <t>3/C+G</t>
        </is>
      </c>
      <c r="M2849" s="12" t="inlineStr">
        <is>
          <t>10</t>
        </is>
      </c>
      <c r="N2849" s="12" t="n">
        <v>1</v>
      </c>
      <c r="O2849" s="12" t="n">
        <v>1</v>
      </c>
      <c r="P2849" s="12" t="n">
        <v>480</v>
      </c>
      <c r="Q2849" s="12" t="n">
        <v>4</v>
      </c>
      <c r="R2849" s="12" t="n">
        <v>6</v>
      </c>
      <c r="S2849" s="12" t="inlineStr">
        <is>
          <t>Tray</t>
        </is>
      </c>
      <c r="T2849" s="16" t="n">
        <v>180</v>
      </c>
      <c r="U2849" s="16" t="n">
        <v>20</v>
      </c>
      <c r="V2849" s="16">
        <f>ROUNDUP((T2849+U2849+2*'Read Me'!$B$13)*(1+'Read Me'!$B$12),-1)</f>
        <v/>
      </c>
      <c r="W2849" s="16">
        <f>V2849*N2849*O2849</f>
        <v/>
      </c>
      <c r="X2849" s="12">
        <f>IF(LEFT(I2849,2)="MV",2*N2849*IF(L2849="1/C",O2849,1),0)</f>
        <v/>
      </c>
      <c r="Y2849" s="12">
        <f>IF(OR(LEFT(K2849,4)="LVAX",LEFT(K2849,6)="MV15AX",LEFT(K2849,4)="CTAX",LEFT(K2849,2)="W|"),2*N2849*O2849,0)</f>
        <v/>
      </c>
      <c r="Z2849" s="12" t="inlineStr">
        <is>
          <t>heat-trace cable itself by others</t>
        </is>
      </c>
      <c r="AA2849" s="12">
        <f>N2849*O2849</f>
        <v/>
      </c>
    </row>
    <row r="2850">
      <c r="A2850" s="12" t="inlineStr">
        <is>
          <t>E-P-0056</t>
        </is>
      </c>
      <c r="B2850" s="12" t="inlineStr">
        <is>
          <t>E</t>
        </is>
      </c>
      <c r="C2850" s="12" t="inlineStr">
        <is>
          <t>Water / utilities</t>
        </is>
      </c>
      <c r="D2850" s="12" t="inlineStr">
        <is>
          <t>Heat-trace circuit 18 (power to the trace junction box)</t>
        </is>
      </c>
      <c r="E2850" s="12" t="inlineStr">
        <is>
          <t>HTP-3</t>
        </is>
      </c>
      <c r="F2850" s="12" t="inlineStr">
        <is>
          <t>HTP-3: heat-trace panel (tanks)</t>
        </is>
      </c>
      <c r="G2850" s="12" t="inlineStr">
        <is>
          <t>HTP-3</t>
        </is>
      </c>
      <c r="H2850" s="12" t="inlineStr">
        <is>
          <t>HTP-3: heat-trace panel (tanks)</t>
        </is>
      </c>
      <c r="I2850" s="12" t="inlineStr">
        <is>
          <t>LV 600 V</t>
        </is>
      </c>
      <c r="J2850" s="12" t="inlineStr">
        <is>
          <t>Type TC-ER 600 V 3/C Cu XHHW-2 + ground, PVC jacket</t>
        </is>
      </c>
      <c r="K2850" s="12" t="inlineStr">
        <is>
          <t>LV|3/C+G|10</t>
        </is>
      </c>
      <c r="L2850" s="12" t="inlineStr">
        <is>
          <t>3/C+G</t>
        </is>
      </c>
      <c r="M2850" s="12" t="inlineStr">
        <is>
          <t>10</t>
        </is>
      </c>
      <c r="N2850" s="12" t="n">
        <v>1</v>
      </c>
      <c r="O2850" s="12" t="n">
        <v>1</v>
      </c>
      <c r="P2850" s="12" t="n">
        <v>480</v>
      </c>
      <c r="Q2850" s="12" t="n">
        <v>4</v>
      </c>
      <c r="R2850" s="12" t="n">
        <v>6</v>
      </c>
      <c r="S2850" s="12" t="inlineStr">
        <is>
          <t>Tray</t>
        </is>
      </c>
      <c r="T2850" s="16" t="n">
        <v>180</v>
      </c>
      <c r="U2850" s="16" t="n">
        <v>20</v>
      </c>
      <c r="V2850" s="16">
        <f>ROUNDUP((T2850+U2850+2*'Read Me'!$B$13)*(1+'Read Me'!$B$12),-1)</f>
        <v/>
      </c>
      <c r="W2850" s="16">
        <f>V2850*N2850*O2850</f>
        <v/>
      </c>
      <c r="X2850" s="12">
        <f>IF(LEFT(I2850,2)="MV",2*N2850*IF(L2850="1/C",O2850,1),0)</f>
        <v/>
      </c>
      <c r="Y2850" s="12">
        <f>IF(OR(LEFT(K2850,4)="LVAX",LEFT(K2850,6)="MV15AX",LEFT(K2850,4)="CTAX",LEFT(K2850,2)="W|"),2*N2850*O2850,0)</f>
        <v/>
      </c>
      <c r="Z2850" s="12" t="inlineStr">
        <is>
          <t>heat-trace cable itself by others</t>
        </is>
      </c>
      <c r="AA2850" s="12">
        <f>N2850*O2850</f>
        <v/>
      </c>
    </row>
    <row r="2851">
      <c r="A2851" s="12" t="inlineStr">
        <is>
          <t>E-P-0057</t>
        </is>
      </c>
      <c r="B2851" s="12" t="inlineStr">
        <is>
          <t>E</t>
        </is>
      </c>
      <c r="C2851" s="12" t="inlineStr">
        <is>
          <t>Water / utilities</t>
        </is>
      </c>
      <c r="D2851" s="12" t="inlineStr">
        <is>
          <t>Heat-trace circuit 19 (power to the trace junction box)</t>
        </is>
      </c>
      <c r="E2851" s="12" t="inlineStr">
        <is>
          <t>HTP-3</t>
        </is>
      </c>
      <c r="F2851" s="12" t="inlineStr">
        <is>
          <t>HTP-3: heat-trace panel (tanks)</t>
        </is>
      </c>
      <c r="G2851" s="12" t="inlineStr">
        <is>
          <t>HTP-3</t>
        </is>
      </c>
      <c r="H2851" s="12" t="inlineStr">
        <is>
          <t>HTP-3: heat-trace panel (tanks)</t>
        </is>
      </c>
      <c r="I2851" s="12" t="inlineStr">
        <is>
          <t>LV 600 V</t>
        </is>
      </c>
      <c r="J2851" s="12" t="inlineStr">
        <is>
          <t>Type TC-ER 600 V 3/C Cu XHHW-2 + ground, PVC jacket</t>
        </is>
      </c>
      <c r="K2851" s="12" t="inlineStr">
        <is>
          <t>LV|3/C+G|10</t>
        </is>
      </c>
      <c r="L2851" s="12" t="inlineStr">
        <is>
          <t>3/C+G</t>
        </is>
      </c>
      <c r="M2851" s="12" t="inlineStr">
        <is>
          <t>10</t>
        </is>
      </c>
      <c r="N2851" s="12" t="n">
        <v>1</v>
      </c>
      <c r="O2851" s="12" t="n">
        <v>1</v>
      </c>
      <c r="P2851" s="12" t="n">
        <v>480</v>
      </c>
      <c r="Q2851" s="12" t="n">
        <v>4</v>
      </c>
      <c r="R2851" s="12" t="n">
        <v>6</v>
      </c>
      <c r="S2851" s="12" t="inlineStr">
        <is>
          <t>Tray</t>
        </is>
      </c>
      <c r="T2851" s="16" t="n">
        <v>180</v>
      </c>
      <c r="U2851" s="16" t="n">
        <v>20</v>
      </c>
      <c r="V2851" s="16">
        <f>ROUNDUP((T2851+U2851+2*'Read Me'!$B$13)*(1+'Read Me'!$B$12),-1)</f>
        <v/>
      </c>
      <c r="W2851" s="16">
        <f>V2851*N2851*O2851</f>
        <v/>
      </c>
      <c r="X2851" s="12">
        <f>IF(LEFT(I2851,2)="MV",2*N2851*IF(L2851="1/C",O2851,1),0)</f>
        <v/>
      </c>
      <c r="Y2851" s="12">
        <f>IF(OR(LEFT(K2851,4)="LVAX",LEFT(K2851,6)="MV15AX",LEFT(K2851,4)="CTAX",LEFT(K2851,2)="W|"),2*N2851*O2851,0)</f>
        <v/>
      </c>
      <c r="Z2851" s="12" t="inlineStr">
        <is>
          <t>heat-trace cable itself by others</t>
        </is>
      </c>
      <c r="AA2851" s="12">
        <f>N2851*O2851</f>
        <v/>
      </c>
    </row>
    <row r="2852">
      <c r="A2852" s="12" t="inlineStr">
        <is>
          <t>E-P-0058</t>
        </is>
      </c>
      <c r="B2852" s="12" t="inlineStr">
        <is>
          <t>E</t>
        </is>
      </c>
      <c r="C2852" s="12" t="inlineStr">
        <is>
          <t>Water / utilities</t>
        </is>
      </c>
      <c r="D2852" s="12" t="inlineStr">
        <is>
          <t>Heat-trace circuit 20 (power to the trace junction box)</t>
        </is>
      </c>
      <c r="E2852" s="12" t="inlineStr">
        <is>
          <t>HTP-3</t>
        </is>
      </c>
      <c r="F2852" s="12" t="inlineStr">
        <is>
          <t>HTP-3: heat-trace panel (tanks)</t>
        </is>
      </c>
      <c r="G2852" s="12" t="inlineStr">
        <is>
          <t>HTP-3</t>
        </is>
      </c>
      <c r="H2852" s="12" t="inlineStr">
        <is>
          <t>HTP-3: heat-trace panel (tanks)</t>
        </is>
      </c>
      <c r="I2852" s="12" t="inlineStr">
        <is>
          <t>LV 600 V</t>
        </is>
      </c>
      <c r="J2852" s="12" t="inlineStr">
        <is>
          <t>Type TC-ER 600 V 3/C Cu XHHW-2 + ground, PVC jacket</t>
        </is>
      </c>
      <c r="K2852" s="12" t="inlineStr">
        <is>
          <t>LV|3/C+G|10</t>
        </is>
      </c>
      <c r="L2852" s="12" t="inlineStr">
        <is>
          <t>3/C+G</t>
        </is>
      </c>
      <c r="M2852" s="12" t="inlineStr">
        <is>
          <t>10</t>
        </is>
      </c>
      <c r="N2852" s="12" t="n">
        <v>1</v>
      </c>
      <c r="O2852" s="12" t="n">
        <v>1</v>
      </c>
      <c r="P2852" s="12" t="n">
        <v>480</v>
      </c>
      <c r="Q2852" s="12" t="n">
        <v>4</v>
      </c>
      <c r="R2852" s="12" t="n">
        <v>6</v>
      </c>
      <c r="S2852" s="12" t="inlineStr">
        <is>
          <t>Tray</t>
        </is>
      </c>
      <c r="T2852" s="16" t="n">
        <v>180</v>
      </c>
      <c r="U2852" s="16" t="n">
        <v>20</v>
      </c>
      <c r="V2852" s="16">
        <f>ROUNDUP((T2852+U2852+2*'Read Me'!$B$13)*(1+'Read Me'!$B$12),-1)</f>
        <v/>
      </c>
      <c r="W2852" s="16">
        <f>V2852*N2852*O2852</f>
        <v/>
      </c>
      <c r="X2852" s="12">
        <f>IF(LEFT(I2852,2)="MV",2*N2852*IF(L2852="1/C",O2852,1),0)</f>
        <v/>
      </c>
      <c r="Y2852" s="12">
        <f>IF(OR(LEFT(K2852,4)="LVAX",LEFT(K2852,6)="MV15AX",LEFT(K2852,4)="CTAX",LEFT(K2852,2)="W|"),2*N2852*O2852,0)</f>
        <v/>
      </c>
      <c r="Z2852" s="12" t="inlineStr">
        <is>
          <t>heat-trace cable itself by others</t>
        </is>
      </c>
      <c r="AA2852" s="12">
        <f>N2852*O2852</f>
        <v/>
      </c>
    </row>
    <row r="2853">
      <c r="A2853" s="12" t="inlineStr">
        <is>
          <t>E-P-0059</t>
        </is>
      </c>
      <c r="B2853" s="12" t="inlineStr">
        <is>
          <t>E</t>
        </is>
      </c>
      <c r="C2853" s="12" t="inlineStr">
        <is>
          <t>Water / utilities</t>
        </is>
      </c>
      <c r="D2853" s="12" t="inlineStr">
        <is>
          <t>Heat-trace circuit 21 (power to the trace junction box)</t>
        </is>
      </c>
      <c r="E2853" s="12" t="inlineStr">
        <is>
          <t>HTP-3</t>
        </is>
      </c>
      <c r="F2853" s="12" t="inlineStr">
        <is>
          <t>HTP-3: heat-trace panel (tanks)</t>
        </is>
      </c>
      <c r="G2853" s="12" t="inlineStr">
        <is>
          <t>HTP-3</t>
        </is>
      </c>
      <c r="H2853" s="12" t="inlineStr">
        <is>
          <t>HTP-3: heat-trace panel (tanks)</t>
        </is>
      </c>
      <c r="I2853" s="12" t="inlineStr">
        <is>
          <t>LV 600 V</t>
        </is>
      </c>
      <c r="J2853" s="12" t="inlineStr">
        <is>
          <t>Type TC-ER 600 V 3/C Cu XHHW-2 + ground, PVC jacket</t>
        </is>
      </c>
      <c r="K2853" s="12" t="inlineStr">
        <is>
          <t>LV|3/C+G|10</t>
        </is>
      </c>
      <c r="L2853" s="12" t="inlineStr">
        <is>
          <t>3/C+G</t>
        </is>
      </c>
      <c r="M2853" s="12" t="inlineStr">
        <is>
          <t>10</t>
        </is>
      </c>
      <c r="N2853" s="12" t="n">
        <v>1</v>
      </c>
      <c r="O2853" s="12" t="n">
        <v>1</v>
      </c>
      <c r="P2853" s="12" t="n">
        <v>480</v>
      </c>
      <c r="Q2853" s="12" t="n">
        <v>4</v>
      </c>
      <c r="R2853" s="12" t="n">
        <v>6</v>
      </c>
      <c r="S2853" s="12" t="inlineStr">
        <is>
          <t>Tray</t>
        </is>
      </c>
      <c r="T2853" s="16" t="n">
        <v>180</v>
      </c>
      <c r="U2853" s="16" t="n">
        <v>20</v>
      </c>
      <c r="V2853" s="16">
        <f>ROUNDUP((T2853+U2853+2*'Read Me'!$B$13)*(1+'Read Me'!$B$12),-1)</f>
        <v/>
      </c>
      <c r="W2853" s="16">
        <f>V2853*N2853*O2853</f>
        <v/>
      </c>
      <c r="X2853" s="12">
        <f>IF(LEFT(I2853,2)="MV",2*N2853*IF(L2853="1/C",O2853,1),0)</f>
        <v/>
      </c>
      <c r="Y2853" s="12">
        <f>IF(OR(LEFT(K2853,4)="LVAX",LEFT(K2853,6)="MV15AX",LEFT(K2853,4)="CTAX",LEFT(K2853,2)="W|"),2*N2853*O2853,0)</f>
        <v/>
      </c>
      <c r="Z2853" s="12" t="inlineStr">
        <is>
          <t>heat-trace cable itself by others</t>
        </is>
      </c>
      <c r="AA2853" s="12">
        <f>N2853*O2853</f>
        <v/>
      </c>
    </row>
    <row r="2854">
      <c r="A2854" s="12" t="inlineStr">
        <is>
          <t>E-P-0060</t>
        </is>
      </c>
      <c r="B2854" s="12" t="inlineStr">
        <is>
          <t>E</t>
        </is>
      </c>
      <c r="C2854" s="12" t="inlineStr">
        <is>
          <t>Water / utilities</t>
        </is>
      </c>
      <c r="D2854" s="12" t="inlineStr">
        <is>
          <t>Heat-trace circuit 22 (power to the trace junction box)</t>
        </is>
      </c>
      <c r="E2854" s="12" t="inlineStr">
        <is>
          <t>HTP-3</t>
        </is>
      </c>
      <c r="F2854" s="12" t="inlineStr">
        <is>
          <t>HTP-3: heat-trace panel (tanks)</t>
        </is>
      </c>
      <c r="G2854" s="12" t="inlineStr">
        <is>
          <t>HTP-3</t>
        </is>
      </c>
      <c r="H2854" s="12" t="inlineStr">
        <is>
          <t>HTP-3: heat-trace panel (tanks)</t>
        </is>
      </c>
      <c r="I2854" s="12" t="inlineStr">
        <is>
          <t>LV 600 V</t>
        </is>
      </c>
      <c r="J2854" s="12" t="inlineStr">
        <is>
          <t>Type TC-ER 600 V 3/C Cu XHHW-2 + ground, PVC jacket</t>
        </is>
      </c>
      <c r="K2854" s="12" t="inlineStr">
        <is>
          <t>LV|3/C+G|10</t>
        </is>
      </c>
      <c r="L2854" s="12" t="inlineStr">
        <is>
          <t>3/C+G</t>
        </is>
      </c>
      <c r="M2854" s="12" t="inlineStr">
        <is>
          <t>10</t>
        </is>
      </c>
      <c r="N2854" s="12" t="n">
        <v>1</v>
      </c>
      <c r="O2854" s="12" t="n">
        <v>1</v>
      </c>
      <c r="P2854" s="12" t="n">
        <v>480</v>
      </c>
      <c r="Q2854" s="12" t="n">
        <v>4</v>
      </c>
      <c r="R2854" s="12" t="n">
        <v>6</v>
      </c>
      <c r="S2854" s="12" t="inlineStr">
        <is>
          <t>Tray</t>
        </is>
      </c>
      <c r="T2854" s="16" t="n">
        <v>180</v>
      </c>
      <c r="U2854" s="16" t="n">
        <v>20</v>
      </c>
      <c r="V2854" s="16">
        <f>ROUNDUP((T2854+U2854+2*'Read Me'!$B$13)*(1+'Read Me'!$B$12),-1)</f>
        <v/>
      </c>
      <c r="W2854" s="16">
        <f>V2854*N2854*O2854</f>
        <v/>
      </c>
      <c r="X2854" s="12">
        <f>IF(LEFT(I2854,2)="MV",2*N2854*IF(L2854="1/C",O2854,1),0)</f>
        <v/>
      </c>
      <c r="Y2854" s="12">
        <f>IF(OR(LEFT(K2854,4)="LVAX",LEFT(K2854,6)="MV15AX",LEFT(K2854,4)="CTAX",LEFT(K2854,2)="W|"),2*N2854*O2854,0)</f>
        <v/>
      </c>
      <c r="Z2854" s="12" t="inlineStr">
        <is>
          <t>heat-trace cable itself by others</t>
        </is>
      </c>
      <c r="AA2854" s="12">
        <f>N2854*O2854</f>
        <v/>
      </c>
    </row>
    <row r="2855">
      <c r="A2855" s="12" t="inlineStr">
        <is>
          <t>E-P-0061</t>
        </is>
      </c>
      <c r="B2855" s="12" t="inlineStr">
        <is>
          <t>E</t>
        </is>
      </c>
      <c r="C2855" s="12" t="inlineStr">
        <is>
          <t>Water / utilities</t>
        </is>
      </c>
      <c r="D2855" s="12" t="inlineStr">
        <is>
          <t>Heat-trace circuit 23 (power to the trace junction box)</t>
        </is>
      </c>
      <c r="E2855" s="12" t="inlineStr">
        <is>
          <t>HTP-3</t>
        </is>
      </c>
      <c r="F2855" s="12" t="inlineStr">
        <is>
          <t>HTP-3: heat-trace panel (tanks)</t>
        </is>
      </c>
      <c r="G2855" s="12" t="inlineStr">
        <is>
          <t>HTP-3</t>
        </is>
      </c>
      <c r="H2855" s="12" t="inlineStr">
        <is>
          <t>HTP-3: heat-trace panel (tanks)</t>
        </is>
      </c>
      <c r="I2855" s="12" t="inlineStr">
        <is>
          <t>LV 600 V</t>
        </is>
      </c>
      <c r="J2855" s="12" t="inlineStr">
        <is>
          <t>Type TC-ER 600 V 3/C Cu XHHW-2 + ground, PVC jacket</t>
        </is>
      </c>
      <c r="K2855" s="12" t="inlineStr">
        <is>
          <t>LV|3/C+G|10</t>
        </is>
      </c>
      <c r="L2855" s="12" t="inlineStr">
        <is>
          <t>3/C+G</t>
        </is>
      </c>
      <c r="M2855" s="12" t="inlineStr">
        <is>
          <t>10</t>
        </is>
      </c>
      <c r="N2855" s="12" t="n">
        <v>1</v>
      </c>
      <c r="O2855" s="12" t="n">
        <v>1</v>
      </c>
      <c r="P2855" s="12" t="n">
        <v>480</v>
      </c>
      <c r="Q2855" s="12" t="n">
        <v>4</v>
      </c>
      <c r="R2855" s="12" t="n">
        <v>6</v>
      </c>
      <c r="S2855" s="12" t="inlineStr">
        <is>
          <t>Tray</t>
        </is>
      </c>
      <c r="T2855" s="16" t="n">
        <v>180</v>
      </c>
      <c r="U2855" s="16" t="n">
        <v>20</v>
      </c>
      <c r="V2855" s="16">
        <f>ROUNDUP((T2855+U2855+2*'Read Me'!$B$13)*(1+'Read Me'!$B$12),-1)</f>
        <v/>
      </c>
      <c r="W2855" s="16">
        <f>V2855*N2855*O2855</f>
        <v/>
      </c>
      <c r="X2855" s="12">
        <f>IF(LEFT(I2855,2)="MV",2*N2855*IF(L2855="1/C",O2855,1),0)</f>
        <v/>
      </c>
      <c r="Y2855" s="12">
        <f>IF(OR(LEFT(K2855,4)="LVAX",LEFT(K2855,6)="MV15AX",LEFT(K2855,4)="CTAX",LEFT(K2855,2)="W|"),2*N2855*O2855,0)</f>
        <v/>
      </c>
      <c r="Z2855" s="12" t="inlineStr">
        <is>
          <t>heat-trace cable itself by others</t>
        </is>
      </c>
      <c r="AA2855" s="12">
        <f>N2855*O2855</f>
        <v/>
      </c>
    </row>
    <row r="2856">
      <c r="A2856" s="12" t="inlineStr">
        <is>
          <t>E-P-0062</t>
        </is>
      </c>
      <c r="B2856" s="12" t="inlineStr">
        <is>
          <t>E</t>
        </is>
      </c>
      <c r="C2856" s="12" t="inlineStr">
        <is>
          <t>Water / utilities</t>
        </is>
      </c>
      <c r="D2856" s="12" t="inlineStr">
        <is>
          <t>Heat-trace circuit 24 (power to the trace junction box)</t>
        </is>
      </c>
      <c r="E2856" s="12" t="inlineStr">
        <is>
          <t>HTP-3</t>
        </is>
      </c>
      <c r="F2856" s="12" t="inlineStr">
        <is>
          <t>HTP-3: heat-trace panel (tanks)</t>
        </is>
      </c>
      <c r="G2856" s="12" t="inlineStr">
        <is>
          <t>HTP-3</t>
        </is>
      </c>
      <c r="H2856" s="12" t="inlineStr">
        <is>
          <t>HTP-3: heat-trace panel (tanks)</t>
        </is>
      </c>
      <c r="I2856" s="12" t="inlineStr">
        <is>
          <t>LV 600 V</t>
        </is>
      </c>
      <c r="J2856" s="12" t="inlineStr">
        <is>
          <t>Type TC-ER 600 V 3/C Cu XHHW-2 + ground, PVC jacket</t>
        </is>
      </c>
      <c r="K2856" s="12" t="inlineStr">
        <is>
          <t>LV|3/C+G|10</t>
        </is>
      </c>
      <c r="L2856" s="12" t="inlineStr">
        <is>
          <t>3/C+G</t>
        </is>
      </c>
      <c r="M2856" s="12" t="inlineStr">
        <is>
          <t>10</t>
        </is>
      </c>
      <c r="N2856" s="12" t="n">
        <v>1</v>
      </c>
      <c r="O2856" s="12" t="n">
        <v>1</v>
      </c>
      <c r="P2856" s="12" t="n">
        <v>480</v>
      </c>
      <c r="Q2856" s="12" t="n">
        <v>4</v>
      </c>
      <c r="R2856" s="12" t="n">
        <v>6</v>
      </c>
      <c r="S2856" s="12" t="inlineStr">
        <is>
          <t>Tray</t>
        </is>
      </c>
      <c r="T2856" s="16" t="n">
        <v>180</v>
      </c>
      <c r="U2856" s="16" t="n">
        <v>20</v>
      </c>
      <c r="V2856" s="16">
        <f>ROUNDUP((T2856+U2856+2*'Read Me'!$B$13)*(1+'Read Me'!$B$12),-1)</f>
        <v/>
      </c>
      <c r="W2856" s="16">
        <f>V2856*N2856*O2856</f>
        <v/>
      </c>
      <c r="X2856" s="12">
        <f>IF(LEFT(I2856,2)="MV",2*N2856*IF(L2856="1/C",O2856,1),0)</f>
        <v/>
      </c>
      <c r="Y2856" s="12">
        <f>IF(OR(LEFT(K2856,4)="LVAX",LEFT(K2856,6)="MV15AX",LEFT(K2856,4)="CTAX",LEFT(K2856,2)="W|"),2*N2856*O2856,0)</f>
        <v/>
      </c>
      <c r="Z2856" s="12" t="inlineStr">
        <is>
          <t>heat-trace cable itself by others</t>
        </is>
      </c>
      <c r="AA2856" s="12">
        <f>N2856*O2856</f>
        <v/>
      </c>
    </row>
    <row r="2857">
      <c r="A2857" s="12" t="inlineStr">
        <is>
          <t>E-P-0063</t>
        </is>
      </c>
      <c r="B2857" s="12" t="inlineStr">
        <is>
          <t>E</t>
        </is>
      </c>
      <c r="C2857" s="12" t="inlineStr">
        <is>
          <t>Water / utilities</t>
        </is>
      </c>
      <c r="D2857" s="12" t="inlineStr">
        <is>
          <t>Motor 1 of 2, 7 kW</t>
        </is>
      </c>
      <c r="E2857" s="12" t="inlineStr">
        <is>
          <t>MCC-C2</t>
        </is>
      </c>
      <c r="F2857" s="12" t="inlineStr">
        <is>
          <t>R1 MCC-C2</t>
        </is>
      </c>
      <c r="G2857" s="12" t="inlineStr"/>
      <c r="H2857" s="12" t="inlineStr">
        <is>
          <t>Oil-water separator</t>
        </is>
      </c>
      <c r="I2857" s="12" t="inlineStr">
        <is>
          <t>LV 600 V</t>
        </is>
      </c>
      <c r="J2857" s="12" t="inlineStr">
        <is>
          <t>Type TC-ER 600 V 3/C Cu XHHW-2 + ground, PVC jacket</t>
        </is>
      </c>
      <c r="K2857" s="12" t="inlineStr">
        <is>
          <t>LV|3/C+G|4</t>
        </is>
      </c>
      <c r="L2857" s="12" t="inlineStr">
        <is>
          <t>3/C+G</t>
        </is>
      </c>
      <c r="M2857" s="12" t="inlineStr">
        <is>
          <t>4</t>
        </is>
      </c>
      <c r="N2857" s="12" t="n">
        <v>1</v>
      </c>
      <c r="O2857" s="12" t="n">
        <v>1</v>
      </c>
      <c r="P2857" s="12" t="n">
        <v>480</v>
      </c>
      <c r="Q2857" s="12" t="n">
        <v>7</v>
      </c>
      <c r="R2857" s="12" t="n">
        <v>9.9</v>
      </c>
      <c r="S2857" s="12" t="inlineStr">
        <is>
          <t>Duct bank</t>
        </is>
      </c>
      <c r="T2857" s="16" t="n">
        <v>2002</v>
      </c>
      <c r="U2857" s="16" t="n">
        <v>347</v>
      </c>
      <c r="V2857" s="16">
        <f>ROUNDUP((T2857+U2857+2*'Read Me'!$B$13)*(1+'Read Me'!$B$12),-1)</f>
        <v/>
      </c>
      <c r="W2857" s="16">
        <f>V2857*N2857*O2857</f>
        <v/>
      </c>
      <c r="X2857" s="12">
        <f>IF(LEFT(I2857,2)="MV",2*N2857*IF(L2857="1/C",O2857,1),0)</f>
        <v/>
      </c>
      <c r="Y2857" s="12">
        <f>IF(OR(LEFT(K2857,4)="LVAX",LEFT(K2857,6)="MV15AX",LEFT(K2857,4)="CTAX",LEFT(K2857,2)="W|"),2*N2857*O2857,0)</f>
        <v/>
      </c>
      <c r="Z2857" s="12" t="inlineStr">
        <is>
          <t>VD 2.8 %</t>
        </is>
      </c>
      <c r="AA2857" s="12">
        <f>N2857*O2857</f>
        <v/>
      </c>
    </row>
    <row r="2858">
      <c r="A2858" s="12" t="inlineStr">
        <is>
          <t>E-P-0064</t>
        </is>
      </c>
      <c r="B2858" s="12" t="inlineStr">
        <is>
          <t>E</t>
        </is>
      </c>
      <c r="C2858" s="12" t="inlineStr">
        <is>
          <t>Water / utilities</t>
        </is>
      </c>
      <c r="D2858" s="12" t="inlineStr">
        <is>
          <t>Motor 2 of 2, 7 kW</t>
        </is>
      </c>
      <c r="E2858" s="12" t="inlineStr">
        <is>
          <t>MCC-C2</t>
        </is>
      </c>
      <c r="F2858" s="12" t="inlineStr">
        <is>
          <t>R1 MCC-C2</t>
        </is>
      </c>
      <c r="G2858" s="12" t="inlineStr"/>
      <c r="H2858" s="12" t="inlineStr">
        <is>
          <t>Oil-water separator</t>
        </is>
      </c>
      <c r="I2858" s="12" t="inlineStr">
        <is>
          <t>LV 600 V</t>
        </is>
      </c>
      <c r="J2858" s="12" t="inlineStr">
        <is>
          <t>Type TC-ER 600 V 3/C Cu XHHW-2 + ground, PVC jacket</t>
        </is>
      </c>
      <c r="K2858" s="12" t="inlineStr">
        <is>
          <t>LV|3/C+G|4</t>
        </is>
      </c>
      <c r="L2858" s="12" t="inlineStr">
        <is>
          <t>3/C+G</t>
        </is>
      </c>
      <c r="M2858" s="12" t="inlineStr">
        <is>
          <t>4</t>
        </is>
      </c>
      <c r="N2858" s="12" t="n">
        <v>1</v>
      </c>
      <c r="O2858" s="12" t="n">
        <v>1</v>
      </c>
      <c r="P2858" s="12" t="n">
        <v>480</v>
      </c>
      <c r="Q2858" s="12" t="n">
        <v>7</v>
      </c>
      <c r="R2858" s="12" t="n">
        <v>9.9</v>
      </c>
      <c r="S2858" s="12" t="inlineStr">
        <is>
          <t>Duct bank</t>
        </is>
      </c>
      <c r="T2858" s="16" t="n">
        <v>2002</v>
      </c>
      <c r="U2858" s="16" t="n">
        <v>347</v>
      </c>
      <c r="V2858" s="16">
        <f>ROUNDUP((T2858+U2858+2*'Read Me'!$B$13)*(1+'Read Me'!$B$12),-1)</f>
        <v/>
      </c>
      <c r="W2858" s="16">
        <f>V2858*N2858*O2858</f>
        <v/>
      </c>
      <c r="X2858" s="12">
        <f>IF(LEFT(I2858,2)="MV",2*N2858*IF(L2858="1/C",O2858,1),0)</f>
        <v/>
      </c>
      <c r="Y2858" s="12">
        <f>IF(OR(LEFT(K2858,4)="LVAX",LEFT(K2858,6)="MV15AX",LEFT(K2858,4)="CTAX",LEFT(K2858,2)="W|"),2*N2858*O2858,0)</f>
        <v/>
      </c>
      <c r="Z2858" s="12" t="inlineStr">
        <is>
          <t>VD 2.8 %</t>
        </is>
      </c>
      <c r="AA2858" s="12">
        <f>N2858*O2858</f>
        <v/>
      </c>
    </row>
    <row r="2859">
      <c r="A2859" s="12" t="inlineStr">
        <is>
          <t>E-P-0065</t>
        </is>
      </c>
      <c r="B2859" s="12" t="inlineStr">
        <is>
          <t>E</t>
        </is>
      </c>
      <c r="C2859" s="12" t="inlineStr">
        <is>
          <t>Water / utilities</t>
        </is>
      </c>
      <c r="D2859" s="12" t="inlineStr">
        <is>
          <t>LV power feeder</t>
        </is>
      </c>
      <c r="E2859" s="12" t="inlineStr">
        <is>
          <t>MCC-C2</t>
        </is>
      </c>
      <c r="F2859" s="12" t="inlineStr">
        <is>
          <t>R1 MCC-C2</t>
        </is>
      </c>
      <c r="G2859" s="12" t="inlineStr"/>
      <c r="H2859" s="12" t="inlineStr">
        <is>
          <t>Raw water tank</t>
        </is>
      </c>
      <c r="I2859" s="12" t="inlineStr">
        <is>
          <t>LV 600 V</t>
        </is>
      </c>
      <c r="J2859" s="12" t="inlineStr">
        <is>
          <t>Type TC-ER 600 V 3/C Cu XHHW-2 + ground, PVC jacket</t>
        </is>
      </c>
      <c r="K2859" s="12" t="inlineStr">
        <is>
          <t>LV|3/C+G|2</t>
        </is>
      </c>
      <c r="L2859" s="12" t="inlineStr">
        <is>
          <t>3/C+G</t>
        </is>
      </c>
      <c r="M2859" s="12" t="inlineStr">
        <is>
          <t>2</t>
        </is>
      </c>
      <c r="N2859" s="12" t="n">
        <v>1</v>
      </c>
      <c r="O2859" s="12" t="n">
        <v>1</v>
      </c>
      <c r="P2859" s="12" t="n">
        <v>480</v>
      </c>
      <c r="Q2859" s="12" t="n">
        <v>10</v>
      </c>
      <c r="R2859" s="12" t="n">
        <v>14.2</v>
      </c>
      <c r="S2859" s="12" t="inlineStr">
        <is>
          <t>Duct bank</t>
        </is>
      </c>
      <c r="T2859" s="16" t="n">
        <v>1754</v>
      </c>
      <c r="U2859" s="16" t="n">
        <v>145</v>
      </c>
      <c r="V2859" s="16">
        <f>ROUNDUP((T2859+U2859+2*'Read Me'!$B$13)*(1+'Read Me'!$B$12),-1)</f>
        <v/>
      </c>
      <c r="W2859" s="16">
        <f>V2859*N2859*O2859</f>
        <v/>
      </c>
      <c r="X2859" s="12">
        <f>IF(LEFT(I2859,2)="MV",2*N2859*IF(L2859="1/C",O2859,1),0)</f>
        <v/>
      </c>
      <c r="Y2859" s="12">
        <f>IF(OR(LEFT(K2859,4)="LVAX",LEFT(K2859,6)="MV15AX",LEFT(K2859,4)="CTAX",LEFT(K2859,2)="W|"),2*N2859*O2859,0)</f>
        <v/>
      </c>
      <c r="Z2859" s="12" t="inlineStr">
        <is>
          <t>VD 2.1 %</t>
        </is>
      </c>
      <c r="AA2859" s="12">
        <f>N2859*O2859</f>
        <v/>
      </c>
    </row>
    <row r="2860">
      <c r="A2860" s="12" t="inlineStr">
        <is>
          <t>E-P-0066</t>
        </is>
      </c>
      <c r="B2860" s="12" t="inlineStr">
        <is>
          <t>E</t>
        </is>
      </c>
      <c r="C2860" s="12" t="inlineStr">
        <is>
          <t>Water / utilities</t>
        </is>
      </c>
      <c r="D2860" s="12" t="inlineStr">
        <is>
          <t>Motor 1 of 8, 15 kW</t>
        </is>
      </c>
      <c r="E2860" s="12" t="inlineStr">
        <is>
          <t>MCC-C2</t>
        </is>
      </c>
      <c r="F2860" s="12" t="inlineStr">
        <is>
          <t>R1 MCC-C2</t>
        </is>
      </c>
      <c r="G2860" s="12" t="inlineStr"/>
      <c r="H2860" s="12" t="inlineStr">
        <is>
          <t>Wastewater treatment</t>
        </is>
      </c>
      <c r="I2860" s="12" t="inlineStr">
        <is>
          <t>LV 600 V</t>
        </is>
      </c>
      <c r="J2860" s="12" t="inlineStr">
        <is>
          <t>Type TC-ER 600 V 3/C Cu XHHW-2 + ground, PVC jacket</t>
        </is>
      </c>
      <c r="K2860" s="12" t="inlineStr">
        <is>
          <t>LV|3/C+G|1</t>
        </is>
      </c>
      <c r="L2860" s="12" t="inlineStr">
        <is>
          <t>3/C+G</t>
        </is>
      </c>
      <c r="M2860" s="12" t="inlineStr">
        <is>
          <t>1</t>
        </is>
      </c>
      <c r="N2860" s="12" t="n">
        <v>1</v>
      </c>
      <c r="O2860" s="12" t="n">
        <v>1</v>
      </c>
      <c r="P2860" s="12" t="n">
        <v>480</v>
      </c>
      <c r="Q2860" s="12" t="n">
        <v>15</v>
      </c>
      <c r="R2860" s="12" t="n">
        <v>21.2</v>
      </c>
      <c r="S2860" s="12" t="inlineStr">
        <is>
          <t>Duct bank</t>
        </is>
      </c>
      <c r="T2860" s="16" t="n">
        <v>1859</v>
      </c>
      <c r="U2860" s="16" t="n">
        <v>212</v>
      </c>
      <c r="V2860" s="16">
        <f>ROUNDUP((T2860+U2860+2*'Read Me'!$B$13)*(1+'Read Me'!$B$12),-1)</f>
        <v/>
      </c>
      <c r="W2860" s="16">
        <f>V2860*N2860*O2860</f>
        <v/>
      </c>
      <c r="X2860" s="12">
        <f>IF(LEFT(I2860,2)="MV",2*N2860*IF(L2860="1/C",O2860,1),0)</f>
        <v/>
      </c>
      <c r="Y2860" s="12">
        <f>IF(OR(LEFT(K2860,4)="LVAX",LEFT(K2860,6)="MV15AX",LEFT(K2860,4)="CTAX",LEFT(K2860,2)="W|"),2*N2860*O2860,0)</f>
        <v/>
      </c>
      <c r="Z2860" s="12" t="inlineStr">
        <is>
          <t>VD 2.7 %</t>
        </is>
      </c>
      <c r="AA2860" s="12">
        <f>N2860*O2860</f>
        <v/>
      </c>
    </row>
    <row r="2861">
      <c r="A2861" s="12" t="inlineStr">
        <is>
          <t>E-P-0067</t>
        </is>
      </c>
      <c r="B2861" s="12" t="inlineStr">
        <is>
          <t>E</t>
        </is>
      </c>
      <c r="C2861" s="12" t="inlineStr">
        <is>
          <t>Water / utilities</t>
        </is>
      </c>
      <c r="D2861" s="12" t="inlineStr">
        <is>
          <t>Motor 2 of 8, 15 kW</t>
        </is>
      </c>
      <c r="E2861" s="12" t="inlineStr">
        <is>
          <t>MCC-C2</t>
        </is>
      </c>
      <c r="F2861" s="12" t="inlineStr">
        <is>
          <t>R1 MCC-C2</t>
        </is>
      </c>
      <c r="G2861" s="12" t="inlineStr"/>
      <c r="H2861" s="12" t="inlineStr">
        <is>
          <t>Wastewater treatment</t>
        </is>
      </c>
      <c r="I2861" s="12" t="inlineStr">
        <is>
          <t>LV 600 V</t>
        </is>
      </c>
      <c r="J2861" s="12" t="inlineStr">
        <is>
          <t>Type TC-ER 600 V 3/C Cu XHHW-2 + ground, PVC jacket</t>
        </is>
      </c>
      <c r="K2861" s="12" t="inlineStr">
        <is>
          <t>LV|3/C+G|1</t>
        </is>
      </c>
      <c r="L2861" s="12" t="inlineStr">
        <is>
          <t>3/C+G</t>
        </is>
      </c>
      <c r="M2861" s="12" t="inlineStr">
        <is>
          <t>1</t>
        </is>
      </c>
      <c r="N2861" s="12" t="n">
        <v>1</v>
      </c>
      <c r="O2861" s="12" t="n">
        <v>1</v>
      </c>
      <c r="P2861" s="12" t="n">
        <v>480</v>
      </c>
      <c r="Q2861" s="12" t="n">
        <v>15</v>
      </c>
      <c r="R2861" s="12" t="n">
        <v>21.2</v>
      </c>
      <c r="S2861" s="12" t="inlineStr">
        <is>
          <t>Duct bank</t>
        </is>
      </c>
      <c r="T2861" s="16" t="n">
        <v>1859</v>
      </c>
      <c r="U2861" s="16" t="n">
        <v>212</v>
      </c>
      <c r="V2861" s="16">
        <f>ROUNDUP((T2861+U2861+2*'Read Me'!$B$13)*(1+'Read Me'!$B$12),-1)</f>
        <v/>
      </c>
      <c r="W2861" s="16">
        <f>V2861*N2861*O2861</f>
        <v/>
      </c>
      <c r="X2861" s="12">
        <f>IF(LEFT(I2861,2)="MV",2*N2861*IF(L2861="1/C",O2861,1),0)</f>
        <v/>
      </c>
      <c r="Y2861" s="12">
        <f>IF(OR(LEFT(K2861,4)="LVAX",LEFT(K2861,6)="MV15AX",LEFT(K2861,4)="CTAX",LEFT(K2861,2)="W|"),2*N2861*O2861,0)</f>
        <v/>
      </c>
      <c r="Z2861" s="12" t="inlineStr">
        <is>
          <t>VD 2.7 %</t>
        </is>
      </c>
      <c r="AA2861" s="12">
        <f>N2861*O2861</f>
        <v/>
      </c>
    </row>
    <row r="2862">
      <c r="A2862" s="12" t="inlineStr">
        <is>
          <t>E-P-0068</t>
        </is>
      </c>
      <c r="B2862" s="12" t="inlineStr">
        <is>
          <t>E</t>
        </is>
      </c>
      <c r="C2862" s="12" t="inlineStr">
        <is>
          <t>Water / utilities</t>
        </is>
      </c>
      <c r="D2862" s="12" t="inlineStr">
        <is>
          <t>Motor 3 of 8, 15 kW</t>
        </is>
      </c>
      <c r="E2862" s="12" t="inlineStr">
        <is>
          <t>MCC-C2</t>
        </is>
      </c>
      <c r="F2862" s="12" t="inlineStr">
        <is>
          <t>R1 MCC-C2</t>
        </is>
      </c>
      <c r="G2862" s="12" t="inlineStr"/>
      <c r="H2862" s="12" t="inlineStr">
        <is>
          <t>Wastewater treatment</t>
        </is>
      </c>
      <c r="I2862" s="12" t="inlineStr">
        <is>
          <t>LV 600 V</t>
        </is>
      </c>
      <c r="J2862" s="12" t="inlineStr">
        <is>
          <t>Type TC-ER 600 V 3/C Cu XHHW-2 + ground, PVC jacket</t>
        </is>
      </c>
      <c r="K2862" s="12" t="inlineStr">
        <is>
          <t>LV|3/C+G|1</t>
        </is>
      </c>
      <c r="L2862" s="12" t="inlineStr">
        <is>
          <t>3/C+G</t>
        </is>
      </c>
      <c r="M2862" s="12" t="inlineStr">
        <is>
          <t>1</t>
        </is>
      </c>
      <c r="N2862" s="12" t="n">
        <v>1</v>
      </c>
      <c r="O2862" s="12" t="n">
        <v>1</v>
      </c>
      <c r="P2862" s="12" t="n">
        <v>480</v>
      </c>
      <c r="Q2862" s="12" t="n">
        <v>15</v>
      </c>
      <c r="R2862" s="12" t="n">
        <v>21.2</v>
      </c>
      <c r="S2862" s="12" t="inlineStr">
        <is>
          <t>Duct bank</t>
        </is>
      </c>
      <c r="T2862" s="16" t="n">
        <v>1859</v>
      </c>
      <c r="U2862" s="16" t="n">
        <v>212</v>
      </c>
      <c r="V2862" s="16">
        <f>ROUNDUP((T2862+U2862+2*'Read Me'!$B$13)*(1+'Read Me'!$B$12),-1)</f>
        <v/>
      </c>
      <c r="W2862" s="16">
        <f>V2862*N2862*O2862</f>
        <v/>
      </c>
      <c r="X2862" s="12">
        <f>IF(LEFT(I2862,2)="MV",2*N2862*IF(L2862="1/C",O2862,1),0)</f>
        <v/>
      </c>
      <c r="Y2862" s="12">
        <f>IF(OR(LEFT(K2862,4)="LVAX",LEFT(K2862,6)="MV15AX",LEFT(K2862,4)="CTAX",LEFT(K2862,2)="W|"),2*N2862*O2862,0)</f>
        <v/>
      </c>
      <c r="Z2862" s="12" t="inlineStr">
        <is>
          <t>VD 2.7 %</t>
        </is>
      </c>
      <c r="AA2862" s="12">
        <f>N2862*O2862</f>
        <v/>
      </c>
    </row>
    <row r="2863">
      <c r="A2863" s="12" t="inlineStr">
        <is>
          <t>E-P-0069</t>
        </is>
      </c>
      <c r="B2863" s="12" t="inlineStr">
        <is>
          <t>E</t>
        </is>
      </c>
      <c r="C2863" s="12" t="inlineStr">
        <is>
          <t>Water / utilities</t>
        </is>
      </c>
      <c r="D2863" s="12" t="inlineStr">
        <is>
          <t>Motor 4 of 8, 15 kW</t>
        </is>
      </c>
      <c r="E2863" s="12" t="inlineStr">
        <is>
          <t>MCC-C2</t>
        </is>
      </c>
      <c r="F2863" s="12" t="inlineStr">
        <is>
          <t>R1 MCC-C2</t>
        </is>
      </c>
      <c r="G2863" s="12" t="inlineStr"/>
      <c r="H2863" s="12" t="inlineStr">
        <is>
          <t>Wastewater treatment</t>
        </is>
      </c>
      <c r="I2863" s="12" t="inlineStr">
        <is>
          <t>LV 600 V</t>
        </is>
      </c>
      <c r="J2863" s="12" t="inlineStr">
        <is>
          <t>Type TC-ER 600 V 3/C Cu XHHW-2 + ground, PVC jacket</t>
        </is>
      </c>
      <c r="K2863" s="12" t="inlineStr">
        <is>
          <t>LV|3/C+G|1</t>
        </is>
      </c>
      <c r="L2863" s="12" t="inlineStr">
        <is>
          <t>3/C+G</t>
        </is>
      </c>
      <c r="M2863" s="12" t="inlineStr">
        <is>
          <t>1</t>
        </is>
      </c>
      <c r="N2863" s="12" t="n">
        <v>1</v>
      </c>
      <c r="O2863" s="12" t="n">
        <v>1</v>
      </c>
      <c r="P2863" s="12" t="n">
        <v>480</v>
      </c>
      <c r="Q2863" s="12" t="n">
        <v>15</v>
      </c>
      <c r="R2863" s="12" t="n">
        <v>21.2</v>
      </c>
      <c r="S2863" s="12" t="inlineStr">
        <is>
          <t>Duct bank</t>
        </is>
      </c>
      <c r="T2863" s="16" t="n">
        <v>1859</v>
      </c>
      <c r="U2863" s="16" t="n">
        <v>212</v>
      </c>
      <c r="V2863" s="16">
        <f>ROUNDUP((T2863+U2863+2*'Read Me'!$B$13)*(1+'Read Me'!$B$12),-1)</f>
        <v/>
      </c>
      <c r="W2863" s="16">
        <f>V2863*N2863*O2863</f>
        <v/>
      </c>
      <c r="X2863" s="12">
        <f>IF(LEFT(I2863,2)="MV",2*N2863*IF(L2863="1/C",O2863,1),0)</f>
        <v/>
      </c>
      <c r="Y2863" s="12">
        <f>IF(OR(LEFT(K2863,4)="LVAX",LEFT(K2863,6)="MV15AX",LEFT(K2863,4)="CTAX",LEFT(K2863,2)="W|"),2*N2863*O2863,0)</f>
        <v/>
      </c>
      <c r="Z2863" s="12" t="inlineStr">
        <is>
          <t>VD 2.7 %</t>
        </is>
      </c>
      <c r="AA2863" s="12">
        <f>N2863*O2863</f>
        <v/>
      </c>
    </row>
    <row r="2864">
      <c r="A2864" s="12" t="inlineStr">
        <is>
          <t>E-P-0070</t>
        </is>
      </c>
      <c r="B2864" s="12" t="inlineStr">
        <is>
          <t>E</t>
        </is>
      </c>
      <c r="C2864" s="12" t="inlineStr">
        <is>
          <t>Water / utilities</t>
        </is>
      </c>
      <c r="D2864" s="12" t="inlineStr">
        <is>
          <t>Motor 5 of 8, 15 kW</t>
        </is>
      </c>
      <c r="E2864" s="12" t="inlineStr">
        <is>
          <t>MCC-C2</t>
        </is>
      </c>
      <c r="F2864" s="12" t="inlineStr">
        <is>
          <t>R1 MCC-C2</t>
        </is>
      </c>
      <c r="G2864" s="12" t="inlineStr"/>
      <c r="H2864" s="12" t="inlineStr">
        <is>
          <t>Wastewater treatment</t>
        </is>
      </c>
      <c r="I2864" s="12" t="inlineStr">
        <is>
          <t>LV 600 V</t>
        </is>
      </c>
      <c r="J2864" s="12" t="inlineStr">
        <is>
          <t>Type TC-ER 600 V 3/C Cu XHHW-2 + ground, PVC jacket</t>
        </is>
      </c>
      <c r="K2864" s="12" t="inlineStr">
        <is>
          <t>LV|3/C+G|1</t>
        </is>
      </c>
      <c r="L2864" s="12" t="inlineStr">
        <is>
          <t>3/C+G</t>
        </is>
      </c>
      <c r="M2864" s="12" t="inlineStr">
        <is>
          <t>1</t>
        </is>
      </c>
      <c r="N2864" s="12" t="n">
        <v>1</v>
      </c>
      <c r="O2864" s="12" t="n">
        <v>1</v>
      </c>
      <c r="P2864" s="12" t="n">
        <v>480</v>
      </c>
      <c r="Q2864" s="12" t="n">
        <v>15</v>
      </c>
      <c r="R2864" s="12" t="n">
        <v>21.2</v>
      </c>
      <c r="S2864" s="12" t="inlineStr">
        <is>
          <t>Duct bank</t>
        </is>
      </c>
      <c r="T2864" s="16" t="n">
        <v>1859</v>
      </c>
      <c r="U2864" s="16" t="n">
        <v>212</v>
      </c>
      <c r="V2864" s="16">
        <f>ROUNDUP((T2864+U2864+2*'Read Me'!$B$13)*(1+'Read Me'!$B$12),-1)</f>
        <v/>
      </c>
      <c r="W2864" s="16">
        <f>V2864*N2864*O2864</f>
        <v/>
      </c>
      <c r="X2864" s="12">
        <f>IF(LEFT(I2864,2)="MV",2*N2864*IF(L2864="1/C",O2864,1),0)</f>
        <v/>
      </c>
      <c r="Y2864" s="12">
        <f>IF(OR(LEFT(K2864,4)="LVAX",LEFT(K2864,6)="MV15AX",LEFT(K2864,4)="CTAX",LEFT(K2864,2)="W|"),2*N2864*O2864,0)</f>
        <v/>
      </c>
      <c r="Z2864" s="12" t="inlineStr">
        <is>
          <t>VD 2.7 %</t>
        </is>
      </c>
      <c r="AA2864" s="12">
        <f>N2864*O2864</f>
        <v/>
      </c>
    </row>
    <row r="2865">
      <c r="A2865" s="12" t="inlineStr">
        <is>
          <t>E-P-0071</t>
        </is>
      </c>
      <c r="B2865" s="12" t="inlineStr">
        <is>
          <t>E</t>
        </is>
      </c>
      <c r="C2865" s="12" t="inlineStr">
        <is>
          <t>Water / utilities</t>
        </is>
      </c>
      <c r="D2865" s="12" t="inlineStr">
        <is>
          <t>Motor 6 of 8, 15 kW</t>
        </is>
      </c>
      <c r="E2865" s="12" t="inlineStr">
        <is>
          <t>MCC-C2</t>
        </is>
      </c>
      <c r="F2865" s="12" t="inlineStr">
        <is>
          <t>R1 MCC-C2</t>
        </is>
      </c>
      <c r="G2865" s="12" t="inlineStr"/>
      <c r="H2865" s="12" t="inlineStr">
        <is>
          <t>Wastewater treatment</t>
        </is>
      </c>
      <c r="I2865" s="12" t="inlineStr">
        <is>
          <t>LV 600 V</t>
        </is>
      </c>
      <c r="J2865" s="12" t="inlineStr">
        <is>
          <t>Type TC-ER 600 V 3/C Cu XHHW-2 + ground, PVC jacket</t>
        </is>
      </c>
      <c r="K2865" s="12" t="inlineStr">
        <is>
          <t>LV|3/C+G|1</t>
        </is>
      </c>
      <c r="L2865" s="12" t="inlineStr">
        <is>
          <t>3/C+G</t>
        </is>
      </c>
      <c r="M2865" s="12" t="inlineStr">
        <is>
          <t>1</t>
        </is>
      </c>
      <c r="N2865" s="12" t="n">
        <v>1</v>
      </c>
      <c r="O2865" s="12" t="n">
        <v>1</v>
      </c>
      <c r="P2865" s="12" t="n">
        <v>480</v>
      </c>
      <c r="Q2865" s="12" t="n">
        <v>15</v>
      </c>
      <c r="R2865" s="12" t="n">
        <v>21.2</v>
      </c>
      <c r="S2865" s="12" t="inlineStr">
        <is>
          <t>Duct bank</t>
        </is>
      </c>
      <c r="T2865" s="16" t="n">
        <v>1859</v>
      </c>
      <c r="U2865" s="16" t="n">
        <v>212</v>
      </c>
      <c r="V2865" s="16">
        <f>ROUNDUP((T2865+U2865+2*'Read Me'!$B$13)*(1+'Read Me'!$B$12),-1)</f>
        <v/>
      </c>
      <c r="W2865" s="16">
        <f>V2865*N2865*O2865</f>
        <v/>
      </c>
      <c r="X2865" s="12">
        <f>IF(LEFT(I2865,2)="MV",2*N2865*IF(L2865="1/C",O2865,1),0)</f>
        <v/>
      </c>
      <c r="Y2865" s="12">
        <f>IF(OR(LEFT(K2865,4)="LVAX",LEFT(K2865,6)="MV15AX",LEFT(K2865,4)="CTAX",LEFT(K2865,2)="W|"),2*N2865*O2865,0)</f>
        <v/>
      </c>
      <c r="Z2865" s="12" t="inlineStr">
        <is>
          <t>VD 2.7 %</t>
        </is>
      </c>
      <c r="AA2865" s="12">
        <f>N2865*O2865</f>
        <v/>
      </c>
    </row>
    <row r="2866">
      <c r="A2866" s="12" t="inlineStr">
        <is>
          <t>E-P-0072</t>
        </is>
      </c>
      <c r="B2866" s="12" t="inlineStr">
        <is>
          <t>E</t>
        </is>
      </c>
      <c r="C2866" s="12" t="inlineStr">
        <is>
          <t>Water / utilities</t>
        </is>
      </c>
      <c r="D2866" s="12" t="inlineStr">
        <is>
          <t>Motor 7 of 8, 15 kW</t>
        </is>
      </c>
      <c r="E2866" s="12" t="inlineStr">
        <is>
          <t>MCC-C2</t>
        </is>
      </c>
      <c r="F2866" s="12" t="inlineStr">
        <is>
          <t>R1 MCC-C2</t>
        </is>
      </c>
      <c r="G2866" s="12" t="inlineStr"/>
      <c r="H2866" s="12" t="inlineStr">
        <is>
          <t>Wastewater treatment</t>
        </is>
      </c>
      <c r="I2866" s="12" t="inlineStr">
        <is>
          <t>LV 600 V</t>
        </is>
      </c>
      <c r="J2866" s="12" t="inlineStr">
        <is>
          <t>Type TC-ER 600 V 3/C Cu XHHW-2 + ground, PVC jacket</t>
        </is>
      </c>
      <c r="K2866" s="12" t="inlineStr">
        <is>
          <t>LV|3/C+G|1</t>
        </is>
      </c>
      <c r="L2866" s="12" t="inlineStr">
        <is>
          <t>3/C+G</t>
        </is>
      </c>
      <c r="M2866" s="12" t="inlineStr">
        <is>
          <t>1</t>
        </is>
      </c>
      <c r="N2866" s="12" t="n">
        <v>1</v>
      </c>
      <c r="O2866" s="12" t="n">
        <v>1</v>
      </c>
      <c r="P2866" s="12" t="n">
        <v>480</v>
      </c>
      <c r="Q2866" s="12" t="n">
        <v>15</v>
      </c>
      <c r="R2866" s="12" t="n">
        <v>21.2</v>
      </c>
      <c r="S2866" s="12" t="inlineStr">
        <is>
          <t>Duct bank</t>
        </is>
      </c>
      <c r="T2866" s="16" t="n">
        <v>1859</v>
      </c>
      <c r="U2866" s="16" t="n">
        <v>212</v>
      </c>
      <c r="V2866" s="16">
        <f>ROUNDUP((T2866+U2866+2*'Read Me'!$B$13)*(1+'Read Me'!$B$12),-1)</f>
        <v/>
      </c>
      <c r="W2866" s="16">
        <f>V2866*N2866*O2866</f>
        <v/>
      </c>
      <c r="X2866" s="12">
        <f>IF(LEFT(I2866,2)="MV",2*N2866*IF(L2866="1/C",O2866,1),0)</f>
        <v/>
      </c>
      <c r="Y2866" s="12">
        <f>IF(OR(LEFT(K2866,4)="LVAX",LEFT(K2866,6)="MV15AX",LEFT(K2866,4)="CTAX",LEFT(K2866,2)="W|"),2*N2866*O2866,0)</f>
        <v/>
      </c>
      <c r="Z2866" s="12" t="inlineStr">
        <is>
          <t>VD 2.7 %</t>
        </is>
      </c>
      <c r="AA2866" s="12">
        <f>N2866*O2866</f>
        <v/>
      </c>
    </row>
    <row r="2867">
      <c r="A2867" s="12" t="inlineStr">
        <is>
          <t>E-P-0073</t>
        </is>
      </c>
      <c r="B2867" s="12" t="inlineStr">
        <is>
          <t>E</t>
        </is>
      </c>
      <c r="C2867" s="12" t="inlineStr">
        <is>
          <t>Water / utilities</t>
        </is>
      </c>
      <c r="D2867" s="12" t="inlineStr">
        <is>
          <t>Motor 8 of 8, 15 kW</t>
        </is>
      </c>
      <c r="E2867" s="12" t="inlineStr">
        <is>
          <t>MCC-C2</t>
        </is>
      </c>
      <c r="F2867" s="12" t="inlineStr">
        <is>
          <t>R1 MCC-C2</t>
        </is>
      </c>
      <c r="G2867" s="12" t="inlineStr"/>
      <c r="H2867" s="12" t="inlineStr">
        <is>
          <t>Wastewater treatment</t>
        </is>
      </c>
      <c r="I2867" s="12" t="inlineStr">
        <is>
          <t>LV 600 V</t>
        </is>
      </c>
      <c r="J2867" s="12" t="inlineStr">
        <is>
          <t>Type TC-ER 600 V 3/C Cu XHHW-2 + ground, PVC jacket</t>
        </is>
      </c>
      <c r="K2867" s="12" t="inlineStr">
        <is>
          <t>LV|3/C+G|1</t>
        </is>
      </c>
      <c r="L2867" s="12" t="inlineStr">
        <is>
          <t>3/C+G</t>
        </is>
      </c>
      <c r="M2867" s="12" t="inlineStr">
        <is>
          <t>1</t>
        </is>
      </c>
      <c r="N2867" s="12" t="n">
        <v>1</v>
      </c>
      <c r="O2867" s="12" t="n">
        <v>1</v>
      </c>
      <c r="P2867" s="12" t="n">
        <v>480</v>
      </c>
      <c r="Q2867" s="12" t="n">
        <v>15</v>
      </c>
      <c r="R2867" s="12" t="n">
        <v>21.2</v>
      </c>
      <c r="S2867" s="12" t="inlineStr">
        <is>
          <t>Duct bank</t>
        </is>
      </c>
      <c r="T2867" s="16" t="n">
        <v>1859</v>
      </c>
      <c r="U2867" s="16" t="n">
        <v>212</v>
      </c>
      <c r="V2867" s="16">
        <f>ROUNDUP((T2867+U2867+2*'Read Me'!$B$13)*(1+'Read Me'!$B$12),-1)</f>
        <v/>
      </c>
      <c r="W2867" s="16">
        <f>V2867*N2867*O2867</f>
        <v/>
      </c>
      <c r="X2867" s="12">
        <f>IF(LEFT(I2867,2)="MV",2*N2867*IF(L2867="1/C",O2867,1),0)</f>
        <v/>
      </c>
      <c r="Y2867" s="12">
        <f>IF(OR(LEFT(K2867,4)="LVAX",LEFT(K2867,6)="MV15AX",LEFT(K2867,4)="CTAX",LEFT(K2867,2)="W|"),2*N2867*O2867,0)</f>
        <v/>
      </c>
      <c r="Z2867" s="12" t="inlineStr">
        <is>
          <t>VD 2.7 %</t>
        </is>
      </c>
      <c r="AA2867" s="12">
        <f>N2867*O2867</f>
        <v/>
      </c>
    </row>
    <row r="2868">
      <c r="A2868" s="12" t="inlineStr">
        <is>
          <t>E-P-0074</t>
        </is>
      </c>
      <c r="B2868" s="12" t="inlineStr">
        <is>
          <t>E</t>
        </is>
      </c>
      <c r="C2868" s="12" t="inlineStr">
        <is>
          <t>Water / utilities</t>
        </is>
      </c>
      <c r="D2868" s="12" t="inlineStr">
        <is>
          <t>Motor 1 of 20, 15 kW</t>
        </is>
      </c>
      <c r="E2868" s="12" t="inlineStr">
        <is>
          <t>MCC-C2</t>
        </is>
      </c>
      <c r="F2868" s="12" t="inlineStr">
        <is>
          <t>R1 MCC-C2</t>
        </is>
      </c>
      <c r="G2868" s="12" t="inlineStr">
        <is>
          <t>R-WT</t>
        </is>
      </c>
      <c r="H2868" s="12" t="inlineStr">
        <is>
          <t>Water treatment building (incl. R-WT electrical room)</t>
        </is>
      </c>
      <c r="I2868" s="12" t="inlineStr">
        <is>
          <t>LV 600 V</t>
        </is>
      </c>
      <c r="J2868" s="12" t="inlineStr">
        <is>
          <t>Type TC-ER 600 V 3/C Cu XHHW-2 + ground, PVC jacket</t>
        </is>
      </c>
      <c r="K2868" s="12" t="inlineStr">
        <is>
          <t>LV|3/C+G|2</t>
        </is>
      </c>
      <c r="L2868" s="12" t="inlineStr">
        <is>
          <t>3/C+G</t>
        </is>
      </c>
      <c r="M2868" s="12" t="inlineStr">
        <is>
          <t>2</t>
        </is>
      </c>
      <c r="N2868" s="12" t="n">
        <v>1</v>
      </c>
      <c r="O2868" s="12" t="n">
        <v>1</v>
      </c>
      <c r="P2868" s="12" t="n">
        <v>480</v>
      </c>
      <c r="Q2868" s="12" t="n">
        <v>15</v>
      </c>
      <c r="R2868" s="12" t="n">
        <v>21.2</v>
      </c>
      <c r="S2868" s="12" t="inlineStr">
        <is>
          <t>Duct bank</t>
        </is>
      </c>
      <c r="T2868" s="16" t="n">
        <v>1629</v>
      </c>
      <c r="U2868" s="16" t="n">
        <v>145</v>
      </c>
      <c r="V2868" s="16">
        <f>ROUNDUP((T2868+U2868+2*'Read Me'!$B$13)*(1+'Read Me'!$B$12),-1)</f>
        <v/>
      </c>
      <c r="W2868" s="16">
        <f>V2868*N2868*O2868</f>
        <v/>
      </c>
      <c r="X2868" s="12">
        <f>IF(LEFT(I2868,2)="MV",2*N2868*IF(L2868="1/C",O2868,1),0)</f>
        <v/>
      </c>
      <c r="Y2868" s="12">
        <f>IF(OR(LEFT(K2868,4)="LVAX",LEFT(K2868,6)="MV15AX",LEFT(K2868,4)="CTAX",LEFT(K2868,2)="W|"),2*N2868*O2868,0)</f>
        <v/>
      </c>
      <c r="Z2868" s="12" t="inlineStr">
        <is>
          <t>VD 2.9 %</t>
        </is>
      </c>
      <c r="AA2868" s="12">
        <f>N2868*O2868</f>
        <v/>
      </c>
    </row>
    <row r="2869">
      <c r="A2869" s="12" t="inlineStr">
        <is>
          <t>E-P-0075</t>
        </is>
      </c>
      <c r="B2869" s="12" t="inlineStr">
        <is>
          <t>E</t>
        </is>
      </c>
      <c r="C2869" s="12" t="inlineStr">
        <is>
          <t>Water / utilities</t>
        </is>
      </c>
      <c r="D2869" s="12" t="inlineStr">
        <is>
          <t>Motor 2 of 20, 15 kW</t>
        </is>
      </c>
      <c r="E2869" s="12" t="inlineStr">
        <is>
          <t>MCC-C2</t>
        </is>
      </c>
      <c r="F2869" s="12" t="inlineStr">
        <is>
          <t>R1 MCC-C2</t>
        </is>
      </c>
      <c r="G2869" s="12" t="inlineStr">
        <is>
          <t>R-WT</t>
        </is>
      </c>
      <c r="H2869" s="12" t="inlineStr">
        <is>
          <t>Water treatment building (incl. R-WT electrical room)</t>
        </is>
      </c>
      <c r="I2869" s="12" t="inlineStr">
        <is>
          <t>LV 600 V</t>
        </is>
      </c>
      <c r="J2869" s="12" t="inlineStr">
        <is>
          <t>Type TC-ER 600 V 3/C Cu XHHW-2 + ground, PVC jacket</t>
        </is>
      </c>
      <c r="K2869" s="12" t="inlineStr">
        <is>
          <t>LV|3/C+G|2</t>
        </is>
      </c>
      <c r="L2869" s="12" t="inlineStr">
        <is>
          <t>3/C+G</t>
        </is>
      </c>
      <c r="M2869" s="12" t="inlineStr">
        <is>
          <t>2</t>
        </is>
      </c>
      <c r="N2869" s="12" t="n">
        <v>1</v>
      </c>
      <c r="O2869" s="12" t="n">
        <v>1</v>
      </c>
      <c r="P2869" s="12" t="n">
        <v>480</v>
      </c>
      <c r="Q2869" s="12" t="n">
        <v>15</v>
      </c>
      <c r="R2869" s="12" t="n">
        <v>21.2</v>
      </c>
      <c r="S2869" s="12" t="inlineStr">
        <is>
          <t>Duct bank</t>
        </is>
      </c>
      <c r="T2869" s="16" t="n">
        <v>1629</v>
      </c>
      <c r="U2869" s="16" t="n">
        <v>145</v>
      </c>
      <c r="V2869" s="16">
        <f>ROUNDUP((T2869+U2869+2*'Read Me'!$B$13)*(1+'Read Me'!$B$12),-1)</f>
        <v/>
      </c>
      <c r="W2869" s="16">
        <f>V2869*N2869*O2869</f>
        <v/>
      </c>
      <c r="X2869" s="12">
        <f>IF(LEFT(I2869,2)="MV",2*N2869*IF(L2869="1/C",O2869,1),0)</f>
        <v/>
      </c>
      <c r="Y2869" s="12">
        <f>IF(OR(LEFT(K2869,4)="LVAX",LEFT(K2869,6)="MV15AX",LEFT(K2869,4)="CTAX",LEFT(K2869,2)="W|"),2*N2869*O2869,0)</f>
        <v/>
      </c>
      <c r="Z2869" s="12" t="inlineStr">
        <is>
          <t>VD 2.9 %</t>
        </is>
      </c>
      <c r="AA2869" s="12">
        <f>N2869*O2869</f>
        <v/>
      </c>
    </row>
    <row r="2870">
      <c r="A2870" s="12" t="inlineStr">
        <is>
          <t>E-P-0076</t>
        </is>
      </c>
      <c r="B2870" s="12" t="inlineStr">
        <is>
          <t>E</t>
        </is>
      </c>
      <c r="C2870" s="12" t="inlineStr">
        <is>
          <t>Water / utilities</t>
        </is>
      </c>
      <c r="D2870" s="12" t="inlineStr">
        <is>
          <t>Motor 3 of 20, 15 kW</t>
        </is>
      </c>
      <c r="E2870" s="12" t="inlineStr">
        <is>
          <t>MCC-C2</t>
        </is>
      </c>
      <c r="F2870" s="12" t="inlineStr">
        <is>
          <t>R1 MCC-C2</t>
        </is>
      </c>
      <c r="G2870" s="12" t="inlineStr">
        <is>
          <t>R-WT</t>
        </is>
      </c>
      <c r="H2870" s="12" t="inlineStr">
        <is>
          <t>Water treatment building (incl. R-WT electrical room)</t>
        </is>
      </c>
      <c r="I2870" s="12" t="inlineStr">
        <is>
          <t>LV 600 V</t>
        </is>
      </c>
      <c r="J2870" s="12" t="inlineStr">
        <is>
          <t>Type TC-ER 600 V 3/C Cu XHHW-2 + ground, PVC jacket</t>
        </is>
      </c>
      <c r="K2870" s="12" t="inlineStr">
        <is>
          <t>LV|3/C+G|2</t>
        </is>
      </c>
      <c r="L2870" s="12" t="inlineStr">
        <is>
          <t>3/C+G</t>
        </is>
      </c>
      <c r="M2870" s="12" t="inlineStr">
        <is>
          <t>2</t>
        </is>
      </c>
      <c r="N2870" s="12" t="n">
        <v>1</v>
      </c>
      <c r="O2870" s="12" t="n">
        <v>1</v>
      </c>
      <c r="P2870" s="12" t="n">
        <v>480</v>
      </c>
      <c r="Q2870" s="12" t="n">
        <v>15</v>
      </c>
      <c r="R2870" s="12" t="n">
        <v>21.2</v>
      </c>
      <c r="S2870" s="12" t="inlineStr">
        <is>
          <t>Duct bank</t>
        </is>
      </c>
      <c r="T2870" s="16" t="n">
        <v>1629</v>
      </c>
      <c r="U2870" s="16" t="n">
        <v>145</v>
      </c>
      <c r="V2870" s="16">
        <f>ROUNDUP((T2870+U2870+2*'Read Me'!$B$13)*(1+'Read Me'!$B$12),-1)</f>
        <v/>
      </c>
      <c r="W2870" s="16">
        <f>V2870*N2870*O2870</f>
        <v/>
      </c>
      <c r="X2870" s="12">
        <f>IF(LEFT(I2870,2)="MV",2*N2870*IF(L2870="1/C",O2870,1),0)</f>
        <v/>
      </c>
      <c r="Y2870" s="12">
        <f>IF(OR(LEFT(K2870,4)="LVAX",LEFT(K2870,6)="MV15AX",LEFT(K2870,4)="CTAX",LEFT(K2870,2)="W|"),2*N2870*O2870,0)</f>
        <v/>
      </c>
      <c r="Z2870" s="12" t="inlineStr">
        <is>
          <t>VD 2.9 %</t>
        </is>
      </c>
      <c r="AA2870" s="12">
        <f>N2870*O2870</f>
        <v/>
      </c>
    </row>
    <row r="2871">
      <c r="A2871" s="12" t="inlineStr">
        <is>
          <t>E-P-0077</t>
        </is>
      </c>
      <c r="B2871" s="12" t="inlineStr">
        <is>
          <t>E</t>
        </is>
      </c>
      <c r="C2871" s="12" t="inlineStr">
        <is>
          <t>Water / utilities</t>
        </is>
      </c>
      <c r="D2871" s="12" t="inlineStr">
        <is>
          <t>Motor 4 of 20, 15 kW</t>
        </is>
      </c>
      <c r="E2871" s="12" t="inlineStr">
        <is>
          <t>MCC-C2</t>
        </is>
      </c>
      <c r="F2871" s="12" t="inlineStr">
        <is>
          <t>R1 MCC-C2</t>
        </is>
      </c>
      <c r="G2871" s="12" t="inlineStr">
        <is>
          <t>R-WT</t>
        </is>
      </c>
      <c r="H2871" s="12" t="inlineStr">
        <is>
          <t>Water treatment building (incl. R-WT electrical room)</t>
        </is>
      </c>
      <c r="I2871" s="12" t="inlineStr">
        <is>
          <t>LV 600 V</t>
        </is>
      </c>
      <c r="J2871" s="12" t="inlineStr">
        <is>
          <t>Type TC-ER 600 V 3/C Cu XHHW-2 + ground, PVC jacket</t>
        </is>
      </c>
      <c r="K2871" s="12" t="inlineStr">
        <is>
          <t>LV|3/C+G|2</t>
        </is>
      </c>
      <c r="L2871" s="12" t="inlineStr">
        <is>
          <t>3/C+G</t>
        </is>
      </c>
      <c r="M2871" s="12" t="inlineStr">
        <is>
          <t>2</t>
        </is>
      </c>
      <c r="N2871" s="12" t="n">
        <v>1</v>
      </c>
      <c r="O2871" s="12" t="n">
        <v>1</v>
      </c>
      <c r="P2871" s="12" t="n">
        <v>480</v>
      </c>
      <c r="Q2871" s="12" t="n">
        <v>15</v>
      </c>
      <c r="R2871" s="12" t="n">
        <v>21.2</v>
      </c>
      <c r="S2871" s="12" t="inlineStr">
        <is>
          <t>Duct bank</t>
        </is>
      </c>
      <c r="T2871" s="16" t="n">
        <v>1629</v>
      </c>
      <c r="U2871" s="16" t="n">
        <v>145</v>
      </c>
      <c r="V2871" s="16">
        <f>ROUNDUP((T2871+U2871+2*'Read Me'!$B$13)*(1+'Read Me'!$B$12),-1)</f>
        <v/>
      </c>
      <c r="W2871" s="16">
        <f>V2871*N2871*O2871</f>
        <v/>
      </c>
      <c r="X2871" s="12">
        <f>IF(LEFT(I2871,2)="MV",2*N2871*IF(L2871="1/C",O2871,1),0)</f>
        <v/>
      </c>
      <c r="Y2871" s="12">
        <f>IF(OR(LEFT(K2871,4)="LVAX",LEFT(K2871,6)="MV15AX",LEFT(K2871,4)="CTAX",LEFT(K2871,2)="W|"),2*N2871*O2871,0)</f>
        <v/>
      </c>
      <c r="Z2871" s="12" t="inlineStr">
        <is>
          <t>VD 2.9 %</t>
        </is>
      </c>
      <c r="AA2871" s="12">
        <f>N2871*O2871</f>
        <v/>
      </c>
    </row>
    <row r="2872">
      <c r="A2872" s="12" t="inlineStr">
        <is>
          <t>E-P-0078</t>
        </is>
      </c>
      <c r="B2872" s="12" t="inlineStr">
        <is>
          <t>E</t>
        </is>
      </c>
      <c r="C2872" s="12" t="inlineStr">
        <is>
          <t>Water / utilities</t>
        </is>
      </c>
      <c r="D2872" s="12" t="inlineStr">
        <is>
          <t>Motor 5 of 20, 15 kW</t>
        </is>
      </c>
      <c r="E2872" s="12" t="inlineStr">
        <is>
          <t>MCC-C2</t>
        </is>
      </c>
      <c r="F2872" s="12" t="inlineStr">
        <is>
          <t>R1 MCC-C2</t>
        </is>
      </c>
      <c r="G2872" s="12" t="inlineStr">
        <is>
          <t>R-WT</t>
        </is>
      </c>
      <c r="H2872" s="12" t="inlineStr">
        <is>
          <t>Water treatment building (incl. R-WT electrical room)</t>
        </is>
      </c>
      <c r="I2872" s="12" t="inlineStr">
        <is>
          <t>LV 600 V</t>
        </is>
      </c>
      <c r="J2872" s="12" t="inlineStr">
        <is>
          <t>Type TC-ER 600 V 3/C Cu XHHW-2 + ground, PVC jacket</t>
        </is>
      </c>
      <c r="K2872" s="12" t="inlineStr">
        <is>
          <t>LV|3/C+G|2</t>
        </is>
      </c>
      <c r="L2872" s="12" t="inlineStr">
        <is>
          <t>3/C+G</t>
        </is>
      </c>
      <c r="M2872" s="12" t="inlineStr">
        <is>
          <t>2</t>
        </is>
      </c>
      <c r="N2872" s="12" t="n">
        <v>1</v>
      </c>
      <c r="O2872" s="12" t="n">
        <v>1</v>
      </c>
      <c r="P2872" s="12" t="n">
        <v>480</v>
      </c>
      <c r="Q2872" s="12" t="n">
        <v>15</v>
      </c>
      <c r="R2872" s="12" t="n">
        <v>21.2</v>
      </c>
      <c r="S2872" s="12" t="inlineStr">
        <is>
          <t>Duct bank</t>
        </is>
      </c>
      <c r="T2872" s="16" t="n">
        <v>1629</v>
      </c>
      <c r="U2872" s="16" t="n">
        <v>145</v>
      </c>
      <c r="V2872" s="16">
        <f>ROUNDUP((T2872+U2872+2*'Read Me'!$B$13)*(1+'Read Me'!$B$12),-1)</f>
        <v/>
      </c>
      <c r="W2872" s="16">
        <f>V2872*N2872*O2872</f>
        <v/>
      </c>
      <c r="X2872" s="12">
        <f>IF(LEFT(I2872,2)="MV",2*N2872*IF(L2872="1/C",O2872,1),0)</f>
        <v/>
      </c>
      <c r="Y2872" s="12">
        <f>IF(OR(LEFT(K2872,4)="LVAX",LEFT(K2872,6)="MV15AX",LEFT(K2872,4)="CTAX",LEFT(K2872,2)="W|"),2*N2872*O2872,0)</f>
        <v/>
      </c>
      <c r="Z2872" s="12" t="inlineStr">
        <is>
          <t>VD 2.9 %</t>
        </is>
      </c>
      <c r="AA2872" s="12">
        <f>N2872*O2872</f>
        <v/>
      </c>
    </row>
    <row r="2873">
      <c r="A2873" s="12" t="inlineStr">
        <is>
          <t>E-P-0079</t>
        </is>
      </c>
      <c r="B2873" s="12" t="inlineStr">
        <is>
          <t>E</t>
        </is>
      </c>
      <c r="C2873" s="12" t="inlineStr">
        <is>
          <t>Water / utilities</t>
        </is>
      </c>
      <c r="D2873" s="12" t="inlineStr">
        <is>
          <t>Motor 6 of 20, 15 kW</t>
        </is>
      </c>
      <c r="E2873" s="12" t="inlineStr">
        <is>
          <t>MCC-C2</t>
        </is>
      </c>
      <c r="F2873" s="12" t="inlineStr">
        <is>
          <t>R1 MCC-C2</t>
        </is>
      </c>
      <c r="G2873" s="12" t="inlineStr">
        <is>
          <t>R-WT</t>
        </is>
      </c>
      <c r="H2873" s="12" t="inlineStr">
        <is>
          <t>Water treatment building (incl. R-WT electrical room)</t>
        </is>
      </c>
      <c r="I2873" s="12" t="inlineStr">
        <is>
          <t>LV 600 V</t>
        </is>
      </c>
      <c r="J2873" s="12" t="inlineStr">
        <is>
          <t>Type TC-ER 600 V 3/C Cu XHHW-2 + ground, PVC jacket</t>
        </is>
      </c>
      <c r="K2873" s="12" t="inlineStr">
        <is>
          <t>LV|3/C+G|2</t>
        </is>
      </c>
      <c r="L2873" s="12" t="inlineStr">
        <is>
          <t>3/C+G</t>
        </is>
      </c>
      <c r="M2873" s="12" t="inlineStr">
        <is>
          <t>2</t>
        </is>
      </c>
      <c r="N2873" s="12" t="n">
        <v>1</v>
      </c>
      <c r="O2873" s="12" t="n">
        <v>1</v>
      </c>
      <c r="P2873" s="12" t="n">
        <v>480</v>
      </c>
      <c r="Q2873" s="12" t="n">
        <v>15</v>
      </c>
      <c r="R2873" s="12" t="n">
        <v>21.2</v>
      </c>
      <c r="S2873" s="12" t="inlineStr">
        <is>
          <t>Duct bank</t>
        </is>
      </c>
      <c r="T2873" s="16" t="n">
        <v>1629</v>
      </c>
      <c r="U2873" s="16" t="n">
        <v>145</v>
      </c>
      <c r="V2873" s="16">
        <f>ROUNDUP((T2873+U2873+2*'Read Me'!$B$13)*(1+'Read Me'!$B$12),-1)</f>
        <v/>
      </c>
      <c r="W2873" s="16">
        <f>V2873*N2873*O2873</f>
        <v/>
      </c>
      <c r="X2873" s="12">
        <f>IF(LEFT(I2873,2)="MV",2*N2873*IF(L2873="1/C",O2873,1),0)</f>
        <v/>
      </c>
      <c r="Y2873" s="12">
        <f>IF(OR(LEFT(K2873,4)="LVAX",LEFT(K2873,6)="MV15AX",LEFT(K2873,4)="CTAX",LEFT(K2873,2)="W|"),2*N2873*O2873,0)</f>
        <v/>
      </c>
      <c r="Z2873" s="12" t="inlineStr">
        <is>
          <t>VD 2.9 %</t>
        </is>
      </c>
      <c r="AA2873" s="12">
        <f>N2873*O2873</f>
        <v/>
      </c>
    </row>
    <row r="2874">
      <c r="A2874" s="12" t="inlineStr">
        <is>
          <t>E-P-0080</t>
        </is>
      </c>
      <c r="B2874" s="12" t="inlineStr">
        <is>
          <t>E</t>
        </is>
      </c>
      <c r="C2874" s="12" t="inlineStr">
        <is>
          <t>Water / utilities</t>
        </is>
      </c>
      <c r="D2874" s="12" t="inlineStr">
        <is>
          <t>Motor 7 of 20, 15 kW</t>
        </is>
      </c>
      <c r="E2874" s="12" t="inlineStr">
        <is>
          <t>MCC-C2</t>
        </is>
      </c>
      <c r="F2874" s="12" t="inlineStr">
        <is>
          <t>R1 MCC-C2</t>
        </is>
      </c>
      <c r="G2874" s="12" t="inlineStr">
        <is>
          <t>R-WT</t>
        </is>
      </c>
      <c r="H2874" s="12" t="inlineStr">
        <is>
          <t>Water treatment building (incl. R-WT electrical room)</t>
        </is>
      </c>
      <c r="I2874" s="12" t="inlineStr">
        <is>
          <t>LV 600 V</t>
        </is>
      </c>
      <c r="J2874" s="12" t="inlineStr">
        <is>
          <t>Type TC-ER 600 V 3/C Cu XHHW-2 + ground, PVC jacket</t>
        </is>
      </c>
      <c r="K2874" s="12" t="inlineStr">
        <is>
          <t>LV|3/C+G|2</t>
        </is>
      </c>
      <c r="L2874" s="12" t="inlineStr">
        <is>
          <t>3/C+G</t>
        </is>
      </c>
      <c r="M2874" s="12" t="inlineStr">
        <is>
          <t>2</t>
        </is>
      </c>
      <c r="N2874" s="12" t="n">
        <v>1</v>
      </c>
      <c r="O2874" s="12" t="n">
        <v>1</v>
      </c>
      <c r="P2874" s="12" t="n">
        <v>480</v>
      </c>
      <c r="Q2874" s="12" t="n">
        <v>15</v>
      </c>
      <c r="R2874" s="12" t="n">
        <v>21.2</v>
      </c>
      <c r="S2874" s="12" t="inlineStr">
        <is>
          <t>Duct bank</t>
        </is>
      </c>
      <c r="T2874" s="16" t="n">
        <v>1629</v>
      </c>
      <c r="U2874" s="16" t="n">
        <v>145</v>
      </c>
      <c r="V2874" s="16">
        <f>ROUNDUP((T2874+U2874+2*'Read Me'!$B$13)*(1+'Read Me'!$B$12),-1)</f>
        <v/>
      </c>
      <c r="W2874" s="16">
        <f>V2874*N2874*O2874</f>
        <v/>
      </c>
      <c r="X2874" s="12">
        <f>IF(LEFT(I2874,2)="MV",2*N2874*IF(L2874="1/C",O2874,1),0)</f>
        <v/>
      </c>
      <c r="Y2874" s="12">
        <f>IF(OR(LEFT(K2874,4)="LVAX",LEFT(K2874,6)="MV15AX",LEFT(K2874,4)="CTAX",LEFT(K2874,2)="W|"),2*N2874*O2874,0)</f>
        <v/>
      </c>
      <c r="Z2874" s="12" t="inlineStr">
        <is>
          <t>VD 2.9 %</t>
        </is>
      </c>
      <c r="AA2874" s="12">
        <f>N2874*O2874</f>
        <v/>
      </c>
    </row>
    <row r="2875">
      <c r="A2875" s="12" t="inlineStr">
        <is>
          <t>E-P-0081</t>
        </is>
      </c>
      <c r="B2875" s="12" t="inlineStr">
        <is>
          <t>E</t>
        </is>
      </c>
      <c r="C2875" s="12" t="inlineStr">
        <is>
          <t>Water / utilities</t>
        </is>
      </c>
      <c r="D2875" s="12" t="inlineStr">
        <is>
          <t>Motor 8 of 20, 15 kW</t>
        </is>
      </c>
      <c r="E2875" s="12" t="inlineStr">
        <is>
          <t>MCC-C2</t>
        </is>
      </c>
      <c r="F2875" s="12" t="inlineStr">
        <is>
          <t>R1 MCC-C2</t>
        </is>
      </c>
      <c r="G2875" s="12" t="inlineStr">
        <is>
          <t>R-WT</t>
        </is>
      </c>
      <c r="H2875" s="12" t="inlineStr">
        <is>
          <t>Water treatment building (incl. R-WT electrical room)</t>
        </is>
      </c>
      <c r="I2875" s="12" t="inlineStr">
        <is>
          <t>LV 600 V</t>
        </is>
      </c>
      <c r="J2875" s="12" t="inlineStr">
        <is>
          <t>Type TC-ER 600 V 3/C Cu XHHW-2 + ground, PVC jacket</t>
        </is>
      </c>
      <c r="K2875" s="12" t="inlineStr">
        <is>
          <t>LV|3/C+G|2</t>
        </is>
      </c>
      <c r="L2875" s="12" t="inlineStr">
        <is>
          <t>3/C+G</t>
        </is>
      </c>
      <c r="M2875" s="12" t="inlineStr">
        <is>
          <t>2</t>
        </is>
      </c>
      <c r="N2875" s="12" t="n">
        <v>1</v>
      </c>
      <c r="O2875" s="12" t="n">
        <v>1</v>
      </c>
      <c r="P2875" s="12" t="n">
        <v>480</v>
      </c>
      <c r="Q2875" s="12" t="n">
        <v>15</v>
      </c>
      <c r="R2875" s="12" t="n">
        <v>21.2</v>
      </c>
      <c r="S2875" s="12" t="inlineStr">
        <is>
          <t>Duct bank</t>
        </is>
      </c>
      <c r="T2875" s="16" t="n">
        <v>1629</v>
      </c>
      <c r="U2875" s="16" t="n">
        <v>145</v>
      </c>
      <c r="V2875" s="16">
        <f>ROUNDUP((T2875+U2875+2*'Read Me'!$B$13)*(1+'Read Me'!$B$12),-1)</f>
        <v/>
      </c>
      <c r="W2875" s="16">
        <f>V2875*N2875*O2875</f>
        <v/>
      </c>
      <c r="X2875" s="12">
        <f>IF(LEFT(I2875,2)="MV",2*N2875*IF(L2875="1/C",O2875,1),0)</f>
        <v/>
      </c>
      <c r="Y2875" s="12">
        <f>IF(OR(LEFT(K2875,4)="LVAX",LEFT(K2875,6)="MV15AX",LEFT(K2875,4)="CTAX",LEFT(K2875,2)="W|"),2*N2875*O2875,0)</f>
        <v/>
      </c>
      <c r="Z2875" s="12" t="inlineStr">
        <is>
          <t>VD 2.9 %</t>
        </is>
      </c>
      <c r="AA2875" s="12">
        <f>N2875*O2875</f>
        <v/>
      </c>
    </row>
    <row r="2876">
      <c r="A2876" s="12" t="inlineStr">
        <is>
          <t>E-P-0082</t>
        </is>
      </c>
      <c r="B2876" s="12" t="inlineStr">
        <is>
          <t>E</t>
        </is>
      </c>
      <c r="C2876" s="12" t="inlineStr">
        <is>
          <t>Water / utilities</t>
        </is>
      </c>
      <c r="D2876" s="12" t="inlineStr">
        <is>
          <t>Motor 9 of 20, 15 kW</t>
        </is>
      </c>
      <c r="E2876" s="12" t="inlineStr">
        <is>
          <t>MCC-C2</t>
        </is>
      </c>
      <c r="F2876" s="12" t="inlineStr">
        <is>
          <t>R1 MCC-C2</t>
        </is>
      </c>
      <c r="G2876" s="12" t="inlineStr">
        <is>
          <t>R-WT</t>
        </is>
      </c>
      <c r="H2876" s="12" t="inlineStr">
        <is>
          <t>Water treatment building (incl. R-WT electrical room)</t>
        </is>
      </c>
      <c r="I2876" s="12" t="inlineStr">
        <is>
          <t>LV 600 V</t>
        </is>
      </c>
      <c r="J2876" s="12" t="inlineStr">
        <is>
          <t>Type TC-ER 600 V 3/C Cu XHHW-2 + ground, PVC jacket</t>
        </is>
      </c>
      <c r="K2876" s="12" t="inlineStr">
        <is>
          <t>LV|3/C+G|2</t>
        </is>
      </c>
      <c r="L2876" s="12" t="inlineStr">
        <is>
          <t>3/C+G</t>
        </is>
      </c>
      <c r="M2876" s="12" t="inlineStr">
        <is>
          <t>2</t>
        </is>
      </c>
      <c r="N2876" s="12" t="n">
        <v>1</v>
      </c>
      <c r="O2876" s="12" t="n">
        <v>1</v>
      </c>
      <c r="P2876" s="12" t="n">
        <v>480</v>
      </c>
      <c r="Q2876" s="12" t="n">
        <v>15</v>
      </c>
      <c r="R2876" s="12" t="n">
        <v>21.2</v>
      </c>
      <c r="S2876" s="12" t="inlineStr">
        <is>
          <t>Duct bank</t>
        </is>
      </c>
      <c r="T2876" s="16" t="n">
        <v>1629</v>
      </c>
      <c r="U2876" s="16" t="n">
        <v>145</v>
      </c>
      <c r="V2876" s="16">
        <f>ROUNDUP((T2876+U2876+2*'Read Me'!$B$13)*(1+'Read Me'!$B$12),-1)</f>
        <v/>
      </c>
      <c r="W2876" s="16">
        <f>V2876*N2876*O2876</f>
        <v/>
      </c>
      <c r="X2876" s="12">
        <f>IF(LEFT(I2876,2)="MV",2*N2876*IF(L2876="1/C",O2876,1),0)</f>
        <v/>
      </c>
      <c r="Y2876" s="12">
        <f>IF(OR(LEFT(K2876,4)="LVAX",LEFT(K2876,6)="MV15AX",LEFT(K2876,4)="CTAX",LEFT(K2876,2)="W|"),2*N2876*O2876,0)</f>
        <v/>
      </c>
      <c r="Z2876" s="12" t="inlineStr">
        <is>
          <t>VD 2.9 %</t>
        </is>
      </c>
      <c r="AA2876" s="12">
        <f>N2876*O2876</f>
        <v/>
      </c>
    </row>
    <row r="2877">
      <c r="A2877" s="12" t="inlineStr">
        <is>
          <t>E-P-0083</t>
        </is>
      </c>
      <c r="B2877" s="12" t="inlineStr">
        <is>
          <t>E</t>
        </is>
      </c>
      <c r="C2877" s="12" t="inlineStr">
        <is>
          <t>Water / utilities</t>
        </is>
      </c>
      <c r="D2877" s="12" t="inlineStr">
        <is>
          <t>Motor 10 of 20, 15 kW</t>
        </is>
      </c>
      <c r="E2877" s="12" t="inlineStr">
        <is>
          <t>MCC-C2</t>
        </is>
      </c>
      <c r="F2877" s="12" t="inlineStr">
        <is>
          <t>R1 MCC-C2</t>
        </is>
      </c>
      <c r="G2877" s="12" t="inlineStr">
        <is>
          <t>R-WT</t>
        </is>
      </c>
      <c r="H2877" s="12" t="inlineStr">
        <is>
          <t>Water treatment building (incl. R-WT electrical room)</t>
        </is>
      </c>
      <c r="I2877" s="12" t="inlineStr">
        <is>
          <t>LV 600 V</t>
        </is>
      </c>
      <c r="J2877" s="12" t="inlineStr">
        <is>
          <t>Type TC-ER 600 V 3/C Cu XHHW-2 + ground, PVC jacket</t>
        </is>
      </c>
      <c r="K2877" s="12" t="inlineStr">
        <is>
          <t>LV|3/C+G|2</t>
        </is>
      </c>
      <c r="L2877" s="12" t="inlineStr">
        <is>
          <t>3/C+G</t>
        </is>
      </c>
      <c r="M2877" s="12" t="inlineStr">
        <is>
          <t>2</t>
        </is>
      </c>
      <c r="N2877" s="12" t="n">
        <v>1</v>
      </c>
      <c r="O2877" s="12" t="n">
        <v>1</v>
      </c>
      <c r="P2877" s="12" t="n">
        <v>480</v>
      </c>
      <c r="Q2877" s="12" t="n">
        <v>15</v>
      </c>
      <c r="R2877" s="12" t="n">
        <v>21.2</v>
      </c>
      <c r="S2877" s="12" t="inlineStr">
        <is>
          <t>Duct bank</t>
        </is>
      </c>
      <c r="T2877" s="16" t="n">
        <v>1629</v>
      </c>
      <c r="U2877" s="16" t="n">
        <v>145</v>
      </c>
      <c r="V2877" s="16">
        <f>ROUNDUP((T2877+U2877+2*'Read Me'!$B$13)*(1+'Read Me'!$B$12),-1)</f>
        <v/>
      </c>
      <c r="W2877" s="16">
        <f>V2877*N2877*O2877</f>
        <v/>
      </c>
      <c r="X2877" s="12">
        <f>IF(LEFT(I2877,2)="MV",2*N2877*IF(L2877="1/C",O2877,1),0)</f>
        <v/>
      </c>
      <c r="Y2877" s="12">
        <f>IF(OR(LEFT(K2877,4)="LVAX",LEFT(K2877,6)="MV15AX",LEFT(K2877,4)="CTAX",LEFT(K2877,2)="W|"),2*N2877*O2877,0)</f>
        <v/>
      </c>
      <c r="Z2877" s="12" t="inlineStr">
        <is>
          <t>VD 2.9 %</t>
        </is>
      </c>
      <c r="AA2877" s="12">
        <f>N2877*O2877</f>
        <v/>
      </c>
    </row>
    <row r="2878">
      <c r="A2878" s="12" t="inlineStr">
        <is>
          <t>E-P-0084</t>
        </is>
      </c>
      <c r="B2878" s="12" t="inlineStr">
        <is>
          <t>E</t>
        </is>
      </c>
      <c r="C2878" s="12" t="inlineStr">
        <is>
          <t>Water / utilities</t>
        </is>
      </c>
      <c r="D2878" s="12" t="inlineStr">
        <is>
          <t>Motor 11 of 20, 15 kW</t>
        </is>
      </c>
      <c r="E2878" s="12" t="inlineStr">
        <is>
          <t>MCC-C2</t>
        </is>
      </c>
      <c r="F2878" s="12" t="inlineStr">
        <is>
          <t>R1 MCC-C2</t>
        </is>
      </c>
      <c r="G2878" s="12" t="inlineStr">
        <is>
          <t>R-WT</t>
        </is>
      </c>
      <c r="H2878" s="12" t="inlineStr">
        <is>
          <t>Water treatment building (incl. R-WT electrical room)</t>
        </is>
      </c>
      <c r="I2878" s="12" t="inlineStr">
        <is>
          <t>LV 600 V</t>
        </is>
      </c>
      <c r="J2878" s="12" t="inlineStr">
        <is>
          <t>Type TC-ER 600 V 3/C Cu XHHW-2 + ground, PVC jacket</t>
        </is>
      </c>
      <c r="K2878" s="12" t="inlineStr">
        <is>
          <t>LV|3/C+G|2</t>
        </is>
      </c>
      <c r="L2878" s="12" t="inlineStr">
        <is>
          <t>3/C+G</t>
        </is>
      </c>
      <c r="M2878" s="12" t="inlineStr">
        <is>
          <t>2</t>
        </is>
      </c>
      <c r="N2878" s="12" t="n">
        <v>1</v>
      </c>
      <c r="O2878" s="12" t="n">
        <v>1</v>
      </c>
      <c r="P2878" s="12" t="n">
        <v>480</v>
      </c>
      <c r="Q2878" s="12" t="n">
        <v>15</v>
      </c>
      <c r="R2878" s="12" t="n">
        <v>21.2</v>
      </c>
      <c r="S2878" s="12" t="inlineStr">
        <is>
          <t>Duct bank</t>
        </is>
      </c>
      <c r="T2878" s="16" t="n">
        <v>1629</v>
      </c>
      <c r="U2878" s="16" t="n">
        <v>145</v>
      </c>
      <c r="V2878" s="16">
        <f>ROUNDUP((T2878+U2878+2*'Read Me'!$B$13)*(1+'Read Me'!$B$12),-1)</f>
        <v/>
      </c>
      <c r="W2878" s="16">
        <f>V2878*N2878*O2878</f>
        <v/>
      </c>
      <c r="X2878" s="12">
        <f>IF(LEFT(I2878,2)="MV",2*N2878*IF(L2878="1/C",O2878,1),0)</f>
        <v/>
      </c>
      <c r="Y2878" s="12">
        <f>IF(OR(LEFT(K2878,4)="LVAX",LEFT(K2878,6)="MV15AX",LEFT(K2878,4)="CTAX",LEFT(K2878,2)="W|"),2*N2878*O2878,0)</f>
        <v/>
      </c>
      <c r="Z2878" s="12" t="inlineStr">
        <is>
          <t>VD 2.9 %</t>
        </is>
      </c>
      <c r="AA2878" s="12">
        <f>N2878*O2878</f>
        <v/>
      </c>
    </row>
    <row r="2879">
      <c r="A2879" s="12" t="inlineStr">
        <is>
          <t>E-P-0085</t>
        </is>
      </c>
      <c r="B2879" s="12" t="inlineStr">
        <is>
          <t>E</t>
        </is>
      </c>
      <c r="C2879" s="12" t="inlineStr">
        <is>
          <t>Water / utilities</t>
        </is>
      </c>
      <c r="D2879" s="12" t="inlineStr">
        <is>
          <t>Motor 12 of 20, 15 kW</t>
        </is>
      </c>
      <c r="E2879" s="12" t="inlineStr">
        <is>
          <t>MCC-C2</t>
        </is>
      </c>
      <c r="F2879" s="12" t="inlineStr">
        <is>
          <t>R1 MCC-C2</t>
        </is>
      </c>
      <c r="G2879" s="12" t="inlineStr">
        <is>
          <t>R-WT</t>
        </is>
      </c>
      <c r="H2879" s="12" t="inlineStr">
        <is>
          <t>Water treatment building (incl. R-WT electrical room)</t>
        </is>
      </c>
      <c r="I2879" s="12" t="inlineStr">
        <is>
          <t>LV 600 V</t>
        </is>
      </c>
      <c r="J2879" s="12" t="inlineStr">
        <is>
          <t>Type TC-ER 600 V 3/C Cu XHHW-2 + ground, PVC jacket</t>
        </is>
      </c>
      <c r="K2879" s="12" t="inlineStr">
        <is>
          <t>LV|3/C+G|2</t>
        </is>
      </c>
      <c r="L2879" s="12" t="inlineStr">
        <is>
          <t>3/C+G</t>
        </is>
      </c>
      <c r="M2879" s="12" t="inlineStr">
        <is>
          <t>2</t>
        </is>
      </c>
      <c r="N2879" s="12" t="n">
        <v>1</v>
      </c>
      <c r="O2879" s="12" t="n">
        <v>1</v>
      </c>
      <c r="P2879" s="12" t="n">
        <v>480</v>
      </c>
      <c r="Q2879" s="12" t="n">
        <v>15</v>
      </c>
      <c r="R2879" s="12" t="n">
        <v>21.2</v>
      </c>
      <c r="S2879" s="12" t="inlineStr">
        <is>
          <t>Duct bank</t>
        </is>
      </c>
      <c r="T2879" s="16" t="n">
        <v>1629</v>
      </c>
      <c r="U2879" s="16" t="n">
        <v>145</v>
      </c>
      <c r="V2879" s="16">
        <f>ROUNDUP((T2879+U2879+2*'Read Me'!$B$13)*(1+'Read Me'!$B$12),-1)</f>
        <v/>
      </c>
      <c r="W2879" s="16">
        <f>V2879*N2879*O2879</f>
        <v/>
      </c>
      <c r="X2879" s="12">
        <f>IF(LEFT(I2879,2)="MV",2*N2879*IF(L2879="1/C",O2879,1),0)</f>
        <v/>
      </c>
      <c r="Y2879" s="12">
        <f>IF(OR(LEFT(K2879,4)="LVAX",LEFT(K2879,6)="MV15AX",LEFT(K2879,4)="CTAX",LEFT(K2879,2)="W|"),2*N2879*O2879,0)</f>
        <v/>
      </c>
      <c r="Z2879" s="12" t="inlineStr">
        <is>
          <t>VD 2.9 %</t>
        </is>
      </c>
      <c r="AA2879" s="12">
        <f>N2879*O2879</f>
        <v/>
      </c>
    </row>
    <row r="2880">
      <c r="A2880" s="12" t="inlineStr">
        <is>
          <t>E-P-0086</t>
        </is>
      </c>
      <c r="B2880" s="12" t="inlineStr">
        <is>
          <t>E</t>
        </is>
      </c>
      <c r="C2880" s="12" t="inlineStr">
        <is>
          <t>Water / utilities</t>
        </is>
      </c>
      <c r="D2880" s="12" t="inlineStr">
        <is>
          <t>Motor 13 of 20, 15 kW</t>
        </is>
      </c>
      <c r="E2880" s="12" t="inlineStr">
        <is>
          <t>MCC-C2</t>
        </is>
      </c>
      <c r="F2880" s="12" t="inlineStr">
        <is>
          <t>R1 MCC-C2</t>
        </is>
      </c>
      <c r="G2880" s="12" t="inlineStr">
        <is>
          <t>R-WT</t>
        </is>
      </c>
      <c r="H2880" s="12" t="inlineStr">
        <is>
          <t>Water treatment building (incl. R-WT electrical room)</t>
        </is>
      </c>
      <c r="I2880" s="12" t="inlineStr">
        <is>
          <t>LV 600 V</t>
        </is>
      </c>
      <c r="J2880" s="12" t="inlineStr">
        <is>
          <t>Type TC-ER 600 V 3/C Cu XHHW-2 + ground, PVC jacket</t>
        </is>
      </c>
      <c r="K2880" s="12" t="inlineStr">
        <is>
          <t>LV|3/C+G|2</t>
        </is>
      </c>
      <c r="L2880" s="12" t="inlineStr">
        <is>
          <t>3/C+G</t>
        </is>
      </c>
      <c r="M2880" s="12" t="inlineStr">
        <is>
          <t>2</t>
        </is>
      </c>
      <c r="N2880" s="12" t="n">
        <v>1</v>
      </c>
      <c r="O2880" s="12" t="n">
        <v>1</v>
      </c>
      <c r="P2880" s="12" t="n">
        <v>480</v>
      </c>
      <c r="Q2880" s="12" t="n">
        <v>15</v>
      </c>
      <c r="R2880" s="12" t="n">
        <v>21.2</v>
      </c>
      <c r="S2880" s="12" t="inlineStr">
        <is>
          <t>Duct bank</t>
        </is>
      </c>
      <c r="T2880" s="16" t="n">
        <v>1629</v>
      </c>
      <c r="U2880" s="16" t="n">
        <v>145</v>
      </c>
      <c r="V2880" s="16">
        <f>ROUNDUP((T2880+U2880+2*'Read Me'!$B$13)*(1+'Read Me'!$B$12),-1)</f>
        <v/>
      </c>
      <c r="W2880" s="16">
        <f>V2880*N2880*O2880</f>
        <v/>
      </c>
      <c r="X2880" s="12">
        <f>IF(LEFT(I2880,2)="MV",2*N2880*IF(L2880="1/C",O2880,1),0)</f>
        <v/>
      </c>
      <c r="Y2880" s="12">
        <f>IF(OR(LEFT(K2880,4)="LVAX",LEFT(K2880,6)="MV15AX",LEFT(K2880,4)="CTAX",LEFT(K2880,2)="W|"),2*N2880*O2880,0)</f>
        <v/>
      </c>
      <c r="Z2880" s="12" t="inlineStr">
        <is>
          <t>VD 2.9 %</t>
        </is>
      </c>
      <c r="AA2880" s="12">
        <f>N2880*O2880</f>
        <v/>
      </c>
    </row>
    <row r="2881">
      <c r="A2881" s="12" t="inlineStr">
        <is>
          <t>E-P-0087</t>
        </is>
      </c>
      <c r="B2881" s="12" t="inlineStr">
        <is>
          <t>E</t>
        </is>
      </c>
      <c r="C2881" s="12" t="inlineStr">
        <is>
          <t>Water / utilities</t>
        </is>
      </c>
      <c r="D2881" s="12" t="inlineStr">
        <is>
          <t>Motor 14 of 20, 15 kW</t>
        </is>
      </c>
      <c r="E2881" s="12" t="inlineStr">
        <is>
          <t>MCC-C2</t>
        </is>
      </c>
      <c r="F2881" s="12" t="inlineStr">
        <is>
          <t>R1 MCC-C2</t>
        </is>
      </c>
      <c r="G2881" s="12" t="inlineStr">
        <is>
          <t>R-WT</t>
        </is>
      </c>
      <c r="H2881" s="12" t="inlineStr">
        <is>
          <t>Water treatment building (incl. R-WT electrical room)</t>
        </is>
      </c>
      <c r="I2881" s="12" t="inlineStr">
        <is>
          <t>LV 600 V</t>
        </is>
      </c>
      <c r="J2881" s="12" t="inlineStr">
        <is>
          <t>Type TC-ER 600 V 3/C Cu XHHW-2 + ground, PVC jacket</t>
        </is>
      </c>
      <c r="K2881" s="12" t="inlineStr">
        <is>
          <t>LV|3/C+G|2</t>
        </is>
      </c>
      <c r="L2881" s="12" t="inlineStr">
        <is>
          <t>3/C+G</t>
        </is>
      </c>
      <c r="M2881" s="12" t="inlineStr">
        <is>
          <t>2</t>
        </is>
      </c>
      <c r="N2881" s="12" t="n">
        <v>1</v>
      </c>
      <c r="O2881" s="12" t="n">
        <v>1</v>
      </c>
      <c r="P2881" s="12" t="n">
        <v>480</v>
      </c>
      <c r="Q2881" s="12" t="n">
        <v>15</v>
      </c>
      <c r="R2881" s="12" t="n">
        <v>21.2</v>
      </c>
      <c r="S2881" s="12" t="inlineStr">
        <is>
          <t>Duct bank</t>
        </is>
      </c>
      <c r="T2881" s="16" t="n">
        <v>1629</v>
      </c>
      <c r="U2881" s="16" t="n">
        <v>145</v>
      </c>
      <c r="V2881" s="16">
        <f>ROUNDUP((T2881+U2881+2*'Read Me'!$B$13)*(1+'Read Me'!$B$12),-1)</f>
        <v/>
      </c>
      <c r="W2881" s="16">
        <f>V2881*N2881*O2881</f>
        <v/>
      </c>
      <c r="X2881" s="12">
        <f>IF(LEFT(I2881,2)="MV",2*N2881*IF(L2881="1/C",O2881,1),0)</f>
        <v/>
      </c>
      <c r="Y2881" s="12">
        <f>IF(OR(LEFT(K2881,4)="LVAX",LEFT(K2881,6)="MV15AX",LEFT(K2881,4)="CTAX",LEFT(K2881,2)="W|"),2*N2881*O2881,0)</f>
        <v/>
      </c>
      <c r="Z2881" s="12" t="inlineStr">
        <is>
          <t>VD 2.9 %</t>
        </is>
      </c>
      <c r="AA2881" s="12">
        <f>N2881*O2881</f>
        <v/>
      </c>
    </row>
    <row r="2882">
      <c r="A2882" s="12" t="inlineStr">
        <is>
          <t>E-P-0088</t>
        </is>
      </c>
      <c r="B2882" s="12" t="inlineStr">
        <is>
          <t>E</t>
        </is>
      </c>
      <c r="C2882" s="12" t="inlineStr">
        <is>
          <t>Water / utilities</t>
        </is>
      </c>
      <c r="D2882" s="12" t="inlineStr">
        <is>
          <t>Motor 15 of 20, 15 kW</t>
        </is>
      </c>
      <c r="E2882" s="12" t="inlineStr">
        <is>
          <t>MCC-C2</t>
        </is>
      </c>
      <c r="F2882" s="12" t="inlineStr">
        <is>
          <t>R1 MCC-C2</t>
        </is>
      </c>
      <c r="G2882" s="12" t="inlineStr">
        <is>
          <t>R-WT</t>
        </is>
      </c>
      <c r="H2882" s="12" t="inlineStr">
        <is>
          <t>Water treatment building (incl. R-WT electrical room)</t>
        </is>
      </c>
      <c r="I2882" s="12" t="inlineStr">
        <is>
          <t>LV 600 V</t>
        </is>
      </c>
      <c r="J2882" s="12" t="inlineStr">
        <is>
          <t>Type TC-ER 600 V 3/C Cu XHHW-2 + ground, PVC jacket</t>
        </is>
      </c>
      <c r="K2882" s="12" t="inlineStr">
        <is>
          <t>LV|3/C+G|2</t>
        </is>
      </c>
      <c r="L2882" s="12" t="inlineStr">
        <is>
          <t>3/C+G</t>
        </is>
      </c>
      <c r="M2882" s="12" t="inlineStr">
        <is>
          <t>2</t>
        </is>
      </c>
      <c r="N2882" s="12" t="n">
        <v>1</v>
      </c>
      <c r="O2882" s="12" t="n">
        <v>1</v>
      </c>
      <c r="P2882" s="12" t="n">
        <v>480</v>
      </c>
      <c r="Q2882" s="12" t="n">
        <v>15</v>
      </c>
      <c r="R2882" s="12" t="n">
        <v>21.2</v>
      </c>
      <c r="S2882" s="12" t="inlineStr">
        <is>
          <t>Duct bank</t>
        </is>
      </c>
      <c r="T2882" s="16" t="n">
        <v>1629</v>
      </c>
      <c r="U2882" s="16" t="n">
        <v>145</v>
      </c>
      <c r="V2882" s="16">
        <f>ROUNDUP((T2882+U2882+2*'Read Me'!$B$13)*(1+'Read Me'!$B$12),-1)</f>
        <v/>
      </c>
      <c r="W2882" s="16">
        <f>V2882*N2882*O2882</f>
        <v/>
      </c>
      <c r="X2882" s="12">
        <f>IF(LEFT(I2882,2)="MV",2*N2882*IF(L2882="1/C",O2882,1),0)</f>
        <v/>
      </c>
      <c r="Y2882" s="12">
        <f>IF(OR(LEFT(K2882,4)="LVAX",LEFT(K2882,6)="MV15AX",LEFT(K2882,4)="CTAX",LEFT(K2882,2)="W|"),2*N2882*O2882,0)</f>
        <v/>
      </c>
      <c r="Z2882" s="12" t="inlineStr">
        <is>
          <t>VD 2.9 %</t>
        </is>
      </c>
      <c r="AA2882" s="12">
        <f>N2882*O2882</f>
        <v/>
      </c>
    </row>
    <row r="2883">
      <c r="A2883" s="12" t="inlineStr">
        <is>
          <t>E-P-0089</t>
        </is>
      </c>
      <c r="B2883" s="12" t="inlineStr">
        <is>
          <t>E</t>
        </is>
      </c>
      <c r="C2883" s="12" t="inlineStr">
        <is>
          <t>Water / utilities</t>
        </is>
      </c>
      <c r="D2883" s="12" t="inlineStr">
        <is>
          <t>Motor 16 of 20, 15 kW</t>
        </is>
      </c>
      <c r="E2883" s="12" t="inlineStr">
        <is>
          <t>MCC-C2</t>
        </is>
      </c>
      <c r="F2883" s="12" t="inlineStr">
        <is>
          <t>R1 MCC-C2</t>
        </is>
      </c>
      <c r="G2883" s="12" t="inlineStr">
        <is>
          <t>R-WT</t>
        </is>
      </c>
      <c r="H2883" s="12" t="inlineStr">
        <is>
          <t>Water treatment building (incl. R-WT electrical room)</t>
        </is>
      </c>
      <c r="I2883" s="12" t="inlineStr">
        <is>
          <t>LV 600 V</t>
        </is>
      </c>
      <c r="J2883" s="12" t="inlineStr">
        <is>
          <t>Type TC-ER 600 V 3/C Cu XHHW-2 + ground, PVC jacket</t>
        </is>
      </c>
      <c r="K2883" s="12" t="inlineStr">
        <is>
          <t>LV|3/C+G|2</t>
        </is>
      </c>
      <c r="L2883" s="12" t="inlineStr">
        <is>
          <t>3/C+G</t>
        </is>
      </c>
      <c r="M2883" s="12" t="inlineStr">
        <is>
          <t>2</t>
        </is>
      </c>
      <c r="N2883" s="12" t="n">
        <v>1</v>
      </c>
      <c r="O2883" s="12" t="n">
        <v>1</v>
      </c>
      <c r="P2883" s="12" t="n">
        <v>480</v>
      </c>
      <c r="Q2883" s="12" t="n">
        <v>15</v>
      </c>
      <c r="R2883" s="12" t="n">
        <v>21.2</v>
      </c>
      <c r="S2883" s="12" t="inlineStr">
        <is>
          <t>Duct bank</t>
        </is>
      </c>
      <c r="T2883" s="16" t="n">
        <v>1629</v>
      </c>
      <c r="U2883" s="16" t="n">
        <v>145</v>
      </c>
      <c r="V2883" s="16">
        <f>ROUNDUP((T2883+U2883+2*'Read Me'!$B$13)*(1+'Read Me'!$B$12),-1)</f>
        <v/>
      </c>
      <c r="W2883" s="16">
        <f>V2883*N2883*O2883</f>
        <v/>
      </c>
      <c r="X2883" s="12">
        <f>IF(LEFT(I2883,2)="MV",2*N2883*IF(L2883="1/C",O2883,1),0)</f>
        <v/>
      </c>
      <c r="Y2883" s="12">
        <f>IF(OR(LEFT(K2883,4)="LVAX",LEFT(K2883,6)="MV15AX",LEFT(K2883,4)="CTAX",LEFT(K2883,2)="W|"),2*N2883*O2883,0)</f>
        <v/>
      </c>
      <c r="Z2883" s="12" t="inlineStr">
        <is>
          <t>VD 2.9 %</t>
        </is>
      </c>
      <c r="AA2883" s="12">
        <f>N2883*O2883</f>
        <v/>
      </c>
    </row>
    <row r="2884">
      <c r="A2884" s="12" t="inlineStr">
        <is>
          <t>E-P-0090</t>
        </is>
      </c>
      <c r="B2884" s="12" t="inlineStr">
        <is>
          <t>E</t>
        </is>
      </c>
      <c r="C2884" s="12" t="inlineStr">
        <is>
          <t>Water / utilities</t>
        </is>
      </c>
      <c r="D2884" s="12" t="inlineStr">
        <is>
          <t>Motor 17 of 20, 15 kW</t>
        </is>
      </c>
      <c r="E2884" s="12" t="inlineStr">
        <is>
          <t>MCC-C2</t>
        </is>
      </c>
      <c r="F2884" s="12" t="inlineStr">
        <is>
          <t>R1 MCC-C2</t>
        </is>
      </c>
      <c r="G2884" s="12" t="inlineStr">
        <is>
          <t>R-WT</t>
        </is>
      </c>
      <c r="H2884" s="12" t="inlineStr">
        <is>
          <t>Water treatment building (incl. R-WT electrical room)</t>
        </is>
      </c>
      <c r="I2884" s="12" t="inlineStr">
        <is>
          <t>LV 600 V</t>
        </is>
      </c>
      <c r="J2884" s="12" t="inlineStr">
        <is>
          <t>Type TC-ER 600 V 3/C Cu XHHW-2 + ground, PVC jacket</t>
        </is>
      </c>
      <c r="K2884" s="12" t="inlineStr">
        <is>
          <t>LV|3/C+G|2</t>
        </is>
      </c>
      <c r="L2884" s="12" t="inlineStr">
        <is>
          <t>3/C+G</t>
        </is>
      </c>
      <c r="M2884" s="12" t="inlineStr">
        <is>
          <t>2</t>
        </is>
      </c>
      <c r="N2884" s="12" t="n">
        <v>1</v>
      </c>
      <c r="O2884" s="12" t="n">
        <v>1</v>
      </c>
      <c r="P2884" s="12" t="n">
        <v>480</v>
      </c>
      <c r="Q2884" s="12" t="n">
        <v>15</v>
      </c>
      <c r="R2884" s="12" t="n">
        <v>21.2</v>
      </c>
      <c r="S2884" s="12" t="inlineStr">
        <is>
          <t>Duct bank</t>
        </is>
      </c>
      <c r="T2884" s="16" t="n">
        <v>1629</v>
      </c>
      <c r="U2884" s="16" t="n">
        <v>145</v>
      </c>
      <c r="V2884" s="16">
        <f>ROUNDUP((T2884+U2884+2*'Read Me'!$B$13)*(1+'Read Me'!$B$12),-1)</f>
        <v/>
      </c>
      <c r="W2884" s="16">
        <f>V2884*N2884*O2884</f>
        <v/>
      </c>
      <c r="X2884" s="12">
        <f>IF(LEFT(I2884,2)="MV",2*N2884*IF(L2884="1/C",O2884,1),0)</f>
        <v/>
      </c>
      <c r="Y2884" s="12">
        <f>IF(OR(LEFT(K2884,4)="LVAX",LEFT(K2884,6)="MV15AX",LEFT(K2884,4)="CTAX",LEFT(K2884,2)="W|"),2*N2884*O2884,0)</f>
        <v/>
      </c>
      <c r="Z2884" s="12" t="inlineStr">
        <is>
          <t>VD 2.9 %</t>
        </is>
      </c>
      <c r="AA2884" s="12">
        <f>N2884*O2884</f>
        <v/>
      </c>
    </row>
    <row r="2885">
      <c r="A2885" s="12" t="inlineStr">
        <is>
          <t>E-P-0091</t>
        </is>
      </c>
      <c r="B2885" s="12" t="inlineStr">
        <is>
          <t>E</t>
        </is>
      </c>
      <c r="C2885" s="12" t="inlineStr">
        <is>
          <t>Water / utilities</t>
        </is>
      </c>
      <c r="D2885" s="12" t="inlineStr">
        <is>
          <t>Motor 18 of 20, 15 kW</t>
        </is>
      </c>
      <c r="E2885" s="12" t="inlineStr">
        <is>
          <t>MCC-C2</t>
        </is>
      </c>
      <c r="F2885" s="12" t="inlineStr">
        <is>
          <t>R1 MCC-C2</t>
        </is>
      </c>
      <c r="G2885" s="12" t="inlineStr">
        <is>
          <t>R-WT</t>
        </is>
      </c>
      <c r="H2885" s="12" t="inlineStr">
        <is>
          <t>Water treatment building (incl. R-WT electrical room)</t>
        </is>
      </c>
      <c r="I2885" s="12" t="inlineStr">
        <is>
          <t>LV 600 V</t>
        </is>
      </c>
      <c r="J2885" s="12" t="inlineStr">
        <is>
          <t>Type TC-ER 600 V 3/C Cu XHHW-2 + ground, PVC jacket</t>
        </is>
      </c>
      <c r="K2885" s="12" t="inlineStr">
        <is>
          <t>LV|3/C+G|2</t>
        </is>
      </c>
      <c r="L2885" s="12" t="inlineStr">
        <is>
          <t>3/C+G</t>
        </is>
      </c>
      <c r="M2885" s="12" t="inlineStr">
        <is>
          <t>2</t>
        </is>
      </c>
      <c r="N2885" s="12" t="n">
        <v>1</v>
      </c>
      <c r="O2885" s="12" t="n">
        <v>1</v>
      </c>
      <c r="P2885" s="12" t="n">
        <v>480</v>
      </c>
      <c r="Q2885" s="12" t="n">
        <v>15</v>
      </c>
      <c r="R2885" s="12" t="n">
        <v>21.2</v>
      </c>
      <c r="S2885" s="12" t="inlineStr">
        <is>
          <t>Duct bank</t>
        </is>
      </c>
      <c r="T2885" s="16" t="n">
        <v>1629</v>
      </c>
      <c r="U2885" s="16" t="n">
        <v>145</v>
      </c>
      <c r="V2885" s="16">
        <f>ROUNDUP((T2885+U2885+2*'Read Me'!$B$13)*(1+'Read Me'!$B$12),-1)</f>
        <v/>
      </c>
      <c r="W2885" s="16">
        <f>V2885*N2885*O2885</f>
        <v/>
      </c>
      <c r="X2885" s="12">
        <f>IF(LEFT(I2885,2)="MV",2*N2885*IF(L2885="1/C",O2885,1),0)</f>
        <v/>
      </c>
      <c r="Y2885" s="12">
        <f>IF(OR(LEFT(K2885,4)="LVAX",LEFT(K2885,6)="MV15AX",LEFT(K2885,4)="CTAX",LEFT(K2885,2)="W|"),2*N2885*O2885,0)</f>
        <v/>
      </c>
      <c r="Z2885" s="12" t="inlineStr">
        <is>
          <t>VD 2.9 %</t>
        </is>
      </c>
      <c r="AA2885" s="12">
        <f>N2885*O2885</f>
        <v/>
      </c>
    </row>
    <row r="2886">
      <c r="A2886" s="12" t="inlineStr">
        <is>
          <t>E-P-0092</t>
        </is>
      </c>
      <c r="B2886" s="12" t="inlineStr">
        <is>
          <t>E</t>
        </is>
      </c>
      <c r="C2886" s="12" t="inlineStr">
        <is>
          <t>Water / utilities</t>
        </is>
      </c>
      <c r="D2886" s="12" t="inlineStr">
        <is>
          <t>Motor 19 of 20, 15 kW</t>
        </is>
      </c>
      <c r="E2886" s="12" t="inlineStr">
        <is>
          <t>MCC-C2</t>
        </is>
      </c>
      <c r="F2886" s="12" t="inlineStr">
        <is>
          <t>R1 MCC-C2</t>
        </is>
      </c>
      <c r="G2886" s="12" t="inlineStr">
        <is>
          <t>R-WT</t>
        </is>
      </c>
      <c r="H2886" s="12" t="inlineStr">
        <is>
          <t>Water treatment building (incl. R-WT electrical room)</t>
        </is>
      </c>
      <c r="I2886" s="12" t="inlineStr">
        <is>
          <t>LV 600 V</t>
        </is>
      </c>
      <c r="J2886" s="12" t="inlineStr">
        <is>
          <t>Type TC-ER 600 V 3/C Cu XHHW-2 + ground, PVC jacket</t>
        </is>
      </c>
      <c r="K2886" s="12" t="inlineStr">
        <is>
          <t>LV|3/C+G|2</t>
        </is>
      </c>
      <c r="L2886" s="12" t="inlineStr">
        <is>
          <t>3/C+G</t>
        </is>
      </c>
      <c r="M2886" s="12" t="inlineStr">
        <is>
          <t>2</t>
        </is>
      </c>
      <c r="N2886" s="12" t="n">
        <v>1</v>
      </c>
      <c r="O2886" s="12" t="n">
        <v>1</v>
      </c>
      <c r="P2886" s="12" t="n">
        <v>480</v>
      </c>
      <c r="Q2886" s="12" t="n">
        <v>15</v>
      </c>
      <c r="R2886" s="12" t="n">
        <v>21.2</v>
      </c>
      <c r="S2886" s="12" t="inlineStr">
        <is>
          <t>Duct bank</t>
        </is>
      </c>
      <c r="T2886" s="16" t="n">
        <v>1629</v>
      </c>
      <c r="U2886" s="16" t="n">
        <v>145</v>
      </c>
      <c r="V2886" s="16">
        <f>ROUNDUP((T2886+U2886+2*'Read Me'!$B$13)*(1+'Read Me'!$B$12),-1)</f>
        <v/>
      </c>
      <c r="W2886" s="16">
        <f>V2886*N2886*O2886</f>
        <v/>
      </c>
      <c r="X2886" s="12">
        <f>IF(LEFT(I2886,2)="MV",2*N2886*IF(L2886="1/C",O2886,1),0)</f>
        <v/>
      </c>
      <c r="Y2886" s="12">
        <f>IF(OR(LEFT(K2886,4)="LVAX",LEFT(K2886,6)="MV15AX",LEFT(K2886,4)="CTAX",LEFT(K2886,2)="W|"),2*N2886*O2886,0)</f>
        <v/>
      </c>
      <c r="Z2886" s="12" t="inlineStr">
        <is>
          <t>VD 2.9 %</t>
        </is>
      </c>
      <c r="AA2886" s="12">
        <f>N2886*O2886</f>
        <v/>
      </c>
    </row>
    <row r="2887">
      <c r="A2887" s="12" t="inlineStr">
        <is>
          <t>E-P-0093</t>
        </is>
      </c>
      <c r="B2887" s="12" t="inlineStr">
        <is>
          <t>E</t>
        </is>
      </c>
      <c r="C2887" s="12" t="inlineStr">
        <is>
          <t>Water / utilities</t>
        </is>
      </c>
      <c r="D2887" s="12" t="inlineStr">
        <is>
          <t>Motor 20 of 20, 15 kW</t>
        </is>
      </c>
      <c r="E2887" s="12" t="inlineStr">
        <is>
          <t>MCC-C2</t>
        </is>
      </c>
      <c r="F2887" s="12" t="inlineStr">
        <is>
          <t>R1 MCC-C2</t>
        </is>
      </c>
      <c r="G2887" s="12" t="inlineStr">
        <is>
          <t>R-WT</t>
        </is>
      </c>
      <c r="H2887" s="12" t="inlineStr">
        <is>
          <t>Water treatment building (incl. R-WT electrical room)</t>
        </is>
      </c>
      <c r="I2887" s="12" t="inlineStr">
        <is>
          <t>LV 600 V</t>
        </is>
      </c>
      <c r="J2887" s="12" t="inlineStr">
        <is>
          <t>Type TC-ER 600 V 3/C Cu XHHW-2 + ground, PVC jacket</t>
        </is>
      </c>
      <c r="K2887" s="12" t="inlineStr">
        <is>
          <t>LV|3/C+G|2</t>
        </is>
      </c>
      <c r="L2887" s="12" t="inlineStr">
        <is>
          <t>3/C+G</t>
        </is>
      </c>
      <c r="M2887" s="12" t="inlineStr">
        <is>
          <t>2</t>
        </is>
      </c>
      <c r="N2887" s="12" t="n">
        <v>1</v>
      </c>
      <c r="O2887" s="12" t="n">
        <v>1</v>
      </c>
      <c r="P2887" s="12" t="n">
        <v>480</v>
      </c>
      <c r="Q2887" s="12" t="n">
        <v>15</v>
      </c>
      <c r="R2887" s="12" t="n">
        <v>21.2</v>
      </c>
      <c r="S2887" s="12" t="inlineStr">
        <is>
          <t>Duct bank</t>
        </is>
      </c>
      <c r="T2887" s="16" t="n">
        <v>1629</v>
      </c>
      <c r="U2887" s="16" t="n">
        <v>145</v>
      </c>
      <c r="V2887" s="16">
        <f>ROUNDUP((T2887+U2887+2*'Read Me'!$B$13)*(1+'Read Me'!$B$12),-1)</f>
        <v/>
      </c>
      <c r="W2887" s="16">
        <f>V2887*N2887*O2887</f>
        <v/>
      </c>
      <c r="X2887" s="12">
        <f>IF(LEFT(I2887,2)="MV",2*N2887*IF(L2887="1/C",O2887,1),0)</f>
        <v/>
      </c>
      <c r="Y2887" s="12">
        <f>IF(OR(LEFT(K2887,4)="LVAX",LEFT(K2887,6)="MV15AX",LEFT(K2887,4)="CTAX",LEFT(K2887,2)="W|"),2*N2887*O2887,0)</f>
        <v/>
      </c>
      <c r="Z2887" s="12" t="inlineStr">
        <is>
          <t>VD 2.9 %</t>
        </is>
      </c>
      <c r="AA2887" s="12">
        <f>N2887*O2887</f>
        <v/>
      </c>
    </row>
    <row r="2888">
      <c r="A2888" s="12" t="inlineStr">
        <is>
          <t>F-L-0001</t>
        </is>
      </c>
      <c r="B2888" s="12" t="inlineStr">
        <is>
          <t>F</t>
        </is>
      </c>
      <c r="C2888" s="12" t="inlineStr">
        <is>
          <t>Controls / service</t>
        </is>
      </c>
      <c r="D2888" s="12" t="inlineStr">
        <is>
          <t>Lighting, receptacles and small power branch circuits (allowance)</t>
        </is>
      </c>
      <c r="E2888" s="12" t="inlineStr">
        <is>
          <t>CR</t>
        </is>
      </c>
      <c r="F2888" s="12" t="inlineStr">
        <is>
          <t>Control / admin building (main control room)</t>
        </is>
      </c>
      <c r="G2888" s="12" t="inlineStr">
        <is>
          <t>CR</t>
        </is>
      </c>
      <c r="H2888" s="12" t="inlineStr">
        <is>
          <t>Control / admin building (main control room)</t>
        </is>
      </c>
      <c r="I2888" s="12" t="inlineStr">
        <is>
          <t>Building wire</t>
        </is>
      </c>
      <c r="J2888" s="12" t="inlineStr">
        <is>
          <t>SIMpull THHN/THWN-2 600 V 1/C Cu (lighting, receptacles, small power)</t>
        </is>
      </c>
      <c r="K2888" s="12" t="inlineStr">
        <is>
          <t>THHN|1/C|12</t>
        </is>
      </c>
      <c r="L2888" s="12" t="inlineStr">
        <is>
          <t>1/C</t>
        </is>
      </c>
      <c r="M2888" s="12" t="inlineStr">
        <is>
          <t>12</t>
        </is>
      </c>
      <c r="N2888" s="12" t="n">
        <v>1</v>
      </c>
      <c r="O2888" s="12" t="n">
        <v>1</v>
      </c>
      <c r="P2888" s="12" t="n">
        <v>277</v>
      </c>
      <c r="Q2888" s="12" t="n"/>
      <c r="R2888" s="12" t="n"/>
      <c r="S2888" s="12" t="inlineStr">
        <is>
          <t>Conduit</t>
        </is>
      </c>
      <c r="T2888" s="16" t="n">
        <v>19339</v>
      </c>
      <c r="U2888" s="16" t="n">
        <v>0</v>
      </c>
      <c r="V2888" s="16">
        <f>ROUNDUP((T2888+U2888+2*'Read Me'!$B$13)*(1+'Read Me'!$B$12),-1)</f>
        <v/>
      </c>
      <c r="W2888" s="16">
        <f>V2888*N2888*O2888</f>
        <v/>
      </c>
      <c r="X2888" s="12">
        <f>IF(LEFT(I2888,2)="MV",2*N2888*IF(L2888="1/C",O2888,1),0)</f>
        <v/>
      </c>
      <c r="Y2888" s="12">
        <f>IF(OR(LEFT(K2888,4)="LVAX",LEFT(K2888,6)="MV15AX",LEFT(K2888,4)="CTAX",LEFT(K2888,2)="W|"),2*N2888*O2888,0)</f>
        <v/>
      </c>
      <c r="Z2888" s="12" t="inlineStr">
        <is>
          <t>allowance: 1.6 ft of conductor per ft2 of floor</t>
        </is>
      </c>
      <c r="AA2888" s="12">
        <f>N2888*O2888</f>
        <v/>
      </c>
    </row>
    <row r="2889">
      <c r="A2889" s="12" t="inlineStr">
        <is>
          <t>F-L-0002</t>
        </is>
      </c>
      <c r="B2889" s="12" t="inlineStr">
        <is>
          <t>F</t>
        </is>
      </c>
      <c r="C2889" s="12" t="inlineStr">
        <is>
          <t>Controls / service</t>
        </is>
      </c>
      <c r="D2889" s="12" t="inlineStr">
        <is>
          <t>Lighting, receptacles and small power branch circuits (allowance)</t>
        </is>
      </c>
      <c r="E2889" s="12" t="inlineStr"/>
      <c r="F2889" s="12" t="inlineStr">
        <is>
          <t>Gatehouse</t>
        </is>
      </c>
      <c r="G2889" s="12" t="inlineStr"/>
      <c r="H2889" s="12" t="inlineStr">
        <is>
          <t>Gatehouse</t>
        </is>
      </c>
      <c r="I2889" s="12" t="inlineStr">
        <is>
          <t>Building wire</t>
        </is>
      </c>
      <c r="J2889" s="12" t="inlineStr">
        <is>
          <t>SIMpull THHN/THWN-2 600 V 1/C Cu (lighting, receptacles, small power)</t>
        </is>
      </c>
      <c r="K2889" s="12" t="inlineStr">
        <is>
          <t>THHN|1/C|12</t>
        </is>
      </c>
      <c r="L2889" s="12" t="inlineStr">
        <is>
          <t>1/C</t>
        </is>
      </c>
      <c r="M2889" s="12" t="inlineStr">
        <is>
          <t>12</t>
        </is>
      </c>
      <c r="N2889" s="12" t="n">
        <v>1</v>
      </c>
      <c r="O2889" s="12" t="n">
        <v>1</v>
      </c>
      <c r="P2889" s="12" t="n">
        <v>277</v>
      </c>
      <c r="Q2889" s="12" t="n"/>
      <c r="R2889" s="12" t="n"/>
      <c r="S2889" s="12" t="inlineStr">
        <is>
          <t>Conduit</t>
        </is>
      </c>
      <c r="T2889" s="16" t="n">
        <v>736</v>
      </c>
      <c r="U2889" s="16" t="n">
        <v>0</v>
      </c>
      <c r="V2889" s="16">
        <f>ROUNDUP((T2889+U2889+2*'Read Me'!$B$13)*(1+'Read Me'!$B$12),-1)</f>
        <v/>
      </c>
      <c r="W2889" s="16">
        <f>V2889*N2889*O2889</f>
        <v/>
      </c>
      <c r="X2889" s="12">
        <f>IF(LEFT(I2889,2)="MV",2*N2889*IF(L2889="1/C",O2889,1),0)</f>
        <v/>
      </c>
      <c r="Y2889" s="12">
        <f>IF(OR(LEFT(K2889,4)="LVAX",LEFT(K2889,6)="MV15AX",LEFT(K2889,4)="CTAX",LEFT(K2889,2)="W|"),2*N2889*O2889,0)</f>
        <v/>
      </c>
      <c r="Z2889" s="12" t="inlineStr">
        <is>
          <t>allowance: 1.6 ft of conductor per ft2 of floor</t>
        </is>
      </c>
      <c r="AA2889" s="12">
        <f>N2889*O2889</f>
        <v/>
      </c>
    </row>
    <row r="2890">
      <c r="A2890" s="12" t="inlineStr">
        <is>
          <t>F-L-0003</t>
        </is>
      </c>
      <c r="B2890" s="12" t="inlineStr">
        <is>
          <t>F</t>
        </is>
      </c>
      <c r="C2890" s="12" t="inlineStr">
        <is>
          <t>Controls / service</t>
        </is>
      </c>
      <c r="D2890" s="12" t="inlineStr">
        <is>
          <t>Lighting, receptacles and small power branch circuits (allowance)</t>
        </is>
      </c>
      <c r="E2890" s="12" t="inlineStr"/>
      <c r="F2890" s="12" t="inlineStr">
        <is>
          <t>Maintenance building / workshop</t>
        </is>
      </c>
      <c r="G2890" s="12" t="inlineStr"/>
      <c r="H2890" s="12" t="inlineStr">
        <is>
          <t>Maintenance building / workshop</t>
        </is>
      </c>
      <c r="I2890" s="12" t="inlineStr">
        <is>
          <t>Building wire</t>
        </is>
      </c>
      <c r="J2890" s="12" t="inlineStr">
        <is>
          <t>SIMpull THHN/THWN-2 600 V 1/C Cu (lighting, receptacles, small power)</t>
        </is>
      </c>
      <c r="K2890" s="12" t="inlineStr">
        <is>
          <t>THHN|1/C|12</t>
        </is>
      </c>
      <c r="L2890" s="12" t="inlineStr">
        <is>
          <t>1/C</t>
        </is>
      </c>
      <c r="M2890" s="12" t="inlineStr">
        <is>
          <t>12</t>
        </is>
      </c>
      <c r="N2890" s="12" t="n">
        <v>1</v>
      </c>
      <c r="O2890" s="12" t="n">
        <v>1</v>
      </c>
      <c r="P2890" s="12" t="n">
        <v>277</v>
      </c>
      <c r="Q2890" s="12" t="n"/>
      <c r="R2890" s="12" t="n"/>
      <c r="S2890" s="12" t="inlineStr">
        <is>
          <t>Conduit</t>
        </is>
      </c>
      <c r="T2890" s="16" t="n">
        <v>8003</v>
      </c>
      <c r="U2890" s="16" t="n">
        <v>0</v>
      </c>
      <c r="V2890" s="16">
        <f>ROUNDUP((T2890+U2890+2*'Read Me'!$B$13)*(1+'Read Me'!$B$12),-1)</f>
        <v/>
      </c>
      <c r="W2890" s="16">
        <f>V2890*N2890*O2890</f>
        <v/>
      </c>
      <c r="X2890" s="12">
        <f>IF(LEFT(I2890,2)="MV",2*N2890*IF(L2890="1/C",O2890,1),0)</f>
        <v/>
      </c>
      <c r="Y2890" s="12">
        <f>IF(OR(LEFT(K2890,4)="LVAX",LEFT(K2890,6)="MV15AX",LEFT(K2890,4)="CTAX",LEFT(K2890,2)="W|"),2*N2890*O2890,0)</f>
        <v/>
      </c>
      <c r="Z2890" s="12" t="inlineStr">
        <is>
          <t>allowance: 1.6 ft of conductor per ft2 of floor</t>
        </is>
      </c>
      <c r="AA2890" s="12">
        <f>N2890*O2890</f>
        <v/>
      </c>
    </row>
    <row r="2891">
      <c r="A2891" s="12" t="inlineStr">
        <is>
          <t>F-L-0004</t>
        </is>
      </c>
      <c r="B2891" s="12" t="inlineStr">
        <is>
          <t>F</t>
        </is>
      </c>
      <c r="C2891" s="12" t="inlineStr">
        <is>
          <t>Controls / service</t>
        </is>
      </c>
      <c r="D2891" s="12" t="inlineStr">
        <is>
          <t>Lighting, receptacles and small power branch circuits (allowance)</t>
        </is>
      </c>
      <c r="E2891" s="12" t="inlineStr"/>
      <c r="F2891" s="12" t="inlineStr">
        <is>
          <t>Warehouse</t>
        </is>
      </c>
      <c r="G2891" s="12" t="inlineStr"/>
      <c r="H2891" s="12" t="inlineStr">
        <is>
          <t>Warehouse</t>
        </is>
      </c>
      <c r="I2891" s="12" t="inlineStr">
        <is>
          <t>Building wire</t>
        </is>
      </c>
      <c r="J2891" s="12" t="inlineStr">
        <is>
          <t>SIMpull THHN/THWN-2 600 V 1/C Cu (lighting, receptacles, small power)</t>
        </is>
      </c>
      <c r="K2891" s="12" t="inlineStr">
        <is>
          <t>THHN|1/C|12</t>
        </is>
      </c>
      <c r="L2891" s="12" t="inlineStr">
        <is>
          <t>1/C</t>
        </is>
      </c>
      <c r="M2891" s="12" t="inlineStr">
        <is>
          <t>12</t>
        </is>
      </c>
      <c r="N2891" s="12" t="n">
        <v>1</v>
      </c>
      <c r="O2891" s="12" t="n">
        <v>1</v>
      </c>
      <c r="P2891" s="12" t="n">
        <v>277</v>
      </c>
      <c r="Q2891" s="12" t="n"/>
      <c r="R2891" s="12" t="n"/>
      <c r="S2891" s="12" t="inlineStr">
        <is>
          <t>Conduit</t>
        </is>
      </c>
      <c r="T2891" s="16" t="n">
        <v>27227</v>
      </c>
      <c r="U2891" s="16" t="n">
        <v>0</v>
      </c>
      <c r="V2891" s="16">
        <f>ROUNDUP((T2891+U2891+2*'Read Me'!$B$13)*(1+'Read Me'!$B$12),-1)</f>
        <v/>
      </c>
      <c r="W2891" s="16">
        <f>V2891*N2891*O2891</f>
        <v/>
      </c>
      <c r="X2891" s="12">
        <f>IF(LEFT(I2891,2)="MV",2*N2891*IF(L2891="1/C",O2891,1),0)</f>
        <v/>
      </c>
      <c r="Y2891" s="12">
        <f>IF(OR(LEFT(K2891,4)="LVAX",LEFT(K2891,6)="MV15AX",LEFT(K2891,4)="CTAX",LEFT(K2891,2)="W|"),2*N2891*O2891,0)</f>
        <v/>
      </c>
      <c r="Z2891" s="12" t="inlineStr">
        <is>
          <t>allowance: 1.6 ft of conductor per ft2 of floor</t>
        </is>
      </c>
      <c r="AA2891" s="12">
        <f>N2891*O2891</f>
        <v/>
      </c>
    </row>
    <row r="2892">
      <c r="A2892" s="12" t="inlineStr">
        <is>
          <t>F-C-0001</t>
        </is>
      </c>
      <c r="B2892" s="12" t="inlineStr">
        <is>
          <t>F</t>
        </is>
      </c>
      <c r="C2892" s="12" t="inlineStr">
        <is>
          <t>Controls / service</t>
        </is>
      </c>
      <c r="D2892" s="12" t="inlineStr">
        <is>
          <t>Control</t>
        </is>
      </c>
      <c r="E2892" s="12" t="inlineStr">
        <is>
          <t>CR</t>
        </is>
      </c>
      <c r="F2892" s="12" t="inlineStr">
        <is>
          <t>Control / admin building (main control room)</t>
        </is>
      </c>
      <c r="G2892" s="12" t="inlineStr">
        <is>
          <t>CR</t>
        </is>
      </c>
      <c r="H2892" s="12" t="inlineStr">
        <is>
          <t>Control / admin building (main control room)</t>
        </is>
      </c>
      <c r="I2892" s="12" t="inlineStr">
        <is>
          <t>Control</t>
        </is>
      </c>
      <c r="J2892" s="12" t="inlineStr">
        <is>
          <t>Control cable 600 V Type TC-ER, Cu #14 AWG, PVC jacket</t>
        </is>
      </c>
      <c r="K2892" s="12" t="inlineStr">
        <is>
          <t>CT|7/C|14</t>
        </is>
      </c>
      <c r="L2892" s="12" t="inlineStr">
        <is>
          <t>7/C</t>
        </is>
      </c>
      <c r="M2892" s="12" t="inlineStr">
        <is>
          <t>14</t>
        </is>
      </c>
      <c r="N2892" s="12" t="n">
        <v>1</v>
      </c>
      <c r="O2892" s="12" t="n">
        <v>1</v>
      </c>
      <c r="P2892" s="12" t="n"/>
      <c r="Q2892" s="12" t="n"/>
      <c r="R2892" s="12" t="n"/>
      <c r="S2892" s="12" t="inlineStr">
        <is>
          <t>Tray</t>
        </is>
      </c>
      <c r="T2892" s="16" t="n">
        <v>0</v>
      </c>
      <c r="U2892" s="16" t="n">
        <v>32</v>
      </c>
      <c r="V2892" s="16">
        <f>ROUNDUP((T2892+U2892+2*'Read Me'!$B$13)*(1+'Read Me'!$B$12),-1)</f>
        <v/>
      </c>
      <c r="W2892" s="16">
        <f>V2892*N2892*O2892</f>
        <v/>
      </c>
      <c r="X2892" s="12">
        <f>IF(LEFT(I2892,2)="MV",2*N2892*IF(L2892="1/C",O2892,1),0)</f>
        <v/>
      </c>
      <c r="Y2892" s="12">
        <f>IF(OR(LEFT(K2892,4)="LVAX",LEFT(K2892,6)="MV15AX",LEFT(K2892,4)="CTAX",LEFT(K2892,2)="W|"),2*N2892*O2892,0)</f>
        <v/>
      </c>
      <c r="Z2892" s="12" t="inlineStr"/>
      <c r="AA2892" s="12">
        <f>N2892*O2892</f>
        <v/>
      </c>
    </row>
    <row r="2893">
      <c r="A2893" s="12" t="inlineStr">
        <is>
          <t>F-C-0002</t>
        </is>
      </c>
      <c r="B2893" s="12" t="inlineStr">
        <is>
          <t>F</t>
        </is>
      </c>
      <c r="C2893" s="12" t="inlineStr">
        <is>
          <t>Controls / service</t>
        </is>
      </c>
      <c r="D2893" s="12" t="inlineStr">
        <is>
          <t>Control</t>
        </is>
      </c>
      <c r="E2893" s="12" t="inlineStr">
        <is>
          <t>CR</t>
        </is>
      </c>
      <c r="F2893" s="12" t="inlineStr">
        <is>
          <t>Control / admin building (main control room)</t>
        </is>
      </c>
      <c r="G2893" s="12" t="inlineStr">
        <is>
          <t>EDG-1</t>
        </is>
      </c>
      <c r="H2893" s="12" t="inlineStr">
        <is>
          <t>EDG-1: 3 MW emergency diesel generator (480 V)</t>
        </is>
      </c>
      <c r="I2893" s="12" t="inlineStr">
        <is>
          <t>Control</t>
        </is>
      </c>
      <c r="J2893" s="12" t="inlineStr">
        <is>
          <t>Control cable 600 V Type TC-ER, Cu #14 AWG, PVC jacket</t>
        </is>
      </c>
      <c r="K2893" s="12" t="inlineStr">
        <is>
          <t>CT|7/C|14</t>
        </is>
      </c>
      <c r="L2893" s="12" t="inlineStr">
        <is>
          <t>7/C</t>
        </is>
      </c>
      <c r="M2893" s="12" t="inlineStr">
        <is>
          <t>14</t>
        </is>
      </c>
      <c r="N2893" s="12" t="n">
        <v>1</v>
      </c>
      <c r="O2893" s="12" t="n">
        <v>1</v>
      </c>
      <c r="P2893" s="12" t="n"/>
      <c r="Q2893" s="12" t="n"/>
      <c r="R2893" s="12" t="n"/>
      <c r="S2893" s="12" t="inlineStr">
        <is>
          <t>Duct bank</t>
        </is>
      </c>
      <c r="T2893" s="16" t="n">
        <v>626</v>
      </c>
      <c r="U2893" s="16" t="n">
        <v>62</v>
      </c>
      <c r="V2893" s="16">
        <f>ROUNDUP((T2893+U2893+2*'Read Me'!$B$13)*(1+'Read Me'!$B$12),-1)</f>
        <v/>
      </c>
      <c r="W2893" s="16">
        <f>V2893*N2893*O2893</f>
        <v/>
      </c>
      <c r="X2893" s="12">
        <f>IF(LEFT(I2893,2)="MV",2*N2893*IF(L2893="1/C",O2893,1),0)</f>
        <v/>
      </c>
      <c r="Y2893" s="12">
        <f>IF(OR(LEFT(K2893,4)="LVAX",LEFT(K2893,6)="MV15AX",LEFT(K2893,4)="CTAX",LEFT(K2893,2)="W|"),2*N2893*O2893,0)</f>
        <v/>
      </c>
      <c r="Z2893" s="12" t="inlineStr"/>
      <c r="AA2893" s="12">
        <f>N2893*O2893</f>
        <v/>
      </c>
    </row>
    <row r="2894">
      <c r="A2894" s="12" t="inlineStr">
        <is>
          <t>F-C-0003</t>
        </is>
      </c>
      <c r="B2894" s="12" t="inlineStr">
        <is>
          <t>F</t>
        </is>
      </c>
      <c r="C2894" s="12" t="inlineStr">
        <is>
          <t>Controls / service</t>
        </is>
      </c>
      <c r="D2894" s="12" t="inlineStr">
        <is>
          <t>Control</t>
        </is>
      </c>
      <c r="E2894" s="12" t="inlineStr">
        <is>
          <t>CR</t>
        </is>
      </c>
      <c r="F2894" s="12" t="inlineStr">
        <is>
          <t>Control / admin building (main control room)</t>
        </is>
      </c>
      <c r="G2894" s="12" t="inlineStr">
        <is>
          <t>EDG-2</t>
        </is>
      </c>
      <c r="H2894" s="12" t="inlineStr">
        <is>
          <t>EDG-2: 3 MW emergency diesel generator (480 V)</t>
        </is>
      </c>
      <c r="I2894" s="12" t="inlineStr">
        <is>
          <t>Control</t>
        </is>
      </c>
      <c r="J2894" s="12" t="inlineStr">
        <is>
          <t>Control cable 600 V Type TC-ER, Cu #14 AWG, PVC jacket</t>
        </is>
      </c>
      <c r="K2894" s="12" t="inlineStr">
        <is>
          <t>CT|7/C|14</t>
        </is>
      </c>
      <c r="L2894" s="12" t="inlineStr">
        <is>
          <t>7/C</t>
        </is>
      </c>
      <c r="M2894" s="12" t="inlineStr">
        <is>
          <t>14</t>
        </is>
      </c>
      <c r="N2894" s="12" t="n">
        <v>1</v>
      </c>
      <c r="O2894" s="12" t="n">
        <v>1</v>
      </c>
      <c r="P2894" s="12" t="n"/>
      <c r="Q2894" s="12" t="n"/>
      <c r="R2894" s="12" t="n"/>
      <c r="S2894" s="12" t="inlineStr">
        <is>
          <t>Duct bank</t>
        </is>
      </c>
      <c r="T2894" s="16" t="n">
        <v>661</v>
      </c>
      <c r="U2894" s="16" t="n">
        <v>65</v>
      </c>
      <c r="V2894" s="16">
        <f>ROUNDUP((T2894+U2894+2*'Read Me'!$B$13)*(1+'Read Me'!$B$12),-1)</f>
        <v/>
      </c>
      <c r="W2894" s="16">
        <f>V2894*N2894*O2894</f>
        <v/>
      </c>
      <c r="X2894" s="12">
        <f>IF(LEFT(I2894,2)="MV",2*N2894*IF(L2894="1/C",O2894,1),0)</f>
        <v/>
      </c>
      <c r="Y2894" s="12">
        <f>IF(OR(LEFT(K2894,4)="LVAX",LEFT(K2894,6)="MV15AX",LEFT(K2894,4)="CTAX",LEFT(K2894,2)="W|"),2*N2894*O2894,0)</f>
        <v/>
      </c>
      <c r="Z2894" s="12" t="inlineStr"/>
      <c r="AA2894" s="12">
        <f>N2894*O2894</f>
        <v/>
      </c>
    </row>
    <row r="2895">
      <c r="A2895" s="12" t="inlineStr">
        <is>
          <t>F-C-0004</t>
        </is>
      </c>
      <c r="B2895" s="12" t="inlineStr">
        <is>
          <t>F</t>
        </is>
      </c>
      <c r="C2895" s="12" t="inlineStr">
        <is>
          <t>Controls / service</t>
        </is>
      </c>
      <c r="D2895" s="12" t="inlineStr">
        <is>
          <t>Control</t>
        </is>
      </c>
      <c r="E2895" s="12" t="inlineStr">
        <is>
          <t>CR</t>
        </is>
      </c>
      <c r="F2895" s="12" t="inlineStr">
        <is>
          <t>Control / admin building (main control room)</t>
        </is>
      </c>
      <c r="G2895" s="12" t="inlineStr"/>
      <c r="H2895" s="12" t="inlineStr">
        <is>
          <t>Gatehouse</t>
        </is>
      </c>
      <c r="I2895" s="12" t="inlineStr">
        <is>
          <t>Control</t>
        </is>
      </c>
      <c r="J2895" s="12" t="inlineStr">
        <is>
          <t>Control cable 600 V Type TC-ER, Cu #14 AWG, PVC jacket</t>
        </is>
      </c>
      <c r="K2895" s="12" t="inlineStr">
        <is>
          <t>CT|7/C|14</t>
        </is>
      </c>
      <c r="L2895" s="12" t="inlineStr">
        <is>
          <t>7/C</t>
        </is>
      </c>
      <c r="M2895" s="12" t="inlineStr">
        <is>
          <t>14</t>
        </is>
      </c>
      <c r="N2895" s="12" t="n">
        <v>1</v>
      </c>
      <c r="O2895" s="12" t="n">
        <v>1</v>
      </c>
      <c r="P2895" s="12" t="n"/>
      <c r="Q2895" s="12" t="n"/>
      <c r="R2895" s="12" t="n"/>
      <c r="S2895" s="12" t="inlineStr">
        <is>
          <t>Tray</t>
        </is>
      </c>
      <c r="T2895" s="16" t="n">
        <v>33</v>
      </c>
      <c r="U2895" s="16" t="n">
        <v>32</v>
      </c>
      <c r="V2895" s="16">
        <f>ROUNDUP((T2895+U2895+2*'Read Me'!$B$13)*(1+'Read Me'!$B$12),-1)</f>
        <v/>
      </c>
      <c r="W2895" s="16">
        <f>V2895*N2895*O2895</f>
        <v/>
      </c>
      <c r="X2895" s="12">
        <f>IF(LEFT(I2895,2)="MV",2*N2895*IF(L2895="1/C",O2895,1),0)</f>
        <v/>
      </c>
      <c r="Y2895" s="12">
        <f>IF(OR(LEFT(K2895,4)="LVAX",LEFT(K2895,6)="MV15AX",LEFT(K2895,4)="CTAX",LEFT(K2895,2)="W|"),2*N2895*O2895,0)</f>
        <v/>
      </c>
      <c r="Z2895" s="12" t="inlineStr"/>
      <c r="AA2895" s="12">
        <f>N2895*O2895</f>
        <v/>
      </c>
    </row>
    <row r="2896">
      <c r="A2896" s="12" t="inlineStr">
        <is>
          <t>F-C-0005</t>
        </is>
      </c>
      <c r="B2896" s="12" t="inlineStr">
        <is>
          <t>F</t>
        </is>
      </c>
      <c r="C2896" s="12" t="inlineStr">
        <is>
          <t>Controls / service</t>
        </is>
      </c>
      <c r="D2896" s="12" t="inlineStr">
        <is>
          <t>Motor 1 of 2: control / local station</t>
        </is>
      </c>
      <c r="E2896" s="12" t="inlineStr">
        <is>
          <t>MCC-C2</t>
        </is>
      </c>
      <c r="F2896" s="12" t="inlineStr">
        <is>
          <t>R1 MCC-C2</t>
        </is>
      </c>
      <c r="G2896" s="12" t="inlineStr">
        <is>
          <t>LS-1</t>
        </is>
      </c>
      <c r="H2896" s="12" t="inlineStr">
        <is>
          <t>LS-1: sanitary lift station (packaged duplex)</t>
        </is>
      </c>
      <c r="I2896" s="12" t="inlineStr">
        <is>
          <t>Control</t>
        </is>
      </c>
      <c r="J2896" s="12" t="inlineStr">
        <is>
          <t>Control cable 600 V Type TC-ER, Cu #14 AWG, PVC jacket</t>
        </is>
      </c>
      <c r="K2896" s="12" t="inlineStr">
        <is>
          <t>CT|7/C|14</t>
        </is>
      </c>
      <c r="L2896" s="12" t="inlineStr">
        <is>
          <t>7/C</t>
        </is>
      </c>
      <c r="M2896" s="12" t="inlineStr">
        <is>
          <t>14</t>
        </is>
      </c>
      <c r="N2896" s="12" t="n">
        <v>1</v>
      </c>
      <c r="O2896" s="12" t="n">
        <v>1</v>
      </c>
      <c r="P2896" s="12" t="n"/>
      <c r="Q2896" s="12" t="n"/>
      <c r="R2896" s="12" t="n"/>
      <c r="S2896" s="12" t="inlineStr">
        <is>
          <t>Tray</t>
        </is>
      </c>
      <c r="T2896" s="16" t="n">
        <v>744</v>
      </c>
      <c r="U2896" s="16" t="n">
        <v>173</v>
      </c>
      <c r="V2896" s="16">
        <f>ROUNDUP((T2896+U2896+2*'Read Me'!$B$13)*(1+'Read Me'!$B$12),-1)</f>
        <v/>
      </c>
      <c r="W2896" s="16">
        <f>V2896*N2896*O2896</f>
        <v/>
      </c>
      <c r="X2896" s="12">
        <f>IF(LEFT(I2896,2)="MV",2*N2896*IF(L2896="1/C",O2896,1),0)</f>
        <v/>
      </c>
      <c r="Y2896" s="12">
        <f>IF(OR(LEFT(K2896,4)="LVAX",LEFT(K2896,6)="MV15AX",LEFT(K2896,4)="CTAX",LEFT(K2896,2)="W|"),2*N2896*O2896,0)</f>
        <v/>
      </c>
      <c r="Z2896" s="12" t="inlineStr"/>
      <c r="AA2896" s="12">
        <f>N2896*O2896</f>
        <v/>
      </c>
    </row>
    <row r="2897">
      <c r="A2897" s="12" t="inlineStr">
        <is>
          <t>F-C-0006</t>
        </is>
      </c>
      <c r="B2897" s="12" t="inlineStr">
        <is>
          <t>F</t>
        </is>
      </c>
      <c r="C2897" s="12" t="inlineStr">
        <is>
          <t>Controls / service</t>
        </is>
      </c>
      <c r="D2897" s="12" t="inlineStr">
        <is>
          <t>Motor 2 of 2: control / local station</t>
        </is>
      </c>
      <c r="E2897" s="12" t="inlineStr">
        <is>
          <t>MCC-C2</t>
        </is>
      </c>
      <c r="F2897" s="12" t="inlineStr">
        <is>
          <t>R1 MCC-C2</t>
        </is>
      </c>
      <c r="G2897" s="12" t="inlineStr">
        <is>
          <t>LS-1</t>
        </is>
      </c>
      <c r="H2897" s="12" t="inlineStr">
        <is>
          <t>LS-1: sanitary lift station (packaged duplex)</t>
        </is>
      </c>
      <c r="I2897" s="12" t="inlineStr">
        <is>
          <t>Control</t>
        </is>
      </c>
      <c r="J2897" s="12" t="inlineStr">
        <is>
          <t>Control cable 600 V Type TC-ER, Cu #14 AWG, PVC jacket</t>
        </is>
      </c>
      <c r="K2897" s="12" t="inlineStr">
        <is>
          <t>CT|7/C|14</t>
        </is>
      </c>
      <c r="L2897" s="12" t="inlineStr">
        <is>
          <t>7/C</t>
        </is>
      </c>
      <c r="M2897" s="12" t="inlineStr">
        <is>
          <t>14</t>
        </is>
      </c>
      <c r="N2897" s="12" t="n">
        <v>1</v>
      </c>
      <c r="O2897" s="12" t="n">
        <v>1</v>
      </c>
      <c r="P2897" s="12" t="n"/>
      <c r="Q2897" s="12" t="n"/>
      <c r="R2897" s="12" t="n"/>
      <c r="S2897" s="12" t="inlineStr">
        <is>
          <t>Tray</t>
        </is>
      </c>
      <c r="T2897" s="16" t="n">
        <v>744</v>
      </c>
      <c r="U2897" s="16" t="n">
        <v>173</v>
      </c>
      <c r="V2897" s="16">
        <f>ROUNDUP((T2897+U2897+2*'Read Me'!$B$13)*(1+'Read Me'!$B$12),-1)</f>
        <v/>
      </c>
      <c r="W2897" s="16">
        <f>V2897*N2897*O2897</f>
        <v/>
      </c>
      <c r="X2897" s="12">
        <f>IF(LEFT(I2897,2)="MV",2*N2897*IF(L2897="1/C",O2897,1),0)</f>
        <v/>
      </c>
      <c r="Y2897" s="12">
        <f>IF(OR(LEFT(K2897,4)="LVAX",LEFT(K2897,6)="MV15AX",LEFT(K2897,4)="CTAX",LEFT(K2897,2)="W|"),2*N2897*O2897,0)</f>
        <v/>
      </c>
      <c r="Z2897" s="12" t="inlineStr"/>
      <c r="AA2897" s="12">
        <f>N2897*O2897</f>
        <v/>
      </c>
    </row>
    <row r="2898">
      <c r="A2898" s="12" t="inlineStr">
        <is>
          <t>F-C-0007</t>
        </is>
      </c>
      <c r="B2898" s="12" t="inlineStr">
        <is>
          <t>F</t>
        </is>
      </c>
      <c r="C2898" s="12" t="inlineStr">
        <is>
          <t>Controls / service</t>
        </is>
      </c>
      <c r="D2898" s="12" t="inlineStr">
        <is>
          <t>Control</t>
        </is>
      </c>
      <c r="E2898" s="12" t="inlineStr">
        <is>
          <t>RH</t>
        </is>
      </c>
      <c r="F2898" s="12" t="inlineStr">
        <is>
          <t>RH: switchyard relay / control house (52 x 70 ft)</t>
        </is>
      </c>
      <c r="G2898" s="12" t="inlineStr"/>
      <c r="H2898" s="12" t="inlineStr">
        <is>
          <t>Main gate: sliding gate, barrier arms, card readers, entrance sign</t>
        </is>
      </c>
      <c r="I2898" s="12" t="inlineStr">
        <is>
          <t>Control</t>
        </is>
      </c>
      <c r="J2898" s="12" t="inlineStr">
        <is>
          <t>Control cable 600 V Type TC-ER, Cu #14 AWG, PVC jacket</t>
        </is>
      </c>
      <c r="K2898" s="12" t="inlineStr">
        <is>
          <t>CT|7/C|14</t>
        </is>
      </c>
      <c r="L2898" s="12" t="inlineStr">
        <is>
          <t>7/C</t>
        </is>
      </c>
      <c r="M2898" s="12" t="inlineStr">
        <is>
          <t>14</t>
        </is>
      </c>
      <c r="N2898" s="12" t="n">
        <v>1</v>
      </c>
      <c r="O2898" s="12" t="n">
        <v>1</v>
      </c>
      <c r="P2898" s="12" t="n"/>
      <c r="Q2898" s="12" t="n"/>
      <c r="R2898" s="12" t="n"/>
      <c r="S2898" s="12" t="inlineStr">
        <is>
          <t>Duct bank</t>
        </is>
      </c>
      <c r="T2898" s="16" t="n">
        <v>875</v>
      </c>
      <c r="U2898" s="16" t="n">
        <v>248</v>
      </c>
      <c r="V2898" s="16">
        <f>ROUNDUP((T2898+U2898+2*'Read Me'!$B$13)*(1+'Read Me'!$B$12),-1)</f>
        <v/>
      </c>
      <c r="W2898" s="16">
        <f>V2898*N2898*O2898</f>
        <v/>
      </c>
      <c r="X2898" s="12">
        <f>IF(LEFT(I2898,2)="MV",2*N2898*IF(L2898="1/C",O2898,1),0)</f>
        <v/>
      </c>
      <c r="Y2898" s="12">
        <f>IF(OR(LEFT(K2898,4)="LVAX",LEFT(K2898,6)="MV15AX",LEFT(K2898,4)="CTAX",LEFT(K2898,2)="W|"),2*N2898*O2898,0)</f>
        <v/>
      </c>
      <c r="Z2898" s="12" t="inlineStr"/>
      <c r="AA2898" s="12">
        <f>N2898*O2898</f>
        <v/>
      </c>
    </row>
    <row r="2899">
      <c r="A2899" s="12" t="inlineStr">
        <is>
          <t>F-C-0008</t>
        </is>
      </c>
      <c r="B2899" s="12" t="inlineStr">
        <is>
          <t>F</t>
        </is>
      </c>
      <c r="C2899" s="12" t="inlineStr">
        <is>
          <t>Controls / service</t>
        </is>
      </c>
      <c r="D2899" s="12" t="inlineStr">
        <is>
          <t>Control</t>
        </is>
      </c>
      <c r="E2899" s="12" t="inlineStr">
        <is>
          <t>CR</t>
        </is>
      </c>
      <c r="F2899" s="12" t="inlineStr">
        <is>
          <t>Control / admin building (main control room)</t>
        </is>
      </c>
      <c r="G2899" s="12" t="inlineStr"/>
      <c r="H2899" s="12" t="inlineStr">
        <is>
          <t>Maintenance building / workshop</t>
        </is>
      </c>
      <c r="I2899" s="12" t="inlineStr">
        <is>
          <t>Control</t>
        </is>
      </c>
      <c r="J2899" s="12" t="inlineStr">
        <is>
          <t>Control cable 600 V Type TC-ER, Cu #14 AWG, PVC jacket</t>
        </is>
      </c>
      <c r="K2899" s="12" t="inlineStr">
        <is>
          <t>CT|7/C|14</t>
        </is>
      </c>
      <c r="L2899" s="12" t="inlineStr">
        <is>
          <t>7/C</t>
        </is>
      </c>
      <c r="M2899" s="12" t="inlineStr">
        <is>
          <t>14</t>
        </is>
      </c>
      <c r="N2899" s="12" t="n">
        <v>1</v>
      </c>
      <c r="O2899" s="12" t="n">
        <v>1</v>
      </c>
      <c r="P2899" s="12" t="n"/>
      <c r="Q2899" s="12" t="n"/>
      <c r="R2899" s="12" t="n"/>
      <c r="S2899" s="12" t="inlineStr">
        <is>
          <t>Duct bank</t>
        </is>
      </c>
      <c r="T2899" s="16" t="n">
        <v>356</v>
      </c>
      <c r="U2899" s="16" t="n">
        <v>32</v>
      </c>
      <c r="V2899" s="16">
        <f>ROUNDUP((T2899+U2899+2*'Read Me'!$B$13)*(1+'Read Me'!$B$12),-1)</f>
        <v/>
      </c>
      <c r="W2899" s="16">
        <f>V2899*N2899*O2899</f>
        <v/>
      </c>
      <c r="X2899" s="12">
        <f>IF(LEFT(I2899,2)="MV",2*N2899*IF(L2899="1/C",O2899,1),0)</f>
        <v/>
      </c>
      <c r="Y2899" s="12">
        <f>IF(OR(LEFT(K2899,4)="LVAX",LEFT(K2899,6)="MV15AX",LEFT(K2899,4)="CTAX",LEFT(K2899,2)="W|"),2*N2899*O2899,0)</f>
        <v/>
      </c>
      <c r="Z2899" s="12" t="inlineStr"/>
      <c r="AA2899" s="12">
        <f>N2899*O2899</f>
        <v/>
      </c>
    </row>
    <row r="2900">
      <c r="A2900" s="12" t="inlineStr">
        <is>
          <t>F-C-0009</t>
        </is>
      </c>
      <c r="B2900" s="12" t="inlineStr">
        <is>
          <t>F</t>
        </is>
      </c>
      <c r="C2900" s="12" t="inlineStr">
        <is>
          <t>Controls / service</t>
        </is>
      </c>
      <c r="D2900" s="12" t="inlineStr">
        <is>
          <t>Control</t>
        </is>
      </c>
      <c r="E2900" s="12" t="inlineStr">
        <is>
          <t>CR</t>
        </is>
      </c>
      <c r="F2900" s="12" t="inlineStr">
        <is>
          <t>Control / admin building (main control room)</t>
        </is>
      </c>
      <c r="G2900" s="12" t="inlineStr"/>
      <c r="H2900" s="12" t="inlineStr">
        <is>
          <t>Perimeter fence barbed-wire arms and CCTV cameras</t>
        </is>
      </c>
      <c r="I2900" s="12" t="inlineStr">
        <is>
          <t>Control</t>
        </is>
      </c>
      <c r="J2900" s="12" t="inlineStr">
        <is>
          <t>Control cable 600 V Type TC-ER, Cu #14 AWG, PVC jacket</t>
        </is>
      </c>
      <c r="K2900" s="12" t="inlineStr">
        <is>
          <t>CT|7/C|14</t>
        </is>
      </c>
      <c r="L2900" s="12" t="inlineStr">
        <is>
          <t>7/C</t>
        </is>
      </c>
      <c r="M2900" s="12" t="inlineStr">
        <is>
          <t>14</t>
        </is>
      </c>
      <c r="N2900" s="12" t="n">
        <v>1</v>
      </c>
      <c r="O2900" s="12" t="n">
        <v>1</v>
      </c>
      <c r="P2900" s="12" t="n"/>
      <c r="Q2900" s="12" t="n"/>
      <c r="R2900" s="12" t="n"/>
      <c r="S2900" s="12" t="inlineStr">
        <is>
          <t>Tray</t>
        </is>
      </c>
      <c r="T2900" s="16" t="n">
        <v>2486</v>
      </c>
      <c r="U2900" s="16" t="n">
        <v>264</v>
      </c>
      <c r="V2900" s="16">
        <f>ROUNDUP((T2900+U2900+2*'Read Me'!$B$13)*(1+'Read Me'!$B$12),-1)</f>
        <v/>
      </c>
      <c r="W2900" s="16">
        <f>V2900*N2900*O2900</f>
        <v/>
      </c>
      <c r="X2900" s="12">
        <f>IF(LEFT(I2900,2)="MV",2*N2900*IF(L2900="1/C",O2900,1),0)</f>
        <v/>
      </c>
      <c r="Y2900" s="12">
        <f>IF(OR(LEFT(K2900,4)="LVAX",LEFT(K2900,6)="MV15AX",LEFT(K2900,4)="CTAX",LEFT(K2900,2)="W|"),2*N2900*O2900,0)</f>
        <v/>
      </c>
      <c r="Z2900" s="12" t="inlineStr"/>
      <c r="AA2900" s="12">
        <f>N2900*O2900</f>
        <v/>
      </c>
    </row>
    <row r="2901">
      <c r="A2901" s="12" t="inlineStr">
        <is>
          <t>F-C-0010</t>
        </is>
      </c>
      <c r="B2901" s="12" t="inlineStr">
        <is>
          <t>F</t>
        </is>
      </c>
      <c r="C2901" s="12" t="inlineStr">
        <is>
          <t>Controls / service</t>
        </is>
      </c>
      <c r="D2901" s="12" t="inlineStr">
        <is>
          <t>Motor 1 of 2: control / local station</t>
        </is>
      </c>
      <c r="E2901" s="12" t="inlineStr">
        <is>
          <t>MCC-C2</t>
        </is>
      </c>
      <c r="F2901" s="12" t="inlineStr">
        <is>
          <t>R1 MCC-C2</t>
        </is>
      </c>
      <c r="G2901" s="12" t="inlineStr"/>
      <c r="H2901" s="12" t="inlineStr">
        <is>
          <t>Stormwater pump station (2 x 100% submersible pumps)</t>
        </is>
      </c>
      <c r="I2901" s="12" t="inlineStr">
        <is>
          <t>Control</t>
        </is>
      </c>
      <c r="J2901" s="12" t="inlineStr">
        <is>
          <t>Control cable 600 V Type TC-ER, Cu #14 AWG, PVC jacket</t>
        </is>
      </c>
      <c r="K2901" s="12" t="inlineStr">
        <is>
          <t>CT|7/C|14</t>
        </is>
      </c>
      <c r="L2901" s="12" t="inlineStr">
        <is>
          <t>7/C</t>
        </is>
      </c>
      <c r="M2901" s="12" t="inlineStr">
        <is>
          <t>14</t>
        </is>
      </c>
      <c r="N2901" s="12" t="n">
        <v>1</v>
      </c>
      <c r="O2901" s="12" t="n">
        <v>1</v>
      </c>
      <c r="P2901" s="12" t="n"/>
      <c r="Q2901" s="12" t="n"/>
      <c r="R2901" s="12" t="n"/>
      <c r="S2901" s="12" t="inlineStr">
        <is>
          <t>Duct bank</t>
        </is>
      </c>
      <c r="T2901" s="16" t="n">
        <v>1832</v>
      </c>
      <c r="U2901" s="16" t="n">
        <v>145</v>
      </c>
      <c r="V2901" s="16">
        <f>ROUNDUP((T2901+U2901+2*'Read Me'!$B$13)*(1+'Read Me'!$B$12),-1)</f>
        <v/>
      </c>
      <c r="W2901" s="16">
        <f>V2901*N2901*O2901</f>
        <v/>
      </c>
      <c r="X2901" s="12">
        <f>IF(LEFT(I2901,2)="MV",2*N2901*IF(L2901="1/C",O2901,1),0)</f>
        <v/>
      </c>
      <c r="Y2901" s="12">
        <f>IF(OR(LEFT(K2901,4)="LVAX",LEFT(K2901,6)="MV15AX",LEFT(K2901,4)="CTAX",LEFT(K2901,2)="W|"),2*N2901*O2901,0)</f>
        <v/>
      </c>
      <c r="Z2901" s="12" t="inlineStr"/>
      <c r="AA2901" s="12">
        <f>N2901*O2901</f>
        <v/>
      </c>
    </row>
    <row r="2902">
      <c r="A2902" s="12" t="inlineStr">
        <is>
          <t>F-C-0011</t>
        </is>
      </c>
      <c r="B2902" s="12" t="inlineStr">
        <is>
          <t>F</t>
        </is>
      </c>
      <c r="C2902" s="12" t="inlineStr">
        <is>
          <t>Controls / service</t>
        </is>
      </c>
      <c r="D2902" s="12" t="inlineStr">
        <is>
          <t>Motor 2 of 2: control / local station</t>
        </is>
      </c>
      <c r="E2902" s="12" t="inlineStr">
        <is>
          <t>MCC-C2</t>
        </is>
      </c>
      <c r="F2902" s="12" t="inlineStr">
        <is>
          <t>R1 MCC-C2</t>
        </is>
      </c>
      <c r="G2902" s="12" t="inlineStr"/>
      <c r="H2902" s="12" t="inlineStr">
        <is>
          <t>Stormwater pump station (2 x 100% submersible pumps)</t>
        </is>
      </c>
      <c r="I2902" s="12" t="inlineStr">
        <is>
          <t>Control</t>
        </is>
      </c>
      <c r="J2902" s="12" t="inlineStr">
        <is>
          <t>Control cable 600 V Type TC-ER, Cu #14 AWG, PVC jacket</t>
        </is>
      </c>
      <c r="K2902" s="12" t="inlineStr">
        <is>
          <t>CT|7/C|14</t>
        </is>
      </c>
      <c r="L2902" s="12" t="inlineStr">
        <is>
          <t>7/C</t>
        </is>
      </c>
      <c r="M2902" s="12" t="inlineStr">
        <is>
          <t>14</t>
        </is>
      </c>
      <c r="N2902" s="12" t="n">
        <v>1</v>
      </c>
      <c r="O2902" s="12" t="n">
        <v>1</v>
      </c>
      <c r="P2902" s="12" t="n"/>
      <c r="Q2902" s="12" t="n"/>
      <c r="R2902" s="12" t="n"/>
      <c r="S2902" s="12" t="inlineStr">
        <is>
          <t>Duct bank</t>
        </is>
      </c>
      <c r="T2902" s="16" t="n">
        <v>1832</v>
      </c>
      <c r="U2902" s="16" t="n">
        <v>145</v>
      </c>
      <c r="V2902" s="16">
        <f>ROUNDUP((T2902+U2902+2*'Read Me'!$B$13)*(1+'Read Me'!$B$12),-1)</f>
        <v/>
      </c>
      <c r="W2902" s="16">
        <f>V2902*N2902*O2902</f>
        <v/>
      </c>
      <c r="X2902" s="12">
        <f>IF(LEFT(I2902,2)="MV",2*N2902*IF(L2902="1/C",O2902,1),0)</f>
        <v/>
      </c>
      <c r="Y2902" s="12">
        <f>IF(OR(LEFT(K2902,4)="LVAX",LEFT(K2902,6)="MV15AX",LEFT(K2902,4)="CTAX",LEFT(K2902,2)="W|"),2*N2902*O2902,0)</f>
        <v/>
      </c>
      <c r="Z2902" s="12" t="inlineStr"/>
      <c r="AA2902" s="12">
        <f>N2902*O2902</f>
        <v/>
      </c>
    </row>
    <row r="2903">
      <c r="A2903" s="12" t="inlineStr">
        <is>
          <t>F-C-0012</t>
        </is>
      </c>
      <c r="B2903" s="12" t="inlineStr">
        <is>
          <t>F</t>
        </is>
      </c>
      <c r="C2903" s="12" t="inlineStr">
        <is>
          <t>Controls / service</t>
        </is>
      </c>
      <c r="D2903" s="12" t="inlineStr">
        <is>
          <t>Control</t>
        </is>
      </c>
      <c r="E2903" s="12" t="inlineStr">
        <is>
          <t>CR</t>
        </is>
      </c>
      <c r="F2903" s="12" t="inlineStr">
        <is>
          <t>Control / admin building (main control room)</t>
        </is>
      </c>
      <c r="G2903" s="12" t="inlineStr"/>
      <c r="H2903" s="12" t="inlineStr">
        <is>
          <t>Warehouse</t>
        </is>
      </c>
      <c r="I2903" s="12" t="inlineStr">
        <is>
          <t>Control</t>
        </is>
      </c>
      <c r="J2903" s="12" t="inlineStr">
        <is>
          <t>Control cable 600 V Type TC-ER, Cu #14 AWG, PVC jacket</t>
        </is>
      </c>
      <c r="K2903" s="12" t="inlineStr">
        <is>
          <t>CT|7/C|14</t>
        </is>
      </c>
      <c r="L2903" s="12" t="inlineStr">
        <is>
          <t>7/C</t>
        </is>
      </c>
      <c r="M2903" s="12" t="inlineStr">
        <is>
          <t>14</t>
        </is>
      </c>
      <c r="N2903" s="12" t="n">
        <v>1</v>
      </c>
      <c r="O2903" s="12" t="n">
        <v>1</v>
      </c>
      <c r="P2903" s="12" t="n"/>
      <c r="Q2903" s="12" t="n"/>
      <c r="R2903" s="12" t="n"/>
      <c r="S2903" s="12" t="inlineStr">
        <is>
          <t>Tray</t>
        </is>
      </c>
      <c r="T2903" s="16" t="n">
        <v>37</v>
      </c>
      <c r="U2903" s="16" t="n">
        <v>109</v>
      </c>
      <c r="V2903" s="16">
        <f>ROUNDUP((T2903+U2903+2*'Read Me'!$B$13)*(1+'Read Me'!$B$12),-1)</f>
        <v/>
      </c>
      <c r="W2903" s="16">
        <f>V2903*N2903*O2903</f>
        <v/>
      </c>
      <c r="X2903" s="12">
        <f>IF(LEFT(I2903,2)="MV",2*N2903*IF(L2903="1/C",O2903,1),0)</f>
        <v/>
      </c>
      <c r="Y2903" s="12">
        <f>IF(OR(LEFT(K2903,4)="LVAX",LEFT(K2903,6)="MV15AX",LEFT(K2903,4)="CTAX",LEFT(K2903,2)="W|"),2*N2903*O2903,0)</f>
        <v/>
      </c>
      <c r="Z2903" s="12" t="inlineStr"/>
      <c r="AA2903" s="12">
        <f>N2903*O2903</f>
        <v/>
      </c>
    </row>
    <row r="2904">
      <c r="A2904" s="12" t="inlineStr">
        <is>
          <t>F-F-0001</t>
        </is>
      </c>
      <c r="B2904" s="12" t="inlineStr">
        <is>
          <t>F</t>
        </is>
      </c>
      <c r="C2904" s="12" t="inlineStr">
        <is>
          <t>Controls / service</t>
        </is>
      </c>
      <c r="D2904" s="12" t="inlineStr">
        <is>
          <t>Plant network / DCS fibre</t>
        </is>
      </c>
      <c r="E2904" s="12" t="inlineStr">
        <is>
          <t>CR</t>
        </is>
      </c>
      <c r="F2904" s="12" t="inlineStr">
        <is>
          <t>Control / admin building (main control room)</t>
        </is>
      </c>
      <c r="G2904" s="12" t="inlineStr">
        <is>
          <t>CR</t>
        </is>
      </c>
      <c r="H2904" s="12" t="inlineStr">
        <is>
          <t>Control / admin building (main control room)</t>
        </is>
      </c>
      <c r="I2904" s="12" t="inlineStr">
        <is>
          <t>Fibre / data</t>
        </is>
      </c>
      <c r="J2904" s="12" t="inlineStr">
        <is>
          <t>Fibre optic, single-mode, 12-fibre, armored, orange jacket</t>
        </is>
      </c>
      <c r="K2904" s="12" t="inlineStr">
        <is>
          <t>FO|12 SM|-</t>
        </is>
      </c>
      <c r="L2904" s="12" t="inlineStr">
        <is>
          <t>12 SM</t>
        </is>
      </c>
      <c r="M2904" s="12" t="inlineStr">
        <is>
          <t>-</t>
        </is>
      </c>
      <c r="N2904" s="12" t="n">
        <v>1</v>
      </c>
      <c r="O2904" s="12" t="n">
        <v>1</v>
      </c>
      <c r="P2904" s="12" t="n"/>
      <c r="Q2904" s="12" t="n"/>
      <c r="R2904" s="12" t="n"/>
      <c r="S2904" s="12" t="inlineStr">
        <is>
          <t>Tray</t>
        </is>
      </c>
      <c r="T2904" s="16" t="n">
        <v>0</v>
      </c>
      <c r="U2904" s="16" t="n">
        <v>32</v>
      </c>
      <c r="V2904" s="16">
        <f>ROUNDUP((T2904+U2904+2*'Read Me'!$B$13)*(1+'Read Me'!$B$12),-1)</f>
        <v/>
      </c>
      <c r="W2904" s="16">
        <f>V2904*N2904*O2904</f>
        <v/>
      </c>
      <c r="X2904" s="12">
        <f>IF(LEFT(I2904,2)="MV",2*N2904*IF(L2904="1/C",O2904,1),0)</f>
        <v/>
      </c>
      <c r="Y2904" s="12">
        <f>IF(OR(LEFT(K2904,4)="LVAX",LEFT(K2904,6)="MV15AX",LEFT(K2904,4)="CTAX",LEFT(K2904,2)="W|"),2*N2904*O2904,0)</f>
        <v/>
      </c>
      <c r="Z2904" s="12" t="inlineStr"/>
      <c r="AA2904" s="12">
        <f>N2904*O2904</f>
        <v/>
      </c>
    </row>
    <row r="2905">
      <c r="A2905" s="12" t="inlineStr">
        <is>
          <t>F-F-0002</t>
        </is>
      </c>
      <c r="B2905" s="12" t="inlineStr">
        <is>
          <t>F</t>
        </is>
      </c>
      <c r="C2905" s="12" t="inlineStr">
        <is>
          <t>Controls / service</t>
        </is>
      </c>
      <c r="D2905" s="12" t="inlineStr">
        <is>
          <t>Plant network / DCS fibre</t>
        </is>
      </c>
      <c r="E2905" s="12" t="inlineStr">
        <is>
          <t>CR</t>
        </is>
      </c>
      <c r="F2905" s="12" t="inlineStr">
        <is>
          <t>Control / admin building (main control room)</t>
        </is>
      </c>
      <c r="G2905" s="12" t="inlineStr"/>
      <c r="H2905" s="12" t="inlineStr">
        <is>
          <t>Gatehouse</t>
        </is>
      </c>
      <c r="I2905" s="12" t="inlineStr">
        <is>
          <t>Fibre / data</t>
        </is>
      </c>
      <c r="J2905" s="12" t="inlineStr">
        <is>
          <t>Fibre optic, single-mode, 12-fibre, armored, orange jacket</t>
        </is>
      </c>
      <c r="K2905" s="12" t="inlineStr">
        <is>
          <t>FO|12 SM|-</t>
        </is>
      </c>
      <c r="L2905" s="12" t="inlineStr">
        <is>
          <t>12 SM</t>
        </is>
      </c>
      <c r="M2905" s="12" t="inlineStr">
        <is>
          <t>-</t>
        </is>
      </c>
      <c r="N2905" s="12" t="n">
        <v>1</v>
      </c>
      <c r="O2905" s="12" t="n">
        <v>1</v>
      </c>
      <c r="P2905" s="12" t="n"/>
      <c r="Q2905" s="12" t="n"/>
      <c r="R2905" s="12" t="n"/>
      <c r="S2905" s="12" t="inlineStr">
        <is>
          <t>Tray</t>
        </is>
      </c>
      <c r="T2905" s="16" t="n">
        <v>33</v>
      </c>
      <c r="U2905" s="16" t="n">
        <v>32</v>
      </c>
      <c r="V2905" s="16">
        <f>ROUNDUP((T2905+U2905+2*'Read Me'!$B$13)*(1+'Read Me'!$B$12),-1)</f>
        <v/>
      </c>
      <c r="W2905" s="16">
        <f>V2905*N2905*O2905</f>
        <v/>
      </c>
      <c r="X2905" s="12">
        <f>IF(LEFT(I2905,2)="MV",2*N2905*IF(L2905="1/C",O2905,1),0)</f>
        <v/>
      </c>
      <c r="Y2905" s="12">
        <f>IF(OR(LEFT(K2905,4)="LVAX",LEFT(K2905,6)="MV15AX",LEFT(K2905,4)="CTAX",LEFT(K2905,2)="W|"),2*N2905*O2905,0)</f>
        <v/>
      </c>
      <c r="Z2905" s="12" t="inlineStr"/>
      <c r="AA2905" s="12">
        <f>N2905*O2905</f>
        <v/>
      </c>
    </row>
    <row r="2906">
      <c r="A2906" s="12" t="inlineStr">
        <is>
          <t>F-F-0003</t>
        </is>
      </c>
      <c r="B2906" s="12" t="inlineStr">
        <is>
          <t>F</t>
        </is>
      </c>
      <c r="C2906" s="12" t="inlineStr">
        <is>
          <t>Controls / service</t>
        </is>
      </c>
      <c r="D2906" s="12" t="inlineStr">
        <is>
          <t>Plant network / DCS fibre</t>
        </is>
      </c>
      <c r="E2906" s="12" t="inlineStr">
        <is>
          <t>CR</t>
        </is>
      </c>
      <c r="F2906" s="12" t="inlineStr">
        <is>
          <t>Control / admin building (main control room)</t>
        </is>
      </c>
      <c r="G2906" s="12" t="inlineStr"/>
      <c r="H2906" s="12" t="inlineStr">
        <is>
          <t>Maintenance building / workshop</t>
        </is>
      </c>
      <c r="I2906" s="12" t="inlineStr">
        <is>
          <t>Fibre / data</t>
        </is>
      </c>
      <c r="J2906" s="12" t="inlineStr">
        <is>
          <t>Fibre optic, single-mode, 12-fibre, armored, orange jacket</t>
        </is>
      </c>
      <c r="K2906" s="12" t="inlineStr">
        <is>
          <t>FO|12 SM|-</t>
        </is>
      </c>
      <c r="L2906" s="12" t="inlineStr">
        <is>
          <t>12 SM</t>
        </is>
      </c>
      <c r="M2906" s="12" t="inlineStr">
        <is>
          <t>-</t>
        </is>
      </c>
      <c r="N2906" s="12" t="n">
        <v>1</v>
      </c>
      <c r="O2906" s="12" t="n">
        <v>1</v>
      </c>
      <c r="P2906" s="12" t="n"/>
      <c r="Q2906" s="12" t="n"/>
      <c r="R2906" s="12" t="n"/>
      <c r="S2906" s="12" t="inlineStr">
        <is>
          <t>Duct bank</t>
        </is>
      </c>
      <c r="T2906" s="16" t="n">
        <v>356</v>
      </c>
      <c r="U2906" s="16" t="n">
        <v>32</v>
      </c>
      <c r="V2906" s="16">
        <f>ROUNDUP((T2906+U2906+2*'Read Me'!$B$13)*(1+'Read Me'!$B$12),-1)</f>
        <v/>
      </c>
      <c r="W2906" s="16">
        <f>V2906*N2906*O2906</f>
        <v/>
      </c>
      <c r="X2906" s="12">
        <f>IF(LEFT(I2906,2)="MV",2*N2906*IF(L2906="1/C",O2906,1),0)</f>
        <v/>
      </c>
      <c r="Y2906" s="12">
        <f>IF(OR(LEFT(K2906,4)="LVAX",LEFT(K2906,6)="MV15AX",LEFT(K2906,4)="CTAX",LEFT(K2906,2)="W|"),2*N2906*O2906,0)</f>
        <v/>
      </c>
      <c r="Z2906" s="12" t="inlineStr"/>
      <c r="AA2906" s="12">
        <f>N2906*O2906</f>
        <v/>
      </c>
    </row>
    <row r="2907">
      <c r="A2907" s="12" t="inlineStr">
        <is>
          <t>F-F-0004</t>
        </is>
      </c>
      <c r="B2907" s="12" t="inlineStr">
        <is>
          <t>F</t>
        </is>
      </c>
      <c r="C2907" s="12" t="inlineStr">
        <is>
          <t>Controls / service</t>
        </is>
      </c>
      <c r="D2907" s="12" t="inlineStr">
        <is>
          <t>Plant network / DCS fibre</t>
        </is>
      </c>
      <c r="E2907" s="12" t="inlineStr">
        <is>
          <t>CR</t>
        </is>
      </c>
      <c r="F2907" s="12" t="inlineStr">
        <is>
          <t>Control / admin building (main control room)</t>
        </is>
      </c>
      <c r="G2907" s="12" t="inlineStr"/>
      <c r="H2907" s="12" t="inlineStr">
        <is>
          <t>Warehouse</t>
        </is>
      </c>
      <c r="I2907" s="12" t="inlineStr">
        <is>
          <t>Fibre / data</t>
        </is>
      </c>
      <c r="J2907" s="12" t="inlineStr">
        <is>
          <t>Fibre optic, single-mode, 12-fibre, armored, orange jacket</t>
        </is>
      </c>
      <c r="K2907" s="12" t="inlineStr">
        <is>
          <t>FO|12 SM|-</t>
        </is>
      </c>
      <c r="L2907" s="12" t="inlineStr">
        <is>
          <t>12 SM</t>
        </is>
      </c>
      <c r="M2907" s="12" t="inlineStr">
        <is>
          <t>-</t>
        </is>
      </c>
      <c r="N2907" s="12" t="n">
        <v>1</v>
      </c>
      <c r="O2907" s="12" t="n">
        <v>1</v>
      </c>
      <c r="P2907" s="12" t="n"/>
      <c r="Q2907" s="12" t="n"/>
      <c r="R2907" s="12" t="n"/>
      <c r="S2907" s="12" t="inlineStr">
        <is>
          <t>Tray</t>
        </is>
      </c>
      <c r="T2907" s="16" t="n">
        <v>37</v>
      </c>
      <c r="U2907" s="16" t="n">
        <v>109</v>
      </c>
      <c r="V2907" s="16">
        <f>ROUNDUP((T2907+U2907+2*'Read Me'!$B$13)*(1+'Read Me'!$B$12),-1)</f>
        <v/>
      </c>
      <c r="W2907" s="16">
        <f>V2907*N2907*O2907</f>
        <v/>
      </c>
      <c r="X2907" s="12">
        <f>IF(LEFT(I2907,2)="MV",2*N2907*IF(L2907="1/C",O2907,1),0)</f>
        <v/>
      </c>
      <c r="Y2907" s="12">
        <f>IF(OR(LEFT(K2907,4)="LVAX",LEFT(K2907,6)="MV15AX",LEFT(K2907,4)="CTAX",LEFT(K2907,2)="W|"),2*N2907*O2907,0)</f>
        <v/>
      </c>
      <c r="Z2907" s="12" t="inlineStr"/>
      <c r="AA2907" s="12">
        <f>N2907*O2907</f>
        <v/>
      </c>
    </row>
    <row r="2908">
      <c r="A2908" s="12" t="inlineStr">
        <is>
          <t>F-FA-0001</t>
        </is>
      </c>
      <c r="B2908" s="12" t="inlineStr">
        <is>
          <t>F</t>
        </is>
      </c>
      <c r="C2908" s="12" t="inlineStr">
        <is>
          <t>Controls / service</t>
        </is>
      </c>
      <c r="D2908" s="12" t="inlineStr">
        <is>
          <t>Fire alarm / F&amp;G loop (to the local FACP / F&amp;G node)</t>
        </is>
      </c>
      <c r="E2908" s="12" t="inlineStr">
        <is>
          <t>CR</t>
        </is>
      </c>
      <c r="F2908" s="12" t="inlineStr">
        <is>
          <t>Control / admin building (main control room)</t>
        </is>
      </c>
      <c r="G2908" s="12" t="inlineStr">
        <is>
          <t>CR</t>
        </is>
      </c>
      <c r="H2908" s="12" t="inlineStr">
        <is>
          <t>Control / admin building (main control room)</t>
        </is>
      </c>
      <c r="I2908" s="12" t="inlineStr">
        <is>
          <t>Fire alarm</t>
        </is>
      </c>
      <c r="J2908" s="12" t="inlineStr">
        <is>
          <t>Fire alarm FPLR 2/C #14 shielded, red jacket (NEC 760)</t>
        </is>
      </c>
      <c r="K2908" s="12" t="inlineStr">
        <is>
          <t>FA|2/C|14</t>
        </is>
      </c>
      <c r="L2908" s="12" t="inlineStr">
        <is>
          <t>2/C</t>
        </is>
      </c>
      <c r="M2908" s="12" t="inlineStr">
        <is>
          <t>14</t>
        </is>
      </c>
      <c r="N2908" s="12" t="n">
        <v>1</v>
      </c>
      <c r="O2908" s="12" t="n">
        <v>1</v>
      </c>
      <c r="P2908" s="12" t="n"/>
      <c r="Q2908" s="12" t="n"/>
      <c r="R2908" s="12" t="n"/>
      <c r="S2908" s="12" t="inlineStr">
        <is>
          <t>Tray</t>
        </is>
      </c>
      <c r="T2908" s="16" t="n">
        <v>0</v>
      </c>
      <c r="U2908" s="16" t="n">
        <v>32</v>
      </c>
      <c r="V2908" s="16">
        <f>ROUNDUP((T2908+U2908+2*'Read Me'!$B$13)*(1+'Read Me'!$B$12),-1)</f>
        <v/>
      </c>
      <c r="W2908" s="16">
        <f>V2908*N2908*O2908</f>
        <v/>
      </c>
      <c r="X2908" s="12">
        <f>IF(LEFT(I2908,2)="MV",2*N2908*IF(L2908="1/C",O2908,1),0)</f>
        <v/>
      </c>
      <c r="Y2908" s="12">
        <f>IF(OR(LEFT(K2908,4)="LVAX",LEFT(K2908,6)="MV15AX",LEFT(K2908,4)="CTAX",LEFT(K2908,2)="W|"),2*N2908*O2908,0)</f>
        <v/>
      </c>
      <c r="Z2908" s="12" t="inlineStr"/>
      <c r="AA2908" s="12">
        <f>N2908*O2908</f>
        <v/>
      </c>
    </row>
    <row r="2909">
      <c r="A2909" s="12" t="inlineStr">
        <is>
          <t>F-FA-0002</t>
        </is>
      </c>
      <c r="B2909" s="12" t="inlineStr">
        <is>
          <t>F</t>
        </is>
      </c>
      <c r="C2909" s="12" t="inlineStr">
        <is>
          <t>Controls / service</t>
        </is>
      </c>
      <c r="D2909" s="12" t="inlineStr">
        <is>
          <t>Fire alarm / F&amp;G loop (to the local FACP / F&amp;G node)</t>
        </is>
      </c>
      <c r="E2909" s="12" t="inlineStr">
        <is>
          <t>CR</t>
        </is>
      </c>
      <c r="F2909" s="12" t="inlineStr">
        <is>
          <t>Control / admin building (main control room)</t>
        </is>
      </c>
      <c r="G2909" s="12" t="inlineStr">
        <is>
          <t>EDG-1</t>
        </is>
      </c>
      <c r="H2909" s="12" t="inlineStr">
        <is>
          <t>EDG-1: 3 MW emergency diesel generator (480 V)</t>
        </is>
      </c>
      <c r="I2909" s="12" t="inlineStr">
        <is>
          <t>Fire alarm</t>
        </is>
      </c>
      <c r="J2909" s="12" t="inlineStr">
        <is>
          <t>Fire alarm FPLR 2/C #14 shielded, red jacket (NEC 760)</t>
        </is>
      </c>
      <c r="K2909" s="12" t="inlineStr">
        <is>
          <t>FA|2/C|14</t>
        </is>
      </c>
      <c r="L2909" s="12" t="inlineStr">
        <is>
          <t>2/C</t>
        </is>
      </c>
      <c r="M2909" s="12" t="inlineStr">
        <is>
          <t>14</t>
        </is>
      </c>
      <c r="N2909" s="12" t="n">
        <v>1</v>
      </c>
      <c r="O2909" s="12" t="n">
        <v>1</v>
      </c>
      <c r="P2909" s="12" t="n"/>
      <c r="Q2909" s="12" t="n"/>
      <c r="R2909" s="12" t="n"/>
      <c r="S2909" s="12" t="inlineStr">
        <is>
          <t>Duct bank</t>
        </is>
      </c>
      <c r="T2909" s="16" t="n">
        <v>626</v>
      </c>
      <c r="U2909" s="16" t="n">
        <v>62</v>
      </c>
      <c r="V2909" s="16">
        <f>ROUNDUP((T2909+U2909+2*'Read Me'!$B$13)*(1+'Read Me'!$B$12),-1)</f>
        <v/>
      </c>
      <c r="W2909" s="16">
        <f>V2909*N2909*O2909</f>
        <v/>
      </c>
      <c r="X2909" s="12">
        <f>IF(LEFT(I2909,2)="MV",2*N2909*IF(L2909="1/C",O2909,1),0)</f>
        <v/>
      </c>
      <c r="Y2909" s="12">
        <f>IF(OR(LEFT(K2909,4)="LVAX",LEFT(K2909,6)="MV15AX",LEFT(K2909,4)="CTAX",LEFT(K2909,2)="W|"),2*N2909*O2909,0)</f>
        <v/>
      </c>
      <c r="Z2909" s="12" t="inlineStr"/>
      <c r="AA2909" s="12">
        <f>N2909*O2909</f>
        <v/>
      </c>
    </row>
    <row r="2910">
      <c r="A2910" s="12" t="inlineStr">
        <is>
          <t>F-FA-0003</t>
        </is>
      </c>
      <c r="B2910" s="12" t="inlineStr">
        <is>
          <t>F</t>
        </is>
      </c>
      <c r="C2910" s="12" t="inlineStr">
        <is>
          <t>Controls / service</t>
        </is>
      </c>
      <c r="D2910" s="12" t="inlineStr">
        <is>
          <t>Fire alarm / F&amp;G loop (to the local FACP / F&amp;G node)</t>
        </is>
      </c>
      <c r="E2910" s="12" t="inlineStr">
        <is>
          <t>CR</t>
        </is>
      </c>
      <c r="F2910" s="12" t="inlineStr">
        <is>
          <t>Control / admin building (main control room)</t>
        </is>
      </c>
      <c r="G2910" s="12" t="inlineStr">
        <is>
          <t>EDG-2</t>
        </is>
      </c>
      <c r="H2910" s="12" t="inlineStr">
        <is>
          <t>EDG-2: 3 MW emergency diesel generator (480 V)</t>
        </is>
      </c>
      <c r="I2910" s="12" t="inlineStr">
        <is>
          <t>Fire alarm</t>
        </is>
      </c>
      <c r="J2910" s="12" t="inlineStr">
        <is>
          <t>Fire alarm FPLR 2/C #14 shielded, red jacket (NEC 760)</t>
        </is>
      </c>
      <c r="K2910" s="12" t="inlineStr">
        <is>
          <t>FA|2/C|14</t>
        </is>
      </c>
      <c r="L2910" s="12" t="inlineStr">
        <is>
          <t>2/C</t>
        </is>
      </c>
      <c r="M2910" s="12" t="inlineStr">
        <is>
          <t>14</t>
        </is>
      </c>
      <c r="N2910" s="12" t="n">
        <v>1</v>
      </c>
      <c r="O2910" s="12" t="n">
        <v>1</v>
      </c>
      <c r="P2910" s="12" t="n"/>
      <c r="Q2910" s="12" t="n"/>
      <c r="R2910" s="12" t="n"/>
      <c r="S2910" s="12" t="inlineStr">
        <is>
          <t>Duct bank</t>
        </is>
      </c>
      <c r="T2910" s="16" t="n">
        <v>661</v>
      </c>
      <c r="U2910" s="16" t="n">
        <v>65</v>
      </c>
      <c r="V2910" s="16">
        <f>ROUNDUP((T2910+U2910+2*'Read Me'!$B$13)*(1+'Read Me'!$B$12),-1)</f>
        <v/>
      </c>
      <c r="W2910" s="16">
        <f>V2910*N2910*O2910</f>
        <v/>
      </c>
      <c r="X2910" s="12">
        <f>IF(LEFT(I2910,2)="MV",2*N2910*IF(L2910="1/C",O2910,1),0)</f>
        <v/>
      </c>
      <c r="Y2910" s="12">
        <f>IF(OR(LEFT(K2910,4)="LVAX",LEFT(K2910,6)="MV15AX",LEFT(K2910,4)="CTAX",LEFT(K2910,2)="W|"),2*N2910*O2910,0)</f>
        <v/>
      </c>
      <c r="Z2910" s="12" t="inlineStr"/>
      <c r="AA2910" s="12">
        <f>N2910*O2910</f>
        <v/>
      </c>
    </row>
    <row r="2911">
      <c r="A2911" s="12" t="inlineStr">
        <is>
          <t>F-FA-0004</t>
        </is>
      </c>
      <c r="B2911" s="12" t="inlineStr">
        <is>
          <t>F</t>
        </is>
      </c>
      <c r="C2911" s="12" t="inlineStr">
        <is>
          <t>Controls / service</t>
        </is>
      </c>
      <c r="D2911" s="12" t="inlineStr">
        <is>
          <t>Fire alarm / F&amp;G loop (to the local FACP / F&amp;G node)</t>
        </is>
      </c>
      <c r="E2911" s="12" t="inlineStr">
        <is>
          <t>CR</t>
        </is>
      </c>
      <c r="F2911" s="12" t="inlineStr">
        <is>
          <t>Control / admin building (main control room)</t>
        </is>
      </c>
      <c r="G2911" s="12" t="inlineStr"/>
      <c r="H2911" s="12" t="inlineStr">
        <is>
          <t>Gatehouse</t>
        </is>
      </c>
      <c r="I2911" s="12" t="inlineStr">
        <is>
          <t>Fire alarm</t>
        </is>
      </c>
      <c r="J2911" s="12" t="inlineStr">
        <is>
          <t>Fire alarm FPLR 2/C #14 shielded, red jacket (NEC 760)</t>
        </is>
      </c>
      <c r="K2911" s="12" t="inlineStr">
        <is>
          <t>FA|2/C|14</t>
        </is>
      </c>
      <c r="L2911" s="12" t="inlineStr">
        <is>
          <t>2/C</t>
        </is>
      </c>
      <c r="M2911" s="12" t="inlineStr">
        <is>
          <t>14</t>
        </is>
      </c>
      <c r="N2911" s="12" t="n">
        <v>1</v>
      </c>
      <c r="O2911" s="12" t="n">
        <v>1</v>
      </c>
      <c r="P2911" s="12" t="n"/>
      <c r="Q2911" s="12" t="n"/>
      <c r="R2911" s="12" t="n"/>
      <c r="S2911" s="12" t="inlineStr">
        <is>
          <t>Tray</t>
        </is>
      </c>
      <c r="T2911" s="16" t="n">
        <v>33</v>
      </c>
      <c r="U2911" s="16" t="n">
        <v>32</v>
      </c>
      <c r="V2911" s="16">
        <f>ROUNDUP((T2911+U2911+2*'Read Me'!$B$13)*(1+'Read Me'!$B$12),-1)</f>
        <v/>
      </c>
      <c r="W2911" s="16">
        <f>V2911*N2911*O2911</f>
        <v/>
      </c>
      <c r="X2911" s="12">
        <f>IF(LEFT(I2911,2)="MV",2*N2911*IF(L2911="1/C",O2911,1),0)</f>
        <v/>
      </c>
      <c r="Y2911" s="12">
        <f>IF(OR(LEFT(K2911,4)="LVAX",LEFT(K2911,6)="MV15AX",LEFT(K2911,4)="CTAX",LEFT(K2911,2)="W|"),2*N2911*O2911,0)</f>
        <v/>
      </c>
      <c r="Z2911" s="12" t="inlineStr"/>
      <c r="AA2911" s="12">
        <f>N2911*O2911</f>
        <v/>
      </c>
    </row>
    <row r="2912">
      <c r="A2912" s="12" t="inlineStr">
        <is>
          <t>F-FA-0005</t>
        </is>
      </c>
      <c r="B2912" s="12" t="inlineStr">
        <is>
          <t>F</t>
        </is>
      </c>
      <c r="C2912" s="12" t="inlineStr">
        <is>
          <t>Controls / service</t>
        </is>
      </c>
      <c r="D2912" s="12" t="inlineStr">
        <is>
          <t>Fire alarm / F&amp;G loop (to the local FACP / F&amp;G node)</t>
        </is>
      </c>
      <c r="E2912" s="12" t="inlineStr">
        <is>
          <t>CR</t>
        </is>
      </c>
      <c r="F2912" s="12" t="inlineStr">
        <is>
          <t>Control / admin building (main control room)</t>
        </is>
      </c>
      <c r="G2912" s="12" t="inlineStr"/>
      <c r="H2912" s="12" t="inlineStr">
        <is>
          <t>Maintenance building / workshop</t>
        </is>
      </c>
      <c r="I2912" s="12" t="inlineStr">
        <is>
          <t>Fire alarm</t>
        </is>
      </c>
      <c r="J2912" s="12" t="inlineStr">
        <is>
          <t>Fire alarm FPLR 2/C #14 shielded, red jacket (NEC 760)</t>
        </is>
      </c>
      <c r="K2912" s="12" t="inlineStr">
        <is>
          <t>FA|2/C|14</t>
        </is>
      </c>
      <c r="L2912" s="12" t="inlineStr">
        <is>
          <t>2/C</t>
        </is>
      </c>
      <c r="M2912" s="12" t="inlineStr">
        <is>
          <t>14</t>
        </is>
      </c>
      <c r="N2912" s="12" t="n">
        <v>1</v>
      </c>
      <c r="O2912" s="12" t="n">
        <v>1</v>
      </c>
      <c r="P2912" s="12" t="n"/>
      <c r="Q2912" s="12" t="n"/>
      <c r="R2912" s="12" t="n"/>
      <c r="S2912" s="12" t="inlineStr">
        <is>
          <t>Duct bank</t>
        </is>
      </c>
      <c r="T2912" s="16" t="n">
        <v>356</v>
      </c>
      <c r="U2912" s="16" t="n">
        <v>32</v>
      </c>
      <c r="V2912" s="16">
        <f>ROUNDUP((T2912+U2912+2*'Read Me'!$B$13)*(1+'Read Me'!$B$12),-1)</f>
        <v/>
      </c>
      <c r="W2912" s="16">
        <f>V2912*N2912*O2912</f>
        <v/>
      </c>
      <c r="X2912" s="12">
        <f>IF(LEFT(I2912,2)="MV",2*N2912*IF(L2912="1/C",O2912,1),0)</f>
        <v/>
      </c>
      <c r="Y2912" s="12">
        <f>IF(OR(LEFT(K2912,4)="LVAX",LEFT(K2912,6)="MV15AX",LEFT(K2912,4)="CTAX",LEFT(K2912,2)="W|"),2*N2912*O2912,0)</f>
        <v/>
      </c>
      <c r="Z2912" s="12" t="inlineStr"/>
      <c r="AA2912" s="12">
        <f>N2912*O2912</f>
        <v/>
      </c>
    </row>
    <row r="2913">
      <c r="A2913" s="12" t="inlineStr">
        <is>
          <t>F-FA-0006</t>
        </is>
      </c>
      <c r="B2913" s="12" t="inlineStr">
        <is>
          <t>F</t>
        </is>
      </c>
      <c r="C2913" s="12" t="inlineStr">
        <is>
          <t>Controls / service</t>
        </is>
      </c>
      <c r="D2913" s="12" t="inlineStr">
        <is>
          <t>Fire alarm / F&amp;G loop (to the local FACP / F&amp;G node)</t>
        </is>
      </c>
      <c r="E2913" s="12" t="inlineStr">
        <is>
          <t>CR</t>
        </is>
      </c>
      <c r="F2913" s="12" t="inlineStr">
        <is>
          <t>Control / admin building (main control room)</t>
        </is>
      </c>
      <c r="G2913" s="12" t="inlineStr"/>
      <c r="H2913" s="12" t="inlineStr">
        <is>
          <t>Warehouse</t>
        </is>
      </c>
      <c r="I2913" s="12" t="inlineStr">
        <is>
          <t>Fire alarm</t>
        </is>
      </c>
      <c r="J2913" s="12" t="inlineStr">
        <is>
          <t>Fire alarm FPLR 2/C #14 shielded, red jacket (NEC 760)</t>
        </is>
      </c>
      <c r="K2913" s="12" t="inlineStr">
        <is>
          <t>FA|2/C|14</t>
        </is>
      </c>
      <c r="L2913" s="12" t="inlineStr">
        <is>
          <t>2/C</t>
        </is>
      </c>
      <c r="M2913" s="12" t="inlineStr">
        <is>
          <t>14</t>
        </is>
      </c>
      <c r="N2913" s="12" t="n">
        <v>1</v>
      </c>
      <c r="O2913" s="12" t="n">
        <v>1</v>
      </c>
      <c r="P2913" s="12" t="n"/>
      <c r="Q2913" s="12" t="n"/>
      <c r="R2913" s="12" t="n"/>
      <c r="S2913" s="12" t="inlineStr">
        <is>
          <t>Tray</t>
        </is>
      </c>
      <c r="T2913" s="16" t="n">
        <v>37</v>
      </c>
      <c r="U2913" s="16" t="n">
        <v>109</v>
      </c>
      <c r="V2913" s="16">
        <f>ROUNDUP((T2913+U2913+2*'Read Me'!$B$13)*(1+'Read Me'!$B$12),-1)</f>
        <v/>
      </c>
      <c r="W2913" s="16">
        <f>V2913*N2913*O2913</f>
        <v/>
      </c>
      <c r="X2913" s="12">
        <f>IF(LEFT(I2913,2)="MV",2*N2913*IF(L2913="1/C",O2913,1),0)</f>
        <v/>
      </c>
      <c r="Y2913" s="12">
        <f>IF(OR(LEFT(K2913,4)="LVAX",LEFT(K2913,6)="MV15AX",LEFT(K2913,4)="CTAX",LEFT(K2913,2)="W|"),2*N2913*O2913,0)</f>
        <v/>
      </c>
      <c r="Z2913" s="12" t="inlineStr"/>
      <c r="AA2913" s="12">
        <f>N2913*O2913</f>
        <v/>
      </c>
    </row>
    <row r="2914">
      <c r="A2914" s="12" t="inlineStr">
        <is>
          <t>F-I-0001</t>
        </is>
      </c>
      <c r="B2914" s="12" t="inlineStr">
        <is>
          <t>F</t>
        </is>
      </c>
      <c r="C2914" s="12" t="inlineStr">
        <is>
          <t>Controls / service</t>
        </is>
      </c>
      <c r="D2914" s="12" t="inlineStr">
        <is>
          <t>Instrumentation</t>
        </is>
      </c>
      <c r="E2914" s="12" t="inlineStr">
        <is>
          <t>CR</t>
        </is>
      </c>
      <c r="F2914" s="12" t="inlineStr">
        <is>
          <t>Control / admin building (main control room)</t>
        </is>
      </c>
      <c r="G2914" s="12" t="inlineStr">
        <is>
          <t>EDG-1</t>
        </is>
      </c>
      <c r="H2914" s="12" t="inlineStr">
        <is>
          <t>EDG-1: 3 MW emergency diesel generator (480 V)</t>
        </is>
      </c>
      <c r="I2914" s="12" t="inlineStr">
        <is>
          <t>Instrumentation</t>
        </is>
      </c>
      <c r="J2914" s="12" t="inlineStr">
        <is>
          <t>Instrumentation PLTC / TC-ER 300 V, #18 twisted shielded pairs, overall shield</t>
        </is>
      </c>
      <c r="K2914" s="12" t="inlineStr">
        <is>
          <t>PLTC|4 pr|18</t>
        </is>
      </c>
      <c r="L2914" s="12" t="inlineStr">
        <is>
          <t>4 pr</t>
        </is>
      </c>
      <c r="M2914" s="12" t="inlineStr">
        <is>
          <t>18</t>
        </is>
      </c>
      <c r="N2914" s="12" t="n">
        <v>1</v>
      </c>
      <c r="O2914" s="12" t="n">
        <v>1</v>
      </c>
      <c r="P2914" s="12" t="n"/>
      <c r="Q2914" s="12" t="n"/>
      <c r="R2914" s="12" t="n"/>
      <c r="S2914" s="12" t="inlineStr">
        <is>
          <t>Duct bank</t>
        </is>
      </c>
      <c r="T2914" s="16" t="n">
        <v>626</v>
      </c>
      <c r="U2914" s="16" t="n">
        <v>62</v>
      </c>
      <c r="V2914" s="16">
        <f>ROUNDUP((T2914+U2914+2*'Read Me'!$B$13)*(1+'Read Me'!$B$12),-1)</f>
        <v/>
      </c>
      <c r="W2914" s="16">
        <f>V2914*N2914*O2914</f>
        <v/>
      </c>
      <c r="X2914" s="12">
        <f>IF(LEFT(I2914,2)="MV",2*N2914*IF(L2914="1/C",O2914,1),0)</f>
        <v/>
      </c>
      <c r="Y2914" s="12">
        <f>IF(OR(LEFT(K2914,4)="LVAX",LEFT(K2914,6)="MV15AX",LEFT(K2914,4)="CTAX",LEFT(K2914,2)="W|"),2*N2914*O2914,0)</f>
        <v/>
      </c>
      <c r="Z2914" s="12" t="inlineStr"/>
      <c r="AA2914" s="12">
        <f>N2914*O2914</f>
        <v/>
      </c>
    </row>
    <row r="2915">
      <c r="A2915" s="12" t="inlineStr">
        <is>
          <t>F-I-0002</t>
        </is>
      </c>
      <c r="B2915" s="12" t="inlineStr">
        <is>
          <t>F</t>
        </is>
      </c>
      <c r="C2915" s="12" t="inlineStr">
        <is>
          <t>Controls / service</t>
        </is>
      </c>
      <c r="D2915" s="12" t="inlineStr">
        <is>
          <t>Thermocouples</t>
        </is>
      </c>
      <c r="E2915" s="12" t="inlineStr">
        <is>
          <t>CR</t>
        </is>
      </c>
      <c r="F2915" s="12" t="inlineStr">
        <is>
          <t>Control / admin building (main control room)</t>
        </is>
      </c>
      <c r="G2915" s="12" t="inlineStr">
        <is>
          <t>EDG-1</t>
        </is>
      </c>
      <c r="H2915" s="12" t="inlineStr">
        <is>
          <t>EDG-1: 3 MW emergency diesel generator (480 V)</t>
        </is>
      </c>
      <c r="I2915" s="12" t="inlineStr">
        <is>
          <t>Instrumentation</t>
        </is>
      </c>
      <c r="J2915" s="12" t="inlineStr">
        <is>
          <t>Thermocouple extension KX, #16 shielded pairs, PLTC</t>
        </is>
      </c>
      <c r="K2915" s="12" t="inlineStr">
        <is>
          <t>TCX|12 pr|16</t>
        </is>
      </c>
      <c r="L2915" s="12" t="inlineStr">
        <is>
          <t>12 pr</t>
        </is>
      </c>
      <c r="M2915" s="12" t="inlineStr">
        <is>
          <t>16</t>
        </is>
      </c>
      <c r="N2915" s="12" t="n">
        <v>1</v>
      </c>
      <c r="O2915" s="12" t="n">
        <v>1</v>
      </c>
      <c r="P2915" s="12" t="n"/>
      <c r="Q2915" s="12" t="n"/>
      <c r="R2915" s="12" t="n"/>
      <c r="S2915" s="12" t="inlineStr">
        <is>
          <t>Duct bank</t>
        </is>
      </c>
      <c r="T2915" s="16" t="n">
        <v>626</v>
      </c>
      <c r="U2915" s="16" t="n">
        <v>62</v>
      </c>
      <c r="V2915" s="16">
        <f>ROUNDUP((T2915+U2915+2*'Read Me'!$B$13)*(1+'Read Me'!$B$12),-1)</f>
        <v/>
      </c>
      <c r="W2915" s="16">
        <f>V2915*N2915*O2915</f>
        <v/>
      </c>
      <c r="X2915" s="12">
        <f>IF(LEFT(I2915,2)="MV",2*N2915*IF(L2915="1/C",O2915,1),0)</f>
        <v/>
      </c>
      <c r="Y2915" s="12">
        <f>IF(OR(LEFT(K2915,4)="LVAX",LEFT(K2915,6)="MV15AX",LEFT(K2915,4)="CTAX",LEFT(K2915,2)="W|"),2*N2915*O2915,0)</f>
        <v/>
      </c>
      <c r="Z2915" s="12" t="inlineStr"/>
      <c r="AA2915" s="12">
        <f>N2915*O2915</f>
        <v/>
      </c>
    </row>
    <row r="2916">
      <c r="A2916" s="12" t="inlineStr">
        <is>
          <t>F-I-0003</t>
        </is>
      </c>
      <c r="B2916" s="12" t="inlineStr">
        <is>
          <t>F</t>
        </is>
      </c>
      <c r="C2916" s="12" t="inlineStr">
        <is>
          <t>Controls / service</t>
        </is>
      </c>
      <c r="D2916" s="12" t="inlineStr">
        <is>
          <t>Thermocouples</t>
        </is>
      </c>
      <c r="E2916" s="12" t="inlineStr">
        <is>
          <t>CR</t>
        </is>
      </c>
      <c r="F2916" s="12" t="inlineStr">
        <is>
          <t>Control / admin building (main control room)</t>
        </is>
      </c>
      <c r="G2916" s="12" t="inlineStr">
        <is>
          <t>EDG-1</t>
        </is>
      </c>
      <c r="H2916" s="12" t="inlineStr">
        <is>
          <t>EDG-1: 3 MW emergency diesel generator (480 V)</t>
        </is>
      </c>
      <c r="I2916" s="12" t="inlineStr">
        <is>
          <t>Instrumentation</t>
        </is>
      </c>
      <c r="J2916" s="12" t="inlineStr">
        <is>
          <t>Thermocouple extension KX, #16 shielded pairs, PLTC</t>
        </is>
      </c>
      <c r="K2916" s="12" t="inlineStr">
        <is>
          <t>TCX|12 pr|16</t>
        </is>
      </c>
      <c r="L2916" s="12" t="inlineStr">
        <is>
          <t>12 pr</t>
        </is>
      </c>
      <c r="M2916" s="12" t="inlineStr">
        <is>
          <t>16</t>
        </is>
      </c>
      <c r="N2916" s="12" t="n">
        <v>1</v>
      </c>
      <c r="O2916" s="12" t="n">
        <v>1</v>
      </c>
      <c r="P2916" s="12" t="n"/>
      <c r="Q2916" s="12" t="n"/>
      <c r="R2916" s="12" t="n"/>
      <c r="S2916" s="12" t="inlineStr">
        <is>
          <t>Duct bank</t>
        </is>
      </c>
      <c r="T2916" s="16" t="n">
        <v>626</v>
      </c>
      <c r="U2916" s="16" t="n">
        <v>62</v>
      </c>
      <c r="V2916" s="16">
        <f>ROUNDUP((T2916+U2916+2*'Read Me'!$B$13)*(1+'Read Me'!$B$12),-1)</f>
        <v/>
      </c>
      <c r="W2916" s="16">
        <f>V2916*N2916*O2916</f>
        <v/>
      </c>
      <c r="X2916" s="12">
        <f>IF(LEFT(I2916,2)="MV",2*N2916*IF(L2916="1/C",O2916,1),0)</f>
        <v/>
      </c>
      <c r="Y2916" s="12">
        <f>IF(OR(LEFT(K2916,4)="LVAX",LEFT(K2916,6)="MV15AX",LEFT(K2916,4)="CTAX",LEFT(K2916,2)="W|"),2*N2916*O2916,0)</f>
        <v/>
      </c>
      <c r="Z2916" s="12" t="inlineStr"/>
      <c r="AA2916" s="12">
        <f>N2916*O2916</f>
        <v/>
      </c>
    </row>
    <row r="2917">
      <c r="A2917" s="12" t="inlineStr">
        <is>
          <t>F-I-0004</t>
        </is>
      </c>
      <c r="B2917" s="12" t="inlineStr">
        <is>
          <t>F</t>
        </is>
      </c>
      <c r="C2917" s="12" t="inlineStr">
        <is>
          <t>Controls / service</t>
        </is>
      </c>
      <c r="D2917" s="12" t="inlineStr">
        <is>
          <t>Instrumentation</t>
        </is>
      </c>
      <c r="E2917" s="12" t="inlineStr">
        <is>
          <t>CR</t>
        </is>
      </c>
      <c r="F2917" s="12" t="inlineStr">
        <is>
          <t>Control / admin building (main control room)</t>
        </is>
      </c>
      <c r="G2917" s="12" t="inlineStr">
        <is>
          <t>EDG-2</t>
        </is>
      </c>
      <c r="H2917" s="12" t="inlineStr">
        <is>
          <t>EDG-2: 3 MW emergency diesel generator (480 V)</t>
        </is>
      </c>
      <c r="I2917" s="12" t="inlineStr">
        <is>
          <t>Instrumentation</t>
        </is>
      </c>
      <c r="J2917" s="12" t="inlineStr">
        <is>
          <t>Instrumentation PLTC / TC-ER 300 V, #18 twisted shielded pairs, overall shield</t>
        </is>
      </c>
      <c r="K2917" s="12" t="inlineStr">
        <is>
          <t>PLTC|4 pr|18</t>
        </is>
      </c>
      <c r="L2917" s="12" t="inlineStr">
        <is>
          <t>4 pr</t>
        </is>
      </c>
      <c r="M2917" s="12" t="inlineStr">
        <is>
          <t>18</t>
        </is>
      </c>
      <c r="N2917" s="12" t="n">
        <v>1</v>
      </c>
      <c r="O2917" s="12" t="n">
        <v>1</v>
      </c>
      <c r="P2917" s="12" t="n"/>
      <c r="Q2917" s="12" t="n"/>
      <c r="R2917" s="12" t="n"/>
      <c r="S2917" s="12" t="inlineStr">
        <is>
          <t>Duct bank</t>
        </is>
      </c>
      <c r="T2917" s="16" t="n">
        <v>661</v>
      </c>
      <c r="U2917" s="16" t="n">
        <v>65</v>
      </c>
      <c r="V2917" s="16">
        <f>ROUNDUP((T2917+U2917+2*'Read Me'!$B$13)*(1+'Read Me'!$B$12),-1)</f>
        <v/>
      </c>
      <c r="W2917" s="16">
        <f>V2917*N2917*O2917</f>
        <v/>
      </c>
      <c r="X2917" s="12">
        <f>IF(LEFT(I2917,2)="MV",2*N2917*IF(L2917="1/C",O2917,1),0)</f>
        <v/>
      </c>
      <c r="Y2917" s="12">
        <f>IF(OR(LEFT(K2917,4)="LVAX",LEFT(K2917,6)="MV15AX",LEFT(K2917,4)="CTAX",LEFT(K2917,2)="W|"),2*N2917*O2917,0)</f>
        <v/>
      </c>
      <c r="Z2917" s="12" t="inlineStr"/>
      <c r="AA2917" s="12">
        <f>N2917*O2917</f>
        <v/>
      </c>
    </row>
    <row r="2918">
      <c r="A2918" s="12" t="inlineStr">
        <is>
          <t>F-I-0005</t>
        </is>
      </c>
      <c r="B2918" s="12" t="inlineStr">
        <is>
          <t>F</t>
        </is>
      </c>
      <c r="C2918" s="12" t="inlineStr">
        <is>
          <t>Controls / service</t>
        </is>
      </c>
      <c r="D2918" s="12" t="inlineStr">
        <is>
          <t>Thermocouples</t>
        </is>
      </c>
      <c r="E2918" s="12" t="inlineStr">
        <is>
          <t>CR</t>
        </is>
      </c>
      <c r="F2918" s="12" t="inlineStr">
        <is>
          <t>Control / admin building (main control room)</t>
        </is>
      </c>
      <c r="G2918" s="12" t="inlineStr">
        <is>
          <t>EDG-2</t>
        </is>
      </c>
      <c r="H2918" s="12" t="inlineStr">
        <is>
          <t>EDG-2: 3 MW emergency diesel generator (480 V)</t>
        </is>
      </c>
      <c r="I2918" s="12" t="inlineStr">
        <is>
          <t>Instrumentation</t>
        </is>
      </c>
      <c r="J2918" s="12" t="inlineStr">
        <is>
          <t>Thermocouple extension KX, #16 shielded pairs, PLTC</t>
        </is>
      </c>
      <c r="K2918" s="12" t="inlineStr">
        <is>
          <t>TCX|12 pr|16</t>
        </is>
      </c>
      <c r="L2918" s="12" t="inlineStr">
        <is>
          <t>12 pr</t>
        </is>
      </c>
      <c r="M2918" s="12" t="inlineStr">
        <is>
          <t>16</t>
        </is>
      </c>
      <c r="N2918" s="12" t="n">
        <v>1</v>
      </c>
      <c r="O2918" s="12" t="n">
        <v>1</v>
      </c>
      <c r="P2918" s="12" t="n"/>
      <c r="Q2918" s="12" t="n"/>
      <c r="R2918" s="12" t="n"/>
      <c r="S2918" s="12" t="inlineStr">
        <is>
          <t>Duct bank</t>
        </is>
      </c>
      <c r="T2918" s="16" t="n">
        <v>661</v>
      </c>
      <c r="U2918" s="16" t="n">
        <v>65</v>
      </c>
      <c r="V2918" s="16">
        <f>ROUNDUP((T2918+U2918+2*'Read Me'!$B$13)*(1+'Read Me'!$B$12),-1)</f>
        <v/>
      </c>
      <c r="W2918" s="16">
        <f>V2918*N2918*O2918</f>
        <v/>
      </c>
      <c r="X2918" s="12">
        <f>IF(LEFT(I2918,2)="MV",2*N2918*IF(L2918="1/C",O2918,1),0)</f>
        <v/>
      </c>
      <c r="Y2918" s="12">
        <f>IF(OR(LEFT(K2918,4)="LVAX",LEFT(K2918,6)="MV15AX",LEFT(K2918,4)="CTAX",LEFT(K2918,2)="W|"),2*N2918*O2918,0)</f>
        <v/>
      </c>
      <c r="Z2918" s="12" t="inlineStr"/>
      <c r="AA2918" s="12">
        <f>N2918*O2918</f>
        <v/>
      </c>
    </row>
    <row r="2919">
      <c r="A2919" s="12" t="inlineStr">
        <is>
          <t>F-I-0006</t>
        </is>
      </c>
      <c r="B2919" s="12" t="inlineStr">
        <is>
          <t>F</t>
        </is>
      </c>
      <c r="C2919" s="12" t="inlineStr">
        <is>
          <t>Controls / service</t>
        </is>
      </c>
      <c r="D2919" s="12" t="inlineStr">
        <is>
          <t>Thermocouples</t>
        </is>
      </c>
      <c r="E2919" s="12" t="inlineStr">
        <is>
          <t>CR</t>
        </is>
      </c>
      <c r="F2919" s="12" t="inlineStr">
        <is>
          <t>Control / admin building (main control room)</t>
        </is>
      </c>
      <c r="G2919" s="12" t="inlineStr">
        <is>
          <t>EDG-2</t>
        </is>
      </c>
      <c r="H2919" s="12" t="inlineStr">
        <is>
          <t>EDG-2: 3 MW emergency diesel generator (480 V)</t>
        </is>
      </c>
      <c r="I2919" s="12" t="inlineStr">
        <is>
          <t>Instrumentation</t>
        </is>
      </c>
      <c r="J2919" s="12" t="inlineStr">
        <is>
          <t>Thermocouple extension KX, #16 shielded pairs, PLTC</t>
        </is>
      </c>
      <c r="K2919" s="12" t="inlineStr">
        <is>
          <t>TCX|12 pr|16</t>
        </is>
      </c>
      <c r="L2919" s="12" t="inlineStr">
        <is>
          <t>12 pr</t>
        </is>
      </c>
      <c r="M2919" s="12" t="inlineStr">
        <is>
          <t>16</t>
        </is>
      </c>
      <c r="N2919" s="12" t="n">
        <v>1</v>
      </c>
      <c r="O2919" s="12" t="n">
        <v>1</v>
      </c>
      <c r="P2919" s="12" t="n"/>
      <c r="Q2919" s="12" t="n"/>
      <c r="R2919" s="12" t="n"/>
      <c r="S2919" s="12" t="inlineStr">
        <is>
          <t>Duct bank</t>
        </is>
      </c>
      <c r="T2919" s="16" t="n">
        <v>661</v>
      </c>
      <c r="U2919" s="16" t="n">
        <v>65</v>
      </c>
      <c r="V2919" s="16">
        <f>ROUNDUP((T2919+U2919+2*'Read Me'!$B$13)*(1+'Read Me'!$B$12),-1)</f>
        <v/>
      </c>
      <c r="W2919" s="16">
        <f>V2919*N2919*O2919</f>
        <v/>
      </c>
      <c r="X2919" s="12">
        <f>IF(LEFT(I2919,2)="MV",2*N2919*IF(L2919="1/C",O2919,1),0)</f>
        <v/>
      </c>
      <c r="Y2919" s="12">
        <f>IF(OR(LEFT(K2919,4)="LVAX",LEFT(K2919,6)="MV15AX",LEFT(K2919,4)="CTAX",LEFT(K2919,2)="W|"),2*N2919*O2919,0)</f>
        <v/>
      </c>
      <c r="Z2919" s="12" t="inlineStr"/>
      <c r="AA2919" s="12">
        <f>N2919*O2919</f>
        <v/>
      </c>
    </row>
    <row r="2920">
      <c r="A2920" s="12" t="inlineStr">
        <is>
          <t>F-I-0007</t>
        </is>
      </c>
      <c r="B2920" s="12" t="inlineStr">
        <is>
          <t>F</t>
        </is>
      </c>
      <c r="C2920" s="12" t="inlineStr">
        <is>
          <t>Controls / service</t>
        </is>
      </c>
      <c r="D2920" s="12" t="inlineStr">
        <is>
          <t>Analog instrument to JB JB-LS-1-AI01: 2 x 1 pr (field cables)</t>
        </is>
      </c>
      <c r="E2920" s="12" t="inlineStr">
        <is>
          <t>LS-1</t>
        </is>
      </c>
      <c r="F2920" s="12" t="inlineStr">
        <is>
          <t>LS-1: sanitary lift station (packaged duplex)</t>
        </is>
      </c>
      <c r="G2920" s="12" t="inlineStr">
        <is>
          <t>JB-LS-1-AI01</t>
        </is>
      </c>
      <c r="H2920" s="12" t="inlineStr">
        <is>
          <t>LS-1: sanitary lift station (packaged duplex)</t>
        </is>
      </c>
      <c r="I2920" s="12" t="inlineStr">
        <is>
          <t>Instrumentation</t>
        </is>
      </c>
      <c r="J2920" s="12" t="inlineStr">
        <is>
          <t>Instrumentation PLTC / TC-ER 300 V, #18 twisted shielded pairs, overall shield</t>
        </is>
      </c>
      <c r="K2920" s="12" t="inlineStr">
        <is>
          <t>PLTC|1 pr|16</t>
        </is>
      </c>
      <c r="L2920" s="12" t="inlineStr">
        <is>
          <t>1 pr</t>
        </is>
      </c>
      <c r="M2920" s="12" t="inlineStr">
        <is>
          <t>16</t>
        </is>
      </c>
      <c r="N2920" s="12" t="n">
        <v>2</v>
      </c>
      <c r="O2920" s="12" t="n">
        <v>1</v>
      </c>
      <c r="P2920" s="12" t="n"/>
      <c r="Q2920" s="12" t="n"/>
      <c r="R2920" s="12" t="n"/>
      <c r="S2920" s="12" t="inlineStr">
        <is>
          <t>Tray / conduit</t>
        </is>
      </c>
      <c r="T2920" s="16" t="n">
        <v>40</v>
      </c>
      <c r="U2920" s="16" t="n">
        <v>10</v>
      </c>
      <c r="V2920" s="16">
        <f>ROUNDUP((T2920+U2920+2*'Read Me'!$B$13)*(1+'Read Me'!$B$12),-1)</f>
        <v/>
      </c>
      <c r="W2920" s="16">
        <f>V2920*N2920*O2920</f>
        <v/>
      </c>
      <c r="X2920" s="12">
        <f>IF(LEFT(I2920,2)="MV",2*N2920*IF(L2920="1/C",O2920,1),0)</f>
        <v/>
      </c>
      <c r="Y2920" s="12">
        <f>IF(OR(LEFT(K2920,4)="LVAX",LEFT(K2920,6)="MV15AX",LEFT(K2920,4)="CTAX",LEFT(K2920,2)="W|"),2*N2920*O2920,0)</f>
        <v/>
      </c>
      <c r="Z2920" s="12" t="inlineStr">
        <is>
          <t>device-to-JB field wiring, one cable per device</t>
        </is>
      </c>
      <c r="AA2920" s="12">
        <f>N2920*O2920</f>
        <v/>
      </c>
    </row>
    <row r="2921">
      <c r="A2921" s="12" t="inlineStr">
        <is>
          <t>F-I-0008</t>
        </is>
      </c>
      <c r="B2921" s="12" t="inlineStr">
        <is>
          <t>F</t>
        </is>
      </c>
      <c r="C2921" s="12" t="inlineStr">
        <is>
          <t>Controls / service</t>
        </is>
      </c>
      <c r="D2921" s="12" t="inlineStr">
        <is>
          <t>Home run JB-LS-1-AI01 to the control / marshalling room</t>
        </is>
      </c>
      <c r="E2921" s="12" t="inlineStr">
        <is>
          <t>CR</t>
        </is>
      </c>
      <c r="F2921" s="12" t="inlineStr">
        <is>
          <t>Control / admin building (main control room)</t>
        </is>
      </c>
      <c r="G2921" s="12" t="inlineStr">
        <is>
          <t>JB-LS-1-AI01</t>
        </is>
      </c>
      <c r="H2921" s="12" t="inlineStr">
        <is>
          <t>LS-1: sanitary lift station (packaged duplex)</t>
        </is>
      </c>
      <c r="I2921" s="12" t="inlineStr">
        <is>
          <t>Instrumentation</t>
        </is>
      </c>
      <c r="J2921" s="12" t="inlineStr">
        <is>
          <t>Instrumentation PLTC / TC-ER 300 V, #18 twisted shielded pairs, overall shield</t>
        </is>
      </c>
      <c r="K2921" s="12" t="inlineStr">
        <is>
          <t>PLTC|24 pr|18</t>
        </is>
      </c>
      <c r="L2921" s="12" t="inlineStr">
        <is>
          <t>24 pr</t>
        </is>
      </c>
      <c r="M2921" s="12" t="inlineStr">
        <is>
          <t>18</t>
        </is>
      </c>
      <c r="N2921" s="12" t="n">
        <v>1</v>
      </c>
      <c r="O2921" s="12" t="n">
        <v>1</v>
      </c>
      <c r="P2921" s="12" t="n"/>
      <c r="Q2921" s="12" t="n"/>
      <c r="R2921" s="12" t="n"/>
      <c r="S2921" s="12" t="inlineStr">
        <is>
          <t>Duct bank</t>
        </is>
      </c>
      <c r="T2921" s="16" t="n">
        <v>366</v>
      </c>
      <c r="U2921" s="16" t="n">
        <v>60</v>
      </c>
      <c r="V2921" s="16">
        <f>ROUNDUP((T2921+U2921+2*'Read Me'!$B$13)*(1+'Read Me'!$B$12),-1)</f>
        <v/>
      </c>
      <c r="W2921" s="16">
        <f>V2921*N2921*O2921</f>
        <v/>
      </c>
      <c r="X2921" s="12">
        <f>IF(LEFT(I2921,2)="MV",2*N2921*IF(L2921="1/C",O2921,1),0)</f>
        <v/>
      </c>
      <c r="Y2921" s="12">
        <f>IF(OR(LEFT(K2921,4)="LVAX",LEFT(K2921,6)="MV15AX",LEFT(K2921,4)="CTAX",LEFT(K2921,2)="W|"),2*N2921*O2921,0)</f>
        <v/>
      </c>
      <c r="Z2921" s="12" t="inlineStr"/>
      <c r="AA2921" s="12">
        <f>N2921*O2921</f>
        <v/>
      </c>
    </row>
    <row r="2922">
      <c r="A2922" s="12" t="inlineStr">
        <is>
          <t>F-I-0009</t>
        </is>
      </c>
      <c r="B2922" s="12" t="inlineStr">
        <is>
          <t>F</t>
        </is>
      </c>
      <c r="C2922" s="12" t="inlineStr">
        <is>
          <t>Controls / service</t>
        </is>
      </c>
      <c r="D2922" s="12" t="inlineStr">
        <is>
          <t>Discrete device to JB JB-LS-1-DI01: 4 x 1 pr (field cables)</t>
        </is>
      </c>
      <c r="E2922" s="12" t="inlineStr">
        <is>
          <t>LS-1</t>
        </is>
      </c>
      <c r="F2922" s="12" t="inlineStr">
        <is>
          <t>LS-1: sanitary lift station (packaged duplex)</t>
        </is>
      </c>
      <c r="G2922" s="12" t="inlineStr">
        <is>
          <t>JB-LS-1-DI01</t>
        </is>
      </c>
      <c r="H2922" s="12" t="inlineStr">
        <is>
          <t>LS-1: sanitary lift station (packaged duplex)</t>
        </is>
      </c>
      <c r="I2922" s="12" t="inlineStr">
        <is>
          <t>Instrumentation</t>
        </is>
      </c>
      <c r="J2922" s="12" t="inlineStr">
        <is>
          <t>Instrumentation PLTC / TC-ER 300 V, #18 twisted shielded pairs, overall shield</t>
        </is>
      </c>
      <c r="K2922" s="12" t="inlineStr">
        <is>
          <t>PLTC|1 pr|16</t>
        </is>
      </c>
      <c r="L2922" s="12" t="inlineStr">
        <is>
          <t>1 pr</t>
        </is>
      </c>
      <c r="M2922" s="12" t="inlineStr">
        <is>
          <t>16</t>
        </is>
      </c>
      <c r="N2922" s="12" t="n">
        <v>4</v>
      </c>
      <c r="O2922" s="12" t="n">
        <v>1</v>
      </c>
      <c r="P2922" s="12" t="n"/>
      <c r="Q2922" s="12" t="n"/>
      <c r="R2922" s="12" t="n"/>
      <c r="S2922" s="12" t="inlineStr">
        <is>
          <t>Tray / conduit</t>
        </is>
      </c>
      <c r="T2922" s="16" t="n">
        <v>40</v>
      </c>
      <c r="U2922" s="16" t="n">
        <v>10</v>
      </c>
      <c r="V2922" s="16">
        <f>ROUNDUP((T2922+U2922+2*'Read Me'!$B$13)*(1+'Read Me'!$B$12),-1)</f>
        <v/>
      </c>
      <c r="W2922" s="16">
        <f>V2922*N2922*O2922</f>
        <v/>
      </c>
      <c r="X2922" s="12">
        <f>IF(LEFT(I2922,2)="MV",2*N2922*IF(L2922="1/C",O2922,1),0)</f>
        <v/>
      </c>
      <c r="Y2922" s="12">
        <f>IF(OR(LEFT(K2922,4)="LVAX",LEFT(K2922,6)="MV15AX",LEFT(K2922,4)="CTAX",LEFT(K2922,2)="W|"),2*N2922*O2922,0)</f>
        <v/>
      </c>
      <c r="Z2922" s="12" t="inlineStr">
        <is>
          <t>device-to-JB field wiring, one cable per device</t>
        </is>
      </c>
      <c r="AA2922" s="12">
        <f>N2922*O2922</f>
        <v/>
      </c>
    </row>
    <row r="2923">
      <c r="A2923" s="12" t="inlineStr">
        <is>
          <t>F-I-0010</t>
        </is>
      </c>
      <c r="B2923" s="12" t="inlineStr">
        <is>
          <t>F</t>
        </is>
      </c>
      <c r="C2923" s="12" t="inlineStr">
        <is>
          <t>Controls / service</t>
        </is>
      </c>
      <c r="D2923" s="12" t="inlineStr">
        <is>
          <t>Home run JB-LS-1-DI01 to the control / marshalling room</t>
        </is>
      </c>
      <c r="E2923" s="12" t="inlineStr">
        <is>
          <t>CR</t>
        </is>
      </c>
      <c r="F2923" s="12" t="inlineStr">
        <is>
          <t>Control / admin building (main control room)</t>
        </is>
      </c>
      <c r="G2923" s="12" t="inlineStr">
        <is>
          <t>JB-LS-1-DI01</t>
        </is>
      </c>
      <c r="H2923" s="12" t="inlineStr">
        <is>
          <t>LS-1: sanitary lift station (packaged duplex)</t>
        </is>
      </c>
      <c r="I2923" s="12" t="inlineStr">
        <is>
          <t>Instrumentation</t>
        </is>
      </c>
      <c r="J2923" s="12" t="inlineStr">
        <is>
          <t>Instrumentation PLTC / TC-ER 300 V, #18 twisted shielded pairs, overall shield</t>
        </is>
      </c>
      <c r="K2923" s="12" t="inlineStr">
        <is>
          <t>PLTC|24 pr|18</t>
        </is>
      </c>
      <c r="L2923" s="12" t="inlineStr">
        <is>
          <t>24 pr</t>
        </is>
      </c>
      <c r="M2923" s="12" t="inlineStr">
        <is>
          <t>18</t>
        </is>
      </c>
      <c r="N2923" s="12" t="n">
        <v>1</v>
      </c>
      <c r="O2923" s="12" t="n">
        <v>1</v>
      </c>
      <c r="P2923" s="12" t="n"/>
      <c r="Q2923" s="12" t="n"/>
      <c r="R2923" s="12" t="n"/>
      <c r="S2923" s="12" t="inlineStr">
        <is>
          <t>Duct bank</t>
        </is>
      </c>
      <c r="T2923" s="16" t="n">
        <v>366</v>
      </c>
      <c r="U2923" s="16" t="n">
        <v>60</v>
      </c>
      <c r="V2923" s="16">
        <f>ROUNDUP((T2923+U2923+2*'Read Me'!$B$13)*(1+'Read Me'!$B$12),-1)</f>
        <v/>
      </c>
      <c r="W2923" s="16">
        <f>V2923*N2923*O2923</f>
        <v/>
      </c>
      <c r="X2923" s="12">
        <f>IF(LEFT(I2923,2)="MV",2*N2923*IF(L2923="1/C",O2923,1),0)</f>
        <v/>
      </c>
      <c r="Y2923" s="12">
        <f>IF(OR(LEFT(K2923,4)="LVAX",LEFT(K2923,6)="MV15AX",LEFT(K2923,4)="CTAX",LEFT(K2923,2)="W|"),2*N2923*O2923,0)</f>
        <v/>
      </c>
      <c r="Z2923" s="12" t="inlineStr"/>
      <c r="AA2923" s="12">
        <f>N2923*O2923</f>
        <v/>
      </c>
    </row>
    <row r="2924">
      <c r="A2924" s="12" t="inlineStr">
        <is>
          <t>F-I-0011</t>
        </is>
      </c>
      <c r="B2924" s="12" t="inlineStr">
        <is>
          <t>F</t>
        </is>
      </c>
      <c r="C2924" s="12" t="inlineStr">
        <is>
          <t>Controls / service</t>
        </is>
      </c>
      <c r="D2924" s="12" t="inlineStr">
        <is>
          <t>Analog instrument to JB JB-Stormwater pump st-AI01: 4 x 1 pr (field cables)</t>
        </is>
      </c>
      <c r="E2924" s="12" t="inlineStr"/>
      <c r="F2924" s="12" t="inlineStr">
        <is>
          <t>Stormwater pump station (2 x 100% submersible pumps)</t>
        </is>
      </c>
      <c r="G2924" s="12" t="inlineStr">
        <is>
          <t>JB-Stormwater pump st-AI01</t>
        </is>
      </c>
      <c r="H2924" s="12" t="inlineStr">
        <is>
          <t>Stormwater pump station (2 x 100% submersible pumps)</t>
        </is>
      </c>
      <c r="I2924" s="12" t="inlineStr">
        <is>
          <t>Instrumentation</t>
        </is>
      </c>
      <c r="J2924" s="12" t="inlineStr">
        <is>
          <t>Instrumentation PLTC / TC-ER 300 V, #18 twisted shielded pairs, overall shield</t>
        </is>
      </c>
      <c r="K2924" s="12" t="inlineStr">
        <is>
          <t>PLTC|1 pr|16</t>
        </is>
      </c>
      <c r="L2924" s="12" t="inlineStr">
        <is>
          <t>1 pr</t>
        </is>
      </c>
      <c r="M2924" s="12" t="inlineStr">
        <is>
          <t>16</t>
        </is>
      </c>
      <c r="N2924" s="12" t="n">
        <v>4</v>
      </c>
      <c r="O2924" s="12" t="n">
        <v>1</v>
      </c>
      <c r="P2924" s="12" t="n"/>
      <c r="Q2924" s="12" t="n"/>
      <c r="R2924" s="12" t="n"/>
      <c r="S2924" s="12" t="inlineStr">
        <is>
          <t>Tray / conduit</t>
        </is>
      </c>
      <c r="T2924" s="16" t="n">
        <v>72</v>
      </c>
      <c r="U2924" s="16" t="n">
        <v>10</v>
      </c>
      <c r="V2924" s="16">
        <f>ROUNDUP((T2924+U2924+2*'Read Me'!$B$13)*(1+'Read Me'!$B$12),-1)</f>
        <v/>
      </c>
      <c r="W2924" s="16">
        <f>V2924*N2924*O2924</f>
        <v/>
      </c>
      <c r="X2924" s="12">
        <f>IF(LEFT(I2924,2)="MV",2*N2924*IF(L2924="1/C",O2924,1),0)</f>
        <v/>
      </c>
      <c r="Y2924" s="12">
        <f>IF(OR(LEFT(K2924,4)="LVAX",LEFT(K2924,6)="MV15AX",LEFT(K2924,4)="CTAX",LEFT(K2924,2)="W|"),2*N2924*O2924,0)</f>
        <v/>
      </c>
      <c r="Z2924" s="12" t="inlineStr">
        <is>
          <t>device-to-JB field wiring, one cable per device</t>
        </is>
      </c>
      <c r="AA2924" s="12">
        <f>N2924*O2924</f>
        <v/>
      </c>
    </row>
    <row r="2925">
      <c r="A2925" s="12" t="inlineStr">
        <is>
          <t>F-I-0012</t>
        </is>
      </c>
      <c r="B2925" s="12" t="inlineStr">
        <is>
          <t>F</t>
        </is>
      </c>
      <c r="C2925" s="12" t="inlineStr">
        <is>
          <t>Controls / service</t>
        </is>
      </c>
      <c r="D2925" s="12" t="inlineStr">
        <is>
          <t>Home run JB-Stormwater pump st-AI01 to the control / marshalling room</t>
        </is>
      </c>
      <c r="E2925" s="12" t="inlineStr">
        <is>
          <t>CR</t>
        </is>
      </c>
      <c r="F2925" s="12" t="inlineStr">
        <is>
          <t>Control / admin building (main control room)</t>
        </is>
      </c>
      <c r="G2925" s="12" t="inlineStr">
        <is>
          <t>JB-Stormwater pump st-AI01</t>
        </is>
      </c>
      <c r="H2925" s="12" t="inlineStr">
        <is>
          <t>Stormwater pump station (2 x 100% submersible pumps)</t>
        </is>
      </c>
      <c r="I2925" s="12" t="inlineStr">
        <is>
          <t>Instrumentation</t>
        </is>
      </c>
      <c r="J2925" s="12" t="inlineStr">
        <is>
          <t>Instrumentation PLTC / TC-ER 300 V, #18 twisted shielded pairs, overall shield</t>
        </is>
      </c>
      <c r="K2925" s="12" t="inlineStr">
        <is>
          <t>PLTC|24 pr|18</t>
        </is>
      </c>
      <c r="L2925" s="12" t="inlineStr">
        <is>
          <t>24 pr</t>
        </is>
      </c>
      <c r="M2925" s="12" t="inlineStr">
        <is>
          <t>18</t>
        </is>
      </c>
      <c r="N2925" s="12" t="n">
        <v>1</v>
      </c>
      <c r="O2925" s="12" t="n">
        <v>1</v>
      </c>
      <c r="P2925" s="12" t="n"/>
      <c r="Q2925" s="12" t="n"/>
      <c r="R2925" s="12" t="n"/>
      <c r="S2925" s="12" t="inlineStr">
        <is>
          <t>Duct bank</t>
        </is>
      </c>
      <c r="T2925" s="16" t="n">
        <v>1454</v>
      </c>
      <c r="U2925" s="16" t="n">
        <v>32</v>
      </c>
      <c r="V2925" s="16">
        <f>ROUNDUP((T2925+U2925+2*'Read Me'!$B$13)*(1+'Read Me'!$B$12),-1)</f>
        <v/>
      </c>
      <c r="W2925" s="16">
        <f>V2925*N2925*O2925</f>
        <v/>
      </c>
      <c r="X2925" s="12">
        <f>IF(LEFT(I2925,2)="MV",2*N2925*IF(L2925="1/C",O2925,1),0)</f>
        <v/>
      </c>
      <c r="Y2925" s="12">
        <f>IF(OR(LEFT(K2925,4)="LVAX",LEFT(K2925,6)="MV15AX",LEFT(K2925,4)="CTAX",LEFT(K2925,2)="W|"),2*N2925*O2925,0)</f>
        <v/>
      </c>
      <c r="Z2925" s="12" t="inlineStr"/>
      <c r="AA2925" s="12">
        <f>N2925*O2925</f>
        <v/>
      </c>
    </row>
    <row r="2926">
      <c r="A2926" s="12" t="inlineStr">
        <is>
          <t>F-I-0013</t>
        </is>
      </c>
      <c r="B2926" s="12" t="inlineStr">
        <is>
          <t>F</t>
        </is>
      </c>
      <c r="C2926" s="12" t="inlineStr">
        <is>
          <t>Controls / service</t>
        </is>
      </c>
      <c r="D2926" s="12" t="inlineStr">
        <is>
          <t>Discrete device to JB JB-Stormwater pump st-DI01: 6 x 1 pr (field cables)</t>
        </is>
      </c>
      <c r="E2926" s="12" t="inlineStr"/>
      <c r="F2926" s="12" t="inlineStr">
        <is>
          <t>Stormwater pump station (2 x 100% submersible pumps)</t>
        </is>
      </c>
      <c r="G2926" s="12" t="inlineStr">
        <is>
          <t>JB-Stormwater pump st-DI01</t>
        </is>
      </c>
      <c r="H2926" s="12" t="inlineStr">
        <is>
          <t>Stormwater pump station (2 x 100% submersible pumps)</t>
        </is>
      </c>
      <c r="I2926" s="12" t="inlineStr">
        <is>
          <t>Instrumentation</t>
        </is>
      </c>
      <c r="J2926" s="12" t="inlineStr">
        <is>
          <t>Instrumentation PLTC / TC-ER 300 V, #18 twisted shielded pairs, overall shield</t>
        </is>
      </c>
      <c r="K2926" s="12" t="inlineStr">
        <is>
          <t>PLTC|1 pr|16</t>
        </is>
      </c>
      <c r="L2926" s="12" t="inlineStr">
        <is>
          <t>1 pr</t>
        </is>
      </c>
      <c r="M2926" s="12" t="inlineStr">
        <is>
          <t>16</t>
        </is>
      </c>
      <c r="N2926" s="12" t="n">
        <v>6</v>
      </c>
      <c r="O2926" s="12" t="n">
        <v>1</v>
      </c>
      <c r="P2926" s="12" t="n"/>
      <c r="Q2926" s="12" t="n"/>
      <c r="R2926" s="12" t="n"/>
      <c r="S2926" s="12" t="inlineStr">
        <is>
          <t>Tray / conduit</t>
        </is>
      </c>
      <c r="T2926" s="16" t="n">
        <v>72</v>
      </c>
      <c r="U2926" s="16" t="n">
        <v>10</v>
      </c>
      <c r="V2926" s="16">
        <f>ROUNDUP((T2926+U2926+2*'Read Me'!$B$13)*(1+'Read Me'!$B$12),-1)</f>
        <v/>
      </c>
      <c r="W2926" s="16">
        <f>V2926*N2926*O2926</f>
        <v/>
      </c>
      <c r="X2926" s="12">
        <f>IF(LEFT(I2926,2)="MV",2*N2926*IF(L2926="1/C",O2926,1),0)</f>
        <v/>
      </c>
      <c r="Y2926" s="12">
        <f>IF(OR(LEFT(K2926,4)="LVAX",LEFT(K2926,6)="MV15AX",LEFT(K2926,4)="CTAX",LEFT(K2926,2)="W|"),2*N2926*O2926,0)</f>
        <v/>
      </c>
      <c r="Z2926" s="12" t="inlineStr">
        <is>
          <t>device-to-JB field wiring, one cable per device</t>
        </is>
      </c>
      <c r="AA2926" s="12">
        <f>N2926*O2926</f>
        <v/>
      </c>
    </row>
    <row r="2927">
      <c r="A2927" s="12" t="inlineStr">
        <is>
          <t>F-I-0014</t>
        </is>
      </c>
      <c r="B2927" s="12" t="inlineStr">
        <is>
          <t>F</t>
        </is>
      </c>
      <c r="C2927" s="12" t="inlineStr">
        <is>
          <t>Controls / service</t>
        </is>
      </c>
      <c r="D2927" s="12" t="inlineStr">
        <is>
          <t>Home run JB-Stormwater pump st-DI01 to the control / marshalling room</t>
        </is>
      </c>
      <c r="E2927" s="12" t="inlineStr">
        <is>
          <t>CR</t>
        </is>
      </c>
      <c r="F2927" s="12" t="inlineStr">
        <is>
          <t>Control / admin building (main control room)</t>
        </is>
      </c>
      <c r="G2927" s="12" t="inlineStr">
        <is>
          <t>JB-Stormwater pump st-DI01</t>
        </is>
      </c>
      <c r="H2927" s="12" t="inlineStr">
        <is>
          <t>Stormwater pump station (2 x 100% submersible pumps)</t>
        </is>
      </c>
      <c r="I2927" s="12" t="inlineStr">
        <is>
          <t>Instrumentation</t>
        </is>
      </c>
      <c r="J2927" s="12" t="inlineStr">
        <is>
          <t>Instrumentation PLTC / TC-ER 300 V, #18 twisted shielded pairs, overall shield</t>
        </is>
      </c>
      <c r="K2927" s="12" t="inlineStr">
        <is>
          <t>PLTC|24 pr|18</t>
        </is>
      </c>
      <c r="L2927" s="12" t="inlineStr">
        <is>
          <t>24 pr</t>
        </is>
      </c>
      <c r="M2927" s="12" t="inlineStr">
        <is>
          <t>18</t>
        </is>
      </c>
      <c r="N2927" s="12" t="n">
        <v>1</v>
      </c>
      <c r="O2927" s="12" t="n">
        <v>1</v>
      </c>
      <c r="P2927" s="12" t="n"/>
      <c r="Q2927" s="12" t="n"/>
      <c r="R2927" s="12" t="n"/>
      <c r="S2927" s="12" t="inlineStr">
        <is>
          <t>Duct bank</t>
        </is>
      </c>
      <c r="T2927" s="16" t="n">
        <v>1454</v>
      </c>
      <c r="U2927" s="16" t="n">
        <v>32</v>
      </c>
      <c r="V2927" s="16">
        <f>ROUNDUP((T2927+U2927+2*'Read Me'!$B$13)*(1+'Read Me'!$B$12),-1)</f>
        <v/>
      </c>
      <c r="W2927" s="16">
        <f>V2927*N2927*O2927</f>
        <v/>
      </c>
      <c r="X2927" s="12">
        <f>IF(LEFT(I2927,2)="MV",2*N2927*IF(L2927="1/C",O2927,1),0)</f>
        <v/>
      </c>
      <c r="Y2927" s="12">
        <f>IF(OR(LEFT(K2927,4)="LVAX",LEFT(K2927,6)="MV15AX",LEFT(K2927,4)="CTAX",LEFT(K2927,2)="W|"),2*N2927*O2927,0)</f>
        <v/>
      </c>
      <c r="Z2927" s="12" t="inlineStr"/>
      <c r="AA2927" s="12">
        <f>N2927*O2927</f>
        <v/>
      </c>
    </row>
    <row r="2928">
      <c r="A2928" s="12" t="inlineStr">
        <is>
          <t>F-P-0001</t>
        </is>
      </c>
      <c r="B2928" s="12" t="inlineStr">
        <is>
          <t>F</t>
        </is>
      </c>
      <c r="C2928" s="12" t="inlineStr">
        <is>
          <t>Controls / service</t>
        </is>
      </c>
      <c r="D2928" s="12" t="inlineStr">
        <is>
          <t>LV power feeder</t>
        </is>
      </c>
      <c r="E2928" s="12" t="inlineStr">
        <is>
          <t>MCC-C2</t>
        </is>
      </c>
      <c r="F2928" s="12" t="inlineStr">
        <is>
          <t>R1 MCC-C2</t>
        </is>
      </c>
      <c r="G2928" s="12" t="inlineStr">
        <is>
          <t>COMMS</t>
        </is>
      </c>
      <c r="H2928" s="12" t="inlineStr">
        <is>
          <t>Comms tower (lattice)</t>
        </is>
      </c>
      <c r="I2928" s="12" t="inlineStr">
        <is>
          <t>LV 600 V</t>
        </is>
      </c>
      <c r="J2928" s="12" t="inlineStr">
        <is>
          <t>Type TC-ER 600 V 3/C Cu XHHW-2 + ground, PVC jacket</t>
        </is>
      </c>
      <c r="K2928" s="12" t="inlineStr">
        <is>
          <t>LV|3/C+G|4</t>
        </is>
      </c>
      <c r="L2928" s="12" t="inlineStr">
        <is>
          <t>3/C+G</t>
        </is>
      </c>
      <c r="M2928" s="12" t="inlineStr">
        <is>
          <t>4</t>
        </is>
      </c>
      <c r="N2928" s="12" t="n">
        <v>1</v>
      </c>
      <c r="O2928" s="12" t="n">
        <v>1</v>
      </c>
      <c r="P2928" s="12" t="n">
        <v>480</v>
      </c>
      <c r="Q2928" s="12" t="n">
        <v>10</v>
      </c>
      <c r="R2928" s="12" t="n">
        <v>14.2</v>
      </c>
      <c r="S2928" s="12" t="inlineStr">
        <is>
          <t>Tray</t>
        </is>
      </c>
      <c r="T2928" s="16" t="n">
        <v>1024</v>
      </c>
      <c r="U2928" s="16" t="n">
        <v>194</v>
      </c>
      <c r="V2928" s="16">
        <f>ROUNDUP((T2928+U2928+2*'Read Me'!$B$13)*(1+'Read Me'!$B$12),-1)</f>
        <v/>
      </c>
      <c r="W2928" s="16">
        <f>V2928*N2928*O2928</f>
        <v/>
      </c>
      <c r="X2928" s="12">
        <f>IF(LEFT(I2928,2)="MV",2*N2928*IF(L2928="1/C",O2928,1),0)</f>
        <v/>
      </c>
      <c r="Y2928" s="12">
        <f>IF(OR(LEFT(K2928,4)="LVAX",LEFT(K2928,6)="MV15AX",LEFT(K2928,4)="CTAX",LEFT(K2928,2)="W|"),2*N2928*O2928,0)</f>
        <v/>
      </c>
      <c r="Z2928" s="12" t="inlineStr">
        <is>
          <t>VD 2.1 %</t>
        </is>
      </c>
      <c r="AA2928" s="12">
        <f>N2928*O2928</f>
        <v/>
      </c>
    </row>
    <row r="2929">
      <c r="A2929" s="12" t="inlineStr">
        <is>
          <t>F-P-0002</t>
        </is>
      </c>
      <c r="B2929" s="12" t="inlineStr">
        <is>
          <t>F</t>
        </is>
      </c>
      <c r="C2929" s="12" t="inlineStr">
        <is>
          <t>Controls / service</t>
        </is>
      </c>
      <c r="D2929" s="12" t="inlineStr">
        <is>
          <t>LV panel / distribution feeder</t>
        </is>
      </c>
      <c r="E2929" s="12" t="inlineStr">
        <is>
          <t>MCC-C2</t>
        </is>
      </c>
      <c r="F2929" s="12" t="inlineStr">
        <is>
          <t>R1 MCC-C2</t>
        </is>
      </c>
      <c r="G2929" s="12" t="inlineStr">
        <is>
          <t>CR</t>
        </is>
      </c>
      <c r="H2929" s="12" t="inlineStr">
        <is>
          <t>Control / admin building (main control room)</t>
        </is>
      </c>
      <c r="I2929" s="12" t="inlineStr">
        <is>
          <t>LV 600 V</t>
        </is>
      </c>
      <c r="J2929" s="12" t="inlineStr">
        <is>
          <t>Type TC-ER 600 V 3/C Cu XHHW-2 + ground, PVC jacket</t>
        </is>
      </c>
      <c r="K2929" s="12" t="inlineStr">
        <is>
          <t>LV|3/C+G|500</t>
        </is>
      </c>
      <c r="L2929" s="12" t="inlineStr">
        <is>
          <t>3/C+G</t>
        </is>
      </c>
      <c r="M2929" s="12" t="inlineStr">
        <is>
          <t>500 kcmil</t>
        </is>
      </c>
      <c r="N2929" s="12" t="n">
        <v>1</v>
      </c>
      <c r="O2929" s="12" t="n">
        <v>1</v>
      </c>
      <c r="P2929" s="12" t="n">
        <v>480</v>
      </c>
      <c r="Q2929" s="12" t="n">
        <v>145</v>
      </c>
      <c r="R2929" s="12" t="n">
        <v>205.2</v>
      </c>
      <c r="S2929" s="12" t="inlineStr">
        <is>
          <t>Tray</t>
        </is>
      </c>
      <c r="T2929" s="16" t="n">
        <v>1020</v>
      </c>
      <c r="U2929" s="16" t="n">
        <v>145</v>
      </c>
      <c r="V2929" s="16">
        <f>ROUNDUP((T2929+U2929+2*'Read Me'!$B$13)*(1+'Read Me'!$B$12),-1)</f>
        <v/>
      </c>
      <c r="W2929" s="16">
        <f>V2929*N2929*O2929</f>
        <v/>
      </c>
      <c r="X2929" s="12">
        <f>IF(LEFT(I2929,2)="MV",2*N2929*IF(L2929="1/C",O2929,1),0)</f>
        <v/>
      </c>
      <c r="Y2929" s="12">
        <f>IF(OR(LEFT(K2929,4)="LVAX",LEFT(K2929,6)="MV15AX",LEFT(K2929,4)="CTAX",LEFT(K2929,2)="W|"),2*N2929*O2929,0)</f>
        <v/>
      </c>
      <c r="Z2929" s="12" t="inlineStr">
        <is>
          <t>VD 2.4 %</t>
        </is>
      </c>
      <c r="AA2929" s="12">
        <f>N2929*O2929</f>
        <v/>
      </c>
    </row>
    <row r="2930">
      <c r="A2930" s="12" t="inlineStr">
        <is>
          <t>F-P-0003</t>
        </is>
      </c>
      <c r="B2930" s="12" t="inlineStr">
        <is>
          <t>F</t>
        </is>
      </c>
      <c r="C2930" s="12" t="inlineStr">
        <is>
          <t>Controls / service</t>
        </is>
      </c>
      <c r="D2930" s="12" t="inlineStr">
        <is>
          <t>LV power feeder</t>
        </is>
      </c>
      <c r="E2930" s="12" t="inlineStr">
        <is>
          <t>MCC-C2</t>
        </is>
      </c>
      <c r="F2930" s="12" t="inlineStr">
        <is>
          <t>R1 MCC-C2</t>
        </is>
      </c>
      <c r="G2930" s="12" t="inlineStr">
        <is>
          <t>EDG-1</t>
        </is>
      </c>
      <c r="H2930" s="12" t="inlineStr">
        <is>
          <t>EDG-1: 3 MW emergency diesel generator (480 V)</t>
        </is>
      </c>
      <c r="I2930" s="12" t="inlineStr">
        <is>
          <t>LV 600 V</t>
        </is>
      </c>
      <c r="J2930" s="12" t="inlineStr">
        <is>
          <t>Type TC-ER 600 V 3/C Cu XHHW-2 + ground, PVC jacket</t>
        </is>
      </c>
      <c r="K2930" s="12" t="inlineStr">
        <is>
          <t>LV|3/C+G|4</t>
        </is>
      </c>
      <c r="L2930" s="12" t="inlineStr">
        <is>
          <t>3/C+G</t>
        </is>
      </c>
      <c r="M2930" s="12" t="inlineStr">
        <is>
          <t>4</t>
        </is>
      </c>
      <c r="N2930" s="12" t="n">
        <v>1</v>
      </c>
      <c r="O2930" s="12" t="n">
        <v>1</v>
      </c>
      <c r="P2930" s="12" t="n">
        <v>480</v>
      </c>
      <c r="Q2930" s="12" t="n">
        <v>15</v>
      </c>
      <c r="R2930" s="12" t="n">
        <v>21.2</v>
      </c>
      <c r="S2930" s="12" t="inlineStr">
        <is>
          <t>Tray</t>
        </is>
      </c>
      <c r="T2930" s="16" t="n">
        <v>875</v>
      </c>
      <c r="U2930" s="16" t="n">
        <v>219</v>
      </c>
      <c r="V2930" s="16">
        <f>ROUNDUP((T2930+U2930+2*'Read Me'!$B$13)*(1+'Read Me'!$B$12),-1)</f>
        <v/>
      </c>
      <c r="W2930" s="16">
        <f>V2930*N2930*O2930</f>
        <v/>
      </c>
      <c r="X2930" s="12">
        <f>IF(LEFT(I2930,2)="MV",2*N2930*IF(L2930="1/C",O2930,1),0)</f>
        <v/>
      </c>
      <c r="Y2930" s="12">
        <f>IF(OR(LEFT(K2930,4)="LVAX",LEFT(K2930,6)="MV15AX",LEFT(K2930,4)="CTAX",LEFT(K2930,2)="W|"),2*N2930*O2930,0)</f>
        <v/>
      </c>
      <c r="Z2930" s="12" t="inlineStr">
        <is>
          <t>VD 2.8 %</t>
        </is>
      </c>
      <c r="AA2930" s="12">
        <f>N2930*O2930</f>
        <v/>
      </c>
    </row>
    <row r="2931">
      <c r="A2931" s="12" t="inlineStr">
        <is>
          <t>F-P-0004</t>
        </is>
      </c>
      <c r="B2931" s="12" t="inlineStr">
        <is>
          <t>F</t>
        </is>
      </c>
      <c r="C2931" s="12" t="inlineStr">
        <is>
          <t>Controls / service</t>
        </is>
      </c>
      <c r="D2931" s="12" t="inlineStr">
        <is>
          <t>LV power feeder</t>
        </is>
      </c>
      <c r="E2931" s="12" t="inlineStr">
        <is>
          <t>MCC-C2</t>
        </is>
      </c>
      <c r="F2931" s="12" t="inlineStr">
        <is>
          <t>R1 MCC-C2</t>
        </is>
      </c>
      <c r="G2931" s="12" t="inlineStr">
        <is>
          <t>EDG-2</t>
        </is>
      </c>
      <c r="H2931" s="12" t="inlineStr">
        <is>
          <t>EDG-2: 3 MW emergency diesel generator (480 V)</t>
        </is>
      </c>
      <c r="I2931" s="12" t="inlineStr">
        <is>
          <t>LV 600 V</t>
        </is>
      </c>
      <c r="J2931" s="12" t="inlineStr">
        <is>
          <t>Type TC-ER 600 V 3/C Cu XHHW-2 + ground, PVC jacket</t>
        </is>
      </c>
      <c r="K2931" s="12" t="inlineStr">
        <is>
          <t>LV|3/C+G|2</t>
        </is>
      </c>
      <c r="L2931" s="12" t="inlineStr">
        <is>
          <t>3/C+G</t>
        </is>
      </c>
      <c r="M2931" s="12" t="inlineStr">
        <is>
          <t>2</t>
        </is>
      </c>
      <c r="N2931" s="12" t="n">
        <v>1</v>
      </c>
      <c r="O2931" s="12" t="n">
        <v>1</v>
      </c>
      <c r="P2931" s="12" t="n">
        <v>480</v>
      </c>
      <c r="Q2931" s="12" t="n">
        <v>15</v>
      </c>
      <c r="R2931" s="12" t="n">
        <v>21.2</v>
      </c>
      <c r="S2931" s="12" t="inlineStr">
        <is>
          <t>Tray</t>
        </is>
      </c>
      <c r="T2931" s="16" t="n">
        <v>981</v>
      </c>
      <c r="U2931" s="16" t="n">
        <v>193</v>
      </c>
      <c r="V2931" s="16">
        <f>ROUNDUP((T2931+U2931+2*'Read Me'!$B$13)*(1+'Read Me'!$B$12),-1)</f>
        <v/>
      </c>
      <c r="W2931" s="16">
        <f>V2931*N2931*O2931</f>
        <v/>
      </c>
      <c r="X2931" s="12">
        <f>IF(LEFT(I2931,2)="MV",2*N2931*IF(L2931="1/C",O2931,1),0)</f>
        <v/>
      </c>
      <c r="Y2931" s="12">
        <f>IF(OR(LEFT(K2931,4)="LVAX",LEFT(K2931,6)="MV15AX",LEFT(K2931,4)="CTAX",LEFT(K2931,2)="W|"),2*N2931*O2931,0)</f>
        <v/>
      </c>
      <c r="Z2931" s="12" t="inlineStr">
        <is>
          <t>VD 1.9 %</t>
        </is>
      </c>
      <c r="AA2931" s="12">
        <f>N2931*O2931</f>
        <v/>
      </c>
    </row>
    <row r="2932">
      <c r="A2932" s="12" t="inlineStr">
        <is>
          <t>F-P-0005</t>
        </is>
      </c>
      <c r="B2932" s="12" t="inlineStr">
        <is>
          <t>F</t>
        </is>
      </c>
      <c r="C2932" s="12" t="inlineStr">
        <is>
          <t>Controls / service</t>
        </is>
      </c>
      <c r="D2932" s="12" t="inlineStr">
        <is>
          <t>LV panel / distribution feeder</t>
        </is>
      </c>
      <c r="E2932" s="12" t="inlineStr">
        <is>
          <t>MCC-C2</t>
        </is>
      </c>
      <c r="F2932" s="12" t="inlineStr">
        <is>
          <t>R1 MCC-C2</t>
        </is>
      </c>
      <c r="G2932" s="12" t="inlineStr"/>
      <c r="H2932" s="12" t="inlineStr">
        <is>
          <t>Gatehouse</t>
        </is>
      </c>
      <c r="I2932" s="12" t="inlineStr">
        <is>
          <t>LV 600 V</t>
        </is>
      </c>
      <c r="J2932" s="12" t="inlineStr">
        <is>
          <t>Type TC-ER 600 V 3/C Cu XHHW-2 + ground, PVC jacket</t>
        </is>
      </c>
      <c r="K2932" s="12" t="inlineStr">
        <is>
          <t>LV|3/C+G|1/0</t>
        </is>
      </c>
      <c r="L2932" s="12" t="inlineStr">
        <is>
          <t>3/C+G</t>
        </is>
      </c>
      <c r="M2932" s="12" t="inlineStr">
        <is>
          <t>1/0</t>
        </is>
      </c>
      <c r="N2932" s="12" t="n">
        <v>1</v>
      </c>
      <c r="O2932" s="12" t="n">
        <v>1</v>
      </c>
      <c r="P2932" s="12" t="n">
        <v>480</v>
      </c>
      <c r="Q2932" s="12" t="n">
        <v>30</v>
      </c>
      <c r="R2932" s="12" t="n">
        <v>42.5</v>
      </c>
      <c r="S2932" s="12" t="inlineStr">
        <is>
          <t>Tray</t>
        </is>
      </c>
      <c r="T2932" s="16" t="n">
        <v>1049</v>
      </c>
      <c r="U2932" s="16" t="n">
        <v>145</v>
      </c>
      <c r="V2932" s="16">
        <f>ROUNDUP((T2932+U2932+2*'Read Me'!$B$13)*(1+'Read Me'!$B$12),-1)</f>
        <v/>
      </c>
      <c r="W2932" s="16">
        <f>V2932*N2932*O2932</f>
        <v/>
      </c>
      <c r="X2932" s="12">
        <f>IF(LEFT(I2932,2)="MV",2*N2932*IF(L2932="1/C",O2932,1),0)</f>
        <v/>
      </c>
      <c r="Y2932" s="12">
        <f>IF(OR(LEFT(K2932,4)="LVAX",LEFT(K2932,6)="MV15AX",LEFT(K2932,4)="CTAX",LEFT(K2932,2)="W|"),2*N2932*O2932,0)</f>
        <v/>
      </c>
      <c r="Z2932" s="12" t="inlineStr">
        <is>
          <t>VD 2.5 %</t>
        </is>
      </c>
      <c r="AA2932" s="12">
        <f>N2932*O2932</f>
        <v/>
      </c>
    </row>
    <row r="2933">
      <c r="A2933" s="12" t="inlineStr">
        <is>
          <t>F-P-0006</t>
        </is>
      </c>
      <c r="B2933" s="12" t="inlineStr">
        <is>
          <t>F</t>
        </is>
      </c>
      <c r="C2933" s="12" t="inlineStr">
        <is>
          <t>Controls / service</t>
        </is>
      </c>
      <c r="D2933" s="12" t="inlineStr">
        <is>
          <t>Motor 1 of 2, 7 kW</t>
        </is>
      </c>
      <c r="E2933" s="12" t="inlineStr">
        <is>
          <t>MCC-C2</t>
        </is>
      </c>
      <c r="F2933" s="12" t="inlineStr">
        <is>
          <t>R1 MCC-C2</t>
        </is>
      </c>
      <c r="G2933" s="12" t="inlineStr">
        <is>
          <t>LS-1</t>
        </is>
      </c>
      <c r="H2933" s="12" t="inlineStr">
        <is>
          <t>LS-1: sanitary lift station (packaged duplex)</t>
        </is>
      </c>
      <c r="I2933" s="12" t="inlineStr">
        <is>
          <t>LV 600 V</t>
        </is>
      </c>
      <c r="J2933" s="12" t="inlineStr">
        <is>
          <t>Type TC-ER 600 V 3/C Cu XHHW-2 + ground, PVC jacket</t>
        </is>
      </c>
      <c r="K2933" s="12" t="inlineStr">
        <is>
          <t>LV|3/C+G|8</t>
        </is>
      </c>
      <c r="L2933" s="12" t="inlineStr">
        <is>
          <t>3/C+G</t>
        </is>
      </c>
      <c r="M2933" s="12" t="inlineStr">
        <is>
          <t>8</t>
        </is>
      </c>
      <c r="N2933" s="12" t="n">
        <v>1</v>
      </c>
      <c r="O2933" s="12" t="n">
        <v>1</v>
      </c>
      <c r="P2933" s="12" t="n">
        <v>480</v>
      </c>
      <c r="Q2933" s="12" t="n">
        <v>7</v>
      </c>
      <c r="R2933" s="12" t="n">
        <v>9.9</v>
      </c>
      <c r="S2933" s="12" t="inlineStr">
        <is>
          <t>Tray</t>
        </is>
      </c>
      <c r="T2933" s="16" t="n">
        <v>744</v>
      </c>
      <c r="U2933" s="16" t="n">
        <v>173</v>
      </c>
      <c r="V2933" s="16">
        <f>ROUNDUP((T2933+U2933+2*'Read Me'!$B$13)*(1+'Read Me'!$B$12),-1)</f>
        <v/>
      </c>
      <c r="W2933" s="16">
        <f>V2933*N2933*O2933</f>
        <v/>
      </c>
      <c r="X2933" s="12">
        <f>IF(LEFT(I2933,2)="MV",2*N2933*IF(L2933="1/C",O2933,1),0)</f>
        <v/>
      </c>
      <c r="Y2933" s="12">
        <f>IF(OR(LEFT(K2933,4)="LVAX",LEFT(K2933,6)="MV15AX",LEFT(K2933,4)="CTAX",LEFT(K2933,2)="W|"),2*N2933*O2933,0)</f>
        <v/>
      </c>
      <c r="Z2933" s="12" t="inlineStr">
        <is>
          <t>VD 2.8 %</t>
        </is>
      </c>
      <c r="AA2933" s="12">
        <f>N2933*O2933</f>
        <v/>
      </c>
    </row>
    <row r="2934">
      <c r="A2934" s="12" t="inlineStr">
        <is>
          <t>F-P-0007</t>
        </is>
      </c>
      <c r="B2934" s="12" t="inlineStr">
        <is>
          <t>F</t>
        </is>
      </c>
      <c r="C2934" s="12" t="inlineStr">
        <is>
          <t>Controls / service</t>
        </is>
      </c>
      <c r="D2934" s="12" t="inlineStr">
        <is>
          <t>Motor 2 of 2, 7 kW</t>
        </is>
      </c>
      <c r="E2934" s="12" t="inlineStr">
        <is>
          <t>MCC-C2</t>
        </is>
      </c>
      <c r="F2934" s="12" t="inlineStr">
        <is>
          <t>R1 MCC-C2</t>
        </is>
      </c>
      <c r="G2934" s="12" t="inlineStr">
        <is>
          <t>LS-1</t>
        </is>
      </c>
      <c r="H2934" s="12" t="inlineStr">
        <is>
          <t>LS-1: sanitary lift station (packaged duplex)</t>
        </is>
      </c>
      <c r="I2934" s="12" t="inlineStr">
        <is>
          <t>LV 600 V</t>
        </is>
      </c>
      <c r="J2934" s="12" t="inlineStr">
        <is>
          <t>Type TC-ER 600 V 3/C Cu XHHW-2 + ground, PVC jacket</t>
        </is>
      </c>
      <c r="K2934" s="12" t="inlineStr">
        <is>
          <t>LV|3/C+G|8</t>
        </is>
      </c>
      <c r="L2934" s="12" t="inlineStr">
        <is>
          <t>3/C+G</t>
        </is>
      </c>
      <c r="M2934" s="12" t="inlineStr">
        <is>
          <t>8</t>
        </is>
      </c>
      <c r="N2934" s="12" t="n">
        <v>1</v>
      </c>
      <c r="O2934" s="12" t="n">
        <v>1</v>
      </c>
      <c r="P2934" s="12" t="n">
        <v>480</v>
      </c>
      <c r="Q2934" s="12" t="n">
        <v>7</v>
      </c>
      <c r="R2934" s="12" t="n">
        <v>9.9</v>
      </c>
      <c r="S2934" s="12" t="inlineStr">
        <is>
          <t>Tray</t>
        </is>
      </c>
      <c r="T2934" s="16" t="n">
        <v>744</v>
      </c>
      <c r="U2934" s="16" t="n">
        <v>173</v>
      </c>
      <c r="V2934" s="16">
        <f>ROUNDUP((T2934+U2934+2*'Read Me'!$B$13)*(1+'Read Me'!$B$12),-1)</f>
        <v/>
      </c>
      <c r="W2934" s="16">
        <f>V2934*N2934*O2934</f>
        <v/>
      </c>
      <c r="X2934" s="12">
        <f>IF(LEFT(I2934,2)="MV",2*N2934*IF(L2934="1/C",O2934,1),0)</f>
        <v/>
      </c>
      <c r="Y2934" s="12">
        <f>IF(OR(LEFT(K2934,4)="LVAX",LEFT(K2934,6)="MV15AX",LEFT(K2934,4)="CTAX",LEFT(K2934,2)="W|"),2*N2934*O2934,0)</f>
        <v/>
      </c>
      <c r="Z2934" s="12" t="inlineStr">
        <is>
          <t>VD 2.8 %</t>
        </is>
      </c>
      <c r="AA2934" s="12">
        <f>N2934*O2934</f>
        <v/>
      </c>
    </row>
    <row r="2935">
      <c r="A2935" s="12" t="inlineStr">
        <is>
          <t>F-P-0008</t>
        </is>
      </c>
      <c r="B2935" s="12" t="inlineStr">
        <is>
          <t>F</t>
        </is>
      </c>
      <c r="C2935" s="12" t="inlineStr">
        <is>
          <t>Controls / service</t>
        </is>
      </c>
      <c r="D2935" s="12" t="inlineStr">
        <is>
          <t>LV panel / distribution feeder</t>
        </is>
      </c>
      <c r="E2935" s="12" t="inlineStr">
        <is>
          <t>MCC-C2</t>
        </is>
      </c>
      <c r="F2935" s="12" t="inlineStr">
        <is>
          <t>R1 MCC-C2</t>
        </is>
      </c>
      <c r="G2935" s="12" t="inlineStr"/>
      <c r="H2935" s="12" t="inlineStr">
        <is>
          <t>Maintenance building / workshop</t>
        </is>
      </c>
      <c r="I2935" s="12" t="inlineStr">
        <is>
          <t>LV 600 V</t>
        </is>
      </c>
      <c r="J2935" s="12" t="inlineStr">
        <is>
          <t>Type TC-ER 600 V 3/C Cu XHHW-2 + ground, PVC jacket</t>
        </is>
      </c>
      <c r="K2935" s="12" t="inlineStr">
        <is>
          <t>LV|3/C+G|2/0</t>
        </is>
      </c>
      <c r="L2935" s="12" t="inlineStr">
        <is>
          <t>3/C+G</t>
        </is>
      </c>
      <c r="M2935" s="12" t="inlineStr">
        <is>
          <t>2/0</t>
        </is>
      </c>
      <c r="N2935" s="12" t="n">
        <v>1</v>
      </c>
      <c r="O2935" s="12" t="n">
        <v>1</v>
      </c>
      <c r="P2935" s="12" t="n">
        <v>480</v>
      </c>
      <c r="Q2935" s="12" t="n">
        <v>60</v>
      </c>
      <c r="R2935" s="12" t="n">
        <v>84.90000000000001</v>
      </c>
      <c r="S2935" s="12" t="inlineStr">
        <is>
          <t>Tray</t>
        </is>
      </c>
      <c r="T2935" s="16" t="n">
        <v>734</v>
      </c>
      <c r="U2935" s="16" t="n">
        <v>145</v>
      </c>
      <c r="V2935" s="16">
        <f>ROUNDUP((T2935+U2935+2*'Read Me'!$B$13)*(1+'Read Me'!$B$12),-1)</f>
        <v/>
      </c>
      <c r="W2935" s="16">
        <f>V2935*N2935*O2935</f>
        <v/>
      </c>
      <c r="X2935" s="12">
        <f>IF(LEFT(I2935,2)="MV",2*N2935*IF(L2935="1/C",O2935,1),0)</f>
        <v/>
      </c>
      <c r="Y2935" s="12">
        <f>IF(OR(LEFT(K2935,4)="LVAX",LEFT(K2935,6)="MV15AX",LEFT(K2935,4)="CTAX",LEFT(K2935,2)="W|"),2*N2935*O2935,0)</f>
        <v/>
      </c>
      <c r="Z2935" s="12" t="inlineStr">
        <is>
          <t>VD 2.9 %</t>
        </is>
      </c>
      <c r="AA2935" s="12">
        <f>N2935*O2935</f>
        <v/>
      </c>
    </row>
    <row r="2936">
      <c r="A2936" s="12" t="inlineStr">
        <is>
          <t>F-P-0009</t>
        </is>
      </c>
      <c r="B2936" s="12" t="inlineStr">
        <is>
          <t>F</t>
        </is>
      </c>
      <c r="C2936" s="12" t="inlineStr">
        <is>
          <t>Controls / service</t>
        </is>
      </c>
      <c r="D2936" s="12" t="inlineStr">
        <is>
          <t>Site / road lighting: 120 poles, buried circuits pole to pole</t>
        </is>
      </c>
      <c r="E2936" s="12" t="inlineStr"/>
      <c r="F2936" s="12" t="inlineStr">
        <is>
          <t>Site lighting: pole handholes and photocells</t>
        </is>
      </c>
      <c r="G2936" s="12" t="inlineStr"/>
      <c r="H2936" s="12" t="inlineStr">
        <is>
          <t>Site lighting: pole handholes and photocells</t>
        </is>
      </c>
      <c r="I2936" s="12" t="inlineStr">
        <is>
          <t>LV 600 V</t>
        </is>
      </c>
      <c r="J2936" s="12" t="inlineStr">
        <is>
          <t>Type TC-ER 600 V 3/C Cu XHHW-2 + ground, PVC jacket</t>
        </is>
      </c>
      <c r="K2936" s="12" t="inlineStr">
        <is>
          <t>LV|3/C+G|8</t>
        </is>
      </c>
      <c r="L2936" s="12" t="inlineStr">
        <is>
          <t>3/C+G</t>
        </is>
      </c>
      <c r="M2936" s="12" t="inlineStr">
        <is>
          <t>8</t>
        </is>
      </c>
      <c r="N2936" s="12" t="n">
        <v>120</v>
      </c>
      <c r="O2936" s="12" t="n">
        <v>1</v>
      </c>
      <c r="P2936" s="12" t="n">
        <v>480</v>
      </c>
      <c r="Q2936" s="12" t="n"/>
      <c r="R2936" s="12" t="n"/>
      <c r="S2936" s="12" t="inlineStr">
        <is>
          <t>Buried</t>
        </is>
      </c>
      <c r="T2936" s="16" t="n">
        <v>120</v>
      </c>
      <c r="U2936" s="16" t="n">
        <v>30</v>
      </c>
      <c r="V2936" s="16">
        <f>ROUNDUP((T2936+U2936+2*'Read Me'!$B$13)*(1+'Read Me'!$B$12),-1)</f>
        <v/>
      </c>
      <c r="W2936" s="16">
        <f>V2936*N2936*O2936</f>
        <v/>
      </c>
      <c r="X2936" s="12">
        <f>IF(LEFT(I2936,2)="MV",2*N2936*IF(L2936="1/C",O2936,1),0)</f>
        <v/>
      </c>
      <c r="Y2936" s="12">
        <f>IF(OR(LEFT(K2936,4)="LVAX",LEFT(K2936,6)="MV15AX",LEFT(K2936,4)="CTAX",LEFT(K2936,2)="W|"),2*N2936*O2936,0)</f>
        <v/>
      </c>
      <c r="Z2936" s="12" t="inlineStr">
        <is>
          <t>~120 ft between poles + riser</t>
        </is>
      </c>
      <c r="AA2936" s="12">
        <f>N2936*O2936</f>
        <v/>
      </c>
    </row>
    <row r="2937">
      <c r="A2937" s="12" t="inlineStr">
        <is>
          <t>F-P-0010</t>
        </is>
      </c>
      <c r="B2937" s="12" t="inlineStr">
        <is>
          <t>F</t>
        </is>
      </c>
      <c r="C2937" s="12" t="inlineStr">
        <is>
          <t>Controls / service</t>
        </is>
      </c>
      <c r="D2937" s="12" t="inlineStr">
        <is>
          <t>Motor 1 of 2, 75 kW</t>
        </is>
      </c>
      <c r="E2937" s="12" t="inlineStr">
        <is>
          <t>MCC-C2</t>
        </is>
      </c>
      <c r="F2937" s="12" t="inlineStr">
        <is>
          <t>R1 MCC-C2</t>
        </is>
      </c>
      <c r="G2937" s="12" t="inlineStr"/>
      <c r="H2937" s="12" t="inlineStr">
        <is>
          <t>Stormwater pump station (2 x 100% submersible pumps)</t>
        </is>
      </c>
      <c r="I2937" s="12" t="inlineStr">
        <is>
          <t>LV 600 V</t>
        </is>
      </c>
      <c r="J2937" s="12" t="inlineStr">
        <is>
          <t>Type TC-ER 600 V 3/C Cu XHHW-2 + ground, PVC jacket</t>
        </is>
      </c>
      <c r="K2937" s="12" t="inlineStr">
        <is>
          <t>LV|3/C+G|500</t>
        </is>
      </c>
      <c r="L2937" s="12" t="inlineStr">
        <is>
          <t>3/C+G</t>
        </is>
      </c>
      <c r="M2937" s="12" t="inlineStr">
        <is>
          <t>500 kcmil</t>
        </is>
      </c>
      <c r="N2937" s="12" t="n">
        <v>1</v>
      </c>
      <c r="O2937" s="12" t="n">
        <v>1</v>
      </c>
      <c r="P2937" s="12" t="n">
        <v>480</v>
      </c>
      <c r="Q2937" s="12" t="n">
        <v>75</v>
      </c>
      <c r="R2937" s="12" t="n">
        <v>106.1</v>
      </c>
      <c r="S2937" s="12" t="inlineStr">
        <is>
          <t>Duct bank</t>
        </is>
      </c>
      <c r="T2937" s="16" t="n">
        <v>1832</v>
      </c>
      <c r="U2937" s="16" t="n">
        <v>145</v>
      </c>
      <c r="V2937" s="16">
        <f>ROUNDUP((T2937+U2937+2*'Read Me'!$B$13)*(1+'Read Me'!$B$12),-1)</f>
        <v/>
      </c>
      <c r="W2937" s="16">
        <f>V2937*N2937*O2937</f>
        <v/>
      </c>
      <c r="X2937" s="12">
        <f>IF(LEFT(I2937,2)="MV",2*N2937*IF(L2937="1/C",O2937,1),0)</f>
        <v/>
      </c>
      <c r="Y2937" s="12">
        <f>IF(OR(LEFT(K2937,4)="LVAX",LEFT(K2937,6)="MV15AX",LEFT(K2937,4)="CTAX",LEFT(K2937,2)="W|"),2*N2937*O2937,0)</f>
        <v/>
      </c>
      <c r="Z2937" s="12" t="inlineStr">
        <is>
          <t>VD 2.1 %</t>
        </is>
      </c>
      <c r="AA2937" s="12">
        <f>N2937*O2937</f>
        <v/>
      </c>
    </row>
    <row r="2938">
      <c r="A2938" s="12" t="inlineStr">
        <is>
          <t>F-P-0011</t>
        </is>
      </c>
      <c r="B2938" s="12" t="inlineStr">
        <is>
          <t>F</t>
        </is>
      </c>
      <c r="C2938" s="12" t="inlineStr">
        <is>
          <t>Controls / service</t>
        </is>
      </c>
      <c r="D2938" s="12" t="inlineStr">
        <is>
          <t>Motor 2 of 2, 75 kW</t>
        </is>
      </c>
      <c r="E2938" s="12" t="inlineStr">
        <is>
          <t>MCC-C2</t>
        </is>
      </c>
      <c r="F2938" s="12" t="inlineStr">
        <is>
          <t>R1 MCC-C2</t>
        </is>
      </c>
      <c r="G2938" s="12" t="inlineStr"/>
      <c r="H2938" s="12" t="inlineStr">
        <is>
          <t>Stormwater pump station (2 x 100% submersible pumps)</t>
        </is>
      </c>
      <c r="I2938" s="12" t="inlineStr">
        <is>
          <t>LV 600 V</t>
        </is>
      </c>
      <c r="J2938" s="12" t="inlineStr">
        <is>
          <t>Type TC-ER 600 V 3/C Cu XHHW-2 + ground, PVC jacket</t>
        </is>
      </c>
      <c r="K2938" s="12" t="inlineStr">
        <is>
          <t>LV|3/C+G|500</t>
        </is>
      </c>
      <c r="L2938" s="12" t="inlineStr">
        <is>
          <t>3/C+G</t>
        </is>
      </c>
      <c r="M2938" s="12" t="inlineStr">
        <is>
          <t>500 kcmil</t>
        </is>
      </c>
      <c r="N2938" s="12" t="n">
        <v>1</v>
      </c>
      <c r="O2938" s="12" t="n">
        <v>1</v>
      </c>
      <c r="P2938" s="12" t="n">
        <v>480</v>
      </c>
      <c r="Q2938" s="12" t="n">
        <v>75</v>
      </c>
      <c r="R2938" s="12" t="n">
        <v>106.1</v>
      </c>
      <c r="S2938" s="12" t="inlineStr">
        <is>
          <t>Duct bank</t>
        </is>
      </c>
      <c r="T2938" s="16" t="n">
        <v>1832</v>
      </c>
      <c r="U2938" s="16" t="n">
        <v>145</v>
      </c>
      <c r="V2938" s="16">
        <f>ROUNDUP((T2938+U2938+2*'Read Me'!$B$13)*(1+'Read Me'!$B$12),-1)</f>
        <v/>
      </c>
      <c r="W2938" s="16">
        <f>V2938*N2938*O2938</f>
        <v/>
      </c>
      <c r="X2938" s="12">
        <f>IF(LEFT(I2938,2)="MV",2*N2938*IF(L2938="1/C",O2938,1),0)</f>
        <v/>
      </c>
      <c r="Y2938" s="12">
        <f>IF(OR(LEFT(K2938,4)="LVAX",LEFT(K2938,6)="MV15AX",LEFT(K2938,4)="CTAX",LEFT(K2938,2)="W|"),2*N2938*O2938,0)</f>
        <v/>
      </c>
      <c r="Z2938" s="12" t="inlineStr">
        <is>
          <t>VD 2.1 %</t>
        </is>
      </c>
      <c r="AA2938" s="12">
        <f>N2938*O2938</f>
        <v/>
      </c>
    </row>
    <row r="2939">
      <c r="A2939" s="12" t="inlineStr">
        <is>
          <t>F-P-0012</t>
        </is>
      </c>
      <c r="B2939" s="12" t="inlineStr">
        <is>
          <t>F</t>
        </is>
      </c>
      <c r="C2939" s="12" t="inlineStr">
        <is>
          <t>Controls / service</t>
        </is>
      </c>
      <c r="D2939" s="12" t="inlineStr">
        <is>
          <t>LV panel / distribution feeder</t>
        </is>
      </c>
      <c r="E2939" s="12" t="inlineStr">
        <is>
          <t>MCC-C2</t>
        </is>
      </c>
      <c r="F2939" s="12" t="inlineStr">
        <is>
          <t>R1 MCC-C2</t>
        </is>
      </c>
      <c r="G2939" s="12" t="inlineStr"/>
      <c r="H2939" s="12" t="inlineStr">
        <is>
          <t>Warehouse</t>
        </is>
      </c>
      <c r="I2939" s="12" t="inlineStr">
        <is>
          <t>LV 600 V</t>
        </is>
      </c>
      <c r="J2939" s="12" t="inlineStr">
        <is>
          <t>Type TC-ER 600 V 3/C Cu XHHW-2 + ground, PVC jacket</t>
        </is>
      </c>
      <c r="K2939" s="12" t="inlineStr">
        <is>
          <t>LV|3/C+G|500</t>
        </is>
      </c>
      <c r="L2939" s="12" t="inlineStr">
        <is>
          <t>3/C+G</t>
        </is>
      </c>
      <c r="M2939" s="12" t="inlineStr">
        <is>
          <t>500 kcmil</t>
        </is>
      </c>
      <c r="N2939" s="12" t="n">
        <v>1</v>
      </c>
      <c r="O2939" s="12" t="n">
        <v>1</v>
      </c>
      <c r="P2939" s="12" t="n">
        <v>480</v>
      </c>
      <c r="Q2939" s="12" t="n">
        <v>204</v>
      </c>
      <c r="R2939" s="12" t="n">
        <v>288.7</v>
      </c>
      <c r="S2939" s="12" t="inlineStr">
        <is>
          <t>Tray</t>
        </is>
      </c>
      <c r="T2939" s="16" t="n">
        <v>734</v>
      </c>
      <c r="U2939" s="16" t="n">
        <v>204</v>
      </c>
      <c r="V2939" s="16">
        <f>ROUNDUP((T2939+U2939+2*'Read Me'!$B$13)*(1+'Read Me'!$B$12),-1)</f>
        <v/>
      </c>
      <c r="W2939" s="16">
        <f>V2939*N2939*O2939</f>
        <v/>
      </c>
      <c r="X2939" s="12">
        <f>IF(LEFT(I2939,2)="MV",2*N2939*IF(L2939="1/C",O2939,1),0)</f>
        <v/>
      </c>
      <c r="Y2939" s="12">
        <f>IF(OR(LEFT(K2939,4)="LVAX",LEFT(K2939,6)="MV15AX",LEFT(K2939,4)="CTAX",LEFT(K2939,2)="W|"),2*N2939*O2939,0)</f>
        <v/>
      </c>
      <c r="Z2939" s="12" t="inlineStr">
        <is>
          <t>VD 2.8 %</t>
        </is>
      </c>
      <c r="AA2939" s="12">
        <f>N2939*O2939</f>
        <v/>
      </c>
    </row>
    <row r="2940">
      <c r="A2940" s="12" t="inlineStr">
        <is>
          <t>G-L-0001</t>
        </is>
      </c>
      <c r="B2940" s="12" t="inlineStr">
        <is>
          <t>G</t>
        </is>
      </c>
      <c r="C2940" s="12" t="inlineStr">
        <is>
          <t>Carbon capture</t>
        </is>
      </c>
      <c r="D2940" s="12" t="inlineStr">
        <is>
          <t>Lighting, receptacles and small power branch circuits (allowance)</t>
        </is>
      </c>
      <c r="E2940" s="12" t="inlineStr"/>
      <c r="F2940" s="12" t="inlineStr">
        <is>
          <t>CCS F&amp;G / control</t>
        </is>
      </c>
      <c r="G2940" s="12" t="inlineStr"/>
      <c r="H2940" s="12" t="inlineStr">
        <is>
          <t>CCS F&amp;G / control</t>
        </is>
      </c>
      <c r="I2940" s="12" t="inlineStr">
        <is>
          <t>Building wire</t>
        </is>
      </c>
      <c r="J2940" s="12" t="inlineStr">
        <is>
          <t>SIMpull THHN/THWN-2 600 V 1/C Cu (lighting, receptacles, small power)</t>
        </is>
      </c>
      <c r="K2940" s="12" t="inlineStr">
        <is>
          <t>THHN|1/C|12</t>
        </is>
      </c>
      <c r="L2940" s="12" t="inlineStr">
        <is>
          <t>1/C</t>
        </is>
      </c>
      <c r="M2940" s="12" t="inlineStr">
        <is>
          <t>12</t>
        </is>
      </c>
      <c r="N2940" s="12" t="n">
        <v>1</v>
      </c>
      <c r="O2940" s="12" t="n">
        <v>1</v>
      </c>
      <c r="P2940" s="12" t="n">
        <v>277</v>
      </c>
      <c r="Q2940" s="12" t="n"/>
      <c r="R2940" s="12" t="n"/>
      <c r="S2940" s="12" t="inlineStr">
        <is>
          <t>Conduit</t>
        </is>
      </c>
      <c r="T2940" s="16" t="n">
        <v>5400</v>
      </c>
      <c r="U2940" s="16" t="n">
        <v>0</v>
      </c>
      <c r="V2940" s="16">
        <f>ROUNDUP((T2940+U2940+2*'Read Me'!$B$13)*(1+'Read Me'!$B$12),-1)</f>
        <v/>
      </c>
      <c r="W2940" s="16">
        <f>V2940*N2940*O2940</f>
        <v/>
      </c>
      <c r="X2940" s="12">
        <f>IF(LEFT(I2940,2)="MV",2*N2940*IF(L2940="1/C",O2940,1),0)</f>
        <v/>
      </c>
      <c r="Y2940" s="12">
        <f>IF(OR(LEFT(K2940,4)="LVAX",LEFT(K2940,6)="MV15AX",LEFT(K2940,4)="CTAX",LEFT(K2940,2)="W|"),2*N2940*O2940,0)</f>
        <v/>
      </c>
      <c r="Z2940" s="12" t="inlineStr">
        <is>
          <t>allowance: 1.6 ft of conductor per ft2 of floor</t>
        </is>
      </c>
      <c r="AA2940" s="12">
        <f>N2940*O2940</f>
        <v/>
      </c>
    </row>
    <row r="2941">
      <c r="A2941" s="12" t="inlineStr">
        <is>
          <t>G-L-0002</t>
        </is>
      </c>
      <c r="B2941" s="12" t="inlineStr">
        <is>
          <t>G</t>
        </is>
      </c>
      <c r="C2941" s="12" t="inlineStr">
        <is>
          <t>Carbon capture</t>
        </is>
      </c>
      <c r="D2941" s="12" t="inlineStr">
        <is>
          <t>Lighting, receptacles and small power branch circuits (allowance)</t>
        </is>
      </c>
      <c r="E2941" s="12" t="inlineStr"/>
      <c r="F2941" s="12" t="inlineStr">
        <is>
          <t>CCS MV switchgear building (VFDs)</t>
        </is>
      </c>
      <c r="G2941" s="12" t="inlineStr"/>
      <c r="H2941" s="12" t="inlineStr">
        <is>
          <t>CCS MV switchgear building (VFDs)</t>
        </is>
      </c>
      <c r="I2941" s="12" t="inlineStr">
        <is>
          <t>Building wire</t>
        </is>
      </c>
      <c r="J2941" s="12" t="inlineStr">
        <is>
          <t>SIMpull THHN/THWN-2 600 V 1/C Cu (lighting, receptacles, small power)</t>
        </is>
      </c>
      <c r="K2941" s="12" t="inlineStr">
        <is>
          <t>THHN|1/C|12</t>
        </is>
      </c>
      <c r="L2941" s="12" t="inlineStr">
        <is>
          <t>1/C</t>
        </is>
      </c>
      <c r="M2941" s="12" t="inlineStr">
        <is>
          <t>12</t>
        </is>
      </c>
      <c r="N2941" s="12" t="n">
        <v>1</v>
      </c>
      <c r="O2941" s="12" t="n">
        <v>1</v>
      </c>
      <c r="P2941" s="12" t="n">
        <v>277</v>
      </c>
      <c r="Q2941" s="12" t="n"/>
      <c r="R2941" s="12" t="n"/>
      <c r="S2941" s="12" t="inlineStr">
        <is>
          <t>Conduit</t>
        </is>
      </c>
      <c r="T2941" s="16" t="n">
        <v>14560</v>
      </c>
      <c r="U2941" s="16" t="n">
        <v>0</v>
      </c>
      <c r="V2941" s="16">
        <f>ROUNDUP((T2941+U2941+2*'Read Me'!$B$13)*(1+'Read Me'!$B$12),-1)</f>
        <v/>
      </c>
      <c r="W2941" s="16">
        <f>V2941*N2941*O2941</f>
        <v/>
      </c>
      <c r="X2941" s="12">
        <f>IF(LEFT(I2941,2)="MV",2*N2941*IF(L2941="1/C",O2941,1),0)</f>
        <v/>
      </c>
      <c r="Y2941" s="12">
        <f>IF(OR(LEFT(K2941,4)="LVAX",LEFT(K2941,6)="MV15AX",LEFT(K2941,4)="CTAX",LEFT(K2941,2)="W|"),2*N2941*O2941,0)</f>
        <v/>
      </c>
      <c r="Z2941" s="12" t="inlineStr">
        <is>
          <t>allowance: 1.6 ft of conductor per ft2 of floor</t>
        </is>
      </c>
      <c r="AA2941" s="12">
        <f>N2941*O2941</f>
        <v/>
      </c>
    </row>
    <row r="2942">
      <c r="A2942" s="12" t="inlineStr">
        <is>
          <t>G-L-0003</t>
        </is>
      </c>
      <c r="B2942" s="12" t="inlineStr">
        <is>
          <t>G</t>
        </is>
      </c>
      <c r="C2942" s="12" t="inlineStr">
        <is>
          <t>Carbon capture</t>
        </is>
      </c>
      <c r="D2942" s="12" t="inlineStr">
        <is>
          <t>Lighting, receptacles and small power branch circuits (allowance)</t>
        </is>
      </c>
      <c r="E2942" s="12" t="inlineStr"/>
      <c r="F2942" s="12" t="inlineStr">
        <is>
          <t>CT MCC / VFD e-house</t>
        </is>
      </c>
      <c r="G2942" s="12" t="inlineStr"/>
      <c r="H2942" s="12" t="inlineStr">
        <is>
          <t>CT MCC / VFD e-house</t>
        </is>
      </c>
      <c r="I2942" s="12" t="inlineStr">
        <is>
          <t>Building wire</t>
        </is>
      </c>
      <c r="J2942" s="12" t="inlineStr">
        <is>
          <t>SIMpull THHN/THWN-2 600 V 1/C Cu (lighting, receptacles, small power)</t>
        </is>
      </c>
      <c r="K2942" s="12" t="inlineStr">
        <is>
          <t>THHN|1/C|12</t>
        </is>
      </c>
      <c r="L2942" s="12" t="inlineStr">
        <is>
          <t>1/C</t>
        </is>
      </c>
      <c r="M2942" s="12" t="inlineStr">
        <is>
          <t>12</t>
        </is>
      </c>
      <c r="N2942" s="12" t="n">
        <v>1</v>
      </c>
      <c r="O2942" s="12" t="n">
        <v>1</v>
      </c>
      <c r="P2942" s="12" t="n">
        <v>277</v>
      </c>
      <c r="Q2942" s="12" t="n"/>
      <c r="R2942" s="12" t="n"/>
      <c r="S2942" s="12" t="inlineStr">
        <is>
          <t>Conduit</t>
        </is>
      </c>
      <c r="T2942" s="16" t="n">
        <v>7920</v>
      </c>
      <c r="U2942" s="16" t="n">
        <v>0</v>
      </c>
      <c r="V2942" s="16">
        <f>ROUNDUP((T2942+U2942+2*'Read Me'!$B$13)*(1+'Read Me'!$B$12),-1)</f>
        <v/>
      </c>
      <c r="W2942" s="16">
        <f>V2942*N2942*O2942</f>
        <v/>
      </c>
      <c r="X2942" s="12">
        <f>IF(LEFT(I2942,2)="MV",2*N2942*IF(L2942="1/C",O2942,1),0)</f>
        <v/>
      </c>
      <c r="Y2942" s="12">
        <f>IF(OR(LEFT(K2942,4)="LVAX",LEFT(K2942,6)="MV15AX",LEFT(K2942,4)="CTAX",LEFT(K2942,2)="W|"),2*N2942*O2942,0)</f>
        <v/>
      </c>
      <c r="Z2942" s="12" t="inlineStr">
        <is>
          <t>allowance: 1.6 ft of conductor per ft2 of floor</t>
        </is>
      </c>
      <c r="AA2942" s="12">
        <f>N2942*O2942</f>
        <v/>
      </c>
    </row>
    <row r="2943">
      <c r="A2943" s="12" t="inlineStr">
        <is>
          <t>G-C-0001</t>
        </is>
      </c>
      <c r="B2943" s="12" t="inlineStr">
        <is>
          <t>G</t>
        </is>
      </c>
      <c r="C2943" s="12" t="inlineStr">
        <is>
          <t>Carbon capture</t>
        </is>
      </c>
      <c r="D2943" s="12" t="inlineStr">
        <is>
          <t>MOV 1: control</t>
        </is>
      </c>
      <c r="E2943" s="12" t="inlineStr"/>
      <c r="F2943" s="12" t="inlineStr">
        <is>
          <t>CCS MV switchgear building (VFDs)</t>
        </is>
      </c>
      <c r="G2943" s="12" t="inlineStr">
        <is>
          <t>ABS-A</t>
        </is>
      </c>
      <c r="H2943" s="12" t="inlineStr">
        <is>
          <t>Absorber A (62 ft dia x 262 ft, stack to 313 ft)</t>
        </is>
      </c>
      <c r="I2943" s="12" t="inlineStr">
        <is>
          <t>Control</t>
        </is>
      </c>
      <c r="J2943" s="12" t="inlineStr">
        <is>
          <t>Control cable 600 V Type TC-ER, Cu #14 AWG, PVC jacket</t>
        </is>
      </c>
      <c r="K2943" s="12" t="inlineStr">
        <is>
          <t>CT|12/C|14</t>
        </is>
      </c>
      <c r="L2943" s="12" t="inlineStr">
        <is>
          <t>12/C</t>
        </is>
      </c>
      <c r="M2943" s="12" t="inlineStr">
        <is>
          <t>14</t>
        </is>
      </c>
      <c r="N2943" s="12" t="n">
        <v>1</v>
      </c>
      <c r="O2943" s="12" t="n">
        <v>1</v>
      </c>
      <c r="P2943" s="12" t="n"/>
      <c r="Q2943" s="12" t="n"/>
      <c r="R2943" s="12" t="n"/>
      <c r="S2943" s="12" t="inlineStr">
        <is>
          <t>Tray</t>
        </is>
      </c>
      <c r="T2943" s="16" t="n">
        <v>570</v>
      </c>
      <c r="U2943" s="16" t="n">
        <v>80</v>
      </c>
      <c r="V2943" s="16">
        <f>ROUNDUP((T2943+U2943+2*'Read Me'!$B$13)*(1+'Read Me'!$B$12),-1)</f>
        <v/>
      </c>
      <c r="W2943" s="16">
        <f>V2943*N2943*O2943</f>
        <v/>
      </c>
      <c r="X2943" s="12">
        <f>IF(LEFT(I2943,2)="MV",2*N2943*IF(L2943="1/C",O2943,1),0)</f>
        <v/>
      </c>
      <c r="Y2943" s="12">
        <f>IF(OR(LEFT(K2943,4)="LVAX",LEFT(K2943,6)="MV15AX",LEFT(K2943,4)="CTAX",LEFT(K2943,2)="W|"),2*N2943*O2943,0)</f>
        <v/>
      </c>
      <c r="Z2943" s="12" t="inlineStr"/>
      <c r="AA2943" s="12">
        <f>N2943*O2943</f>
        <v/>
      </c>
    </row>
    <row r="2944">
      <c r="A2944" s="12" t="inlineStr">
        <is>
          <t>G-C-0002</t>
        </is>
      </c>
      <c r="B2944" s="12" t="inlineStr">
        <is>
          <t>G</t>
        </is>
      </c>
      <c r="C2944" s="12" t="inlineStr">
        <is>
          <t>Carbon capture</t>
        </is>
      </c>
      <c r="D2944" s="12" t="inlineStr">
        <is>
          <t>MOV 2: control</t>
        </is>
      </c>
      <c r="E2944" s="12" t="inlineStr"/>
      <c r="F2944" s="12" t="inlineStr">
        <is>
          <t>CCS MV switchgear building (VFDs)</t>
        </is>
      </c>
      <c r="G2944" s="12" t="inlineStr">
        <is>
          <t>ABS-A</t>
        </is>
      </c>
      <c r="H2944" s="12" t="inlineStr">
        <is>
          <t>Absorber A (62 ft dia x 262 ft, stack to 313 ft)</t>
        </is>
      </c>
      <c r="I2944" s="12" t="inlineStr">
        <is>
          <t>Control</t>
        </is>
      </c>
      <c r="J2944" s="12" t="inlineStr">
        <is>
          <t>Control cable 600 V Type TC-ER, Cu #14 AWG, PVC jacket</t>
        </is>
      </c>
      <c r="K2944" s="12" t="inlineStr">
        <is>
          <t>CT|12/C|14</t>
        </is>
      </c>
      <c r="L2944" s="12" t="inlineStr">
        <is>
          <t>12/C</t>
        </is>
      </c>
      <c r="M2944" s="12" t="inlineStr">
        <is>
          <t>14</t>
        </is>
      </c>
      <c r="N2944" s="12" t="n">
        <v>1</v>
      </c>
      <c r="O2944" s="12" t="n">
        <v>1</v>
      </c>
      <c r="P2944" s="12" t="n"/>
      <c r="Q2944" s="12" t="n"/>
      <c r="R2944" s="12" t="n"/>
      <c r="S2944" s="12" t="inlineStr">
        <is>
          <t>Tray</t>
        </is>
      </c>
      <c r="T2944" s="16" t="n">
        <v>570</v>
      </c>
      <c r="U2944" s="16" t="n">
        <v>80</v>
      </c>
      <c r="V2944" s="16">
        <f>ROUNDUP((T2944+U2944+2*'Read Me'!$B$13)*(1+'Read Me'!$B$12),-1)</f>
        <v/>
      </c>
      <c r="W2944" s="16">
        <f>V2944*N2944*O2944</f>
        <v/>
      </c>
      <c r="X2944" s="12">
        <f>IF(LEFT(I2944,2)="MV",2*N2944*IF(L2944="1/C",O2944,1),0)</f>
        <v/>
      </c>
      <c r="Y2944" s="12">
        <f>IF(OR(LEFT(K2944,4)="LVAX",LEFT(K2944,6)="MV15AX",LEFT(K2944,4)="CTAX",LEFT(K2944,2)="W|"),2*N2944*O2944,0)</f>
        <v/>
      </c>
      <c r="Z2944" s="12" t="inlineStr"/>
      <c r="AA2944" s="12">
        <f>N2944*O2944</f>
        <v/>
      </c>
    </row>
    <row r="2945">
      <c r="A2945" s="12" t="inlineStr">
        <is>
          <t>G-C-0003</t>
        </is>
      </c>
      <c r="B2945" s="12" t="inlineStr">
        <is>
          <t>G</t>
        </is>
      </c>
      <c r="C2945" s="12" t="inlineStr">
        <is>
          <t>Carbon capture</t>
        </is>
      </c>
      <c r="D2945" s="12" t="inlineStr">
        <is>
          <t>MOV 3: control</t>
        </is>
      </c>
      <c r="E2945" s="12" t="inlineStr"/>
      <c r="F2945" s="12" t="inlineStr">
        <is>
          <t>CCS MV switchgear building (VFDs)</t>
        </is>
      </c>
      <c r="G2945" s="12" t="inlineStr">
        <is>
          <t>ABS-A</t>
        </is>
      </c>
      <c r="H2945" s="12" t="inlineStr">
        <is>
          <t>Absorber A (62 ft dia x 262 ft, stack to 313 ft)</t>
        </is>
      </c>
      <c r="I2945" s="12" t="inlineStr">
        <is>
          <t>Control</t>
        </is>
      </c>
      <c r="J2945" s="12" t="inlineStr">
        <is>
          <t>Control cable 600 V Type TC-ER, Cu #14 AWG, PVC jacket</t>
        </is>
      </c>
      <c r="K2945" s="12" t="inlineStr">
        <is>
          <t>CT|12/C|14</t>
        </is>
      </c>
      <c r="L2945" s="12" t="inlineStr">
        <is>
          <t>12/C</t>
        </is>
      </c>
      <c r="M2945" s="12" t="inlineStr">
        <is>
          <t>14</t>
        </is>
      </c>
      <c r="N2945" s="12" t="n">
        <v>1</v>
      </c>
      <c r="O2945" s="12" t="n">
        <v>1</v>
      </c>
      <c r="P2945" s="12" t="n"/>
      <c r="Q2945" s="12" t="n"/>
      <c r="R2945" s="12" t="n"/>
      <c r="S2945" s="12" t="inlineStr">
        <is>
          <t>Tray</t>
        </is>
      </c>
      <c r="T2945" s="16" t="n">
        <v>570</v>
      </c>
      <c r="U2945" s="16" t="n">
        <v>80</v>
      </c>
      <c r="V2945" s="16">
        <f>ROUNDUP((T2945+U2945+2*'Read Me'!$B$13)*(1+'Read Me'!$B$12),-1)</f>
        <v/>
      </c>
      <c r="W2945" s="16">
        <f>V2945*N2945*O2945</f>
        <v/>
      </c>
      <c r="X2945" s="12">
        <f>IF(LEFT(I2945,2)="MV",2*N2945*IF(L2945="1/C",O2945,1),0)</f>
        <v/>
      </c>
      <c r="Y2945" s="12">
        <f>IF(OR(LEFT(K2945,4)="LVAX",LEFT(K2945,6)="MV15AX",LEFT(K2945,4)="CTAX",LEFT(K2945,2)="W|"),2*N2945*O2945,0)</f>
        <v/>
      </c>
      <c r="Z2945" s="12" t="inlineStr"/>
      <c r="AA2945" s="12">
        <f>N2945*O2945</f>
        <v/>
      </c>
    </row>
    <row r="2946">
      <c r="A2946" s="12" t="inlineStr">
        <is>
          <t>G-C-0004</t>
        </is>
      </c>
      <c r="B2946" s="12" t="inlineStr">
        <is>
          <t>G</t>
        </is>
      </c>
      <c r="C2946" s="12" t="inlineStr">
        <is>
          <t>Carbon capture</t>
        </is>
      </c>
      <c r="D2946" s="12" t="inlineStr">
        <is>
          <t>MOV 4: control</t>
        </is>
      </c>
      <c r="E2946" s="12" t="inlineStr"/>
      <c r="F2946" s="12" t="inlineStr">
        <is>
          <t>CCS MV switchgear building (VFDs)</t>
        </is>
      </c>
      <c r="G2946" s="12" t="inlineStr">
        <is>
          <t>ABS-A</t>
        </is>
      </c>
      <c r="H2946" s="12" t="inlineStr">
        <is>
          <t>Absorber A (62 ft dia x 262 ft, stack to 313 ft)</t>
        </is>
      </c>
      <c r="I2946" s="12" t="inlineStr">
        <is>
          <t>Control</t>
        </is>
      </c>
      <c r="J2946" s="12" t="inlineStr">
        <is>
          <t>Control cable 600 V Type TC-ER, Cu #14 AWG, PVC jacket</t>
        </is>
      </c>
      <c r="K2946" s="12" t="inlineStr">
        <is>
          <t>CT|12/C|14</t>
        </is>
      </c>
      <c r="L2946" s="12" t="inlineStr">
        <is>
          <t>12/C</t>
        </is>
      </c>
      <c r="M2946" s="12" t="inlineStr">
        <is>
          <t>14</t>
        </is>
      </c>
      <c r="N2946" s="12" t="n">
        <v>1</v>
      </c>
      <c r="O2946" s="12" t="n">
        <v>1</v>
      </c>
      <c r="P2946" s="12" t="n"/>
      <c r="Q2946" s="12" t="n"/>
      <c r="R2946" s="12" t="n"/>
      <c r="S2946" s="12" t="inlineStr">
        <is>
          <t>Tray</t>
        </is>
      </c>
      <c r="T2946" s="16" t="n">
        <v>570</v>
      </c>
      <c r="U2946" s="16" t="n">
        <v>80</v>
      </c>
      <c r="V2946" s="16">
        <f>ROUNDUP((T2946+U2946+2*'Read Me'!$B$13)*(1+'Read Me'!$B$12),-1)</f>
        <v/>
      </c>
      <c r="W2946" s="16">
        <f>V2946*N2946*O2946</f>
        <v/>
      </c>
      <c r="X2946" s="12">
        <f>IF(LEFT(I2946,2)="MV",2*N2946*IF(L2946="1/C",O2946,1),0)</f>
        <v/>
      </c>
      <c r="Y2946" s="12">
        <f>IF(OR(LEFT(K2946,4)="LVAX",LEFT(K2946,6)="MV15AX",LEFT(K2946,4)="CTAX",LEFT(K2946,2)="W|"),2*N2946*O2946,0)</f>
        <v/>
      </c>
      <c r="Z2946" s="12" t="inlineStr"/>
      <c r="AA2946" s="12">
        <f>N2946*O2946</f>
        <v/>
      </c>
    </row>
    <row r="2947">
      <c r="A2947" s="12" t="inlineStr">
        <is>
          <t>G-C-0005</t>
        </is>
      </c>
      <c r="B2947" s="12" t="inlineStr">
        <is>
          <t>G</t>
        </is>
      </c>
      <c r="C2947" s="12" t="inlineStr">
        <is>
          <t>Carbon capture</t>
        </is>
      </c>
      <c r="D2947" s="12" t="inlineStr">
        <is>
          <t>MOV 5: control</t>
        </is>
      </c>
      <c r="E2947" s="12" t="inlineStr"/>
      <c r="F2947" s="12" t="inlineStr">
        <is>
          <t>CCS MV switchgear building (VFDs)</t>
        </is>
      </c>
      <c r="G2947" s="12" t="inlineStr">
        <is>
          <t>ABS-A</t>
        </is>
      </c>
      <c r="H2947" s="12" t="inlineStr">
        <is>
          <t>Absorber A (62 ft dia x 262 ft, stack to 313 ft)</t>
        </is>
      </c>
      <c r="I2947" s="12" t="inlineStr">
        <is>
          <t>Control</t>
        </is>
      </c>
      <c r="J2947" s="12" t="inlineStr">
        <is>
          <t>Control cable 600 V Type TC-ER, Cu #14 AWG, PVC jacket</t>
        </is>
      </c>
      <c r="K2947" s="12" t="inlineStr">
        <is>
          <t>CT|12/C|14</t>
        </is>
      </c>
      <c r="L2947" s="12" t="inlineStr">
        <is>
          <t>12/C</t>
        </is>
      </c>
      <c r="M2947" s="12" t="inlineStr">
        <is>
          <t>14</t>
        </is>
      </c>
      <c r="N2947" s="12" t="n">
        <v>1</v>
      </c>
      <c r="O2947" s="12" t="n">
        <v>1</v>
      </c>
      <c r="P2947" s="12" t="n"/>
      <c r="Q2947" s="12" t="n"/>
      <c r="R2947" s="12" t="n"/>
      <c r="S2947" s="12" t="inlineStr">
        <is>
          <t>Tray</t>
        </is>
      </c>
      <c r="T2947" s="16" t="n">
        <v>570</v>
      </c>
      <c r="U2947" s="16" t="n">
        <v>80</v>
      </c>
      <c r="V2947" s="16">
        <f>ROUNDUP((T2947+U2947+2*'Read Me'!$B$13)*(1+'Read Me'!$B$12),-1)</f>
        <v/>
      </c>
      <c r="W2947" s="16">
        <f>V2947*N2947*O2947</f>
        <v/>
      </c>
      <c r="X2947" s="12">
        <f>IF(LEFT(I2947,2)="MV",2*N2947*IF(L2947="1/C",O2947,1),0)</f>
        <v/>
      </c>
      <c r="Y2947" s="12">
        <f>IF(OR(LEFT(K2947,4)="LVAX",LEFT(K2947,6)="MV15AX",LEFT(K2947,4)="CTAX",LEFT(K2947,2)="W|"),2*N2947*O2947,0)</f>
        <v/>
      </c>
      <c r="Z2947" s="12" t="inlineStr"/>
      <c r="AA2947" s="12">
        <f>N2947*O2947</f>
        <v/>
      </c>
    </row>
    <row r="2948">
      <c r="A2948" s="12" t="inlineStr">
        <is>
          <t>G-C-0006</t>
        </is>
      </c>
      <c r="B2948" s="12" t="inlineStr">
        <is>
          <t>G</t>
        </is>
      </c>
      <c r="C2948" s="12" t="inlineStr">
        <is>
          <t>Carbon capture</t>
        </is>
      </c>
      <c r="D2948" s="12" t="inlineStr">
        <is>
          <t>MOV 6: control</t>
        </is>
      </c>
      <c r="E2948" s="12" t="inlineStr"/>
      <c r="F2948" s="12" t="inlineStr">
        <is>
          <t>CCS MV switchgear building (VFDs)</t>
        </is>
      </c>
      <c r="G2948" s="12" t="inlineStr">
        <is>
          <t>ABS-A</t>
        </is>
      </c>
      <c r="H2948" s="12" t="inlineStr">
        <is>
          <t>Absorber A (62 ft dia x 262 ft, stack to 313 ft)</t>
        </is>
      </c>
      <c r="I2948" s="12" t="inlineStr">
        <is>
          <t>Control</t>
        </is>
      </c>
      <c r="J2948" s="12" t="inlineStr">
        <is>
          <t>Control cable 600 V Type TC-ER, Cu #14 AWG, PVC jacket</t>
        </is>
      </c>
      <c r="K2948" s="12" t="inlineStr">
        <is>
          <t>CT|12/C|14</t>
        </is>
      </c>
      <c r="L2948" s="12" t="inlineStr">
        <is>
          <t>12/C</t>
        </is>
      </c>
      <c r="M2948" s="12" t="inlineStr">
        <is>
          <t>14</t>
        </is>
      </c>
      <c r="N2948" s="12" t="n">
        <v>1</v>
      </c>
      <c r="O2948" s="12" t="n">
        <v>1</v>
      </c>
      <c r="P2948" s="12" t="n"/>
      <c r="Q2948" s="12" t="n"/>
      <c r="R2948" s="12" t="n"/>
      <c r="S2948" s="12" t="inlineStr">
        <is>
          <t>Tray</t>
        </is>
      </c>
      <c r="T2948" s="16" t="n">
        <v>570</v>
      </c>
      <c r="U2948" s="16" t="n">
        <v>80</v>
      </c>
      <c r="V2948" s="16">
        <f>ROUNDUP((T2948+U2948+2*'Read Me'!$B$13)*(1+'Read Me'!$B$12),-1)</f>
        <v/>
      </c>
      <c r="W2948" s="16">
        <f>V2948*N2948*O2948</f>
        <v/>
      </c>
      <c r="X2948" s="12">
        <f>IF(LEFT(I2948,2)="MV",2*N2948*IF(L2948="1/C",O2948,1),0)</f>
        <v/>
      </c>
      <c r="Y2948" s="12">
        <f>IF(OR(LEFT(K2948,4)="LVAX",LEFT(K2948,6)="MV15AX",LEFT(K2948,4)="CTAX",LEFT(K2948,2)="W|"),2*N2948*O2948,0)</f>
        <v/>
      </c>
      <c r="Z2948" s="12" t="inlineStr"/>
      <c r="AA2948" s="12">
        <f>N2948*O2948</f>
        <v/>
      </c>
    </row>
    <row r="2949">
      <c r="A2949" s="12" t="inlineStr">
        <is>
          <t>G-C-0007</t>
        </is>
      </c>
      <c r="B2949" s="12" t="inlineStr">
        <is>
          <t>G</t>
        </is>
      </c>
      <c r="C2949" s="12" t="inlineStr">
        <is>
          <t>Carbon capture</t>
        </is>
      </c>
      <c r="D2949" s="12" t="inlineStr">
        <is>
          <t>MOV 7: control</t>
        </is>
      </c>
      <c r="E2949" s="12" t="inlineStr"/>
      <c r="F2949" s="12" t="inlineStr">
        <is>
          <t>CCS MV switchgear building (VFDs)</t>
        </is>
      </c>
      <c r="G2949" s="12" t="inlineStr">
        <is>
          <t>ABS-A</t>
        </is>
      </c>
      <c r="H2949" s="12" t="inlineStr">
        <is>
          <t>Absorber A (62 ft dia x 262 ft, stack to 313 ft)</t>
        </is>
      </c>
      <c r="I2949" s="12" t="inlineStr">
        <is>
          <t>Control</t>
        </is>
      </c>
      <c r="J2949" s="12" t="inlineStr">
        <is>
          <t>Control cable 600 V Type TC-ER, Cu #14 AWG, PVC jacket</t>
        </is>
      </c>
      <c r="K2949" s="12" t="inlineStr">
        <is>
          <t>CT|12/C|14</t>
        </is>
      </c>
      <c r="L2949" s="12" t="inlineStr">
        <is>
          <t>12/C</t>
        </is>
      </c>
      <c r="M2949" s="12" t="inlineStr">
        <is>
          <t>14</t>
        </is>
      </c>
      <c r="N2949" s="12" t="n">
        <v>1</v>
      </c>
      <c r="O2949" s="12" t="n">
        <v>1</v>
      </c>
      <c r="P2949" s="12" t="n"/>
      <c r="Q2949" s="12" t="n"/>
      <c r="R2949" s="12" t="n"/>
      <c r="S2949" s="12" t="inlineStr">
        <is>
          <t>Tray</t>
        </is>
      </c>
      <c r="T2949" s="16" t="n">
        <v>570</v>
      </c>
      <c r="U2949" s="16" t="n">
        <v>80</v>
      </c>
      <c r="V2949" s="16">
        <f>ROUNDUP((T2949+U2949+2*'Read Me'!$B$13)*(1+'Read Me'!$B$12),-1)</f>
        <v/>
      </c>
      <c r="W2949" s="16">
        <f>V2949*N2949*O2949</f>
        <v/>
      </c>
      <c r="X2949" s="12">
        <f>IF(LEFT(I2949,2)="MV",2*N2949*IF(L2949="1/C",O2949,1),0)</f>
        <v/>
      </c>
      <c r="Y2949" s="12">
        <f>IF(OR(LEFT(K2949,4)="LVAX",LEFT(K2949,6)="MV15AX",LEFT(K2949,4)="CTAX",LEFT(K2949,2)="W|"),2*N2949*O2949,0)</f>
        <v/>
      </c>
      <c r="Z2949" s="12" t="inlineStr"/>
      <c r="AA2949" s="12">
        <f>N2949*O2949</f>
        <v/>
      </c>
    </row>
    <row r="2950">
      <c r="A2950" s="12" t="inlineStr">
        <is>
          <t>G-C-0008</t>
        </is>
      </c>
      <c r="B2950" s="12" t="inlineStr">
        <is>
          <t>G</t>
        </is>
      </c>
      <c r="C2950" s="12" t="inlineStr">
        <is>
          <t>Carbon capture</t>
        </is>
      </c>
      <c r="D2950" s="12" t="inlineStr">
        <is>
          <t>MOV 8: control</t>
        </is>
      </c>
      <c r="E2950" s="12" t="inlineStr"/>
      <c r="F2950" s="12" t="inlineStr">
        <is>
          <t>CCS MV switchgear building (VFDs)</t>
        </is>
      </c>
      <c r="G2950" s="12" t="inlineStr">
        <is>
          <t>ABS-A</t>
        </is>
      </c>
      <c r="H2950" s="12" t="inlineStr">
        <is>
          <t>Absorber A (62 ft dia x 262 ft, stack to 313 ft)</t>
        </is>
      </c>
      <c r="I2950" s="12" t="inlineStr">
        <is>
          <t>Control</t>
        </is>
      </c>
      <c r="J2950" s="12" t="inlineStr">
        <is>
          <t>Control cable 600 V Type TC-ER, Cu #14 AWG, PVC jacket</t>
        </is>
      </c>
      <c r="K2950" s="12" t="inlineStr">
        <is>
          <t>CT|12/C|14</t>
        </is>
      </c>
      <c r="L2950" s="12" t="inlineStr">
        <is>
          <t>12/C</t>
        </is>
      </c>
      <c r="M2950" s="12" t="inlineStr">
        <is>
          <t>14</t>
        </is>
      </c>
      <c r="N2950" s="12" t="n">
        <v>1</v>
      </c>
      <c r="O2950" s="12" t="n">
        <v>1</v>
      </c>
      <c r="P2950" s="12" t="n"/>
      <c r="Q2950" s="12" t="n"/>
      <c r="R2950" s="12" t="n"/>
      <c r="S2950" s="12" t="inlineStr">
        <is>
          <t>Tray</t>
        </is>
      </c>
      <c r="T2950" s="16" t="n">
        <v>570</v>
      </c>
      <c r="U2950" s="16" t="n">
        <v>80</v>
      </c>
      <c r="V2950" s="16">
        <f>ROUNDUP((T2950+U2950+2*'Read Me'!$B$13)*(1+'Read Me'!$B$12),-1)</f>
        <v/>
      </c>
      <c r="W2950" s="16">
        <f>V2950*N2950*O2950</f>
        <v/>
      </c>
      <c r="X2950" s="12">
        <f>IF(LEFT(I2950,2)="MV",2*N2950*IF(L2950="1/C",O2950,1),0)</f>
        <v/>
      </c>
      <c r="Y2950" s="12">
        <f>IF(OR(LEFT(K2950,4)="LVAX",LEFT(K2950,6)="MV15AX",LEFT(K2950,4)="CTAX",LEFT(K2950,2)="W|"),2*N2950*O2950,0)</f>
        <v/>
      </c>
      <c r="Z2950" s="12" t="inlineStr"/>
      <c r="AA2950" s="12">
        <f>N2950*O2950</f>
        <v/>
      </c>
    </row>
    <row r="2951">
      <c r="A2951" s="12" t="inlineStr">
        <is>
          <t>G-C-0009</t>
        </is>
      </c>
      <c r="B2951" s="12" t="inlineStr">
        <is>
          <t>G</t>
        </is>
      </c>
      <c r="C2951" s="12" t="inlineStr">
        <is>
          <t>Carbon capture</t>
        </is>
      </c>
      <c r="D2951" s="12" t="inlineStr">
        <is>
          <t>MOV 9: control</t>
        </is>
      </c>
      <c r="E2951" s="12" t="inlineStr"/>
      <c r="F2951" s="12" t="inlineStr">
        <is>
          <t>CCS MV switchgear building (VFDs)</t>
        </is>
      </c>
      <c r="G2951" s="12" t="inlineStr">
        <is>
          <t>ABS-A</t>
        </is>
      </c>
      <c r="H2951" s="12" t="inlineStr">
        <is>
          <t>Absorber A (62 ft dia x 262 ft, stack to 313 ft)</t>
        </is>
      </c>
      <c r="I2951" s="12" t="inlineStr">
        <is>
          <t>Control</t>
        </is>
      </c>
      <c r="J2951" s="12" t="inlineStr">
        <is>
          <t>Control cable 600 V Type TC-ER, Cu #14 AWG, PVC jacket</t>
        </is>
      </c>
      <c r="K2951" s="12" t="inlineStr">
        <is>
          <t>CT|12/C|14</t>
        </is>
      </c>
      <c r="L2951" s="12" t="inlineStr">
        <is>
          <t>12/C</t>
        </is>
      </c>
      <c r="M2951" s="12" t="inlineStr">
        <is>
          <t>14</t>
        </is>
      </c>
      <c r="N2951" s="12" t="n">
        <v>1</v>
      </c>
      <c r="O2951" s="12" t="n">
        <v>1</v>
      </c>
      <c r="P2951" s="12" t="n"/>
      <c r="Q2951" s="12" t="n"/>
      <c r="R2951" s="12" t="n"/>
      <c r="S2951" s="12" t="inlineStr">
        <is>
          <t>Tray</t>
        </is>
      </c>
      <c r="T2951" s="16" t="n">
        <v>570</v>
      </c>
      <c r="U2951" s="16" t="n">
        <v>80</v>
      </c>
      <c r="V2951" s="16">
        <f>ROUNDUP((T2951+U2951+2*'Read Me'!$B$13)*(1+'Read Me'!$B$12),-1)</f>
        <v/>
      </c>
      <c r="W2951" s="16">
        <f>V2951*N2951*O2951</f>
        <v/>
      </c>
      <c r="X2951" s="12">
        <f>IF(LEFT(I2951,2)="MV",2*N2951*IF(L2951="1/C",O2951,1),0)</f>
        <v/>
      </c>
      <c r="Y2951" s="12">
        <f>IF(OR(LEFT(K2951,4)="LVAX",LEFT(K2951,6)="MV15AX",LEFT(K2951,4)="CTAX",LEFT(K2951,2)="W|"),2*N2951*O2951,0)</f>
        <v/>
      </c>
      <c r="Z2951" s="12" t="inlineStr"/>
      <c r="AA2951" s="12">
        <f>N2951*O2951</f>
        <v/>
      </c>
    </row>
    <row r="2952">
      <c r="A2952" s="12" t="inlineStr">
        <is>
          <t>G-C-0010</t>
        </is>
      </c>
      <c r="B2952" s="12" t="inlineStr">
        <is>
          <t>G</t>
        </is>
      </c>
      <c r="C2952" s="12" t="inlineStr">
        <is>
          <t>Carbon capture</t>
        </is>
      </c>
      <c r="D2952" s="12" t="inlineStr">
        <is>
          <t>MOV 10: control</t>
        </is>
      </c>
      <c r="E2952" s="12" t="inlineStr"/>
      <c r="F2952" s="12" t="inlineStr">
        <is>
          <t>CCS MV switchgear building (VFDs)</t>
        </is>
      </c>
      <c r="G2952" s="12" t="inlineStr">
        <is>
          <t>ABS-A</t>
        </is>
      </c>
      <c r="H2952" s="12" t="inlineStr">
        <is>
          <t>Absorber A (62 ft dia x 262 ft, stack to 313 ft)</t>
        </is>
      </c>
      <c r="I2952" s="12" t="inlineStr">
        <is>
          <t>Control</t>
        </is>
      </c>
      <c r="J2952" s="12" t="inlineStr">
        <is>
          <t>Control cable 600 V Type TC-ER, Cu #14 AWG, PVC jacket</t>
        </is>
      </c>
      <c r="K2952" s="12" t="inlineStr">
        <is>
          <t>CT|12/C|14</t>
        </is>
      </c>
      <c r="L2952" s="12" t="inlineStr">
        <is>
          <t>12/C</t>
        </is>
      </c>
      <c r="M2952" s="12" t="inlineStr">
        <is>
          <t>14</t>
        </is>
      </c>
      <c r="N2952" s="12" t="n">
        <v>1</v>
      </c>
      <c r="O2952" s="12" t="n">
        <v>1</v>
      </c>
      <c r="P2952" s="12" t="n"/>
      <c r="Q2952" s="12" t="n"/>
      <c r="R2952" s="12" t="n"/>
      <c r="S2952" s="12" t="inlineStr">
        <is>
          <t>Tray</t>
        </is>
      </c>
      <c r="T2952" s="16" t="n">
        <v>570</v>
      </c>
      <c r="U2952" s="16" t="n">
        <v>80</v>
      </c>
      <c r="V2952" s="16">
        <f>ROUNDUP((T2952+U2952+2*'Read Me'!$B$13)*(1+'Read Me'!$B$12),-1)</f>
        <v/>
      </c>
      <c r="W2952" s="16">
        <f>V2952*N2952*O2952</f>
        <v/>
      </c>
      <c r="X2952" s="12">
        <f>IF(LEFT(I2952,2)="MV",2*N2952*IF(L2952="1/C",O2952,1),0)</f>
        <v/>
      </c>
      <c r="Y2952" s="12">
        <f>IF(OR(LEFT(K2952,4)="LVAX",LEFT(K2952,6)="MV15AX",LEFT(K2952,4)="CTAX",LEFT(K2952,2)="W|"),2*N2952*O2952,0)</f>
        <v/>
      </c>
      <c r="Z2952" s="12" t="inlineStr"/>
      <c r="AA2952" s="12">
        <f>N2952*O2952</f>
        <v/>
      </c>
    </row>
    <row r="2953">
      <c r="A2953" s="12" t="inlineStr">
        <is>
          <t>G-C-0011</t>
        </is>
      </c>
      <c r="B2953" s="12" t="inlineStr">
        <is>
          <t>G</t>
        </is>
      </c>
      <c r="C2953" s="12" t="inlineStr">
        <is>
          <t>Carbon capture</t>
        </is>
      </c>
      <c r="D2953" s="12" t="inlineStr">
        <is>
          <t>Motor 1 of 2: control / local station</t>
        </is>
      </c>
      <c r="E2953" s="12" t="inlineStr"/>
      <c r="F2953" s="12" t="inlineStr">
        <is>
          <t>CCS MV switchgear building (VFDs)</t>
        </is>
      </c>
      <c r="G2953" s="12" t="inlineStr"/>
      <c r="H2953" s="12" t="inlineStr">
        <is>
          <t>Absorber A intercooler (pumps + plate exchanger)</t>
        </is>
      </c>
      <c r="I2953" s="12" t="inlineStr">
        <is>
          <t>Control</t>
        </is>
      </c>
      <c r="J2953" s="12" t="inlineStr">
        <is>
          <t>Control cable 600 V Type TC-ER, Cu #14 AWG, PVC jacket</t>
        </is>
      </c>
      <c r="K2953" s="12" t="inlineStr">
        <is>
          <t>CT|7/C|14</t>
        </is>
      </c>
      <c r="L2953" s="12" t="inlineStr">
        <is>
          <t>7/C</t>
        </is>
      </c>
      <c r="M2953" s="12" t="inlineStr">
        <is>
          <t>14</t>
        </is>
      </c>
      <c r="N2953" s="12" t="n">
        <v>1</v>
      </c>
      <c r="O2953" s="12" t="n">
        <v>1</v>
      </c>
      <c r="P2953" s="12" t="n"/>
      <c r="Q2953" s="12" t="n"/>
      <c r="R2953" s="12" t="n"/>
      <c r="S2953" s="12" t="inlineStr">
        <is>
          <t>Tray</t>
        </is>
      </c>
      <c r="T2953" s="16" t="n">
        <v>552</v>
      </c>
      <c r="U2953" s="16" t="n">
        <v>81</v>
      </c>
      <c r="V2953" s="16">
        <f>ROUNDUP((T2953+U2953+2*'Read Me'!$B$13)*(1+'Read Me'!$B$12),-1)</f>
        <v/>
      </c>
      <c r="W2953" s="16">
        <f>V2953*N2953*O2953</f>
        <v/>
      </c>
      <c r="X2953" s="12">
        <f>IF(LEFT(I2953,2)="MV",2*N2953*IF(L2953="1/C",O2953,1),0)</f>
        <v/>
      </c>
      <c r="Y2953" s="12">
        <f>IF(OR(LEFT(K2953,4)="LVAX",LEFT(K2953,6)="MV15AX",LEFT(K2953,4)="CTAX",LEFT(K2953,2)="W|"),2*N2953*O2953,0)</f>
        <v/>
      </c>
      <c r="Z2953" s="12" t="inlineStr"/>
      <c r="AA2953" s="12">
        <f>N2953*O2953</f>
        <v/>
      </c>
    </row>
    <row r="2954">
      <c r="A2954" s="12" t="inlineStr">
        <is>
          <t>G-C-0012</t>
        </is>
      </c>
      <c r="B2954" s="12" t="inlineStr">
        <is>
          <t>G</t>
        </is>
      </c>
      <c r="C2954" s="12" t="inlineStr">
        <is>
          <t>Carbon capture</t>
        </is>
      </c>
      <c r="D2954" s="12" t="inlineStr">
        <is>
          <t>Motor 2 of 2: control / local station</t>
        </is>
      </c>
      <c r="E2954" s="12" t="inlineStr"/>
      <c r="F2954" s="12" t="inlineStr">
        <is>
          <t>CCS MV switchgear building (VFDs)</t>
        </is>
      </c>
      <c r="G2954" s="12" t="inlineStr"/>
      <c r="H2954" s="12" t="inlineStr">
        <is>
          <t>Absorber A intercooler (pumps + plate exchanger)</t>
        </is>
      </c>
      <c r="I2954" s="12" t="inlineStr">
        <is>
          <t>Control</t>
        </is>
      </c>
      <c r="J2954" s="12" t="inlineStr">
        <is>
          <t>Control cable 600 V Type TC-ER, Cu #14 AWG, PVC jacket</t>
        </is>
      </c>
      <c r="K2954" s="12" t="inlineStr">
        <is>
          <t>CT|7/C|14</t>
        </is>
      </c>
      <c r="L2954" s="12" t="inlineStr">
        <is>
          <t>7/C</t>
        </is>
      </c>
      <c r="M2954" s="12" t="inlineStr">
        <is>
          <t>14</t>
        </is>
      </c>
      <c r="N2954" s="12" t="n">
        <v>1</v>
      </c>
      <c r="O2954" s="12" t="n">
        <v>1</v>
      </c>
      <c r="P2954" s="12" t="n"/>
      <c r="Q2954" s="12" t="n"/>
      <c r="R2954" s="12" t="n"/>
      <c r="S2954" s="12" t="inlineStr">
        <is>
          <t>Tray</t>
        </is>
      </c>
      <c r="T2954" s="16" t="n">
        <v>552</v>
      </c>
      <c r="U2954" s="16" t="n">
        <v>81</v>
      </c>
      <c r="V2954" s="16">
        <f>ROUNDUP((T2954+U2954+2*'Read Me'!$B$13)*(1+'Read Me'!$B$12),-1)</f>
        <v/>
      </c>
      <c r="W2954" s="16">
        <f>V2954*N2954*O2954</f>
        <v/>
      </c>
      <c r="X2954" s="12">
        <f>IF(LEFT(I2954,2)="MV",2*N2954*IF(L2954="1/C",O2954,1),0)</f>
        <v/>
      </c>
      <c r="Y2954" s="12">
        <f>IF(OR(LEFT(K2954,4)="LVAX",LEFT(K2954,6)="MV15AX",LEFT(K2954,4)="CTAX",LEFT(K2954,2)="W|"),2*N2954*O2954,0)</f>
        <v/>
      </c>
      <c r="Z2954" s="12" t="inlineStr"/>
      <c r="AA2954" s="12">
        <f>N2954*O2954</f>
        <v/>
      </c>
    </row>
    <row r="2955">
      <c r="A2955" s="12" t="inlineStr">
        <is>
          <t>G-C-0013</t>
        </is>
      </c>
      <c r="B2955" s="12" t="inlineStr">
        <is>
          <t>G</t>
        </is>
      </c>
      <c r="C2955" s="12" t="inlineStr">
        <is>
          <t>Carbon capture</t>
        </is>
      </c>
      <c r="D2955" s="12" t="inlineStr">
        <is>
          <t>MOV 1: control</t>
        </is>
      </c>
      <c r="E2955" s="12" t="inlineStr"/>
      <c r="F2955" s="12" t="inlineStr">
        <is>
          <t>CCS MV switchgear building (VFDs)</t>
        </is>
      </c>
      <c r="G2955" s="12" t="inlineStr">
        <is>
          <t>ABS-B</t>
        </is>
      </c>
      <c r="H2955" s="12" t="inlineStr">
        <is>
          <t>Absorber B (62 ft dia x 262 ft, stack to 313 ft)</t>
        </is>
      </c>
      <c r="I2955" s="12" t="inlineStr">
        <is>
          <t>Control</t>
        </is>
      </c>
      <c r="J2955" s="12" t="inlineStr">
        <is>
          <t>Control cable 600 V Type TC-ER, Cu #14 AWG, PVC jacket</t>
        </is>
      </c>
      <c r="K2955" s="12" t="inlineStr">
        <is>
          <t>CT|12/C|14</t>
        </is>
      </c>
      <c r="L2955" s="12" t="inlineStr">
        <is>
          <t>12/C</t>
        </is>
      </c>
      <c r="M2955" s="12" t="inlineStr">
        <is>
          <t>14</t>
        </is>
      </c>
      <c r="N2955" s="12" t="n">
        <v>1</v>
      </c>
      <c r="O2955" s="12" t="n">
        <v>1</v>
      </c>
      <c r="P2955" s="12" t="n"/>
      <c r="Q2955" s="12" t="n"/>
      <c r="R2955" s="12" t="n"/>
      <c r="S2955" s="12" t="inlineStr">
        <is>
          <t>Tray</t>
        </is>
      </c>
      <c r="T2955" s="16" t="n">
        <v>410</v>
      </c>
      <c r="U2955" s="16" t="n">
        <v>80</v>
      </c>
      <c r="V2955" s="16">
        <f>ROUNDUP((T2955+U2955+2*'Read Me'!$B$13)*(1+'Read Me'!$B$12),-1)</f>
        <v/>
      </c>
      <c r="W2955" s="16">
        <f>V2955*N2955*O2955</f>
        <v/>
      </c>
      <c r="X2955" s="12">
        <f>IF(LEFT(I2955,2)="MV",2*N2955*IF(L2955="1/C",O2955,1),0)</f>
        <v/>
      </c>
      <c r="Y2955" s="12">
        <f>IF(OR(LEFT(K2955,4)="LVAX",LEFT(K2955,6)="MV15AX",LEFT(K2955,4)="CTAX",LEFT(K2955,2)="W|"),2*N2955*O2955,0)</f>
        <v/>
      </c>
      <c r="Z2955" s="12" t="inlineStr"/>
      <c r="AA2955" s="12">
        <f>N2955*O2955</f>
        <v/>
      </c>
    </row>
    <row r="2956">
      <c r="A2956" s="12" t="inlineStr">
        <is>
          <t>G-C-0014</t>
        </is>
      </c>
      <c r="B2956" s="12" t="inlineStr">
        <is>
          <t>G</t>
        </is>
      </c>
      <c r="C2956" s="12" t="inlineStr">
        <is>
          <t>Carbon capture</t>
        </is>
      </c>
      <c r="D2956" s="12" t="inlineStr">
        <is>
          <t>MOV 2: control</t>
        </is>
      </c>
      <c r="E2956" s="12" t="inlineStr"/>
      <c r="F2956" s="12" t="inlineStr">
        <is>
          <t>CCS MV switchgear building (VFDs)</t>
        </is>
      </c>
      <c r="G2956" s="12" t="inlineStr">
        <is>
          <t>ABS-B</t>
        </is>
      </c>
      <c r="H2956" s="12" t="inlineStr">
        <is>
          <t>Absorber B (62 ft dia x 262 ft, stack to 313 ft)</t>
        </is>
      </c>
      <c r="I2956" s="12" t="inlineStr">
        <is>
          <t>Control</t>
        </is>
      </c>
      <c r="J2956" s="12" t="inlineStr">
        <is>
          <t>Control cable 600 V Type TC-ER, Cu #14 AWG, PVC jacket</t>
        </is>
      </c>
      <c r="K2956" s="12" t="inlineStr">
        <is>
          <t>CT|12/C|14</t>
        </is>
      </c>
      <c r="L2956" s="12" t="inlineStr">
        <is>
          <t>12/C</t>
        </is>
      </c>
      <c r="M2956" s="12" t="inlineStr">
        <is>
          <t>14</t>
        </is>
      </c>
      <c r="N2956" s="12" t="n">
        <v>1</v>
      </c>
      <c r="O2956" s="12" t="n">
        <v>1</v>
      </c>
      <c r="P2956" s="12" t="n"/>
      <c r="Q2956" s="12" t="n"/>
      <c r="R2956" s="12" t="n"/>
      <c r="S2956" s="12" t="inlineStr">
        <is>
          <t>Tray</t>
        </is>
      </c>
      <c r="T2956" s="16" t="n">
        <v>410</v>
      </c>
      <c r="U2956" s="16" t="n">
        <v>80</v>
      </c>
      <c r="V2956" s="16">
        <f>ROUNDUP((T2956+U2956+2*'Read Me'!$B$13)*(1+'Read Me'!$B$12),-1)</f>
        <v/>
      </c>
      <c r="W2956" s="16">
        <f>V2956*N2956*O2956</f>
        <v/>
      </c>
      <c r="X2956" s="12">
        <f>IF(LEFT(I2956,2)="MV",2*N2956*IF(L2956="1/C",O2956,1),0)</f>
        <v/>
      </c>
      <c r="Y2956" s="12">
        <f>IF(OR(LEFT(K2956,4)="LVAX",LEFT(K2956,6)="MV15AX",LEFT(K2956,4)="CTAX",LEFT(K2956,2)="W|"),2*N2956*O2956,0)</f>
        <v/>
      </c>
      <c r="Z2956" s="12" t="inlineStr"/>
      <c r="AA2956" s="12">
        <f>N2956*O2956</f>
        <v/>
      </c>
    </row>
    <row r="2957">
      <c r="A2957" s="12" t="inlineStr">
        <is>
          <t>G-C-0015</t>
        </is>
      </c>
      <c r="B2957" s="12" t="inlineStr">
        <is>
          <t>G</t>
        </is>
      </c>
      <c r="C2957" s="12" t="inlineStr">
        <is>
          <t>Carbon capture</t>
        </is>
      </c>
      <c r="D2957" s="12" t="inlineStr">
        <is>
          <t>MOV 3: control</t>
        </is>
      </c>
      <c r="E2957" s="12" t="inlineStr"/>
      <c r="F2957" s="12" t="inlineStr">
        <is>
          <t>CCS MV switchgear building (VFDs)</t>
        </is>
      </c>
      <c r="G2957" s="12" t="inlineStr">
        <is>
          <t>ABS-B</t>
        </is>
      </c>
      <c r="H2957" s="12" t="inlineStr">
        <is>
          <t>Absorber B (62 ft dia x 262 ft, stack to 313 ft)</t>
        </is>
      </c>
      <c r="I2957" s="12" t="inlineStr">
        <is>
          <t>Control</t>
        </is>
      </c>
      <c r="J2957" s="12" t="inlineStr">
        <is>
          <t>Control cable 600 V Type TC-ER, Cu #14 AWG, PVC jacket</t>
        </is>
      </c>
      <c r="K2957" s="12" t="inlineStr">
        <is>
          <t>CT|12/C|14</t>
        </is>
      </c>
      <c r="L2957" s="12" t="inlineStr">
        <is>
          <t>12/C</t>
        </is>
      </c>
      <c r="M2957" s="12" t="inlineStr">
        <is>
          <t>14</t>
        </is>
      </c>
      <c r="N2957" s="12" t="n">
        <v>1</v>
      </c>
      <c r="O2957" s="12" t="n">
        <v>1</v>
      </c>
      <c r="P2957" s="12" t="n"/>
      <c r="Q2957" s="12" t="n"/>
      <c r="R2957" s="12" t="n"/>
      <c r="S2957" s="12" t="inlineStr">
        <is>
          <t>Tray</t>
        </is>
      </c>
      <c r="T2957" s="16" t="n">
        <v>410</v>
      </c>
      <c r="U2957" s="16" t="n">
        <v>80</v>
      </c>
      <c r="V2957" s="16">
        <f>ROUNDUP((T2957+U2957+2*'Read Me'!$B$13)*(1+'Read Me'!$B$12),-1)</f>
        <v/>
      </c>
      <c r="W2957" s="16">
        <f>V2957*N2957*O2957</f>
        <v/>
      </c>
      <c r="X2957" s="12">
        <f>IF(LEFT(I2957,2)="MV",2*N2957*IF(L2957="1/C",O2957,1),0)</f>
        <v/>
      </c>
      <c r="Y2957" s="12">
        <f>IF(OR(LEFT(K2957,4)="LVAX",LEFT(K2957,6)="MV15AX",LEFT(K2957,4)="CTAX",LEFT(K2957,2)="W|"),2*N2957*O2957,0)</f>
        <v/>
      </c>
      <c r="Z2957" s="12" t="inlineStr"/>
      <c r="AA2957" s="12">
        <f>N2957*O2957</f>
        <v/>
      </c>
    </row>
    <row r="2958">
      <c r="A2958" s="12" t="inlineStr">
        <is>
          <t>G-C-0016</t>
        </is>
      </c>
      <c r="B2958" s="12" t="inlineStr">
        <is>
          <t>G</t>
        </is>
      </c>
      <c r="C2958" s="12" t="inlineStr">
        <is>
          <t>Carbon capture</t>
        </is>
      </c>
      <c r="D2958" s="12" t="inlineStr">
        <is>
          <t>MOV 4: control</t>
        </is>
      </c>
      <c r="E2958" s="12" t="inlineStr"/>
      <c r="F2958" s="12" t="inlineStr">
        <is>
          <t>CCS MV switchgear building (VFDs)</t>
        </is>
      </c>
      <c r="G2958" s="12" t="inlineStr">
        <is>
          <t>ABS-B</t>
        </is>
      </c>
      <c r="H2958" s="12" t="inlineStr">
        <is>
          <t>Absorber B (62 ft dia x 262 ft, stack to 313 ft)</t>
        </is>
      </c>
      <c r="I2958" s="12" t="inlineStr">
        <is>
          <t>Control</t>
        </is>
      </c>
      <c r="J2958" s="12" t="inlineStr">
        <is>
          <t>Control cable 600 V Type TC-ER, Cu #14 AWG, PVC jacket</t>
        </is>
      </c>
      <c r="K2958" s="12" t="inlineStr">
        <is>
          <t>CT|12/C|14</t>
        </is>
      </c>
      <c r="L2958" s="12" t="inlineStr">
        <is>
          <t>12/C</t>
        </is>
      </c>
      <c r="M2958" s="12" t="inlineStr">
        <is>
          <t>14</t>
        </is>
      </c>
      <c r="N2958" s="12" t="n">
        <v>1</v>
      </c>
      <c r="O2958" s="12" t="n">
        <v>1</v>
      </c>
      <c r="P2958" s="12" t="n"/>
      <c r="Q2958" s="12" t="n"/>
      <c r="R2958" s="12" t="n"/>
      <c r="S2958" s="12" t="inlineStr">
        <is>
          <t>Tray</t>
        </is>
      </c>
      <c r="T2958" s="16" t="n">
        <v>410</v>
      </c>
      <c r="U2958" s="16" t="n">
        <v>80</v>
      </c>
      <c r="V2958" s="16">
        <f>ROUNDUP((T2958+U2958+2*'Read Me'!$B$13)*(1+'Read Me'!$B$12),-1)</f>
        <v/>
      </c>
      <c r="W2958" s="16">
        <f>V2958*N2958*O2958</f>
        <v/>
      </c>
      <c r="X2958" s="12">
        <f>IF(LEFT(I2958,2)="MV",2*N2958*IF(L2958="1/C",O2958,1),0)</f>
        <v/>
      </c>
      <c r="Y2958" s="12">
        <f>IF(OR(LEFT(K2958,4)="LVAX",LEFT(K2958,6)="MV15AX",LEFT(K2958,4)="CTAX",LEFT(K2958,2)="W|"),2*N2958*O2958,0)</f>
        <v/>
      </c>
      <c r="Z2958" s="12" t="inlineStr"/>
      <c r="AA2958" s="12">
        <f>N2958*O2958</f>
        <v/>
      </c>
    </row>
    <row r="2959">
      <c r="A2959" s="12" t="inlineStr">
        <is>
          <t>G-C-0017</t>
        </is>
      </c>
      <c r="B2959" s="12" t="inlineStr">
        <is>
          <t>G</t>
        </is>
      </c>
      <c r="C2959" s="12" t="inlineStr">
        <is>
          <t>Carbon capture</t>
        </is>
      </c>
      <c r="D2959" s="12" t="inlineStr">
        <is>
          <t>MOV 5: control</t>
        </is>
      </c>
      <c r="E2959" s="12" t="inlineStr"/>
      <c r="F2959" s="12" t="inlineStr">
        <is>
          <t>CCS MV switchgear building (VFDs)</t>
        </is>
      </c>
      <c r="G2959" s="12" t="inlineStr">
        <is>
          <t>ABS-B</t>
        </is>
      </c>
      <c r="H2959" s="12" t="inlineStr">
        <is>
          <t>Absorber B (62 ft dia x 262 ft, stack to 313 ft)</t>
        </is>
      </c>
      <c r="I2959" s="12" t="inlineStr">
        <is>
          <t>Control</t>
        </is>
      </c>
      <c r="J2959" s="12" t="inlineStr">
        <is>
          <t>Control cable 600 V Type TC-ER, Cu #14 AWG, PVC jacket</t>
        </is>
      </c>
      <c r="K2959" s="12" t="inlineStr">
        <is>
          <t>CT|12/C|14</t>
        </is>
      </c>
      <c r="L2959" s="12" t="inlineStr">
        <is>
          <t>12/C</t>
        </is>
      </c>
      <c r="M2959" s="12" t="inlineStr">
        <is>
          <t>14</t>
        </is>
      </c>
      <c r="N2959" s="12" t="n">
        <v>1</v>
      </c>
      <c r="O2959" s="12" t="n">
        <v>1</v>
      </c>
      <c r="P2959" s="12" t="n"/>
      <c r="Q2959" s="12" t="n"/>
      <c r="R2959" s="12" t="n"/>
      <c r="S2959" s="12" t="inlineStr">
        <is>
          <t>Tray</t>
        </is>
      </c>
      <c r="T2959" s="16" t="n">
        <v>410</v>
      </c>
      <c r="U2959" s="16" t="n">
        <v>80</v>
      </c>
      <c r="V2959" s="16">
        <f>ROUNDUP((T2959+U2959+2*'Read Me'!$B$13)*(1+'Read Me'!$B$12),-1)</f>
        <v/>
      </c>
      <c r="W2959" s="16">
        <f>V2959*N2959*O2959</f>
        <v/>
      </c>
      <c r="X2959" s="12">
        <f>IF(LEFT(I2959,2)="MV",2*N2959*IF(L2959="1/C",O2959,1),0)</f>
        <v/>
      </c>
      <c r="Y2959" s="12">
        <f>IF(OR(LEFT(K2959,4)="LVAX",LEFT(K2959,6)="MV15AX",LEFT(K2959,4)="CTAX",LEFT(K2959,2)="W|"),2*N2959*O2959,0)</f>
        <v/>
      </c>
      <c r="Z2959" s="12" t="inlineStr"/>
      <c r="AA2959" s="12">
        <f>N2959*O2959</f>
        <v/>
      </c>
    </row>
    <row r="2960">
      <c r="A2960" s="12" t="inlineStr">
        <is>
          <t>G-C-0018</t>
        </is>
      </c>
      <c r="B2960" s="12" t="inlineStr">
        <is>
          <t>G</t>
        </is>
      </c>
      <c r="C2960" s="12" t="inlineStr">
        <is>
          <t>Carbon capture</t>
        </is>
      </c>
      <c r="D2960" s="12" t="inlineStr">
        <is>
          <t>MOV 6: control</t>
        </is>
      </c>
      <c r="E2960" s="12" t="inlineStr"/>
      <c r="F2960" s="12" t="inlineStr">
        <is>
          <t>CCS MV switchgear building (VFDs)</t>
        </is>
      </c>
      <c r="G2960" s="12" t="inlineStr">
        <is>
          <t>ABS-B</t>
        </is>
      </c>
      <c r="H2960" s="12" t="inlineStr">
        <is>
          <t>Absorber B (62 ft dia x 262 ft, stack to 313 ft)</t>
        </is>
      </c>
      <c r="I2960" s="12" t="inlineStr">
        <is>
          <t>Control</t>
        </is>
      </c>
      <c r="J2960" s="12" t="inlineStr">
        <is>
          <t>Control cable 600 V Type TC-ER, Cu #14 AWG, PVC jacket</t>
        </is>
      </c>
      <c r="K2960" s="12" t="inlineStr">
        <is>
          <t>CT|12/C|14</t>
        </is>
      </c>
      <c r="L2960" s="12" t="inlineStr">
        <is>
          <t>12/C</t>
        </is>
      </c>
      <c r="M2960" s="12" t="inlineStr">
        <is>
          <t>14</t>
        </is>
      </c>
      <c r="N2960" s="12" t="n">
        <v>1</v>
      </c>
      <c r="O2960" s="12" t="n">
        <v>1</v>
      </c>
      <c r="P2960" s="12" t="n"/>
      <c r="Q2960" s="12" t="n"/>
      <c r="R2960" s="12" t="n"/>
      <c r="S2960" s="12" t="inlineStr">
        <is>
          <t>Tray</t>
        </is>
      </c>
      <c r="T2960" s="16" t="n">
        <v>410</v>
      </c>
      <c r="U2960" s="16" t="n">
        <v>80</v>
      </c>
      <c r="V2960" s="16">
        <f>ROUNDUP((T2960+U2960+2*'Read Me'!$B$13)*(1+'Read Me'!$B$12),-1)</f>
        <v/>
      </c>
      <c r="W2960" s="16">
        <f>V2960*N2960*O2960</f>
        <v/>
      </c>
      <c r="X2960" s="12">
        <f>IF(LEFT(I2960,2)="MV",2*N2960*IF(L2960="1/C",O2960,1),0)</f>
        <v/>
      </c>
      <c r="Y2960" s="12">
        <f>IF(OR(LEFT(K2960,4)="LVAX",LEFT(K2960,6)="MV15AX",LEFT(K2960,4)="CTAX",LEFT(K2960,2)="W|"),2*N2960*O2960,0)</f>
        <v/>
      </c>
      <c r="Z2960" s="12" t="inlineStr"/>
      <c r="AA2960" s="12">
        <f>N2960*O2960</f>
        <v/>
      </c>
    </row>
    <row r="2961">
      <c r="A2961" s="12" t="inlineStr">
        <is>
          <t>G-C-0019</t>
        </is>
      </c>
      <c r="B2961" s="12" t="inlineStr">
        <is>
          <t>G</t>
        </is>
      </c>
      <c r="C2961" s="12" t="inlineStr">
        <is>
          <t>Carbon capture</t>
        </is>
      </c>
      <c r="D2961" s="12" t="inlineStr">
        <is>
          <t>MOV 7: control</t>
        </is>
      </c>
      <c r="E2961" s="12" t="inlineStr"/>
      <c r="F2961" s="12" t="inlineStr">
        <is>
          <t>CCS MV switchgear building (VFDs)</t>
        </is>
      </c>
      <c r="G2961" s="12" t="inlineStr">
        <is>
          <t>ABS-B</t>
        </is>
      </c>
      <c r="H2961" s="12" t="inlineStr">
        <is>
          <t>Absorber B (62 ft dia x 262 ft, stack to 313 ft)</t>
        </is>
      </c>
      <c r="I2961" s="12" t="inlineStr">
        <is>
          <t>Control</t>
        </is>
      </c>
      <c r="J2961" s="12" t="inlineStr">
        <is>
          <t>Control cable 600 V Type TC-ER, Cu #14 AWG, PVC jacket</t>
        </is>
      </c>
      <c r="K2961" s="12" t="inlineStr">
        <is>
          <t>CT|12/C|14</t>
        </is>
      </c>
      <c r="L2961" s="12" t="inlineStr">
        <is>
          <t>12/C</t>
        </is>
      </c>
      <c r="M2961" s="12" t="inlineStr">
        <is>
          <t>14</t>
        </is>
      </c>
      <c r="N2961" s="12" t="n">
        <v>1</v>
      </c>
      <c r="O2961" s="12" t="n">
        <v>1</v>
      </c>
      <c r="P2961" s="12" t="n"/>
      <c r="Q2961" s="12" t="n"/>
      <c r="R2961" s="12" t="n"/>
      <c r="S2961" s="12" t="inlineStr">
        <is>
          <t>Tray</t>
        </is>
      </c>
      <c r="T2961" s="16" t="n">
        <v>410</v>
      </c>
      <c r="U2961" s="16" t="n">
        <v>80</v>
      </c>
      <c r="V2961" s="16">
        <f>ROUNDUP((T2961+U2961+2*'Read Me'!$B$13)*(1+'Read Me'!$B$12),-1)</f>
        <v/>
      </c>
      <c r="W2961" s="16">
        <f>V2961*N2961*O2961</f>
        <v/>
      </c>
      <c r="X2961" s="12">
        <f>IF(LEFT(I2961,2)="MV",2*N2961*IF(L2961="1/C",O2961,1),0)</f>
        <v/>
      </c>
      <c r="Y2961" s="12">
        <f>IF(OR(LEFT(K2961,4)="LVAX",LEFT(K2961,6)="MV15AX",LEFT(K2961,4)="CTAX",LEFT(K2961,2)="W|"),2*N2961*O2961,0)</f>
        <v/>
      </c>
      <c r="Z2961" s="12" t="inlineStr"/>
      <c r="AA2961" s="12">
        <f>N2961*O2961</f>
        <v/>
      </c>
    </row>
    <row r="2962">
      <c r="A2962" s="12" t="inlineStr">
        <is>
          <t>G-C-0020</t>
        </is>
      </c>
      <c r="B2962" s="12" t="inlineStr">
        <is>
          <t>G</t>
        </is>
      </c>
      <c r="C2962" s="12" t="inlineStr">
        <is>
          <t>Carbon capture</t>
        </is>
      </c>
      <c r="D2962" s="12" t="inlineStr">
        <is>
          <t>MOV 8: control</t>
        </is>
      </c>
      <c r="E2962" s="12" t="inlineStr"/>
      <c r="F2962" s="12" t="inlineStr">
        <is>
          <t>CCS MV switchgear building (VFDs)</t>
        </is>
      </c>
      <c r="G2962" s="12" t="inlineStr">
        <is>
          <t>ABS-B</t>
        </is>
      </c>
      <c r="H2962" s="12" t="inlineStr">
        <is>
          <t>Absorber B (62 ft dia x 262 ft, stack to 313 ft)</t>
        </is>
      </c>
      <c r="I2962" s="12" t="inlineStr">
        <is>
          <t>Control</t>
        </is>
      </c>
      <c r="J2962" s="12" t="inlineStr">
        <is>
          <t>Control cable 600 V Type TC-ER, Cu #14 AWG, PVC jacket</t>
        </is>
      </c>
      <c r="K2962" s="12" t="inlineStr">
        <is>
          <t>CT|12/C|14</t>
        </is>
      </c>
      <c r="L2962" s="12" t="inlineStr">
        <is>
          <t>12/C</t>
        </is>
      </c>
      <c r="M2962" s="12" t="inlineStr">
        <is>
          <t>14</t>
        </is>
      </c>
      <c r="N2962" s="12" t="n">
        <v>1</v>
      </c>
      <c r="O2962" s="12" t="n">
        <v>1</v>
      </c>
      <c r="P2962" s="12" t="n"/>
      <c r="Q2962" s="12" t="n"/>
      <c r="R2962" s="12" t="n"/>
      <c r="S2962" s="12" t="inlineStr">
        <is>
          <t>Tray</t>
        </is>
      </c>
      <c r="T2962" s="16" t="n">
        <v>410</v>
      </c>
      <c r="U2962" s="16" t="n">
        <v>80</v>
      </c>
      <c r="V2962" s="16">
        <f>ROUNDUP((T2962+U2962+2*'Read Me'!$B$13)*(1+'Read Me'!$B$12),-1)</f>
        <v/>
      </c>
      <c r="W2962" s="16">
        <f>V2962*N2962*O2962</f>
        <v/>
      </c>
      <c r="X2962" s="12">
        <f>IF(LEFT(I2962,2)="MV",2*N2962*IF(L2962="1/C",O2962,1),0)</f>
        <v/>
      </c>
      <c r="Y2962" s="12">
        <f>IF(OR(LEFT(K2962,4)="LVAX",LEFT(K2962,6)="MV15AX",LEFT(K2962,4)="CTAX",LEFT(K2962,2)="W|"),2*N2962*O2962,0)</f>
        <v/>
      </c>
      <c r="Z2962" s="12" t="inlineStr"/>
      <c r="AA2962" s="12">
        <f>N2962*O2962</f>
        <v/>
      </c>
    </row>
    <row r="2963">
      <c r="A2963" s="12" t="inlineStr">
        <is>
          <t>G-C-0021</t>
        </is>
      </c>
      <c r="B2963" s="12" t="inlineStr">
        <is>
          <t>G</t>
        </is>
      </c>
      <c r="C2963" s="12" t="inlineStr">
        <is>
          <t>Carbon capture</t>
        </is>
      </c>
      <c r="D2963" s="12" t="inlineStr">
        <is>
          <t>MOV 9: control</t>
        </is>
      </c>
      <c r="E2963" s="12" t="inlineStr"/>
      <c r="F2963" s="12" t="inlineStr">
        <is>
          <t>CCS MV switchgear building (VFDs)</t>
        </is>
      </c>
      <c r="G2963" s="12" t="inlineStr">
        <is>
          <t>ABS-B</t>
        </is>
      </c>
      <c r="H2963" s="12" t="inlineStr">
        <is>
          <t>Absorber B (62 ft dia x 262 ft, stack to 313 ft)</t>
        </is>
      </c>
      <c r="I2963" s="12" t="inlineStr">
        <is>
          <t>Control</t>
        </is>
      </c>
      <c r="J2963" s="12" t="inlineStr">
        <is>
          <t>Control cable 600 V Type TC-ER, Cu #14 AWG, PVC jacket</t>
        </is>
      </c>
      <c r="K2963" s="12" t="inlineStr">
        <is>
          <t>CT|12/C|14</t>
        </is>
      </c>
      <c r="L2963" s="12" t="inlineStr">
        <is>
          <t>12/C</t>
        </is>
      </c>
      <c r="M2963" s="12" t="inlineStr">
        <is>
          <t>14</t>
        </is>
      </c>
      <c r="N2963" s="12" t="n">
        <v>1</v>
      </c>
      <c r="O2963" s="12" t="n">
        <v>1</v>
      </c>
      <c r="P2963" s="12" t="n"/>
      <c r="Q2963" s="12" t="n"/>
      <c r="R2963" s="12" t="n"/>
      <c r="S2963" s="12" t="inlineStr">
        <is>
          <t>Tray</t>
        </is>
      </c>
      <c r="T2963" s="16" t="n">
        <v>410</v>
      </c>
      <c r="U2963" s="16" t="n">
        <v>80</v>
      </c>
      <c r="V2963" s="16">
        <f>ROUNDUP((T2963+U2963+2*'Read Me'!$B$13)*(1+'Read Me'!$B$12),-1)</f>
        <v/>
      </c>
      <c r="W2963" s="16">
        <f>V2963*N2963*O2963</f>
        <v/>
      </c>
      <c r="X2963" s="12">
        <f>IF(LEFT(I2963,2)="MV",2*N2963*IF(L2963="1/C",O2963,1),0)</f>
        <v/>
      </c>
      <c r="Y2963" s="12">
        <f>IF(OR(LEFT(K2963,4)="LVAX",LEFT(K2963,6)="MV15AX",LEFT(K2963,4)="CTAX",LEFT(K2963,2)="W|"),2*N2963*O2963,0)</f>
        <v/>
      </c>
      <c r="Z2963" s="12" t="inlineStr"/>
      <c r="AA2963" s="12">
        <f>N2963*O2963</f>
        <v/>
      </c>
    </row>
    <row r="2964">
      <c r="A2964" s="12" t="inlineStr">
        <is>
          <t>G-C-0022</t>
        </is>
      </c>
      <c r="B2964" s="12" t="inlineStr">
        <is>
          <t>G</t>
        </is>
      </c>
      <c r="C2964" s="12" t="inlineStr">
        <is>
          <t>Carbon capture</t>
        </is>
      </c>
      <c r="D2964" s="12" t="inlineStr">
        <is>
          <t>MOV 10: control</t>
        </is>
      </c>
      <c r="E2964" s="12" t="inlineStr"/>
      <c r="F2964" s="12" t="inlineStr">
        <is>
          <t>CCS MV switchgear building (VFDs)</t>
        </is>
      </c>
      <c r="G2964" s="12" t="inlineStr">
        <is>
          <t>ABS-B</t>
        </is>
      </c>
      <c r="H2964" s="12" t="inlineStr">
        <is>
          <t>Absorber B (62 ft dia x 262 ft, stack to 313 ft)</t>
        </is>
      </c>
      <c r="I2964" s="12" t="inlineStr">
        <is>
          <t>Control</t>
        </is>
      </c>
      <c r="J2964" s="12" t="inlineStr">
        <is>
          <t>Control cable 600 V Type TC-ER, Cu #14 AWG, PVC jacket</t>
        </is>
      </c>
      <c r="K2964" s="12" t="inlineStr">
        <is>
          <t>CT|12/C|14</t>
        </is>
      </c>
      <c r="L2964" s="12" t="inlineStr">
        <is>
          <t>12/C</t>
        </is>
      </c>
      <c r="M2964" s="12" t="inlineStr">
        <is>
          <t>14</t>
        </is>
      </c>
      <c r="N2964" s="12" t="n">
        <v>1</v>
      </c>
      <c r="O2964" s="12" t="n">
        <v>1</v>
      </c>
      <c r="P2964" s="12" t="n"/>
      <c r="Q2964" s="12" t="n"/>
      <c r="R2964" s="12" t="n"/>
      <c r="S2964" s="12" t="inlineStr">
        <is>
          <t>Tray</t>
        </is>
      </c>
      <c r="T2964" s="16" t="n">
        <v>410</v>
      </c>
      <c r="U2964" s="16" t="n">
        <v>80</v>
      </c>
      <c r="V2964" s="16">
        <f>ROUNDUP((T2964+U2964+2*'Read Me'!$B$13)*(1+'Read Me'!$B$12),-1)</f>
        <v/>
      </c>
      <c r="W2964" s="16">
        <f>V2964*N2964*O2964</f>
        <v/>
      </c>
      <c r="X2964" s="12">
        <f>IF(LEFT(I2964,2)="MV",2*N2964*IF(L2964="1/C",O2964,1),0)</f>
        <v/>
      </c>
      <c r="Y2964" s="12">
        <f>IF(OR(LEFT(K2964,4)="LVAX",LEFT(K2964,6)="MV15AX",LEFT(K2964,4)="CTAX",LEFT(K2964,2)="W|"),2*N2964*O2964,0)</f>
        <v/>
      </c>
      <c r="Z2964" s="12" t="inlineStr"/>
      <c r="AA2964" s="12">
        <f>N2964*O2964</f>
        <v/>
      </c>
    </row>
    <row r="2965">
      <c r="A2965" s="12" t="inlineStr">
        <is>
          <t>G-C-0023</t>
        </is>
      </c>
      <c r="B2965" s="12" t="inlineStr">
        <is>
          <t>G</t>
        </is>
      </c>
      <c r="C2965" s="12" t="inlineStr">
        <is>
          <t>Carbon capture</t>
        </is>
      </c>
      <c r="D2965" s="12" t="inlineStr">
        <is>
          <t>Motor 1 of 2: control / local station</t>
        </is>
      </c>
      <c r="E2965" s="12" t="inlineStr"/>
      <c r="F2965" s="12" t="inlineStr">
        <is>
          <t>CCS MV switchgear building (VFDs)</t>
        </is>
      </c>
      <c r="G2965" s="12" t="inlineStr"/>
      <c r="H2965" s="12" t="inlineStr">
        <is>
          <t>Absorber B intercooler (pumps + plate exchanger)</t>
        </is>
      </c>
      <c r="I2965" s="12" t="inlineStr">
        <is>
          <t>Control</t>
        </is>
      </c>
      <c r="J2965" s="12" t="inlineStr">
        <is>
          <t>Control cable 600 V Type TC-ER, Cu #14 AWG, PVC jacket</t>
        </is>
      </c>
      <c r="K2965" s="12" t="inlineStr">
        <is>
          <t>CT|7/C|14</t>
        </is>
      </c>
      <c r="L2965" s="12" t="inlineStr">
        <is>
          <t>7/C</t>
        </is>
      </c>
      <c r="M2965" s="12" t="inlineStr">
        <is>
          <t>14</t>
        </is>
      </c>
      <c r="N2965" s="12" t="n">
        <v>1</v>
      </c>
      <c r="O2965" s="12" t="n">
        <v>1</v>
      </c>
      <c r="P2965" s="12" t="n"/>
      <c r="Q2965" s="12" t="n"/>
      <c r="R2965" s="12" t="n"/>
      <c r="S2965" s="12" t="inlineStr">
        <is>
          <t>Tray</t>
        </is>
      </c>
      <c r="T2965" s="16" t="n">
        <v>392</v>
      </c>
      <c r="U2965" s="16" t="n">
        <v>81</v>
      </c>
      <c r="V2965" s="16">
        <f>ROUNDUP((T2965+U2965+2*'Read Me'!$B$13)*(1+'Read Me'!$B$12),-1)</f>
        <v/>
      </c>
      <c r="W2965" s="16">
        <f>V2965*N2965*O2965</f>
        <v/>
      </c>
      <c r="X2965" s="12">
        <f>IF(LEFT(I2965,2)="MV",2*N2965*IF(L2965="1/C",O2965,1),0)</f>
        <v/>
      </c>
      <c r="Y2965" s="12">
        <f>IF(OR(LEFT(K2965,4)="LVAX",LEFT(K2965,6)="MV15AX",LEFT(K2965,4)="CTAX",LEFT(K2965,2)="W|"),2*N2965*O2965,0)</f>
        <v/>
      </c>
      <c r="Z2965" s="12" t="inlineStr"/>
      <c r="AA2965" s="12">
        <f>N2965*O2965</f>
        <v/>
      </c>
    </row>
    <row r="2966">
      <c r="A2966" s="12" t="inlineStr">
        <is>
          <t>G-C-0024</t>
        </is>
      </c>
      <c r="B2966" s="12" t="inlineStr">
        <is>
          <t>G</t>
        </is>
      </c>
      <c r="C2966" s="12" t="inlineStr">
        <is>
          <t>Carbon capture</t>
        </is>
      </c>
      <c r="D2966" s="12" t="inlineStr">
        <is>
          <t>Motor 2 of 2: control / local station</t>
        </is>
      </c>
      <c r="E2966" s="12" t="inlineStr"/>
      <c r="F2966" s="12" t="inlineStr">
        <is>
          <t>CCS MV switchgear building (VFDs)</t>
        </is>
      </c>
      <c r="G2966" s="12" t="inlineStr"/>
      <c r="H2966" s="12" t="inlineStr">
        <is>
          <t>Absorber B intercooler (pumps + plate exchanger)</t>
        </is>
      </c>
      <c r="I2966" s="12" t="inlineStr">
        <is>
          <t>Control</t>
        </is>
      </c>
      <c r="J2966" s="12" t="inlineStr">
        <is>
          <t>Control cable 600 V Type TC-ER, Cu #14 AWG, PVC jacket</t>
        </is>
      </c>
      <c r="K2966" s="12" t="inlineStr">
        <is>
          <t>CT|7/C|14</t>
        </is>
      </c>
      <c r="L2966" s="12" t="inlineStr">
        <is>
          <t>7/C</t>
        </is>
      </c>
      <c r="M2966" s="12" t="inlineStr">
        <is>
          <t>14</t>
        </is>
      </c>
      <c r="N2966" s="12" t="n">
        <v>1</v>
      </c>
      <c r="O2966" s="12" t="n">
        <v>1</v>
      </c>
      <c r="P2966" s="12" t="n"/>
      <c r="Q2966" s="12" t="n"/>
      <c r="R2966" s="12" t="n"/>
      <c r="S2966" s="12" t="inlineStr">
        <is>
          <t>Tray</t>
        </is>
      </c>
      <c r="T2966" s="16" t="n">
        <v>392</v>
      </c>
      <c r="U2966" s="16" t="n">
        <v>81</v>
      </c>
      <c r="V2966" s="16">
        <f>ROUNDUP((T2966+U2966+2*'Read Me'!$B$13)*(1+'Read Me'!$B$12),-1)</f>
        <v/>
      </c>
      <c r="W2966" s="16">
        <f>V2966*N2966*O2966</f>
        <v/>
      </c>
      <c r="X2966" s="12">
        <f>IF(LEFT(I2966,2)="MV",2*N2966*IF(L2966="1/C",O2966,1),0)</f>
        <v/>
      </c>
      <c r="Y2966" s="12">
        <f>IF(OR(LEFT(K2966,4)="LVAX",LEFT(K2966,6)="MV15AX",LEFT(K2966,4)="CTAX",LEFT(K2966,2)="W|"),2*N2966*O2966,0)</f>
        <v/>
      </c>
      <c r="Z2966" s="12" t="inlineStr"/>
      <c r="AA2966" s="12">
        <f>N2966*O2966</f>
        <v/>
      </c>
    </row>
    <row r="2967">
      <c r="A2967" s="12" t="inlineStr">
        <is>
          <t>G-C-0025</t>
        </is>
      </c>
      <c r="B2967" s="12" t="inlineStr">
        <is>
          <t>G</t>
        </is>
      </c>
      <c r="C2967" s="12" t="inlineStr">
        <is>
          <t>Carbon capture</t>
        </is>
      </c>
      <c r="D2967" s="12" t="inlineStr">
        <is>
          <t>MOV 1: control</t>
        </is>
      </c>
      <c r="E2967" s="12" t="inlineStr"/>
      <c r="F2967" s="12" t="inlineStr">
        <is>
          <t>CCS MV switchgear building (VFDs)</t>
        </is>
      </c>
      <c r="G2967" s="12" t="inlineStr">
        <is>
          <t>ABS-C</t>
        </is>
      </c>
      <c r="H2967" s="12" t="inlineStr">
        <is>
          <t>Absorber C (62 ft dia x 262 ft, stack to 313 ft)</t>
        </is>
      </c>
      <c r="I2967" s="12" t="inlineStr">
        <is>
          <t>Control</t>
        </is>
      </c>
      <c r="J2967" s="12" t="inlineStr">
        <is>
          <t>Control cable 600 V Type TC-ER, Cu #14 AWG, PVC jacket</t>
        </is>
      </c>
      <c r="K2967" s="12" t="inlineStr">
        <is>
          <t>CT|12/C|14</t>
        </is>
      </c>
      <c r="L2967" s="12" t="inlineStr">
        <is>
          <t>12/C</t>
        </is>
      </c>
      <c r="M2967" s="12" t="inlineStr">
        <is>
          <t>14</t>
        </is>
      </c>
      <c r="N2967" s="12" t="n">
        <v>1</v>
      </c>
      <c r="O2967" s="12" t="n">
        <v>1</v>
      </c>
      <c r="P2967" s="12" t="n"/>
      <c r="Q2967" s="12" t="n"/>
      <c r="R2967" s="12" t="n"/>
      <c r="S2967" s="12" t="inlineStr">
        <is>
          <t>Tray</t>
        </is>
      </c>
      <c r="T2967" s="16" t="n">
        <v>250</v>
      </c>
      <c r="U2967" s="16" t="n">
        <v>80</v>
      </c>
      <c r="V2967" s="16">
        <f>ROUNDUP((T2967+U2967+2*'Read Me'!$B$13)*(1+'Read Me'!$B$12),-1)</f>
        <v/>
      </c>
      <c r="W2967" s="16">
        <f>V2967*N2967*O2967</f>
        <v/>
      </c>
      <c r="X2967" s="12">
        <f>IF(LEFT(I2967,2)="MV",2*N2967*IF(L2967="1/C",O2967,1),0)</f>
        <v/>
      </c>
      <c r="Y2967" s="12">
        <f>IF(OR(LEFT(K2967,4)="LVAX",LEFT(K2967,6)="MV15AX",LEFT(K2967,4)="CTAX",LEFT(K2967,2)="W|"),2*N2967*O2967,0)</f>
        <v/>
      </c>
      <c r="Z2967" s="12" t="inlineStr"/>
      <c r="AA2967" s="12">
        <f>N2967*O2967</f>
        <v/>
      </c>
    </row>
    <row r="2968">
      <c r="A2968" s="12" t="inlineStr">
        <is>
          <t>G-C-0026</t>
        </is>
      </c>
      <c r="B2968" s="12" t="inlineStr">
        <is>
          <t>G</t>
        </is>
      </c>
      <c r="C2968" s="12" t="inlineStr">
        <is>
          <t>Carbon capture</t>
        </is>
      </c>
      <c r="D2968" s="12" t="inlineStr">
        <is>
          <t>MOV 2: control</t>
        </is>
      </c>
      <c r="E2968" s="12" t="inlineStr"/>
      <c r="F2968" s="12" t="inlineStr">
        <is>
          <t>CCS MV switchgear building (VFDs)</t>
        </is>
      </c>
      <c r="G2968" s="12" t="inlineStr">
        <is>
          <t>ABS-C</t>
        </is>
      </c>
      <c r="H2968" s="12" t="inlineStr">
        <is>
          <t>Absorber C (62 ft dia x 262 ft, stack to 313 ft)</t>
        </is>
      </c>
      <c r="I2968" s="12" t="inlineStr">
        <is>
          <t>Control</t>
        </is>
      </c>
      <c r="J2968" s="12" t="inlineStr">
        <is>
          <t>Control cable 600 V Type TC-ER, Cu #14 AWG, PVC jacket</t>
        </is>
      </c>
      <c r="K2968" s="12" t="inlineStr">
        <is>
          <t>CT|12/C|14</t>
        </is>
      </c>
      <c r="L2968" s="12" t="inlineStr">
        <is>
          <t>12/C</t>
        </is>
      </c>
      <c r="M2968" s="12" t="inlineStr">
        <is>
          <t>14</t>
        </is>
      </c>
      <c r="N2968" s="12" t="n">
        <v>1</v>
      </c>
      <c r="O2968" s="12" t="n">
        <v>1</v>
      </c>
      <c r="P2968" s="12" t="n"/>
      <c r="Q2968" s="12" t="n"/>
      <c r="R2968" s="12" t="n"/>
      <c r="S2968" s="12" t="inlineStr">
        <is>
          <t>Tray</t>
        </is>
      </c>
      <c r="T2968" s="16" t="n">
        <v>250</v>
      </c>
      <c r="U2968" s="16" t="n">
        <v>80</v>
      </c>
      <c r="V2968" s="16">
        <f>ROUNDUP((T2968+U2968+2*'Read Me'!$B$13)*(1+'Read Me'!$B$12),-1)</f>
        <v/>
      </c>
      <c r="W2968" s="16">
        <f>V2968*N2968*O2968</f>
        <v/>
      </c>
      <c r="X2968" s="12">
        <f>IF(LEFT(I2968,2)="MV",2*N2968*IF(L2968="1/C",O2968,1),0)</f>
        <v/>
      </c>
      <c r="Y2968" s="12">
        <f>IF(OR(LEFT(K2968,4)="LVAX",LEFT(K2968,6)="MV15AX",LEFT(K2968,4)="CTAX",LEFT(K2968,2)="W|"),2*N2968*O2968,0)</f>
        <v/>
      </c>
      <c r="Z2968" s="12" t="inlineStr"/>
      <c r="AA2968" s="12">
        <f>N2968*O2968</f>
        <v/>
      </c>
    </row>
    <row r="2969">
      <c r="A2969" s="12" t="inlineStr">
        <is>
          <t>G-C-0027</t>
        </is>
      </c>
      <c r="B2969" s="12" t="inlineStr">
        <is>
          <t>G</t>
        </is>
      </c>
      <c r="C2969" s="12" t="inlineStr">
        <is>
          <t>Carbon capture</t>
        </is>
      </c>
      <c r="D2969" s="12" t="inlineStr">
        <is>
          <t>MOV 3: control</t>
        </is>
      </c>
      <c r="E2969" s="12" t="inlineStr"/>
      <c r="F2969" s="12" t="inlineStr">
        <is>
          <t>CCS MV switchgear building (VFDs)</t>
        </is>
      </c>
      <c r="G2969" s="12" t="inlineStr">
        <is>
          <t>ABS-C</t>
        </is>
      </c>
      <c r="H2969" s="12" t="inlineStr">
        <is>
          <t>Absorber C (62 ft dia x 262 ft, stack to 313 ft)</t>
        </is>
      </c>
      <c r="I2969" s="12" t="inlineStr">
        <is>
          <t>Control</t>
        </is>
      </c>
      <c r="J2969" s="12" t="inlineStr">
        <is>
          <t>Control cable 600 V Type TC-ER, Cu #14 AWG, PVC jacket</t>
        </is>
      </c>
      <c r="K2969" s="12" t="inlineStr">
        <is>
          <t>CT|12/C|14</t>
        </is>
      </c>
      <c r="L2969" s="12" t="inlineStr">
        <is>
          <t>12/C</t>
        </is>
      </c>
      <c r="M2969" s="12" t="inlineStr">
        <is>
          <t>14</t>
        </is>
      </c>
      <c r="N2969" s="12" t="n">
        <v>1</v>
      </c>
      <c r="O2969" s="12" t="n">
        <v>1</v>
      </c>
      <c r="P2969" s="12" t="n"/>
      <c r="Q2969" s="12" t="n"/>
      <c r="R2969" s="12" t="n"/>
      <c r="S2969" s="12" t="inlineStr">
        <is>
          <t>Tray</t>
        </is>
      </c>
      <c r="T2969" s="16" t="n">
        <v>250</v>
      </c>
      <c r="U2969" s="16" t="n">
        <v>80</v>
      </c>
      <c r="V2969" s="16">
        <f>ROUNDUP((T2969+U2969+2*'Read Me'!$B$13)*(1+'Read Me'!$B$12),-1)</f>
        <v/>
      </c>
      <c r="W2969" s="16">
        <f>V2969*N2969*O2969</f>
        <v/>
      </c>
      <c r="X2969" s="12">
        <f>IF(LEFT(I2969,2)="MV",2*N2969*IF(L2969="1/C",O2969,1),0)</f>
        <v/>
      </c>
      <c r="Y2969" s="12">
        <f>IF(OR(LEFT(K2969,4)="LVAX",LEFT(K2969,6)="MV15AX",LEFT(K2969,4)="CTAX",LEFT(K2969,2)="W|"),2*N2969*O2969,0)</f>
        <v/>
      </c>
      <c r="Z2969" s="12" t="inlineStr"/>
      <c r="AA2969" s="12">
        <f>N2969*O2969</f>
        <v/>
      </c>
    </row>
    <row r="2970">
      <c r="A2970" s="12" t="inlineStr">
        <is>
          <t>G-C-0028</t>
        </is>
      </c>
      <c r="B2970" s="12" t="inlineStr">
        <is>
          <t>G</t>
        </is>
      </c>
      <c r="C2970" s="12" t="inlineStr">
        <is>
          <t>Carbon capture</t>
        </is>
      </c>
      <c r="D2970" s="12" t="inlineStr">
        <is>
          <t>MOV 4: control</t>
        </is>
      </c>
      <c r="E2970" s="12" t="inlineStr"/>
      <c r="F2970" s="12" t="inlineStr">
        <is>
          <t>CCS MV switchgear building (VFDs)</t>
        </is>
      </c>
      <c r="G2970" s="12" t="inlineStr">
        <is>
          <t>ABS-C</t>
        </is>
      </c>
      <c r="H2970" s="12" t="inlineStr">
        <is>
          <t>Absorber C (62 ft dia x 262 ft, stack to 313 ft)</t>
        </is>
      </c>
      <c r="I2970" s="12" t="inlineStr">
        <is>
          <t>Control</t>
        </is>
      </c>
      <c r="J2970" s="12" t="inlineStr">
        <is>
          <t>Control cable 600 V Type TC-ER, Cu #14 AWG, PVC jacket</t>
        </is>
      </c>
      <c r="K2970" s="12" t="inlineStr">
        <is>
          <t>CT|12/C|14</t>
        </is>
      </c>
      <c r="L2970" s="12" t="inlineStr">
        <is>
          <t>12/C</t>
        </is>
      </c>
      <c r="M2970" s="12" t="inlineStr">
        <is>
          <t>14</t>
        </is>
      </c>
      <c r="N2970" s="12" t="n">
        <v>1</v>
      </c>
      <c r="O2970" s="12" t="n">
        <v>1</v>
      </c>
      <c r="P2970" s="12" t="n"/>
      <c r="Q2970" s="12" t="n"/>
      <c r="R2970" s="12" t="n"/>
      <c r="S2970" s="12" t="inlineStr">
        <is>
          <t>Tray</t>
        </is>
      </c>
      <c r="T2970" s="16" t="n">
        <v>250</v>
      </c>
      <c r="U2970" s="16" t="n">
        <v>80</v>
      </c>
      <c r="V2970" s="16">
        <f>ROUNDUP((T2970+U2970+2*'Read Me'!$B$13)*(1+'Read Me'!$B$12),-1)</f>
        <v/>
      </c>
      <c r="W2970" s="16">
        <f>V2970*N2970*O2970</f>
        <v/>
      </c>
      <c r="X2970" s="12">
        <f>IF(LEFT(I2970,2)="MV",2*N2970*IF(L2970="1/C",O2970,1),0)</f>
        <v/>
      </c>
      <c r="Y2970" s="12">
        <f>IF(OR(LEFT(K2970,4)="LVAX",LEFT(K2970,6)="MV15AX",LEFT(K2970,4)="CTAX",LEFT(K2970,2)="W|"),2*N2970*O2970,0)</f>
        <v/>
      </c>
      <c r="Z2970" s="12" t="inlineStr"/>
      <c r="AA2970" s="12">
        <f>N2970*O2970</f>
        <v/>
      </c>
    </row>
    <row r="2971">
      <c r="A2971" s="12" t="inlineStr">
        <is>
          <t>G-C-0029</t>
        </is>
      </c>
      <c r="B2971" s="12" t="inlineStr">
        <is>
          <t>G</t>
        </is>
      </c>
      <c r="C2971" s="12" t="inlineStr">
        <is>
          <t>Carbon capture</t>
        </is>
      </c>
      <c r="D2971" s="12" t="inlineStr">
        <is>
          <t>MOV 5: control</t>
        </is>
      </c>
      <c r="E2971" s="12" t="inlineStr"/>
      <c r="F2971" s="12" t="inlineStr">
        <is>
          <t>CCS MV switchgear building (VFDs)</t>
        </is>
      </c>
      <c r="G2971" s="12" t="inlineStr">
        <is>
          <t>ABS-C</t>
        </is>
      </c>
      <c r="H2971" s="12" t="inlineStr">
        <is>
          <t>Absorber C (62 ft dia x 262 ft, stack to 313 ft)</t>
        </is>
      </c>
      <c r="I2971" s="12" t="inlineStr">
        <is>
          <t>Control</t>
        </is>
      </c>
      <c r="J2971" s="12" t="inlineStr">
        <is>
          <t>Control cable 600 V Type TC-ER, Cu #14 AWG, PVC jacket</t>
        </is>
      </c>
      <c r="K2971" s="12" t="inlineStr">
        <is>
          <t>CT|12/C|14</t>
        </is>
      </c>
      <c r="L2971" s="12" t="inlineStr">
        <is>
          <t>12/C</t>
        </is>
      </c>
      <c r="M2971" s="12" t="inlineStr">
        <is>
          <t>14</t>
        </is>
      </c>
      <c r="N2971" s="12" t="n">
        <v>1</v>
      </c>
      <c r="O2971" s="12" t="n">
        <v>1</v>
      </c>
      <c r="P2971" s="12" t="n"/>
      <c r="Q2971" s="12" t="n"/>
      <c r="R2971" s="12" t="n"/>
      <c r="S2971" s="12" t="inlineStr">
        <is>
          <t>Tray</t>
        </is>
      </c>
      <c r="T2971" s="16" t="n">
        <v>250</v>
      </c>
      <c r="U2971" s="16" t="n">
        <v>80</v>
      </c>
      <c r="V2971" s="16">
        <f>ROUNDUP((T2971+U2971+2*'Read Me'!$B$13)*(1+'Read Me'!$B$12),-1)</f>
        <v/>
      </c>
      <c r="W2971" s="16">
        <f>V2971*N2971*O2971</f>
        <v/>
      </c>
      <c r="X2971" s="12">
        <f>IF(LEFT(I2971,2)="MV",2*N2971*IF(L2971="1/C",O2971,1),0)</f>
        <v/>
      </c>
      <c r="Y2971" s="12">
        <f>IF(OR(LEFT(K2971,4)="LVAX",LEFT(K2971,6)="MV15AX",LEFT(K2971,4)="CTAX",LEFT(K2971,2)="W|"),2*N2971*O2971,0)</f>
        <v/>
      </c>
      <c r="Z2971" s="12" t="inlineStr"/>
      <c r="AA2971" s="12">
        <f>N2971*O2971</f>
        <v/>
      </c>
    </row>
    <row r="2972">
      <c r="A2972" s="12" t="inlineStr">
        <is>
          <t>G-C-0030</t>
        </is>
      </c>
      <c r="B2972" s="12" t="inlineStr">
        <is>
          <t>G</t>
        </is>
      </c>
      <c r="C2972" s="12" t="inlineStr">
        <is>
          <t>Carbon capture</t>
        </is>
      </c>
      <c r="D2972" s="12" t="inlineStr">
        <is>
          <t>MOV 6: control</t>
        </is>
      </c>
      <c r="E2972" s="12" t="inlineStr"/>
      <c r="F2972" s="12" t="inlineStr">
        <is>
          <t>CCS MV switchgear building (VFDs)</t>
        </is>
      </c>
      <c r="G2972" s="12" t="inlineStr">
        <is>
          <t>ABS-C</t>
        </is>
      </c>
      <c r="H2972" s="12" t="inlineStr">
        <is>
          <t>Absorber C (62 ft dia x 262 ft, stack to 313 ft)</t>
        </is>
      </c>
      <c r="I2972" s="12" t="inlineStr">
        <is>
          <t>Control</t>
        </is>
      </c>
      <c r="J2972" s="12" t="inlineStr">
        <is>
          <t>Control cable 600 V Type TC-ER, Cu #14 AWG, PVC jacket</t>
        </is>
      </c>
      <c r="K2972" s="12" t="inlineStr">
        <is>
          <t>CT|12/C|14</t>
        </is>
      </c>
      <c r="L2972" s="12" t="inlineStr">
        <is>
          <t>12/C</t>
        </is>
      </c>
      <c r="M2972" s="12" t="inlineStr">
        <is>
          <t>14</t>
        </is>
      </c>
      <c r="N2972" s="12" t="n">
        <v>1</v>
      </c>
      <c r="O2972" s="12" t="n">
        <v>1</v>
      </c>
      <c r="P2972" s="12" t="n"/>
      <c r="Q2972" s="12" t="n"/>
      <c r="R2972" s="12" t="n"/>
      <c r="S2972" s="12" t="inlineStr">
        <is>
          <t>Tray</t>
        </is>
      </c>
      <c r="T2972" s="16" t="n">
        <v>250</v>
      </c>
      <c r="U2972" s="16" t="n">
        <v>80</v>
      </c>
      <c r="V2972" s="16">
        <f>ROUNDUP((T2972+U2972+2*'Read Me'!$B$13)*(1+'Read Me'!$B$12),-1)</f>
        <v/>
      </c>
      <c r="W2972" s="16">
        <f>V2972*N2972*O2972</f>
        <v/>
      </c>
      <c r="X2972" s="12">
        <f>IF(LEFT(I2972,2)="MV",2*N2972*IF(L2972="1/C",O2972,1),0)</f>
        <v/>
      </c>
      <c r="Y2972" s="12">
        <f>IF(OR(LEFT(K2972,4)="LVAX",LEFT(K2972,6)="MV15AX",LEFT(K2972,4)="CTAX",LEFT(K2972,2)="W|"),2*N2972*O2972,0)</f>
        <v/>
      </c>
      <c r="Z2972" s="12" t="inlineStr"/>
      <c r="AA2972" s="12">
        <f>N2972*O2972</f>
        <v/>
      </c>
    </row>
    <row r="2973">
      <c r="A2973" s="12" t="inlineStr">
        <is>
          <t>G-C-0031</t>
        </is>
      </c>
      <c r="B2973" s="12" t="inlineStr">
        <is>
          <t>G</t>
        </is>
      </c>
      <c r="C2973" s="12" t="inlineStr">
        <is>
          <t>Carbon capture</t>
        </is>
      </c>
      <c r="D2973" s="12" t="inlineStr">
        <is>
          <t>MOV 7: control</t>
        </is>
      </c>
      <c r="E2973" s="12" t="inlineStr"/>
      <c r="F2973" s="12" t="inlineStr">
        <is>
          <t>CCS MV switchgear building (VFDs)</t>
        </is>
      </c>
      <c r="G2973" s="12" t="inlineStr">
        <is>
          <t>ABS-C</t>
        </is>
      </c>
      <c r="H2973" s="12" t="inlineStr">
        <is>
          <t>Absorber C (62 ft dia x 262 ft, stack to 313 ft)</t>
        </is>
      </c>
      <c r="I2973" s="12" t="inlineStr">
        <is>
          <t>Control</t>
        </is>
      </c>
      <c r="J2973" s="12" t="inlineStr">
        <is>
          <t>Control cable 600 V Type TC-ER, Cu #14 AWG, PVC jacket</t>
        </is>
      </c>
      <c r="K2973" s="12" t="inlineStr">
        <is>
          <t>CT|12/C|14</t>
        </is>
      </c>
      <c r="L2973" s="12" t="inlineStr">
        <is>
          <t>12/C</t>
        </is>
      </c>
      <c r="M2973" s="12" t="inlineStr">
        <is>
          <t>14</t>
        </is>
      </c>
      <c r="N2973" s="12" t="n">
        <v>1</v>
      </c>
      <c r="O2973" s="12" t="n">
        <v>1</v>
      </c>
      <c r="P2973" s="12" t="n"/>
      <c r="Q2973" s="12" t="n"/>
      <c r="R2973" s="12" t="n"/>
      <c r="S2973" s="12" t="inlineStr">
        <is>
          <t>Tray</t>
        </is>
      </c>
      <c r="T2973" s="16" t="n">
        <v>250</v>
      </c>
      <c r="U2973" s="16" t="n">
        <v>80</v>
      </c>
      <c r="V2973" s="16">
        <f>ROUNDUP((T2973+U2973+2*'Read Me'!$B$13)*(1+'Read Me'!$B$12),-1)</f>
        <v/>
      </c>
      <c r="W2973" s="16">
        <f>V2973*N2973*O2973</f>
        <v/>
      </c>
      <c r="X2973" s="12">
        <f>IF(LEFT(I2973,2)="MV",2*N2973*IF(L2973="1/C",O2973,1),0)</f>
        <v/>
      </c>
      <c r="Y2973" s="12">
        <f>IF(OR(LEFT(K2973,4)="LVAX",LEFT(K2973,6)="MV15AX",LEFT(K2973,4)="CTAX",LEFT(K2973,2)="W|"),2*N2973*O2973,0)</f>
        <v/>
      </c>
      <c r="Z2973" s="12" t="inlineStr"/>
      <c r="AA2973" s="12">
        <f>N2973*O2973</f>
        <v/>
      </c>
    </row>
    <row r="2974">
      <c r="A2974" s="12" t="inlineStr">
        <is>
          <t>G-C-0032</t>
        </is>
      </c>
      <c r="B2974" s="12" t="inlineStr">
        <is>
          <t>G</t>
        </is>
      </c>
      <c r="C2974" s="12" t="inlineStr">
        <is>
          <t>Carbon capture</t>
        </is>
      </c>
      <c r="D2974" s="12" t="inlineStr">
        <is>
          <t>MOV 8: control</t>
        </is>
      </c>
      <c r="E2974" s="12" t="inlineStr"/>
      <c r="F2974" s="12" t="inlineStr">
        <is>
          <t>CCS MV switchgear building (VFDs)</t>
        </is>
      </c>
      <c r="G2974" s="12" t="inlineStr">
        <is>
          <t>ABS-C</t>
        </is>
      </c>
      <c r="H2974" s="12" t="inlineStr">
        <is>
          <t>Absorber C (62 ft dia x 262 ft, stack to 313 ft)</t>
        </is>
      </c>
      <c r="I2974" s="12" t="inlineStr">
        <is>
          <t>Control</t>
        </is>
      </c>
      <c r="J2974" s="12" t="inlineStr">
        <is>
          <t>Control cable 600 V Type TC-ER, Cu #14 AWG, PVC jacket</t>
        </is>
      </c>
      <c r="K2974" s="12" t="inlineStr">
        <is>
          <t>CT|12/C|14</t>
        </is>
      </c>
      <c r="L2974" s="12" t="inlineStr">
        <is>
          <t>12/C</t>
        </is>
      </c>
      <c r="M2974" s="12" t="inlineStr">
        <is>
          <t>14</t>
        </is>
      </c>
      <c r="N2974" s="12" t="n">
        <v>1</v>
      </c>
      <c r="O2974" s="12" t="n">
        <v>1</v>
      </c>
      <c r="P2974" s="12" t="n"/>
      <c r="Q2974" s="12" t="n"/>
      <c r="R2974" s="12" t="n"/>
      <c r="S2974" s="12" t="inlineStr">
        <is>
          <t>Tray</t>
        </is>
      </c>
      <c r="T2974" s="16" t="n">
        <v>250</v>
      </c>
      <c r="U2974" s="16" t="n">
        <v>80</v>
      </c>
      <c r="V2974" s="16">
        <f>ROUNDUP((T2974+U2974+2*'Read Me'!$B$13)*(1+'Read Me'!$B$12),-1)</f>
        <v/>
      </c>
      <c r="W2974" s="16">
        <f>V2974*N2974*O2974</f>
        <v/>
      </c>
      <c r="X2974" s="12">
        <f>IF(LEFT(I2974,2)="MV",2*N2974*IF(L2974="1/C",O2974,1),0)</f>
        <v/>
      </c>
      <c r="Y2974" s="12">
        <f>IF(OR(LEFT(K2974,4)="LVAX",LEFT(K2974,6)="MV15AX",LEFT(K2974,4)="CTAX",LEFT(K2974,2)="W|"),2*N2974*O2974,0)</f>
        <v/>
      </c>
      <c r="Z2974" s="12" t="inlineStr"/>
      <c r="AA2974" s="12">
        <f>N2974*O2974</f>
        <v/>
      </c>
    </row>
    <row r="2975">
      <c r="A2975" s="12" t="inlineStr">
        <is>
          <t>G-C-0033</t>
        </is>
      </c>
      <c r="B2975" s="12" t="inlineStr">
        <is>
          <t>G</t>
        </is>
      </c>
      <c r="C2975" s="12" t="inlineStr">
        <is>
          <t>Carbon capture</t>
        </is>
      </c>
      <c r="D2975" s="12" t="inlineStr">
        <is>
          <t>MOV 9: control</t>
        </is>
      </c>
      <c r="E2975" s="12" t="inlineStr"/>
      <c r="F2975" s="12" t="inlineStr">
        <is>
          <t>CCS MV switchgear building (VFDs)</t>
        </is>
      </c>
      <c r="G2975" s="12" t="inlineStr">
        <is>
          <t>ABS-C</t>
        </is>
      </c>
      <c r="H2975" s="12" t="inlineStr">
        <is>
          <t>Absorber C (62 ft dia x 262 ft, stack to 313 ft)</t>
        </is>
      </c>
      <c r="I2975" s="12" t="inlineStr">
        <is>
          <t>Control</t>
        </is>
      </c>
      <c r="J2975" s="12" t="inlineStr">
        <is>
          <t>Control cable 600 V Type TC-ER, Cu #14 AWG, PVC jacket</t>
        </is>
      </c>
      <c r="K2975" s="12" t="inlineStr">
        <is>
          <t>CT|12/C|14</t>
        </is>
      </c>
      <c r="L2975" s="12" t="inlineStr">
        <is>
          <t>12/C</t>
        </is>
      </c>
      <c r="M2975" s="12" t="inlineStr">
        <is>
          <t>14</t>
        </is>
      </c>
      <c r="N2975" s="12" t="n">
        <v>1</v>
      </c>
      <c r="O2975" s="12" t="n">
        <v>1</v>
      </c>
      <c r="P2975" s="12" t="n"/>
      <c r="Q2975" s="12" t="n"/>
      <c r="R2975" s="12" t="n"/>
      <c r="S2975" s="12" t="inlineStr">
        <is>
          <t>Tray</t>
        </is>
      </c>
      <c r="T2975" s="16" t="n">
        <v>250</v>
      </c>
      <c r="U2975" s="16" t="n">
        <v>80</v>
      </c>
      <c r="V2975" s="16">
        <f>ROUNDUP((T2975+U2975+2*'Read Me'!$B$13)*(1+'Read Me'!$B$12),-1)</f>
        <v/>
      </c>
      <c r="W2975" s="16">
        <f>V2975*N2975*O2975</f>
        <v/>
      </c>
      <c r="X2975" s="12">
        <f>IF(LEFT(I2975,2)="MV",2*N2975*IF(L2975="1/C",O2975,1),0)</f>
        <v/>
      </c>
      <c r="Y2975" s="12">
        <f>IF(OR(LEFT(K2975,4)="LVAX",LEFT(K2975,6)="MV15AX",LEFT(K2975,4)="CTAX",LEFT(K2975,2)="W|"),2*N2975*O2975,0)</f>
        <v/>
      </c>
      <c r="Z2975" s="12" t="inlineStr"/>
      <c r="AA2975" s="12">
        <f>N2975*O2975</f>
        <v/>
      </c>
    </row>
    <row r="2976">
      <c r="A2976" s="12" t="inlineStr">
        <is>
          <t>G-C-0034</t>
        </is>
      </c>
      <c r="B2976" s="12" t="inlineStr">
        <is>
          <t>G</t>
        </is>
      </c>
      <c r="C2976" s="12" t="inlineStr">
        <is>
          <t>Carbon capture</t>
        </is>
      </c>
      <c r="D2976" s="12" t="inlineStr">
        <is>
          <t>MOV 10: control</t>
        </is>
      </c>
      <c r="E2976" s="12" t="inlineStr"/>
      <c r="F2976" s="12" t="inlineStr">
        <is>
          <t>CCS MV switchgear building (VFDs)</t>
        </is>
      </c>
      <c r="G2976" s="12" t="inlineStr">
        <is>
          <t>ABS-C</t>
        </is>
      </c>
      <c r="H2976" s="12" t="inlineStr">
        <is>
          <t>Absorber C (62 ft dia x 262 ft, stack to 313 ft)</t>
        </is>
      </c>
      <c r="I2976" s="12" t="inlineStr">
        <is>
          <t>Control</t>
        </is>
      </c>
      <c r="J2976" s="12" t="inlineStr">
        <is>
          <t>Control cable 600 V Type TC-ER, Cu #14 AWG, PVC jacket</t>
        </is>
      </c>
      <c r="K2976" s="12" t="inlineStr">
        <is>
          <t>CT|12/C|14</t>
        </is>
      </c>
      <c r="L2976" s="12" t="inlineStr">
        <is>
          <t>12/C</t>
        </is>
      </c>
      <c r="M2976" s="12" t="inlineStr">
        <is>
          <t>14</t>
        </is>
      </c>
      <c r="N2976" s="12" t="n">
        <v>1</v>
      </c>
      <c r="O2976" s="12" t="n">
        <v>1</v>
      </c>
      <c r="P2976" s="12" t="n"/>
      <c r="Q2976" s="12" t="n"/>
      <c r="R2976" s="12" t="n"/>
      <c r="S2976" s="12" t="inlineStr">
        <is>
          <t>Tray</t>
        </is>
      </c>
      <c r="T2976" s="16" t="n">
        <v>250</v>
      </c>
      <c r="U2976" s="16" t="n">
        <v>80</v>
      </c>
      <c r="V2976" s="16">
        <f>ROUNDUP((T2976+U2976+2*'Read Me'!$B$13)*(1+'Read Me'!$B$12),-1)</f>
        <v/>
      </c>
      <c r="W2976" s="16">
        <f>V2976*N2976*O2976</f>
        <v/>
      </c>
      <c r="X2976" s="12">
        <f>IF(LEFT(I2976,2)="MV",2*N2976*IF(L2976="1/C",O2976,1),0)</f>
        <v/>
      </c>
      <c r="Y2976" s="12">
        <f>IF(OR(LEFT(K2976,4)="LVAX",LEFT(K2976,6)="MV15AX",LEFT(K2976,4)="CTAX",LEFT(K2976,2)="W|"),2*N2976*O2976,0)</f>
        <v/>
      </c>
      <c r="Z2976" s="12" t="inlineStr"/>
      <c r="AA2976" s="12">
        <f>N2976*O2976</f>
        <v/>
      </c>
    </row>
    <row r="2977">
      <c r="A2977" s="12" t="inlineStr">
        <is>
          <t>G-C-0035</t>
        </is>
      </c>
      <c r="B2977" s="12" t="inlineStr">
        <is>
          <t>G</t>
        </is>
      </c>
      <c r="C2977" s="12" t="inlineStr">
        <is>
          <t>Carbon capture</t>
        </is>
      </c>
      <c r="D2977" s="12" t="inlineStr">
        <is>
          <t>Motor 1 of 2: control / local station</t>
        </is>
      </c>
      <c r="E2977" s="12" t="inlineStr"/>
      <c r="F2977" s="12" t="inlineStr">
        <is>
          <t>CCS MV switchgear building (VFDs)</t>
        </is>
      </c>
      <c r="G2977" s="12" t="inlineStr"/>
      <c r="H2977" s="12" t="inlineStr">
        <is>
          <t>Absorber C intercooler (pumps + plate exchanger)</t>
        </is>
      </c>
      <c r="I2977" s="12" t="inlineStr">
        <is>
          <t>Control</t>
        </is>
      </c>
      <c r="J2977" s="12" t="inlineStr">
        <is>
          <t>Control cable 600 V Type TC-ER, Cu #14 AWG, PVC jacket</t>
        </is>
      </c>
      <c r="K2977" s="12" t="inlineStr">
        <is>
          <t>CT|7/C|14</t>
        </is>
      </c>
      <c r="L2977" s="12" t="inlineStr">
        <is>
          <t>7/C</t>
        </is>
      </c>
      <c r="M2977" s="12" t="inlineStr">
        <is>
          <t>14</t>
        </is>
      </c>
      <c r="N2977" s="12" t="n">
        <v>1</v>
      </c>
      <c r="O2977" s="12" t="n">
        <v>1</v>
      </c>
      <c r="P2977" s="12" t="n"/>
      <c r="Q2977" s="12" t="n"/>
      <c r="R2977" s="12" t="n"/>
      <c r="S2977" s="12" t="inlineStr">
        <is>
          <t>Tray</t>
        </is>
      </c>
      <c r="T2977" s="16" t="n">
        <v>232</v>
      </c>
      <c r="U2977" s="16" t="n">
        <v>81</v>
      </c>
      <c r="V2977" s="16">
        <f>ROUNDUP((T2977+U2977+2*'Read Me'!$B$13)*(1+'Read Me'!$B$12),-1)</f>
        <v/>
      </c>
      <c r="W2977" s="16">
        <f>V2977*N2977*O2977</f>
        <v/>
      </c>
      <c r="X2977" s="12">
        <f>IF(LEFT(I2977,2)="MV",2*N2977*IF(L2977="1/C",O2977,1),0)</f>
        <v/>
      </c>
      <c r="Y2977" s="12">
        <f>IF(OR(LEFT(K2977,4)="LVAX",LEFT(K2977,6)="MV15AX",LEFT(K2977,4)="CTAX",LEFT(K2977,2)="W|"),2*N2977*O2977,0)</f>
        <v/>
      </c>
      <c r="Z2977" s="12" t="inlineStr"/>
      <c r="AA2977" s="12">
        <f>N2977*O2977</f>
        <v/>
      </c>
    </row>
    <row r="2978">
      <c r="A2978" s="12" t="inlineStr">
        <is>
          <t>G-C-0036</t>
        </is>
      </c>
      <c r="B2978" s="12" t="inlineStr">
        <is>
          <t>G</t>
        </is>
      </c>
      <c r="C2978" s="12" t="inlineStr">
        <is>
          <t>Carbon capture</t>
        </is>
      </c>
      <c r="D2978" s="12" t="inlineStr">
        <is>
          <t>Motor 2 of 2: control / local station</t>
        </is>
      </c>
      <c r="E2978" s="12" t="inlineStr"/>
      <c r="F2978" s="12" t="inlineStr">
        <is>
          <t>CCS MV switchgear building (VFDs)</t>
        </is>
      </c>
      <c r="G2978" s="12" t="inlineStr"/>
      <c r="H2978" s="12" t="inlineStr">
        <is>
          <t>Absorber C intercooler (pumps + plate exchanger)</t>
        </is>
      </c>
      <c r="I2978" s="12" t="inlineStr">
        <is>
          <t>Control</t>
        </is>
      </c>
      <c r="J2978" s="12" t="inlineStr">
        <is>
          <t>Control cable 600 V Type TC-ER, Cu #14 AWG, PVC jacket</t>
        </is>
      </c>
      <c r="K2978" s="12" t="inlineStr">
        <is>
          <t>CT|7/C|14</t>
        </is>
      </c>
      <c r="L2978" s="12" t="inlineStr">
        <is>
          <t>7/C</t>
        </is>
      </c>
      <c r="M2978" s="12" t="inlineStr">
        <is>
          <t>14</t>
        </is>
      </c>
      <c r="N2978" s="12" t="n">
        <v>1</v>
      </c>
      <c r="O2978" s="12" t="n">
        <v>1</v>
      </c>
      <c r="P2978" s="12" t="n"/>
      <c r="Q2978" s="12" t="n"/>
      <c r="R2978" s="12" t="n"/>
      <c r="S2978" s="12" t="inlineStr">
        <is>
          <t>Tray</t>
        </is>
      </c>
      <c r="T2978" s="16" t="n">
        <v>232</v>
      </c>
      <c r="U2978" s="16" t="n">
        <v>81</v>
      </c>
      <c r="V2978" s="16">
        <f>ROUNDUP((T2978+U2978+2*'Read Me'!$B$13)*(1+'Read Me'!$B$12),-1)</f>
        <v/>
      </c>
      <c r="W2978" s="16">
        <f>V2978*N2978*O2978</f>
        <v/>
      </c>
      <c r="X2978" s="12">
        <f>IF(LEFT(I2978,2)="MV",2*N2978*IF(L2978="1/C",O2978,1),0)</f>
        <v/>
      </c>
      <c r="Y2978" s="12">
        <f>IF(OR(LEFT(K2978,4)="LVAX",LEFT(K2978,6)="MV15AX",LEFT(K2978,4)="CTAX",LEFT(K2978,2)="W|"),2*N2978*O2978,0)</f>
        <v/>
      </c>
      <c r="Z2978" s="12" t="inlineStr"/>
      <c r="AA2978" s="12">
        <f>N2978*O2978</f>
        <v/>
      </c>
    </row>
    <row r="2979">
      <c r="A2979" s="12" t="inlineStr">
        <is>
          <t>G-C-0037</t>
        </is>
      </c>
      <c r="B2979" s="12" t="inlineStr">
        <is>
          <t>G</t>
        </is>
      </c>
      <c r="C2979" s="12" t="inlineStr">
        <is>
          <t>Carbon capture</t>
        </is>
      </c>
      <c r="D2979" s="12" t="inlineStr">
        <is>
          <t>Motor 1 of 4: control / local station</t>
        </is>
      </c>
      <c r="E2979" s="12" t="inlineStr"/>
      <c r="F2979" s="12" t="inlineStr">
        <is>
          <t>CCS MV switchgear building (VFDs)</t>
        </is>
      </c>
      <c r="G2979" s="12" t="inlineStr">
        <is>
          <t>BF-A</t>
        </is>
      </c>
      <c r="H2979" s="12" t="inlineStr">
        <is>
          <t>BF-A: booster fan (~16 MW)</t>
        </is>
      </c>
      <c r="I2979" s="12" t="inlineStr">
        <is>
          <t>Control</t>
        </is>
      </c>
      <c r="J2979" s="12" t="inlineStr">
        <is>
          <t>Control cable 600 V Type TC-ER, Cu #14 AWG, PVC jacket</t>
        </is>
      </c>
      <c r="K2979" s="12" t="inlineStr">
        <is>
          <t>CT|7/C|14</t>
        </is>
      </c>
      <c r="L2979" s="12" t="inlineStr">
        <is>
          <t>7/C</t>
        </is>
      </c>
      <c r="M2979" s="12" t="inlineStr">
        <is>
          <t>14</t>
        </is>
      </c>
      <c r="N2979" s="12" t="n">
        <v>1</v>
      </c>
      <c r="O2979" s="12" t="n">
        <v>1</v>
      </c>
      <c r="P2979" s="12" t="n"/>
      <c r="Q2979" s="12" t="n"/>
      <c r="R2979" s="12" t="n"/>
      <c r="S2979" s="12" t="inlineStr">
        <is>
          <t>Duct bank</t>
        </is>
      </c>
      <c r="T2979" s="16" t="n">
        <v>460</v>
      </c>
      <c r="U2979" s="16" t="n">
        <v>32</v>
      </c>
      <c r="V2979" s="16">
        <f>ROUNDUP((T2979+U2979+2*'Read Me'!$B$13)*(1+'Read Me'!$B$12),-1)</f>
        <v/>
      </c>
      <c r="W2979" s="16">
        <f>V2979*N2979*O2979</f>
        <v/>
      </c>
      <c r="X2979" s="12">
        <f>IF(LEFT(I2979,2)="MV",2*N2979*IF(L2979="1/C",O2979,1),0)</f>
        <v/>
      </c>
      <c r="Y2979" s="12">
        <f>IF(OR(LEFT(K2979,4)="LVAX",LEFT(K2979,6)="MV15AX",LEFT(K2979,4)="CTAX",LEFT(K2979,2)="W|"),2*N2979*O2979,0)</f>
        <v/>
      </c>
      <c r="Z2979" s="12" t="inlineStr"/>
      <c r="AA2979" s="12">
        <f>N2979*O2979</f>
        <v/>
      </c>
    </row>
    <row r="2980">
      <c r="A2980" s="12" t="inlineStr">
        <is>
          <t>G-C-0038</t>
        </is>
      </c>
      <c r="B2980" s="12" t="inlineStr">
        <is>
          <t>G</t>
        </is>
      </c>
      <c r="C2980" s="12" t="inlineStr">
        <is>
          <t>Carbon capture</t>
        </is>
      </c>
      <c r="D2980" s="12" t="inlineStr">
        <is>
          <t>Motor 2 of 4: control / local station</t>
        </is>
      </c>
      <c r="E2980" s="12" t="inlineStr"/>
      <c r="F2980" s="12" t="inlineStr">
        <is>
          <t>CCS MV switchgear building (VFDs)</t>
        </is>
      </c>
      <c r="G2980" s="12" t="inlineStr">
        <is>
          <t>BF-A</t>
        </is>
      </c>
      <c r="H2980" s="12" t="inlineStr">
        <is>
          <t>BF-A: booster fan (~16 MW)</t>
        </is>
      </c>
      <c r="I2980" s="12" t="inlineStr">
        <is>
          <t>Control</t>
        </is>
      </c>
      <c r="J2980" s="12" t="inlineStr">
        <is>
          <t>Control cable 600 V Type TC-ER, Cu #14 AWG, PVC jacket</t>
        </is>
      </c>
      <c r="K2980" s="12" t="inlineStr">
        <is>
          <t>CT|7/C|14</t>
        </is>
      </c>
      <c r="L2980" s="12" t="inlineStr">
        <is>
          <t>7/C</t>
        </is>
      </c>
      <c r="M2980" s="12" t="inlineStr">
        <is>
          <t>14</t>
        </is>
      </c>
      <c r="N2980" s="12" t="n">
        <v>1</v>
      </c>
      <c r="O2980" s="12" t="n">
        <v>1</v>
      </c>
      <c r="P2980" s="12" t="n"/>
      <c r="Q2980" s="12" t="n"/>
      <c r="R2980" s="12" t="n"/>
      <c r="S2980" s="12" t="inlineStr">
        <is>
          <t>Duct bank</t>
        </is>
      </c>
      <c r="T2980" s="16" t="n">
        <v>460</v>
      </c>
      <c r="U2980" s="16" t="n">
        <v>32</v>
      </c>
      <c r="V2980" s="16">
        <f>ROUNDUP((T2980+U2980+2*'Read Me'!$B$13)*(1+'Read Me'!$B$12),-1)</f>
        <v/>
      </c>
      <c r="W2980" s="16">
        <f>V2980*N2980*O2980</f>
        <v/>
      </c>
      <c r="X2980" s="12">
        <f>IF(LEFT(I2980,2)="MV",2*N2980*IF(L2980="1/C",O2980,1),0)</f>
        <v/>
      </c>
      <c r="Y2980" s="12">
        <f>IF(OR(LEFT(K2980,4)="LVAX",LEFT(K2980,6)="MV15AX",LEFT(K2980,4)="CTAX",LEFT(K2980,2)="W|"),2*N2980*O2980,0)</f>
        <v/>
      </c>
      <c r="Z2980" s="12" t="inlineStr"/>
      <c r="AA2980" s="12">
        <f>N2980*O2980</f>
        <v/>
      </c>
    </row>
    <row r="2981">
      <c r="A2981" s="12" t="inlineStr">
        <is>
          <t>G-C-0039</t>
        </is>
      </c>
      <c r="B2981" s="12" t="inlineStr">
        <is>
          <t>G</t>
        </is>
      </c>
      <c r="C2981" s="12" t="inlineStr">
        <is>
          <t>Carbon capture</t>
        </is>
      </c>
      <c r="D2981" s="12" t="inlineStr">
        <is>
          <t>Motor 3 of 4: control / local station</t>
        </is>
      </c>
      <c r="E2981" s="12" t="inlineStr"/>
      <c r="F2981" s="12" t="inlineStr">
        <is>
          <t>CCS MV switchgear building (VFDs)</t>
        </is>
      </c>
      <c r="G2981" s="12" t="inlineStr">
        <is>
          <t>BF-A</t>
        </is>
      </c>
      <c r="H2981" s="12" t="inlineStr">
        <is>
          <t>BF-A: booster fan (~16 MW)</t>
        </is>
      </c>
      <c r="I2981" s="12" t="inlineStr">
        <is>
          <t>Control</t>
        </is>
      </c>
      <c r="J2981" s="12" t="inlineStr">
        <is>
          <t>Control cable 600 V Type TC-ER, Cu #14 AWG, PVC jacket</t>
        </is>
      </c>
      <c r="K2981" s="12" t="inlineStr">
        <is>
          <t>CT|7/C|14</t>
        </is>
      </c>
      <c r="L2981" s="12" t="inlineStr">
        <is>
          <t>7/C</t>
        </is>
      </c>
      <c r="M2981" s="12" t="inlineStr">
        <is>
          <t>14</t>
        </is>
      </c>
      <c r="N2981" s="12" t="n">
        <v>1</v>
      </c>
      <c r="O2981" s="12" t="n">
        <v>1</v>
      </c>
      <c r="P2981" s="12" t="n"/>
      <c r="Q2981" s="12" t="n"/>
      <c r="R2981" s="12" t="n"/>
      <c r="S2981" s="12" t="inlineStr">
        <is>
          <t>Duct bank</t>
        </is>
      </c>
      <c r="T2981" s="16" t="n">
        <v>460</v>
      </c>
      <c r="U2981" s="16" t="n">
        <v>32</v>
      </c>
      <c r="V2981" s="16">
        <f>ROUNDUP((T2981+U2981+2*'Read Me'!$B$13)*(1+'Read Me'!$B$12),-1)</f>
        <v/>
      </c>
      <c r="W2981" s="16">
        <f>V2981*N2981*O2981</f>
        <v/>
      </c>
      <c r="X2981" s="12">
        <f>IF(LEFT(I2981,2)="MV",2*N2981*IF(L2981="1/C",O2981,1),0)</f>
        <v/>
      </c>
      <c r="Y2981" s="12">
        <f>IF(OR(LEFT(K2981,4)="LVAX",LEFT(K2981,6)="MV15AX",LEFT(K2981,4)="CTAX",LEFT(K2981,2)="W|"),2*N2981*O2981,0)</f>
        <v/>
      </c>
      <c r="Z2981" s="12" t="inlineStr"/>
      <c r="AA2981" s="12">
        <f>N2981*O2981</f>
        <v/>
      </c>
    </row>
    <row r="2982">
      <c r="A2982" s="12" t="inlineStr">
        <is>
          <t>G-C-0040</t>
        </is>
      </c>
      <c r="B2982" s="12" t="inlineStr">
        <is>
          <t>G</t>
        </is>
      </c>
      <c r="C2982" s="12" t="inlineStr">
        <is>
          <t>Carbon capture</t>
        </is>
      </c>
      <c r="D2982" s="12" t="inlineStr">
        <is>
          <t>Motor 4 of 4: control / local station</t>
        </is>
      </c>
      <c r="E2982" s="12" t="inlineStr"/>
      <c r="F2982" s="12" t="inlineStr">
        <is>
          <t>CCS MV switchgear building (VFDs)</t>
        </is>
      </c>
      <c r="G2982" s="12" t="inlineStr">
        <is>
          <t>BF-A</t>
        </is>
      </c>
      <c r="H2982" s="12" t="inlineStr">
        <is>
          <t>BF-A: booster fan (~16 MW)</t>
        </is>
      </c>
      <c r="I2982" s="12" t="inlineStr">
        <is>
          <t>Control</t>
        </is>
      </c>
      <c r="J2982" s="12" t="inlineStr">
        <is>
          <t>Control cable 600 V Type TC-ER, Cu #14 AWG, PVC jacket</t>
        </is>
      </c>
      <c r="K2982" s="12" t="inlineStr">
        <is>
          <t>CT|7/C|14</t>
        </is>
      </c>
      <c r="L2982" s="12" t="inlineStr">
        <is>
          <t>7/C</t>
        </is>
      </c>
      <c r="M2982" s="12" t="inlineStr">
        <is>
          <t>14</t>
        </is>
      </c>
      <c r="N2982" s="12" t="n">
        <v>1</v>
      </c>
      <c r="O2982" s="12" t="n">
        <v>1</v>
      </c>
      <c r="P2982" s="12" t="n"/>
      <c r="Q2982" s="12" t="n"/>
      <c r="R2982" s="12" t="n"/>
      <c r="S2982" s="12" t="inlineStr">
        <is>
          <t>Duct bank</t>
        </is>
      </c>
      <c r="T2982" s="16" t="n">
        <v>460</v>
      </c>
      <c r="U2982" s="16" t="n">
        <v>32</v>
      </c>
      <c r="V2982" s="16">
        <f>ROUNDUP((T2982+U2982+2*'Read Me'!$B$13)*(1+'Read Me'!$B$12),-1)</f>
        <v/>
      </c>
      <c r="W2982" s="16">
        <f>V2982*N2982*O2982</f>
        <v/>
      </c>
      <c r="X2982" s="12">
        <f>IF(LEFT(I2982,2)="MV",2*N2982*IF(L2982="1/C",O2982,1),0)</f>
        <v/>
      </c>
      <c r="Y2982" s="12">
        <f>IF(OR(LEFT(K2982,4)="LVAX",LEFT(K2982,6)="MV15AX",LEFT(K2982,4)="CTAX",LEFT(K2982,2)="W|"),2*N2982*O2982,0)</f>
        <v/>
      </c>
      <c r="Z2982" s="12" t="inlineStr"/>
      <c r="AA2982" s="12">
        <f>N2982*O2982</f>
        <v/>
      </c>
    </row>
    <row r="2983">
      <c r="A2983" s="12" t="inlineStr">
        <is>
          <t>G-C-0041</t>
        </is>
      </c>
      <c r="B2983" s="12" t="inlineStr">
        <is>
          <t>G</t>
        </is>
      </c>
      <c r="C2983" s="12" t="inlineStr">
        <is>
          <t>Carbon capture</t>
        </is>
      </c>
      <c r="D2983" s="12" t="inlineStr">
        <is>
          <t>Motor 1 of 4: control / local station</t>
        </is>
      </c>
      <c r="E2983" s="12" t="inlineStr"/>
      <c r="F2983" s="12" t="inlineStr">
        <is>
          <t>CCS MV switchgear building (VFDs)</t>
        </is>
      </c>
      <c r="G2983" s="12" t="inlineStr">
        <is>
          <t>BF-B</t>
        </is>
      </c>
      <c r="H2983" s="12" t="inlineStr">
        <is>
          <t>BF-B: booster fan (~16 MW)</t>
        </is>
      </c>
      <c r="I2983" s="12" t="inlineStr">
        <is>
          <t>Control</t>
        </is>
      </c>
      <c r="J2983" s="12" t="inlineStr">
        <is>
          <t>Control cable 600 V Type TC-ER, Cu #14 AWG, PVC jacket</t>
        </is>
      </c>
      <c r="K2983" s="12" t="inlineStr">
        <is>
          <t>CT|7/C|14</t>
        </is>
      </c>
      <c r="L2983" s="12" t="inlineStr">
        <is>
          <t>7/C</t>
        </is>
      </c>
      <c r="M2983" s="12" t="inlineStr">
        <is>
          <t>14</t>
        </is>
      </c>
      <c r="N2983" s="12" t="n">
        <v>1</v>
      </c>
      <c r="O2983" s="12" t="n">
        <v>1</v>
      </c>
      <c r="P2983" s="12" t="n"/>
      <c r="Q2983" s="12" t="n"/>
      <c r="R2983" s="12" t="n"/>
      <c r="S2983" s="12" t="inlineStr">
        <is>
          <t>Duct bank</t>
        </is>
      </c>
      <c r="T2983" s="16" t="n">
        <v>300</v>
      </c>
      <c r="U2983" s="16" t="n">
        <v>32</v>
      </c>
      <c r="V2983" s="16">
        <f>ROUNDUP((T2983+U2983+2*'Read Me'!$B$13)*(1+'Read Me'!$B$12),-1)</f>
        <v/>
      </c>
      <c r="W2983" s="16">
        <f>V2983*N2983*O2983</f>
        <v/>
      </c>
      <c r="X2983" s="12">
        <f>IF(LEFT(I2983,2)="MV",2*N2983*IF(L2983="1/C",O2983,1),0)</f>
        <v/>
      </c>
      <c r="Y2983" s="12">
        <f>IF(OR(LEFT(K2983,4)="LVAX",LEFT(K2983,6)="MV15AX",LEFT(K2983,4)="CTAX",LEFT(K2983,2)="W|"),2*N2983*O2983,0)</f>
        <v/>
      </c>
      <c r="Z2983" s="12" t="inlineStr"/>
      <c r="AA2983" s="12">
        <f>N2983*O2983</f>
        <v/>
      </c>
    </row>
    <row r="2984">
      <c r="A2984" s="12" t="inlineStr">
        <is>
          <t>G-C-0042</t>
        </is>
      </c>
      <c r="B2984" s="12" t="inlineStr">
        <is>
          <t>G</t>
        </is>
      </c>
      <c r="C2984" s="12" t="inlineStr">
        <is>
          <t>Carbon capture</t>
        </is>
      </c>
      <c r="D2984" s="12" t="inlineStr">
        <is>
          <t>Motor 2 of 4: control / local station</t>
        </is>
      </c>
      <c r="E2984" s="12" t="inlineStr"/>
      <c r="F2984" s="12" t="inlineStr">
        <is>
          <t>CCS MV switchgear building (VFDs)</t>
        </is>
      </c>
      <c r="G2984" s="12" t="inlineStr">
        <is>
          <t>BF-B</t>
        </is>
      </c>
      <c r="H2984" s="12" t="inlineStr">
        <is>
          <t>BF-B: booster fan (~16 MW)</t>
        </is>
      </c>
      <c r="I2984" s="12" t="inlineStr">
        <is>
          <t>Control</t>
        </is>
      </c>
      <c r="J2984" s="12" t="inlineStr">
        <is>
          <t>Control cable 600 V Type TC-ER, Cu #14 AWG, PVC jacket</t>
        </is>
      </c>
      <c r="K2984" s="12" t="inlineStr">
        <is>
          <t>CT|7/C|14</t>
        </is>
      </c>
      <c r="L2984" s="12" t="inlineStr">
        <is>
          <t>7/C</t>
        </is>
      </c>
      <c r="M2984" s="12" t="inlineStr">
        <is>
          <t>14</t>
        </is>
      </c>
      <c r="N2984" s="12" t="n">
        <v>1</v>
      </c>
      <c r="O2984" s="12" t="n">
        <v>1</v>
      </c>
      <c r="P2984" s="12" t="n"/>
      <c r="Q2984" s="12" t="n"/>
      <c r="R2984" s="12" t="n"/>
      <c r="S2984" s="12" t="inlineStr">
        <is>
          <t>Duct bank</t>
        </is>
      </c>
      <c r="T2984" s="16" t="n">
        <v>300</v>
      </c>
      <c r="U2984" s="16" t="n">
        <v>32</v>
      </c>
      <c r="V2984" s="16">
        <f>ROUNDUP((T2984+U2984+2*'Read Me'!$B$13)*(1+'Read Me'!$B$12),-1)</f>
        <v/>
      </c>
      <c r="W2984" s="16">
        <f>V2984*N2984*O2984</f>
        <v/>
      </c>
      <c r="X2984" s="12">
        <f>IF(LEFT(I2984,2)="MV",2*N2984*IF(L2984="1/C",O2984,1),0)</f>
        <v/>
      </c>
      <c r="Y2984" s="12">
        <f>IF(OR(LEFT(K2984,4)="LVAX",LEFT(K2984,6)="MV15AX",LEFT(K2984,4)="CTAX",LEFT(K2984,2)="W|"),2*N2984*O2984,0)</f>
        <v/>
      </c>
      <c r="Z2984" s="12" t="inlineStr"/>
      <c r="AA2984" s="12">
        <f>N2984*O2984</f>
        <v/>
      </c>
    </row>
    <row r="2985">
      <c r="A2985" s="12" t="inlineStr">
        <is>
          <t>G-C-0043</t>
        </is>
      </c>
      <c r="B2985" s="12" t="inlineStr">
        <is>
          <t>G</t>
        </is>
      </c>
      <c r="C2985" s="12" t="inlineStr">
        <is>
          <t>Carbon capture</t>
        </is>
      </c>
      <c r="D2985" s="12" t="inlineStr">
        <is>
          <t>Motor 3 of 4: control / local station</t>
        </is>
      </c>
      <c r="E2985" s="12" t="inlineStr"/>
      <c r="F2985" s="12" t="inlineStr">
        <is>
          <t>CCS MV switchgear building (VFDs)</t>
        </is>
      </c>
      <c r="G2985" s="12" t="inlineStr">
        <is>
          <t>BF-B</t>
        </is>
      </c>
      <c r="H2985" s="12" t="inlineStr">
        <is>
          <t>BF-B: booster fan (~16 MW)</t>
        </is>
      </c>
      <c r="I2985" s="12" t="inlineStr">
        <is>
          <t>Control</t>
        </is>
      </c>
      <c r="J2985" s="12" t="inlineStr">
        <is>
          <t>Control cable 600 V Type TC-ER, Cu #14 AWG, PVC jacket</t>
        </is>
      </c>
      <c r="K2985" s="12" t="inlineStr">
        <is>
          <t>CT|7/C|14</t>
        </is>
      </c>
      <c r="L2985" s="12" t="inlineStr">
        <is>
          <t>7/C</t>
        </is>
      </c>
      <c r="M2985" s="12" t="inlineStr">
        <is>
          <t>14</t>
        </is>
      </c>
      <c r="N2985" s="12" t="n">
        <v>1</v>
      </c>
      <c r="O2985" s="12" t="n">
        <v>1</v>
      </c>
      <c r="P2985" s="12" t="n"/>
      <c r="Q2985" s="12" t="n"/>
      <c r="R2985" s="12" t="n"/>
      <c r="S2985" s="12" t="inlineStr">
        <is>
          <t>Duct bank</t>
        </is>
      </c>
      <c r="T2985" s="16" t="n">
        <v>300</v>
      </c>
      <c r="U2985" s="16" t="n">
        <v>32</v>
      </c>
      <c r="V2985" s="16">
        <f>ROUNDUP((T2985+U2985+2*'Read Me'!$B$13)*(1+'Read Me'!$B$12),-1)</f>
        <v/>
      </c>
      <c r="W2985" s="16">
        <f>V2985*N2985*O2985</f>
        <v/>
      </c>
      <c r="X2985" s="12">
        <f>IF(LEFT(I2985,2)="MV",2*N2985*IF(L2985="1/C",O2985,1),0)</f>
        <v/>
      </c>
      <c r="Y2985" s="12">
        <f>IF(OR(LEFT(K2985,4)="LVAX",LEFT(K2985,6)="MV15AX",LEFT(K2985,4)="CTAX",LEFT(K2985,2)="W|"),2*N2985*O2985,0)</f>
        <v/>
      </c>
      <c r="Z2985" s="12" t="inlineStr"/>
      <c r="AA2985" s="12">
        <f>N2985*O2985</f>
        <v/>
      </c>
    </row>
    <row r="2986">
      <c r="A2986" s="12" t="inlineStr">
        <is>
          <t>G-C-0044</t>
        </is>
      </c>
      <c r="B2986" s="12" t="inlineStr">
        <is>
          <t>G</t>
        </is>
      </c>
      <c r="C2986" s="12" t="inlineStr">
        <is>
          <t>Carbon capture</t>
        </is>
      </c>
      <c r="D2986" s="12" t="inlineStr">
        <is>
          <t>Motor 4 of 4: control / local station</t>
        </is>
      </c>
      <c r="E2986" s="12" t="inlineStr"/>
      <c r="F2986" s="12" t="inlineStr">
        <is>
          <t>CCS MV switchgear building (VFDs)</t>
        </is>
      </c>
      <c r="G2986" s="12" t="inlineStr">
        <is>
          <t>BF-B</t>
        </is>
      </c>
      <c r="H2986" s="12" t="inlineStr">
        <is>
          <t>BF-B: booster fan (~16 MW)</t>
        </is>
      </c>
      <c r="I2986" s="12" t="inlineStr">
        <is>
          <t>Control</t>
        </is>
      </c>
      <c r="J2986" s="12" t="inlineStr">
        <is>
          <t>Control cable 600 V Type TC-ER, Cu #14 AWG, PVC jacket</t>
        </is>
      </c>
      <c r="K2986" s="12" t="inlineStr">
        <is>
          <t>CT|7/C|14</t>
        </is>
      </c>
      <c r="L2986" s="12" t="inlineStr">
        <is>
          <t>7/C</t>
        </is>
      </c>
      <c r="M2986" s="12" t="inlineStr">
        <is>
          <t>14</t>
        </is>
      </c>
      <c r="N2986" s="12" t="n">
        <v>1</v>
      </c>
      <c r="O2986" s="12" t="n">
        <v>1</v>
      </c>
      <c r="P2986" s="12" t="n"/>
      <c r="Q2986" s="12" t="n"/>
      <c r="R2986" s="12" t="n"/>
      <c r="S2986" s="12" t="inlineStr">
        <is>
          <t>Duct bank</t>
        </is>
      </c>
      <c r="T2986" s="16" t="n">
        <v>300</v>
      </c>
      <c r="U2986" s="16" t="n">
        <v>32</v>
      </c>
      <c r="V2986" s="16">
        <f>ROUNDUP((T2986+U2986+2*'Read Me'!$B$13)*(1+'Read Me'!$B$12),-1)</f>
        <v/>
      </c>
      <c r="W2986" s="16">
        <f>V2986*N2986*O2986</f>
        <v/>
      </c>
      <c r="X2986" s="12">
        <f>IF(LEFT(I2986,2)="MV",2*N2986*IF(L2986="1/C",O2986,1),0)</f>
        <v/>
      </c>
      <c r="Y2986" s="12">
        <f>IF(OR(LEFT(K2986,4)="LVAX",LEFT(K2986,6)="MV15AX",LEFT(K2986,4)="CTAX",LEFT(K2986,2)="W|"),2*N2986*O2986,0)</f>
        <v/>
      </c>
      <c r="Z2986" s="12" t="inlineStr"/>
      <c r="AA2986" s="12">
        <f>N2986*O2986</f>
        <v/>
      </c>
    </row>
    <row r="2987">
      <c r="A2987" s="12" t="inlineStr">
        <is>
          <t>G-C-0045</t>
        </is>
      </c>
      <c r="B2987" s="12" t="inlineStr">
        <is>
          <t>G</t>
        </is>
      </c>
      <c r="C2987" s="12" t="inlineStr">
        <is>
          <t>Carbon capture</t>
        </is>
      </c>
      <c r="D2987" s="12" t="inlineStr">
        <is>
          <t>Motor 1 of 4: control / local station</t>
        </is>
      </c>
      <c r="E2987" s="12" t="inlineStr"/>
      <c r="F2987" s="12" t="inlineStr">
        <is>
          <t>CCS MV switchgear building (VFDs)</t>
        </is>
      </c>
      <c r="G2987" s="12" t="inlineStr">
        <is>
          <t>BF-C</t>
        </is>
      </c>
      <c r="H2987" s="12" t="inlineStr">
        <is>
          <t>BF-C: booster fan (~16 MW)</t>
        </is>
      </c>
      <c r="I2987" s="12" t="inlineStr">
        <is>
          <t>Control</t>
        </is>
      </c>
      <c r="J2987" s="12" t="inlineStr">
        <is>
          <t>Control cable 600 V Type TC-ER, Cu #14 AWG, PVC jacket</t>
        </is>
      </c>
      <c r="K2987" s="12" t="inlineStr">
        <is>
          <t>CT|7/C|14</t>
        </is>
      </c>
      <c r="L2987" s="12" t="inlineStr">
        <is>
          <t>7/C</t>
        </is>
      </c>
      <c r="M2987" s="12" t="inlineStr">
        <is>
          <t>14</t>
        </is>
      </c>
      <c r="N2987" s="12" t="n">
        <v>1</v>
      </c>
      <c r="O2987" s="12" t="n">
        <v>1</v>
      </c>
      <c r="P2987" s="12" t="n"/>
      <c r="Q2987" s="12" t="n"/>
      <c r="R2987" s="12" t="n"/>
      <c r="S2987" s="12" t="inlineStr">
        <is>
          <t>Tray</t>
        </is>
      </c>
      <c r="T2987" s="16" t="n">
        <v>16</v>
      </c>
      <c r="U2987" s="16" t="n">
        <v>150</v>
      </c>
      <c r="V2987" s="16">
        <f>ROUNDUP((T2987+U2987+2*'Read Me'!$B$13)*(1+'Read Me'!$B$12),-1)</f>
        <v/>
      </c>
      <c r="W2987" s="16">
        <f>V2987*N2987*O2987</f>
        <v/>
      </c>
      <c r="X2987" s="12">
        <f>IF(LEFT(I2987,2)="MV",2*N2987*IF(L2987="1/C",O2987,1),0)</f>
        <v/>
      </c>
      <c r="Y2987" s="12">
        <f>IF(OR(LEFT(K2987,4)="LVAX",LEFT(K2987,6)="MV15AX",LEFT(K2987,4)="CTAX",LEFT(K2987,2)="W|"),2*N2987*O2987,0)</f>
        <v/>
      </c>
      <c r="Z2987" s="12" t="inlineStr"/>
      <c r="AA2987" s="12">
        <f>N2987*O2987</f>
        <v/>
      </c>
    </row>
    <row r="2988">
      <c r="A2988" s="12" t="inlineStr">
        <is>
          <t>G-C-0046</t>
        </is>
      </c>
      <c r="B2988" s="12" t="inlineStr">
        <is>
          <t>G</t>
        </is>
      </c>
      <c r="C2988" s="12" t="inlineStr">
        <is>
          <t>Carbon capture</t>
        </is>
      </c>
      <c r="D2988" s="12" t="inlineStr">
        <is>
          <t>Motor 2 of 4: control / local station</t>
        </is>
      </c>
      <c r="E2988" s="12" t="inlineStr"/>
      <c r="F2988" s="12" t="inlineStr">
        <is>
          <t>CCS MV switchgear building (VFDs)</t>
        </is>
      </c>
      <c r="G2988" s="12" t="inlineStr">
        <is>
          <t>BF-C</t>
        </is>
      </c>
      <c r="H2988" s="12" t="inlineStr">
        <is>
          <t>BF-C: booster fan (~16 MW)</t>
        </is>
      </c>
      <c r="I2988" s="12" t="inlineStr">
        <is>
          <t>Control</t>
        </is>
      </c>
      <c r="J2988" s="12" t="inlineStr">
        <is>
          <t>Control cable 600 V Type TC-ER, Cu #14 AWG, PVC jacket</t>
        </is>
      </c>
      <c r="K2988" s="12" t="inlineStr">
        <is>
          <t>CT|7/C|14</t>
        </is>
      </c>
      <c r="L2988" s="12" t="inlineStr">
        <is>
          <t>7/C</t>
        </is>
      </c>
      <c r="M2988" s="12" t="inlineStr">
        <is>
          <t>14</t>
        </is>
      </c>
      <c r="N2988" s="12" t="n">
        <v>1</v>
      </c>
      <c r="O2988" s="12" t="n">
        <v>1</v>
      </c>
      <c r="P2988" s="12" t="n"/>
      <c r="Q2988" s="12" t="n"/>
      <c r="R2988" s="12" t="n"/>
      <c r="S2988" s="12" t="inlineStr">
        <is>
          <t>Tray</t>
        </is>
      </c>
      <c r="T2988" s="16" t="n">
        <v>16</v>
      </c>
      <c r="U2988" s="16" t="n">
        <v>150</v>
      </c>
      <c r="V2988" s="16">
        <f>ROUNDUP((T2988+U2988+2*'Read Me'!$B$13)*(1+'Read Me'!$B$12),-1)</f>
        <v/>
      </c>
      <c r="W2988" s="16">
        <f>V2988*N2988*O2988</f>
        <v/>
      </c>
      <c r="X2988" s="12">
        <f>IF(LEFT(I2988,2)="MV",2*N2988*IF(L2988="1/C",O2988,1),0)</f>
        <v/>
      </c>
      <c r="Y2988" s="12">
        <f>IF(OR(LEFT(K2988,4)="LVAX",LEFT(K2988,6)="MV15AX",LEFT(K2988,4)="CTAX",LEFT(K2988,2)="W|"),2*N2988*O2988,0)</f>
        <v/>
      </c>
      <c r="Z2988" s="12" t="inlineStr"/>
      <c r="AA2988" s="12">
        <f>N2988*O2988</f>
        <v/>
      </c>
    </row>
    <row r="2989">
      <c r="A2989" s="12" t="inlineStr">
        <is>
          <t>G-C-0047</t>
        </is>
      </c>
      <c r="B2989" s="12" t="inlineStr">
        <is>
          <t>G</t>
        </is>
      </c>
      <c r="C2989" s="12" t="inlineStr">
        <is>
          <t>Carbon capture</t>
        </is>
      </c>
      <c r="D2989" s="12" t="inlineStr">
        <is>
          <t>Motor 3 of 4: control / local station</t>
        </is>
      </c>
      <c r="E2989" s="12" t="inlineStr"/>
      <c r="F2989" s="12" t="inlineStr">
        <is>
          <t>CCS MV switchgear building (VFDs)</t>
        </is>
      </c>
      <c r="G2989" s="12" t="inlineStr">
        <is>
          <t>BF-C</t>
        </is>
      </c>
      <c r="H2989" s="12" t="inlineStr">
        <is>
          <t>BF-C: booster fan (~16 MW)</t>
        </is>
      </c>
      <c r="I2989" s="12" t="inlineStr">
        <is>
          <t>Control</t>
        </is>
      </c>
      <c r="J2989" s="12" t="inlineStr">
        <is>
          <t>Control cable 600 V Type TC-ER, Cu #14 AWG, PVC jacket</t>
        </is>
      </c>
      <c r="K2989" s="12" t="inlineStr">
        <is>
          <t>CT|7/C|14</t>
        </is>
      </c>
      <c r="L2989" s="12" t="inlineStr">
        <is>
          <t>7/C</t>
        </is>
      </c>
      <c r="M2989" s="12" t="inlineStr">
        <is>
          <t>14</t>
        </is>
      </c>
      <c r="N2989" s="12" t="n">
        <v>1</v>
      </c>
      <c r="O2989" s="12" t="n">
        <v>1</v>
      </c>
      <c r="P2989" s="12" t="n"/>
      <c r="Q2989" s="12" t="n"/>
      <c r="R2989" s="12" t="n"/>
      <c r="S2989" s="12" t="inlineStr">
        <is>
          <t>Tray</t>
        </is>
      </c>
      <c r="T2989" s="16" t="n">
        <v>16</v>
      </c>
      <c r="U2989" s="16" t="n">
        <v>150</v>
      </c>
      <c r="V2989" s="16">
        <f>ROUNDUP((T2989+U2989+2*'Read Me'!$B$13)*(1+'Read Me'!$B$12),-1)</f>
        <v/>
      </c>
      <c r="W2989" s="16">
        <f>V2989*N2989*O2989</f>
        <v/>
      </c>
      <c r="X2989" s="12">
        <f>IF(LEFT(I2989,2)="MV",2*N2989*IF(L2989="1/C",O2989,1),0)</f>
        <v/>
      </c>
      <c r="Y2989" s="12">
        <f>IF(OR(LEFT(K2989,4)="LVAX",LEFT(K2989,6)="MV15AX",LEFT(K2989,4)="CTAX",LEFT(K2989,2)="W|"),2*N2989*O2989,0)</f>
        <v/>
      </c>
      <c r="Z2989" s="12" t="inlineStr"/>
      <c r="AA2989" s="12">
        <f>N2989*O2989</f>
        <v/>
      </c>
    </row>
    <row r="2990">
      <c r="A2990" s="12" t="inlineStr">
        <is>
          <t>G-C-0048</t>
        </is>
      </c>
      <c r="B2990" s="12" t="inlineStr">
        <is>
          <t>G</t>
        </is>
      </c>
      <c r="C2990" s="12" t="inlineStr">
        <is>
          <t>Carbon capture</t>
        </is>
      </c>
      <c r="D2990" s="12" t="inlineStr">
        <is>
          <t>Motor 4 of 4: control / local station</t>
        </is>
      </c>
      <c r="E2990" s="12" t="inlineStr"/>
      <c r="F2990" s="12" t="inlineStr">
        <is>
          <t>CCS MV switchgear building (VFDs)</t>
        </is>
      </c>
      <c r="G2990" s="12" t="inlineStr">
        <is>
          <t>BF-C</t>
        </is>
      </c>
      <c r="H2990" s="12" t="inlineStr">
        <is>
          <t>BF-C: booster fan (~16 MW)</t>
        </is>
      </c>
      <c r="I2990" s="12" t="inlineStr">
        <is>
          <t>Control</t>
        </is>
      </c>
      <c r="J2990" s="12" t="inlineStr">
        <is>
          <t>Control cable 600 V Type TC-ER, Cu #14 AWG, PVC jacket</t>
        </is>
      </c>
      <c r="K2990" s="12" t="inlineStr">
        <is>
          <t>CT|7/C|14</t>
        </is>
      </c>
      <c r="L2990" s="12" t="inlineStr">
        <is>
          <t>7/C</t>
        </is>
      </c>
      <c r="M2990" s="12" t="inlineStr">
        <is>
          <t>14</t>
        </is>
      </c>
      <c r="N2990" s="12" t="n">
        <v>1</v>
      </c>
      <c r="O2990" s="12" t="n">
        <v>1</v>
      </c>
      <c r="P2990" s="12" t="n"/>
      <c r="Q2990" s="12" t="n"/>
      <c r="R2990" s="12" t="n"/>
      <c r="S2990" s="12" t="inlineStr">
        <is>
          <t>Tray</t>
        </is>
      </c>
      <c r="T2990" s="16" t="n">
        <v>16</v>
      </c>
      <c r="U2990" s="16" t="n">
        <v>150</v>
      </c>
      <c r="V2990" s="16">
        <f>ROUNDUP((T2990+U2990+2*'Read Me'!$B$13)*(1+'Read Me'!$B$12),-1)</f>
        <v/>
      </c>
      <c r="W2990" s="16">
        <f>V2990*N2990*O2990</f>
        <v/>
      </c>
      <c r="X2990" s="12">
        <f>IF(LEFT(I2990,2)="MV",2*N2990*IF(L2990="1/C",O2990,1),0)</f>
        <v/>
      </c>
      <c r="Y2990" s="12">
        <f>IF(OR(LEFT(K2990,4)="LVAX",LEFT(K2990,6)="MV15AX",LEFT(K2990,4)="CTAX",LEFT(K2990,2)="W|"),2*N2990*O2990,0)</f>
        <v/>
      </c>
      <c r="Z2990" s="12" t="inlineStr"/>
      <c r="AA2990" s="12">
        <f>N2990*O2990</f>
        <v/>
      </c>
    </row>
    <row r="2991">
      <c r="A2991" s="12" t="inlineStr">
        <is>
          <t>G-C-0049</t>
        </is>
      </c>
      <c r="B2991" s="12" t="inlineStr">
        <is>
          <t>G</t>
        </is>
      </c>
      <c r="C2991" s="12" t="inlineStr">
        <is>
          <t>Carbon capture</t>
        </is>
      </c>
      <c r="D2991" s="12" t="inlineStr">
        <is>
          <t>Control</t>
        </is>
      </c>
      <c r="E2991" s="12" t="inlineStr"/>
      <c r="F2991" s="12" t="inlineStr">
        <is>
          <t>CCS F&amp;G / control</t>
        </is>
      </c>
      <c r="G2991" s="12" t="inlineStr"/>
      <c r="H2991" s="12" t="inlineStr">
        <is>
          <t>CCS F&amp;G / control</t>
        </is>
      </c>
      <c r="I2991" s="12" t="inlineStr">
        <is>
          <t>Control</t>
        </is>
      </c>
      <c r="J2991" s="12" t="inlineStr">
        <is>
          <t>Control cable 600 V Type TC-ER, Cu #14 AWG, PVC jacket</t>
        </is>
      </c>
      <c r="K2991" s="12" t="inlineStr">
        <is>
          <t>CT|7/C|14</t>
        </is>
      </c>
      <c r="L2991" s="12" t="inlineStr">
        <is>
          <t>7/C</t>
        </is>
      </c>
      <c r="M2991" s="12" t="inlineStr">
        <is>
          <t>14</t>
        </is>
      </c>
      <c r="N2991" s="12" t="n">
        <v>1</v>
      </c>
      <c r="O2991" s="12" t="n">
        <v>1</v>
      </c>
      <c r="P2991" s="12" t="n"/>
      <c r="Q2991" s="12" t="n"/>
      <c r="R2991" s="12" t="n"/>
      <c r="S2991" s="12" t="inlineStr">
        <is>
          <t>Tray</t>
        </is>
      </c>
      <c r="T2991" s="16" t="n">
        <v>0</v>
      </c>
      <c r="U2991" s="16" t="n">
        <v>170</v>
      </c>
      <c r="V2991" s="16">
        <f>ROUNDUP((T2991+U2991+2*'Read Me'!$B$13)*(1+'Read Me'!$B$12),-1)</f>
        <v/>
      </c>
      <c r="W2991" s="16">
        <f>V2991*N2991*O2991</f>
        <v/>
      </c>
      <c r="X2991" s="12">
        <f>IF(LEFT(I2991,2)="MV",2*N2991*IF(L2991="1/C",O2991,1),0)</f>
        <v/>
      </c>
      <c r="Y2991" s="12">
        <f>IF(OR(LEFT(K2991,4)="LVAX",LEFT(K2991,6)="MV15AX",LEFT(K2991,4)="CTAX",LEFT(K2991,2)="W|"),2*N2991*O2991,0)</f>
        <v/>
      </c>
      <c r="Z2991" s="12" t="inlineStr"/>
      <c r="AA2991" s="12">
        <f>N2991*O2991</f>
        <v/>
      </c>
    </row>
    <row r="2992">
      <c r="A2992" s="12" t="inlineStr">
        <is>
          <t>G-C-0050</t>
        </is>
      </c>
      <c r="B2992" s="12" t="inlineStr">
        <is>
          <t>G</t>
        </is>
      </c>
      <c r="C2992" s="12" t="inlineStr">
        <is>
          <t>Carbon capture</t>
        </is>
      </c>
      <c r="D2992" s="12" t="inlineStr">
        <is>
          <t>Control</t>
        </is>
      </c>
      <c r="E2992" s="12" t="inlineStr"/>
      <c r="F2992" s="12" t="inlineStr">
        <is>
          <t>CCS F&amp;G / control</t>
        </is>
      </c>
      <c r="G2992" s="12" t="inlineStr"/>
      <c r="H2992" s="12" t="inlineStr">
        <is>
          <t>CCS MV switchgear building (VFDs)</t>
        </is>
      </c>
      <c r="I2992" s="12" t="inlineStr">
        <is>
          <t>Control</t>
        </is>
      </c>
      <c r="J2992" s="12" t="inlineStr">
        <is>
          <t>Control cable 600 V Type TC-ER, Cu #14 AWG, PVC jacket</t>
        </is>
      </c>
      <c r="K2992" s="12" t="inlineStr">
        <is>
          <t>CT|7/C|14</t>
        </is>
      </c>
      <c r="L2992" s="12" t="inlineStr">
        <is>
          <t>7/C</t>
        </is>
      </c>
      <c r="M2992" s="12" t="inlineStr">
        <is>
          <t>14</t>
        </is>
      </c>
      <c r="N2992" s="12" t="n">
        <v>1</v>
      </c>
      <c r="O2992" s="12" t="n">
        <v>1</v>
      </c>
      <c r="P2992" s="12" t="n"/>
      <c r="Q2992" s="12" t="n"/>
      <c r="R2992" s="12" t="n"/>
      <c r="S2992" s="12" t="inlineStr">
        <is>
          <t>Duct bank</t>
        </is>
      </c>
      <c r="T2992" s="16" t="n">
        <v>206</v>
      </c>
      <c r="U2992" s="16" t="n">
        <v>101</v>
      </c>
      <c r="V2992" s="16">
        <f>ROUNDUP((T2992+U2992+2*'Read Me'!$B$13)*(1+'Read Me'!$B$12),-1)</f>
        <v/>
      </c>
      <c r="W2992" s="16">
        <f>V2992*N2992*O2992</f>
        <v/>
      </c>
      <c r="X2992" s="12">
        <f>IF(LEFT(I2992,2)="MV",2*N2992*IF(L2992="1/C",O2992,1),0)</f>
        <v/>
      </c>
      <c r="Y2992" s="12">
        <f>IF(OR(LEFT(K2992,4)="LVAX",LEFT(K2992,6)="MV15AX",LEFT(K2992,4)="CTAX",LEFT(K2992,2)="W|"),2*N2992*O2992,0)</f>
        <v/>
      </c>
      <c r="Z2992" s="12" t="inlineStr"/>
      <c r="AA2992" s="12">
        <f>N2992*O2992</f>
        <v/>
      </c>
    </row>
    <row r="2993">
      <c r="A2993" s="12" t="inlineStr">
        <is>
          <t>G-C-0051</t>
        </is>
      </c>
      <c r="B2993" s="12" t="inlineStr">
        <is>
          <t>G</t>
        </is>
      </c>
      <c r="C2993" s="12" t="inlineStr">
        <is>
          <t>Carbon capture</t>
        </is>
      </c>
      <c r="D2993" s="12" t="inlineStr">
        <is>
          <t>Motor 1 of 6: control / local station</t>
        </is>
      </c>
      <c r="E2993" s="12" t="inlineStr"/>
      <c r="F2993" s="12" t="inlineStr">
        <is>
          <t>CCS MV switchgear building (VFDs)</t>
        </is>
      </c>
      <c r="G2993" s="12" t="inlineStr">
        <is>
          <t>CCS T-1</t>
        </is>
      </c>
      <c r="H2993" s="12" t="inlineStr">
        <is>
          <t>CCS T-1: 230/13.8 kV</t>
        </is>
      </c>
      <c r="I2993" s="12" t="inlineStr">
        <is>
          <t>Control</t>
        </is>
      </c>
      <c r="J2993" s="12" t="inlineStr">
        <is>
          <t>Control cable 600 V Type TC-ER, Cu #14 AWG, PVC jacket</t>
        </is>
      </c>
      <c r="K2993" s="12" t="inlineStr">
        <is>
          <t>CT|7/C|14</t>
        </is>
      </c>
      <c r="L2993" s="12" t="inlineStr">
        <is>
          <t>7/C</t>
        </is>
      </c>
      <c r="M2993" s="12" t="inlineStr">
        <is>
          <t>14</t>
        </is>
      </c>
      <c r="N2993" s="12" t="n">
        <v>1</v>
      </c>
      <c r="O2993" s="12" t="n">
        <v>1</v>
      </c>
      <c r="P2993" s="12" t="n"/>
      <c r="Q2993" s="12" t="n"/>
      <c r="R2993" s="12" t="n"/>
      <c r="S2993" s="12" t="inlineStr">
        <is>
          <t>Duct bank</t>
        </is>
      </c>
      <c r="T2993" s="16" t="n">
        <v>361</v>
      </c>
      <c r="U2993" s="16" t="n">
        <v>32</v>
      </c>
      <c r="V2993" s="16">
        <f>ROUNDUP((T2993+U2993+2*'Read Me'!$B$13)*(1+'Read Me'!$B$12),-1)</f>
        <v/>
      </c>
      <c r="W2993" s="16">
        <f>V2993*N2993*O2993</f>
        <v/>
      </c>
      <c r="X2993" s="12">
        <f>IF(LEFT(I2993,2)="MV",2*N2993*IF(L2993="1/C",O2993,1),0)</f>
        <v/>
      </c>
      <c r="Y2993" s="12">
        <f>IF(OR(LEFT(K2993,4)="LVAX",LEFT(K2993,6)="MV15AX",LEFT(K2993,4)="CTAX",LEFT(K2993,2)="W|"),2*N2993*O2993,0)</f>
        <v/>
      </c>
      <c r="Z2993" s="12" t="inlineStr"/>
      <c r="AA2993" s="12">
        <f>N2993*O2993</f>
        <v/>
      </c>
    </row>
    <row r="2994">
      <c r="A2994" s="12" t="inlineStr">
        <is>
          <t>G-C-0052</t>
        </is>
      </c>
      <c r="B2994" s="12" t="inlineStr">
        <is>
          <t>G</t>
        </is>
      </c>
      <c r="C2994" s="12" t="inlineStr">
        <is>
          <t>Carbon capture</t>
        </is>
      </c>
      <c r="D2994" s="12" t="inlineStr">
        <is>
          <t>Motor 2 of 6: control / local station</t>
        </is>
      </c>
      <c r="E2994" s="12" t="inlineStr"/>
      <c r="F2994" s="12" t="inlineStr">
        <is>
          <t>CCS MV switchgear building (VFDs)</t>
        </is>
      </c>
      <c r="G2994" s="12" t="inlineStr">
        <is>
          <t>CCS T-1</t>
        </is>
      </c>
      <c r="H2994" s="12" t="inlineStr">
        <is>
          <t>CCS T-1: 230/13.8 kV</t>
        </is>
      </c>
      <c r="I2994" s="12" t="inlineStr">
        <is>
          <t>Control</t>
        </is>
      </c>
      <c r="J2994" s="12" t="inlineStr">
        <is>
          <t>Control cable 600 V Type TC-ER, Cu #14 AWG, PVC jacket</t>
        </is>
      </c>
      <c r="K2994" s="12" t="inlineStr">
        <is>
          <t>CT|7/C|14</t>
        </is>
      </c>
      <c r="L2994" s="12" t="inlineStr">
        <is>
          <t>7/C</t>
        </is>
      </c>
      <c r="M2994" s="12" t="inlineStr">
        <is>
          <t>14</t>
        </is>
      </c>
      <c r="N2994" s="12" t="n">
        <v>1</v>
      </c>
      <c r="O2994" s="12" t="n">
        <v>1</v>
      </c>
      <c r="P2994" s="12" t="n"/>
      <c r="Q2994" s="12" t="n"/>
      <c r="R2994" s="12" t="n"/>
      <c r="S2994" s="12" t="inlineStr">
        <is>
          <t>Duct bank</t>
        </is>
      </c>
      <c r="T2994" s="16" t="n">
        <v>361</v>
      </c>
      <c r="U2994" s="16" t="n">
        <v>32</v>
      </c>
      <c r="V2994" s="16">
        <f>ROUNDUP((T2994+U2994+2*'Read Me'!$B$13)*(1+'Read Me'!$B$12),-1)</f>
        <v/>
      </c>
      <c r="W2994" s="16">
        <f>V2994*N2994*O2994</f>
        <v/>
      </c>
      <c r="X2994" s="12">
        <f>IF(LEFT(I2994,2)="MV",2*N2994*IF(L2994="1/C",O2994,1),0)</f>
        <v/>
      </c>
      <c r="Y2994" s="12">
        <f>IF(OR(LEFT(K2994,4)="LVAX",LEFT(K2994,6)="MV15AX",LEFT(K2994,4)="CTAX",LEFT(K2994,2)="W|"),2*N2994*O2994,0)</f>
        <v/>
      </c>
      <c r="Z2994" s="12" t="inlineStr"/>
      <c r="AA2994" s="12">
        <f>N2994*O2994</f>
        <v/>
      </c>
    </row>
    <row r="2995">
      <c r="A2995" s="12" t="inlineStr">
        <is>
          <t>G-C-0053</t>
        </is>
      </c>
      <c r="B2995" s="12" t="inlineStr">
        <is>
          <t>G</t>
        </is>
      </c>
      <c r="C2995" s="12" t="inlineStr">
        <is>
          <t>Carbon capture</t>
        </is>
      </c>
      <c r="D2995" s="12" t="inlineStr">
        <is>
          <t>Motor 3 of 6: control / local station</t>
        </is>
      </c>
      <c r="E2995" s="12" t="inlineStr"/>
      <c r="F2995" s="12" t="inlineStr">
        <is>
          <t>CCS MV switchgear building (VFDs)</t>
        </is>
      </c>
      <c r="G2995" s="12" t="inlineStr">
        <is>
          <t>CCS T-1</t>
        </is>
      </c>
      <c r="H2995" s="12" t="inlineStr">
        <is>
          <t>CCS T-1: 230/13.8 kV</t>
        </is>
      </c>
      <c r="I2995" s="12" t="inlineStr">
        <is>
          <t>Control</t>
        </is>
      </c>
      <c r="J2995" s="12" t="inlineStr">
        <is>
          <t>Control cable 600 V Type TC-ER, Cu #14 AWG, PVC jacket</t>
        </is>
      </c>
      <c r="K2995" s="12" t="inlineStr">
        <is>
          <t>CT|7/C|14</t>
        </is>
      </c>
      <c r="L2995" s="12" t="inlineStr">
        <is>
          <t>7/C</t>
        </is>
      </c>
      <c r="M2995" s="12" t="inlineStr">
        <is>
          <t>14</t>
        </is>
      </c>
      <c r="N2995" s="12" t="n">
        <v>1</v>
      </c>
      <c r="O2995" s="12" t="n">
        <v>1</v>
      </c>
      <c r="P2995" s="12" t="n"/>
      <c r="Q2995" s="12" t="n"/>
      <c r="R2995" s="12" t="n"/>
      <c r="S2995" s="12" t="inlineStr">
        <is>
          <t>Duct bank</t>
        </is>
      </c>
      <c r="T2995" s="16" t="n">
        <v>361</v>
      </c>
      <c r="U2995" s="16" t="n">
        <v>32</v>
      </c>
      <c r="V2995" s="16">
        <f>ROUNDUP((T2995+U2995+2*'Read Me'!$B$13)*(1+'Read Me'!$B$12),-1)</f>
        <v/>
      </c>
      <c r="W2995" s="16">
        <f>V2995*N2995*O2995</f>
        <v/>
      </c>
      <c r="X2995" s="12">
        <f>IF(LEFT(I2995,2)="MV",2*N2995*IF(L2995="1/C",O2995,1),0)</f>
        <v/>
      </c>
      <c r="Y2995" s="12">
        <f>IF(OR(LEFT(K2995,4)="LVAX",LEFT(K2995,6)="MV15AX",LEFT(K2995,4)="CTAX",LEFT(K2995,2)="W|"),2*N2995*O2995,0)</f>
        <v/>
      </c>
      <c r="Z2995" s="12" t="inlineStr"/>
      <c r="AA2995" s="12">
        <f>N2995*O2995</f>
        <v/>
      </c>
    </row>
    <row r="2996">
      <c r="A2996" s="12" t="inlineStr">
        <is>
          <t>G-C-0054</t>
        </is>
      </c>
      <c r="B2996" s="12" t="inlineStr">
        <is>
          <t>G</t>
        </is>
      </c>
      <c r="C2996" s="12" t="inlineStr">
        <is>
          <t>Carbon capture</t>
        </is>
      </c>
      <c r="D2996" s="12" t="inlineStr">
        <is>
          <t>Motor 4 of 6: control / local station</t>
        </is>
      </c>
      <c r="E2996" s="12" t="inlineStr"/>
      <c r="F2996" s="12" t="inlineStr">
        <is>
          <t>CCS MV switchgear building (VFDs)</t>
        </is>
      </c>
      <c r="G2996" s="12" t="inlineStr">
        <is>
          <t>CCS T-1</t>
        </is>
      </c>
      <c r="H2996" s="12" t="inlineStr">
        <is>
          <t>CCS T-1: 230/13.8 kV</t>
        </is>
      </c>
      <c r="I2996" s="12" t="inlineStr">
        <is>
          <t>Control</t>
        </is>
      </c>
      <c r="J2996" s="12" t="inlineStr">
        <is>
          <t>Control cable 600 V Type TC-ER, Cu #14 AWG, PVC jacket</t>
        </is>
      </c>
      <c r="K2996" s="12" t="inlineStr">
        <is>
          <t>CT|7/C|14</t>
        </is>
      </c>
      <c r="L2996" s="12" t="inlineStr">
        <is>
          <t>7/C</t>
        </is>
      </c>
      <c r="M2996" s="12" t="inlineStr">
        <is>
          <t>14</t>
        </is>
      </c>
      <c r="N2996" s="12" t="n">
        <v>1</v>
      </c>
      <c r="O2996" s="12" t="n">
        <v>1</v>
      </c>
      <c r="P2996" s="12" t="n"/>
      <c r="Q2996" s="12" t="n"/>
      <c r="R2996" s="12" t="n"/>
      <c r="S2996" s="12" t="inlineStr">
        <is>
          <t>Duct bank</t>
        </is>
      </c>
      <c r="T2996" s="16" t="n">
        <v>361</v>
      </c>
      <c r="U2996" s="16" t="n">
        <v>32</v>
      </c>
      <c r="V2996" s="16">
        <f>ROUNDUP((T2996+U2996+2*'Read Me'!$B$13)*(1+'Read Me'!$B$12),-1)</f>
        <v/>
      </c>
      <c r="W2996" s="16">
        <f>V2996*N2996*O2996</f>
        <v/>
      </c>
      <c r="X2996" s="12">
        <f>IF(LEFT(I2996,2)="MV",2*N2996*IF(L2996="1/C",O2996,1),0)</f>
        <v/>
      </c>
      <c r="Y2996" s="12">
        <f>IF(OR(LEFT(K2996,4)="LVAX",LEFT(K2996,6)="MV15AX",LEFT(K2996,4)="CTAX",LEFT(K2996,2)="W|"),2*N2996*O2996,0)</f>
        <v/>
      </c>
      <c r="Z2996" s="12" t="inlineStr"/>
      <c r="AA2996" s="12">
        <f>N2996*O2996</f>
        <v/>
      </c>
    </row>
    <row r="2997">
      <c r="A2997" s="12" t="inlineStr">
        <is>
          <t>G-C-0055</t>
        </is>
      </c>
      <c r="B2997" s="12" t="inlineStr">
        <is>
          <t>G</t>
        </is>
      </c>
      <c r="C2997" s="12" t="inlineStr">
        <is>
          <t>Carbon capture</t>
        </is>
      </c>
      <c r="D2997" s="12" t="inlineStr">
        <is>
          <t>Motor 5 of 6: control / local station</t>
        </is>
      </c>
      <c r="E2997" s="12" t="inlineStr"/>
      <c r="F2997" s="12" t="inlineStr">
        <is>
          <t>CCS MV switchgear building (VFDs)</t>
        </is>
      </c>
      <c r="G2997" s="12" t="inlineStr">
        <is>
          <t>CCS T-1</t>
        </is>
      </c>
      <c r="H2997" s="12" t="inlineStr">
        <is>
          <t>CCS T-1: 230/13.8 kV</t>
        </is>
      </c>
      <c r="I2997" s="12" t="inlineStr">
        <is>
          <t>Control</t>
        </is>
      </c>
      <c r="J2997" s="12" t="inlineStr">
        <is>
          <t>Control cable 600 V Type TC-ER, Cu #14 AWG, PVC jacket</t>
        </is>
      </c>
      <c r="K2997" s="12" t="inlineStr">
        <is>
          <t>CT|7/C|14</t>
        </is>
      </c>
      <c r="L2997" s="12" t="inlineStr">
        <is>
          <t>7/C</t>
        </is>
      </c>
      <c r="M2997" s="12" t="inlineStr">
        <is>
          <t>14</t>
        </is>
      </c>
      <c r="N2997" s="12" t="n">
        <v>1</v>
      </c>
      <c r="O2997" s="12" t="n">
        <v>1</v>
      </c>
      <c r="P2997" s="12" t="n"/>
      <c r="Q2997" s="12" t="n"/>
      <c r="R2997" s="12" t="n"/>
      <c r="S2997" s="12" t="inlineStr">
        <is>
          <t>Duct bank</t>
        </is>
      </c>
      <c r="T2997" s="16" t="n">
        <v>361</v>
      </c>
      <c r="U2997" s="16" t="n">
        <v>32</v>
      </c>
      <c r="V2997" s="16">
        <f>ROUNDUP((T2997+U2997+2*'Read Me'!$B$13)*(1+'Read Me'!$B$12),-1)</f>
        <v/>
      </c>
      <c r="W2997" s="16">
        <f>V2997*N2997*O2997</f>
        <v/>
      </c>
      <c r="X2997" s="12">
        <f>IF(LEFT(I2997,2)="MV",2*N2997*IF(L2997="1/C",O2997,1),0)</f>
        <v/>
      </c>
      <c r="Y2997" s="12">
        <f>IF(OR(LEFT(K2997,4)="LVAX",LEFT(K2997,6)="MV15AX",LEFT(K2997,4)="CTAX",LEFT(K2997,2)="W|"),2*N2997*O2997,0)</f>
        <v/>
      </c>
      <c r="Z2997" s="12" t="inlineStr"/>
      <c r="AA2997" s="12">
        <f>N2997*O2997</f>
        <v/>
      </c>
    </row>
    <row r="2998">
      <c r="A2998" s="12" t="inlineStr">
        <is>
          <t>G-C-0056</t>
        </is>
      </c>
      <c r="B2998" s="12" t="inlineStr">
        <is>
          <t>G</t>
        </is>
      </c>
      <c r="C2998" s="12" t="inlineStr">
        <is>
          <t>Carbon capture</t>
        </is>
      </c>
      <c r="D2998" s="12" t="inlineStr">
        <is>
          <t>Motor 6 of 6: control / local station</t>
        </is>
      </c>
      <c r="E2998" s="12" t="inlineStr"/>
      <c r="F2998" s="12" t="inlineStr">
        <is>
          <t>CCS MV switchgear building (VFDs)</t>
        </is>
      </c>
      <c r="G2998" s="12" t="inlineStr">
        <is>
          <t>CCS T-1</t>
        </is>
      </c>
      <c r="H2998" s="12" t="inlineStr">
        <is>
          <t>CCS T-1: 230/13.8 kV</t>
        </is>
      </c>
      <c r="I2998" s="12" t="inlineStr">
        <is>
          <t>Control</t>
        </is>
      </c>
      <c r="J2998" s="12" t="inlineStr">
        <is>
          <t>Control cable 600 V Type TC-ER, Cu #14 AWG, PVC jacket</t>
        </is>
      </c>
      <c r="K2998" s="12" t="inlineStr">
        <is>
          <t>CT|7/C|14</t>
        </is>
      </c>
      <c r="L2998" s="12" t="inlineStr">
        <is>
          <t>7/C</t>
        </is>
      </c>
      <c r="M2998" s="12" t="inlineStr">
        <is>
          <t>14</t>
        </is>
      </c>
      <c r="N2998" s="12" t="n">
        <v>1</v>
      </c>
      <c r="O2998" s="12" t="n">
        <v>1</v>
      </c>
      <c r="P2998" s="12" t="n"/>
      <c r="Q2998" s="12" t="n"/>
      <c r="R2998" s="12" t="n"/>
      <c r="S2998" s="12" t="inlineStr">
        <is>
          <t>Duct bank</t>
        </is>
      </c>
      <c r="T2998" s="16" t="n">
        <v>361</v>
      </c>
      <c r="U2998" s="16" t="n">
        <v>32</v>
      </c>
      <c r="V2998" s="16">
        <f>ROUNDUP((T2998+U2998+2*'Read Me'!$B$13)*(1+'Read Me'!$B$12),-1)</f>
        <v/>
      </c>
      <c r="W2998" s="16">
        <f>V2998*N2998*O2998</f>
        <v/>
      </c>
      <c r="X2998" s="12">
        <f>IF(LEFT(I2998,2)="MV",2*N2998*IF(L2998="1/C",O2998,1),0)</f>
        <v/>
      </c>
      <c r="Y2998" s="12">
        <f>IF(OR(LEFT(K2998,4)="LVAX",LEFT(K2998,6)="MV15AX",LEFT(K2998,4)="CTAX",LEFT(K2998,2)="W|"),2*N2998*O2998,0)</f>
        <v/>
      </c>
      <c r="Z2998" s="12" t="inlineStr"/>
      <c r="AA2998" s="12">
        <f>N2998*O2998</f>
        <v/>
      </c>
    </row>
    <row r="2999">
      <c r="A2999" s="12" t="inlineStr">
        <is>
          <t>G-C-0057</t>
        </is>
      </c>
      <c r="B2999" s="12" t="inlineStr">
        <is>
          <t>G</t>
        </is>
      </c>
      <c r="C2999" s="12" t="inlineStr">
        <is>
          <t>Carbon capture</t>
        </is>
      </c>
      <c r="D2999" s="12" t="inlineStr">
        <is>
          <t>Motor 1 of 6: control / local station</t>
        </is>
      </c>
      <c r="E2999" s="12" t="inlineStr"/>
      <c r="F2999" s="12" t="inlineStr">
        <is>
          <t>CCS MV switchgear building (VFDs)</t>
        </is>
      </c>
      <c r="G2999" s="12" t="inlineStr">
        <is>
          <t>CCS T-2</t>
        </is>
      </c>
      <c r="H2999" s="12" t="inlineStr">
        <is>
          <t>CCS T-2: 230/13.8 kV</t>
        </is>
      </c>
      <c r="I2999" s="12" t="inlineStr">
        <is>
          <t>Control</t>
        </is>
      </c>
      <c r="J2999" s="12" t="inlineStr">
        <is>
          <t>Control cable 600 V Type TC-ER, Cu #14 AWG, PVC jacket</t>
        </is>
      </c>
      <c r="K2999" s="12" t="inlineStr">
        <is>
          <t>CT|7/C|14</t>
        </is>
      </c>
      <c r="L2999" s="12" t="inlineStr">
        <is>
          <t>7/C</t>
        </is>
      </c>
      <c r="M2999" s="12" t="inlineStr">
        <is>
          <t>14</t>
        </is>
      </c>
      <c r="N2999" s="12" t="n">
        <v>1</v>
      </c>
      <c r="O2999" s="12" t="n">
        <v>1</v>
      </c>
      <c r="P2999" s="12" t="n"/>
      <c r="Q2999" s="12" t="n"/>
      <c r="R2999" s="12" t="n"/>
      <c r="S2999" s="12" t="inlineStr">
        <is>
          <t>Duct bank</t>
        </is>
      </c>
      <c r="T2999" s="16" t="n">
        <v>409</v>
      </c>
      <c r="U2999" s="16" t="n">
        <v>32</v>
      </c>
      <c r="V2999" s="16">
        <f>ROUNDUP((T2999+U2999+2*'Read Me'!$B$13)*(1+'Read Me'!$B$12),-1)</f>
        <v/>
      </c>
      <c r="W2999" s="16">
        <f>V2999*N2999*O2999</f>
        <v/>
      </c>
      <c r="X2999" s="12">
        <f>IF(LEFT(I2999,2)="MV",2*N2999*IF(L2999="1/C",O2999,1),0)</f>
        <v/>
      </c>
      <c r="Y2999" s="12">
        <f>IF(OR(LEFT(K2999,4)="LVAX",LEFT(K2999,6)="MV15AX",LEFT(K2999,4)="CTAX",LEFT(K2999,2)="W|"),2*N2999*O2999,0)</f>
        <v/>
      </c>
      <c r="Z2999" s="12" t="inlineStr"/>
      <c r="AA2999" s="12">
        <f>N2999*O2999</f>
        <v/>
      </c>
    </row>
    <row r="3000">
      <c r="A3000" s="12" t="inlineStr">
        <is>
          <t>G-C-0058</t>
        </is>
      </c>
      <c r="B3000" s="12" t="inlineStr">
        <is>
          <t>G</t>
        </is>
      </c>
      <c r="C3000" s="12" t="inlineStr">
        <is>
          <t>Carbon capture</t>
        </is>
      </c>
      <c r="D3000" s="12" t="inlineStr">
        <is>
          <t>Motor 2 of 6: control / local station</t>
        </is>
      </c>
      <c r="E3000" s="12" t="inlineStr"/>
      <c r="F3000" s="12" t="inlineStr">
        <is>
          <t>CCS MV switchgear building (VFDs)</t>
        </is>
      </c>
      <c r="G3000" s="12" t="inlineStr">
        <is>
          <t>CCS T-2</t>
        </is>
      </c>
      <c r="H3000" s="12" t="inlineStr">
        <is>
          <t>CCS T-2: 230/13.8 kV</t>
        </is>
      </c>
      <c r="I3000" s="12" t="inlineStr">
        <is>
          <t>Control</t>
        </is>
      </c>
      <c r="J3000" s="12" t="inlineStr">
        <is>
          <t>Control cable 600 V Type TC-ER, Cu #14 AWG, PVC jacket</t>
        </is>
      </c>
      <c r="K3000" s="12" t="inlineStr">
        <is>
          <t>CT|7/C|14</t>
        </is>
      </c>
      <c r="L3000" s="12" t="inlineStr">
        <is>
          <t>7/C</t>
        </is>
      </c>
      <c r="M3000" s="12" t="inlineStr">
        <is>
          <t>14</t>
        </is>
      </c>
      <c r="N3000" s="12" t="n">
        <v>1</v>
      </c>
      <c r="O3000" s="12" t="n">
        <v>1</v>
      </c>
      <c r="P3000" s="12" t="n"/>
      <c r="Q3000" s="12" t="n"/>
      <c r="R3000" s="12" t="n"/>
      <c r="S3000" s="12" t="inlineStr">
        <is>
          <t>Duct bank</t>
        </is>
      </c>
      <c r="T3000" s="16" t="n">
        <v>409</v>
      </c>
      <c r="U3000" s="16" t="n">
        <v>32</v>
      </c>
      <c r="V3000" s="16">
        <f>ROUNDUP((T3000+U3000+2*'Read Me'!$B$13)*(1+'Read Me'!$B$12),-1)</f>
        <v/>
      </c>
      <c r="W3000" s="16">
        <f>V3000*N3000*O3000</f>
        <v/>
      </c>
      <c r="X3000" s="12">
        <f>IF(LEFT(I3000,2)="MV",2*N3000*IF(L3000="1/C",O3000,1),0)</f>
        <v/>
      </c>
      <c r="Y3000" s="12">
        <f>IF(OR(LEFT(K3000,4)="LVAX",LEFT(K3000,6)="MV15AX",LEFT(K3000,4)="CTAX",LEFT(K3000,2)="W|"),2*N3000*O3000,0)</f>
        <v/>
      </c>
      <c r="Z3000" s="12" t="inlineStr"/>
      <c r="AA3000" s="12">
        <f>N3000*O3000</f>
        <v/>
      </c>
    </row>
    <row r="3001">
      <c r="A3001" s="12" t="inlineStr">
        <is>
          <t>G-C-0059</t>
        </is>
      </c>
      <c r="B3001" s="12" t="inlineStr">
        <is>
          <t>G</t>
        </is>
      </c>
      <c r="C3001" s="12" t="inlineStr">
        <is>
          <t>Carbon capture</t>
        </is>
      </c>
      <c r="D3001" s="12" t="inlineStr">
        <is>
          <t>Motor 3 of 6: control / local station</t>
        </is>
      </c>
      <c r="E3001" s="12" t="inlineStr"/>
      <c r="F3001" s="12" t="inlineStr">
        <is>
          <t>CCS MV switchgear building (VFDs)</t>
        </is>
      </c>
      <c r="G3001" s="12" t="inlineStr">
        <is>
          <t>CCS T-2</t>
        </is>
      </c>
      <c r="H3001" s="12" t="inlineStr">
        <is>
          <t>CCS T-2: 230/13.8 kV</t>
        </is>
      </c>
      <c r="I3001" s="12" t="inlineStr">
        <is>
          <t>Control</t>
        </is>
      </c>
      <c r="J3001" s="12" t="inlineStr">
        <is>
          <t>Control cable 600 V Type TC-ER, Cu #14 AWG, PVC jacket</t>
        </is>
      </c>
      <c r="K3001" s="12" t="inlineStr">
        <is>
          <t>CT|7/C|14</t>
        </is>
      </c>
      <c r="L3001" s="12" t="inlineStr">
        <is>
          <t>7/C</t>
        </is>
      </c>
      <c r="M3001" s="12" t="inlineStr">
        <is>
          <t>14</t>
        </is>
      </c>
      <c r="N3001" s="12" t="n">
        <v>1</v>
      </c>
      <c r="O3001" s="12" t="n">
        <v>1</v>
      </c>
      <c r="P3001" s="12" t="n"/>
      <c r="Q3001" s="12" t="n"/>
      <c r="R3001" s="12" t="n"/>
      <c r="S3001" s="12" t="inlineStr">
        <is>
          <t>Duct bank</t>
        </is>
      </c>
      <c r="T3001" s="16" t="n">
        <v>409</v>
      </c>
      <c r="U3001" s="16" t="n">
        <v>32</v>
      </c>
      <c r="V3001" s="16">
        <f>ROUNDUP((T3001+U3001+2*'Read Me'!$B$13)*(1+'Read Me'!$B$12),-1)</f>
        <v/>
      </c>
      <c r="W3001" s="16">
        <f>V3001*N3001*O3001</f>
        <v/>
      </c>
      <c r="X3001" s="12">
        <f>IF(LEFT(I3001,2)="MV",2*N3001*IF(L3001="1/C",O3001,1),0)</f>
        <v/>
      </c>
      <c r="Y3001" s="12">
        <f>IF(OR(LEFT(K3001,4)="LVAX",LEFT(K3001,6)="MV15AX",LEFT(K3001,4)="CTAX",LEFT(K3001,2)="W|"),2*N3001*O3001,0)</f>
        <v/>
      </c>
      <c r="Z3001" s="12" t="inlineStr"/>
      <c r="AA3001" s="12">
        <f>N3001*O3001</f>
        <v/>
      </c>
    </row>
    <row r="3002">
      <c r="A3002" s="12" t="inlineStr">
        <is>
          <t>G-C-0060</t>
        </is>
      </c>
      <c r="B3002" s="12" t="inlineStr">
        <is>
          <t>G</t>
        </is>
      </c>
      <c r="C3002" s="12" t="inlineStr">
        <is>
          <t>Carbon capture</t>
        </is>
      </c>
      <c r="D3002" s="12" t="inlineStr">
        <is>
          <t>Motor 4 of 6: control / local station</t>
        </is>
      </c>
      <c r="E3002" s="12" t="inlineStr"/>
      <c r="F3002" s="12" t="inlineStr">
        <is>
          <t>CCS MV switchgear building (VFDs)</t>
        </is>
      </c>
      <c r="G3002" s="12" t="inlineStr">
        <is>
          <t>CCS T-2</t>
        </is>
      </c>
      <c r="H3002" s="12" t="inlineStr">
        <is>
          <t>CCS T-2: 230/13.8 kV</t>
        </is>
      </c>
      <c r="I3002" s="12" t="inlineStr">
        <is>
          <t>Control</t>
        </is>
      </c>
      <c r="J3002" s="12" t="inlineStr">
        <is>
          <t>Control cable 600 V Type TC-ER, Cu #14 AWG, PVC jacket</t>
        </is>
      </c>
      <c r="K3002" s="12" t="inlineStr">
        <is>
          <t>CT|7/C|14</t>
        </is>
      </c>
      <c r="L3002" s="12" t="inlineStr">
        <is>
          <t>7/C</t>
        </is>
      </c>
      <c r="M3002" s="12" t="inlineStr">
        <is>
          <t>14</t>
        </is>
      </c>
      <c r="N3002" s="12" t="n">
        <v>1</v>
      </c>
      <c r="O3002" s="12" t="n">
        <v>1</v>
      </c>
      <c r="P3002" s="12" t="n"/>
      <c r="Q3002" s="12" t="n"/>
      <c r="R3002" s="12" t="n"/>
      <c r="S3002" s="12" t="inlineStr">
        <is>
          <t>Duct bank</t>
        </is>
      </c>
      <c r="T3002" s="16" t="n">
        <v>409</v>
      </c>
      <c r="U3002" s="16" t="n">
        <v>32</v>
      </c>
      <c r="V3002" s="16">
        <f>ROUNDUP((T3002+U3002+2*'Read Me'!$B$13)*(1+'Read Me'!$B$12),-1)</f>
        <v/>
      </c>
      <c r="W3002" s="16">
        <f>V3002*N3002*O3002</f>
        <v/>
      </c>
      <c r="X3002" s="12">
        <f>IF(LEFT(I3002,2)="MV",2*N3002*IF(L3002="1/C",O3002,1),0)</f>
        <v/>
      </c>
      <c r="Y3002" s="12">
        <f>IF(OR(LEFT(K3002,4)="LVAX",LEFT(K3002,6)="MV15AX",LEFT(K3002,4)="CTAX",LEFT(K3002,2)="W|"),2*N3002*O3002,0)</f>
        <v/>
      </c>
      <c r="Z3002" s="12" t="inlineStr"/>
      <c r="AA3002" s="12">
        <f>N3002*O3002</f>
        <v/>
      </c>
    </row>
    <row r="3003">
      <c r="A3003" s="12" t="inlineStr">
        <is>
          <t>G-C-0061</t>
        </is>
      </c>
      <c r="B3003" s="12" t="inlineStr">
        <is>
          <t>G</t>
        </is>
      </c>
      <c r="C3003" s="12" t="inlineStr">
        <is>
          <t>Carbon capture</t>
        </is>
      </c>
      <c r="D3003" s="12" t="inlineStr">
        <is>
          <t>Motor 5 of 6: control / local station</t>
        </is>
      </c>
      <c r="E3003" s="12" t="inlineStr"/>
      <c r="F3003" s="12" t="inlineStr">
        <is>
          <t>CCS MV switchgear building (VFDs)</t>
        </is>
      </c>
      <c r="G3003" s="12" t="inlineStr">
        <is>
          <t>CCS T-2</t>
        </is>
      </c>
      <c r="H3003" s="12" t="inlineStr">
        <is>
          <t>CCS T-2: 230/13.8 kV</t>
        </is>
      </c>
      <c r="I3003" s="12" t="inlineStr">
        <is>
          <t>Control</t>
        </is>
      </c>
      <c r="J3003" s="12" t="inlineStr">
        <is>
          <t>Control cable 600 V Type TC-ER, Cu #14 AWG, PVC jacket</t>
        </is>
      </c>
      <c r="K3003" s="12" t="inlineStr">
        <is>
          <t>CT|7/C|14</t>
        </is>
      </c>
      <c r="L3003" s="12" t="inlineStr">
        <is>
          <t>7/C</t>
        </is>
      </c>
      <c r="M3003" s="12" t="inlineStr">
        <is>
          <t>14</t>
        </is>
      </c>
      <c r="N3003" s="12" t="n">
        <v>1</v>
      </c>
      <c r="O3003" s="12" t="n">
        <v>1</v>
      </c>
      <c r="P3003" s="12" t="n"/>
      <c r="Q3003" s="12" t="n"/>
      <c r="R3003" s="12" t="n"/>
      <c r="S3003" s="12" t="inlineStr">
        <is>
          <t>Duct bank</t>
        </is>
      </c>
      <c r="T3003" s="16" t="n">
        <v>409</v>
      </c>
      <c r="U3003" s="16" t="n">
        <v>32</v>
      </c>
      <c r="V3003" s="16">
        <f>ROUNDUP((T3003+U3003+2*'Read Me'!$B$13)*(1+'Read Me'!$B$12),-1)</f>
        <v/>
      </c>
      <c r="W3003" s="16">
        <f>V3003*N3003*O3003</f>
        <v/>
      </c>
      <c r="X3003" s="12">
        <f>IF(LEFT(I3003,2)="MV",2*N3003*IF(L3003="1/C",O3003,1),0)</f>
        <v/>
      </c>
      <c r="Y3003" s="12">
        <f>IF(OR(LEFT(K3003,4)="LVAX",LEFT(K3003,6)="MV15AX",LEFT(K3003,4)="CTAX",LEFT(K3003,2)="W|"),2*N3003*O3003,0)</f>
        <v/>
      </c>
      <c r="Z3003" s="12" t="inlineStr"/>
      <c r="AA3003" s="12">
        <f>N3003*O3003</f>
        <v/>
      </c>
    </row>
    <row r="3004">
      <c r="A3004" s="12" t="inlineStr">
        <is>
          <t>G-C-0062</t>
        </is>
      </c>
      <c r="B3004" s="12" t="inlineStr">
        <is>
          <t>G</t>
        </is>
      </c>
      <c r="C3004" s="12" t="inlineStr">
        <is>
          <t>Carbon capture</t>
        </is>
      </c>
      <c r="D3004" s="12" t="inlineStr">
        <is>
          <t>Motor 6 of 6: control / local station</t>
        </is>
      </c>
      <c r="E3004" s="12" t="inlineStr"/>
      <c r="F3004" s="12" t="inlineStr">
        <is>
          <t>CCS MV switchgear building (VFDs)</t>
        </is>
      </c>
      <c r="G3004" s="12" t="inlineStr">
        <is>
          <t>CCS T-2</t>
        </is>
      </c>
      <c r="H3004" s="12" t="inlineStr">
        <is>
          <t>CCS T-2: 230/13.8 kV</t>
        </is>
      </c>
      <c r="I3004" s="12" t="inlineStr">
        <is>
          <t>Control</t>
        </is>
      </c>
      <c r="J3004" s="12" t="inlineStr">
        <is>
          <t>Control cable 600 V Type TC-ER, Cu #14 AWG, PVC jacket</t>
        </is>
      </c>
      <c r="K3004" s="12" t="inlineStr">
        <is>
          <t>CT|7/C|14</t>
        </is>
      </c>
      <c r="L3004" s="12" t="inlineStr">
        <is>
          <t>7/C</t>
        </is>
      </c>
      <c r="M3004" s="12" t="inlineStr">
        <is>
          <t>14</t>
        </is>
      </c>
      <c r="N3004" s="12" t="n">
        <v>1</v>
      </c>
      <c r="O3004" s="12" t="n">
        <v>1</v>
      </c>
      <c r="P3004" s="12" t="n"/>
      <c r="Q3004" s="12" t="n"/>
      <c r="R3004" s="12" t="n"/>
      <c r="S3004" s="12" t="inlineStr">
        <is>
          <t>Duct bank</t>
        </is>
      </c>
      <c r="T3004" s="16" t="n">
        <v>409</v>
      </c>
      <c r="U3004" s="16" t="n">
        <v>32</v>
      </c>
      <c r="V3004" s="16">
        <f>ROUNDUP((T3004+U3004+2*'Read Me'!$B$13)*(1+'Read Me'!$B$12),-1)</f>
        <v/>
      </c>
      <c r="W3004" s="16">
        <f>V3004*N3004*O3004</f>
        <v/>
      </c>
      <c r="X3004" s="12">
        <f>IF(LEFT(I3004,2)="MV",2*N3004*IF(L3004="1/C",O3004,1),0)</f>
        <v/>
      </c>
      <c r="Y3004" s="12">
        <f>IF(OR(LEFT(K3004,4)="LVAX",LEFT(K3004,6)="MV15AX",LEFT(K3004,4)="CTAX",LEFT(K3004,2)="W|"),2*N3004*O3004,0)</f>
        <v/>
      </c>
      <c r="Z3004" s="12" t="inlineStr"/>
      <c r="AA3004" s="12">
        <f>N3004*O3004</f>
        <v/>
      </c>
    </row>
    <row r="3005">
      <c r="A3005" s="12" t="inlineStr">
        <is>
          <t>G-C-0063</t>
        </is>
      </c>
      <c r="B3005" s="12" t="inlineStr">
        <is>
          <t>G</t>
        </is>
      </c>
      <c r="C3005" s="12" t="inlineStr">
        <is>
          <t>Carbon capture</t>
        </is>
      </c>
      <c r="D3005" s="12" t="inlineStr">
        <is>
          <t>Motor 1 of 30: control / local station</t>
        </is>
      </c>
      <c r="E3005" s="12" t="inlineStr"/>
      <c r="F3005" s="12" t="inlineStr">
        <is>
          <t>CT MCC / VFD e-house</t>
        </is>
      </c>
      <c r="G3005" s="12" t="inlineStr">
        <is>
          <t>CCS-CT</t>
        </is>
      </c>
      <c r="H3005" s="12" t="inlineStr">
        <is>
          <t>CCS cooling tower (~30 cells): CCS process cooling only</t>
        </is>
      </c>
      <c r="I3005" s="12" t="inlineStr">
        <is>
          <t>Control</t>
        </is>
      </c>
      <c r="J3005" s="12" t="inlineStr">
        <is>
          <t>Control cable 600 V Type TC-ER, Cu #14 AWG, PVC jacket</t>
        </is>
      </c>
      <c r="K3005" s="12" t="inlineStr">
        <is>
          <t>CT|7/C|14</t>
        </is>
      </c>
      <c r="L3005" s="12" t="inlineStr">
        <is>
          <t>7/C</t>
        </is>
      </c>
      <c r="M3005" s="12" t="inlineStr">
        <is>
          <t>14</t>
        </is>
      </c>
      <c r="N3005" s="12" t="n">
        <v>1</v>
      </c>
      <c r="O3005" s="12" t="n">
        <v>1</v>
      </c>
      <c r="P3005" s="12" t="n"/>
      <c r="Q3005" s="12" t="n"/>
      <c r="R3005" s="12" t="n"/>
      <c r="S3005" s="12" t="inlineStr">
        <is>
          <t>Tray</t>
        </is>
      </c>
      <c r="T3005" s="16" t="n">
        <v>0</v>
      </c>
      <c r="U3005" s="16" t="n">
        <v>42</v>
      </c>
      <c r="V3005" s="16">
        <f>ROUNDUP((T3005+U3005+2*'Read Me'!$B$13)*(1+'Read Me'!$B$12),-1)</f>
        <v/>
      </c>
      <c r="W3005" s="16">
        <f>V3005*N3005*O3005</f>
        <v/>
      </c>
      <c r="X3005" s="12">
        <f>IF(LEFT(I3005,2)="MV",2*N3005*IF(L3005="1/C",O3005,1),0)</f>
        <v/>
      </c>
      <c r="Y3005" s="12">
        <f>IF(OR(LEFT(K3005,4)="LVAX",LEFT(K3005,6)="MV15AX",LEFT(K3005,4)="CTAX",LEFT(K3005,2)="W|"),2*N3005*O3005,0)</f>
        <v/>
      </c>
      <c r="Z3005" s="12" t="inlineStr"/>
      <c r="AA3005" s="12">
        <f>N3005*O3005</f>
        <v/>
      </c>
    </row>
    <row r="3006">
      <c r="A3006" s="12" t="inlineStr">
        <is>
          <t>G-C-0064</t>
        </is>
      </c>
      <c r="B3006" s="12" t="inlineStr">
        <is>
          <t>G</t>
        </is>
      </c>
      <c r="C3006" s="12" t="inlineStr">
        <is>
          <t>Carbon capture</t>
        </is>
      </c>
      <c r="D3006" s="12" t="inlineStr">
        <is>
          <t>Motor 2 of 30: control / local station</t>
        </is>
      </c>
      <c r="E3006" s="12" t="inlineStr"/>
      <c r="F3006" s="12" t="inlineStr">
        <is>
          <t>CT MCC / VFD e-house</t>
        </is>
      </c>
      <c r="G3006" s="12" t="inlineStr">
        <is>
          <t>CCS-CT</t>
        </is>
      </c>
      <c r="H3006" s="12" t="inlineStr">
        <is>
          <t>CCS cooling tower (~30 cells): CCS process cooling only</t>
        </is>
      </c>
      <c r="I3006" s="12" t="inlineStr">
        <is>
          <t>Control</t>
        </is>
      </c>
      <c r="J3006" s="12" t="inlineStr">
        <is>
          <t>Control cable 600 V Type TC-ER, Cu #14 AWG, PVC jacket</t>
        </is>
      </c>
      <c r="K3006" s="12" t="inlineStr">
        <is>
          <t>CT|7/C|14</t>
        </is>
      </c>
      <c r="L3006" s="12" t="inlineStr">
        <is>
          <t>7/C</t>
        </is>
      </c>
      <c r="M3006" s="12" t="inlineStr">
        <is>
          <t>14</t>
        </is>
      </c>
      <c r="N3006" s="12" t="n">
        <v>1</v>
      </c>
      <c r="O3006" s="12" t="n">
        <v>1</v>
      </c>
      <c r="P3006" s="12" t="n"/>
      <c r="Q3006" s="12" t="n"/>
      <c r="R3006" s="12" t="n"/>
      <c r="S3006" s="12" t="inlineStr">
        <is>
          <t>Tray</t>
        </is>
      </c>
      <c r="T3006" s="16" t="n">
        <v>0</v>
      </c>
      <c r="U3006" s="16" t="n">
        <v>42</v>
      </c>
      <c r="V3006" s="16">
        <f>ROUNDUP((T3006+U3006+2*'Read Me'!$B$13)*(1+'Read Me'!$B$12),-1)</f>
        <v/>
      </c>
      <c r="W3006" s="16">
        <f>V3006*N3006*O3006</f>
        <v/>
      </c>
      <c r="X3006" s="12">
        <f>IF(LEFT(I3006,2)="MV",2*N3006*IF(L3006="1/C",O3006,1),0)</f>
        <v/>
      </c>
      <c r="Y3006" s="12">
        <f>IF(OR(LEFT(K3006,4)="LVAX",LEFT(K3006,6)="MV15AX",LEFT(K3006,4)="CTAX",LEFT(K3006,2)="W|"),2*N3006*O3006,0)</f>
        <v/>
      </c>
      <c r="Z3006" s="12" t="inlineStr"/>
      <c r="AA3006" s="12">
        <f>N3006*O3006</f>
        <v/>
      </c>
    </row>
    <row r="3007">
      <c r="A3007" s="12" t="inlineStr">
        <is>
          <t>G-C-0065</t>
        </is>
      </c>
      <c r="B3007" s="12" t="inlineStr">
        <is>
          <t>G</t>
        </is>
      </c>
      <c r="C3007" s="12" t="inlineStr">
        <is>
          <t>Carbon capture</t>
        </is>
      </c>
      <c r="D3007" s="12" t="inlineStr">
        <is>
          <t>Motor 3 of 30: control / local station</t>
        </is>
      </c>
      <c r="E3007" s="12" t="inlineStr"/>
      <c r="F3007" s="12" t="inlineStr">
        <is>
          <t>CT MCC / VFD e-house</t>
        </is>
      </c>
      <c r="G3007" s="12" t="inlineStr">
        <is>
          <t>CCS-CT</t>
        </is>
      </c>
      <c r="H3007" s="12" t="inlineStr">
        <is>
          <t>CCS cooling tower (~30 cells): CCS process cooling only</t>
        </is>
      </c>
      <c r="I3007" s="12" t="inlineStr">
        <is>
          <t>Control</t>
        </is>
      </c>
      <c r="J3007" s="12" t="inlineStr">
        <is>
          <t>Control cable 600 V Type TC-ER, Cu #14 AWG, PVC jacket</t>
        </is>
      </c>
      <c r="K3007" s="12" t="inlineStr">
        <is>
          <t>CT|7/C|14</t>
        </is>
      </c>
      <c r="L3007" s="12" t="inlineStr">
        <is>
          <t>7/C</t>
        </is>
      </c>
      <c r="M3007" s="12" t="inlineStr">
        <is>
          <t>14</t>
        </is>
      </c>
      <c r="N3007" s="12" t="n">
        <v>1</v>
      </c>
      <c r="O3007" s="12" t="n">
        <v>1</v>
      </c>
      <c r="P3007" s="12" t="n"/>
      <c r="Q3007" s="12" t="n"/>
      <c r="R3007" s="12" t="n"/>
      <c r="S3007" s="12" t="inlineStr">
        <is>
          <t>Tray</t>
        </is>
      </c>
      <c r="T3007" s="16" t="n">
        <v>0</v>
      </c>
      <c r="U3007" s="16" t="n">
        <v>42</v>
      </c>
      <c r="V3007" s="16">
        <f>ROUNDUP((T3007+U3007+2*'Read Me'!$B$13)*(1+'Read Me'!$B$12),-1)</f>
        <v/>
      </c>
      <c r="W3007" s="16">
        <f>V3007*N3007*O3007</f>
        <v/>
      </c>
      <c r="X3007" s="12">
        <f>IF(LEFT(I3007,2)="MV",2*N3007*IF(L3007="1/C",O3007,1),0)</f>
        <v/>
      </c>
      <c r="Y3007" s="12">
        <f>IF(OR(LEFT(K3007,4)="LVAX",LEFT(K3007,6)="MV15AX",LEFT(K3007,4)="CTAX",LEFT(K3007,2)="W|"),2*N3007*O3007,0)</f>
        <v/>
      </c>
      <c r="Z3007" s="12" t="inlineStr"/>
      <c r="AA3007" s="12">
        <f>N3007*O3007</f>
        <v/>
      </c>
    </row>
    <row r="3008">
      <c r="A3008" s="12" t="inlineStr">
        <is>
          <t>G-C-0066</t>
        </is>
      </c>
      <c r="B3008" s="12" t="inlineStr">
        <is>
          <t>G</t>
        </is>
      </c>
      <c r="C3008" s="12" t="inlineStr">
        <is>
          <t>Carbon capture</t>
        </is>
      </c>
      <c r="D3008" s="12" t="inlineStr">
        <is>
          <t>Motor 4 of 30: control / local station</t>
        </is>
      </c>
      <c r="E3008" s="12" t="inlineStr"/>
      <c r="F3008" s="12" t="inlineStr">
        <is>
          <t>CT MCC / VFD e-house</t>
        </is>
      </c>
      <c r="G3008" s="12" t="inlineStr">
        <is>
          <t>CCS-CT</t>
        </is>
      </c>
      <c r="H3008" s="12" t="inlineStr">
        <is>
          <t>CCS cooling tower (~30 cells): CCS process cooling only</t>
        </is>
      </c>
      <c r="I3008" s="12" t="inlineStr">
        <is>
          <t>Control</t>
        </is>
      </c>
      <c r="J3008" s="12" t="inlineStr">
        <is>
          <t>Control cable 600 V Type TC-ER, Cu #14 AWG, PVC jacket</t>
        </is>
      </c>
      <c r="K3008" s="12" t="inlineStr">
        <is>
          <t>CT|7/C|14</t>
        </is>
      </c>
      <c r="L3008" s="12" t="inlineStr">
        <is>
          <t>7/C</t>
        </is>
      </c>
      <c r="M3008" s="12" t="inlineStr">
        <is>
          <t>14</t>
        </is>
      </c>
      <c r="N3008" s="12" t="n">
        <v>1</v>
      </c>
      <c r="O3008" s="12" t="n">
        <v>1</v>
      </c>
      <c r="P3008" s="12" t="n"/>
      <c r="Q3008" s="12" t="n"/>
      <c r="R3008" s="12" t="n"/>
      <c r="S3008" s="12" t="inlineStr">
        <is>
          <t>Tray</t>
        </is>
      </c>
      <c r="T3008" s="16" t="n">
        <v>0</v>
      </c>
      <c r="U3008" s="16" t="n">
        <v>42</v>
      </c>
      <c r="V3008" s="16">
        <f>ROUNDUP((T3008+U3008+2*'Read Me'!$B$13)*(1+'Read Me'!$B$12),-1)</f>
        <v/>
      </c>
      <c r="W3008" s="16">
        <f>V3008*N3008*O3008</f>
        <v/>
      </c>
      <c r="X3008" s="12">
        <f>IF(LEFT(I3008,2)="MV",2*N3008*IF(L3008="1/C",O3008,1),0)</f>
        <v/>
      </c>
      <c r="Y3008" s="12">
        <f>IF(OR(LEFT(K3008,4)="LVAX",LEFT(K3008,6)="MV15AX",LEFT(K3008,4)="CTAX",LEFT(K3008,2)="W|"),2*N3008*O3008,0)</f>
        <v/>
      </c>
      <c r="Z3008" s="12" t="inlineStr"/>
      <c r="AA3008" s="12">
        <f>N3008*O3008</f>
        <v/>
      </c>
    </row>
    <row r="3009">
      <c r="A3009" s="12" t="inlineStr">
        <is>
          <t>G-C-0067</t>
        </is>
      </c>
      <c r="B3009" s="12" t="inlineStr">
        <is>
          <t>G</t>
        </is>
      </c>
      <c r="C3009" s="12" t="inlineStr">
        <is>
          <t>Carbon capture</t>
        </is>
      </c>
      <c r="D3009" s="12" t="inlineStr">
        <is>
          <t>Motor 5 of 30: control / local station</t>
        </is>
      </c>
      <c r="E3009" s="12" t="inlineStr"/>
      <c r="F3009" s="12" t="inlineStr">
        <is>
          <t>CT MCC / VFD e-house</t>
        </is>
      </c>
      <c r="G3009" s="12" t="inlineStr">
        <is>
          <t>CCS-CT</t>
        </is>
      </c>
      <c r="H3009" s="12" t="inlineStr">
        <is>
          <t>CCS cooling tower (~30 cells): CCS process cooling only</t>
        </is>
      </c>
      <c r="I3009" s="12" t="inlineStr">
        <is>
          <t>Control</t>
        </is>
      </c>
      <c r="J3009" s="12" t="inlineStr">
        <is>
          <t>Control cable 600 V Type TC-ER, Cu #14 AWG, PVC jacket</t>
        </is>
      </c>
      <c r="K3009" s="12" t="inlineStr">
        <is>
          <t>CT|7/C|14</t>
        </is>
      </c>
      <c r="L3009" s="12" t="inlineStr">
        <is>
          <t>7/C</t>
        </is>
      </c>
      <c r="M3009" s="12" t="inlineStr">
        <is>
          <t>14</t>
        </is>
      </c>
      <c r="N3009" s="12" t="n">
        <v>1</v>
      </c>
      <c r="O3009" s="12" t="n">
        <v>1</v>
      </c>
      <c r="P3009" s="12" t="n"/>
      <c r="Q3009" s="12" t="n"/>
      <c r="R3009" s="12" t="n"/>
      <c r="S3009" s="12" t="inlineStr">
        <is>
          <t>Tray</t>
        </is>
      </c>
      <c r="T3009" s="16" t="n">
        <v>0</v>
      </c>
      <c r="U3009" s="16" t="n">
        <v>42</v>
      </c>
      <c r="V3009" s="16">
        <f>ROUNDUP((T3009+U3009+2*'Read Me'!$B$13)*(1+'Read Me'!$B$12),-1)</f>
        <v/>
      </c>
      <c r="W3009" s="16">
        <f>V3009*N3009*O3009</f>
        <v/>
      </c>
      <c r="X3009" s="12">
        <f>IF(LEFT(I3009,2)="MV",2*N3009*IF(L3009="1/C",O3009,1),0)</f>
        <v/>
      </c>
      <c r="Y3009" s="12">
        <f>IF(OR(LEFT(K3009,4)="LVAX",LEFT(K3009,6)="MV15AX",LEFT(K3009,4)="CTAX",LEFT(K3009,2)="W|"),2*N3009*O3009,0)</f>
        <v/>
      </c>
      <c r="Z3009" s="12" t="inlineStr"/>
      <c r="AA3009" s="12">
        <f>N3009*O3009</f>
        <v/>
      </c>
    </row>
    <row r="3010">
      <c r="A3010" s="12" t="inlineStr">
        <is>
          <t>G-C-0068</t>
        </is>
      </c>
      <c r="B3010" s="12" t="inlineStr">
        <is>
          <t>G</t>
        </is>
      </c>
      <c r="C3010" s="12" t="inlineStr">
        <is>
          <t>Carbon capture</t>
        </is>
      </c>
      <c r="D3010" s="12" t="inlineStr">
        <is>
          <t>Motor 6 of 30: control / local station</t>
        </is>
      </c>
      <c r="E3010" s="12" t="inlineStr"/>
      <c r="F3010" s="12" t="inlineStr">
        <is>
          <t>CT MCC / VFD e-house</t>
        </is>
      </c>
      <c r="G3010" s="12" t="inlineStr">
        <is>
          <t>CCS-CT</t>
        </is>
      </c>
      <c r="H3010" s="12" t="inlineStr">
        <is>
          <t>CCS cooling tower (~30 cells): CCS process cooling only</t>
        </is>
      </c>
      <c r="I3010" s="12" t="inlineStr">
        <is>
          <t>Control</t>
        </is>
      </c>
      <c r="J3010" s="12" t="inlineStr">
        <is>
          <t>Control cable 600 V Type TC-ER, Cu #14 AWG, PVC jacket</t>
        </is>
      </c>
      <c r="K3010" s="12" t="inlineStr">
        <is>
          <t>CT|7/C|14</t>
        </is>
      </c>
      <c r="L3010" s="12" t="inlineStr">
        <is>
          <t>7/C</t>
        </is>
      </c>
      <c r="M3010" s="12" t="inlineStr">
        <is>
          <t>14</t>
        </is>
      </c>
      <c r="N3010" s="12" t="n">
        <v>1</v>
      </c>
      <c r="O3010" s="12" t="n">
        <v>1</v>
      </c>
      <c r="P3010" s="12" t="n"/>
      <c r="Q3010" s="12" t="n"/>
      <c r="R3010" s="12" t="n"/>
      <c r="S3010" s="12" t="inlineStr">
        <is>
          <t>Tray</t>
        </is>
      </c>
      <c r="T3010" s="16" t="n">
        <v>0</v>
      </c>
      <c r="U3010" s="16" t="n">
        <v>42</v>
      </c>
      <c r="V3010" s="16">
        <f>ROUNDUP((T3010+U3010+2*'Read Me'!$B$13)*(1+'Read Me'!$B$12),-1)</f>
        <v/>
      </c>
      <c r="W3010" s="16">
        <f>V3010*N3010*O3010</f>
        <v/>
      </c>
      <c r="X3010" s="12">
        <f>IF(LEFT(I3010,2)="MV",2*N3010*IF(L3010="1/C",O3010,1),0)</f>
        <v/>
      </c>
      <c r="Y3010" s="12">
        <f>IF(OR(LEFT(K3010,4)="LVAX",LEFT(K3010,6)="MV15AX",LEFT(K3010,4)="CTAX",LEFT(K3010,2)="W|"),2*N3010*O3010,0)</f>
        <v/>
      </c>
      <c r="Z3010" s="12" t="inlineStr"/>
      <c r="AA3010" s="12">
        <f>N3010*O3010</f>
        <v/>
      </c>
    </row>
    <row r="3011">
      <c r="A3011" s="12" t="inlineStr">
        <is>
          <t>G-C-0069</t>
        </is>
      </c>
      <c r="B3011" s="12" t="inlineStr">
        <is>
          <t>G</t>
        </is>
      </c>
      <c r="C3011" s="12" t="inlineStr">
        <is>
          <t>Carbon capture</t>
        </is>
      </c>
      <c r="D3011" s="12" t="inlineStr">
        <is>
          <t>Motor 7 of 30: control / local station</t>
        </is>
      </c>
      <c r="E3011" s="12" t="inlineStr"/>
      <c r="F3011" s="12" t="inlineStr">
        <is>
          <t>CT MCC / VFD e-house</t>
        </is>
      </c>
      <c r="G3011" s="12" t="inlineStr">
        <is>
          <t>CCS-CT</t>
        </is>
      </c>
      <c r="H3011" s="12" t="inlineStr">
        <is>
          <t>CCS cooling tower (~30 cells): CCS process cooling only</t>
        </is>
      </c>
      <c r="I3011" s="12" t="inlineStr">
        <is>
          <t>Control</t>
        </is>
      </c>
      <c r="J3011" s="12" t="inlineStr">
        <is>
          <t>Control cable 600 V Type TC-ER, Cu #14 AWG, PVC jacket</t>
        </is>
      </c>
      <c r="K3011" s="12" t="inlineStr">
        <is>
          <t>CT|7/C|14</t>
        </is>
      </c>
      <c r="L3011" s="12" t="inlineStr">
        <is>
          <t>7/C</t>
        </is>
      </c>
      <c r="M3011" s="12" t="inlineStr">
        <is>
          <t>14</t>
        </is>
      </c>
      <c r="N3011" s="12" t="n">
        <v>1</v>
      </c>
      <c r="O3011" s="12" t="n">
        <v>1</v>
      </c>
      <c r="P3011" s="12" t="n"/>
      <c r="Q3011" s="12" t="n"/>
      <c r="R3011" s="12" t="n"/>
      <c r="S3011" s="12" t="inlineStr">
        <is>
          <t>Tray</t>
        </is>
      </c>
      <c r="T3011" s="16" t="n">
        <v>0</v>
      </c>
      <c r="U3011" s="16" t="n">
        <v>42</v>
      </c>
      <c r="V3011" s="16">
        <f>ROUNDUP((T3011+U3011+2*'Read Me'!$B$13)*(1+'Read Me'!$B$12),-1)</f>
        <v/>
      </c>
      <c r="W3011" s="16">
        <f>V3011*N3011*O3011</f>
        <v/>
      </c>
      <c r="X3011" s="12">
        <f>IF(LEFT(I3011,2)="MV",2*N3011*IF(L3011="1/C",O3011,1),0)</f>
        <v/>
      </c>
      <c r="Y3011" s="12">
        <f>IF(OR(LEFT(K3011,4)="LVAX",LEFT(K3011,6)="MV15AX",LEFT(K3011,4)="CTAX",LEFT(K3011,2)="W|"),2*N3011*O3011,0)</f>
        <v/>
      </c>
      <c r="Z3011" s="12" t="inlineStr"/>
      <c r="AA3011" s="12">
        <f>N3011*O3011</f>
        <v/>
      </c>
    </row>
    <row r="3012">
      <c r="A3012" s="12" t="inlineStr">
        <is>
          <t>G-C-0070</t>
        </is>
      </c>
      <c r="B3012" s="12" t="inlineStr">
        <is>
          <t>G</t>
        </is>
      </c>
      <c r="C3012" s="12" t="inlineStr">
        <is>
          <t>Carbon capture</t>
        </is>
      </c>
      <c r="D3012" s="12" t="inlineStr">
        <is>
          <t>Motor 8 of 30: control / local station</t>
        </is>
      </c>
      <c r="E3012" s="12" t="inlineStr"/>
      <c r="F3012" s="12" t="inlineStr">
        <is>
          <t>CT MCC / VFD e-house</t>
        </is>
      </c>
      <c r="G3012" s="12" t="inlineStr">
        <is>
          <t>CCS-CT</t>
        </is>
      </c>
      <c r="H3012" s="12" t="inlineStr">
        <is>
          <t>CCS cooling tower (~30 cells): CCS process cooling only</t>
        </is>
      </c>
      <c r="I3012" s="12" t="inlineStr">
        <is>
          <t>Control</t>
        </is>
      </c>
      <c r="J3012" s="12" t="inlineStr">
        <is>
          <t>Control cable 600 V Type TC-ER, Cu #14 AWG, PVC jacket</t>
        </is>
      </c>
      <c r="K3012" s="12" t="inlineStr">
        <is>
          <t>CT|7/C|14</t>
        </is>
      </c>
      <c r="L3012" s="12" t="inlineStr">
        <is>
          <t>7/C</t>
        </is>
      </c>
      <c r="M3012" s="12" t="inlineStr">
        <is>
          <t>14</t>
        </is>
      </c>
      <c r="N3012" s="12" t="n">
        <v>1</v>
      </c>
      <c r="O3012" s="12" t="n">
        <v>1</v>
      </c>
      <c r="P3012" s="12" t="n"/>
      <c r="Q3012" s="12" t="n"/>
      <c r="R3012" s="12" t="n"/>
      <c r="S3012" s="12" t="inlineStr">
        <is>
          <t>Tray</t>
        </is>
      </c>
      <c r="T3012" s="16" t="n">
        <v>0</v>
      </c>
      <c r="U3012" s="16" t="n">
        <v>42</v>
      </c>
      <c r="V3012" s="16">
        <f>ROUNDUP((T3012+U3012+2*'Read Me'!$B$13)*(1+'Read Me'!$B$12),-1)</f>
        <v/>
      </c>
      <c r="W3012" s="16">
        <f>V3012*N3012*O3012</f>
        <v/>
      </c>
      <c r="X3012" s="12">
        <f>IF(LEFT(I3012,2)="MV",2*N3012*IF(L3012="1/C",O3012,1),0)</f>
        <v/>
      </c>
      <c r="Y3012" s="12">
        <f>IF(OR(LEFT(K3012,4)="LVAX",LEFT(K3012,6)="MV15AX",LEFT(K3012,4)="CTAX",LEFT(K3012,2)="W|"),2*N3012*O3012,0)</f>
        <v/>
      </c>
      <c r="Z3012" s="12" t="inlineStr"/>
      <c r="AA3012" s="12">
        <f>N3012*O3012</f>
        <v/>
      </c>
    </row>
    <row r="3013">
      <c r="A3013" s="12" t="inlineStr">
        <is>
          <t>G-C-0071</t>
        </is>
      </c>
      <c r="B3013" s="12" t="inlineStr">
        <is>
          <t>G</t>
        </is>
      </c>
      <c r="C3013" s="12" t="inlineStr">
        <is>
          <t>Carbon capture</t>
        </is>
      </c>
      <c r="D3013" s="12" t="inlineStr">
        <is>
          <t>Motor 9 of 30: control / local station</t>
        </is>
      </c>
      <c r="E3013" s="12" t="inlineStr"/>
      <c r="F3013" s="12" t="inlineStr">
        <is>
          <t>CT MCC / VFD e-house</t>
        </is>
      </c>
      <c r="G3013" s="12" t="inlineStr">
        <is>
          <t>CCS-CT</t>
        </is>
      </c>
      <c r="H3013" s="12" t="inlineStr">
        <is>
          <t>CCS cooling tower (~30 cells): CCS process cooling only</t>
        </is>
      </c>
      <c r="I3013" s="12" t="inlineStr">
        <is>
          <t>Control</t>
        </is>
      </c>
      <c r="J3013" s="12" t="inlineStr">
        <is>
          <t>Control cable 600 V Type TC-ER, Cu #14 AWG, PVC jacket</t>
        </is>
      </c>
      <c r="K3013" s="12" t="inlineStr">
        <is>
          <t>CT|7/C|14</t>
        </is>
      </c>
      <c r="L3013" s="12" t="inlineStr">
        <is>
          <t>7/C</t>
        </is>
      </c>
      <c r="M3013" s="12" t="inlineStr">
        <is>
          <t>14</t>
        </is>
      </c>
      <c r="N3013" s="12" t="n">
        <v>1</v>
      </c>
      <c r="O3013" s="12" t="n">
        <v>1</v>
      </c>
      <c r="P3013" s="12" t="n"/>
      <c r="Q3013" s="12" t="n"/>
      <c r="R3013" s="12" t="n"/>
      <c r="S3013" s="12" t="inlineStr">
        <is>
          <t>Tray</t>
        </is>
      </c>
      <c r="T3013" s="16" t="n">
        <v>0</v>
      </c>
      <c r="U3013" s="16" t="n">
        <v>42</v>
      </c>
      <c r="V3013" s="16">
        <f>ROUNDUP((T3013+U3013+2*'Read Me'!$B$13)*(1+'Read Me'!$B$12),-1)</f>
        <v/>
      </c>
      <c r="W3013" s="16">
        <f>V3013*N3013*O3013</f>
        <v/>
      </c>
      <c r="X3013" s="12">
        <f>IF(LEFT(I3013,2)="MV",2*N3013*IF(L3013="1/C",O3013,1),0)</f>
        <v/>
      </c>
      <c r="Y3013" s="12">
        <f>IF(OR(LEFT(K3013,4)="LVAX",LEFT(K3013,6)="MV15AX",LEFT(K3013,4)="CTAX",LEFT(K3013,2)="W|"),2*N3013*O3013,0)</f>
        <v/>
      </c>
      <c r="Z3013" s="12" t="inlineStr"/>
      <c r="AA3013" s="12">
        <f>N3013*O3013</f>
        <v/>
      </c>
    </row>
    <row r="3014">
      <c r="A3014" s="12" t="inlineStr">
        <is>
          <t>G-C-0072</t>
        </is>
      </c>
      <c r="B3014" s="12" t="inlineStr">
        <is>
          <t>G</t>
        </is>
      </c>
      <c r="C3014" s="12" t="inlineStr">
        <is>
          <t>Carbon capture</t>
        </is>
      </c>
      <c r="D3014" s="12" t="inlineStr">
        <is>
          <t>Motor 10 of 30: control / local station</t>
        </is>
      </c>
      <c r="E3014" s="12" t="inlineStr"/>
      <c r="F3014" s="12" t="inlineStr">
        <is>
          <t>CT MCC / VFD e-house</t>
        </is>
      </c>
      <c r="G3014" s="12" t="inlineStr">
        <is>
          <t>CCS-CT</t>
        </is>
      </c>
      <c r="H3014" s="12" t="inlineStr">
        <is>
          <t>CCS cooling tower (~30 cells): CCS process cooling only</t>
        </is>
      </c>
      <c r="I3014" s="12" t="inlineStr">
        <is>
          <t>Control</t>
        </is>
      </c>
      <c r="J3014" s="12" t="inlineStr">
        <is>
          <t>Control cable 600 V Type TC-ER, Cu #14 AWG, PVC jacket</t>
        </is>
      </c>
      <c r="K3014" s="12" t="inlineStr">
        <is>
          <t>CT|7/C|14</t>
        </is>
      </c>
      <c r="L3014" s="12" t="inlineStr">
        <is>
          <t>7/C</t>
        </is>
      </c>
      <c r="M3014" s="12" t="inlineStr">
        <is>
          <t>14</t>
        </is>
      </c>
      <c r="N3014" s="12" t="n">
        <v>1</v>
      </c>
      <c r="O3014" s="12" t="n">
        <v>1</v>
      </c>
      <c r="P3014" s="12" t="n"/>
      <c r="Q3014" s="12" t="n"/>
      <c r="R3014" s="12" t="n"/>
      <c r="S3014" s="12" t="inlineStr">
        <is>
          <t>Tray</t>
        </is>
      </c>
      <c r="T3014" s="16" t="n">
        <v>0</v>
      </c>
      <c r="U3014" s="16" t="n">
        <v>42</v>
      </c>
      <c r="V3014" s="16">
        <f>ROUNDUP((T3014+U3014+2*'Read Me'!$B$13)*(1+'Read Me'!$B$12),-1)</f>
        <v/>
      </c>
      <c r="W3014" s="16">
        <f>V3014*N3014*O3014</f>
        <v/>
      </c>
      <c r="X3014" s="12">
        <f>IF(LEFT(I3014,2)="MV",2*N3014*IF(L3014="1/C",O3014,1),0)</f>
        <v/>
      </c>
      <c r="Y3014" s="12">
        <f>IF(OR(LEFT(K3014,4)="LVAX",LEFT(K3014,6)="MV15AX",LEFT(K3014,4)="CTAX",LEFT(K3014,2)="W|"),2*N3014*O3014,0)</f>
        <v/>
      </c>
      <c r="Z3014" s="12" t="inlineStr"/>
      <c r="AA3014" s="12">
        <f>N3014*O3014</f>
        <v/>
      </c>
    </row>
    <row r="3015">
      <c r="A3015" s="12" t="inlineStr">
        <is>
          <t>G-C-0073</t>
        </is>
      </c>
      <c r="B3015" s="12" t="inlineStr">
        <is>
          <t>G</t>
        </is>
      </c>
      <c r="C3015" s="12" t="inlineStr">
        <is>
          <t>Carbon capture</t>
        </is>
      </c>
      <c r="D3015" s="12" t="inlineStr">
        <is>
          <t>Motor 11 of 30: control / local station</t>
        </is>
      </c>
      <c r="E3015" s="12" t="inlineStr"/>
      <c r="F3015" s="12" t="inlineStr">
        <is>
          <t>CT MCC / VFD e-house</t>
        </is>
      </c>
      <c r="G3015" s="12" t="inlineStr">
        <is>
          <t>CCS-CT</t>
        </is>
      </c>
      <c r="H3015" s="12" t="inlineStr">
        <is>
          <t>CCS cooling tower (~30 cells): CCS process cooling only</t>
        </is>
      </c>
      <c r="I3015" s="12" t="inlineStr">
        <is>
          <t>Control</t>
        </is>
      </c>
      <c r="J3015" s="12" t="inlineStr">
        <is>
          <t>Control cable 600 V Type TC-ER, Cu #14 AWG, PVC jacket</t>
        </is>
      </c>
      <c r="K3015" s="12" t="inlineStr">
        <is>
          <t>CT|7/C|14</t>
        </is>
      </c>
      <c r="L3015" s="12" t="inlineStr">
        <is>
          <t>7/C</t>
        </is>
      </c>
      <c r="M3015" s="12" t="inlineStr">
        <is>
          <t>14</t>
        </is>
      </c>
      <c r="N3015" s="12" t="n">
        <v>1</v>
      </c>
      <c r="O3015" s="12" t="n">
        <v>1</v>
      </c>
      <c r="P3015" s="12" t="n"/>
      <c r="Q3015" s="12" t="n"/>
      <c r="R3015" s="12" t="n"/>
      <c r="S3015" s="12" t="inlineStr">
        <is>
          <t>Tray</t>
        </is>
      </c>
      <c r="T3015" s="16" t="n">
        <v>0</v>
      </c>
      <c r="U3015" s="16" t="n">
        <v>42</v>
      </c>
      <c r="V3015" s="16">
        <f>ROUNDUP((T3015+U3015+2*'Read Me'!$B$13)*(1+'Read Me'!$B$12),-1)</f>
        <v/>
      </c>
      <c r="W3015" s="16">
        <f>V3015*N3015*O3015</f>
        <v/>
      </c>
      <c r="X3015" s="12">
        <f>IF(LEFT(I3015,2)="MV",2*N3015*IF(L3015="1/C",O3015,1),0)</f>
        <v/>
      </c>
      <c r="Y3015" s="12">
        <f>IF(OR(LEFT(K3015,4)="LVAX",LEFT(K3015,6)="MV15AX",LEFT(K3015,4)="CTAX",LEFT(K3015,2)="W|"),2*N3015*O3015,0)</f>
        <v/>
      </c>
      <c r="Z3015" s="12" t="inlineStr"/>
      <c r="AA3015" s="12">
        <f>N3015*O3015</f>
        <v/>
      </c>
    </row>
    <row r="3016">
      <c r="A3016" s="12" t="inlineStr">
        <is>
          <t>G-C-0074</t>
        </is>
      </c>
      <c r="B3016" s="12" t="inlineStr">
        <is>
          <t>G</t>
        </is>
      </c>
      <c r="C3016" s="12" t="inlineStr">
        <is>
          <t>Carbon capture</t>
        </is>
      </c>
      <c r="D3016" s="12" t="inlineStr">
        <is>
          <t>Motor 12 of 30: control / local station</t>
        </is>
      </c>
      <c r="E3016" s="12" t="inlineStr"/>
      <c r="F3016" s="12" t="inlineStr">
        <is>
          <t>CT MCC / VFD e-house</t>
        </is>
      </c>
      <c r="G3016" s="12" t="inlineStr">
        <is>
          <t>CCS-CT</t>
        </is>
      </c>
      <c r="H3016" s="12" t="inlineStr">
        <is>
          <t>CCS cooling tower (~30 cells): CCS process cooling only</t>
        </is>
      </c>
      <c r="I3016" s="12" t="inlineStr">
        <is>
          <t>Control</t>
        </is>
      </c>
      <c r="J3016" s="12" t="inlineStr">
        <is>
          <t>Control cable 600 V Type TC-ER, Cu #14 AWG, PVC jacket</t>
        </is>
      </c>
      <c r="K3016" s="12" t="inlineStr">
        <is>
          <t>CT|7/C|14</t>
        </is>
      </c>
      <c r="L3016" s="12" t="inlineStr">
        <is>
          <t>7/C</t>
        </is>
      </c>
      <c r="M3016" s="12" t="inlineStr">
        <is>
          <t>14</t>
        </is>
      </c>
      <c r="N3016" s="12" t="n">
        <v>1</v>
      </c>
      <c r="O3016" s="12" t="n">
        <v>1</v>
      </c>
      <c r="P3016" s="12" t="n"/>
      <c r="Q3016" s="12" t="n"/>
      <c r="R3016" s="12" t="n"/>
      <c r="S3016" s="12" t="inlineStr">
        <is>
          <t>Tray</t>
        </is>
      </c>
      <c r="T3016" s="16" t="n">
        <v>0</v>
      </c>
      <c r="U3016" s="16" t="n">
        <v>42</v>
      </c>
      <c r="V3016" s="16">
        <f>ROUNDUP((T3016+U3016+2*'Read Me'!$B$13)*(1+'Read Me'!$B$12),-1)</f>
        <v/>
      </c>
      <c r="W3016" s="16">
        <f>V3016*N3016*O3016</f>
        <v/>
      </c>
      <c r="X3016" s="12">
        <f>IF(LEFT(I3016,2)="MV",2*N3016*IF(L3016="1/C",O3016,1),0)</f>
        <v/>
      </c>
      <c r="Y3016" s="12">
        <f>IF(OR(LEFT(K3016,4)="LVAX",LEFT(K3016,6)="MV15AX",LEFT(K3016,4)="CTAX",LEFT(K3016,2)="W|"),2*N3016*O3016,0)</f>
        <v/>
      </c>
      <c r="Z3016" s="12" t="inlineStr"/>
      <c r="AA3016" s="12">
        <f>N3016*O3016</f>
        <v/>
      </c>
    </row>
    <row r="3017">
      <c r="A3017" s="12" t="inlineStr">
        <is>
          <t>G-C-0075</t>
        </is>
      </c>
      <c r="B3017" s="12" t="inlineStr">
        <is>
          <t>G</t>
        </is>
      </c>
      <c r="C3017" s="12" t="inlineStr">
        <is>
          <t>Carbon capture</t>
        </is>
      </c>
      <c r="D3017" s="12" t="inlineStr">
        <is>
          <t>Motor 13 of 30: control / local station</t>
        </is>
      </c>
      <c r="E3017" s="12" t="inlineStr"/>
      <c r="F3017" s="12" t="inlineStr">
        <is>
          <t>CT MCC / VFD e-house</t>
        </is>
      </c>
      <c r="G3017" s="12" t="inlineStr">
        <is>
          <t>CCS-CT</t>
        </is>
      </c>
      <c r="H3017" s="12" t="inlineStr">
        <is>
          <t>CCS cooling tower (~30 cells): CCS process cooling only</t>
        </is>
      </c>
      <c r="I3017" s="12" t="inlineStr">
        <is>
          <t>Control</t>
        </is>
      </c>
      <c r="J3017" s="12" t="inlineStr">
        <is>
          <t>Control cable 600 V Type TC-ER, Cu #14 AWG, PVC jacket</t>
        </is>
      </c>
      <c r="K3017" s="12" t="inlineStr">
        <is>
          <t>CT|7/C|14</t>
        </is>
      </c>
      <c r="L3017" s="12" t="inlineStr">
        <is>
          <t>7/C</t>
        </is>
      </c>
      <c r="M3017" s="12" t="inlineStr">
        <is>
          <t>14</t>
        </is>
      </c>
      <c r="N3017" s="12" t="n">
        <v>1</v>
      </c>
      <c r="O3017" s="12" t="n">
        <v>1</v>
      </c>
      <c r="P3017" s="12" t="n"/>
      <c r="Q3017" s="12" t="n"/>
      <c r="R3017" s="12" t="n"/>
      <c r="S3017" s="12" t="inlineStr">
        <is>
          <t>Tray</t>
        </is>
      </c>
      <c r="T3017" s="16" t="n">
        <v>0</v>
      </c>
      <c r="U3017" s="16" t="n">
        <v>42</v>
      </c>
      <c r="V3017" s="16">
        <f>ROUNDUP((T3017+U3017+2*'Read Me'!$B$13)*(1+'Read Me'!$B$12),-1)</f>
        <v/>
      </c>
      <c r="W3017" s="16">
        <f>V3017*N3017*O3017</f>
        <v/>
      </c>
      <c r="X3017" s="12">
        <f>IF(LEFT(I3017,2)="MV",2*N3017*IF(L3017="1/C",O3017,1),0)</f>
        <v/>
      </c>
      <c r="Y3017" s="12">
        <f>IF(OR(LEFT(K3017,4)="LVAX",LEFT(K3017,6)="MV15AX",LEFT(K3017,4)="CTAX",LEFT(K3017,2)="W|"),2*N3017*O3017,0)</f>
        <v/>
      </c>
      <c r="Z3017" s="12" t="inlineStr"/>
      <c r="AA3017" s="12">
        <f>N3017*O3017</f>
        <v/>
      </c>
    </row>
    <row r="3018">
      <c r="A3018" s="12" t="inlineStr">
        <is>
          <t>G-C-0076</t>
        </is>
      </c>
      <c r="B3018" s="12" t="inlineStr">
        <is>
          <t>G</t>
        </is>
      </c>
      <c r="C3018" s="12" t="inlineStr">
        <is>
          <t>Carbon capture</t>
        </is>
      </c>
      <c r="D3018" s="12" t="inlineStr">
        <is>
          <t>Motor 14 of 30: control / local station</t>
        </is>
      </c>
      <c r="E3018" s="12" t="inlineStr"/>
      <c r="F3018" s="12" t="inlineStr">
        <is>
          <t>CT MCC / VFD e-house</t>
        </is>
      </c>
      <c r="G3018" s="12" t="inlineStr">
        <is>
          <t>CCS-CT</t>
        </is>
      </c>
      <c r="H3018" s="12" t="inlineStr">
        <is>
          <t>CCS cooling tower (~30 cells): CCS process cooling only</t>
        </is>
      </c>
      <c r="I3018" s="12" t="inlineStr">
        <is>
          <t>Control</t>
        </is>
      </c>
      <c r="J3018" s="12" t="inlineStr">
        <is>
          <t>Control cable 600 V Type TC-ER, Cu #14 AWG, PVC jacket</t>
        </is>
      </c>
      <c r="K3018" s="12" t="inlineStr">
        <is>
          <t>CT|7/C|14</t>
        </is>
      </c>
      <c r="L3018" s="12" t="inlineStr">
        <is>
          <t>7/C</t>
        </is>
      </c>
      <c r="M3018" s="12" t="inlineStr">
        <is>
          <t>14</t>
        </is>
      </c>
      <c r="N3018" s="12" t="n">
        <v>1</v>
      </c>
      <c r="O3018" s="12" t="n">
        <v>1</v>
      </c>
      <c r="P3018" s="12" t="n"/>
      <c r="Q3018" s="12" t="n"/>
      <c r="R3018" s="12" t="n"/>
      <c r="S3018" s="12" t="inlineStr">
        <is>
          <t>Tray</t>
        </is>
      </c>
      <c r="T3018" s="16" t="n">
        <v>0</v>
      </c>
      <c r="U3018" s="16" t="n">
        <v>42</v>
      </c>
      <c r="V3018" s="16">
        <f>ROUNDUP((T3018+U3018+2*'Read Me'!$B$13)*(1+'Read Me'!$B$12),-1)</f>
        <v/>
      </c>
      <c r="W3018" s="16">
        <f>V3018*N3018*O3018</f>
        <v/>
      </c>
      <c r="X3018" s="12">
        <f>IF(LEFT(I3018,2)="MV",2*N3018*IF(L3018="1/C",O3018,1),0)</f>
        <v/>
      </c>
      <c r="Y3018" s="12">
        <f>IF(OR(LEFT(K3018,4)="LVAX",LEFT(K3018,6)="MV15AX",LEFT(K3018,4)="CTAX",LEFT(K3018,2)="W|"),2*N3018*O3018,0)</f>
        <v/>
      </c>
      <c r="Z3018" s="12" t="inlineStr"/>
      <c r="AA3018" s="12">
        <f>N3018*O3018</f>
        <v/>
      </c>
    </row>
    <row r="3019">
      <c r="A3019" s="12" t="inlineStr">
        <is>
          <t>G-C-0077</t>
        </is>
      </c>
      <c r="B3019" s="12" t="inlineStr">
        <is>
          <t>G</t>
        </is>
      </c>
      <c r="C3019" s="12" t="inlineStr">
        <is>
          <t>Carbon capture</t>
        </is>
      </c>
      <c r="D3019" s="12" t="inlineStr">
        <is>
          <t>Motor 15 of 30: control / local station</t>
        </is>
      </c>
      <c r="E3019" s="12" t="inlineStr"/>
      <c r="F3019" s="12" t="inlineStr">
        <is>
          <t>CT MCC / VFD e-house</t>
        </is>
      </c>
      <c r="G3019" s="12" t="inlineStr">
        <is>
          <t>CCS-CT</t>
        </is>
      </c>
      <c r="H3019" s="12" t="inlineStr">
        <is>
          <t>CCS cooling tower (~30 cells): CCS process cooling only</t>
        </is>
      </c>
      <c r="I3019" s="12" t="inlineStr">
        <is>
          <t>Control</t>
        </is>
      </c>
      <c r="J3019" s="12" t="inlineStr">
        <is>
          <t>Control cable 600 V Type TC-ER, Cu #14 AWG, PVC jacket</t>
        </is>
      </c>
      <c r="K3019" s="12" t="inlineStr">
        <is>
          <t>CT|7/C|14</t>
        </is>
      </c>
      <c r="L3019" s="12" t="inlineStr">
        <is>
          <t>7/C</t>
        </is>
      </c>
      <c r="M3019" s="12" t="inlineStr">
        <is>
          <t>14</t>
        </is>
      </c>
      <c r="N3019" s="12" t="n">
        <v>1</v>
      </c>
      <c r="O3019" s="12" t="n">
        <v>1</v>
      </c>
      <c r="P3019" s="12" t="n"/>
      <c r="Q3019" s="12" t="n"/>
      <c r="R3019" s="12" t="n"/>
      <c r="S3019" s="12" t="inlineStr">
        <is>
          <t>Tray</t>
        </is>
      </c>
      <c r="T3019" s="16" t="n">
        <v>0</v>
      </c>
      <c r="U3019" s="16" t="n">
        <v>42</v>
      </c>
      <c r="V3019" s="16">
        <f>ROUNDUP((T3019+U3019+2*'Read Me'!$B$13)*(1+'Read Me'!$B$12),-1)</f>
        <v/>
      </c>
      <c r="W3019" s="16">
        <f>V3019*N3019*O3019</f>
        <v/>
      </c>
      <c r="X3019" s="12">
        <f>IF(LEFT(I3019,2)="MV",2*N3019*IF(L3019="1/C",O3019,1),0)</f>
        <v/>
      </c>
      <c r="Y3019" s="12">
        <f>IF(OR(LEFT(K3019,4)="LVAX",LEFT(K3019,6)="MV15AX",LEFT(K3019,4)="CTAX",LEFT(K3019,2)="W|"),2*N3019*O3019,0)</f>
        <v/>
      </c>
      <c r="Z3019" s="12" t="inlineStr"/>
      <c r="AA3019" s="12">
        <f>N3019*O3019</f>
        <v/>
      </c>
    </row>
    <row r="3020">
      <c r="A3020" s="12" t="inlineStr">
        <is>
          <t>G-C-0078</t>
        </is>
      </c>
      <c r="B3020" s="12" t="inlineStr">
        <is>
          <t>G</t>
        </is>
      </c>
      <c r="C3020" s="12" t="inlineStr">
        <is>
          <t>Carbon capture</t>
        </is>
      </c>
      <c r="D3020" s="12" t="inlineStr">
        <is>
          <t>Motor 16 of 30: control / local station</t>
        </is>
      </c>
      <c r="E3020" s="12" t="inlineStr"/>
      <c r="F3020" s="12" t="inlineStr">
        <is>
          <t>CT MCC / VFD e-house</t>
        </is>
      </c>
      <c r="G3020" s="12" t="inlineStr">
        <is>
          <t>CCS-CT</t>
        </is>
      </c>
      <c r="H3020" s="12" t="inlineStr">
        <is>
          <t>CCS cooling tower (~30 cells): CCS process cooling only</t>
        </is>
      </c>
      <c r="I3020" s="12" t="inlineStr">
        <is>
          <t>Control</t>
        </is>
      </c>
      <c r="J3020" s="12" t="inlineStr">
        <is>
          <t>Control cable 600 V Type TC-ER, Cu #14 AWG, PVC jacket</t>
        </is>
      </c>
      <c r="K3020" s="12" t="inlineStr">
        <is>
          <t>CT|7/C|14</t>
        </is>
      </c>
      <c r="L3020" s="12" t="inlineStr">
        <is>
          <t>7/C</t>
        </is>
      </c>
      <c r="M3020" s="12" t="inlineStr">
        <is>
          <t>14</t>
        </is>
      </c>
      <c r="N3020" s="12" t="n">
        <v>1</v>
      </c>
      <c r="O3020" s="12" t="n">
        <v>1</v>
      </c>
      <c r="P3020" s="12" t="n"/>
      <c r="Q3020" s="12" t="n"/>
      <c r="R3020" s="12" t="n"/>
      <c r="S3020" s="12" t="inlineStr">
        <is>
          <t>Tray</t>
        </is>
      </c>
      <c r="T3020" s="16" t="n">
        <v>0</v>
      </c>
      <c r="U3020" s="16" t="n">
        <v>42</v>
      </c>
      <c r="V3020" s="16">
        <f>ROUNDUP((T3020+U3020+2*'Read Me'!$B$13)*(1+'Read Me'!$B$12),-1)</f>
        <v/>
      </c>
      <c r="W3020" s="16">
        <f>V3020*N3020*O3020</f>
        <v/>
      </c>
      <c r="X3020" s="12">
        <f>IF(LEFT(I3020,2)="MV",2*N3020*IF(L3020="1/C",O3020,1),0)</f>
        <v/>
      </c>
      <c r="Y3020" s="12">
        <f>IF(OR(LEFT(K3020,4)="LVAX",LEFT(K3020,6)="MV15AX",LEFT(K3020,4)="CTAX",LEFT(K3020,2)="W|"),2*N3020*O3020,0)</f>
        <v/>
      </c>
      <c r="Z3020" s="12" t="inlineStr"/>
      <c r="AA3020" s="12">
        <f>N3020*O3020</f>
        <v/>
      </c>
    </row>
    <row r="3021">
      <c r="A3021" s="12" t="inlineStr">
        <is>
          <t>G-C-0079</t>
        </is>
      </c>
      <c r="B3021" s="12" t="inlineStr">
        <is>
          <t>G</t>
        </is>
      </c>
      <c r="C3021" s="12" t="inlineStr">
        <is>
          <t>Carbon capture</t>
        </is>
      </c>
      <c r="D3021" s="12" t="inlineStr">
        <is>
          <t>Motor 17 of 30: control / local station</t>
        </is>
      </c>
      <c r="E3021" s="12" t="inlineStr"/>
      <c r="F3021" s="12" t="inlineStr">
        <is>
          <t>CT MCC / VFD e-house</t>
        </is>
      </c>
      <c r="G3021" s="12" t="inlineStr">
        <is>
          <t>CCS-CT</t>
        </is>
      </c>
      <c r="H3021" s="12" t="inlineStr">
        <is>
          <t>CCS cooling tower (~30 cells): CCS process cooling only</t>
        </is>
      </c>
      <c r="I3021" s="12" t="inlineStr">
        <is>
          <t>Control</t>
        </is>
      </c>
      <c r="J3021" s="12" t="inlineStr">
        <is>
          <t>Control cable 600 V Type TC-ER, Cu #14 AWG, PVC jacket</t>
        </is>
      </c>
      <c r="K3021" s="12" t="inlineStr">
        <is>
          <t>CT|7/C|14</t>
        </is>
      </c>
      <c r="L3021" s="12" t="inlineStr">
        <is>
          <t>7/C</t>
        </is>
      </c>
      <c r="M3021" s="12" t="inlineStr">
        <is>
          <t>14</t>
        </is>
      </c>
      <c r="N3021" s="12" t="n">
        <v>1</v>
      </c>
      <c r="O3021" s="12" t="n">
        <v>1</v>
      </c>
      <c r="P3021" s="12" t="n"/>
      <c r="Q3021" s="12" t="n"/>
      <c r="R3021" s="12" t="n"/>
      <c r="S3021" s="12" t="inlineStr">
        <is>
          <t>Tray</t>
        </is>
      </c>
      <c r="T3021" s="16" t="n">
        <v>0</v>
      </c>
      <c r="U3021" s="16" t="n">
        <v>42</v>
      </c>
      <c r="V3021" s="16">
        <f>ROUNDUP((T3021+U3021+2*'Read Me'!$B$13)*(1+'Read Me'!$B$12),-1)</f>
        <v/>
      </c>
      <c r="W3021" s="16">
        <f>V3021*N3021*O3021</f>
        <v/>
      </c>
      <c r="X3021" s="12">
        <f>IF(LEFT(I3021,2)="MV",2*N3021*IF(L3021="1/C",O3021,1),0)</f>
        <v/>
      </c>
      <c r="Y3021" s="12">
        <f>IF(OR(LEFT(K3021,4)="LVAX",LEFT(K3021,6)="MV15AX",LEFT(K3021,4)="CTAX",LEFT(K3021,2)="W|"),2*N3021*O3021,0)</f>
        <v/>
      </c>
      <c r="Z3021" s="12" t="inlineStr"/>
      <c r="AA3021" s="12">
        <f>N3021*O3021</f>
        <v/>
      </c>
    </row>
    <row r="3022">
      <c r="A3022" s="12" t="inlineStr">
        <is>
          <t>G-C-0080</t>
        </is>
      </c>
      <c r="B3022" s="12" t="inlineStr">
        <is>
          <t>G</t>
        </is>
      </c>
      <c r="C3022" s="12" t="inlineStr">
        <is>
          <t>Carbon capture</t>
        </is>
      </c>
      <c r="D3022" s="12" t="inlineStr">
        <is>
          <t>Motor 18 of 30: control / local station</t>
        </is>
      </c>
      <c r="E3022" s="12" t="inlineStr"/>
      <c r="F3022" s="12" t="inlineStr">
        <is>
          <t>CT MCC / VFD e-house</t>
        </is>
      </c>
      <c r="G3022" s="12" t="inlineStr">
        <is>
          <t>CCS-CT</t>
        </is>
      </c>
      <c r="H3022" s="12" t="inlineStr">
        <is>
          <t>CCS cooling tower (~30 cells): CCS process cooling only</t>
        </is>
      </c>
      <c r="I3022" s="12" t="inlineStr">
        <is>
          <t>Control</t>
        </is>
      </c>
      <c r="J3022" s="12" t="inlineStr">
        <is>
          <t>Control cable 600 V Type TC-ER, Cu #14 AWG, PVC jacket</t>
        </is>
      </c>
      <c r="K3022" s="12" t="inlineStr">
        <is>
          <t>CT|7/C|14</t>
        </is>
      </c>
      <c r="L3022" s="12" t="inlineStr">
        <is>
          <t>7/C</t>
        </is>
      </c>
      <c r="M3022" s="12" t="inlineStr">
        <is>
          <t>14</t>
        </is>
      </c>
      <c r="N3022" s="12" t="n">
        <v>1</v>
      </c>
      <c r="O3022" s="12" t="n">
        <v>1</v>
      </c>
      <c r="P3022" s="12" t="n"/>
      <c r="Q3022" s="12" t="n"/>
      <c r="R3022" s="12" t="n"/>
      <c r="S3022" s="12" t="inlineStr">
        <is>
          <t>Tray</t>
        </is>
      </c>
      <c r="T3022" s="16" t="n">
        <v>0</v>
      </c>
      <c r="U3022" s="16" t="n">
        <v>42</v>
      </c>
      <c r="V3022" s="16">
        <f>ROUNDUP((T3022+U3022+2*'Read Me'!$B$13)*(1+'Read Me'!$B$12),-1)</f>
        <v/>
      </c>
      <c r="W3022" s="16">
        <f>V3022*N3022*O3022</f>
        <v/>
      </c>
      <c r="X3022" s="12">
        <f>IF(LEFT(I3022,2)="MV",2*N3022*IF(L3022="1/C",O3022,1),0)</f>
        <v/>
      </c>
      <c r="Y3022" s="12">
        <f>IF(OR(LEFT(K3022,4)="LVAX",LEFT(K3022,6)="MV15AX",LEFT(K3022,4)="CTAX",LEFT(K3022,2)="W|"),2*N3022*O3022,0)</f>
        <v/>
      </c>
      <c r="Z3022" s="12" t="inlineStr"/>
      <c r="AA3022" s="12">
        <f>N3022*O3022</f>
        <v/>
      </c>
    </row>
    <row r="3023">
      <c r="A3023" s="12" t="inlineStr">
        <is>
          <t>G-C-0081</t>
        </is>
      </c>
      <c r="B3023" s="12" t="inlineStr">
        <is>
          <t>G</t>
        </is>
      </c>
      <c r="C3023" s="12" t="inlineStr">
        <is>
          <t>Carbon capture</t>
        </is>
      </c>
      <c r="D3023" s="12" t="inlineStr">
        <is>
          <t>Motor 19 of 30: control / local station</t>
        </is>
      </c>
      <c r="E3023" s="12" t="inlineStr"/>
      <c r="F3023" s="12" t="inlineStr">
        <is>
          <t>CT MCC / VFD e-house</t>
        </is>
      </c>
      <c r="G3023" s="12" t="inlineStr">
        <is>
          <t>CCS-CT</t>
        </is>
      </c>
      <c r="H3023" s="12" t="inlineStr">
        <is>
          <t>CCS cooling tower (~30 cells): CCS process cooling only</t>
        </is>
      </c>
      <c r="I3023" s="12" t="inlineStr">
        <is>
          <t>Control</t>
        </is>
      </c>
      <c r="J3023" s="12" t="inlineStr">
        <is>
          <t>Control cable 600 V Type TC-ER, Cu #14 AWG, PVC jacket</t>
        </is>
      </c>
      <c r="K3023" s="12" t="inlineStr">
        <is>
          <t>CT|7/C|14</t>
        </is>
      </c>
      <c r="L3023" s="12" t="inlineStr">
        <is>
          <t>7/C</t>
        </is>
      </c>
      <c r="M3023" s="12" t="inlineStr">
        <is>
          <t>14</t>
        </is>
      </c>
      <c r="N3023" s="12" t="n">
        <v>1</v>
      </c>
      <c r="O3023" s="12" t="n">
        <v>1</v>
      </c>
      <c r="P3023" s="12" t="n"/>
      <c r="Q3023" s="12" t="n"/>
      <c r="R3023" s="12" t="n"/>
      <c r="S3023" s="12" t="inlineStr">
        <is>
          <t>Tray</t>
        </is>
      </c>
      <c r="T3023" s="16" t="n">
        <v>0</v>
      </c>
      <c r="U3023" s="16" t="n">
        <v>42</v>
      </c>
      <c r="V3023" s="16">
        <f>ROUNDUP((T3023+U3023+2*'Read Me'!$B$13)*(1+'Read Me'!$B$12),-1)</f>
        <v/>
      </c>
      <c r="W3023" s="16">
        <f>V3023*N3023*O3023</f>
        <v/>
      </c>
      <c r="X3023" s="12">
        <f>IF(LEFT(I3023,2)="MV",2*N3023*IF(L3023="1/C",O3023,1),0)</f>
        <v/>
      </c>
      <c r="Y3023" s="12">
        <f>IF(OR(LEFT(K3023,4)="LVAX",LEFT(K3023,6)="MV15AX",LEFT(K3023,4)="CTAX",LEFT(K3023,2)="W|"),2*N3023*O3023,0)</f>
        <v/>
      </c>
      <c r="Z3023" s="12" t="inlineStr"/>
      <c r="AA3023" s="12">
        <f>N3023*O3023</f>
        <v/>
      </c>
    </row>
    <row r="3024">
      <c r="A3024" s="12" t="inlineStr">
        <is>
          <t>G-C-0082</t>
        </is>
      </c>
      <c r="B3024" s="12" t="inlineStr">
        <is>
          <t>G</t>
        </is>
      </c>
      <c r="C3024" s="12" t="inlineStr">
        <is>
          <t>Carbon capture</t>
        </is>
      </c>
      <c r="D3024" s="12" t="inlineStr">
        <is>
          <t>Motor 20 of 30: control / local station</t>
        </is>
      </c>
      <c r="E3024" s="12" t="inlineStr"/>
      <c r="F3024" s="12" t="inlineStr">
        <is>
          <t>CT MCC / VFD e-house</t>
        </is>
      </c>
      <c r="G3024" s="12" t="inlineStr">
        <is>
          <t>CCS-CT</t>
        </is>
      </c>
      <c r="H3024" s="12" t="inlineStr">
        <is>
          <t>CCS cooling tower (~30 cells): CCS process cooling only</t>
        </is>
      </c>
      <c r="I3024" s="12" t="inlineStr">
        <is>
          <t>Control</t>
        </is>
      </c>
      <c r="J3024" s="12" t="inlineStr">
        <is>
          <t>Control cable 600 V Type TC-ER, Cu #14 AWG, PVC jacket</t>
        </is>
      </c>
      <c r="K3024" s="12" t="inlineStr">
        <is>
          <t>CT|7/C|14</t>
        </is>
      </c>
      <c r="L3024" s="12" t="inlineStr">
        <is>
          <t>7/C</t>
        </is>
      </c>
      <c r="M3024" s="12" t="inlineStr">
        <is>
          <t>14</t>
        </is>
      </c>
      <c r="N3024" s="12" t="n">
        <v>1</v>
      </c>
      <c r="O3024" s="12" t="n">
        <v>1</v>
      </c>
      <c r="P3024" s="12" t="n"/>
      <c r="Q3024" s="12" t="n"/>
      <c r="R3024" s="12" t="n"/>
      <c r="S3024" s="12" t="inlineStr">
        <is>
          <t>Tray</t>
        </is>
      </c>
      <c r="T3024" s="16" t="n">
        <v>0</v>
      </c>
      <c r="U3024" s="16" t="n">
        <v>42</v>
      </c>
      <c r="V3024" s="16">
        <f>ROUNDUP((T3024+U3024+2*'Read Me'!$B$13)*(1+'Read Me'!$B$12),-1)</f>
        <v/>
      </c>
      <c r="W3024" s="16">
        <f>V3024*N3024*O3024</f>
        <v/>
      </c>
      <c r="X3024" s="12">
        <f>IF(LEFT(I3024,2)="MV",2*N3024*IF(L3024="1/C",O3024,1),0)</f>
        <v/>
      </c>
      <c r="Y3024" s="12">
        <f>IF(OR(LEFT(K3024,4)="LVAX",LEFT(K3024,6)="MV15AX",LEFT(K3024,4)="CTAX",LEFT(K3024,2)="W|"),2*N3024*O3024,0)</f>
        <v/>
      </c>
      <c r="Z3024" s="12" t="inlineStr"/>
      <c r="AA3024" s="12">
        <f>N3024*O3024</f>
        <v/>
      </c>
    </row>
    <row r="3025">
      <c r="A3025" s="12" t="inlineStr">
        <is>
          <t>G-C-0083</t>
        </is>
      </c>
      <c r="B3025" s="12" t="inlineStr">
        <is>
          <t>G</t>
        </is>
      </c>
      <c r="C3025" s="12" t="inlineStr">
        <is>
          <t>Carbon capture</t>
        </is>
      </c>
      <c r="D3025" s="12" t="inlineStr">
        <is>
          <t>Motor 21 of 30: control / local station</t>
        </is>
      </c>
      <c r="E3025" s="12" t="inlineStr"/>
      <c r="F3025" s="12" t="inlineStr">
        <is>
          <t>CT MCC / VFD e-house</t>
        </is>
      </c>
      <c r="G3025" s="12" t="inlineStr">
        <is>
          <t>CCS-CT</t>
        </is>
      </c>
      <c r="H3025" s="12" t="inlineStr">
        <is>
          <t>CCS cooling tower (~30 cells): CCS process cooling only</t>
        </is>
      </c>
      <c r="I3025" s="12" t="inlineStr">
        <is>
          <t>Control</t>
        </is>
      </c>
      <c r="J3025" s="12" t="inlineStr">
        <is>
          <t>Control cable 600 V Type TC-ER, Cu #14 AWG, PVC jacket</t>
        </is>
      </c>
      <c r="K3025" s="12" t="inlineStr">
        <is>
          <t>CT|7/C|14</t>
        </is>
      </c>
      <c r="L3025" s="12" t="inlineStr">
        <is>
          <t>7/C</t>
        </is>
      </c>
      <c r="M3025" s="12" t="inlineStr">
        <is>
          <t>14</t>
        </is>
      </c>
      <c r="N3025" s="12" t="n">
        <v>1</v>
      </c>
      <c r="O3025" s="12" t="n">
        <v>1</v>
      </c>
      <c r="P3025" s="12" t="n"/>
      <c r="Q3025" s="12" t="n"/>
      <c r="R3025" s="12" t="n"/>
      <c r="S3025" s="12" t="inlineStr">
        <is>
          <t>Tray</t>
        </is>
      </c>
      <c r="T3025" s="16" t="n">
        <v>0</v>
      </c>
      <c r="U3025" s="16" t="n">
        <v>42</v>
      </c>
      <c r="V3025" s="16">
        <f>ROUNDUP((T3025+U3025+2*'Read Me'!$B$13)*(1+'Read Me'!$B$12),-1)</f>
        <v/>
      </c>
      <c r="W3025" s="16">
        <f>V3025*N3025*O3025</f>
        <v/>
      </c>
      <c r="X3025" s="12">
        <f>IF(LEFT(I3025,2)="MV",2*N3025*IF(L3025="1/C",O3025,1),0)</f>
        <v/>
      </c>
      <c r="Y3025" s="12">
        <f>IF(OR(LEFT(K3025,4)="LVAX",LEFT(K3025,6)="MV15AX",LEFT(K3025,4)="CTAX",LEFT(K3025,2)="W|"),2*N3025*O3025,0)</f>
        <v/>
      </c>
      <c r="Z3025" s="12" t="inlineStr"/>
      <c r="AA3025" s="12">
        <f>N3025*O3025</f>
        <v/>
      </c>
    </row>
    <row r="3026">
      <c r="A3026" s="12" t="inlineStr">
        <is>
          <t>G-C-0084</t>
        </is>
      </c>
      <c r="B3026" s="12" t="inlineStr">
        <is>
          <t>G</t>
        </is>
      </c>
      <c r="C3026" s="12" t="inlineStr">
        <is>
          <t>Carbon capture</t>
        </is>
      </c>
      <c r="D3026" s="12" t="inlineStr">
        <is>
          <t>Motor 22 of 30: control / local station</t>
        </is>
      </c>
      <c r="E3026" s="12" t="inlineStr"/>
      <c r="F3026" s="12" t="inlineStr">
        <is>
          <t>CT MCC / VFD e-house</t>
        </is>
      </c>
      <c r="G3026" s="12" t="inlineStr">
        <is>
          <t>CCS-CT</t>
        </is>
      </c>
      <c r="H3026" s="12" t="inlineStr">
        <is>
          <t>CCS cooling tower (~30 cells): CCS process cooling only</t>
        </is>
      </c>
      <c r="I3026" s="12" t="inlineStr">
        <is>
          <t>Control</t>
        </is>
      </c>
      <c r="J3026" s="12" t="inlineStr">
        <is>
          <t>Control cable 600 V Type TC-ER, Cu #14 AWG, PVC jacket</t>
        </is>
      </c>
      <c r="K3026" s="12" t="inlineStr">
        <is>
          <t>CT|7/C|14</t>
        </is>
      </c>
      <c r="L3026" s="12" t="inlineStr">
        <is>
          <t>7/C</t>
        </is>
      </c>
      <c r="M3026" s="12" t="inlineStr">
        <is>
          <t>14</t>
        </is>
      </c>
      <c r="N3026" s="12" t="n">
        <v>1</v>
      </c>
      <c r="O3026" s="12" t="n">
        <v>1</v>
      </c>
      <c r="P3026" s="12" t="n"/>
      <c r="Q3026" s="12" t="n"/>
      <c r="R3026" s="12" t="n"/>
      <c r="S3026" s="12" t="inlineStr">
        <is>
          <t>Tray</t>
        </is>
      </c>
      <c r="T3026" s="16" t="n">
        <v>0</v>
      </c>
      <c r="U3026" s="16" t="n">
        <v>42</v>
      </c>
      <c r="V3026" s="16">
        <f>ROUNDUP((T3026+U3026+2*'Read Me'!$B$13)*(1+'Read Me'!$B$12),-1)</f>
        <v/>
      </c>
      <c r="W3026" s="16">
        <f>V3026*N3026*O3026</f>
        <v/>
      </c>
      <c r="X3026" s="12">
        <f>IF(LEFT(I3026,2)="MV",2*N3026*IF(L3026="1/C",O3026,1),0)</f>
        <v/>
      </c>
      <c r="Y3026" s="12">
        <f>IF(OR(LEFT(K3026,4)="LVAX",LEFT(K3026,6)="MV15AX",LEFT(K3026,4)="CTAX",LEFT(K3026,2)="W|"),2*N3026*O3026,0)</f>
        <v/>
      </c>
      <c r="Z3026" s="12" t="inlineStr"/>
      <c r="AA3026" s="12">
        <f>N3026*O3026</f>
        <v/>
      </c>
    </row>
    <row r="3027">
      <c r="A3027" s="12" t="inlineStr">
        <is>
          <t>G-C-0085</t>
        </is>
      </c>
      <c r="B3027" s="12" t="inlineStr">
        <is>
          <t>G</t>
        </is>
      </c>
      <c r="C3027" s="12" t="inlineStr">
        <is>
          <t>Carbon capture</t>
        </is>
      </c>
      <c r="D3027" s="12" t="inlineStr">
        <is>
          <t>Motor 23 of 30: control / local station</t>
        </is>
      </c>
      <c r="E3027" s="12" t="inlineStr"/>
      <c r="F3027" s="12" t="inlineStr">
        <is>
          <t>CT MCC / VFD e-house</t>
        </is>
      </c>
      <c r="G3027" s="12" t="inlineStr">
        <is>
          <t>CCS-CT</t>
        </is>
      </c>
      <c r="H3027" s="12" t="inlineStr">
        <is>
          <t>CCS cooling tower (~30 cells): CCS process cooling only</t>
        </is>
      </c>
      <c r="I3027" s="12" t="inlineStr">
        <is>
          <t>Control</t>
        </is>
      </c>
      <c r="J3027" s="12" t="inlineStr">
        <is>
          <t>Control cable 600 V Type TC-ER, Cu #14 AWG, PVC jacket</t>
        </is>
      </c>
      <c r="K3027" s="12" t="inlineStr">
        <is>
          <t>CT|7/C|14</t>
        </is>
      </c>
      <c r="L3027" s="12" t="inlineStr">
        <is>
          <t>7/C</t>
        </is>
      </c>
      <c r="M3027" s="12" t="inlineStr">
        <is>
          <t>14</t>
        </is>
      </c>
      <c r="N3027" s="12" t="n">
        <v>1</v>
      </c>
      <c r="O3027" s="12" t="n">
        <v>1</v>
      </c>
      <c r="P3027" s="12" t="n"/>
      <c r="Q3027" s="12" t="n"/>
      <c r="R3027" s="12" t="n"/>
      <c r="S3027" s="12" t="inlineStr">
        <is>
          <t>Tray</t>
        </is>
      </c>
      <c r="T3027" s="16" t="n">
        <v>0</v>
      </c>
      <c r="U3027" s="16" t="n">
        <v>42</v>
      </c>
      <c r="V3027" s="16">
        <f>ROUNDUP((T3027+U3027+2*'Read Me'!$B$13)*(1+'Read Me'!$B$12),-1)</f>
        <v/>
      </c>
      <c r="W3027" s="16">
        <f>V3027*N3027*O3027</f>
        <v/>
      </c>
      <c r="X3027" s="12">
        <f>IF(LEFT(I3027,2)="MV",2*N3027*IF(L3027="1/C",O3027,1),0)</f>
        <v/>
      </c>
      <c r="Y3027" s="12">
        <f>IF(OR(LEFT(K3027,4)="LVAX",LEFT(K3027,6)="MV15AX",LEFT(K3027,4)="CTAX",LEFT(K3027,2)="W|"),2*N3027*O3027,0)</f>
        <v/>
      </c>
      <c r="Z3027" s="12" t="inlineStr"/>
      <c r="AA3027" s="12">
        <f>N3027*O3027</f>
        <v/>
      </c>
    </row>
    <row r="3028">
      <c r="A3028" s="12" t="inlineStr">
        <is>
          <t>G-C-0086</t>
        </is>
      </c>
      <c r="B3028" s="12" t="inlineStr">
        <is>
          <t>G</t>
        </is>
      </c>
      <c r="C3028" s="12" t="inlineStr">
        <is>
          <t>Carbon capture</t>
        </is>
      </c>
      <c r="D3028" s="12" t="inlineStr">
        <is>
          <t>Motor 24 of 30: control / local station</t>
        </is>
      </c>
      <c r="E3028" s="12" t="inlineStr"/>
      <c r="F3028" s="12" t="inlineStr">
        <is>
          <t>CT MCC / VFD e-house</t>
        </is>
      </c>
      <c r="G3028" s="12" t="inlineStr">
        <is>
          <t>CCS-CT</t>
        </is>
      </c>
      <c r="H3028" s="12" t="inlineStr">
        <is>
          <t>CCS cooling tower (~30 cells): CCS process cooling only</t>
        </is>
      </c>
      <c r="I3028" s="12" t="inlineStr">
        <is>
          <t>Control</t>
        </is>
      </c>
      <c r="J3028" s="12" t="inlineStr">
        <is>
          <t>Control cable 600 V Type TC-ER, Cu #14 AWG, PVC jacket</t>
        </is>
      </c>
      <c r="K3028" s="12" t="inlineStr">
        <is>
          <t>CT|7/C|14</t>
        </is>
      </c>
      <c r="L3028" s="12" t="inlineStr">
        <is>
          <t>7/C</t>
        </is>
      </c>
      <c r="M3028" s="12" t="inlineStr">
        <is>
          <t>14</t>
        </is>
      </c>
      <c r="N3028" s="12" t="n">
        <v>1</v>
      </c>
      <c r="O3028" s="12" t="n">
        <v>1</v>
      </c>
      <c r="P3028" s="12" t="n"/>
      <c r="Q3028" s="12" t="n"/>
      <c r="R3028" s="12" t="n"/>
      <c r="S3028" s="12" t="inlineStr">
        <is>
          <t>Tray</t>
        </is>
      </c>
      <c r="T3028" s="16" t="n">
        <v>0</v>
      </c>
      <c r="U3028" s="16" t="n">
        <v>42</v>
      </c>
      <c r="V3028" s="16">
        <f>ROUNDUP((T3028+U3028+2*'Read Me'!$B$13)*(1+'Read Me'!$B$12),-1)</f>
        <v/>
      </c>
      <c r="W3028" s="16">
        <f>V3028*N3028*O3028</f>
        <v/>
      </c>
      <c r="X3028" s="12">
        <f>IF(LEFT(I3028,2)="MV",2*N3028*IF(L3028="1/C",O3028,1),0)</f>
        <v/>
      </c>
      <c r="Y3028" s="12">
        <f>IF(OR(LEFT(K3028,4)="LVAX",LEFT(K3028,6)="MV15AX",LEFT(K3028,4)="CTAX",LEFT(K3028,2)="W|"),2*N3028*O3028,0)</f>
        <v/>
      </c>
      <c r="Z3028" s="12" t="inlineStr"/>
      <c r="AA3028" s="12">
        <f>N3028*O3028</f>
        <v/>
      </c>
    </row>
    <row r="3029">
      <c r="A3029" s="12" t="inlineStr">
        <is>
          <t>G-C-0087</t>
        </is>
      </c>
      <c r="B3029" s="12" t="inlineStr">
        <is>
          <t>G</t>
        </is>
      </c>
      <c r="C3029" s="12" t="inlineStr">
        <is>
          <t>Carbon capture</t>
        </is>
      </c>
      <c r="D3029" s="12" t="inlineStr">
        <is>
          <t>Motor 25 of 30: control / local station</t>
        </is>
      </c>
      <c r="E3029" s="12" t="inlineStr"/>
      <c r="F3029" s="12" t="inlineStr">
        <is>
          <t>CT MCC / VFD e-house</t>
        </is>
      </c>
      <c r="G3029" s="12" t="inlineStr">
        <is>
          <t>CCS-CT</t>
        </is>
      </c>
      <c r="H3029" s="12" t="inlineStr">
        <is>
          <t>CCS cooling tower (~30 cells): CCS process cooling only</t>
        </is>
      </c>
      <c r="I3029" s="12" t="inlineStr">
        <is>
          <t>Control</t>
        </is>
      </c>
      <c r="J3029" s="12" t="inlineStr">
        <is>
          <t>Control cable 600 V Type TC-ER, Cu #14 AWG, PVC jacket</t>
        </is>
      </c>
      <c r="K3029" s="12" t="inlineStr">
        <is>
          <t>CT|7/C|14</t>
        </is>
      </c>
      <c r="L3029" s="12" t="inlineStr">
        <is>
          <t>7/C</t>
        </is>
      </c>
      <c r="M3029" s="12" t="inlineStr">
        <is>
          <t>14</t>
        </is>
      </c>
      <c r="N3029" s="12" t="n">
        <v>1</v>
      </c>
      <c r="O3029" s="12" t="n">
        <v>1</v>
      </c>
      <c r="P3029" s="12" t="n"/>
      <c r="Q3029" s="12" t="n"/>
      <c r="R3029" s="12" t="n"/>
      <c r="S3029" s="12" t="inlineStr">
        <is>
          <t>Tray</t>
        </is>
      </c>
      <c r="T3029" s="16" t="n">
        <v>0</v>
      </c>
      <c r="U3029" s="16" t="n">
        <v>42</v>
      </c>
      <c r="V3029" s="16">
        <f>ROUNDUP((T3029+U3029+2*'Read Me'!$B$13)*(1+'Read Me'!$B$12),-1)</f>
        <v/>
      </c>
      <c r="W3029" s="16">
        <f>V3029*N3029*O3029</f>
        <v/>
      </c>
      <c r="X3029" s="12">
        <f>IF(LEFT(I3029,2)="MV",2*N3029*IF(L3029="1/C",O3029,1),0)</f>
        <v/>
      </c>
      <c r="Y3029" s="12">
        <f>IF(OR(LEFT(K3029,4)="LVAX",LEFT(K3029,6)="MV15AX",LEFT(K3029,4)="CTAX",LEFT(K3029,2)="W|"),2*N3029*O3029,0)</f>
        <v/>
      </c>
      <c r="Z3029" s="12" t="inlineStr"/>
      <c r="AA3029" s="12">
        <f>N3029*O3029</f>
        <v/>
      </c>
    </row>
    <row r="3030">
      <c r="A3030" s="12" t="inlineStr">
        <is>
          <t>G-C-0088</t>
        </is>
      </c>
      <c r="B3030" s="12" t="inlineStr">
        <is>
          <t>G</t>
        </is>
      </c>
      <c r="C3030" s="12" t="inlineStr">
        <is>
          <t>Carbon capture</t>
        </is>
      </c>
      <c r="D3030" s="12" t="inlineStr">
        <is>
          <t>Motor 26 of 30: control / local station</t>
        </is>
      </c>
      <c r="E3030" s="12" t="inlineStr"/>
      <c r="F3030" s="12" t="inlineStr">
        <is>
          <t>CT MCC / VFD e-house</t>
        </is>
      </c>
      <c r="G3030" s="12" t="inlineStr">
        <is>
          <t>CCS-CT</t>
        </is>
      </c>
      <c r="H3030" s="12" t="inlineStr">
        <is>
          <t>CCS cooling tower (~30 cells): CCS process cooling only</t>
        </is>
      </c>
      <c r="I3030" s="12" t="inlineStr">
        <is>
          <t>Control</t>
        </is>
      </c>
      <c r="J3030" s="12" t="inlineStr">
        <is>
          <t>Control cable 600 V Type TC-ER, Cu #14 AWG, PVC jacket</t>
        </is>
      </c>
      <c r="K3030" s="12" t="inlineStr">
        <is>
          <t>CT|7/C|14</t>
        </is>
      </c>
      <c r="L3030" s="12" t="inlineStr">
        <is>
          <t>7/C</t>
        </is>
      </c>
      <c r="M3030" s="12" t="inlineStr">
        <is>
          <t>14</t>
        </is>
      </c>
      <c r="N3030" s="12" t="n">
        <v>1</v>
      </c>
      <c r="O3030" s="12" t="n">
        <v>1</v>
      </c>
      <c r="P3030" s="12" t="n"/>
      <c r="Q3030" s="12" t="n"/>
      <c r="R3030" s="12" t="n"/>
      <c r="S3030" s="12" t="inlineStr">
        <is>
          <t>Tray</t>
        </is>
      </c>
      <c r="T3030" s="16" t="n">
        <v>0</v>
      </c>
      <c r="U3030" s="16" t="n">
        <v>42</v>
      </c>
      <c r="V3030" s="16">
        <f>ROUNDUP((T3030+U3030+2*'Read Me'!$B$13)*(1+'Read Me'!$B$12),-1)</f>
        <v/>
      </c>
      <c r="W3030" s="16">
        <f>V3030*N3030*O3030</f>
        <v/>
      </c>
      <c r="X3030" s="12">
        <f>IF(LEFT(I3030,2)="MV",2*N3030*IF(L3030="1/C",O3030,1),0)</f>
        <v/>
      </c>
      <c r="Y3030" s="12">
        <f>IF(OR(LEFT(K3030,4)="LVAX",LEFT(K3030,6)="MV15AX",LEFT(K3030,4)="CTAX",LEFT(K3030,2)="W|"),2*N3030*O3030,0)</f>
        <v/>
      </c>
      <c r="Z3030" s="12" t="inlineStr"/>
      <c r="AA3030" s="12">
        <f>N3030*O3030</f>
        <v/>
      </c>
    </row>
    <row r="3031">
      <c r="A3031" s="12" t="inlineStr">
        <is>
          <t>G-C-0089</t>
        </is>
      </c>
      <c r="B3031" s="12" t="inlineStr">
        <is>
          <t>G</t>
        </is>
      </c>
      <c r="C3031" s="12" t="inlineStr">
        <is>
          <t>Carbon capture</t>
        </is>
      </c>
      <c r="D3031" s="12" t="inlineStr">
        <is>
          <t>Motor 27 of 30: control / local station</t>
        </is>
      </c>
      <c r="E3031" s="12" t="inlineStr"/>
      <c r="F3031" s="12" t="inlineStr">
        <is>
          <t>CT MCC / VFD e-house</t>
        </is>
      </c>
      <c r="G3031" s="12" t="inlineStr">
        <is>
          <t>CCS-CT</t>
        </is>
      </c>
      <c r="H3031" s="12" t="inlineStr">
        <is>
          <t>CCS cooling tower (~30 cells): CCS process cooling only</t>
        </is>
      </c>
      <c r="I3031" s="12" t="inlineStr">
        <is>
          <t>Control</t>
        </is>
      </c>
      <c r="J3031" s="12" t="inlineStr">
        <is>
          <t>Control cable 600 V Type TC-ER, Cu #14 AWG, PVC jacket</t>
        </is>
      </c>
      <c r="K3031" s="12" t="inlineStr">
        <is>
          <t>CT|7/C|14</t>
        </is>
      </c>
      <c r="L3031" s="12" t="inlineStr">
        <is>
          <t>7/C</t>
        </is>
      </c>
      <c r="M3031" s="12" t="inlineStr">
        <is>
          <t>14</t>
        </is>
      </c>
      <c r="N3031" s="12" t="n">
        <v>1</v>
      </c>
      <c r="O3031" s="12" t="n">
        <v>1</v>
      </c>
      <c r="P3031" s="12" t="n"/>
      <c r="Q3031" s="12" t="n"/>
      <c r="R3031" s="12" t="n"/>
      <c r="S3031" s="12" t="inlineStr">
        <is>
          <t>Tray</t>
        </is>
      </c>
      <c r="T3031" s="16" t="n">
        <v>0</v>
      </c>
      <c r="U3031" s="16" t="n">
        <v>42</v>
      </c>
      <c r="V3031" s="16">
        <f>ROUNDUP((T3031+U3031+2*'Read Me'!$B$13)*(1+'Read Me'!$B$12),-1)</f>
        <v/>
      </c>
      <c r="W3031" s="16">
        <f>V3031*N3031*O3031</f>
        <v/>
      </c>
      <c r="X3031" s="12">
        <f>IF(LEFT(I3031,2)="MV",2*N3031*IF(L3031="1/C",O3031,1),0)</f>
        <v/>
      </c>
      <c r="Y3031" s="12">
        <f>IF(OR(LEFT(K3031,4)="LVAX",LEFT(K3031,6)="MV15AX",LEFT(K3031,4)="CTAX",LEFT(K3031,2)="W|"),2*N3031*O3031,0)</f>
        <v/>
      </c>
      <c r="Z3031" s="12" t="inlineStr"/>
      <c r="AA3031" s="12">
        <f>N3031*O3031</f>
        <v/>
      </c>
    </row>
    <row r="3032">
      <c r="A3032" s="12" t="inlineStr">
        <is>
          <t>G-C-0090</t>
        </is>
      </c>
      <c r="B3032" s="12" t="inlineStr">
        <is>
          <t>G</t>
        </is>
      </c>
      <c r="C3032" s="12" t="inlineStr">
        <is>
          <t>Carbon capture</t>
        </is>
      </c>
      <c r="D3032" s="12" t="inlineStr">
        <is>
          <t>Motor 28 of 30: control / local station</t>
        </is>
      </c>
      <c r="E3032" s="12" t="inlineStr"/>
      <c r="F3032" s="12" t="inlineStr">
        <is>
          <t>CT MCC / VFD e-house</t>
        </is>
      </c>
      <c r="G3032" s="12" t="inlineStr">
        <is>
          <t>CCS-CT</t>
        </is>
      </c>
      <c r="H3032" s="12" t="inlineStr">
        <is>
          <t>CCS cooling tower (~30 cells): CCS process cooling only</t>
        </is>
      </c>
      <c r="I3032" s="12" t="inlineStr">
        <is>
          <t>Control</t>
        </is>
      </c>
      <c r="J3032" s="12" t="inlineStr">
        <is>
          <t>Control cable 600 V Type TC-ER, Cu #14 AWG, PVC jacket</t>
        </is>
      </c>
      <c r="K3032" s="12" t="inlineStr">
        <is>
          <t>CT|7/C|14</t>
        </is>
      </c>
      <c r="L3032" s="12" t="inlineStr">
        <is>
          <t>7/C</t>
        </is>
      </c>
      <c r="M3032" s="12" t="inlineStr">
        <is>
          <t>14</t>
        </is>
      </c>
      <c r="N3032" s="12" t="n">
        <v>1</v>
      </c>
      <c r="O3032" s="12" t="n">
        <v>1</v>
      </c>
      <c r="P3032" s="12" t="n"/>
      <c r="Q3032" s="12" t="n"/>
      <c r="R3032" s="12" t="n"/>
      <c r="S3032" s="12" t="inlineStr">
        <is>
          <t>Tray</t>
        </is>
      </c>
      <c r="T3032" s="16" t="n">
        <v>0</v>
      </c>
      <c r="U3032" s="16" t="n">
        <v>42</v>
      </c>
      <c r="V3032" s="16">
        <f>ROUNDUP((T3032+U3032+2*'Read Me'!$B$13)*(1+'Read Me'!$B$12),-1)</f>
        <v/>
      </c>
      <c r="W3032" s="16">
        <f>V3032*N3032*O3032</f>
        <v/>
      </c>
      <c r="X3032" s="12">
        <f>IF(LEFT(I3032,2)="MV",2*N3032*IF(L3032="1/C",O3032,1),0)</f>
        <v/>
      </c>
      <c r="Y3032" s="12">
        <f>IF(OR(LEFT(K3032,4)="LVAX",LEFT(K3032,6)="MV15AX",LEFT(K3032,4)="CTAX",LEFT(K3032,2)="W|"),2*N3032*O3032,0)</f>
        <v/>
      </c>
      <c r="Z3032" s="12" t="inlineStr"/>
      <c r="AA3032" s="12">
        <f>N3032*O3032</f>
        <v/>
      </c>
    </row>
    <row r="3033">
      <c r="A3033" s="12" t="inlineStr">
        <is>
          <t>G-C-0091</t>
        </is>
      </c>
      <c r="B3033" s="12" t="inlineStr">
        <is>
          <t>G</t>
        </is>
      </c>
      <c r="C3033" s="12" t="inlineStr">
        <is>
          <t>Carbon capture</t>
        </is>
      </c>
      <c r="D3033" s="12" t="inlineStr">
        <is>
          <t>Motor 29 of 30: control / local station</t>
        </is>
      </c>
      <c r="E3033" s="12" t="inlineStr"/>
      <c r="F3033" s="12" t="inlineStr">
        <is>
          <t>CT MCC / VFD e-house</t>
        </is>
      </c>
      <c r="G3033" s="12" t="inlineStr">
        <is>
          <t>CCS-CT</t>
        </is>
      </c>
      <c r="H3033" s="12" t="inlineStr">
        <is>
          <t>CCS cooling tower (~30 cells): CCS process cooling only</t>
        </is>
      </c>
      <c r="I3033" s="12" t="inlineStr">
        <is>
          <t>Control</t>
        </is>
      </c>
      <c r="J3033" s="12" t="inlineStr">
        <is>
          <t>Control cable 600 V Type TC-ER, Cu #14 AWG, PVC jacket</t>
        </is>
      </c>
      <c r="K3033" s="12" t="inlineStr">
        <is>
          <t>CT|7/C|14</t>
        </is>
      </c>
      <c r="L3033" s="12" t="inlineStr">
        <is>
          <t>7/C</t>
        </is>
      </c>
      <c r="M3033" s="12" t="inlineStr">
        <is>
          <t>14</t>
        </is>
      </c>
      <c r="N3033" s="12" t="n">
        <v>1</v>
      </c>
      <c r="O3033" s="12" t="n">
        <v>1</v>
      </c>
      <c r="P3033" s="12" t="n"/>
      <c r="Q3033" s="12" t="n"/>
      <c r="R3033" s="12" t="n"/>
      <c r="S3033" s="12" t="inlineStr">
        <is>
          <t>Tray</t>
        </is>
      </c>
      <c r="T3033" s="16" t="n">
        <v>0</v>
      </c>
      <c r="U3033" s="16" t="n">
        <v>42</v>
      </c>
      <c r="V3033" s="16">
        <f>ROUNDUP((T3033+U3033+2*'Read Me'!$B$13)*(1+'Read Me'!$B$12),-1)</f>
        <v/>
      </c>
      <c r="W3033" s="16">
        <f>V3033*N3033*O3033</f>
        <v/>
      </c>
      <c r="X3033" s="12">
        <f>IF(LEFT(I3033,2)="MV",2*N3033*IF(L3033="1/C",O3033,1),0)</f>
        <v/>
      </c>
      <c r="Y3033" s="12">
        <f>IF(OR(LEFT(K3033,4)="LVAX",LEFT(K3033,6)="MV15AX",LEFT(K3033,4)="CTAX",LEFT(K3033,2)="W|"),2*N3033*O3033,0)</f>
        <v/>
      </c>
      <c r="Z3033" s="12" t="inlineStr"/>
      <c r="AA3033" s="12">
        <f>N3033*O3033</f>
        <v/>
      </c>
    </row>
    <row r="3034">
      <c r="A3034" s="12" t="inlineStr">
        <is>
          <t>G-C-0092</t>
        </is>
      </c>
      <c r="B3034" s="12" t="inlineStr">
        <is>
          <t>G</t>
        </is>
      </c>
      <c r="C3034" s="12" t="inlineStr">
        <is>
          <t>Carbon capture</t>
        </is>
      </c>
      <c r="D3034" s="12" t="inlineStr">
        <is>
          <t>Motor 30 of 30: control / local station</t>
        </is>
      </c>
      <c r="E3034" s="12" t="inlineStr"/>
      <c r="F3034" s="12" t="inlineStr">
        <is>
          <t>CT MCC / VFD e-house</t>
        </is>
      </c>
      <c r="G3034" s="12" t="inlineStr">
        <is>
          <t>CCS-CT</t>
        </is>
      </c>
      <c r="H3034" s="12" t="inlineStr">
        <is>
          <t>CCS cooling tower (~30 cells): CCS process cooling only</t>
        </is>
      </c>
      <c r="I3034" s="12" t="inlineStr">
        <is>
          <t>Control</t>
        </is>
      </c>
      <c r="J3034" s="12" t="inlineStr">
        <is>
          <t>Control cable 600 V Type TC-ER, Cu #14 AWG, PVC jacket</t>
        </is>
      </c>
      <c r="K3034" s="12" t="inlineStr">
        <is>
          <t>CT|7/C|14</t>
        </is>
      </c>
      <c r="L3034" s="12" t="inlineStr">
        <is>
          <t>7/C</t>
        </is>
      </c>
      <c r="M3034" s="12" t="inlineStr">
        <is>
          <t>14</t>
        </is>
      </c>
      <c r="N3034" s="12" t="n">
        <v>1</v>
      </c>
      <c r="O3034" s="12" t="n">
        <v>1</v>
      </c>
      <c r="P3034" s="12" t="n"/>
      <c r="Q3034" s="12" t="n"/>
      <c r="R3034" s="12" t="n"/>
      <c r="S3034" s="12" t="inlineStr">
        <is>
          <t>Tray</t>
        </is>
      </c>
      <c r="T3034" s="16" t="n">
        <v>0</v>
      </c>
      <c r="U3034" s="16" t="n">
        <v>42</v>
      </c>
      <c r="V3034" s="16">
        <f>ROUNDUP((T3034+U3034+2*'Read Me'!$B$13)*(1+'Read Me'!$B$12),-1)</f>
        <v/>
      </c>
      <c r="W3034" s="16">
        <f>V3034*N3034*O3034</f>
        <v/>
      </c>
      <c r="X3034" s="12">
        <f>IF(LEFT(I3034,2)="MV",2*N3034*IF(L3034="1/C",O3034,1),0)</f>
        <v/>
      </c>
      <c r="Y3034" s="12">
        <f>IF(OR(LEFT(K3034,4)="LVAX",LEFT(K3034,6)="MV15AX",LEFT(K3034,4)="CTAX",LEFT(K3034,2)="W|"),2*N3034*O3034,0)</f>
        <v/>
      </c>
      <c r="Z3034" s="12" t="inlineStr"/>
      <c r="AA3034" s="12">
        <f>N3034*O3034</f>
        <v/>
      </c>
    </row>
    <row r="3035">
      <c r="A3035" s="12" t="inlineStr">
        <is>
          <t>G-C-0093</t>
        </is>
      </c>
      <c r="B3035" s="12" t="inlineStr">
        <is>
          <t>G</t>
        </is>
      </c>
      <c r="C3035" s="12" t="inlineStr">
        <is>
          <t>Carbon capture</t>
        </is>
      </c>
      <c r="D3035" s="12" t="inlineStr">
        <is>
          <t>Motor 1 of 2: control / local station</t>
        </is>
      </c>
      <c r="E3035" s="12" t="inlineStr"/>
      <c r="F3035" s="12" t="inlineStr">
        <is>
          <t>CCS MV switchgear building (VFDs)</t>
        </is>
      </c>
      <c r="G3035" s="12" t="inlineStr"/>
      <c r="H3035" s="12" t="inlineStr">
        <is>
          <t>CCS instrument air</t>
        </is>
      </c>
      <c r="I3035" s="12" t="inlineStr">
        <is>
          <t>Control</t>
        </is>
      </c>
      <c r="J3035" s="12" t="inlineStr">
        <is>
          <t>Control cable 600 V Type TC-ER, Cu #14 AWG, PVC jacket</t>
        </is>
      </c>
      <c r="K3035" s="12" t="inlineStr">
        <is>
          <t>CT|7/C|14</t>
        </is>
      </c>
      <c r="L3035" s="12" t="inlineStr">
        <is>
          <t>7/C</t>
        </is>
      </c>
      <c r="M3035" s="12" t="inlineStr">
        <is>
          <t>14</t>
        </is>
      </c>
      <c r="N3035" s="12" t="n">
        <v>1</v>
      </c>
      <c r="O3035" s="12" t="n">
        <v>1</v>
      </c>
      <c r="P3035" s="12" t="n"/>
      <c r="Q3035" s="12" t="n"/>
      <c r="R3035" s="12" t="n"/>
      <c r="S3035" s="12" t="inlineStr">
        <is>
          <t>Duct bank</t>
        </is>
      </c>
      <c r="T3035" s="16" t="n">
        <v>206</v>
      </c>
      <c r="U3035" s="16" t="n">
        <v>51</v>
      </c>
      <c r="V3035" s="16">
        <f>ROUNDUP((T3035+U3035+2*'Read Me'!$B$13)*(1+'Read Me'!$B$12),-1)</f>
        <v/>
      </c>
      <c r="W3035" s="16">
        <f>V3035*N3035*O3035</f>
        <v/>
      </c>
      <c r="X3035" s="12">
        <f>IF(LEFT(I3035,2)="MV",2*N3035*IF(L3035="1/C",O3035,1),0)</f>
        <v/>
      </c>
      <c r="Y3035" s="12">
        <f>IF(OR(LEFT(K3035,4)="LVAX",LEFT(K3035,6)="MV15AX",LEFT(K3035,4)="CTAX",LEFT(K3035,2)="W|"),2*N3035*O3035,0)</f>
        <v/>
      </c>
      <c r="Z3035" s="12" t="inlineStr"/>
      <c r="AA3035" s="12">
        <f>N3035*O3035</f>
        <v/>
      </c>
    </row>
    <row r="3036">
      <c r="A3036" s="12" t="inlineStr">
        <is>
          <t>G-C-0094</t>
        </is>
      </c>
      <c r="B3036" s="12" t="inlineStr">
        <is>
          <t>G</t>
        </is>
      </c>
      <c r="C3036" s="12" t="inlineStr">
        <is>
          <t>Carbon capture</t>
        </is>
      </c>
      <c r="D3036" s="12" t="inlineStr">
        <is>
          <t>Motor 2 of 2: control / local station</t>
        </is>
      </c>
      <c r="E3036" s="12" t="inlineStr"/>
      <c r="F3036" s="12" t="inlineStr">
        <is>
          <t>CCS MV switchgear building (VFDs)</t>
        </is>
      </c>
      <c r="G3036" s="12" t="inlineStr"/>
      <c r="H3036" s="12" t="inlineStr">
        <is>
          <t>CCS instrument air</t>
        </is>
      </c>
      <c r="I3036" s="12" t="inlineStr">
        <is>
          <t>Control</t>
        </is>
      </c>
      <c r="J3036" s="12" t="inlineStr">
        <is>
          <t>Control cable 600 V Type TC-ER, Cu #14 AWG, PVC jacket</t>
        </is>
      </c>
      <c r="K3036" s="12" t="inlineStr">
        <is>
          <t>CT|7/C|14</t>
        </is>
      </c>
      <c r="L3036" s="12" t="inlineStr">
        <is>
          <t>7/C</t>
        </is>
      </c>
      <c r="M3036" s="12" t="inlineStr">
        <is>
          <t>14</t>
        </is>
      </c>
      <c r="N3036" s="12" t="n">
        <v>1</v>
      </c>
      <c r="O3036" s="12" t="n">
        <v>1</v>
      </c>
      <c r="P3036" s="12" t="n"/>
      <c r="Q3036" s="12" t="n"/>
      <c r="R3036" s="12" t="n"/>
      <c r="S3036" s="12" t="inlineStr">
        <is>
          <t>Duct bank</t>
        </is>
      </c>
      <c r="T3036" s="16" t="n">
        <v>206</v>
      </c>
      <c r="U3036" s="16" t="n">
        <v>51</v>
      </c>
      <c r="V3036" s="16">
        <f>ROUNDUP((T3036+U3036+2*'Read Me'!$B$13)*(1+'Read Me'!$B$12),-1)</f>
        <v/>
      </c>
      <c r="W3036" s="16">
        <f>V3036*N3036*O3036</f>
        <v/>
      </c>
      <c r="X3036" s="12">
        <f>IF(LEFT(I3036,2)="MV",2*N3036*IF(L3036="1/C",O3036,1),0)</f>
        <v/>
      </c>
      <c r="Y3036" s="12">
        <f>IF(OR(LEFT(K3036,4)="LVAX",LEFT(K3036,6)="MV15AX",LEFT(K3036,4)="CTAX",LEFT(K3036,2)="W|"),2*N3036*O3036,0)</f>
        <v/>
      </c>
      <c r="Z3036" s="12" t="inlineStr"/>
      <c r="AA3036" s="12">
        <f>N3036*O3036</f>
        <v/>
      </c>
    </row>
    <row r="3037">
      <c r="A3037" s="12" t="inlineStr">
        <is>
          <t>G-C-0095</t>
        </is>
      </c>
      <c r="B3037" s="12" t="inlineStr">
        <is>
          <t>G</t>
        </is>
      </c>
      <c r="C3037" s="12" t="inlineStr">
        <is>
          <t>Carbon capture</t>
        </is>
      </c>
      <c r="D3037" s="12" t="inlineStr">
        <is>
          <t>Motor 1 of 6: control / local station</t>
        </is>
      </c>
      <c r="E3037" s="12" t="inlineStr"/>
      <c r="F3037" s="12" t="inlineStr">
        <is>
          <t>CT MCC / VFD e-house</t>
        </is>
      </c>
      <c r="G3037" s="12" t="inlineStr"/>
      <c r="H3037" s="12" t="inlineStr">
        <is>
          <t>CCS wastewater (DCC + tower blowdown)</t>
        </is>
      </c>
      <c r="I3037" s="12" t="inlineStr">
        <is>
          <t>Control</t>
        </is>
      </c>
      <c r="J3037" s="12" t="inlineStr">
        <is>
          <t>Control cable 600 V Type TC-ER, Cu #14 AWG, PVC jacket</t>
        </is>
      </c>
      <c r="K3037" s="12" t="inlineStr">
        <is>
          <t>CT|7/C|14</t>
        </is>
      </c>
      <c r="L3037" s="12" t="inlineStr">
        <is>
          <t>7/C</t>
        </is>
      </c>
      <c r="M3037" s="12" t="inlineStr">
        <is>
          <t>14</t>
        </is>
      </c>
      <c r="N3037" s="12" t="n">
        <v>1</v>
      </c>
      <c r="O3037" s="12" t="n">
        <v>1</v>
      </c>
      <c r="P3037" s="12" t="n"/>
      <c r="Q3037" s="12" t="n"/>
      <c r="R3037" s="12" t="n"/>
      <c r="S3037" s="12" t="inlineStr">
        <is>
          <t>Duct bank</t>
        </is>
      </c>
      <c r="T3037" s="16" t="n">
        <v>5</v>
      </c>
      <c r="U3037" s="16" t="n">
        <v>87</v>
      </c>
      <c r="V3037" s="16">
        <f>ROUNDUP((T3037+U3037+2*'Read Me'!$B$13)*(1+'Read Me'!$B$12),-1)</f>
        <v/>
      </c>
      <c r="W3037" s="16">
        <f>V3037*N3037*O3037</f>
        <v/>
      </c>
      <c r="X3037" s="12">
        <f>IF(LEFT(I3037,2)="MV",2*N3037*IF(L3037="1/C",O3037,1),0)</f>
        <v/>
      </c>
      <c r="Y3037" s="12">
        <f>IF(OR(LEFT(K3037,4)="LVAX",LEFT(K3037,6)="MV15AX",LEFT(K3037,4)="CTAX",LEFT(K3037,2)="W|"),2*N3037*O3037,0)</f>
        <v/>
      </c>
      <c r="Z3037" s="12" t="inlineStr"/>
      <c r="AA3037" s="12">
        <f>N3037*O3037</f>
        <v/>
      </c>
    </row>
    <row r="3038">
      <c r="A3038" s="12" t="inlineStr">
        <is>
          <t>G-C-0096</t>
        </is>
      </c>
      <c r="B3038" s="12" t="inlineStr">
        <is>
          <t>G</t>
        </is>
      </c>
      <c r="C3038" s="12" t="inlineStr">
        <is>
          <t>Carbon capture</t>
        </is>
      </c>
      <c r="D3038" s="12" t="inlineStr">
        <is>
          <t>Motor 2 of 6: control / local station</t>
        </is>
      </c>
      <c r="E3038" s="12" t="inlineStr"/>
      <c r="F3038" s="12" t="inlineStr">
        <is>
          <t>CT MCC / VFD e-house</t>
        </is>
      </c>
      <c r="G3038" s="12" t="inlineStr"/>
      <c r="H3038" s="12" t="inlineStr">
        <is>
          <t>CCS wastewater (DCC + tower blowdown)</t>
        </is>
      </c>
      <c r="I3038" s="12" t="inlineStr">
        <is>
          <t>Control</t>
        </is>
      </c>
      <c r="J3038" s="12" t="inlineStr">
        <is>
          <t>Control cable 600 V Type TC-ER, Cu #14 AWG, PVC jacket</t>
        </is>
      </c>
      <c r="K3038" s="12" t="inlineStr">
        <is>
          <t>CT|7/C|14</t>
        </is>
      </c>
      <c r="L3038" s="12" t="inlineStr">
        <is>
          <t>7/C</t>
        </is>
      </c>
      <c r="M3038" s="12" t="inlineStr">
        <is>
          <t>14</t>
        </is>
      </c>
      <c r="N3038" s="12" t="n">
        <v>1</v>
      </c>
      <c r="O3038" s="12" t="n">
        <v>1</v>
      </c>
      <c r="P3038" s="12" t="n"/>
      <c r="Q3038" s="12" t="n"/>
      <c r="R3038" s="12" t="n"/>
      <c r="S3038" s="12" t="inlineStr">
        <is>
          <t>Duct bank</t>
        </is>
      </c>
      <c r="T3038" s="16" t="n">
        <v>5</v>
      </c>
      <c r="U3038" s="16" t="n">
        <v>87</v>
      </c>
      <c r="V3038" s="16">
        <f>ROUNDUP((T3038+U3038+2*'Read Me'!$B$13)*(1+'Read Me'!$B$12),-1)</f>
        <v/>
      </c>
      <c r="W3038" s="16">
        <f>V3038*N3038*O3038</f>
        <v/>
      </c>
      <c r="X3038" s="12">
        <f>IF(LEFT(I3038,2)="MV",2*N3038*IF(L3038="1/C",O3038,1),0)</f>
        <v/>
      </c>
      <c r="Y3038" s="12">
        <f>IF(OR(LEFT(K3038,4)="LVAX",LEFT(K3038,6)="MV15AX",LEFT(K3038,4)="CTAX",LEFT(K3038,2)="W|"),2*N3038*O3038,0)</f>
        <v/>
      </c>
      <c r="Z3038" s="12" t="inlineStr"/>
      <c r="AA3038" s="12">
        <f>N3038*O3038</f>
        <v/>
      </c>
    </row>
    <row r="3039">
      <c r="A3039" s="12" t="inlineStr">
        <is>
          <t>G-C-0097</t>
        </is>
      </c>
      <c r="B3039" s="12" t="inlineStr">
        <is>
          <t>G</t>
        </is>
      </c>
      <c r="C3039" s="12" t="inlineStr">
        <is>
          <t>Carbon capture</t>
        </is>
      </c>
      <c r="D3039" s="12" t="inlineStr">
        <is>
          <t>Motor 3 of 6: control / local station</t>
        </is>
      </c>
      <c r="E3039" s="12" t="inlineStr"/>
      <c r="F3039" s="12" t="inlineStr">
        <is>
          <t>CT MCC / VFD e-house</t>
        </is>
      </c>
      <c r="G3039" s="12" t="inlineStr"/>
      <c r="H3039" s="12" t="inlineStr">
        <is>
          <t>CCS wastewater (DCC + tower blowdown)</t>
        </is>
      </c>
      <c r="I3039" s="12" t="inlineStr">
        <is>
          <t>Control</t>
        </is>
      </c>
      <c r="J3039" s="12" t="inlineStr">
        <is>
          <t>Control cable 600 V Type TC-ER, Cu #14 AWG, PVC jacket</t>
        </is>
      </c>
      <c r="K3039" s="12" t="inlineStr">
        <is>
          <t>CT|7/C|14</t>
        </is>
      </c>
      <c r="L3039" s="12" t="inlineStr">
        <is>
          <t>7/C</t>
        </is>
      </c>
      <c r="M3039" s="12" t="inlineStr">
        <is>
          <t>14</t>
        </is>
      </c>
      <c r="N3039" s="12" t="n">
        <v>1</v>
      </c>
      <c r="O3039" s="12" t="n">
        <v>1</v>
      </c>
      <c r="P3039" s="12" t="n"/>
      <c r="Q3039" s="12" t="n"/>
      <c r="R3039" s="12" t="n"/>
      <c r="S3039" s="12" t="inlineStr">
        <is>
          <t>Duct bank</t>
        </is>
      </c>
      <c r="T3039" s="16" t="n">
        <v>5</v>
      </c>
      <c r="U3039" s="16" t="n">
        <v>87</v>
      </c>
      <c r="V3039" s="16">
        <f>ROUNDUP((T3039+U3039+2*'Read Me'!$B$13)*(1+'Read Me'!$B$12),-1)</f>
        <v/>
      </c>
      <c r="W3039" s="16">
        <f>V3039*N3039*O3039</f>
        <v/>
      </c>
      <c r="X3039" s="12">
        <f>IF(LEFT(I3039,2)="MV",2*N3039*IF(L3039="1/C",O3039,1),0)</f>
        <v/>
      </c>
      <c r="Y3039" s="12">
        <f>IF(OR(LEFT(K3039,4)="LVAX",LEFT(K3039,6)="MV15AX",LEFT(K3039,4)="CTAX",LEFT(K3039,2)="W|"),2*N3039*O3039,0)</f>
        <v/>
      </c>
      <c r="Z3039" s="12" t="inlineStr"/>
      <c r="AA3039" s="12">
        <f>N3039*O3039</f>
        <v/>
      </c>
    </row>
    <row r="3040">
      <c r="A3040" s="12" t="inlineStr">
        <is>
          <t>G-C-0098</t>
        </is>
      </c>
      <c r="B3040" s="12" t="inlineStr">
        <is>
          <t>G</t>
        </is>
      </c>
      <c r="C3040" s="12" t="inlineStr">
        <is>
          <t>Carbon capture</t>
        </is>
      </c>
      <c r="D3040" s="12" t="inlineStr">
        <is>
          <t>Motor 4 of 6: control / local station</t>
        </is>
      </c>
      <c r="E3040" s="12" t="inlineStr"/>
      <c r="F3040" s="12" t="inlineStr">
        <is>
          <t>CT MCC / VFD e-house</t>
        </is>
      </c>
      <c r="G3040" s="12" t="inlineStr"/>
      <c r="H3040" s="12" t="inlineStr">
        <is>
          <t>CCS wastewater (DCC + tower blowdown)</t>
        </is>
      </c>
      <c r="I3040" s="12" t="inlineStr">
        <is>
          <t>Control</t>
        </is>
      </c>
      <c r="J3040" s="12" t="inlineStr">
        <is>
          <t>Control cable 600 V Type TC-ER, Cu #14 AWG, PVC jacket</t>
        </is>
      </c>
      <c r="K3040" s="12" t="inlineStr">
        <is>
          <t>CT|7/C|14</t>
        </is>
      </c>
      <c r="L3040" s="12" t="inlineStr">
        <is>
          <t>7/C</t>
        </is>
      </c>
      <c r="M3040" s="12" t="inlineStr">
        <is>
          <t>14</t>
        </is>
      </c>
      <c r="N3040" s="12" t="n">
        <v>1</v>
      </c>
      <c r="O3040" s="12" t="n">
        <v>1</v>
      </c>
      <c r="P3040" s="12" t="n"/>
      <c r="Q3040" s="12" t="n"/>
      <c r="R3040" s="12" t="n"/>
      <c r="S3040" s="12" t="inlineStr">
        <is>
          <t>Duct bank</t>
        </is>
      </c>
      <c r="T3040" s="16" t="n">
        <v>5</v>
      </c>
      <c r="U3040" s="16" t="n">
        <v>87</v>
      </c>
      <c r="V3040" s="16">
        <f>ROUNDUP((T3040+U3040+2*'Read Me'!$B$13)*(1+'Read Me'!$B$12),-1)</f>
        <v/>
      </c>
      <c r="W3040" s="16">
        <f>V3040*N3040*O3040</f>
        <v/>
      </c>
      <c r="X3040" s="12">
        <f>IF(LEFT(I3040,2)="MV",2*N3040*IF(L3040="1/C",O3040,1),0)</f>
        <v/>
      </c>
      <c r="Y3040" s="12">
        <f>IF(OR(LEFT(K3040,4)="LVAX",LEFT(K3040,6)="MV15AX",LEFT(K3040,4)="CTAX",LEFT(K3040,2)="W|"),2*N3040*O3040,0)</f>
        <v/>
      </c>
      <c r="Z3040" s="12" t="inlineStr"/>
      <c r="AA3040" s="12">
        <f>N3040*O3040</f>
        <v/>
      </c>
    </row>
    <row r="3041">
      <c r="A3041" s="12" t="inlineStr">
        <is>
          <t>G-C-0099</t>
        </is>
      </c>
      <c r="B3041" s="12" t="inlineStr">
        <is>
          <t>G</t>
        </is>
      </c>
      <c r="C3041" s="12" t="inlineStr">
        <is>
          <t>Carbon capture</t>
        </is>
      </c>
      <c r="D3041" s="12" t="inlineStr">
        <is>
          <t>Motor 5 of 6: control / local station</t>
        </is>
      </c>
      <c r="E3041" s="12" t="inlineStr"/>
      <c r="F3041" s="12" t="inlineStr">
        <is>
          <t>CT MCC / VFD e-house</t>
        </is>
      </c>
      <c r="G3041" s="12" t="inlineStr"/>
      <c r="H3041" s="12" t="inlineStr">
        <is>
          <t>CCS wastewater (DCC + tower blowdown)</t>
        </is>
      </c>
      <c r="I3041" s="12" t="inlineStr">
        <is>
          <t>Control</t>
        </is>
      </c>
      <c r="J3041" s="12" t="inlineStr">
        <is>
          <t>Control cable 600 V Type TC-ER, Cu #14 AWG, PVC jacket</t>
        </is>
      </c>
      <c r="K3041" s="12" t="inlineStr">
        <is>
          <t>CT|7/C|14</t>
        </is>
      </c>
      <c r="L3041" s="12" t="inlineStr">
        <is>
          <t>7/C</t>
        </is>
      </c>
      <c r="M3041" s="12" t="inlineStr">
        <is>
          <t>14</t>
        </is>
      </c>
      <c r="N3041" s="12" t="n">
        <v>1</v>
      </c>
      <c r="O3041" s="12" t="n">
        <v>1</v>
      </c>
      <c r="P3041" s="12" t="n"/>
      <c r="Q3041" s="12" t="n"/>
      <c r="R3041" s="12" t="n"/>
      <c r="S3041" s="12" t="inlineStr">
        <is>
          <t>Duct bank</t>
        </is>
      </c>
      <c r="T3041" s="16" t="n">
        <v>5</v>
      </c>
      <c r="U3041" s="16" t="n">
        <v>87</v>
      </c>
      <c r="V3041" s="16">
        <f>ROUNDUP((T3041+U3041+2*'Read Me'!$B$13)*(1+'Read Me'!$B$12),-1)</f>
        <v/>
      </c>
      <c r="W3041" s="16">
        <f>V3041*N3041*O3041</f>
        <v/>
      </c>
      <c r="X3041" s="12">
        <f>IF(LEFT(I3041,2)="MV",2*N3041*IF(L3041="1/C",O3041,1),0)</f>
        <v/>
      </c>
      <c r="Y3041" s="12">
        <f>IF(OR(LEFT(K3041,4)="LVAX",LEFT(K3041,6)="MV15AX",LEFT(K3041,4)="CTAX",LEFT(K3041,2)="W|"),2*N3041*O3041,0)</f>
        <v/>
      </c>
      <c r="Z3041" s="12" t="inlineStr"/>
      <c r="AA3041" s="12">
        <f>N3041*O3041</f>
        <v/>
      </c>
    </row>
    <row r="3042">
      <c r="A3042" s="12" t="inlineStr">
        <is>
          <t>G-C-0100</t>
        </is>
      </c>
      <c r="B3042" s="12" t="inlineStr">
        <is>
          <t>G</t>
        </is>
      </c>
      <c r="C3042" s="12" t="inlineStr">
        <is>
          <t>Carbon capture</t>
        </is>
      </c>
      <c r="D3042" s="12" t="inlineStr">
        <is>
          <t>Motor 6 of 6: control / local station</t>
        </is>
      </c>
      <c r="E3042" s="12" t="inlineStr"/>
      <c r="F3042" s="12" t="inlineStr">
        <is>
          <t>CT MCC / VFD e-house</t>
        </is>
      </c>
      <c r="G3042" s="12" t="inlineStr"/>
      <c r="H3042" s="12" t="inlineStr">
        <is>
          <t>CCS wastewater (DCC + tower blowdown)</t>
        </is>
      </c>
      <c r="I3042" s="12" t="inlineStr">
        <is>
          <t>Control</t>
        </is>
      </c>
      <c r="J3042" s="12" t="inlineStr">
        <is>
          <t>Control cable 600 V Type TC-ER, Cu #14 AWG, PVC jacket</t>
        </is>
      </c>
      <c r="K3042" s="12" t="inlineStr">
        <is>
          <t>CT|7/C|14</t>
        </is>
      </c>
      <c r="L3042" s="12" t="inlineStr">
        <is>
          <t>7/C</t>
        </is>
      </c>
      <c r="M3042" s="12" t="inlineStr">
        <is>
          <t>14</t>
        </is>
      </c>
      <c r="N3042" s="12" t="n">
        <v>1</v>
      </c>
      <c r="O3042" s="12" t="n">
        <v>1</v>
      </c>
      <c r="P3042" s="12" t="n"/>
      <c r="Q3042" s="12" t="n"/>
      <c r="R3042" s="12" t="n"/>
      <c r="S3042" s="12" t="inlineStr">
        <is>
          <t>Duct bank</t>
        </is>
      </c>
      <c r="T3042" s="16" t="n">
        <v>5</v>
      </c>
      <c r="U3042" s="16" t="n">
        <v>87</v>
      </c>
      <c r="V3042" s="16">
        <f>ROUNDUP((T3042+U3042+2*'Read Me'!$B$13)*(1+'Read Me'!$B$12),-1)</f>
        <v/>
      </c>
      <c r="W3042" s="16">
        <f>V3042*N3042*O3042</f>
        <v/>
      </c>
      <c r="X3042" s="12">
        <f>IF(LEFT(I3042,2)="MV",2*N3042*IF(L3042="1/C",O3042,1),0)</f>
        <v/>
      </c>
      <c r="Y3042" s="12">
        <f>IF(OR(LEFT(K3042,4)="LVAX",LEFT(K3042,6)="MV15AX",LEFT(K3042,4)="CTAX",LEFT(K3042,2)="W|"),2*N3042*O3042,0)</f>
        <v/>
      </c>
      <c r="Z3042" s="12" t="inlineStr"/>
      <c r="AA3042" s="12">
        <f>N3042*O3042</f>
        <v/>
      </c>
    </row>
    <row r="3043">
      <c r="A3043" s="12" t="inlineStr">
        <is>
          <t>G-C-0101</t>
        </is>
      </c>
      <c r="B3043" s="12" t="inlineStr">
        <is>
          <t>G</t>
        </is>
      </c>
      <c r="C3043" s="12" t="inlineStr">
        <is>
          <t>Carbon capture</t>
        </is>
      </c>
      <c r="D3043" s="12" t="inlineStr">
        <is>
          <t>Motor 1 of 10: control / local station</t>
        </is>
      </c>
      <c r="E3043" s="12" t="inlineStr"/>
      <c r="F3043" s="12" t="inlineStr">
        <is>
          <t>CCS MV switchgear building (VFDs)</t>
        </is>
      </c>
      <c r="G3043" s="12" t="inlineStr"/>
      <c r="H3043" s="12" t="inlineStr">
        <is>
          <t>CO2 compression 3 x ~19 MW + dehydration</t>
        </is>
      </c>
      <c r="I3043" s="12" t="inlineStr">
        <is>
          <t>Control</t>
        </is>
      </c>
      <c r="J3043" s="12" t="inlineStr">
        <is>
          <t>Control cable 600 V Type TC-ER, Cu #14 AWG, PVC jacket</t>
        </is>
      </c>
      <c r="K3043" s="12" t="inlineStr">
        <is>
          <t>CT|7/C|14</t>
        </is>
      </c>
      <c r="L3043" s="12" t="inlineStr">
        <is>
          <t>7/C</t>
        </is>
      </c>
      <c r="M3043" s="12" t="inlineStr">
        <is>
          <t>14</t>
        </is>
      </c>
      <c r="N3043" s="12" t="n">
        <v>1</v>
      </c>
      <c r="O3043" s="12" t="n">
        <v>1</v>
      </c>
      <c r="P3043" s="12" t="n"/>
      <c r="Q3043" s="12" t="n"/>
      <c r="R3043" s="12" t="n"/>
      <c r="S3043" s="12" t="inlineStr">
        <is>
          <t>Duct bank</t>
        </is>
      </c>
      <c r="T3043" s="16" t="n">
        <v>291</v>
      </c>
      <c r="U3043" s="16" t="n">
        <v>36</v>
      </c>
      <c r="V3043" s="16">
        <f>ROUNDUP((T3043+U3043+2*'Read Me'!$B$13)*(1+'Read Me'!$B$12),-1)</f>
        <v/>
      </c>
      <c r="W3043" s="16">
        <f>V3043*N3043*O3043</f>
        <v/>
      </c>
      <c r="X3043" s="12">
        <f>IF(LEFT(I3043,2)="MV",2*N3043*IF(L3043="1/C",O3043,1),0)</f>
        <v/>
      </c>
      <c r="Y3043" s="12">
        <f>IF(OR(LEFT(K3043,4)="LVAX",LEFT(K3043,6)="MV15AX",LEFT(K3043,4)="CTAX",LEFT(K3043,2)="W|"),2*N3043*O3043,0)</f>
        <v/>
      </c>
      <c r="Z3043" s="12" t="inlineStr"/>
      <c r="AA3043" s="12">
        <f>N3043*O3043</f>
        <v/>
      </c>
    </row>
    <row r="3044">
      <c r="A3044" s="12" t="inlineStr">
        <is>
          <t>G-C-0102</t>
        </is>
      </c>
      <c r="B3044" s="12" t="inlineStr">
        <is>
          <t>G</t>
        </is>
      </c>
      <c r="C3044" s="12" t="inlineStr">
        <is>
          <t>Carbon capture</t>
        </is>
      </c>
      <c r="D3044" s="12" t="inlineStr">
        <is>
          <t>Motor 2 of 10: control / local station</t>
        </is>
      </c>
      <c r="E3044" s="12" t="inlineStr"/>
      <c r="F3044" s="12" t="inlineStr">
        <is>
          <t>CCS MV switchgear building (VFDs)</t>
        </is>
      </c>
      <c r="G3044" s="12" t="inlineStr"/>
      <c r="H3044" s="12" t="inlineStr">
        <is>
          <t>CO2 compression 3 x ~19 MW + dehydration</t>
        </is>
      </c>
      <c r="I3044" s="12" t="inlineStr">
        <is>
          <t>Control</t>
        </is>
      </c>
      <c r="J3044" s="12" t="inlineStr">
        <is>
          <t>Control cable 600 V Type TC-ER, Cu #14 AWG, PVC jacket</t>
        </is>
      </c>
      <c r="K3044" s="12" t="inlineStr">
        <is>
          <t>CT|7/C|14</t>
        </is>
      </c>
      <c r="L3044" s="12" t="inlineStr">
        <is>
          <t>7/C</t>
        </is>
      </c>
      <c r="M3044" s="12" t="inlineStr">
        <is>
          <t>14</t>
        </is>
      </c>
      <c r="N3044" s="12" t="n">
        <v>1</v>
      </c>
      <c r="O3044" s="12" t="n">
        <v>1</v>
      </c>
      <c r="P3044" s="12" t="n"/>
      <c r="Q3044" s="12" t="n"/>
      <c r="R3044" s="12" t="n"/>
      <c r="S3044" s="12" t="inlineStr">
        <is>
          <t>Duct bank</t>
        </is>
      </c>
      <c r="T3044" s="16" t="n">
        <v>291</v>
      </c>
      <c r="U3044" s="16" t="n">
        <v>36</v>
      </c>
      <c r="V3044" s="16">
        <f>ROUNDUP((T3044+U3044+2*'Read Me'!$B$13)*(1+'Read Me'!$B$12),-1)</f>
        <v/>
      </c>
      <c r="W3044" s="16">
        <f>V3044*N3044*O3044</f>
        <v/>
      </c>
      <c r="X3044" s="12">
        <f>IF(LEFT(I3044,2)="MV",2*N3044*IF(L3044="1/C",O3044,1),0)</f>
        <v/>
      </c>
      <c r="Y3044" s="12">
        <f>IF(OR(LEFT(K3044,4)="LVAX",LEFT(K3044,6)="MV15AX",LEFT(K3044,4)="CTAX",LEFT(K3044,2)="W|"),2*N3044*O3044,0)</f>
        <v/>
      </c>
      <c r="Z3044" s="12" t="inlineStr"/>
      <c r="AA3044" s="12">
        <f>N3044*O3044</f>
        <v/>
      </c>
    </row>
    <row r="3045">
      <c r="A3045" s="12" t="inlineStr">
        <is>
          <t>G-C-0103</t>
        </is>
      </c>
      <c r="B3045" s="12" t="inlineStr">
        <is>
          <t>G</t>
        </is>
      </c>
      <c r="C3045" s="12" t="inlineStr">
        <is>
          <t>Carbon capture</t>
        </is>
      </c>
      <c r="D3045" s="12" t="inlineStr">
        <is>
          <t>Motor 3 of 10: control / local station</t>
        </is>
      </c>
      <c r="E3045" s="12" t="inlineStr"/>
      <c r="F3045" s="12" t="inlineStr">
        <is>
          <t>CCS MV switchgear building (VFDs)</t>
        </is>
      </c>
      <c r="G3045" s="12" t="inlineStr"/>
      <c r="H3045" s="12" t="inlineStr">
        <is>
          <t>CO2 compression 3 x ~19 MW + dehydration</t>
        </is>
      </c>
      <c r="I3045" s="12" t="inlineStr">
        <is>
          <t>Control</t>
        </is>
      </c>
      <c r="J3045" s="12" t="inlineStr">
        <is>
          <t>Control cable 600 V Type TC-ER, Cu #14 AWG, PVC jacket</t>
        </is>
      </c>
      <c r="K3045" s="12" t="inlineStr">
        <is>
          <t>CT|7/C|14</t>
        </is>
      </c>
      <c r="L3045" s="12" t="inlineStr">
        <is>
          <t>7/C</t>
        </is>
      </c>
      <c r="M3045" s="12" t="inlineStr">
        <is>
          <t>14</t>
        </is>
      </c>
      <c r="N3045" s="12" t="n">
        <v>1</v>
      </c>
      <c r="O3045" s="12" t="n">
        <v>1</v>
      </c>
      <c r="P3045" s="12" t="n"/>
      <c r="Q3045" s="12" t="n"/>
      <c r="R3045" s="12" t="n"/>
      <c r="S3045" s="12" t="inlineStr">
        <is>
          <t>Duct bank</t>
        </is>
      </c>
      <c r="T3045" s="16" t="n">
        <v>291</v>
      </c>
      <c r="U3045" s="16" t="n">
        <v>36</v>
      </c>
      <c r="V3045" s="16">
        <f>ROUNDUP((T3045+U3045+2*'Read Me'!$B$13)*(1+'Read Me'!$B$12),-1)</f>
        <v/>
      </c>
      <c r="W3045" s="16">
        <f>V3045*N3045*O3045</f>
        <v/>
      </c>
      <c r="X3045" s="12">
        <f>IF(LEFT(I3045,2)="MV",2*N3045*IF(L3045="1/C",O3045,1),0)</f>
        <v/>
      </c>
      <c r="Y3045" s="12">
        <f>IF(OR(LEFT(K3045,4)="LVAX",LEFT(K3045,6)="MV15AX",LEFT(K3045,4)="CTAX",LEFT(K3045,2)="W|"),2*N3045*O3045,0)</f>
        <v/>
      </c>
      <c r="Z3045" s="12" t="inlineStr"/>
      <c r="AA3045" s="12">
        <f>N3045*O3045</f>
        <v/>
      </c>
    </row>
    <row r="3046">
      <c r="A3046" s="12" t="inlineStr">
        <is>
          <t>G-C-0104</t>
        </is>
      </c>
      <c r="B3046" s="12" t="inlineStr">
        <is>
          <t>G</t>
        </is>
      </c>
      <c r="C3046" s="12" t="inlineStr">
        <is>
          <t>Carbon capture</t>
        </is>
      </c>
      <c r="D3046" s="12" t="inlineStr">
        <is>
          <t>Motor 4 of 10: control / local station</t>
        </is>
      </c>
      <c r="E3046" s="12" t="inlineStr"/>
      <c r="F3046" s="12" t="inlineStr">
        <is>
          <t>CCS MV switchgear building (VFDs)</t>
        </is>
      </c>
      <c r="G3046" s="12" t="inlineStr"/>
      <c r="H3046" s="12" t="inlineStr">
        <is>
          <t>CO2 compression 3 x ~19 MW + dehydration</t>
        </is>
      </c>
      <c r="I3046" s="12" t="inlineStr">
        <is>
          <t>Control</t>
        </is>
      </c>
      <c r="J3046" s="12" t="inlineStr">
        <is>
          <t>Control cable 600 V Type TC-ER, Cu #14 AWG, PVC jacket</t>
        </is>
      </c>
      <c r="K3046" s="12" t="inlineStr">
        <is>
          <t>CT|7/C|14</t>
        </is>
      </c>
      <c r="L3046" s="12" t="inlineStr">
        <is>
          <t>7/C</t>
        </is>
      </c>
      <c r="M3046" s="12" t="inlineStr">
        <is>
          <t>14</t>
        </is>
      </c>
      <c r="N3046" s="12" t="n">
        <v>1</v>
      </c>
      <c r="O3046" s="12" t="n">
        <v>1</v>
      </c>
      <c r="P3046" s="12" t="n"/>
      <c r="Q3046" s="12" t="n"/>
      <c r="R3046" s="12" t="n"/>
      <c r="S3046" s="12" t="inlineStr">
        <is>
          <t>Duct bank</t>
        </is>
      </c>
      <c r="T3046" s="16" t="n">
        <v>291</v>
      </c>
      <c r="U3046" s="16" t="n">
        <v>36</v>
      </c>
      <c r="V3046" s="16">
        <f>ROUNDUP((T3046+U3046+2*'Read Me'!$B$13)*(1+'Read Me'!$B$12),-1)</f>
        <v/>
      </c>
      <c r="W3046" s="16">
        <f>V3046*N3046*O3046</f>
        <v/>
      </c>
      <c r="X3046" s="12">
        <f>IF(LEFT(I3046,2)="MV",2*N3046*IF(L3046="1/C",O3046,1),0)</f>
        <v/>
      </c>
      <c r="Y3046" s="12">
        <f>IF(OR(LEFT(K3046,4)="LVAX",LEFT(K3046,6)="MV15AX",LEFT(K3046,4)="CTAX",LEFT(K3046,2)="W|"),2*N3046*O3046,0)</f>
        <v/>
      </c>
      <c r="Z3046" s="12" t="inlineStr"/>
      <c r="AA3046" s="12">
        <f>N3046*O3046</f>
        <v/>
      </c>
    </row>
    <row r="3047">
      <c r="A3047" s="12" t="inlineStr">
        <is>
          <t>G-C-0105</t>
        </is>
      </c>
      <c r="B3047" s="12" t="inlineStr">
        <is>
          <t>G</t>
        </is>
      </c>
      <c r="C3047" s="12" t="inlineStr">
        <is>
          <t>Carbon capture</t>
        </is>
      </c>
      <c r="D3047" s="12" t="inlineStr">
        <is>
          <t>Motor 5 of 10: control / local station</t>
        </is>
      </c>
      <c r="E3047" s="12" t="inlineStr"/>
      <c r="F3047" s="12" t="inlineStr">
        <is>
          <t>CCS MV switchgear building (VFDs)</t>
        </is>
      </c>
      <c r="G3047" s="12" t="inlineStr"/>
      <c r="H3047" s="12" t="inlineStr">
        <is>
          <t>CO2 compression 3 x ~19 MW + dehydration</t>
        </is>
      </c>
      <c r="I3047" s="12" t="inlineStr">
        <is>
          <t>Control</t>
        </is>
      </c>
      <c r="J3047" s="12" t="inlineStr">
        <is>
          <t>Control cable 600 V Type TC-ER, Cu #14 AWG, PVC jacket</t>
        </is>
      </c>
      <c r="K3047" s="12" t="inlineStr">
        <is>
          <t>CT|7/C|14</t>
        </is>
      </c>
      <c r="L3047" s="12" t="inlineStr">
        <is>
          <t>7/C</t>
        </is>
      </c>
      <c r="M3047" s="12" t="inlineStr">
        <is>
          <t>14</t>
        </is>
      </c>
      <c r="N3047" s="12" t="n">
        <v>1</v>
      </c>
      <c r="O3047" s="12" t="n">
        <v>1</v>
      </c>
      <c r="P3047" s="12" t="n"/>
      <c r="Q3047" s="12" t="n"/>
      <c r="R3047" s="12" t="n"/>
      <c r="S3047" s="12" t="inlineStr">
        <is>
          <t>Duct bank</t>
        </is>
      </c>
      <c r="T3047" s="16" t="n">
        <v>291</v>
      </c>
      <c r="U3047" s="16" t="n">
        <v>36</v>
      </c>
      <c r="V3047" s="16">
        <f>ROUNDUP((T3047+U3047+2*'Read Me'!$B$13)*(1+'Read Me'!$B$12),-1)</f>
        <v/>
      </c>
      <c r="W3047" s="16">
        <f>V3047*N3047*O3047</f>
        <v/>
      </c>
      <c r="X3047" s="12">
        <f>IF(LEFT(I3047,2)="MV",2*N3047*IF(L3047="1/C",O3047,1),0)</f>
        <v/>
      </c>
      <c r="Y3047" s="12">
        <f>IF(OR(LEFT(K3047,4)="LVAX",LEFT(K3047,6)="MV15AX",LEFT(K3047,4)="CTAX",LEFT(K3047,2)="W|"),2*N3047*O3047,0)</f>
        <v/>
      </c>
      <c r="Z3047" s="12" t="inlineStr"/>
      <c r="AA3047" s="12">
        <f>N3047*O3047</f>
        <v/>
      </c>
    </row>
    <row r="3048">
      <c r="A3048" s="12" t="inlineStr">
        <is>
          <t>G-C-0106</t>
        </is>
      </c>
      <c r="B3048" s="12" t="inlineStr">
        <is>
          <t>G</t>
        </is>
      </c>
      <c r="C3048" s="12" t="inlineStr">
        <is>
          <t>Carbon capture</t>
        </is>
      </c>
      <c r="D3048" s="12" t="inlineStr">
        <is>
          <t>Motor 6 of 10: control / local station</t>
        </is>
      </c>
      <c r="E3048" s="12" t="inlineStr"/>
      <c r="F3048" s="12" t="inlineStr">
        <is>
          <t>CCS MV switchgear building (VFDs)</t>
        </is>
      </c>
      <c r="G3048" s="12" t="inlineStr"/>
      <c r="H3048" s="12" t="inlineStr">
        <is>
          <t>CO2 compression 3 x ~19 MW + dehydration</t>
        </is>
      </c>
      <c r="I3048" s="12" t="inlineStr">
        <is>
          <t>Control</t>
        </is>
      </c>
      <c r="J3048" s="12" t="inlineStr">
        <is>
          <t>Control cable 600 V Type TC-ER, Cu #14 AWG, PVC jacket</t>
        </is>
      </c>
      <c r="K3048" s="12" t="inlineStr">
        <is>
          <t>CT|7/C|14</t>
        </is>
      </c>
      <c r="L3048" s="12" t="inlineStr">
        <is>
          <t>7/C</t>
        </is>
      </c>
      <c r="M3048" s="12" t="inlineStr">
        <is>
          <t>14</t>
        </is>
      </c>
      <c r="N3048" s="12" t="n">
        <v>1</v>
      </c>
      <c r="O3048" s="12" t="n">
        <v>1</v>
      </c>
      <c r="P3048" s="12" t="n"/>
      <c r="Q3048" s="12" t="n"/>
      <c r="R3048" s="12" t="n"/>
      <c r="S3048" s="12" t="inlineStr">
        <is>
          <t>Duct bank</t>
        </is>
      </c>
      <c r="T3048" s="16" t="n">
        <v>291</v>
      </c>
      <c r="U3048" s="16" t="n">
        <v>36</v>
      </c>
      <c r="V3048" s="16">
        <f>ROUNDUP((T3048+U3048+2*'Read Me'!$B$13)*(1+'Read Me'!$B$12),-1)</f>
        <v/>
      </c>
      <c r="W3048" s="16">
        <f>V3048*N3048*O3048</f>
        <v/>
      </c>
      <c r="X3048" s="12">
        <f>IF(LEFT(I3048,2)="MV",2*N3048*IF(L3048="1/C",O3048,1),0)</f>
        <v/>
      </c>
      <c r="Y3048" s="12">
        <f>IF(OR(LEFT(K3048,4)="LVAX",LEFT(K3048,6)="MV15AX",LEFT(K3048,4)="CTAX",LEFT(K3048,2)="W|"),2*N3048*O3048,0)</f>
        <v/>
      </c>
      <c r="Z3048" s="12" t="inlineStr"/>
      <c r="AA3048" s="12">
        <f>N3048*O3048</f>
        <v/>
      </c>
    </row>
    <row r="3049">
      <c r="A3049" s="12" t="inlineStr">
        <is>
          <t>G-C-0107</t>
        </is>
      </c>
      <c r="B3049" s="12" t="inlineStr">
        <is>
          <t>G</t>
        </is>
      </c>
      <c r="C3049" s="12" t="inlineStr">
        <is>
          <t>Carbon capture</t>
        </is>
      </c>
      <c r="D3049" s="12" t="inlineStr">
        <is>
          <t>Motor 7 of 10: control / local station</t>
        </is>
      </c>
      <c r="E3049" s="12" t="inlineStr"/>
      <c r="F3049" s="12" t="inlineStr">
        <is>
          <t>CCS MV switchgear building (VFDs)</t>
        </is>
      </c>
      <c r="G3049" s="12" t="inlineStr"/>
      <c r="H3049" s="12" t="inlineStr">
        <is>
          <t>CO2 compression 3 x ~19 MW + dehydration</t>
        </is>
      </c>
      <c r="I3049" s="12" t="inlineStr">
        <is>
          <t>Control</t>
        </is>
      </c>
      <c r="J3049" s="12" t="inlineStr">
        <is>
          <t>Control cable 600 V Type TC-ER, Cu #14 AWG, PVC jacket</t>
        </is>
      </c>
      <c r="K3049" s="12" t="inlineStr">
        <is>
          <t>CT|7/C|14</t>
        </is>
      </c>
      <c r="L3049" s="12" t="inlineStr">
        <is>
          <t>7/C</t>
        </is>
      </c>
      <c r="M3049" s="12" t="inlineStr">
        <is>
          <t>14</t>
        </is>
      </c>
      <c r="N3049" s="12" t="n">
        <v>1</v>
      </c>
      <c r="O3049" s="12" t="n">
        <v>1</v>
      </c>
      <c r="P3049" s="12" t="n"/>
      <c r="Q3049" s="12" t="n"/>
      <c r="R3049" s="12" t="n"/>
      <c r="S3049" s="12" t="inlineStr">
        <is>
          <t>Duct bank</t>
        </is>
      </c>
      <c r="T3049" s="16" t="n">
        <v>291</v>
      </c>
      <c r="U3049" s="16" t="n">
        <v>36</v>
      </c>
      <c r="V3049" s="16">
        <f>ROUNDUP((T3049+U3049+2*'Read Me'!$B$13)*(1+'Read Me'!$B$12),-1)</f>
        <v/>
      </c>
      <c r="W3049" s="16">
        <f>V3049*N3049*O3049</f>
        <v/>
      </c>
      <c r="X3049" s="12">
        <f>IF(LEFT(I3049,2)="MV",2*N3049*IF(L3049="1/C",O3049,1),0)</f>
        <v/>
      </c>
      <c r="Y3049" s="12">
        <f>IF(OR(LEFT(K3049,4)="LVAX",LEFT(K3049,6)="MV15AX",LEFT(K3049,4)="CTAX",LEFT(K3049,2)="W|"),2*N3049*O3049,0)</f>
        <v/>
      </c>
      <c r="Z3049" s="12" t="inlineStr"/>
      <c r="AA3049" s="12">
        <f>N3049*O3049</f>
        <v/>
      </c>
    </row>
    <row r="3050">
      <c r="A3050" s="12" t="inlineStr">
        <is>
          <t>G-C-0108</t>
        </is>
      </c>
      <c r="B3050" s="12" t="inlineStr">
        <is>
          <t>G</t>
        </is>
      </c>
      <c r="C3050" s="12" t="inlineStr">
        <is>
          <t>Carbon capture</t>
        </is>
      </c>
      <c r="D3050" s="12" t="inlineStr">
        <is>
          <t>Motor 8 of 10: control / local station</t>
        </is>
      </c>
      <c r="E3050" s="12" t="inlineStr"/>
      <c r="F3050" s="12" t="inlineStr">
        <is>
          <t>CCS MV switchgear building (VFDs)</t>
        </is>
      </c>
      <c r="G3050" s="12" t="inlineStr"/>
      <c r="H3050" s="12" t="inlineStr">
        <is>
          <t>CO2 compression 3 x ~19 MW + dehydration</t>
        </is>
      </c>
      <c r="I3050" s="12" t="inlineStr">
        <is>
          <t>Control</t>
        </is>
      </c>
      <c r="J3050" s="12" t="inlineStr">
        <is>
          <t>Control cable 600 V Type TC-ER, Cu #14 AWG, PVC jacket</t>
        </is>
      </c>
      <c r="K3050" s="12" t="inlineStr">
        <is>
          <t>CT|7/C|14</t>
        </is>
      </c>
      <c r="L3050" s="12" t="inlineStr">
        <is>
          <t>7/C</t>
        </is>
      </c>
      <c r="M3050" s="12" t="inlineStr">
        <is>
          <t>14</t>
        </is>
      </c>
      <c r="N3050" s="12" t="n">
        <v>1</v>
      </c>
      <c r="O3050" s="12" t="n">
        <v>1</v>
      </c>
      <c r="P3050" s="12" t="n"/>
      <c r="Q3050" s="12" t="n"/>
      <c r="R3050" s="12" t="n"/>
      <c r="S3050" s="12" t="inlineStr">
        <is>
          <t>Duct bank</t>
        </is>
      </c>
      <c r="T3050" s="16" t="n">
        <v>291</v>
      </c>
      <c r="U3050" s="16" t="n">
        <v>36</v>
      </c>
      <c r="V3050" s="16">
        <f>ROUNDUP((T3050+U3050+2*'Read Me'!$B$13)*(1+'Read Me'!$B$12),-1)</f>
        <v/>
      </c>
      <c r="W3050" s="16">
        <f>V3050*N3050*O3050</f>
        <v/>
      </c>
      <c r="X3050" s="12">
        <f>IF(LEFT(I3050,2)="MV",2*N3050*IF(L3050="1/C",O3050,1),0)</f>
        <v/>
      </c>
      <c r="Y3050" s="12">
        <f>IF(OR(LEFT(K3050,4)="LVAX",LEFT(K3050,6)="MV15AX",LEFT(K3050,4)="CTAX",LEFT(K3050,2)="W|"),2*N3050*O3050,0)</f>
        <v/>
      </c>
      <c r="Z3050" s="12" t="inlineStr"/>
      <c r="AA3050" s="12">
        <f>N3050*O3050</f>
        <v/>
      </c>
    </row>
    <row r="3051">
      <c r="A3051" s="12" t="inlineStr">
        <is>
          <t>G-C-0109</t>
        </is>
      </c>
      <c r="B3051" s="12" t="inlineStr">
        <is>
          <t>G</t>
        </is>
      </c>
      <c r="C3051" s="12" t="inlineStr">
        <is>
          <t>Carbon capture</t>
        </is>
      </c>
      <c r="D3051" s="12" t="inlineStr">
        <is>
          <t>Motor 9 of 10: control / local station</t>
        </is>
      </c>
      <c r="E3051" s="12" t="inlineStr"/>
      <c r="F3051" s="12" t="inlineStr">
        <is>
          <t>CCS MV switchgear building (VFDs)</t>
        </is>
      </c>
      <c r="G3051" s="12" t="inlineStr"/>
      <c r="H3051" s="12" t="inlineStr">
        <is>
          <t>CO2 compression 3 x ~19 MW + dehydration</t>
        </is>
      </c>
      <c r="I3051" s="12" t="inlineStr">
        <is>
          <t>Control</t>
        </is>
      </c>
      <c r="J3051" s="12" t="inlineStr">
        <is>
          <t>Control cable 600 V Type TC-ER, Cu #14 AWG, PVC jacket</t>
        </is>
      </c>
      <c r="K3051" s="12" t="inlineStr">
        <is>
          <t>CT|7/C|14</t>
        </is>
      </c>
      <c r="L3051" s="12" t="inlineStr">
        <is>
          <t>7/C</t>
        </is>
      </c>
      <c r="M3051" s="12" t="inlineStr">
        <is>
          <t>14</t>
        </is>
      </c>
      <c r="N3051" s="12" t="n">
        <v>1</v>
      </c>
      <c r="O3051" s="12" t="n">
        <v>1</v>
      </c>
      <c r="P3051" s="12" t="n"/>
      <c r="Q3051" s="12" t="n"/>
      <c r="R3051" s="12" t="n"/>
      <c r="S3051" s="12" t="inlineStr">
        <is>
          <t>Duct bank</t>
        </is>
      </c>
      <c r="T3051" s="16" t="n">
        <v>291</v>
      </c>
      <c r="U3051" s="16" t="n">
        <v>36</v>
      </c>
      <c r="V3051" s="16">
        <f>ROUNDUP((T3051+U3051+2*'Read Me'!$B$13)*(1+'Read Me'!$B$12),-1)</f>
        <v/>
      </c>
      <c r="W3051" s="16">
        <f>V3051*N3051*O3051</f>
        <v/>
      </c>
      <c r="X3051" s="12">
        <f>IF(LEFT(I3051,2)="MV",2*N3051*IF(L3051="1/C",O3051,1),0)</f>
        <v/>
      </c>
      <c r="Y3051" s="12">
        <f>IF(OR(LEFT(K3051,4)="LVAX",LEFT(K3051,6)="MV15AX",LEFT(K3051,4)="CTAX",LEFT(K3051,2)="W|"),2*N3051*O3051,0)</f>
        <v/>
      </c>
      <c r="Z3051" s="12" t="inlineStr"/>
      <c r="AA3051" s="12">
        <f>N3051*O3051</f>
        <v/>
      </c>
    </row>
    <row r="3052">
      <c r="A3052" s="12" t="inlineStr">
        <is>
          <t>G-C-0110</t>
        </is>
      </c>
      <c r="B3052" s="12" t="inlineStr">
        <is>
          <t>G</t>
        </is>
      </c>
      <c r="C3052" s="12" t="inlineStr">
        <is>
          <t>Carbon capture</t>
        </is>
      </c>
      <c r="D3052" s="12" t="inlineStr">
        <is>
          <t>Motor 10 of 10: control / local station</t>
        </is>
      </c>
      <c r="E3052" s="12" t="inlineStr"/>
      <c r="F3052" s="12" t="inlineStr">
        <is>
          <t>CCS MV switchgear building (VFDs)</t>
        </is>
      </c>
      <c r="G3052" s="12" t="inlineStr"/>
      <c r="H3052" s="12" t="inlineStr">
        <is>
          <t>CO2 compression 3 x ~19 MW + dehydration</t>
        </is>
      </c>
      <c r="I3052" s="12" t="inlineStr">
        <is>
          <t>Control</t>
        </is>
      </c>
      <c r="J3052" s="12" t="inlineStr">
        <is>
          <t>Control cable 600 V Type TC-ER, Cu #14 AWG, PVC jacket</t>
        </is>
      </c>
      <c r="K3052" s="12" t="inlineStr">
        <is>
          <t>CT|7/C|14</t>
        </is>
      </c>
      <c r="L3052" s="12" t="inlineStr">
        <is>
          <t>7/C</t>
        </is>
      </c>
      <c r="M3052" s="12" t="inlineStr">
        <is>
          <t>14</t>
        </is>
      </c>
      <c r="N3052" s="12" t="n">
        <v>1</v>
      </c>
      <c r="O3052" s="12" t="n">
        <v>1</v>
      </c>
      <c r="P3052" s="12" t="n"/>
      <c r="Q3052" s="12" t="n"/>
      <c r="R3052" s="12" t="n"/>
      <c r="S3052" s="12" t="inlineStr">
        <is>
          <t>Duct bank</t>
        </is>
      </c>
      <c r="T3052" s="16" t="n">
        <v>291</v>
      </c>
      <c r="U3052" s="16" t="n">
        <v>36</v>
      </c>
      <c r="V3052" s="16">
        <f>ROUNDUP((T3052+U3052+2*'Read Me'!$B$13)*(1+'Read Me'!$B$12),-1)</f>
        <v/>
      </c>
      <c r="W3052" s="16">
        <f>V3052*N3052*O3052</f>
        <v/>
      </c>
      <c r="X3052" s="12">
        <f>IF(LEFT(I3052,2)="MV",2*N3052*IF(L3052="1/C",O3052,1),0)</f>
        <v/>
      </c>
      <c r="Y3052" s="12">
        <f>IF(OR(LEFT(K3052,4)="LVAX",LEFT(K3052,6)="MV15AX",LEFT(K3052,4)="CTAX",LEFT(K3052,2)="W|"),2*N3052*O3052,0)</f>
        <v/>
      </c>
      <c r="Z3052" s="12" t="inlineStr"/>
      <c r="AA3052" s="12">
        <f>N3052*O3052</f>
        <v/>
      </c>
    </row>
    <row r="3053">
      <c r="A3053" s="12" t="inlineStr">
        <is>
          <t>G-C-0111</t>
        </is>
      </c>
      <c r="B3053" s="12" t="inlineStr">
        <is>
          <t>G</t>
        </is>
      </c>
      <c r="C3053" s="12" t="inlineStr">
        <is>
          <t>Carbon capture</t>
        </is>
      </c>
      <c r="D3053" s="12" t="inlineStr">
        <is>
          <t>Motor 1 of 2: control / local station</t>
        </is>
      </c>
      <c r="E3053" s="12" t="inlineStr"/>
      <c r="F3053" s="12" t="inlineStr">
        <is>
          <t>CCS MV switchgear building (VFDs)</t>
        </is>
      </c>
      <c r="G3053" s="12" t="inlineStr"/>
      <c r="H3053" s="12" t="inlineStr">
        <is>
          <t>CO2 dehydration: molecular-sieve towers and regeneration heater</t>
        </is>
      </c>
      <c r="I3053" s="12" t="inlineStr">
        <is>
          <t>Control</t>
        </is>
      </c>
      <c r="J3053" s="12" t="inlineStr">
        <is>
          <t>Control cable 600 V Type TC-ER, Cu #14 AWG, PVC jacket</t>
        </is>
      </c>
      <c r="K3053" s="12" t="inlineStr">
        <is>
          <t>CT|7/C|14</t>
        </is>
      </c>
      <c r="L3053" s="12" t="inlineStr">
        <is>
          <t>7/C</t>
        </is>
      </c>
      <c r="M3053" s="12" t="inlineStr">
        <is>
          <t>14</t>
        </is>
      </c>
      <c r="N3053" s="12" t="n">
        <v>1</v>
      </c>
      <c r="O3053" s="12" t="n">
        <v>1</v>
      </c>
      <c r="P3053" s="12" t="n"/>
      <c r="Q3053" s="12" t="n"/>
      <c r="R3053" s="12" t="n"/>
      <c r="S3053" s="12" t="inlineStr">
        <is>
          <t>Duct bank</t>
        </is>
      </c>
      <c r="T3053" s="16" t="n">
        <v>305</v>
      </c>
      <c r="U3053" s="16" t="n">
        <v>160</v>
      </c>
      <c r="V3053" s="16">
        <f>ROUNDUP((T3053+U3053+2*'Read Me'!$B$13)*(1+'Read Me'!$B$12),-1)</f>
        <v/>
      </c>
      <c r="W3053" s="16">
        <f>V3053*N3053*O3053</f>
        <v/>
      </c>
      <c r="X3053" s="12">
        <f>IF(LEFT(I3053,2)="MV",2*N3053*IF(L3053="1/C",O3053,1),0)</f>
        <v/>
      </c>
      <c r="Y3053" s="12">
        <f>IF(OR(LEFT(K3053,4)="LVAX",LEFT(K3053,6)="MV15AX",LEFT(K3053,4)="CTAX",LEFT(K3053,2)="W|"),2*N3053*O3053,0)</f>
        <v/>
      </c>
      <c r="Z3053" s="12" t="inlineStr"/>
      <c r="AA3053" s="12">
        <f>N3053*O3053</f>
        <v/>
      </c>
    </row>
    <row r="3054">
      <c r="A3054" s="12" t="inlineStr">
        <is>
          <t>G-C-0112</t>
        </is>
      </c>
      <c r="B3054" s="12" t="inlineStr">
        <is>
          <t>G</t>
        </is>
      </c>
      <c r="C3054" s="12" t="inlineStr">
        <is>
          <t>Carbon capture</t>
        </is>
      </c>
      <c r="D3054" s="12" t="inlineStr">
        <is>
          <t>Motor 2 of 2: control / local station</t>
        </is>
      </c>
      <c r="E3054" s="12" t="inlineStr"/>
      <c r="F3054" s="12" t="inlineStr">
        <is>
          <t>CCS MV switchgear building (VFDs)</t>
        </is>
      </c>
      <c r="G3054" s="12" t="inlineStr"/>
      <c r="H3054" s="12" t="inlineStr">
        <is>
          <t>CO2 dehydration: molecular-sieve towers and regeneration heater</t>
        </is>
      </c>
      <c r="I3054" s="12" t="inlineStr">
        <is>
          <t>Control</t>
        </is>
      </c>
      <c r="J3054" s="12" t="inlineStr">
        <is>
          <t>Control cable 600 V Type TC-ER, Cu #14 AWG, PVC jacket</t>
        </is>
      </c>
      <c r="K3054" s="12" t="inlineStr">
        <is>
          <t>CT|7/C|14</t>
        </is>
      </c>
      <c r="L3054" s="12" t="inlineStr">
        <is>
          <t>7/C</t>
        </is>
      </c>
      <c r="M3054" s="12" t="inlineStr">
        <is>
          <t>14</t>
        </is>
      </c>
      <c r="N3054" s="12" t="n">
        <v>1</v>
      </c>
      <c r="O3054" s="12" t="n">
        <v>1</v>
      </c>
      <c r="P3054" s="12" t="n"/>
      <c r="Q3054" s="12" t="n"/>
      <c r="R3054" s="12" t="n"/>
      <c r="S3054" s="12" t="inlineStr">
        <is>
          <t>Duct bank</t>
        </is>
      </c>
      <c r="T3054" s="16" t="n">
        <v>305</v>
      </c>
      <c r="U3054" s="16" t="n">
        <v>160</v>
      </c>
      <c r="V3054" s="16">
        <f>ROUNDUP((T3054+U3054+2*'Read Me'!$B$13)*(1+'Read Me'!$B$12),-1)</f>
        <v/>
      </c>
      <c r="W3054" s="16">
        <f>V3054*N3054*O3054</f>
        <v/>
      </c>
      <c r="X3054" s="12">
        <f>IF(LEFT(I3054,2)="MV",2*N3054*IF(L3054="1/C",O3054,1),0)</f>
        <v/>
      </c>
      <c r="Y3054" s="12">
        <f>IF(OR(LEFT(K3054,4)="LVAX",LEFT(K3054,6)="MV15AX",LEFT(K3054,4)="CTAX",LEFT(K3054,2)="W|"),2*N3054*O3054,0)</f>
        <v/>
      </c>
      <c r="Z3054" s="12" t="inlineStr"/>
      <c r="AA3054" s="12">
        <f>N3054*O3054</f>
        <v/>
      </c>
    </row>
    <row r="3055">
      <c r="A3055" s="12" t="inlineStr">
        <is>
          <t>G-C-0113</t>
        </is>
      </c>
      <c r="B3055" s="12" t="inlineStr">
        <is>
          <t>G</t>
        </is>
      </c>
      <c r="C3055" s="12" t="inlineStr">
        <is>
          <t>Carbon capture</t>
        </is>
      </c>
      <c r="D3055" s="12" t="inlineStr">
        <is>
          <t>Motor 1 of 1: control / local station</t>
        </is>
      </c>
      <c r="E3055" s="12" t="inlineStr"/>
      <c r="F3055" s="12" t="inlineStr">
        <is>
          <t>CCS MV switchgear building (VFDs)</t>
        </is>
      </c>
      <c r="G3055" s="12" t="inlineStr"/>
      <c r="H3055" s="12" t="inlineStr">
        <is>
          <t>CO2 dehydration: molecular-sieve towers and regeneration heater</t>
        </is>
      </c>
      <c r="I3055" s="12" t="inlineStr">
        <is>
          <t>Control</t>
        </is>
      </c>
      <c r="J3055" s="12" t="inlineStr">
        <is>
          <t>Control cable 600 V Type TC-ER, Cu #14 AWG, PVC jacket</t>
        </is>
      </c>
      <c r="K3055" s="12" t="inlineStr">
        <is>
          <t>CT|7/C|14</t>
        </is>
      </c>
      <c r="L3055" s="12" t="inlineStr">
        <is>
          <t>7/C</t>
        </is>
      </c>
      <c r="M3055" s="12" t="inlineStr">
        <is>
          <t>14</t>
        </is>
      </c>
      <c r="N3055" s="12" t="n">
        <v>1</v>
      </c>
      <c r="O3055" s="12" t="n">
        <v>1</v>
      </c>
      <c r="P3055" s="12" t="n"/>
      <c r="Q3055" s="12" t="n"/>
      <c r="R3055" s="12" t="n"/>
      <c r="S3055" s="12" t="inlineStr">
        <is>
          <t>Duct bank</t>
        </is>
      </c>
      <c r="T3055" s="16" t="n">
        <v>305</v>
      </c>
      <c r="U3055" s="16" t="n">
        <v>160</v>
      </c>
      <c r="V3055" s="16">
        <f>ROUNDUP((T3055+U3055+2*'Read Me'!$B$13)*(1+'Read Me'!$B$12),-1)</f>
        <v/>
      </c>
      <c r="W3055" s="16">
        <f>V3055*N3055*O3055</f>
        <v/>
      </c>
      <c r="X3055" s="12">
        <f>IF(LEFT(I3055,2)="MV",2*N3055*IF(L3055="1/C",O3055,1),0)</f>
        <v/>
      </c>
      <c r="Y3055" s="12">
        <f>IF(OR(LEFT(K3055,4)="LVAX",LEFT(K3055,6)="MV15AX",LEFT(K3055,4)="CTAX",LEFT(K3055,2)="W|"),2*N3055*O3055,0)</f>
        <v/>
      </c>
      <c r="Z3055" s="12" t="inlineStr"/>
      <c r="AA3055" s="12">
        <f>N3055*O3055</f>
        <v/>
      </c>
    </row>
    <row r="3056">
      <c r="A3056" s="12" t="inlineStr">
        <is>
          <t>G-C-0114</t>
        </is>
      </c>
      <c r="B3056" s="12" t="inlineStr">
        <is>
          <t>G</t>
        </is>
      </c>
      <c r="C3056" s="12" t="inlineStr">
        <is>
          <t>Carbon capture</t>
        </is>
      </c>
      <c r="D3056" s="12" t="inlineStr">
        <is>
          <t>MOV 1: control</t>
        </is>
      </c>
      <c r="E3056" s="12" t="inlineStr"/>
      <c r="F3056" s="12" t="inlineStr">
        <is>
          <t>CCS MV switchgear building (VFDs)</t>
        </is>
      </c>
      <c r="G3056" s="12" t="inlineStr"/>
      <c r="H3056" s="12" t="inlineStr">
        <is>
          <t>CO2 dehydration: molecular-sieve towers and regeneration heater</t>
        </is>
      </c>
      <c r="I3056" s="12" t="inlineStr">
        <is>
          <t>Control</t>
        </is>
      </c>
      <c r="J3056" s="12" t="inlineStr">
        <is>
          <t>Control cable 600 V Type TC-ER, Cu #14 AWG, PVC jacket</t>
        </is>
      </c>
      <c r="K3056" s="12" t="inlineStr">
        <is>
          <t>CT|12/C|14</t>
        </is>
      </c>
      <c r="L3056" s="12" t="inlineStr">
        <is>
          <t>12/C</t>
        </is>
      </c>
      <c r="M3056" s="12" t="inlineStr">
        <is>
          <t>14</t>
        </is>
      </c>
      <c r="N3056" s="12" t="n">
        <v>1</v>
      </c>
      <c r="O3056" s="12" t="n">
        <v>1</v>
      </c>
      <c r="P3056" s="12" t="n"/>
      <c r="Q3056" s="12" t="n"/>
      <c r="R3056" s="12" t="n"/>
      <c r="S3056" s="12" t="inlineStr">
        <is>
          <t>Duct bank</t>
        </is>
      </c>
      <c r="T3056" s="16" t="n">
        <v>305</v>
      </c>
      <c r="U3056" s="16" t="n">
        <v>160</v>
      </c>
      <c r="V3056" s="16">
        <f>ROUNDUP((T3056+U3056+2*'Read Me'!$B$13)*(1+'Read Me'!$B$12),-1)</f>
        <v/>
      </c>
      <c r="W3056" s="16">
        <f>V3056*N3056*O3056</f>
        <v/>
      </c>
      <c r="X3056" s="12">
        <f>IF(LEFT(I3056,2)="MV",2*N3056*IF(L3056="1/C",O3056,1),0)</f>
        <v/>
      </c>
      <c r="Y3056" s="12">
        <f>IF(OR(LEFT(K3056,4)="LVAX",LEFT(K3056,6)="MV15AX",LEFT(K3056,4)="CTAX",LEFT(K3056,2)="W|"),2*N3056*O3056,0)</f>
        <v/>
      </c>
      <c r="Z3056" s="12" t="inlineStr"/>
      <c r="AA3056" s="12">
        <f>N3056*O3056</f>
        <v/>
      </c>
    </row>
    <row r="3057">
      <c r="A3057" s="12" t="inlineStr">
        <is>
          <t>G-C-0115</t>
        </is>
      </c>
      <c r="B3057" s="12" t="inlineStr">
        <is>
          <t>G</t>
        </is>
      </c>
      <c r="C3057" s="12" t="inlineStr">
        <is>
          <t>Carbon capture</t>
        </is>
      </c>
      <c r="D3057" s="12" t="inlineStr">
        <is>
          <t>MOV 2: control</t>
        </is>
      </c>
      <c r="E3057" s="12" t="inlineStr"/>
      <c r="F3057" s="12" t="inlineStr">
        <is>
          <t>CCS MV switchgear building (VFDs)</t>
        </is>
      </c>
      <c r="G3057" s="12" t="inlineStr"/>
      <c r="H3057" s="12" t="inlineStr">
        <is>
          <t>CO2 dehydration: molecular-sieve towers and regeneration heater</t>
        </is>
      </c>
      <c r="I3057" s="12" t="inlineStr">
        <is>
          <t>Control</t>
        </is>
      </c>
      <c r="J3057" s="12" t="inlineStr">
        <is>
          <t>Control cable 600 V Type TC-ER, Cu #14 AWG, PVC jacket</t>
        </is>
      </c>
      <c r="K3057" s="12" t="inlineStr">
        <is>
          <t>CT|12/C|14</t>
        </is>
      </c>
      <c r="L3057" s="12" t="inlineStr">
        <is>
          <t>12/C</t>
        </is>
      </c>
      <c r="M3057" s="12" t="inlineStr">
        <is>
          <t>14</t>
        </is>
      </c>
      <c r="N3057" s="12" t="n">
        <v>1</v>
      </c>
      <c r="O3057" s="12" t="n">
        <v>1</v>
      </c>
      <c r="P3057" s="12" t="n"/>
      <c r="Q3057" s="12" t="n"/>
      <c r="R3057" s="12" t="n"/>
      <c r="S3057" s="12" t="inlineStr">
        <is>
          <t>Duct bank</t>
        </is>
      </c>
      <c r="T3057" s="16" t="n">
        <v>305</v>
      </c>
      <c r="U3057" s="16" t="n">
        <v>160</v>
      </c>
      <c r="V3057" s="16">
        <f>ROUNDUP((T3057+U3057+2*'Read Me'!$B$13)*(1+'Read Me'!$B$12),-1)</f>
        <v/>
      </c>
      <c r="W3057" s="16">
        <f>V3057*N3057*O3057</f>
        <v/>
      </c>
      <c r="X3057" s="12">
        <f>IF(LEFT(I3057,2)="MV",2*N3057*IF(L3057="1/C",O3057,1),0)</f>
        <v/>
      </c>
      <c r="Y3057" s="12">
        <f>IF(OR(LEFT(K3057,4)="LVAX",LEFT(K3057,6)="MV15AX",LEFT(K3057,4)="CTAX",LEFT(K3057,2)="W|"),2*N3057*O3057,0)</f>
        <v/>
      </c>
      <c r="Z3057" s="12" t="inlineStr"/>
      <c r="AA3057" s="12">
        <f>N3057*O3057</f>
        <v/>
      </c>
    </row>
    <row r="3058">
      <c r="A3058" s="12" t="inlineStr">
        <is>
          <t>G-C-0116</t>
        </is>
      </c>
      <c r="B3058" s="12" t="inlineStr">
        <is>
          <t>G</t>
        </is>
      </c>
      <c r="C3058" s="12" t="inlineStr">
        <is>
          <t>Carbon capture</t>
        </is>
      </c>
      <c r="D3058" s="12" t="inlineStr">
        <is>
          <t>MOV 3: control</t>
        </is>
      </c>
      <c r="E3058" s="12" t="inlineStr"/>
      <c r="F3058" s="12" t="inlineStr">
        <is>
          <t>CCS MV switchgear building (VFDs)</t>
        </is>
      </c>
      <c r="G3058" s="12" t="inlineStr"/>
      <c r="H3058" s="12" t="inlineStr">
        <is>
          <t>CO2 dehydration: molecular-sieve towers and regeneration heater</t>
        </is>
      </c>
      <c r="I3058" s="12" t="inlineStr">
        <is>
          <t>Control</t>
        </is>
      </c>
      <c r="J3058" s="12" t="inlineStr">
        <is>
          <t>Control cable 600 V Type TC-ER, Cu #14 AWG, PVC jacket</t>
        </is>
      </c>
      <c r="K3058" s="12" t="inlineStr">
        <is>
          <t>CT|12/C|14</t>
        </is>
      </c>
      <c r="L3058" s="12" t="inlineStr">
        <is>
          <t>12/C</t>
        </is>
      </c>
      <c r="M3058" s="12" t="inlineStr">
        <is>
          <t>14</t>
        </is>
      </c>
      <c r="N3058" s="12" t="n">
        <v>1</v>
      </c>
      <c r="O3058" s="12" t="n">
        <v>1</v>
      </c>
      <c r="P3058" s="12" t="n"/>
      <c r="Q3058" s="12" t="n"/>
      <c r="R3058" s="12" t="n"/>
      <c r="S3058" s="12" t="inlineStr">
        <is>
          <t>Duct bank</t>
        </is>
      </c>
      <c r="T3058" s="16" t="n">
        <v>305</v>
      </c>
      <c r="U3058" s="16" t="n">
        <v>160</v>
      </c>
      <c r="V3058" s="16">
        <f>ROUNDUP((T3058+U3058+2*'Read Me'!$B$13)*(1+'Read Me'!$B$12),-1)</f>
        <v/>
      </c>
      <c r="W3058" s="16">
        <f>V3058*N3058*O3058</f>
        <v/>
      </c>
      <c r="X3058" s="12">
        <f>IF(LEFT(I3058,2)="MV",2*N3058*IF(L3058="1/C",O3058,1),0)</f>
        <v/>
      </c>
      <c r="Y3058" s="12">
        <f>IF(OR(LEFT(K3058,4)="LVAX",LEFT(K3058,6)="MV15AX",LEFT(K3058,4)="CTAX",LEFT(K3058,2)="W|"),2*N3058*O3058,0)</f>
        <v/>
      </c>
      <c r="Z3058" s="12" t="inlineStr"/>
      <c r="AA3058" s="12">
        <f>N3058*O3058</f>
        <v/>
      </c>
    </row>
    <row r="3059">
      <c r="A3059" s="12" t="inlineStr">
        <is>
          <t>G-C-0117</t>
        </is>
      </c>
      <c r="B3059" s="12" t="inlineStr">
        <is>
          <t>G</t>
        </is>
      </c>
      <c r="C3059" s="12" t="inlineStr">
        <is>
          <t>Carbon capture</t>
        </is>
      </c>
      <c r="D3059" s="12" t="inlineStr">
        <is>
          <t>MOV 4: control</t>
        </is>
      </c>
      <c r="E3059" s="12" t="inlineStr"/>
      <c r="F3059" s="12" t="inlineStr">
        <is>
          <t>CCS MV switchgear building (VFDs)</t>
        </is>
      </c>
      <c r="G3059" s="12" t="inlineStr"/>
      <c r="H3059" s="12" t="inlineStr">
        <is>
          <t>CO2 dehydration: molecular-sieve towers and regeneration heater</t>
        </is>
      </c>
      <c r="I3059" s="12" t="inlineStr">
        <is>
          <t>Control</t>
        </is>
      </c>
      <c r="J3059" s="12" t="inlineStr">
        <is>
          <t>Control cable 600 V Type TC-ER, Cu #14 AWG, PVC jacket</t>
        </is>
      </c>
      <c r="K3059" s="12" t="inlineStr">
        <is>
          <t>CT|12/C|14</t>
        </is>
      </c>
      <c r="L3059" s="12" t="inlineStr">
        <is>
          <t>12/C</t>
        </is>
      </c>
      <c r="M3059" s="12" t="inlineStr">
        <is>
          <t>14</t>
        </is>
      </c>
      <c r="N3059" s="12" t="n">
        <v>1</v>
      </c>
      <c r="O3059" s="12" t="n">
        <v>1</v>
      </c>
      <c r="P3059" s="12" t="n"/>
      <c r="Q3059" s="12" t="n"/>
      <c r="R3059" s="12" t="n"/>
      <c r="S3059" s="12" t="inlineStr">
        <is>
          <t>Duct bank</t>
        </is>
      </c>
      <c r="T3059" s="16" t="n">
        <v>305</v>
      </c>
      <c r="U3059" s="16" t="n">
        <v>160</v>
      </c>
      <c r="V3059" s="16">
        <f>ROUNDUP((T3059+U3059+2*'Read Me'!$B$13)*(1+'Read Me'!$B$12),-1)</f>
        <v/>
      </c>
      <c r="W3059" s="16">
        <f>V3059*N3059*O3059</f>
        <v/>
      </c>
      <c r="X3059" s="12">
        <f>IF(LEFT(I3059,2)="MV",2*N3059*IF(L3059="1/C",O3059,1),0)</f>
        <v/>
      </c>
      <c r="Y3059" s="12">
        <f>IF(OR(LEFT(K3059,4)="LVAX",LEFT(K3059,6)="MV15AX",LEFT(K3059,4)="CTAX",LEFT(K3059,2)="W|"),2*N3059*O3059,0)</f>
        <v/>
      </c>
      <c r="Z3059" s="12" t="inlineStr"/>
      <c r="AA3059" s="12">
        <f>N3059*O3059</f>
        <v/>
      </c>
    </row>
    <row r="3060">
      <c r="A3060" s="12" t="inlineStr">
        <is>
          <t>G-C-0118</t>
        </is>
      </c>
      <c r="B3060" s="12" t="inlineStr">
        <is>
          <t>G</t>
        </is>
      </c>
      <c r="C3060" s="12" t="inlineStr">
        <is>
          <t>Carbon capture</t>
        </is>
      </c>
      <c r="D3060" s="12" t="inlineStr">
        <is>
          <t>MOV 5: control</t>
        </is>
      </c>
      <c r="E3060" s="12" t="inlineStr"/>
      <c r="F3060" s="12" t="inlineStr">
        <is>
          <t>CCS MV switchgear building (VFDs)</t>
        </is>
      </c>
      <c r="G3060" s="12" t="inlineStr"/>
      <c r="H3060" s="12" t="inlineStr">
        <is>
          <t>CO2 dehydration: molecular-sieve towers and regeneration heater</t>
        </is>
      </c>
      <c r="I3060" s="12" t="inlineStr">
        <is>
          <t>Control</t>
        </is>
      </c>
      <c r="J3060" s="12" t="inlineStr">
        <is>
          <t>Control cable 600 V Type TC-ER, Cu #14 AWG, PVC jacket</t>
        </is>
      </c>
      <c r="K3060" s="12" t="inlineStr">
        <is>
          <t>CT|12/C|14</t>
        </is>
      </c>
      <c r="L3060" s="12" t="inlineStr">
        <is>
          <t>12/C</t>
        </is>
      </c>
      <c r="M3060" s="12" t="inlineStr">
        <is>
          <t>14</t>
        </is>
      </c>
      <c r="N3060" s="12" t="n">
        <v>1</v>
      </c>
      <c r="O3060" s="12" t="n">
        <v>1</v>
      </c>
      <c r="P3060" s="12" t="n"/>
      <c r="Q3060" s="12" t="n"/>
      <c r="R3060" s="12" t="n"/>
      <c r="S3060" s="12" t="inlineStr">
        <is>
          <t>Duct bank</t>
        </is>
      </c>
      <c r="T3060" s="16" t="n">
        <v>305</v>
      </c>
      <c r="U3060" s="16" t="n">
        <v>160</v>
      </c>
      <c r="V3060" s="16">
        <f>ROUNDUP((T3060+U3060+2*'Read Me'!$B$13)*(1+'Read Me'!$B$12),-1)</f>
        <v/>
      </c>
      <c r="W3060" s="16">
        <f>V3060*N3060*O3060</f>
        <v/>
      </c>
      <c r="X3060" s="12">
        <f>IF(LEFT(I3060,2)="MV",2*N3060*IF(L3060="1/C",O3060,1),0)</f>
        <v/>
      </c>
      <c r="Y3060" s="12">
        <f>IF(OR(LEFT(K3060,4)="LVAX",LEFT(K3060,6)="MV15AX",LEFT(K3060,4)="CTAX",LEFT(K3060,2)="W|"),2*N3060*O3060,0)</f>
        <v/>
      </c>
      <c r="Z3060" s="12" t="inlineStr"/>
      <c r="AA3060" s="12">
        <f>N3060*O3060</f>
        <v/>
      </c>
    </row>
    <row r="3061">
      <c r="A3061" s="12" t="inlineStr">
        <is>
          <t>G-C-0119</t>
        </is>
      </c>
      <c r="B3061" s="12" t="inlineStr">
        <is>
          <t>G</t>
        </is>
      </c>
      <c r="C3061" s="12" t="inlineStr">
        <is>
          <t>Carbon capture</t>
        </is>
      </c>
      <c r="D3061" s="12" t="inlineStr">
        <is>
          <t>MOV 6: control</t>
        </is>
      </c>
      <c r="E3061" s="12" t="inlineStr"/>
      <c r="F3061" s="12" t="inlineStr">
        <is>
          <t>CCS MV switchgear building (VFDs)</t>
        </is>
      </c>
      <c r="G3061" s="12" t="inlineStr"/>
      <c r="H3061" s="12" t="inlineStr">
        <is>
          <t>CO2 dehydration: molecular-sieve towers and regeneration heater</t>
        </is>
      </c>
      <c r="I3061" s="12" t="inlineStr">
        <is>
          <t>Control</t>
        </is>
      </c>
      <c r="J3061" s="12" t="inlineStr">
        <is>
          <t>Control cable 600 V Type TC-ER, Cu #14 AWG, PVC jacket</t>
        </is>
      </c>
      <c r="K3061" s="12" t="inlineStr">
        <is>
          <t>CT|12/C|14</t>
        </is>
      </c>
      <c r="L3061" s="12" t="inlineStr">
        <is>
          <t>12/C</t>
        </is>
      </c>
      <c r="M3061" s="12" t="inlineStr">
        <is>
          <t>14</t>
        </is>
      </c>
      <c r="N3061" s="12" t="n">
        <v>1</v>
      </c>
      <c r="O3061" s="12" t="n">
        <v>1</v>
      </c>
      <c r="P3061" s="12" t="n"/>
      <c r="Q3061" s="12" t="n"/>
      <c r="R3061" s="12" t="n"/>
      <c r="S3061" s="12" t="inlineStr">
        <is>
          <t>Duct bank</t>
        </is>
      </c>
      <c r="T3061" s="16" t="n">
        <v>305</v>
      </c>
      <c r="U3061" s="16" t="n">
        <v>160</v>
      </c>
      <c r="V3061" s="16">
        <f>ROUNDUP((T3061+U3061+2*'Read Me'!$B$13)*(1+'Read Me'!$B$12),-1)</f>
        <v/>
      </c>
      <c r="W3061" s="16">
        <f>V3061*N3061*O3061</f>
        <v/>
      </c>
      <c r="X3061" s="12">
        <f>IF(LEFT(I3061,2)="MV",2*N3061*IF(L3061="1/C",O3061,1),0)</f>
        <v/>
      </c>
      <c r="Y3061" s="12">
        <f>IF(OR(LEFT(K3061,4)="LVAX",LEFT(K3061,6)="MV15AX",LEFT(K3061,4)="CTAX",LEFT(K3061,2)="W|"),2*N3061*O3061,0)</f>
        <v/>
      </c>
      <c r="Z3061" s="12" t="inlineStr"/>
      <c r="AA3061" s="12">
        <f>N3061*O3061</f>
        <v/>
      </c>
    </row>
    <row r="3062">
      <c r="A3062" s="12" t="inlineStr">
        <is>
          <t>G-C-0120</t>
        </is>
      </c>
      <c r="B3062" s="12" t="inlineStr">
        <is>
          <t>G</t>
        </is>
      </c>
      <c r="C3062" s="12" t="inlineStr">
        <is>
          <t>Carbon capture</t>
        </is>
      </c>
      <c r="D3062" s="12" t="inlineStr">
        <is>
          <t>MOV 7: control</t>
        </is>
      </c>
      <c r="E3062" s="12" t="inlineStr"/>
      <c r="F3062" s="12" t="inlineStr">
        <is>
          <t>CCS MV switchgear building (VFDs)</t>
        </is>
      </c>
      <c r="G3062" s="12" t="inlineStr"/>
      <c r="H3062" s="12" t="inlineStr">
        <is>
          <t>CO2 dehydration: molecular-sieve towers and regeneration heater</t>
        </is>
      </c>
      <c r="I3062" s="12" t="inlineStr">
        <is>
          <t>Control</t>
        </is>
      </c>
      <c r="J3062" s="12" t="inlineStr">
        <is>
          <t>Control cable 600 V Type TC-ER, Cu #14 AWG, PVC jacket</t>
        </is>
      </c>
      <c r="K3062" s="12" t="inlineStr">
        <is>
          <t>CT|12/C|14</t>
        </is>
      </c>
      <c r="L3062" s="12" t="inlineStr">
        <is>
          <t>12/C</t>
        </is>
      </c>
      <c r="M3062" s="12" t="inlineStr">
        <is>
          <t>14</t>
        </is>
      </c>
      <c r="N3062" s="12" t="n">
        <v>1</v>
      </c>
      <c r="O3062" s="12" t="n">
        <v>1</v>
      </c>
      <c r="P3062" s="12" t="n"/>
      <c r="Q3062" s="12" t="n"/>
      <c r="R3062" s="12" t="n"/>
      <c r="S3062" s="12" t="inlineStr">
        <is>
          <t>Duct bank</t>
        </is>
      </c>
      <c r="T3062" s="16" t="n">
        <v>305</v>
      </c>
      <c r="U3062" s="16" t="n">
        <v>160</v>
      </c>
      <c r="V3062" s="16">
        <f>ROUNDUP((T3062+U3062+2*'Read Me'!$B$13)*(1+'Read Me'!$B$12),-1)</f>
        <v/>
      </c>
      <c r="W3062" s="16">
        <f>V3062*N3062*O3062</f>
        <v/>
      </c>
      <c r="X3062" s="12">
        <f>IF(LEFT(I3062,2)="MV",2*N3062*IF(L3062="1/C",O3062,1),0)</f>
        <v/>
      </c>
      <c r="Y3062" s="12">
        <f>IF(OR(LEFT(K3062,4)="LVAX",LEFT(K3062,6)="MV15AX",LEFT(K3062,4)="CTAX",LEFT(K3062,2)="W|"),2*N3062*O3062,0)</f>
        <v/>
      </c>
      <c r="Z3062" s="12" t="inlineStr"/>
      <c r="AA3062" s="12">
        <f>N3062*O3062</f>
        <v/>
      </c>
    </row>
    <row r="3063">
      <c r="A3063" s="12" t="inlineStr">
        <is>
          <t>G-C-0121</t>
        </is>
      </c>
      <c r="B3063" s="12" t="inlineStr">
        <is>
          <t>G</t>
        </is>
      </c>
      <c r="C3063" s="12" t="inlineStr">
        <is>
          <t>Carbon capture</t>
        </is>
      </c>
      <c r="D3063" s="12" t="inlineStr">
        <is>
          <t>MOV 8: control</t>
        </is>
      </c>
      <c r="E3063" s="12" t="inlineStr"/>
      <c r="F3063" s="12" t="inlineStr">
        <is>
          <t>CCS MV switchgear building (VFDs)</t>
        </is>
      </c>
      <c r="G3063" s="12" t="inlineStr"/>
      <c r="H3063" s="12" t="inlineStr">
        <is>
          <t>CO2 dehydration: molecular-sieve towers and regeneration heater</t>
        </is>
      </c>
      <c r="I3063" s="12" t="inlineStr">
        <is>
          <t>Control</t>
        </is>
      </c>
      <c r="J3063" s="12" t="inlineStr">
        <is>
          <t>Control cable 600 V Type TC-ER, Cu #14 AWG, PVC jacket</t>
        </is>
      </c>
      <c r="K3063" s="12" t="inlineStr">
        <is>
          <t>CT|12/C|14</t>
        </is>
      </c>
      <c r="L3063" s="12" t="inlineStr">
        <is>
          <t>12/C</t>
        </is>
      </c>
      <c r="M3063" s="12" t="inlineStr">
        <is>
          <t>14</t>
        </is>
      </c>
      <c r="N3063" s="12" t="n">
        <v>1</v>
      </c>
      <c r="O3063" s="12" t="n">
        <v>1</v>
      </c>
      <c r="P3063" s="12" t="n"/>
      <c r="Q3063" s="12" t="n"/>
      <c r="R3063" s="12" t="n"/>
      <c r="S3063" s="12" t="inlineStr">
        <is>
          <t>Duct bank</t>
        </is>
      </c>
      <c r="T3063" s="16" t="n">
        <v>305</v>
      </c>
      <c r="U3063" s="16" t="n">
        <v>160</v>
      </c>
      <c r="V3063" s="16">
        <f>ROUNDUP((T3063+U3063+2*'Read Me'!$B$13)*(1+'Read Me'!$B$12),-1)</f>
        <v/>
      </c>
      <c r="W3063" s="16">
        <f>V3063*N3063*O3063</f>
        <v/>
      </c>
      <c r="X3063" s="12">
        <f>IF(LEFT(I3063,2)="MV",2*N3063*IF(L3063="1/C",O3063,1),0)</f>
        <v/>
      </c>
      <c r="Y3063" s="12">
        <f>IF(OR(LEFT(K3063,4)="LVAX",LEFT(K3063,6)="MV15AX",LEFT(K3063,4)="CTAX",LEFT(K3063,2)="W|"),2*N3063*O3063,0)</f>
        <v/>
      </c>
      <c r="Z3063" s="12" t="inlineStr"/>
      <c r="AA3063" s="12">
        <f>N3063*O3063</f>
        <v/>
      </c>
    </row>
    <row r="3064">
      <c r="A3064" s="12" t="inlineStr">
        <is>
          <t>G-C-0122</t>
        </is>
      </c>
      <c r="B3064" s="12" t="inlineStr">
        <is>
          <t>G</t>
        </is>
      </c>
      <c r="C3064" s="12" t="inlineStr">
        <is>
          <t>Carbon capture</t>
        </is>
      </c>
      <c r="D3064" s="12" t="inlineStr">
        <is>
          <t>MOV 9: control</t>
        </is>
      </c>
      <c r="E3064" s="12" t="inlineStr"/>
      <c r="F3064" s="12" t="inlineStr">
        <is>
          <t>CCS MV switchgear building (VFDs)</t>
        </is>
      </c>
      <c r="G3064" s="12" t="inlineStr"/>
      <c r="H3064" s="12" t="inlineStr">
        <is>
          <t>CO2 dehydration: molecular-sieve towers and regeneration heater</t>
        </is>
      </c>
      <c r="I3064" s="12" t="inlineStr">
        <is>
          <t>Control</t>
        </is>
      </c>
      <c r="J3064" s="12" t="inlineStr">
        <is>
          <t>Control cable 600 V Type TC-ER, Cu #14 AWG, PVC jacket</t>
        </is>
      </c>
      <c r="K3064" s="12" t="inlineStr">
        <is>
          <t>CT|12/C|14</t>
        </is>
      </c>
      <c r="L3064" s="12" t="inlineStr">
        <is>
          <t>12/C</t>
        </is>
      </c>
      <c r="M3064" s="12" t="inlineStr">
        <is>
          <t>14</t>
        </is>
      </c>
      <c r="N3064" s="12" t="n">
        <v>1</v>
      </c>
      <c r="O3064" s="12" t="n">
        <v>1</v>
      </c>
      <c r="P3064" s="12" t="n"/>
      <c r="Q3064" s="12" t="n"/>
      <c r="R3064" s="12" t="n"/>
      <c r="S3064" s="12" t="inlineStr">
        <is>
          <t>Duct bank</t>
        </is>
      </c>
      <c r="T3064" s="16" t="n">
        <v>305</v>
      </c>
      <c r="U3064" s="16" t="n">
        <v>160</v>
      </c>
      <c r="V3064" s="16">
        <f>ROUNDUP((T3064+U3064+2*'Read Me'!$B$13)*(1+'Read Me'!$B$12),-1)</f>
        <v/>
      </c>
      <c r="W3064" s="16">
        <f>V3064*N3064*O3064</f>
        <v/>
      </c>
      <c r="X3064" s="12">
        <f>IF(LEFT(I3064,2)="MV",2*N3064*IF(L3064="1/C",O3064,1),0)</f>
        <v/>
      </c>
      <c r="Y3064" s="12">
        <f>IF(OR(LEFT(K3064,4)="LVAX",LEFT(K3064,6)="MV15AX",LEFT(K3064,4)="CTAX",LEFT(K3064,2)="W|"),2*N3064*O3064,0)</f>
        <v/>
      </c>
      <c r="Z3064" s="12" t="inlineStr"/>
      <c r="AA3064" s="12">
        <f>N3064*O3064</f>
        <v/>
      </c>
    </row>
    <row r="3065">
      <c r="A3065" s="12" t="inlineStr">
        <is>
          <t>G-C-0123</t>
        </is>
      </c>
      <c r="B3065" s="12" t="inlineStr">
        <is>
          <t>G</t>
        </is>
      </c>
      <c r="C3065" s="12" t="inlineStr">
        <is>
          <t>Carbon capture</t>
        </is>
      </c>
      <c r="D3065" s="12" t="inlineStr">
        <is>
          <t>MOV 10: control</t>
        </is>
      </c>
      <c r="E3065" s="12" t="inlineStr"/>
      <c r="F3065" s="12" t="inlineStr">
        <is>
          <t>CCS MV switchgear building (VFDs)</t>
        </is>
      </c>
      <c r="G3065" s="12" t="inlineStr"/>
      <c r="H3065" s="12" t="inlineStr">
        <is>
          <t>CO2 dehydration: molecular-sieve towers and regeneration heater</t>
        </is>
      </c>
      <c r="I3065" s="12" t="inlineStr">
        <is>
          <t>Control</t>
        </is>
      </c>
      <c r="J3065" s="12" t="inlineStr">
        <is>
          <t>Control cable 600 V Type TC-ER, Cu #14 AWG, PVC jacket</t>
        </is>
      </c>
      <c r="K3065" s="12" t="inlineStr">
        <is>
          <t>CT|12/C|14</t>
        </is>
      </c>
      <c r="L3065" s="12" t="inlineStr">
        <is>
          <t>12/C</t>
        </is>
      </c>
      <c r="M3065" s="12" t="inlineStr">
        <is>
          <t>14</t>
        </is>
      </c>
      <c r="N3065" s="12" t="n">
        <v>1</v>
      </c>
      <c r="O3065" s="12" t="n">
        <v>1</v>
      </c>
      <c r="P3065" s="12" t="n"/>
      <c r="Q3065" s="12" t="n"/>
      <c r="R3065" s="12" t="n"/>
      <c r="S3065" s="12" t="inlineStr">
        <is>
          <t>Duct bank</t>
        </is>
      </c>
      <c r="T3065" s="16" t="n">
        <v>305</v>
      </c>
      <c r="U3065" s="16" t="n">
        <v>160</v>
      </c>
      <c r="V3065" s="16">
        <f>ROUNDUP((T3065+U3065+2*'Read Me'!$B$13)*(1+'Read Me'!$B$12),-1)</f>
        <v/>
      </c>
      <c r="W3065" s="16">
        <f>V3065*N3065*O3065</f>
        <v/>
      </c>
      <c r="X3065" s="12">
        <f>IF(LEFT(I3065,2)="MV",2*N3065*IF(L3065="1/C",O3065,1),0)</f>
        <v/>
      </c>
      <c r="Y3065" s="12">
        <f>IF(OR(LEFT(K3065,4)="LVAX",LEFT(K3065,6)="MV15AX",LEFT(K3065,4)="CTAX",LEFT(K3065,2)="W|"),2*N3065*O3065,0)</f>
        <v/>
      </c>
      <c r="Z3065" s="12" t="inlineStr"/>
      <c r="AA3065" s="12">
        <f>N3065*O3065</f>
        <v/>
      </c>
    </row>
    <row r="3066">
      <c r="A3066" s="12" t="inlineStr">
        <is>
          <t>G-C-0124</t>
        </is>
      </c>
      <c r="B3066" s="12" t="inlineStr">
        <is>
          <t>G</t>
        </is>
      </c>
      <c r="C3066" s="12" t="inlineStr">
        <is>
          <t>Carbon capture</t>
        </is>
      </c>
      <c r="D3066" s="12" t="inlineStr">
        <is>
          <t>MOV 11: control</t>
        </is>
      </c>
      <c r="E3066" s="12" t="inlineStr"/>
      <c r="F3066" s="12" t="inlineStr">
        <is>
          <t>CCS MV switchgear building (VFDs)</t>
        </is>
      </c>
      <c r="G3066" s="12" t="inlineStr"/>
      <c r="H3066" s="12" t="inlineStr">
        <is>
          <t>CO2 dehydration: molecular-sieve towers and regeneration heater</t>
        </is>
      </c>
      <c r="I3066" s="12" t="inlineStr">
        <is>
          <t>Control</t>
        </is>
      </c>
      <c r="J3066" s="12" t="inlineStr">
        <is>
          <t>Control cable 600 V Type TC-ER, Cu #14 AWG, PVC jacket</t>
        </is>
      </c>
      <c r="K3066" s="12" t="inlineStr">
        <is>
          <t>CT|12/C|14</t>
        </is>
      </c>
      <c r="L3066" s="12" t="inlineStr">
        <is>
          <t>12/C</t>
        </is>
      </c>
      <c r="M3066" s="12" t="inlineStr">
        <is>
          <t>14</t>
        </is>
      </c>
      <c r="N3066" s="12" t="n">
        <v>1</v>
      </c>
      <c r="O3066" s="12" t="n">
        <v>1</v>
      </c>
      <c r="P3066" s="12" t="n"/>
      <c r="Q3066" s="12" t="n"/>
      <c r="R3066" s="12" t="n"/>
      <c r="S3066" s="12" t="inlineStr">
        <is>
          <t>Duct bank</t>
        </is>
      </c>
      <c r="T3066" s="16" t="n">
        <v>305</v>
      </c>
      <c r="U3066" s="16" t="n">
        <v>160</v>
      </c>
      <c r="V3066" s="16">
        <f>ROUNDUP((T3066+U3066+2*'Read Me'!$B$13)*(1+'Read Me'!$B$12),-1)</f>
        <v/>
      </c>
      <c r="W3066" s="16">
        <f>V3066*N3066*O3066</f>
        <v/>
      </c>
      <c r="X3066" s="12">
        <f>IF(LEFT(I3066,2)="MV",2*N3066*IF(L3066="1/C",O3066,1),0)</f>
        <v/>
      </c>
      <c r="Y3066" s="12">
        <f>IF(OR(LEFT(K3066,4)="LVAX",LEFT(K3066,6)="MV15AX",LEFT(K3066,4)="CTAX",LEFT(K3066,2)="W|"),2*N3066*O3066,0)</f>
        <v/>
      </c>
      <c r="Z3066" s="12" t="inlineStr"/>
      <c r="AA3066" s="12">
        <f>N3066*O3066</f>
        <v/>
      </c>
    </row>
    <row r="3067">
      <c r="A3067" s="12" t="inlineStr">
        <is>
          <t>G-C-0125</t>
        </is>
      </c>
      <c r="B3067" s="12" t="inlineStr">
        <is>
          <t>G</t>
        </is>
      </c>
      <c r="C3067" s="12" t="inlineStr">
        <is>
          <t>Carbon capture</t>
        </is>
      </c>
      <c r="D3067" s="12" t="inlineStr">
        <is>
          <t>MOV 12: control</t>
        </is>
      </c>
      <c r="E3067" s="12" t="inlineStr"/>
      <c r="F3067" s="12" t="inlineStr">
        <is>
          <t>CCS MV switchgear building (VFDs)</t>
        </is>
      </c>
      <c r="G3067" s="12" t="inlineStr"/>
      <c r="H3067" s="12" t="inlineStr">
        <is>
          <t>CO2 dehydration: molecular-sieve towers and regeneration heater</t>
        </is>
      </c>
      <c r="I3067" s="12" t="inlineStr">
        <is>
          <t>Control</t>
        </is>
      </c>
      <c r="J3067" s="12" t="inlineStr">
        <is>
          <t>Control cable 600 V Type TC-ER, Cu #14 AWG, PVC jacket</t>
        </is>
      </c>
      <c r="K3067" s="12" t="inlineStr">
        <is>
          <t>CT|12/C|14</t>
        </is>
      </c>
      <c r="L3067" s="12" t="inlineStr">
        <is>
          <t>12/C</t>
        </is>
      </c>
      <c r="M3067" s="12" t="inlineStr">
        <is>
          <t>14</t>
        </is>
      </c>
      <c r="N3067" s="12" t="n">
        <v>1</v>
      </c>
      <c r="O3067" s="12" t="n">
        <v>1</v>
      </c>
      <c r="P3067" s="12" t="n"/>
      <c r="Q3067" s="12" t="n"/>
      <c r="R3067" s="12" t="n"/>
      <c r="S3067" s="12" t="inlineStr">
        <is>
          <t>Duct bank</t>
        </is>
      </c>
      <c r="T3067" s="16" t="n">
        <v>305</v>
      </c>
      <c r="U3067" s="16" t="n">
        <v>160</v>
      </c>
      <c r="V3067" s="16">
        <f>ROUNDUP((T3067+U3067+2*'Read Me'!$B$13)*(1+'Read Me'!$B$12),-1)</f>
        <v/>
      </c>
      <c r="W3067" s="16">
        <f>V3067*N3067*O3067</f>
        <v/>
      </c>
      <c r="X3067" s="12">
        <f>IF(LEFT(I3067,2)="MV",2*N3067*IF(L3067="1/C",O3067,1),0)</f>
        <v/>
      </c>
      <c r="Y3067" s="12">
        <f>IF(OR(LEFT(K3067,4)="LVAX",LEFT(K3067,6)="MV15AX",LEFT(K3067,4)="CTAX",LEFT(K3067,2)="W|"),2*N3067*O3067,0)</f>
        <v/>
      </c>
      <c r="Z3067" s="12" t="inlineStr"/>
      <c r="AA3067" s="12">
        <f>N3067*O3067</f>
        <v/>
      </c>
    </row>
    <row r="3068">
      <c r="A3068" s="12" t="inlineStr">
        <is>
          <t>G-C-0126</t>
        </is>
      </c>
      <c r="B3068" s="12" t="inlineStr">
        <is>
          <t>G</t>
        </is>
      </c>
      <c r="C3068" s="12" t="inlineStr">
        <is>
          <t>Carbon capture</t>
        </is>
      </c>
      <c r="D3068" s="12" t="inlineStr">
        <is>
          <t>Motor 1 of 4: control / local station</t>
        </is>
      </c>
      <c r="E3068" s="12" t="inlineStr"/>
      <c r="F3068" s="12" t="inlineStr">
        <is>
          <t>CCS MV switchgear building (VFDs)</t>
        </is>
      </c>
      <c r="G3068" s="12" t="inlineStr"/>
      <c r="H3068" s="12" t="inlineStr">
        <is>
          <t>CONDITIONAL: HP export compressor + metering</t>
        </is>
      </c>
      <c r="I3068" s="12" t="inlineStr">
        <is>
          <t>Control</t>
        </is>
      </c>
      <c r="J3068" s="12" t="inlineStr">
        <is>
          <t>ARMOR-X MC-HL 600 V control, Cu #14 AWG (Class I Div 2)</t>
        </is>
      </c>
      <c r="K3068" s="12" t="inlineStr">
        <is>
          <t>CTAX|7/C|14</t>
        </is>
      </c>
      <c r="L3068" s="12" t="inlineStr">
        <is>
          <t>7/C</t>
        </is>
      </c>
      <c r="M3068" s="12" t="inlineStr">
        <is>
          <t>14</t>
        </is>
      </c>
      <c r="N3068" s="12" t="n">
        <v>1</v>
      </c>
      <c r="O3068" s="12" t="n">
        <v>1</v>
      </c>
      <c r="P3068" s="12" t="n"/>
      <c r="Q3068" s="12" t="n"/>
      <c r="R3068" s="12" t="n"/>
      <c r="S3068" s="12" t="inlineStr">
        <is>
          <t>Duct bank</t>
        </is>
      </c>
      <c r="T3068" s="16" t="n">
        <v>303</v>
      </c>
      <c r="U3068" s="16" t="n">
        <v>34</v>
      </c>
      <c r="V3068" s="16">
        <f>ROUNDUP((T3068+U3068+2*'Read Me'!$B$13)*(1+'Read Me'!$B$12),-1)</f>
        <v/>
      </c>
      <c r="W3068" s="16">
        <f>V3068*N3068*O3068</f>
        <v/>
      </c>
      <c r="X3068" s="12">
        <f>IF(LEFT(I3068,2)="MV",2*N3068*IF(L3068="1/C",O3068,1),0)</f>
        <v/>
      </c>
      <c r="Y3068" s="12">
        <f>IF(OR(LEFT(K3068,4)="LVAX",LEFT(K3068,6)="MV15AX",LEFT(K3068,4)="CTAX",LEFT(K3068,2)="W|"),2*N3068*O3068,0)</f>
        <v/>
      </c>
      <c r="Z3068" s="12" t="inlineStr"/>
      <c r="AA3068" s="12">
        <f>N3068*O3068</f>
        <v/>
      </c>
    </row>
    <row r="3069">
      <c r="A3069" s="12" t="inlineStr">
        <is>
          <t>G-C-0127</t>
        </is>
      </c>
      <c r="B3069" s="12" t="inlineStr">
        <is>
          <t>G</t>
        </is>
      </c>
      <c r="C3069" s="12" t="inlineStr">
        <is>
          <t>Carbon capture</t>
        </is>
      </c>
      <c r="D3069" s="12" t="inlineStr">
        <is>
          <t>Motor 2 of 4: control / local station</t>
        </is>
      </c>
      <c r="E3069" s="12" t="inlineStr"/>
      <c r="F3069" s="12" t="inlineStr">
        <is>
          <t>CCS MV switchgear building (VFDs)</t>
        </is>
      </c>
      <c r="G3069" s="12" t="inlineStr"/>
      <c r="H3069" s="12" t="inlineStr">
        <is>
          <t>CONDITIONAL: HP export compressor + metering</t>
        </is>
      </c>
      <c r="I3069" s="12" t="inlineStr">
        <is>
          <t>Control</t>
        </is>
      </c>
      <c r="J3069" s="12" t="inlineStr">
        <is>
          <t>ARMOR-X MC-HL 600 V control, Cu #14 AWG (Class I Div 2)</t>
        </is>
      </c>
      <c r="K3069" s="12" t="inlineStr">
        <is>
          <t>CTAX|7/C|14</t>
        </is>
      </c>
      <c r="L3069" s="12" t="inlineStr">
        <is>
          <t>7/C</t>
        </is>
      </c>
      <c r="M3069" s="12" t="inlineStr">
        <is>
          <t>14</t>
        </is>
      </c>
      <c r="N3069" s="12" t="n">
        <v>1</v>
      </c>
      <c r="O3069" s="12" t="n">
        <v>1</v>
      </c>
      <c r="P3069" s="12" t="n"/>
      <c r="Q3069" s="12" t="n"/>
      <c r="R3069" s="12" t="n"/>
      <c r="S3069" s="12" t="inlineStr">
        <is>
          <t>Duct bank</t>
        </is>
      </c>
      <c r="T3069" s="16" t="n">
        <v>303</v>
      </c>
      <c r="U3069" s="16" t="n">
        <v>34</v>
      </c>
      <c r="V3069" s="16">
        <f>ROUNDUP((T3069+U3069+2*'Read Me'!$B$13)*(1+'Read Me'!$B$12),-1)</f>
        <v/>
      </c>
      <c r="W3069" s="16">
        <f>V3069*N3069*O3069</f>
        <v/>
      </c>
      <c r="X3069" s="12">
        <f>IF(LEFT(I3069,2)="MV",2*N3069*IF(L3069="1/C",O3069,1),0)</f>
        <v/>
      </c>
      <c r="Y3069" s="12">
        <f>IF(OR(LEFT(K3069,4)="LVAX",LEFT(K3069,6)="MV15AX",LEFT(K3069,4)="CTAX",LEFT(K3069,2)="W|"),2*N3069*O3069,0)</f>
        <v/>
      </c>
      <c r="Z3069" s="12" t="inlineStr"/>
      <c r="AA3069" s="12">
        <f>N3069*O3069</f>
        <v/>
      </c>
    </row>
    <row r="3070">
      <c r="A3070" s="12" t="inlineStr">
        <is>
          <t>G-C-0128</t>
        </is>
      </c>
      <c r="B3070" s="12" t="inlineStr">
        <is>
          <t>G</t>
        </is>
      </c>
      <c r="C3070" s="12" t="inlineStr">
        <is>
          <t>Carbon capture</t>
        </is>
      </c>
      <c r="D3070" s="12" t="inlineStr">
        <is>
          <t>Motor 3 of 4: control / local station</t>
        </is>
      </c>
      <c r="E3070" s="12" t="inlineStr"/>
      <c r="F3070" s="12" t="inlineStr">
        <is>
          <t>CCS MV switchgear building (VFDs)</t>
        </is>
      </c>
      <c r="G3070" s="12" t="inlineStr"/>
      <c r="H3070" s="12" t="inlineStr">
        <is>
          <t>CONDITIONAL: HP export compressor + metering</t>
        </is>
      </c>
      <c r="I3070" s="12" t="inlineStr">
        <is>
          <t>Control</t>
        </is>
      </c>
      <c r="J3070" s="12" t="inlineStr">
        <is>
          <t>ARMOR-X MC-HL 600 V control, Cu #14 AWG (Class I Div 2)</t>
        </is>
      </c>
      <c r="K3070" s="12" t="inlineStr">
        <is>
          <t>CTAX|7/C|14</t>
        </is>
      </c>
      <c r="L3070" s="12" t="inlineStr">
        <is>
          <t>7/C</t>
        </is>
      </c>
      <c r="M3070" s="12" t="inlineStr">
        <is>
          <t>14</t>
        </is>
      </c>
      <c r="N3070" s="12" t="n">
        <v>1</v>
      </c>
      <c r="O3070" s="12" t="n">
        <v>1</v>
      </c>
      <c r="P3070" s="12" t="n"/>
      <c r="Q3070" s="12" t="n"/>
      <c r="R3070" s="12" t="n"/>
      <c r="S3070" s="12" t="inlineStr">
        <is>
          <t>Duct bank</t>
        </is>
      </c>
      <c r="T3070" s="16" t="n">
        <v>303</v>
      </c>
      <c r="U3070" s="16" t="n">
        <v>34</v>
      </c>
      <c r="V3070" s="16">
        <f>ROUNDUP((T3070+U3070+2*'Read Me'!$B$13)*(1+'Read Me'!$B$12),-1)</f>
        <v/>
      </c>
      <c r="W3070" s="16">
        <f>V3070*N3070*O3070</f>
        <v/>
      </c>
      <c r="X3070" s="12">
        <f>IF(LEFT(I3070,2)="MV",2*N3070*IF(L3070="1/C",O3070,1),0)</f>
        <v/>
      </c>
      <c r="Y3070" s="12">
        <f>IF(OR(LEFT(K3070,4)="LVAX",LEFT(K3070,6)="MV15AX",LEFT(K3070,4)="CTAX",LEFT(K3070,2)="W|"),2*N3070*O3070,0)</f>
        <v/>
      </c>
      <c r="Z3070" s="12" t="inlineStr"/>
      <c r="AA3070" s="12">
        <f>N3070*O3070</f>
        <v/>
      </c>
    </row>
    <row r="3071">
      <c r="A3071" s="12" t="inlineStr">
        <is>
          <t>G-C-0129</t>
        </is>
      </c>
      <c r="B3071" s="12" t="inlineStr">
        <is>
          <t>G</t>
        </is>
      </c>
      <c r="C3071" s="12" t="inlineStr">
        <is>
          <t>Carbon capture</t>
        </is>
      </c>
      <c r="D3071" s="12" t="inlineStr">
        <is>
          <t>Motor 4 of 4: control / local station</t>
        </is>
      </c>
      <c r="E3071" s="12" t="inlineStr"/>
      <c r="F3071" s="12" t="inlineStr">
        <is>
          <t>CCS MV switchgear building (VFDs)</t>
        </is>
      </c>
      <c r="G3071" s="12" t="inlineStr"/>
      <c r="H3071" s="12" t="inlineStr">
        <is>
          <t>CONDITIONAL: HP export compressor + metering</t>
        </is>
      </c>
      <c r="I3071" s="12" t="inlineStr">
        <is>
          <t>Control</t>
        </is>
      </c>
      <c r="J3071" s="12" t="inlineStr">
        <is>
          <t>ARMOR-X MC-HL 600 V control, Cu #14 AWG (Class I Div 2)</t>
        </is>
      </c>
      <c r="K3071" s="12" t="inlineStr">
        <is>
          <t>CTAX|7/C|14</t>
        </is>
      </c>
      <c r="L3071" s="12" t="inlineStr">
        <is>
          <t>7/C</t>
        </is>
      </c>
      <c r="M3071" s="12" t="inlineStr">
        <is>
          <t>14</t>
        </is>
      </c>
      <c r="N3071" s="12" t="n">
        <v>1</v>
      </c>
      <c r="O3071" s="12" t="n">
        <v>1</v>
      </c>
      <c r="P3071" s="12" t="n"/>
      <c r="Q3071" s="12" t="n"/>
      <c r="R3071" s="12" t="n"/>
      <c r="S3071" s="12" t="inlineStr">
        <is>
          <t>Duct bank</t>
        </is>
      </c>
      <c r="T3071" s="16" t="n">
        <v>303</v>
      </c>
      <c r="U3071" s="16" t="n">
        <v>34</v>
      </c>
      <c r="V3071" s="16">
        <f>ROUNDUP((T3071+U3071+2*'Read Me'!$B$13)*(1+'Read Me'!$B$12),-1)</f>
        <v/>
      </c>
      <c r="W3071" s="16">
        <f>V3071*N3071*O3071</f>
        <v/>
      </c>
      <c r="X3071" s="12">
        <f>IF(LEFT(I3071,2)="MV",2*N3071*IF(L3071="1/C",O3071,1),0)</f>
        <v/>
      </c>
      <c r="Y3071" s="12">
        <f>IF(OR(LEFT(K3071,4)="LVAX",LEFT(K3071,6)="MV15AX",LEFT(K3071,4)="CTAX",LEFT(K3071,2)="W|"),2*N3071*O3071,0)</f>
        <v/>
      </c>
      <c r="Z3071" s="12" t="inlineStr"/>
      <c r="AA3071" s="12">
        <f>N3071*O3071</f>
        <v/>
      </c>
    </row>
    <row r="3072">
      <c r="A3072" s="12" t="inlineStr">
        <is>
          <t>G-C-0130</t>
        </is>
      </c>
      <c r="B3072" s="12" t="inlineStr">
        <is>
          <t>G</t>
        </is>
      </c>
      <c r="C3072" s="12" t="inlineStr">
        <is>
          <t>Carbon capture</t>
        </is>
      </c>
      <c r="D3072" s="12" t="inlineStr">
        <is>
          <t>Motor 1 of 2: control / local station</t>
        </is>
      </c>
      <c r="E3072" s="12" t="inlineStr"/>
      <c r="F3072" s="12" t="inlineStr">
        <is>
          <t>CCS MV switchgear building (VFDs)</t>
        </is>
      </c>
      <c r="G3072" s="12" t="inlineStr"/>
      <c r="H3072" s="12" t="inlineStr">
        <is>
          <t>DCC-A pumps + water filter</t>
        </is>
      </c>
      <c r="I3072" s="12" t="inlineStr">
        <is>
          <t>Control</t>
        </is>
      </c>
      <c r="J3072" s="12" t="inlineStr">
        <is>
          <t>Control cable 600 V Type TC-ER, Cu #14 AWG, PVC jacket</t>
        </is>
      </c>
      <c r="K3072" s="12" t="inlineStr">
        <is>
          <t>CT|7/C|14</t>
        </is>
      </c>
      <c r="L3072" s="12" t="inlineStr">
        <is>
          <t>7/C</t>
        </is>
      </c>
      <c r="M3072" s="12" t="inlineStr">
        <is>
          <t>14</t>
        </is>
      </c>
      <c r="N3072" s="12" t="n">
        <v>1</v>
      </c>
      <c r="O3072" s="12" t="n">
        <v>1</v>
      </c>
      <c r="P3072" s="12" t="n"/>
      <c r="Q3072" s="12" t="n"/>
      <c r="R3072" s="12" t="n"/>
      <c r="S3072" s="12" t="inlineStr">
        <is>
          <t>Tray</t>
        </is>
      </c>
      <c r="T3072" s="16" t="n">
        <v>515</v>
      </c>
      <c r="U3072" s="16" t="n">
        <v>164</v>
      </c>
      <c r="V3072" s="16">
        <f>ROUNDUP((T3072+U3072+2*'Read Me'!$B$13)*(1+'Read Me'!$B$12),-1)</f>
        <v/>
      </c>
      <c r="W3072" s="16">
        <f>V3072*N3072*O3072</f>
        <v/>
      </c>
      <c r="X3072" s="12">
        <f>IF(LEFT(I3072,2)="MV",2*N3072*IF(L3072="1/C",O3072,1),0)</f>
        <v/>
      </c>
      <c r="Y3072" s="12">
        <f>IF(OR(LEFT(K3072,4)="LVAX",LEFT(K3072,6)="MV15AX",LEFT(K3072,4)="CTAX",LEFT(K3072,2)="W|"),2*N3072*O3072,0)</f>
        <v/>
      </c>
      <c r="Z3072" s="12" t="inlineStr"/>
      <c r="AA3072" s="12">
        <f>N3072*O3072</f>
        <v/>
      </c>
    </row>
    <row r="3073">
      <c r="A3073" s="12" t="inlineStr">
        <is>
          <t>G-C-0131</t>
        </is>
      </c>
      <c r="B3073" s="12" t="inlineStr">
        <is>
          <t>G</t>
        </is>
      </c>
      <c r="C3073" s="12" t="inlineStr">
        <is>
          <t>Carbon capture</t>
        </is>
      </c>
      <c r="D3073" s="12" t="inlineStr">
        <is>
          <t>Motor 2 of 2: control / local station</t>
        </is>
      </c>
      <c r="E3073" s="12" t="inlineStr"/>
      <c r="F3073" s="12" t="inlineStr">
        <is>
          <t>CCS MV switchgear building (VFDs)</t>
        </is>
      </c>
      <c r="G3073" s="12" t="inlineStr"/>
      <c r="H3073" s="12" t="inlineStr">
        <is>
          <t>DCC-A pumps + water filter</t>
        </is>
      </c>
      <c r="I3073" s="12" t="inlineStr">
        <is>
          <t>Control</t>
        </is>
      </c>
      <c r="J3073" s="12" t="inlineStr">
        <is>
          <t>Control cable 600 V Type TC-ER, Cu #14 AWG, PVC jacket</t>
        </is>
      </c>
      <c r="K3073" s="12" t="inlineStr">
        <is>
          <t>CT|7/C|14</t>
        </is>
      </c>
      <c r="L3073" s="12" t="inlineStr">
        <is>
          <t>7/C</t>
        </is>
      </c>
      <c r="M3073" s="12" t="inlineStr">
        <is>
          <t>14</t>
        </is>
      </c>
      <c r="N3073" s="12" t="n">
        <v>1</v>
      </c>
      <c r="O3073" s="12" t="n">
        <v>1</v>
      </c>
      <c r="P3073" s="12" t="n"/>
      <c r="Q3073" s="12" t="n"/>
      <c r="R3073" s="12" t="n"/>
      <c r="S3073" s="12" t="inlineStr">
        <is>
          <t>Tray</t>
        </is>
      </c>
      <c r="T3073" s="16" t="n">
        <v>515</v>
      </c>
      <c r="U3073" s="16" t="n">
        <v>164</v>
      </c>
      <c r="V3073" s="16">
        <f>ROUNDUP((T3073+U3073+2*'Read Me'!$B$13)*(1+'Read Me'!$B$12),-1)</f>
        <v/>
      </c>
      <c r="W3073" s="16">
        <f>V3073*N3073*O3073</f>
        <v/>
      </c>
      <c r="X3073" s="12">
        <f>IF(LEFT(I3073,2)="MV",2*N3073*IF(L3073="1/C",O3073,1),0)</f>
        <v/>
      </c>
      <c r="Y3073" s="12">
        <f>IF(OR(LEFT(K3073,4)="LVAX",LEFT(K3073,6)="MV15AX",LEFT(K3073,4)="CTAX",LEFT(K3073,2)="W|"),2*N3073*O3073,0)</f>
        <v/>
      </c>
      <c r="Z3073" s="12" t="inlineStr"/>
      <c r="AA3073" s="12">
        <f>N3073*O3073</f>
        <v/>
      </c>
    </row>
    <row r="3074">
      <c r="A3074" s="12" t="inlineStr">
        <is>
          <t>G-C-0132</t>
        </is>
      </c>
      <c r="B3074" s="12" t="inlineStr">
        <is>
          <t>G</t>
        </is>
      </c>
      <c r="C3074" s="12" t="inlineStr">
        <is>
          <t>Carbon capture</t>
        </is>
      </c>
      <c r="D3074" s="12" t="inlineStr">
        <is>
          <t>Motor 1 of 2: control / local station</t>
        </is>
      </c>
      <c r="E3074" s="12" t="inlineStr"/>
      <c r="F3074" s="12" t="inlineStr">
        <is>
          <t>CCS MV switchgear building (VFDs)</t>
        </is>
      </c>
      <c r="G3074" s="12" t="inlineStr"/>
      <c r="H3074" s="12" t="inlineStr">
        <is>
          <t>DCC-B pumps + water filter</t>
        </is>
      </c>
      <c r="I3074" s="12" t="inlineStr">
        <is>
          <t>Control</t>
        </is>
      </c>
      <c r="J3074" s="12" t="inlineStr">
        <is>
          <t>Control cable 600 V Type TC-ER, Cu #14 AWG, PVC jacket</t>
        </is>
      </c>
      <c r="K3074" s="12" t="inlineStr">
        <is>
          <t>CT|7/C|14</t>
        </is>
      </c>
      <c r="L3074" s="12" t="inlineStr">
        <is>
          <t>7/C</t>
        </is>
      </c>
      <c r="M3074" s="12" t="inlineStr">
        <is>
          <t>14</t>
        </is>
      </c>
      <c r="N3074" s="12" t="n">
        <v>1</v>
      </c>
      <c r="O3074" s="12" t="n">
        <v>1</v>
      </c>
      <c r="P3074" s="12" t="n"/>
      <c r="Q3074" s="12" t="n"/>
      <c r="R3074" s="12" t="n"/>
      <c r="S3074" s="12" t="inlineStr">
        <is>
          <t>Tray</t>
        </is>
      </c>
      <c r="T3074" s="16" t="n">
        <v>415</v>
      </c>
      <c r="U3074" s="16" t="n">
        <v>122</v>
      </c>
      <c r="V3074" s="16">
        <f>ROUNDUP((T3074+U3074+2*'Read Me'!$B$13)*(1+'Read Me'!$B$12),-1)</f>
        <v/>
      </c>
      <c r="W3074" s="16">
        <f>V3074*N3074*O3074</f>
        <v/>
      </c>
      <c r="X3074" s="12">
        <f>IF(LEFT(I3074,2)="MV",2*N3074*IF(L3074="1/C",O3074,1),0)</f>
        <v/>
      </c>
      <c r="Y3074" s="12">
        <f>IF(OR(LEFT(K3074,4)="LVAX",LEFT(K3074,6)="MV15AX",LEFT(K3074,4)="CTAX",LEFT(K3074,2)="W|"),2*N3074*O3074,0)</f>
        <v/>
      </c>
      <c r="Z3074" s="12" t="inlineStr"/>
      <c r="AA3074" s="12">
        <f>N3074*O3074</f>
        <v/>
      </c>
    </row>
    <row r="3075">
      <c r="A3075" s="12" t="inlineStr">
        <is>
          <t>G-C-0133</t>
        </is>
      </c>
      <c r="B3075" s="12" t="inlineStr">
        <is>
          <t>G</t>
        </is>
      </c>
      <c r="C3075" s="12" t="inlineStr">
        <is>
          <t>Carbon capture</t>
        </is>
      </c>
      <c r="D3075" s="12" t="inlineStr">
        <is>
          <t>Motor 2 of 2: control / local station</t>
        </is>
      </c>
      <c r="E3075" s="12" t="inlineStr"/>
      <c r="F3075" s="12" t="inlineStr">
        <is>
          <t>CCS MV switchgear building (VFDs)</t>
        </is>
      </c>
      <c r="G3075" s="12" t="inlineStr"/>
      <c r="H3075" s="12" t="inlineStr">
        <is>
          <t>DCC-B pumps + water filter</t>
        </is>
      </c>
      <c r="I3075" s="12" t="inlineStr">
        <is>
          <t>Control</t>
        </is>
      </c>
      <c r="J3075" s="12" t="inlineStr">
        <is>
          <t>Control cable 600 V Type TC-ER, Cu #14 AWG, PVC jacket</t>
        </is>
      </c>
      <c r="K3075" s="12" t="inlineStr">
        <is>
          <t>CT|7/C|14</t>
        </is>
      </c>
      <c r="L3075" s="12" t="inlineStr">
        <is>
          <t>7/C</t>
        </is>
      </c>
      <c r="M3075" s="12" t="inlineStr">
        <is>
          <t>14</t>
        </is>
      </c>
      <c r="N3075" s="12" t="n">
        <v>1</v>
      </c>
      <c r="O3075" s="12" t="n">
        <v>1</v>
      </c>
      <c r="P3075" s="12" t="n"/>
      <c r="Q3075" s="12" t="n"/>
      <c r="R3075" s="12" t="n"/>
      <c r="S3075" s="12" t="inlineStr">
        <is>
          <t>Tray</t>
        </is>
      </c>
      <c r="T3075" s="16" t="n">
        <v>415</v>
      </c>
      <c r="U3075" s="16" t="n">
        <v>122</v>
      </c>
      <c r="V3075" s="16">
        <f>ROUNDUP((T3075+U3075+2*'Read Me'!$B$13)*(1+'Read Me'!$B$12),-1)</f>
        <v/>
      </c>
      <c r="W3075" s="16">
        <f>V3075*N3075*O3075</f>
        <v/>
      </c>
      <c r="X3075" s="12">
        <f>IF(LEFT(I3075,2)="MV",2*N3075*IF(L3075="1/C",O3075,1),0)</f>
        <v/>
      </c>
      <c r="Y3075" s="12">
        <f>IF(OR(LEFT(K3075,4)="LVAX",LEFT(K3075,6)="MV15AX",LEFT(K3075,4)="CTAX",LEFT(K3075,2)="W|"),2*N3075*O3075,0)</f>
        <v/>
      </c>
      <c r="Z3075" s="12" t="inlineStr"/>
      <c r="AA3075" s="12">
        <f>N3075*O3075</f>
        <v/>
      </c>
    </row>
    <row r="3076">
      <c r="A3076" s="12" t="inlineStr">
        <is>
          <t>G-C-0134</t>
        </is>
      </c>
      <c r="B3076" s="12" t="inlineStr">
        <is>
          <t>G</t>
        </is>
      </c>
      <c r="C3076" s="12" t="inlineStr">
        <is>
          <t>Carbon capture</t>
        </is>
      </c>
      <c r="D3076" s="12" t="inlineStr">
        <is>
          <t>Motor 1 of 2: control / local station</t>
        </is>
      </c>
      <c r="E3076" s="12" t="inlineStr"/>
      <c r="F3076" s="12" t="inlineStr">
        <is>
          <t>CCS MV switchgear building (VFDs)</t>
        </is>
      </c>
      <c r="G3076" s="12" t="inlineStr"/>
      <c r="H3076" s="12" t="inlineStr">
        <is>
          <t>DCC-C pumps + water filter</t>
        </is>
      </c>
      <c r="I3076" s="12" t="inlineStr">
        <is>
          <t>Control</t>
        </is>
      </c>
      <c r="J3076" s="12" t="inlineStr">
        <is>
          <t>Control cable 600 V Type TC-ER, Cu #14 AWG, PVC jacket</t>
        </is>
      </c>
      <c r="K3076" s="12" t="inlineStr">
        <is>
          <t>CT|7/C|14</t>
        </is>
      </c>
      <c r="L3076" s="12" t="inlineStr">
        <is>
          <t>7/C</t>
        </is>
      </c>
      <c r="M3076" s="12" t="inlineStr">
        <is>
          <t>14</t>
        </is>
      </c>
      <c r="N3076" s="12" t="n">
        <v>1</v>
      </c>
      <c r="O3076" s="12" t="n">
        <v>1</v>
      </c>
      <c r="P3076" s="12" t="n"/>
      <c r="Q3076" s="12" t="n"/>
      <c r="R3076" s="12" t="n"/>
      <c r="S3076" s="12" t="inlineStr">
        <is>
          <t>Tray</t>
        </is>
      </c>
      <c r="T3076" s="16" t="n">
        <v>195</v>
      </c>
      <c r="U3076" s="16" t="n">
        <v>164</v>
      </c>
      <c r="V3076" s="16">
        <f>ROUNDUP((T3076+U3076+2*'Read Me'!$B$13)*(1+'Read Me'!$B$12),-1)</f>
        <v/>
      </c>
      <c r="W3076" s="16">
        <f>V3076*N3076*O3076</f>
        <v/>
      </c>
      <c r="X3076" s="12">
        <f>IF(LEFT(I3076,2)="MV",2*N3076*IF(L3076="1/C",O3076,1),0)</f>
        <v/>
      </c>
      <c r="Y3076" s="12">
        <f>IF(OR(LEFT(K3076,4)="LVAX",LEFT(K3076,6)="MV15AX",LEFT(K3076,4)="CTAX",LEFT(K3076,2)="W|"),2*N3076*O3076,0)</f>
        <v/>
      </c>
      <c r="Z3076" s="12" t="inlineStr"/>
      <c r="AA3076" s="12">
        <f>N3076*O3076</f>
        <v/>
      </c>
    </row>
    <row r="3077">
      <c r="A3077" s="12" t="inlineStr">
        <is>
          <t>G-C-0135</t>
        </is>
      </c>
      <c r="B3077" s="12" t="inlineStr">
        <is>
          <t>G</t>
        </is>
      </c>
      <c r="C3077" s="12" t="inlineStr">
        <is>
          <t>Carbon capture</t>
        </is>
      </c>
      <c r="D3077" s="12" t="inlineStr">
        <is>
          <t>Motor 2 of 2: control / local station</t>
        </is>
      </c>
      <c r="E3077" s="12" t="inlineStr"/>
      <c r="F3077" s="12" t="inlineStr">
        <is>
          <t>CCS MV switchgear building (VFDs)</t>
        </is>
      </c>
      <c r="G3077" s="12" t="inlineStr"/>
      <c r="H3077" s="12" t="inlineStr">
        <is>
          <t>DCC-C pumps + water filter</t>
        </is>
      </c>
      <c r="I3077" s="12" t="inlineStr">
        <is>
          <t>Control</t>
        </is>
      </c>
      <c r="J3077" s="12" t="inlineStr">
        <is>
          <t>Control cable 600 V Type TC-ER, Cu #14 AWG, PVC jacket</t>
        </is>
      </c>
      <c r="K3077" s="12" t="inlineStr">
        <is>
          <t>CT|7/C|14</t>
        </is>
      </c>
      <c r="L3077" s="12" t="inlineStr">
        <is>
          <t>7/C</t>
        </is>
      </c>
      <c r="M3077" s="12" t="inlineStr">
        <is>
          <t>14</t>
        </is>
      </c>
      <c r="N3077" s="12" t="n">
        <v>1</v>
      </c>
      <c r="O3077" s="12" t="n">
        <v>1</v>
      </c>
      <c r="P3077" s="12" t="n"/>
      <c r="Q3077" s="12" t="n"/>
      <c r="R3077" s="12" t="n"/>
      <c r="S3077" s="12" t="inlineStr">
        <is>
          <t>Tray</t>
        </is>
      </c>
      <c r="T3077" s="16" t="n">
        <v>195</v>
      </c>
      <c r="U3077" s="16" t="n">
        <v>164</v>
      </c>
      <c r="V3077" s="16">
        <f>ROUNDUP((T3077+U3077+2*'Read Me'!$B$13)*(1+'Read Me'!$B$12),-1)</f>
        <v/>
      </c>
      <c r="W3077" s="16">
        <f>V3077*N3077*O3077</f>
        <v/>
      </c>
      <c r="X3077" s="12">
        <f>IF(LEFT(I3077,2)="MV",2*N3077*IF(L3077="1/C",O3077,1),0)</f>
        <v/>
      </c>
      <c r="Y3077" s="12">
        <f>IF(OR(LEFT(K3077,4)="LVAX",LEFT(K3077,6)="MV15AX",LEFT(K3077,4)="CTAX",LEFT(K3077,2)="W|"),2*N3077*O3077,0)</f>
        <v/>
      </c>
      <c r="Z3077" s="12" t="inlineStr"/>
      <c r="AA3077" s="12">
        <f>N3077*O3077</f>
        <v/>
      </c>
    </row>
    <row r="3078">
      <c r="A3078" s="12" t="inlineStr">
        <is>
          <t>G-C-0136</t>
        </is>
      </c>
      <c r="B3078" s="12" t="inlineStr">
        <is>
          <t>G</t>
        </is>
      </c>
      <c r="C3078" s="12" t="inlineStr">
        <is>
          <t>Carbon capture</t>
        </is>
      </c>
      <c r="D3078" s="12" t="inlineStr">
        <is>
          <t>Motor 1 of 2: control / local station</t>
        </is>
      </c>
      <c r="E3078" s="12" t="inlineStr"/>
      <c r="F3078" s="12" t="inlineStr">
        <is>
          <t>CCS MV switchgear building (VFDs)</t>
        </is>
      </c>
      <c r="G3078" s="12" t="inlineStr">
        <is>
          <t>DMP-A</t>
        </is>
      </c>
      <c r="H3078" s="12" t="inlineStr">
        <is>
          <t>DMP-A: diverter / bypass damper</t>
        </is>
      </c>
      <c r="I3078" s="12" t="inlineStr">
        <is>
          <t>Control</t>
        </is>
      </c>
      <c r="J3078" s="12" t="inlineStr">
        <is>
          <t>Control cable 600 V Type TC-ER, Cu #14 AWG, PVC jacket</t>
        </is>
      </c>
      <c r="K3078" s="12" t="inlineStr">
        <is>
          <t>CT|7/C|14</t>
        </is>
      </c>
      <c r="L3078" s="12" t="inlineStr">
        <is>
          <t>7/C</t>
        </is>
      </c>
      <c r="M3078" s="12" t="inlineStr">
        <is>
          <t>14</t>
        </is>
      </c>
      <c r="N3078" s="12" t="n">
        <v>1</v>
      </c>
      <c r="O3078" s="12" t="n">
        <v>1</v>
      </c>
      <c r="P3078" s="12" t="n"/>
      <c r="Q3078" s="12" t="n"/>
      <c r="R3078" s="12" t="n"/>
      <c r="S3078" s="12" t="inlineStr">
        <is>
          <t>Duct bank</t>
        </is>
      </c>
      <c r="T3078" s="16" t="n">
        <v>1436</v>
      </c>
      <c r="U3078" s="16" t="n">
        <v>124</v>
      </c>
      <c r="V3078" s="16">
        <f>ROUNDUP((T3078+U3078+2*'Read Me'!$B$13)*(1+'Read Me'!$B$12),-1)</f>
        <v/>
      </c>
      <c r="W3078" s="16">
        <f>V3078*N3078*O3078</f>
        <v/>
      </c>
      <c r="X3078" s="12">
        <f>IF(LEFT(I3078,2)="MV",2*N3078*IF(L3078="1/C",O3078,1),0)</f>
        <v/>
      </c>
      <c r="Y3078" s="12">
        <f>IF(OR(LEFT(K3078,4)="LVAX",LEFT(K3078,6)="MV15AX",LEFT(K3078,4)="CTAX",LEFT(K3078,2)="W|"),2*N3078*O3078,0)</f>
        <v/>
      </c>
      <c r="Z3078" s="12" t="inlineStr"/>
      <c r="AA3078" s="12">
        <f>N3078*O3078</f>
        <v/>
      </c>
    </row>
    <row r="3079">
      <c r="A3079" s="12" t="inlineStr">
        <is>
          <t>G-C-0137</t>
        </is>
      </c>
      <c r="B3079" s="12" t="inlineStr">
        <is>
          <t>G</t>
        </is>
      </c>
      <c r="C3079" s="12" t="inlineStr">
        <is>
          <t>Carbon capture</t>
        </is>
      </c>
      <c r="D3079" s="12" t="inlineStr">
        <is>
          <t>Motor 2 of 2: control / local station</t>
        </is>
      </c>
      <c r="E3079" s="12" t="inlineStr"/>
      <c r="F3079" s="12" t="inlineStr">
        <is>
          <t>CCS MV switchgear building (VFDs)</t>
        </is>
      </c>
      <c r="G3079" s="12" t="inlineStr">
        <is>
          <t>DMP-A</t>
        </is>
      </c>
      <c r="H3079" s="12" t="inlineStr">
        <is>
          <t>DMP-A: diverter / bypass damper</t>
        </is>
      </c>
      <c r="I3079" s="12" t="inlineStr">
        <is>
          <t>Control</t>
        </is>
      </c>
      <c r="J3079" s="12" t="inlineStr">
        <is>
          <t>Control cable 600 V Type TC-ER, Cu #14 AWG, PVC jacket</t>
        </is>
      </c>
      <c r="K3079" s="12" t="inlineStr">
        <is>
          <t>CT|7/C|14</t>
        </is>
      </c>
      <c r="L3079" s="12" t="inlineStr">
        <is>
          <t>7/C</t>
        </is>
      </c>
      <c r="M3079" s="12" t="inlineStr">
        <is>
          <t>14</t>
        </is>
      </c>
      <c r="N3079" s="12" t="n">
        <v>1</v>
      </c>
      <c r="O3079" s="12" t="n">
        <v>1</v>
      </c>
      <c r="P3079" s="12" t="n"/>
      <c r="Q3079" s="12" t="n"/>
      <c r="R3079" s="12" t="n"/>
      <c r="S3079" s="12" t="inlineStr">
        <is>
          <t>Duct bank</t>
        </is>
      </c>
      <c r="T3079" s="16" t="n">
        <v>1436</v>
      </c>
      <c r="U3079" s="16" t="n">
        <v>124</v>
      </c>
      <c r="V3079" s="16">
        <f>ROUNDUP((T3079+U3079+2*'Read Me'!$B$13)*(1+'Read Me'!$B$12),-1)</f>
        <v/>
      </c>
      <c r="W3079" s="16">
        <f>V3079*N3079*O3079</f>
        <v/>
      </c>
      <c r="X3079" s="12">
        <f>IF(LEFT(I3079,2)="MV",2*N3079*IF(L3079="1/C",O3079,1),0)</f>
        <v/>
      </c>
      <c r="Y3079" s="12">
        <f>IF(OR(LEFT(K3079,4)="LVAX",LEFT(K3079,6)="MV15AX",LEFT(K3079,4)="CTAX",LEFT(K3079,2)="W|"),2*N3079*O3079,0)</f>
        <v/>
      </c>
      <c r="Z3079" s="12" t="inlineStr"/>
      <c r="AA3079" s="12">
        <f>N3079*O3079</f>
        <v/>
      </c>
    </row>
    <row r="3080">
      <c r="A3080" s="12" t="inlineStr">
        <is>
          <t>G-C-0138</t>
        </is>
      </c>
      <c r="B3080" s="12" t="inlineStr">
        <is>
          <t>G</t>
        </is>
      </c>
      <c r="C3080" s="12" t="inlineStr">
        <is>
          <t>Carbon capture</t>
        </is>
      </c>
      <c r="D3080" s="12" t="inlineStr">
        <is>
          <t>Motor 1 of 2: control / local station</t>
        </is>
      </c>
      <c r="E3080" s="12" t="inlineStr"/>
      <c r="F3080" s="12" t="inlineStr">
        <is>
          <t>CCS MV switchgear building (VFDs)</t>
        </is>
      </c>
      <c r="G3080" s="12" t="inlineStr">
        <is>
          <t>DMP-B</t>
        </is>
      </c>
      <c r="H3080" s="12" t="inlineStr">
        <is>
          <t>DMP-B: diverter / bypass damper</t>
        </is>
      </c>
      <c r="I3080" s="12" t="inlineStr">
        <is>
          <t>Control</t>
        </is>
      </c>
      <c r="J3080" s="12" t="inlineStr">
        <is>
          <t>Control cable 600 V Type TC-ER, Cu #14 AWG, PVC jacket</t>
        </is>
      </c>
      <c r="K3080" s="12" t="inlineStr">
        <is>
          <t>CT|7/C|14</t>
        </is>
      </c>
      <c r="L3080" s="12" t="inlineStr">
        <is>
          <t>7/C</t>
        </is>
      </c>
      <c r="M3080" s="12" t="inlineStr">
        <is>
          <t>14</t>
        </is>
      </c>
      <c r="N3080" s="12" t="n">
        <v>1</v>
      </c>
      <c r="O3080" s="12" t="n">
        <v>1</v>
      </c>
      <c r="P3080" s="12" t="n"/>
      <c r="Q3080" s="12" t="n"/>
      <c r="R3080" s="12" t="n"/>
      <c r="S3080" s="12" t="inlineStr">
        <is>
          <t>Duct bank</t>
        </is>
      </c>
      <c r="T3080" s="16" t="n">
        <v>1280</v>
      </c>
      <c r="U3080" s="16" t="n">
        <v>120</v>
      </c>
      <c r="V3080" s="16">
        <f>ROUNDUP((T3080+U3080+2*'Read Me'!$B$13)*(1+'Read Me'!$B$12),-1)</f>
        <v/>
      </c>
      <c r="W3080" s="16">
        <f>V3080*N3080*O3080</f>
        <v/>
      </c>
      <c r="X3080" s="12">
        <f>IF(LEFT(I3080,2)="MV",2*N3080*IF(L3080="1/C",O3080,1),0)</f>
        <v/>
      </c>
      <c r="Y3080" s="12">
        <f>IF(OR(LEFT(K3080,4)="LVAX",LEFT(K3080,6)="MV15AX",LEFT(K3080,4)="CTAX",LEFT(K3080,2)="W|"),2*N3080*O3080,0)</f>
        <v/>
      </c>
      <c r="Z3080" s="12" t="inlineStr"/>
      <c r="AA3080" s="12">
        <f>N3080*O3080</f>
        <v/>
      </c>
    </row>
    <row r="3081">
      <c r="A3081" s="12" t="inlineStr">
        <is>
          <t>G-C-0139</t>
        </is>
      </c>
      <c r="B3081" s="12" t="inlineStr">
        <is>
          <t>G</t>
        </is>
      </c>
      <c r="C3081" s="12" t="inlineStr">
        <is>
          <t>Carbon capture</t>
        </is>
      </c>
      <c r="D3081" s="12" t="inlineStr">
        <is>
          <t>Motor 2 of 2: control / local station</t>
        </is>
      </c>
      <c r="E3081" s="12" t="inlineStr"/>
      <c r="F3081" s="12" t="inlineStr">
        <is>
          <t>CCS MV switchgear building (VFDs)</t>
        </is>
      </c>
      <c r="G3081" s="12" t="inlineStr">
        <is>
          <t>DMP-B</t>
        </is>
      </c>
      <c r="H3081" s="12" t="inlineStr">
        <is>
          <t>DMP-B: diverter / bypass damper</t>
        </is>
      </c>
      <c r="I3081" s="12" t="inlineStr">
        <is>
          <t>Control</t>
        </is>
      </c>
      <c r="J3081" s="12" t="inlineStr">
        <is>
          <t>Control cable 600 V Type TC-ER, Cu #14 AWG, PVC jacket</t>
        </is>
      </c>
      <c r="K3081" s="12" t="inlineStr">
        <is>
          <t>CT|7/C|14</t>
        </is>
      </c>
      <c r="L3081" s="12" t="inlineStr">
        <is>
          <t>7/C</t>
        </is>
      </c>
      <c r="M3081" s="12" t="inlineStr">
        <is>
          <t>14</t>
        </is>
      </c>
      <c r="N3081" s="12" t="n">
        <v>1</v>
      </c>
      <c r="O3081" s="12" t="n">
        <v>1</v>
      </c>
      <c r="P3081" s="12" t="n"/>
      <c r="Q3081" s="12" t="n"/>
      <c r="R3081" s="12" t="n"/>
      <c r="S3081" s="12" t="inlineStr">
        <is>
          <t>Duct bank</t>
        </is>
      </c>
      <c r="T3081" s="16" t="n">
        <v>1280</v>
      </c>
      <c r="U3081" s="16" t="n">
        <v>120</v>
      </c>
      <c r="V3081" s="16">
        <f>ROUNDUP((T3081+U3081+2*'Read Me'!$B$13)*(1+'Read Me'!$B$12),-1)</f>
        <v/>
      </c>
      <c r="W3081" s="16">
        <f>V3081*N3081*O3081</f>
        <v/>
      </c>
      <c r="X3081" s="12">
        <f>IF(LEFT(I3081,2)="MV",2*N3081*IF(L3081="1/C",O3081,1),0)</f>
        <v/>
      </c>
      <c r="Y3081" s="12">
        <f>IF(OR(LEFT(K3081,4)="LVAX",LEFT(K3081,6)="MV15AX",LEFT(K3081,4)="CTAX",LEFT(K3081,2)="W|"),2*N3081*O3081,0)</f>
        <v/>
      </c>
      <c r="Z3081" s="12" t="inlineStr"/>
      <c r="AA3081" s="12">
        <f>N3081*O3081</f>
        <v/>
      </c>
    </row>
    <row r="3082">
      <c r="A3082" s="12" t="inlineStr">
        <is>
          <t>G-C-0140</t>
        </is>
      </c>
      <c r="B3082" s="12" t="inlineStr">
        <is>
          <t>G</t>
        </is>
      </c>
      <c r="C3082" s="12" t="inlineStr">
        <is>
          <t>Carbon capture</t>
        </is>
      </c>
      <c r="D3082" s="12" t="inlineStr">
        <is>
          <t>Motor 1 of 2: control / local station</t>
        </is>
      </c>
      <c r="E3082" s="12" t="inlineStr"/>
      <c r="F3082" s="12" t="inlineStr">
        <is>
          <t>CCS MV switchgear building (VFDs)</t>
        </is>
      </c>
      <c r="G3082" s="12" t="inlineStr">
        <is>
          <t>DMP-C</t>
        </is>
      </c>
      <c r="H3082" s="12" t="inlineStr">
        <is>
          <t>DMP-C: diverter / bypass damper</t>
        </is>
      </c>
      <c r="I3082" s="12" t="inlineStr">
        <is>
          <t>Control</t>
        </is>
      </c>
      <c r="J3082" s="12" t="inlineStr">
        <is>
          <t>Control cable 600 V Type TC-ER, Cu #14 AWG, PVC jacket</t>
        </is>
      </c>
      <c r="K3082" s="12" t="inlineStr">
        <is>
          <t>CT|7/C|14</t>
        </is>
      </c>
      <c r="L3082" s="12" t="inlineStr">
        <is>
          <t>7/C</t>
        </is>
      </c>
      <c r="M3082" s="12" t="inlineStr">
        <is>
          <t>14</t>
        </is>
      </c>
      <c r="N3082" s="12" t="n">
        <v>1</v>
      </c>
      <c r="O3082" s="12" t="n">
        <v>1</v>
      </c>
      <c r="P3082" s="12" t="n"/>
      <c r="Q3082" s="12" t="n"/>
      <c r="R3082" s="12" t="n"/>
      <c r="S3082" s="12" t="inlineStr">
        <is>
          <t>Duct bank</t>
        </is>
      </c>
      <c r="T3082" s="16" t="n">
        <v>1116</v>
      </c>
      <c r="U3082" s="16" t="n">
        <v>124</v>
      </c>
      <c r="V3082" s="16">
        <f>ROUNDUP((T3082+U3082+2*'Read Me'!$B$13)*(1+'Read Me'!$B$12),-1)</f>
        <v/>
      </c>
      <c r="W3082" s="16">
        <f>V3082*N3082*O3082</f>
        <v/>
      </c>
      <c r="X3082" s="12">
        <f>IF(LEFT(I3082,2)="MV",2*N3082*IF(L3082="1/C",O3082,1),0)</f>
        <v/>
      </c>
      <c r="Y3082" s="12">
        <f>IF(OR(LEFT(K3082,4)="LVAX",LEFT(K3082,6)="MV15AX",LEFT(K3082,4)="CTAX",LEFT(K3082,2)="W|"),2*N3082*O3082,0)</f>
        <v/>
      </c>
      <c r="Z3082" s="12" t="inlineStr"/>
      <c r="AA3082" s="12">
        <f>N3082*O3082</f>
        <v/>
      </c>
    </row>
    <row r="3083">
      <c r="A3083" s="12" t="inlineStr">
        <is>
          <t>G-C-0141</t>
        </is>
      </c>
      <c r="B3083" s="12" t="inlineStr">
        <is>
          <t>G</t>
        </is>
      </c>
      <c r="C3083" s="12" t="inlineStr">
        <is>
          <t>Carbon capture</t>
        </is>
      </c>
      <c r="D3083" s="12" t="inlineStr">
        <is>
          <t>Motor 2 of 2: control / local station</t>
        </is>
      </c>
      <c r="E3083" s="12" t="inlineStr"/>
      <c r="F3083" s="12" t="inlineStr">
        <is>
          <t>CCS MV switchgear building (VFDs)</t>
        </is>
      </c>
      <c r="G3083" s="12" t="inlineStr">
        <is>
          <t>DMP-C</t>
        </is>
      </c>
      <c r="H3083" s="12" t="inlineStr">
        <is>
          <t>DMP-C: diverter / bypass damper</t>
        </is>
      </c>
      <c r="I3083" s="12" t="inlineStr">
        <is>
          <t>Control</t>
        </is>
      </c>
      <c r="J3083" s="12" t="inlineStr">
        <is>
          <t>Control cable 600 V Type TC-ER, Cu #14 AWG, PVC jacket</t>
        </is>
      </c>
      <c r="K3083" s="12" t="inlineStr">
        <is>
          <t>CT|7/C|14</t>
        </is>
      </c>
      <c r="L3083" s="12" t="inlineStr">
        <is>
          <t>7/C</t>
        </is>
      </c>
      <c r="M3083" s="12" t="inlineStr">
        <is>
          <t>14</t>
        </is>
      </c>
      <c r="N3083" s="12" t="n">
        <v>1</v>
      </c>
      <c r="O3083" s="12" t="n">
        <v>1</v>
      </c>
      <c r="P3083" s="12" t="n"/>
      <c r="Q3083" s="12" t="n"/>
      <c r="R3083" s="12" t="n"/>
      <c r="S3083" s="12" t="inlineStr">
        <is>
          <t>Duct bank</t>
        </is>
      </c>
      <c r="T3083" s="16" t="n">
        <v>1116</v>
      </c>
      <c r="U3083" s="16" t="n">
        <v>124</v>
      </c>
      <c r="V3083" s="16">
        <f>ROUNDUP((T3083+U3083+2*'Read Me'!$B$13)*(1+'Read Me'!$B$12),-1)</f>
        <v/>
      </c>
      <c r="W3083" s="16">
        <f>V3083*N3083*O3083</f>
        <v/>
      </c>
      <c r="X3083" s="12">
        <f>IF(LEFT(I3083,2)="MV",2*N3083*IF(L3083="1/C",O3083,1),0)</f>
        <v/>
      </c>
      <c r="Y3083" s="12">
        <f>IF(OR(LEFT(K3083,4)="LVAX",LEFT(K3083,6)="MV15AX",LEFT(K3083,4)="CTAX",LEFT(K3083,2)="W|"),2*N3083*O3083,0)</f>
        <v/>
      </c>
      <c r="Z3083" s="12" t="inlineStr"/>
      <c r="AA3083" s="12">
        <f>N3083*O3083</f>
        <v/>
      </c>
    </row>
    <row r="3084">
      <c r="A3084" s="12" t="inlineStr">
        <is>
          <t>G-C-0142</t>
        </is>
      </c>
      <c r="B3084" s="12" t="inlineStr">
        <is>
          <t>G</t>
        </is>
      </c>
      <c r="C3084" s="12" t="inlineStr">
        <is>
          <t>Carbon capture</t>
        </is>
      </c>
      <c r="D3084" s="12" t="inlineStr">
        <is>
          <t>MOV 1: control</t>
        </is>
      </c>
      <c r="E3084" s="12" t="inlineStr"/>
      <c r="F3084" s="12" t="inlineStr">
        <is>
          <t>CCS MV switchgear building (VFDs)</t>
        </is>
      </c>
      <c r="G3084" s="12" t="inlineStr"/>
      <c r="H3084" s="12" t="inlineStr">
        <is>
          <t>RB-A: reboiler (LP steam from ST extraction)</t>
        </is>
      </c>
      <c r="I3084" s="12" t="inlineStr">
        <is>
          <t>Control</t>
        </is>
      </c>
      <c r="J3084" s="12" t="inlineStr">
        <is>
          <t>Control cable 600 V Type TC-ER, Cu #14 AWG, PVC jacket</t>
        </is>
      </c>
      <c r="K3084" s="12" t="inlineStr">
        <is>
          <t>CT|12/C|14</t>
        </is>
      </c>
      <c r="L3084" s="12" t="inlineStr">
        <is>
          <t>12/C</t>
        </is>
      </c>
      <c r="M3084" s="12" t="inlineStr">
        <is>
          <t>14</t>
        </is>
      </c>
      <c r="N3084" s="12" t="n">
        <v>1</v>
      </c>
      <c r="O3084" s="12" t="n">
        <v>1</v>
      </c>
      <c r="P3084" s="12" t="n"/>
      <c r="Q3084" s="12" t="n"/>
      <c r="R3084" s="12" t="n"/>
      <c r="S3084" s="12" t="inlineStr">
        <is>
          <t>Duct bank</t>
        </is>
      </c>
      <c r="T3084" s="16" t="n">
        <v>50</v>
      </c>
      <c r="U3084" s="16" t="n">
        <v>37</v>
      </c>
      <c r="V3084" s="16">
        <f>ROUNDUP((T3084+U3084+2*'Read Me'!$B$13)*(1+'Read Me'!$B$12),-1)</f>
        <v/>
      </c>
      <c r="W3084" s="16">
        <f>V3084*N3084*O3084</f>
        <v/>
      </c>
      <c r="X3084" s="12">
        <f>IF(LEFT(I3084,2)="MV",2*N3084*IF(L3084="1/C",O3084,1),0)</f>
        <v/>
      </c>
      <c r="Y3084" s="12">
        <f>IF(OR(LEFT(K3084,4)="LVAX",LEFT(K3084,6)="MV15AX",LEFT(K3084,4)="CTAX",LEFT(K3084,2)="W|"),2*N3084*O3084,0)</f>
        <v/>
      </c>
      <c r="Z3084" s="12" t="inlineStr"/>
      <c r="AA3084" s="12">
        <f>N3084*O3084</f>
        <v/>
      </c>
    </row>
    <row r="3085">
      <c r="A3085" s="12" t="inlineStr">
        <is>
          <t>G-C-0143</t>
        </is>
      </c>
      <c r="B3085" s="12" t="inlineStr">
        <is>
          <t>G</t>
        </is>
      </c>
      <c r="C3085" s="12" t="inlineStr">
        <is>
          <t>Carbon capture</t>
        </is>
      </c>
      <c r="D3085" s="12" t="inlineStr">
        <is>
          <t>MOV 2: control</t>
        </is>
      </c>
      <c r="E3085" s="12" t="inlineStr"/>
      <c r="F3085" s="12" t="inlineStr">
        <is>
          <t>CCS MV switchgear building (VFDs)</t>
        </is>
      </c>
      <c r="G3085" s="12" t="inlineStr"/>
      <c r="H3085" s="12" t="inlineStr">
        <is>
          <t>RB-A: reboiler (LP steam from ST extraction)</t>
        </is>
      </c>
      <c r="I3085" s="12" t="inlineStr">
        <is>
          <t>Control</t>
        </is>
      </c>
      <c r="J3085" s="12" t="inlineStr">
        <is>
          <t>Control cable 600 V Type TC-ER, Cu #14 AWG, PVC jacket</t>
        </is>
      </c>
      <c r="K3085" s="12" t="inlineStr">
        <is>
          <t>CT|12/C|14</t>
        </is>
      </c>
      <c r="L3085" s="12" t="inlineStr">
        <is>
          <t>12/C</t>
        </is>
      </c>
      <c r="M3085" s="12" t="inlineStr">
        <is>
          <t>14</t>
        </is>
      </c>
      <c r="N3085" s="12" t="n">
        <v>1</v>
      </c>
      <c r="O3085" s="12" t="n">
        <v>1</v>
      </c>
      <c r="P3085" s="12" t="n"/>
      <c r="Q3085" s="12" t="n"/>
      <c r="R3085" s="12" t="n"/>
      <c r="S3085" s="12" t="inlineStr">
        <is>
          <t>Duct bank</t>
        </is>
      </c>
      <c r="T3085" s="16" t="n">
        <v>50</v>
      </c>
      <c r="U3085" s="16" t="n">
        <v>37</v>
      </c>
      <c r="V3085" s="16">
        <f>ROUNDUP((T3085+U3085+2*'Read Me'!$B$13)*(1+'Read Me'!$B$12),-1)</f>
        <v/>
      </c>
      <c r="W3085" s="16">
        <f>V3085*N3085*O3085</f>
        <v/>
      </c>
      <c r="X3085" s="12">
        <f>IF(LEFT(I3085,2)="MV",2*N3085*IF(L3085="1/C",O3085,1),0)</f>
        <v/>
      </c>
      <c r="Y3085" s="12">
        <f>IF(OR(LEFT(K3085,4)="LVAX",LEFT(K3085,6)="MV15AX",LEFT(K3085,4)="CTAX",LEFT(K3085,2)="W|"),2*N3085*O3085,0)</f>
        <v/>
      </c>
      <c r="Z3085" s="12" t="inlineStr"/>
      <c r="AA3085" s="12">
        <f>N3085*O3085</f>
        <v/>
      </c>
    </row>
    <row r="3086">
      <c r="A3086" s="12" t="inlineStr">
        <is>
          <t>G-C-0144</t>
        </is>
      </c>
      <c r="B3086" s="12" t="inlineStr">
        <is>
          <t>G</t>
        </is>
      </c>
      <c r="C3086" s="12" t="inlineStr">
        <is>
          <t>Carbon capture</t>
        </is>
      </c>
      <c r="D3086" s="12" t="inlineStr">
        <is>
          <t>MOV 3: control</t>
        </is>
      </c>
      <c r="E3086" s="12" t="inlineStr"/>
      <c r="F3086" s="12" t="inlineStr">
        <is>
          <t>CCS MV switchgear building (VFDs)</t>
        </is>
      </c>
      <c r="G3086" s="12" t="inlineStr"/>
      <c r="H3086" s="12" t="inlineStr">
        <is>
          <t>RB-A: reboiler (LP steam from ST extraction)</t>
        </is>
      </c>
      <c r="I3086" s="12" t="inlineStr">
        <is>
          <t>Control</t>
        </is>
      </c>
      <c r="J3086" s="12" t="inlineStr">
        <is>
          <t>Control cable 600 V Type TC-ER, Cu #14 AWG, PVC jacket</t>
        </is>
      </c>
      <c r="K3086" s="12" t="inlineStr">
        <is>
          <t>CT|12/C|14</t>
        </is>
      </c>
      <c r="L3086" s="12" t="inlineStr">
        <is>
          <t>12/C</t>
        </is>
      </c>
      <c r="M3086" s="12" t="inlineStr">
        <is>
          <t>14</t>
        </is>
      </c>
      <c r="N3086" s="12" t="n">
        <v>1</v>
      </c>
      <c r="O3086" s="12" t="n">
        <v>1</v>
      </c>
      <c r="P3086" s="12" t="n"/>
      <c r="Q3086" s="12" t="n"/>
      <c r="R3086" s="12" t="n"/>
      <c r="S3086" s="12" t="inlineStr">
        <is>
          <t>Duct bank</t>
        </is>
      </c>
      <c r="T3086" s="16" t="n">
        <v>50</v>
      </c>
      <c r="U3086" s="16" t="n">
        <v>37</v>
      </c>
      <c r="V3086" s="16">
        <f>ROUNDUP((T3086+U3086+2*'Read Me'!$B$13)*(1+'Read Me'!$B$12),-1)</f>
        <v/>
      </c>
      <c r="W3086" s="16">
        <f>V3086*N3086*O3086</f>
        <v/>
      </c>
      <c r="X3086" s="12">
        <f>IF(LEFT(I3086,2)="MV",2*N3086*IF(L3086="1/C",O3086,1),0)</f>
        <v/>
      </c>
      <c r="Y3086" s="12">
        <f>IF(OR(LEFT(K3086,4)="LVAX",LEFT(K3086,6)="MV15AX",LEFT(K3086,4)="CTAX",LEFT(K3086,2)="W|"),2*N3086*O3086,0)</f>
        <v/>
      </c>
      <c r="Z3086" s="12" t="inlineStr"/>
      <c r="AA3086" s="12">
        <f>N3086*O3086</f>
        <v/>
      </c>
    </row>
    <row r="3087">
      <c r="A3087" s="12" t="inlineStr">
        <is>
          <t>G-C-0145</t>
        </is>
      </c>
      <c r="B3087" s="12" t="inlineStr">
        <is>
          <t>G</t>
        </is>
      </c>
      <c r="C3087" s="12" t="inlineStr">
        <is>
          <t>Carbon capture</t>
        </is>
      </c>
      <c r="D3087" s="12" t="inlineStr">
        <is>
          <t>MOV 4: control</t>
        </is>
      </c>
      <c r="E3087" s="12" t="inlineStr"/>
      <c r="F3087" s="12" t="inlineStr">
        <is>
          <t>CCS MV switchgear building (VFDs)</t>
        </is>
      </c>
      <c r="G3087" s="12" t="inlineStr"/>
      <c r="H3087" s="12" t="inlineStr">
        <is>
          <t>RB-A: reboiler (LP steam from ST extraction)</t>
        </is>
      </c>
      <c r="I3087" s="12" t="inlineStr">
        <is>
          <t>Control</t>
        </is>
      </c>
      <c r="J3087" s="12" t="inlineStr">
        <is>
          <t>Control cable 600 V Type TC-ER, Cu #14 AWG, PVC jacket</t>
        </is>
      </c>
      <c r="K3087" s="12" t="inlineStr">
        <is>
          <t>CT|12/C|14</t>
        </is>
      </c>
      <c r="L3087" s="12" t="inlineStr">
        <is>
          <t>12/C</t>
        </is>
      </c>
      <c r="M3087" s="12" t="inlineStr">
        <is>
          <t>14</t>
        </is>
      </c>
      <c r="N3087" s="12" t="n">
        <v>1</v>
      </c>
      <c r="O3087" s="12" t="n">
        <v>1</v>
      </c>
      <c r="P3087" s="12" t="n"/>
      <c r="Q3087" s="12" t="n"/>
      <c r="R3087" s="12" t="n"/>
      <c r="S3087" s="12" t="inlineStr">
        <is>
          <t>Duct bank</t>
        </is>
      </c>
      <c r="T3087" s="16" t="n">
        <v>50</v>
      </c>
      <c r="U3087" s="16" t="n">
        <v>37</v>
      </c>
      <c r="V3087" s="16">
        <f>ROUNDUP((T3087+U3087+2*'Read Me'!$B$13)*(1+'Read Me'!$B$12),-1)</f>
        <v/>
      </c>
      <c r="W3087" s="16">
        <f>V3087*N3087*O3087</f>
        <v/>
      </c>
      <c r="X3087" s="12">
        <f>IF(LEFT(I3087,2)="MV",2*N3087*IF(L3087="1/C",O3087,1),0)</f>
        <v/>
      </c>
      <c r="Y3087" s="12">
        <f>IF(OR(LEFT(K3087,4)="LVAX",LEFT(K3087,6)="MV15AX",LEFT(K3087,4)="CTAX",LEFT(K3087,2)="W|"),2*N3087*O3087,0)</f>
        <v/>
      </c>
      <c r="Z3087" s="12" t="inlineStr"/>
      <c r="AA3087" s="12">
        <f>N3087*O3087</f>
        <v/>
      </c>
    </row>
    <row r="3088">
      <c r="A3088" s="12" t="inlineStr">
        <is>
          <t>G-C-0146</t>
        </is>
      </c>
      <c r="B3088" s="12" t="inlineStr">
        <is>
          <t>G</t>
        </is>
      </c>
      <c r="C3088" s="12" t="inlineStr">
        <is>
          <t>Carbon capture</t>
        </is>
      </c>
      <c r="D3088" s="12" t="inlineStr">
        <is>
          <t>MOV 1: control</t>
        </is>
      </c>
      <c r="E3088" s="12" t="inlineStr"/>
      <c r="F3088" s="12" t="inlineStr">
        <is>
          <t>CCS MV switchgear building (VFDs)</t>
        </is>
      </c>
      <c r="G3088" s="12" t="inlineStr"/>
      <c r="H3088" s="12" t="inlineStr">
        <is>
          <t>RB-B: reboiler (LP steam from ST extraction)</t>
        </is>
      </c>
      <c r="I3088" s="12" t="inlineStr">
        <is>
          <t>Control</t>
        </is>
      </c>
      <c r="J3088" s="12" t="inlineStr">
        <is>
          <t>Control cable 600 V Type TC-ER, Cu #14 AWG, PVC jacket</t>
        </is>
      </c>
      <c r="K3088" s="12" t="inlineStr">
        <is>
          <t>CT|12/C|14</t>
        </is>
      </c>
      <c r="L3088" s="12" t="inlineStr">
        <is>
          <t>12/C</t>
        </is>
      </c>
      <c r="M3088" s="12" t="inlineStr">
        <is>
          <t>14</t>
        </is>
      </c>
      <c r="N3088" s="12" t="n">
        <v>1</v>
      </c>
      <c r="O3088" s="12" t="n">
        <v>1</v>
      </c>
      <c r="P3088" s="12" t="n"/>
      <c r="Q3088" s="12" t="n"/>
      <c r="R3088" s="12" t="n"/>
      <c r="S3088" s="12" t="inlineStr">
        <is>
          <t>Duct bank</t>
        </is>
      </c>
      <c r="T3088" s="16" t="n">
        <v>83</v>
      </c>
      <c r="U3088" s="16" t="n">
        <v>42</v>
      </c>
      <c r="V3088" s="16">
        <f>ROUNDUP((T3088+U3088+2*'Read Me'!$B$13)*(1+'Read Me'!$B$12),-1)</f>
        <v/>
      </c>
      <c r="W3088" s="16">
        <f>V3088*N3088*O3088</f>
        <v/>
      </c>
      <c r="X3088" s="12">
        <f>IF(LEFT(I3088,2)="MV",2*N3088*IF(L3088="1/C",O3088,1),0)</f>
        <v/>
      </c>
      <c r="Y3088" s="12">
        <f>IF(OR(LEFT(K3088,4)="LVAX",LEFT(K3088,6)="MV15AX",LEFT(K3088,4)="CTAX",LEFT(K3088,2)="W|"),2*N3088*O3088,0)</f>
        <v/>
      </c>
      <c r="Z3088" s="12" t="inlineStr"/>
      <c r="AA3088" s="12">
        <f>N3088*O3088</f>
        <v/>
      </c>
    </row>
    <row r="3089">
      <c r="A3089" s="12" t="inlineStr">
        <is>
          <t>G-C-0147</t>
        </is>
      </c>
      <c r="B3089" s="12" t="inlineStr">
        <is>
          <t>G</t>
        </is>
      </c>
      <c r="C3089" s="12" t="inlineStr">
        <is>
          <t>Carbon capture</t>
        </is>
      </c>
      <c r="D3089" s="12" t="inlineStr">
        <is>
          <t>MOV 2: control</t>
        </is>
      </c>
      <c r="E3089" s="12" t="inlineStr"/>
      <c r="F3089" s="12" t="inlineStr">
        <is>
          <t>CCS MV switchgear building (VFDs)</t>
        </is>
      </c>
      <c r="G3089" s="12" t="inlineStr"/>
      <c r="H3089" s="12" t="inlineStr">
        <is>
          <t>RB-B: reboiler (LP steam from ST extraction)</t>
        </is>
      </c>
      <c r="I3089" s="12" t="inlineStr">
        <is>
          <t>Control</t>
        </is>
      </c>
      <c r="J3089" s="12" t="inlineStr">
        <is>
          <t>Control cable 600 V Type TC-ER, Cu #14 AWG, PVC jacket</t>
        </is>
      </c>
      <c r="K3089" s="12" t="inlineStr">
        <is>
          <t>CT|12/C|14</t>
        </is>
      </c>
      <c r="L3089" s="12" t="inlineStr">
        <is>
          <t>12/C</t>
        </is>
      </c>
      <c r="M3089" s="12" t="inlineStr">
        <is>
          <t>14</t>
        </is>
      </c>
      <c r="N3089" s="12" t="n">
        <v>1</v>
      </c>
      <c r="O3089" s="12" t="n">
        <v>1</v>
      </c>
      <c r="P3089" s="12" t="n"/>
      <c r="Q3089" s="12" t="n"/>
      <c r="R3089" s="12" t="n"/>
      <c r="S3089" s="12" t="inlineStr">
        <is>
          <t>Duct bank</t>
        </is>
      </c>
      <c r="T3089" s="16" t="n">
        <v>83</v>
      </c>
      <c r="U3089" s="16" t="n">
        <v>42</v>
      </c>
      <c r="V3089" s="16">
        <f>ROUNDUP((T3089+U3089+2*'Read Me'!$B$13)*(1+'Read Me'!$B$12),-1)</f>
        <v/>
      </c>
      <c r="W3089" s="16">
        <f>V3089*N3089*O3089</f>
        <v/>
      </c>
      <c r="X3089" s="12">
        <f>IF(LEFT(I3089,2)="MV",2*N3089*IF(L3089="1/C",O3089,1),0)</f>
        <v/>
      </c>
      <c r="Y3089" s="12">
        <f>IF(OR(LEFT(K3089,4)="LVAX",LEFT(K3089,6)="MV15AX",LEFT(K3089,4)="CTAX",LEFT(K3089,2)="W|"),2*N3089*O3089,0)</f>
        <v/>
      </c>
      <c r="Z3089" s="12" t="inlineStr"/>
      <c r="AA3089" s="12">
        <f>N3089*O3089</f>
        <v/>
      </c>
    </row>
    <row r="3090">
      <c r="A3090" s="12" t="inlineStr">
        <is>
          <t>G-C-0148</t>
        </is>
      </c>
      <c r="B3090" s="12" t="inlineStr">
        <is>
          <t>G</t>
        </is>
      </c>
      <c r="C3090" s="12" t="inlineStr">
        <is>
          <t>Carbon capture</t>
        </is>
      </c>
      <c r="D3090" s="12" t="inlineStr">
        <is>
          <t>MOV 3: control</t>
        </is>
      </c>
      <c r="E3090" s="12" t="inlineStr"/>
      <c r="F3090" s="12" t="inlineStr">
        <is>
          <t>CCS MV switchgear building (VFDs)</t>
        </is>
      </c>
      <c r="G3090" s="12" t="inlineStr"/>
      <c r="H3090" s="12" t="inlineStr">
        <is>
          <t>RB-B: reboiler (LP steam from ST extraction)</t>
        </is>
      </c>
      <c r="I3090" s="12" t="inlineStr">
        <is>
          <t>Control</t>
        </is>
      </c>
      <c r="J3090" s="12" t="inlineStr">
        <is>
          <t>Control cable 600 V Type TC-ER, Cu #14 AWG, PVC jacket</t>
        </is>
      </c>
      <c r="K3090" s="12" t="inlineStr">
        <is>
          <t>CT|12/C|14</t>
        </is>
      </c>
      <c r="L3090" s="12" t="inlineStr">
        <is>
          <t>12/C</t>
        </is>
      </c>
      <c r="M3090" s="12" t="inlineStr">
        <is>
          <t>14</t>
        </is>
      </c>
      <c r="N3090" s="12" t="n">
        <v>1</v>
      </c>
      <c r="O3090" s="12" t="n">
        <v>1</v>
      </c>
      <c r="P3090" s="12" t="n"/>
      <c r="Q3090" s="12" t="n"/>
      <c r="R3090" s="12" t="n"/>
      <c r="S3090" s="12" t="inlineStr">
        <is>
          <t>Duct bank</t>
        </is>
      </c>
      <c r="T3090" s="16" t="n">
        <v>83</v>
      </c>
      <c r="U3090" s="16" t="n">
        <v>42</v>
      </c>
      <c r="V3090" s="16">
        <f>ROUNDUP((T3090+U3090+2*'Read Me'!$B$13)*(1+'Read Me'!$B$12),-1)</f>
        <v/>
      </c>
      <c r="W3090" s="16">
        <f>V3090*N3090*O3090</f>
        <v/>
      </c>
      <c r="X3090" s="12">
        <f>IF(LEFT(I3090,2)="MV",2*N3090*IF(L3090="1/C",O3090,1),0)</f>
        <v/>
      </c>
      <c r="Y3090" s="12">
        <f>IF(OR(LEFT(K3090,4)="LVAX",LEFT(K3090,6)="MV15AX",LEFT(K3090,4)="CTAX",LEFT(K3090,2)="W|"),2*N3090*O3090,0)</f>
        <v/>
      </c>
      <c r="Z3090" s="12" t="inlineStr"/>
      <c r="AA3090" s="12">
        <f>N3090*O3090</f>
        <v/>
      </c>
    </row>
    <row r="3091">
      <c r="A3091" s="12" t="inlineStr">
        <is>
          <t>G-C-0149</t>
        </is>
      </c>
      <c r="B3091" s="12" t="inlineStr">
        <is>
          <t>G</t>
        </is>
      </c>
      <c r="C3091" s="12" t="inlineStr">
        <is>
          <t>Carbon capture</t>
        </is>
      </c>
      <c r="D3091" s="12" t="inlineStr">
        <is>
          <t>MOV 4: control</t>
        </is>
      </c>
      <c r="E3091" s="12" t="inlineStr"/>
      <c r="F3091" s="12" t="inlineStr">
        <is>
          <t>CCS MV switchgear building (VFDs)</t>
        </is>
      </c>
      <c r="G3091" s="12" t="inlineStr"/>
      <c r="H3091" s="12" t="inlineStr">
        <is>
          <t>RB-B: reboiler (LP steam from ST extraction)</t>
        </is>
      </c>
      <c r="I3091" s="12" t="inlineStr">
        <is>
          <t>Control</t>
        </is>
      </c>
      <c r="J3091" s="12" t="inlineStr">
        <is>
          <t>Control cable 600 V Type TC-ER, Cu #14 AWG, PVC jacket</t>
        </is>
      </c>
      <c r="K3091" s="12" t="inlineStr">
        <is>
          <t>CT|12/C|14</t>
        </is>
      </c>
      <c r="L3091" s="12" t="inlineStr">
        <is>
          <t>12/C</t>
        </is>
      </c>
      <c r="M3091" s="12" t="inlineStr">
        <is>
          <t>14</t>
        </is>
      </c>
      <c r="N3091" s="12" t="n">
        <v>1</v>
      </c>
      <c r="O3091" s="12" t="n">
        <v>1</v>
      </c>
      <c r="P3091" s="12" t="n"/>
      <c r="Q3091" s="12" t="n"/>
      <c r="R3091" s="12" t="n"/>
      <c r="S3091" s="12" t="inlineStr">
        <is>
          <t>Duct bank</t>
        </is>
      </c>
      <c r="T3091" s="16" t="n">
        <v>83</v>
      </c>
      <c r="U3091" s="16" t="n">
        <v>42</v>
      </c>
      <c r="V3091" s="16">
        <f>ROUNDUP((T3091+U3091+2*'Read Me'!$B$13)*(1+'Read Me'!$B$12),-1)</f>
        <v/>
      </c>
      <c r="W3091" s="16">
        <f>V3091*N3091*O3091</f>
        <v/>
      </c>
      <c r="X3091" s="12">
        <f>IF(LEFT(I3091,2)="MV",2*N3091*IF(L3091="1/C",O3091,1),0)</f>
        <v/>
      </c>
      <c r="Y3091" s="12">
        <f>IF(OR(LEFT(K3091,4)="LVAX",LEFT(K3091,6)="MV15AX",LEFT(K3091,4)="CTAX",LEFT(K3091,2)="W|"),2*N3091*O3091,0)</f>
        <v/>
      </c>
      <c r="Z3091" s="12" t="inlineStr"/>
      <c r="AA3091" s="12">
        <f>N3091*O3091</f>
        <v/>
      </c>
    </row>
    <row r="3092">
      <c r="A3092" s="12" t="inlineStr">
        <is>
          <t>G-C-0150</t>
        </is>
      </c>
      <c r="B3092" s="12" t="inlineStr">
        <is>
          <t>G</t>
        </is>
      </c>
      <c r="C3092" s="12" t="inlineStr">
        <is>
          <t>Carbon capture</t>
        </is>
      </c>
      <c r="D3092" s="12" t="inlineStr">
        <is>
          <t>MOV 1: control</t>
        </is>
      </c>
      <c r="E3092" s="12" t="inlineStr"/>
      <c r="F3092" s="12" t="inlineStr">
        <is>
          <t>CCS MV switchgear building (VFDs)</t>
        </is>
      </c>
      <c r="G3092" s="12" t="inlineStr"/>
      <c r="H3092" s="12" t="inlineStr">
        <is>
          <t>RB-C: reboiler (LP steam from ST extraction)</t>
        </is>
      </c>
      <c r="I3092" s="12" t="inlineStr">
        <is>
          <t>Control</t>
        </is>
      </c>
      <c r="J3092" s="12" t="inlineStr">
        <is>
          <t>Control cable 600 V Type TC-ER, Cu #14 AWG, PVC jacket</t>
        </is>
      </c>
      <c r="K3092" s="12" t="inlineStr">
        <is>
          <t>CT|12/C|14</t>
        </is>
      </c>
      <c r="L3092" s="12" t="inlineStr">
        <is>
          <t>12/C</t>
        </is>
      </c>
      <c r="M3092" s="12" t="inlineStr">
        <is>
          <t>14</t>
        </is>
      </c>
      <c r="N3092" s="12" t="n">
        <v>1</v>
      </c>
      <c r="O3092" s="12" t="n">
        <v>1</v>
      </c>
      <c r="P3092" s="12" t="n"/>
      <c r="Q3092" s="12" t="n"/>
      <c r="R3092" s="12" t="n"/>
      <c r="S3092" s="12" t="inlineStr">
        <is>
          <t>Duct bank</t>
        </is>
      </c>
      <c r="T3092" s="16" t="n">
        <v>45</v>
      </c>
      <c r="U3092" s="16" t="n">
        <v>47</v>
      </c>
      <c r="V3092" s="16">
        <f>ROUNDUP((T3092+U3092+2*'Read Me'!$B$13)*(1+'Read Me'!$B$12),-1)</f>
        <v/>
      </c>
      <c r="W3092" s="16">
        <f>V3092*N3092*O3092</f>
        <v/>
      </c>
      <c r="X3092" s="12">
        <f>IF(LEFT(I3092,2)="MV",2*N3092*IF(L3092="1/C",O3092,1),0)</f>
        <v/>
      </c>
      <c r="Y3092" s="12">
        <f>IF(OR(LEFT(K3092,4)="LVAX",LEFT(K3092,6)="MV15AX",LEFT(K3092,4)="CTAX",LEFT(K3092,2)="W|"),2*N3092*O3092,0)</f>
        <v/>
      </c>
      <c r="Z3092" s="12" t="inlineStr"/>
      <c r="AA3092" s="12">
        <f>N3092*O3092</f>
        <v/>
      </c>
    </row>
    <row r="3093">
      <c r="A3093" s="12" t="inlineStr">
        <is>
          <t>G-C-0151</t>
        </is>
      </c>
      <c r="B3093" s="12" t="inlineStr">
        <is>
          <t>G</t>
        </is>
      </c>
      <c r="C3093" s="12" t="inlineStr">
        <is>
          <t>Carbon capture</t>
        </is>
      </c>
      <c r="D3093" s="12" t="inlineStr">
        <is>
          <t>MOV 2: control</t>
        </is>
      </c>
      <c r="E3093" s="12" t="inlineStr"/>
      <c r="F3093" s="12" t="inlineStr">
        <is>
          <t>CCS MV switchgear building (VFDs)</t>
        </is>
      </c>
      <c r="G3093" s="12" t="inlineStr"/>
      <c r="H3093" s="12" t="inlineStr">
        <is>
          <t>RB-C: reboiler (LP steam from ST extraction)</t>
        </is>
      </c>
      <c r="I3093" s="12" t="inlineStr">
        <is>
          <t>Control</t>
        </is>
      </c>
      <c r="J3093" s="12" t="inlineStr">
        <is>
          <t>Control cable 600 V Type TC-ER, Cu #14 AWG, PVC jacket</t>
        </is>
      </c>
      <c r="K3093" s="12" t="inlineStr">
        <is>
          <t>CT|12/C|14</t>
        </is>
      </c>
      <c r="L3093" s="12" t="inlineStr">
        <is>
          <t>12/C</t>
        </is>
      </c>
      <c r="M3093" s="12" t="inlineStr">
        <is>
          <t>14</t>
        </is>
      </c>
      <c r="N3093" s="12" t="n">
        <v>1</v>
      </c>
      <c r="O3093" s="12" t="n">
        <v>1</v>
      </c>
      <c r="P3093" s="12" t="n"/>
      <c r="Q3093" s="12" t="n"/>
      <c r="R3093" s="12" t="n"/>
      <c r="S3093" s="12" t="inlineStr">
        <is>
          <t>Duct bank</t>
        </is>
      </c>
      <c r="T3093" s="16" t="n">
        <v>45</v>
      </c>
      <c r="U3093" s="16" t="n">
        <v>47</v>
      </c>
      <c r="V3093" s="16">
        <f>ROUNDUP((T3093+U3093+2*'Read Me'!$B$13)*(1+'Read Me'!$B$12),-1)</f>
        <v/>
      </c>
      <c r="W3093" s="16">
        <f>V3093*N3093*O3093</f>
        <v/>
      </c>
      <c r="X3093" s="12">
        <f>IF(LEFT(I3093,2)="MV",2*N3093*IF(L3093="1/C",O3093,1),0)</f>
        <v/>
      </c>
      <c r="Y3093" s="12">
        <f>IF(OR(LEFT(K3093,4)="LVAX",LEFT(K3093,6)="MV15AX",LEFT(K3093,4)="CTAX",LEFT(K3093,2)="W|"),2*N3093*O3093,0)</f>
        <v/>
      </c>
      <c r="Z3093" s="12" t="inlineStr"/>
      <c r="AA3093" s="12">
        <f>N3093*O3093</f>
        <v/>
      </c>
    </row>
    <row r="3094">
      <c r="A3094" s="12" t="inlineStr">
        <is>
          <t>G-C-0152</t>
        </is>
      </c>
      <c r="B3094" s="12" t="inlineStr">
        <is>
          <t>G</t>
        </is>
      </c>
      <c r="C3094" s="12" t="inlineStr">
        <is>
          <t>Carbon capture</t>
        </is>
      </c>
      <c r="D3094" s="12" t="inlineStr">
        <is>
          <t>MOV 3: control</t>
        </is>
      </c>
      <c r="E3094" s="12" t="inlineStr"/>
      <c r="F3094" s="12" t="inlineStr">
        <is>
          <t>CCS MV switchgear building (VFDs)</t>
        </is>
      </c>
      <c r="G3094" s="12" t="inlineStr"/>
      <c r="H3094" s="12" t="inlineStr">
        <is>
          <t>RB-C: reboiler (LP steam from ST extraction)</t>
        </is>
      </c>
      <c r="I3094" s="12" t="inlineStr">
        <is>
          <t>Control</t>
        </is>
      </c>
      <c r="J3094" s="12" t="inlineStr">
        <is>
          <t>Control cable 600 V Type TC-ER, Cu #14 AWG, PVC jacket</t>
        </is>
      </c>
      <c r="K3094" s="12" t="inlineStr">
        <is>
          <t>CT|12/C|14</t>
        </is>
      </c>
      <c r="L3094" s="12" t="inlineStr">
        <is>
          <t>12/C</t>
        </is>
      </c>
      <c r="M3094" s="12" t="inlineStr">
        <is>
          <t>14</t>
        </is>
      </c>
      <c r="N3094" s="12" t="n">
        <v>1</v>
      </c>
      <c r="O3094" s="12" t="n">
        <v>1</v>
      </c>
      <c r="P3094" s="12" t="n"/>
      <c r="Q3094" s="12" t="n"/>
      <c r="R3094" s="12" t="n"/>
      <c r="S3094" s="12" t="inlineStr">
        <is>
          <t>Duct bank</t>
        </is>
      </c>
      <c r="T3094" s="16" t="n">
        <v>45</v>
      </c>
      <c r="U3094" s="16" t="n">
        <v>47</v>
      </c>
      <c r="V3094" s="16">
        <f>ROUNDUP((T3094+U3094+2*'Read Me'!$B$13)*(1+'Read Me'!$B$12),-1)</f>
        <v/>
      </c>
      <c r="W3094" s="16">
        <f>V3094*N3094*O3094</f>
        <v/>
      </c>
      <c r="X3094" s="12">
        <f>IF(LEFT(I3094,2)="MV",2*N3094*IF(L3094="1/C",O3094,1),0)</f>
        <v/>
      </c>
      <c r="Y3094" s="12">
        <f>IF(OR(LEFT(K3094,4)="LVAX",LEFT(K3094,6)="MV15AX",LEFT(K3094,4)="CTAX",LEFT(K3094,2)="W|"),2*N3094*O3094,0)</f>
        <v/>
      </c>
      <c r="Z3094" s="12" t="inlineStr"/>
      <c r="AA3094" s="12">
        <f>N3094*O3094</f>
        <v/>
      </c>
    </row>
    <row r="3095">
      <c r="A3095" s="12" t="inlineStr">
        <is>
          <t>G-C-0153</t>
        </is>
      </c>
      <c r="B3095" s="12" t="inlineStr">
        <is>
          <t>G</t>
        </is>
      </c>
      <c r="C3095" s="12" t="inlineStr">
        <is>
          <t>Carbon capture</t>
        </is>
      </c>
      <c r="D3095" s="12" t="inlineStr">
        <is>
          <t>MOV 4: control</t>
        </is>
      </c>
      <c r="E3095" s="12" t="inlineStr"/>
      <c r="F3095" s="12" t="inlineStr">
        <is>
          <t>CCS MV switchgear building (VFDs)</t>
        </is>
      </c>
      <c r="G3095" s="12" t="inlineStr"/>
      <c r="H3095" s="12" t="inlineStr">
        <is>
          <t>RB-C: reboiler (LP steam from ST extraction)</t>
        </is>
      </c>
      <c r="I3095" s="12" t="inlineStr">
        <is>
          <t>Control</t>
        </is>
      </c>
      <c r="J3095" s="12" t="inlineStr">
        <is>
          <t>Control cable 600 V Type TC-ER, Cu #14 AWG, PVC jacket</t>
        </is>
      </c>
      <c r="K3095" s="12" t="inlineStr">
        <is>
          <t>CT|12/C|14</t>
        </is>
      </c>
      <c r="L3095" s="12" t="inlineStr">
        <is>
          <t>12/C</t>
        </is>
      </c>
      <c r="M3095" s="12" t="inlineStr">
        <is>
          <t>14</t>
        </is>
      </c>
      <c r="N3095" s="12" t="n">
        <v>1</v>
      </c>
      <c r="O3095" s="12" t="n">
        <v>1</v>
      </c>
      <c r="P3095" s="12" t="n"/>
      <c r="Q3095" s="12" t="n"/>
      <c r="R3095" s="12" t="n"/>
      <c r="S3095" s="12" t="inlineStr">
        <is>
          <t>Duct bank</t>
        </is>
      </c>
      <c r="T3095" s="16" t="n">
        <v>45</v>
      </c>
      <c r="U3095" s="16" t="n">
        <v>47</v>
      </c>
      <c r="V3095" s="16">
        <f>ROUNDUP((T3095+U3095+2*'Read Me'!$B$13)*(1+'Read Me'!$B$12),-1)</f>
        <v/>
      </c>
      <c r="W3095" s="16">
        <f>V3095*N3095*O3095</f>
        <v/>
      </c>
      <c r="X3095" s="12">
        <f>IF(LEFT(I3095,2)="MV",2*N3095*IF(L3095="1/C",O3095,1),0)</f>
        <v/>
      </c>
      <c r="Y3095" s="12">
        <f>IF(OR(LEFT(K3095,4)="LVAX",LEFT(K3095,6)="MV15AX",LEFT(K3095,4)="CTAX",LEFT(K3095,2)="W|"),2*N3095*O3095,0)</f>
        <v/>
      </c>
      <c r="Z3095" s="12" t="inlineStr"/>
      <c r="AA3095" s="12">
        <f>N3095*O3095</f>
        <v/>
      </c>
    </row>
    <row r="3096">
      <c r="A3096" s="12" t="inlineStr">
        <is>
          <t>G-C-0154</t>
        </is>
      </c>
      <c r="B3096" s="12" t="inlineStr">
        <is>
          <t>G</t>
        </is>
      </c>
      <c r="C3096" s="12" t="inlineStr">
        <is>
          <t>Carbon capture</t>
        </is>
      </c>
      <c r="D3096" s="12" t="inlineStr">
        <is>
          <t>Motor 1 of 2: control / local station</t>
        </is>
      </c>
      <c r="E3096" s="12" t="inlineStr"/>
      <c r="F3096" s="12" t="inlineStr">
        <is>
          <t>CCS MV switchgear building (VFDs)</t>
        </is>
      </c>
      <c r="G3096" s="12" t="inlineStr"/>
      <c r="H3096" s="12" t="inlineStr">
        <is>
          <t>Reclaimer (thermal, intermittent)</t>
        </is>
      </c>
      <c r="I3096" s="12" t="inlineStr">
        <is>
          <t>Control</t>
        </is>
      </c>
      <c r="J3096" s="12" t="inlineStr">
        <is>
          <t>Control cable 600 V Type TC-ER, Cu #14 AWG, PVC jacket</t>
        </is>
      </c>
      <c r="K3096" s="12" t="inlineStr">
        <is>
          <t>CT|7/C|14</t>
        </is>
      </c>
      <c r="L3096" s="12" t="inlineStr">
        <is>
          <t>7/C</t>
        </is>
      </c>
      <c r="M3096" s="12" t="inlineStr">
        <is>
          <t>14</t>
        </is>
      </c>
      <c r="N3096" s="12" t="n">
        <v>1</v>
      </c>
      <c r="O3096" s="12" t="n">
        <v>1</v>
      </c>
      <c r="P3096" s="12" t="n"/>
      <c r="Q3096" s="12" t="n"/>
      <c r="R3096" s="12" t="n"/>
      <c r="S3096" s="12" t="inlineStr">
        <is>
          <t>Duct bank</t>
        </is>
      </c>
      <c r="T3096" s="16" t="n">
        <v>45</v>
      </c>
      <c r="U3096" s="16" t="n">
        <v>57</v>
      </c>
      <c r="V3096" s="16">
        <f>ROUNDUP((T3096+U3096+2*'Read Me'!$B$13)*(1+'Read Me'!$B$12),-1)</f>
        <v/>
      </c>
      <c r="W3096" s="16">
        <f>V3096*N3096*O3096</f>
        <v/>
      </c>
      <c r="X3096" s="12">
        <f>IF(LEFT(I3096,2)="MV",2*N3096*IF(L3096="1/C",O3096,1),0)</f>
        <v/>
      </c>
      <c r="Y3096" s="12">
        <f>IF(OR(LEFT(K3096,4)="LVAX",LEFT(K3096,6)="MV15AX",LEFT(K3096,4)="CTAX",LEFT(K3096,2)="W|"),2*N3096*O3096,0)</f>
        <v/>
      </c>
      <c r="Z3096" s="12" t="inlineStr"/>
      <c r="AA3096" s="12">
        <f>N3096*O3096</f>
        <v/>
      </c>
    </row>
    <row r="3097">
      <c r="A3097" s="12" t="inlineStr">
        <is>
          <t>G-C-0155</t>
        </is>
      </c>
      <c r="B3097" s="12" t="inlineStr">
        <is>
          <t>G</t>
        </is>
      </c>
      <c r="C3097" s="12" t="inlineStr">
        <is>
          <t>Carbon capture</t>
        </is>
      </c>
      <c r="D3097" s="12" t="inlineStr">
        <is>
          <t>Motor 2 of 2: control / local station</t>
        </is>
      </c>
      <c r="E3097" s="12" t="inlineStr"/>
      <c r="F3097" s="12" t="inlineStr">
        <is>
          <t>CCS MV switchgear building (VFDs)</t>
        </is>
      </c>
      <c r="G3097" s="12" t="inlineStr"/>
      <c r="H3097" s="12" t="inlineStr">
        <is>
          <t>Reclaimer (thermal, intermittent)</t>
        </is>
      </c>
      <c r="I3097" s="12" t="inlineStr">
        <is>
          <t>Control</t>
        </is>
      </c>
      <c r="J3097" s="12" t="inlineStr">
        <is>
          <t>Control cable 600 V Type TC-ER, Cu #14 AWG, PVC jacket</t>
        </is>
      </c>
      <c r="K3097" s="12" t="inlineStr">
        <is>
          <t>CT|7/C|14</t>
        </is>
      </c>
      <c r="L3097" s="12" t="inlineStr">
        <is>
          <t>7/C</t>
        </is>
      </c>
      <c r="M3097" s="12" t="inlineStr">
        <is>
          <t>14</t>
        </is>
      </c>
      <c r="N3097" s="12" t="n">
        <v>1</v>
      </c>
      <c r="O3097" s="12" t="n">
        <v>1</v>
      </c>
      <c r="P3097" s="12" t="n"/>
      <c r="Q3097" s="12" t="n"/>
      <c r="R3097" s="12" t="n"/>
      <c r="S3097" s="12" t="inlineStr">
        <is>
          <t>Duct bank</t>
        </is>
      </c>
      <c r="T3097" s="16" t="n">
        <v>45</v>
      </c>
      <c r="U3097" s="16" t="n">
        <v>57</v>
      </c>
      <c r="V3097" s="16">
        <f>ROUNDUP((T3097+U3097+2*'Read Me'!$B$13)*(1+'Read Me'!$B$12),-1)</f>
        <v/>
      </c>
      <c r="W3097" s="16">
        <f>V3097*N3097*O3097</f>
        <v/>
      </c>
      <c r="X3097" s="12">
        <f>IF(LEFT(I3097,2)="MV",2*N3097*IF(L3097="1/C",O3097,1),0)</f>
        <v/>
      </c>
      <c r="Y3097" s="12">
        <f>IF(OR(LEFT(K3097,4)="LVAX",LEFT(K3097,6)="MV15AX",LEFT(K3097,4)="CTAX",LEFT(K3097,2)="W|"),2*N3097*O3097,0)</f>
        <v/>
      </c>
      <c r="Z3097" s="12" t="inlineStr"/>
      <c r="AA3097" s="12">
        <f>N3097*O3097</f>
        <v/>
      </c>
    </row>
    <row r="3098">
      <c r="A3098" s="12" t="inlineStr">
        <is>
          <t>G-C-0156</t>
        </is>
      </c>
      <c r="B3098" s="12" t="inlineStr">
        <is>
          <t>G</t>
        </is>
      </c>
      <c r="C3098" s="12" t="inlineStr">
        <is>
          <t>Carbon capture</t>
        </is>
      </c>
      <c r="D3098" s="12" t="inlineStr">
        <is>
          <t>MOV 1: control</t>
        </is>
      </c>
      <c r="E3098" s="12" t="inlineStr"/>
      <c r="F3098" s="12" t="inlineStr">
        <is>
          <t>CCS MV switchgear building (VFDs)</t>
        </is>
      </c>
      <c r="G3098" s="12" t="inlineStr">
        <is>
          <t>STR-A</t>
        </is>
      </c>
      <c r="H3098" s="12" t="inlineStr">
        <is>
          <t>STR-A: stripper / regenerator (45 ft dia x 207 ft)</t>
        </is>
      </c>
      <c r="I3098" s="12" t="inlineStr">
        <is>
          <t>Control</t>
        </is>
      </c>
      <c r="J3098" s="12" t="inlineStr">
        <is>
          <t>Control cable 600 V Type TC-ER, Cu #14 AWG, PVC jacket</t>
        </is>
      </c>
      <c r="K3098" s="12" t="inlineStr">
        <is>
          <t>CT|12/C|14</t>
        </is>
      </c>
      <c r="L3098" s="12" t="inlineStr">
        <is>
          <t>12/C</t>
        </is>
      </c>
      <c r="M3098" s="12" t="inlineStr">
        <is>
          <t>14</t>
        </is>
      </c>
      <c r="N3098" s="12" t="n">
        <v>1</v>
      </c>
      <c r="O3098" s="12" t="n">
        <v>1</v>
      </c>
      <c r="P3098" s="12" t="n"/>
      <c r="Q3098" s="12" t="n"/>
      <c r="R3098" s="12" t="n"/>
      <c r="S3098" s="12" t="inlineStr">
        <is>
          <t>Duct bank</t>
        </is>
      </c>
      <c r="T3098" s="16" t="n">
        <v>146</v>
      </c>
      <c r="U3098" s="16" t="n">
        <v>36</v>
      </c>
      <c r="V3098" s="16">
        <f>ROUNDUP((T3098+U3098+2*'Read Me'!$B$13)*(1+'Read Me'!$B$12),-1)</f>
        <v/>
      </c>
      <c r="W3098" s="16">
        <f>V3098*N3098*O3098</f>
        <v/>
      </c>
      <c r="X3098" s="12">
        <f>IF(LEFT(I3098,2)="MV",2*N3098*IF(L3098="1/C",O3098,1),0)</f>
        <v/>
      </c>
      <c r="Y3098" s="12">
        <f>IF(OR(LEFT(K3098,4)="LVAX",LEFT(K3098,6)="MV15AX",LEFT(K3098,4)="CTAX",LEFT(K3098,2)="W|"),2*N3098*O3098,0)</f>
        <v/>
      </c>
      <c r="Z3098" s="12" t="inlineStr"/>
      <c r="AA3098" s="12">
        <f>N3098*O3098</f>
        <v/>
      </c>
    </row>
    <row r="3099">
      <c r="A3099" s="12" t="inlineStr">
        <is>
          <t>G-C-0157</t>
        </is>
      </c>
      <c r="B3099" s="12" t="inlineStr">
        <is>
          <t>G</t>
        </is>
      </c>
      <c r="C3099" s="12" t="inlineStr">
        <is>
          <t>Carbon capture</t>
        </is>
      </c>
      <c r="D3099" s="12" t="inlineStr">
        <is>
          <t>MOV 2: control</t>
        </is>
      </c>
      <c r="E3099" s="12" t="inlineStr"/>
      <c r="F3099" s="12" t="inlineStr">
        <is>
          <t>CCS MV switchgear building (VFDs)</t>
        </is>
      </c>
      <c r="G3099" s="12" t="inlineStr">
        <is>
          <t>STR-A</t>
        </is>
      </c>
      <c r="H3099" s="12" t="inlineStr">
        <is>
          <t>STR-A: stripper / regenerator (45 ft dia x 207 ft)</t>
        </is>
      </c>
      <c r="I3099" s="12" t="inlineStr">
        <is>
          <t>Control</t>
        </is>
      </c>
      <c r="J3099" s="12" t="inlineStr">
        <is>
          <t>Control cable 600 V Type TC-ER, Cu #14 AWG, PVC jacket</t>
        </is>
      </c>
      <c r="K3099" s="12" t="inlineStr">
        <is>
          <t>CT|12/C|14</t>
        </is>
      </c>
      <c r="L3099" s="12" t="inlineStr">
        <is>
          <t>12/C</t>
        </is>
      </c>
      <c r="M3099" s="12" t="inlineStr">
        <is>
          <t>14</t>
        </is>
      </c>
      <c r="N3099" s="12" t="n">
        <v>1</v>
      </c>
      <c r="O3099" s="12" t="n">
        <v>1</v>
      </c>
      <c r="P3099" s="12" t="n"/>
      <c r="Q3099" s="12" t="n"/>
      <c r="R3099" s="12" t="n"/>
      <c r="S3099" s="12" t="inlineStr">
        <is>
          <t>Duct bank</t>
        </is>
      </c>
      <c r="T3099" s="16" t="n">
        <v>146</v>
      </c>
      <c r="U3099" s="16" t="n">
        <v>36</v>
      </c>
      <c r="V3099" s="16">
        <f>ROUNDUP((T3099+U3099+2*'Read Me'!$B$13)*(1+'Read Me'!$B$12),-1)</f>
        <v/>
      </c>
      <c r="W3099" s="16">
        <f>V3099*N3099*O3099</f>
        <v/>
      </c>
      <c r="X3099" s="12">
        <f>IF(LEFT(I3099,2)="MV",2*N3099*IF(L3099="1/C",O3099,1),0)</f>
        <v/>
      </c>
      <c r="Y3099" s="12">
        <f>IF(OR(LEFT(K3099,4)="LVAX",LEFT(K3099,6)="MV15AX",LEFT(K3099,4)="CTAX",LEFT(K3099,2)="W|"),2*N3099*O3099,0)</f>
        <v/>
      </c>
      <c r="Z3099" s="12" t="inlineStr"/>
      <c r="AA3099" s="12">
        <f>N3099*O3099</f>
        <v/>
      </c>
    </row>
    <row r="3100">
      <c r="A3100" s="12" t="inlineStr">
        <is>
          <t>G-C-0158</t>
        </is>
      </c>
      <c r="B3100" s="12" t="inlineStr">
        <is>
          <t>G</t>
        </is>
      </c>
      <c r="C3100" s="12" t="inlineStr">
        <is>
          <t>Carbon capture</t>
        </is>
      </c>
      <c r="D3100" s="12" t="inlineStr">
        <is>
          <t>MOV 3: control</t>
        </is>
      </c>
      <c r="E3100" s="12" t="inlineStr"/>
      <c r="F3100" s="12" t="inlineStr">
        <is>
          <t>CCS MV switchgear building (VFDs)</t>
        </is>
      </c>
      <c r="G3100" s="12" t="inlineStr">
        <is>
          <t>STR-A</t>
        </is>
      </c>
      <c r="H3100" s="12" t="inlineStr">
        <is>
          <t>STR-A: stripper / regenerator (45 ft dia x 207 ft)</t>
        </is>
      </c>
      <c r="I3100" s="12" t="inlineStr">
        <is>
          <t>Control</t>
        </is>
      </c>
      <c r="J3100" s="12" t="inlineStr">
        <is>
          <t>Control cable 600 V Type TC-ER, Cu #14 AWG, PVC jacket</t>
        </is>
      </c>
      <c r="K3100" s="12" t="inlineStr">
        <is>
          <t>CT|12/C|14</t>
        </is>
      </c>
      <c r="L3100" s="12" t="inlineStr">
        <is>
          <t>12/C</t>
        </is>
      </c>
      <c r="M3100" s="12" t="inlineStr">
        <is>
          <t>14</t>
        </is>
      </c>
      <c r="N3100" s="12" t="n">
        <v>1</v>
      </c>
      <c r="O3100" s="12" t="n">
        <v>1</v>
      </c>
      <c r="P3100" s="12" t="n"/>
      <c r="Q3100" s="12" t="n"/>
      <c r="R3100" s="12" t="n"/>
      <c r="S3100" s="12" t="inlineStr">
        <is>
          <t>Duct bank</t>
        </is>
      </c>
      <c r="T3100" s="16" t="n">
        <v>146</v>
      </c>
      <c r="U3100" s="16" t="n">
        <v>36</v>
      </c>
      <c r="V3100" s="16">
        <f>ROUNDUP((T3100+U3100+2*'Read Me'!$B$13)*(1+'Read Me'!$B$12),-1)</f>
        <v/>
      </c>
      <c r="W3100" s="16">
        <f>V3100*N3100*O3100</f>
        <v/>
      </c>
      <c r="X3100" s="12">
        <f>IF(LEFT(I3100,2)="MV",2*N3100*IF(L3100="1/C",O3100,1),0)</f>
        <v/>
      </c>
      <c r="Y3100" s="12">
        <f>IF(OR(LEFT(K3100,4)="LVAX",LEFT(K3100,6)="MV15AX",LEFT(K3100,4)="CTAX",LEFT(K3100,2)="W|"),2*N3100*O3100,0)</f>
        <v/>
      </c>
      <c r="Z3100" s="12" t="inlineStr"/>
      <c r="AA3100" s="12">
        <f>N3100*O3100</f>
        <v/>
      </c>
    </row>
    <row r="3101">
      <c r="A3101" s="12" t="inlineStr">
        <is>
          <t>G-C-0159</t>
        </is>
      </c>
      <c r="B3101" s="12" t="inlineStr">
        <is>
          <t>G</t>
        </is>
      </c>
      <c r="C3101" s="12" t="inlineStr">
        <is>
          <t>Carbon capture</t>
        </is>
      </c>
      <c r="D3101" s="12" t="inlineStr">
        <is>
          <t>MOV 4: control</t>
        </is>
      </c>
      <c r="E3101" s="12" t="inlineStr"/>
      <c r="F3101" s="12" t="inlineStr">
        <is>
          <t>CCS MV switchgear building (VFDs)</t>
        </is>
      </c>
      <c r="G3101" s="12" t="inlineStr">
        <is>
          <t>STR-A</t>
        </is>
      </c>
      <c r="H3101" s="12" t="inlineStr">
        <is>
          <t>STR-A: stripper / regenerator (45 ft dia x 207 ft)</t>
        </is>
      </c>
      <c r="I3101" s="12" t="inlineStr">
        <is>
          <t>Control</t>
        </is>
      </c>
      <c r="J3101" s="12" t="inlineStr">
        <is>
          <t>Control cable 600 V Type TC-ER, Cu #14 AWG, PVC jacket</t>
        </is>
      </c>
      <c r="K3101" s="12" t="inlineStr">
        <is>
          <t>CT|12/C|14</t>
        </is>
      </c>
      <c r="L3101" s="12" t="inlineStr">
        <is>
          <t>12/C</t>
        </is>
      </c>
      <c r="M3101" s="12" t="inlineStr">
        <is>
          <t>14</t>
        </is>
      </c>
      <c r="N3101" s="12" t="n">
        <v>1</v>
      </c>
      <c r="O3101" s="12" t="n">
        <v>1</v>
      </c>
      <c r="P3101" s="12" t="n"/>
      <c r="Q3101" s="12" t="n"/>
      <c r="R3101" s="12" t="n"/>
      <c r="S3101" s="12" t="inlineStr">
        <is>
          <t>Duct bank</t>
        </is>
      </c>
      <c r="T3101" s="16" t="n">
        <v>146</v>
      </c>
      <c r="U3101" s="16" t="n">
        <v>36</v>
      </c>
      <c r="V3101" s="16">
        <f>ROUNDUP((T3101+U3101+2*'Read Me'!$B$13)*(1+'Read Me'!$B$12),-1)</f>
        <v/>
      </c>
      <c r="W3101" s="16">
        <f>V3101*N3101*O3101</f>
        <v/>
      </c>
      <c r="X3101" s="12">
        <f>IF(LEFT(I3101,2)="MV",2*N3101*IF(L3101="1/C",O3101,1),0)</f>
        <v/>
      </c>
      <c r="Y3101" s="12">
        <f>IF(OR(LEFT(K3101,4)="LVAX",LEFT(K3101,6)="MV15AX",LEFT(K3101,4)="CTAX",LEFT(K3101,2)="W|"),2*N3101*O3101,0)</f>
        <v/>
      </c>
      <c r="Z3101" s="12" t="inlineStr"/>
      <c r="AA3101" s="12">
        <f>N3101*O3101</f>
        <v/>
      </c>
    </row>
    <row r="3102">
      <c r="A3102" s="12" t="inlineStr">
        <is>
          <t>G-C-0160</t>
        </is>
      </c>
      <c r="B3102" s="12" t="inlineStr">
        <is>
          <t>G</t>
        </is>
      </c>
      <c r="C3102" s="12" t="inlineStr">
        <is>
          <t>Carbon capture</t>
        </is>
      </c>
      <c r="D3102" s="12" t="inlineStr">
        <is>
          <t>MOV 5: control</t>
        </is>
      </c>
      <c r="E3102" s="12" t="inlineStr"/>
      <c r="F3102" s="12" t="inlineStr">
        <is>
          <t>CCS MV switchgear building (VFDs)</t>
        </is>
      </c>
      <c r="G3102" s="12" t="inlineStr">
        <is>
          <t>STR-A</t>
        </is>
      </c>
      <c r="H3102" s="12" t="inlineStr">
        <is>
          <t>STR-A: stripper / regenerator (45 ft dia x 207 ft)</t>
        </is>
      </c>
      <c r="I3102" s="12" t="inlineStr">
        <is>
          <t>Control</t>
        </is>
      </c>
      <c r="J3102" s="12" t="inlineStr">
        <is>
          <t>Control cable 600 V Type TC-ER, Cu #14 AWG, PVC jacket</t>
        </is>
      </c>
      <c r="K3102" s="12" t="inlineStr">
        <is>
          <t>CT|12/C|14</t>
        </is>
      </c>
      <c r="L3102" s="12" t="inlineStr">
        <is>
          <t>12/C</t>
        </is>
      </c>
      <c r="M3102" s="12" t="inlineStr">
        <is>
          <t>14</t>
        </is>
      </c>
      <c r="N3102" s="12" t="n">
        <v>1</v>
      </c>
      <c r="O3102" s="12" t="n">
        <v>1</v>
      </c>
      <c r="P3102" s="12" t="n"/>
      <c r="Q3102" s="12" t="n"/>
      <c r="R3102" s="12" t="n"/>
      <c r="S3102" s="12" t="inlineStr">
        <is>
          <t>Duct bank</t>
        </is>
      </c>
      <c r="T3102" s="16" t="n">
        <v>146</v>
      </c>
      <c r="U3102" s="16" t="n">
        <v>36</v>
      </c>
      <c r="V3102" s="16">
        <f>ROUNDUP((T3102+U3102+2*'Read Me'!$B$13)*(1+'Read Me'!$B$12),-1)</f>
        <v/>
      </c>
      <c r="W3102" s="16">
        <f>V3102*N3102*O3102</f>
        <v/>
      </c>
      <c r="X3102" s="12">
        <f>IF(LEFT(I3102,2)="MV",2*N3102*IF(L3102="1/C",O3102,1),0)</f>
        <v/>
      </c>
      <c r="Y3102" s="12">
        <f>IF(OR(LEFT(K3102,4)="LVAX",LEFT(K3102,6)="MV15AX",LEFT(K3102,4)="CTAX",LEFT(K3102,2)="W|"),2*N3102*O3102,0)</f>
        <v/>
      </c>
      <c r="Z3102" s="12" t="inlineStr"/>
      <c r="AA3102" s="12">
        <f>N3102*O3102</f>
        <v/>
      </c>
    </row>
    <row r="3103">
      <c r="A3103" s="12" t="inlineStr">
        <is>
          <t>G-C-0161</t>
        </is>
      </c>
      <c r="B3103" s="12" t="inlineStr">
        <is>
          <t>G</t>
        </is>
      </c>
      <c r="C3103" s="12" t="inlineStr">
        <is>
          <t>Carbon capture</t>
        </is>
      </c>
      <c r="D3103" s="12" t="inlineStr">
        <is>
          <t>MOV 6: control</t>
        </is>
      </c>
      <c r="E3103" s="12" t="inlineStr"/>
      <c r="F3103" s="12" t="inlineStr">
        <is>
          <t>CCS MV switchgear building (VFDs)</t>
        </is>
      </c>
      <c r="G3103" s="12" t="inlineStr">
        <is>
          <t>STR-A</t>
        </is>
      </c>
      <c r="H3103" s="12" t="inlineStr">
        <is>
          <t>STR-A: stripper / regenerator (45 ft dia x 207 ft)</t>
        </is>
      </c>
      <c r="I3103" s="12" t="inlineStr">
        <is>
          <t>Control</t>
        </is>
      </c>
      <c r="J3103" s="12" t="inlineStr">
        <is>
          <t>Control cable 600 V Type TC-ER, Cu #14 AWG, PVC jacket</t>
        </is>
      </c>
      <c r="K3103" s="12" t="inlineStr">
        <is>
          <t>CT|12/C|14</t>
        </is>
      </c>
      <c r="L3103" s="12" t="inlineStr">
        <is>
          <t>12/C</t>
        </is>
      </c>
      <c r="M3103" s="12" t="inlineStr">
        <is>
          <t>14</t>
        </is>
      </c>
      <c r="N3103" s="12" t="n">
        <v>1</v>
      </c>
      <c r="O3103" s="12" t="n">
        <v>1</v>
      </c>
      <c r="P3103" s="12" t="n"/>
      <c r="Q3103" s="12" t="n"/>
      <c r="R3103" s="12" t="n"/>
      <c r="S3103" s="12" t="inlineStr">
        <is>
          <t>Duct bank</t>
        </is>
      </c>
      <c r="T3103" s="16" t="n">
        <v>146</v>
      </c>
      <c r="U3103" s="16" t="n">
        <v>36</v>
      </c>
      <c r="V3103" s="16">
        <f>ROUNDUP((T3103+U3103+2*'Read Me'!$B$13)*(1+'Read Me'!$B$12),-1)</f>
        <v/>
      </c>
      <c r="W3103" s="16">
        <f>V3103*N3103*O3103</f>
        <v/>
      </c>
      <c r="X3103" s="12">
        <f>IF(LEFT(I3103,2)="MV",2*N3103*IF(L3103="1/C",O3103,1),0)</f>
        <v/>
      </c>
      <c r="Y3103" s="12">
        <f>IF(OR(LEFT(K3103,4)="LVAX",LEFT(K3103,6)="MV15AX",LEFT(K3103,4)="CTAX",LEFT(K3103,2)="W|"),2*N3103*O3103,0)</f>
        <v/>
      </c>
      <c r="Z3103" s="12" t="inlineStr"/>
      <c r="AA3103" s="12">
        <f>N3103*O3103</f>
        <v/>
      </c>
    </row>
    <row r="3104">
      <c r="A3104" s="12" t="inlineStr">
        <is>
          <t>G-C-0162</t>
        </is>
      </c>
      <c r="B3104" s="12" t="inlineStr">
        <is>
          <t>G</t>
        </is>
      </c>
      <c r="C3104" s="12" t="inlineStr">
        <is>
          <t>Carbon capture</t>
        </is>
      </c>
      <c r="D3104" s="12" t="inlineStr">
        <is>
          <t>MOV 1: control</t>
        </is>
      </c>
      <c r="E3104" s="12" t="inlineStr"/>
      <c r="F3104" s="12" t="inlineStr">
        <is>
          <t>CCS MV switchgear building (VFDs)</t>
        </is>
      </c>
      <c r="G3104" s="12" t="inlineStr">
        <is>
          <t>STR-B</t>
        </is>
      </c>
      <c r="H3104" s="12" t="inlineStr">
        <is>
          <t>STR-B: stripper / regenerator (45 ft dia x 207 ft)</t>
        </is>
      </c>
      <c r="I3104" s="12" t="inlineStr">
        <is>
          <t>Control</t>
        </is>
      </c>
      <c r="J3104" s="12" t="inlineStr">
        <is>
          <t>Control cable 600 V Type TC-ER, Cu #14 AWG, PVC jacket</t>
        </is>
      </c>
      <c r="K3104" s="12" t="inlineStr">
        <is>
          <t>CT|12/C|14</t>
        </is>
      </c>
      <c r="L3104" s="12" t="inlineStr">
        <is>
          <t>12/C</t>
        </is>
      </c>
      <c r="M3104" s="12" t="inlineStr">
        <is>
          <t>14</t>
        </is>
      </c>
      <c r="N3104" s="12" t="n">
        <v>1</v>
      </c>
      <c r="O3104" s="12" t="n">
        <v>1</v>
      </c>
      <c r="P3104" s="12" t="n"/>
      <c r="Q3104" s="12" t="n"/>
      <c r="R3104" s="12" t="n"/>
      <c r="S3104" s="12" t="inlineStr">
        <is>
          <t>Duct bank</t>
        </is>
      </c>
      <c r="T3104" s="16" t="n">
        <v>146</v>
      </c>
      <c r="U3104" s="16" t="n">
        <v>36</v>
      </c>
      <c r="V3104" s="16">
        <f>ROUNDUP((T3104+U3104+2*'Read Me'!$B$13)*(1+'Read Me'!$B$12),-1)</f>
        <v/>
      </c>
      <c r="W3104" s="16">
        <f>V3104*N3104*O3104</f>
        <v/>
      </c>
      <c r="X3104" s="12">
        <f>IF(LEFT(I3104,2)="MV",2*N3104*IF(L3104="1/C",O3104,1),0)</f>
        <v/>
      </c>
      <c r="Y3104" s="12">
        <f>IF(OR(LEFT(K3104,4)="LVAX",LEFT(K3104,6)="MV15AX",LEFT(K3104,4)="CTAX",LEFT(K3104,2)="W|"),2*N3104*O3104,0)</f>
        <v/>
      </c>
      <c r="Z3104" s="12" t="inlineStr"/>
      <c r="AA3104" s="12">
        <f>N3104*O3104</f>
        <v/>
      </c>
    </row>
    <row r="3105">
      <c r="A3105" s="12" t="inlineStr">
        <is>
          <t>G-C-0163</t>
        </is>
      </c>
      <c r="B3105" s="12" t="inlineStr">
        <is>
          <t>G</t>
        </is>
      </c>
      <c r="C3105" s="12" t="inlineStr">
        <is>
          <t>Carbon capture</t>
        </is>
      </c>
      <c r="D3105" s="12" t="inlineStr">
        <is>
          <t>MOV 2: control</t>
        </is>
      </c>
      <c r="E3105" s="12" t="inlineStr"/>
      <c r="F3105" s="12" t="inlineStr">
        <is>
          <t>CCS MV switchgear building (VFDs)</t>
        </is>
      </c>
      <c r="G3105" s="12" t="inlineStr">
        <is>
          <t>STR-B</t>
        </is>
      </c>
      <c r="H3105" s="12" t="inlineStr">
        <is>
          <t>STR-B: stripper / regenerator (45 ft dia x 207 ft)</t>
        </is>
      </c>
      <c r="I3105" s="12" t="inlineStr">
        <is>
          <t>Control</t>
        </is>
      </c>
      <c r="J3105" s="12" t="inlineStr">
        <is>
          <t>Control cable 600 V Type TC-ER, Cu #14 AWG, PVC jacket</t>
        </is>
      </c>
      <c r="K3105" s="12" t="inlineStr">
        <is>
          <t>CT|12/C|14</t>
        </is>
      </c>
      <c r="L3105" s="12" t="inlineStr">
        <is>
          <t>12/C</t>
        </is>
      </c>
      <c r="M3105" s="12" t="inlineStr">
        <is>
          <t>14</t>
        </is>
      </c>
      <c r="N3105" s="12" t="n">
        <v>1</v>
      </c>
      <c r="O3105" s="12" t="n">
        <v>1</v>
      </c>
      <c r="P3105" s="12" t="n"/>
      <c r="Q3105" s="12" t="n"/>
      <c r="R3105" s="12" t="n"/>
      <c r="S3105" s="12" t="inlineStr">
        <is>
          <t>Duct bank</t>
        </is>
      </c>
      <c r="T3105" s="16" t="n">
        <v>146</v>
      </c>
      <c r="U3105" s="16" t="n">
        <v>36</v>
      </c>
      <c r="V3105" s="16">
        <f>ROUNDUP((T3105+U3105+2*'Read Me'!$B$13)*(1+'Read Me'!$B$12),-1)</f>
        <v/>
      </c>
      <c r="W3105" s="16">
        <f>V3105*N3105*O3105</f>
        <v/>
      </c>
      <c r="X3105" s="12">
        <f>IF(LEFT(I3105,2)="MV",2*N3105*IF(L3105="1/C",O3105,1),0)</f>
        <v/>
      </c>
      <c r="Y3105" s="12">
        <f>IF(OR(LEFT(K3105,4)="LVAX",LEFT(K3105,6)="MV15AX",LEFT(K3105,4)="CTAX",LEFT(K3105,2)="W|"),2*N3105*O3105,0)</f>
        <v/>
      </c>
      <c r="Z3105" s="12" t="inlineStr"/>
      <c r="AA3105" s="12">
        <f>N3105*O3105</f>
        <v/>
      </c>
    </row>
    <row r="3106">
      <c r="A3106" s="12" t="inlineStr">
        <is>
          <t>G-C-0164</t>
        </is>
      </c>
      <c r="B3106" s="12" t="inlineStr">
        <is>
          <t>G</t>
        </is>
      </c>
      <c r="C3106" s="12" t="inlineStr">
        <is>
          <t>Carbon capture</t>
        </is>
      </c>
      <c r="D3106" s="12" t="inlineStr">
        <is>
          <t>MOV 3: control</t>
        </is>
      </c>
      <c r="E3106" s="12" t="inlineStr"/>
      <c r="F3106" s="12" t="inlineStr">
        <is>
          <t>CCS MV switchgear building (VFDs)</t>
        </is>
      </c>
      <c r="G3106" s="12" t="inlineStr">
        <is>
          <t>STR-B</t>
        </is>
      </c>
      <c r="H3106" s="12" t="inlineStr">
        <is>
          <t>STR-B: stripper / regenerator (45 ft dia x 207 ft)</t>
        </is>
      </c>
      <c r="I3106" s="12" t="inlineStr">
        <is>
          <t>Control</t>
        </is>
      </c>
      <c r="J3106" s="12" t="inlineStr">
        <is>
          <t>Control cable 600 V Type TC-ER, Cu #14 AWG, PVC jacket</t>
        </is>
      </c>
      <c r="K3106" s="12" t="inlineStr">
        <is>
          <t>CT|12/C|14</t>
        </is>
      </c>
      <c r="L3106" s="12" t="inlineStr">
        <is>
          <t>12/C</t>
        </is>
      </c>
      <c r="M3106" s="12" t="inlineStr">
        <is>
          <t>14</t>
        </is>
      </c>
      <c r="N3106" s="12" t="n">
        <v>1</v>
      </c>
      <c r="O3106" s="12" t="n">
        <v>1</v>
      </c>
      <c r="P3106" s="12" t="n"/>
      <c r="Q3106" s="12" t="n"/>
      <c r="R3106" s="12" t="n"/>
      <c r="S3106" s="12" t="inlineStr">
        <is>
          <t>Duct bank</t>
        </is>
      </c>
      <c r="T3106" s="16" t="n">
        <v>146</v>
      </c>
      <c r="U3106" s="16" t="n">
        <v>36</v>
      </c>
      <c r="V3106" s="16">
        <f>ROUNDUP((T3106+U3106+2*'Read Me'!$B$13)*(1+'Read Me'!$B$12),-1)</f>
        <v/>
      </c>
      <c r="W3106" s="16">
        <f>V3106*N3106*O3106</f>
        <v/>
      </c>
      <c r="X3106" s="12">
        <f>IF(LEFT(I3106,2)="MV",2*N3106*IF(L3106="1/C",O3106,1),0)</f>
        <v/>
      </c>
      <c r="Y3106" s="12">
        <f>IF(OR(LEFT(K3106,4)="LVAX",LEFT(K3106,6)="MV15AX",LEFT(K3106,4)="CTAX",LEFT(K3106,2)="W|"),2*N3106*O3106,0)</f>
        <v/>
      </c>
      <c r="Z3106" s="12" t="inlineStr"/>
      <c r="AA3106" s="12">
        <f>N3106*O3106</f>
        <v/>
      </c>
    </row>
    <row r="3107">
      <c r="A3107" s="12" t="inlineStr">
        <is>
          <t>G-C-0165</t>
        </is>
      </c>
      <c r="B3107" s="12" t="inlineStr">
        <is>
          <t>G</t>
        </is>
      </c>
      <c r="C3107" s="12" t="inlineStr">
        <is>
          <t>Carbon capture</t>
        </is>
      </c>
      <c r="D3107" s="12" t="inlineStr">
        <is>
          <t>MOV 4: control</t>
        </is>
      </c>
      <c r="E3107" s="12" t="inlineStr"/>
      <c r="F3107" s="12" t="inlineStr">
        <is>
          <t>CCS MV switchgear building (VFDs)</t>
        </is>
      </c>
      <c r="G3107" s="12" t="inlineStr">
        <is>
          <t>STR-B</t>
        </is>
      </c>
      <c r="H3107" s="12" t="inlineStr">
        <is>
          <t>STR-B: stripper / regenerator (45 ft dia x 207 ft)</t>
        </is>
      </c>
      <c r="I3107" s="12" t="inlineStr">
        <is>
          <t>Control</t>
        </is>
      </c>
      <c r="J3107" s="12" t="inlineStr">
        <is>
          <t>Control cable 600 V Type TC-ER, Cu #14 AWG, PVC jacket</t>
        </is>
      </c>
      <c r="K3107" s="12" t="inlineStr">
        <is>
          <t>CT|12/C|14</t>
        </is>
      </c>
      <c r="L3107" s="12" t="inlineStr">
        <is>
          <t>12/C</t>
        </is>
      </c>
      <c r="M3107" s="12" t="inlineStr">
        <is>
          <t>14</t>
        </is>
      </c>
      <c r="N3107" s="12" t="n">
        <v>1</v>
      </c>
      <c r="O3107" s="12" t="n">
        <v>1</v>
      </c>
      <c r="P3107" s="12" t="n"/>
      <c r="Q3107" s="12" t="n"/>
      <c r="R3107" s="12" t="n"/>
      <c r="S3107" s="12" t="inlineStr">
        <is>
          <t>Duct bank</t>
        </is>
      </c>
      <c r="T3107" s="16" t="n">
        <v>146</v>
      </c>
      <c r="U3107" s="16" t="n">
        <v>36</v>
      </c>
      <c r="V3107" s="16">
        <f>ROUNDUP((T3107+U3107+2*'Read Me'!$B$13)*(1+'Read Me'!$B$12),-1)</f>
        <v/>
      </c>
      <c r="W3107" s="16">
        <f>V3107*N3107*O3107</f>
        <v/>
      </c>
      <c r="X3107" s="12">
        <f>IF(LEFT(I3107,2)="MV",2*N3107*IF(L3107="1/C",O3107,1),0)</f>
        <v/>
      </c>
      <c r="Y3107" s="12">
        <f>IF(OR(LEFT(K3107,4)="LVAX",LEFT(K3107,6)="MV15AX",LEFT(K3107,4)="CTAX",LEFT(K3107,2)="W|"),2*N3107*O3107,0)</f>
        <v/>
      </c>
      <c r="Z3107" s="12" t="inlineStr"/>
      <c r="AA3107" s="12">
        <f>N3107*O3107</f>
        <v/>
      </c>
    </row>
    <row r="3108">
      <c r="A3108" s="12" t="inlineStr">
        <is>
          <t>G-C-0166</t>
        </is>
      </c>
      <c r="B3108" s="12" t="inlineStr">
        <is>
          <t>G</t>
        </is>
      </c>
      <c r="C3108" s="12" t="inlineStr">
        <is>
          <t>Carbon capture</t>
        </is>
      </c>
      <c r="D3108" s="12" t="inlineStr">
        <is>
          <t>MOV 5: control</t>
        </is>
      </c>
      <c r="E3108" s="12" t="inlineStr"/>
      <c r="F3108" s="12" t="inlineStr">
        <is>
          <t>CCS MV switchgear building (VFDs)</t>
        </is>
      </c>
      <c r="G3108" s="12" t="inlineStr">
        <is>
          <t>STR-B</t>
        </is>
      </c>
      <c r="H3108" s="12" t="inlineStr">
        <is>
          <t>STR-B: stripper / regenerator (45 ft dia x 207 ft)</t>
        </is>
      </c>
      <c r="I3108" s="12" t="inlineStr">
        <is>
          <t>Control</t>
        </is>
      </c>
      <c r="J3108" s="12" t="inlineStr">
        <is>
          <t>Control cable 600 V Type TC-ER, Cu #14 AWG, PVC jacket</t>
        </is>
      </c>
      <c r="K3108" s="12" t="inlineStr">
        <is>
          <t>CT|12/C|14</t>
        </is>
      </c>
      <c r="L3108" s="12" t="inlineStr">
        <is>
          <t>12/C</t>
        </is>
      </c>
      <c r="M3108" s="12" t="inlineStr">
        <is>
          <t>14</t>
        </is>
      </c>
      <c r="N3108" s="12" t="n">
        <v>1</v>
      </c>
      <c r="O3108" s="12" t="n">
        <v>1</v>
      </c>
      <c r="P3108" s="12" t="n"/>
      <c r="Q3108" s="12" t="n"/>
      <c r="R3108" s="12" t="n"/>
      <c r="S3108" s="12" t="inlineStr">
        <is>
          <t>Duct bank</t>
        </is>
      </c>
      <c r="T3108" s="16" t="n">
        <v>146</v>
      </c>
      <c r="U3108" s="16" t="n">
        <v>36</v>
      </c>
      <c r="V3108" s="16">
        <f>ROUNDUP((T3108+U3108+2*'Read Me'!$B$13)*(1+'Read Me'!$B$12),-1)</f>
        <v/>
      </c>
      <c r="W3108" s="16">
        <f>V3108*N3108*O3108</f>
        <v/>
      </c>
      <c r="X3108" s="12">
        <f>IF(LEFT(I3108,2)="MV",2*N3108*IF(L3108="1/C",O3108,1),0)</f>
        <v/>
      </c>
      <c r="Y3108" s="12">
        <f>IF(OR(LEFT(K3108,4)="LVAX",LEFT(K3108,6)="MV15AX",LEFT(K3108,4)="CTAX",LEFT(K3108,2)="W|"),2*N3108*O3108,0)</f>
        <v/>
      </c>
      <c r="Z3108" s="12" t="inlineStr"/>
      <c r="AA3108" s="12">
        <f>N3108*O3108</f>
        <v/>
      </c>
    </row>
    <row r="3109">
      <c r="A3109" s="12" t="inlineStr">
        <is>
          <t>G-C-0167</t>
        </is>
      </c>
      <c r="B3109" s="12" t="inlineStr">
        <is>
          <t>G</t>
        </is>
      </c>
      <c r="C3109" s="12" t="inlineStr">
        <is>
          <t>Carbon capture</t>
        </is>
      </c>
      <c r="D3109" s="12" t="inlineStr">
        <is>
          <t>MOV 6: control</t>
        </is>
      </c>
      <c r="E3109" s="12" t="inlineStr"/>
      <c r="F3109" s="12" t="inlineStr">
        <is>
          <t>CCS MV switchgear building (VFDs)</t>
        </is>
      </c>
      <c r="G3109" s="12" t="inlineStr">
        <is>
          <t>STR-B</t>
        </is>
      </c>
      <c r="H3109" s="12" t="inlineStr">
        <is>
          <t>STR-B: stripper / regenerator (45 ft dia x 207 ft)</t>
        </is>
      </c>
      <c r="I3109" s="12" t="inlineStr">
        <is>
          <t>Control</t>
        </is>
      </c>
      <c r="J3109" s="12" t="inlineStr">
        <is>
          <t>Control cable 600 V Type TC-ER, Cu #14 AWG, PVC jacket</t>
        </is>
      </c>
      <c r="K3109" s="12" t="inlineStr">
        <is>
          <t>CT|12/C|14</t>
        </is>
      </c>
      <c r="L3109" s="12" t="inlineStr">
        <is>
          <t>12/C</t>
        </is>
      </c>
      <c r="M3109" s="12" t="inlineStr">
        <is>
          <t>14</t>
        </is>
      </c>
      <c r="N3109" s="12" t="n">
        <v>1</v>
      </c>
      <c r="O3109" s="12" t="n">
        <v>1</v>
      </c>
      <c r="P3109" s="12" t="n"/>
      <c r="Q3109" s="12" t="n"/>
      <c r="R3109" s="12" t="n"/>
      <c r="S3109" s="12" t="inlineStr">
        <is>
          <t>Duct bank</t>
        </is>
      </c>
      <c r="T3109" s="16" t="n">
        <v>146</v>
      </c>
      <c r="U3109" s="16" t="n">
        <v>36</v>
      </c>
      <c r="V3109" s="16">
        <f>ROUNDUP((T3109+U3109+2*'Read Me'!$B$13)*(1+'Read Me'!$B$12),-1)</f>
        <v/>
      </c>
      <c r="W3109" s="16">
        <f>V3109*N3109*O3109</f>
        <v/>
      </c>
      <c r="X3109" s="12">
        <f>IF(LEFT(I3109,2)="MV",2*N3109*IF(L3109="1/C",O3109,1),0)</f>
        <v/>
      </c>
      <c r="Y3109" s="12">
        <f>IF(OR(LEFT(K3109,4)="LVAX",LEFT(K3109,6)="MV15AX",LEFT(K3109,4)="CTAX",LEFT(K3109,2)="W|"),2*N3109*O3109,0)</f>
        <v/>
      </c>
      <c r="Z3109" s="12" t="inlineStr"/>
      <c r="AA3109" s="12">
        <f>N3109*O3109</f>
        <v/>
      </c>
    </row>
    <row r="3110">
      <c r="A3110" s="12" t="inlineStr">
        <is>
          <t>G-C-0168</t>
        </is>
      </c>
      <c r="B3110" s="12" t="inlineStr">
        <is>
          <t>G</t>
        </is>
      </c>
      <c r="C3110" s="12" t="inlineStr">
        <is>
          <t>Carbon capture</t>
        </is>
      </c>
      <c r="D3110" s="12" t="inlineStr">
        <is>
          <t>MOV 1: control</t>
        </is>
      </c>
      <c r="E3110" s="12" t="inlineStr"/>
      <c r="F3110" s="12" t="inlineStr">
        <is>
          <t>CCS MV switchgear building (VFDs)</t>
        </is>
      </c>
      <c r="G3110" s="12" t="inlineStr">
        <is>
          <t>STR-C</t>
        </is>
      </c>
      <c r="H3110" s="12" t="inlineStr">
        <is>
          <t>STR-C: stripper / regenerator (45 ft dia x 207 ft)</t>
        </is>
      </c>
      <c r="I3110" s="12" t="inlineStr">
        <is>
          <t>Control</t>
        </is>
      </c>
      <c r="J3110" s="12" t="inlineStr">
        <is>
          <t>Control cable 600 V Type TC-ER, Cu #14 AWG, PVC jacket</t>
        </is>
      </c>
      <c r="K3110" s="12" t="inlineStr">
        <is>
          <t>CT|12/C|14</t>
        </is>
      </c>
      <c r="L3110" s="12" t="inlineStr">
        <is>
          <t>12/C</t>
        </is>
      </c>
      <c r="M3110" s="12" t="inlineStr">
        <is>
          <t>14</t>
        </is>
      </c>
      <c r="N3110" s="12" t="n">
        <v>1</v>
      </c>
      <c r="O3110" s="12" t="n">
        <v>1</v>
      </c>
      <c r="P3110" s="12" t="n"/>
      <c r="Q3110" s="12" t="n"/>
      <c r="R3110" s="12" t="n"/>
      <c r="S3110" s="12" t="inlineStr">
        <is>
          <t>Duct bank</t>
        </is>
      </c>
      <c r="T3110" s="16" t="n">
        <v>196</v>
      </c>
      <c r="U3110" s="16" t="n">
        <v>36</v>
      </c>
      <c r="V3110" s="16">
        <f>ROUNDUP((T3110+U3110+2*'Read Me'!$B$13)*(1+'Read Me'!$B$12),-1)</f>
        <v/>
      </c>
      <c r="W3110" s="16">
        <f>V3110*N3110*O3110</f>
        <v/>
      </c>
      <c r="X3110" s="12">
        <f>IF(LEFT(I3110,2)="MV",2*N3110*IF(L3110="1/C",O3110,1),0)</f>
        <v/>
      </c>
      <c r="Y3110" s="12">
        <f>IF(OR(LEFT(K3110,4)="LVAX",LEFT(K3110,6)="MV15AX",LEFT(K3110,4)="CTAX",LEFT(K3110,2)="W|"),2*N3110*O3110,0)</f>
        <v/>
      </c>
      <c r="Z3110" s="12" t="inlineStr"/>
      <c r="AA3110" s="12">
        <f>N3110*O3110</f>
        <v/>
      </c>
    </row>
    <row r="3111">
      <c r="A3111" s="12" t="inlineStr">
        <is>
          <t>G-C-0169</t>
        </is>
      </c>
      <c r="B3111" s="12" t="inlineStr">
        <is>
          <t>G</t>
        </is>
      </c>
      <c r="C3111" s="12" t="inlineStr">
        <is>
          <t>Carbon capture</t>
        </is>
      </c>
      <c r="D3111" s="12" t="inlineStr">
        <is>
          <t>MOV 2: control</t>
        </is>
      </c>
      <c r="E3111" s="12" t="inlineStr"/>
      <c r="F3111" s="12" t="inlineStr">
        <is>
          <t>CCS MV switchgear building (VFDs)</t>
        </is>
      </c>
      <c r="G3111" s="12" t="inlineStr">
        <is>
          <t>STR-C</t>
        </is>
      </c>
      <c r="H3111" s="12" t="inlineStr">
        <is>
          <t>STR-C: stripper / regenerator (45 ft dia x 207 ft)</t>
        </is>
      </c>
      <c r="I3111" s="12" t="inlineStr">
        <is>
          <t>Control</t>
        </is>
      </c>
      <c r="J3111" s="12" t="inlineStr">
        <is>
          <t>Control cable 600 V Type TC-ER, Cu #14 AWG, PVC jacket</t>
        </is>
      </c>
      <c r="K3111" s="12" t="inlineStr">
        <is>
          <t>CT|12/C|14</t>
        </is>
      </c>
      <c r="L3111" s="12" t="inlineStr">
        <is>
          <t>12/C</t>
        </is>
      </c>
      <c r="M3111" s="12" t="inlineStr">
        <is>
          <t>14</t>
        </is>
      </c>
      <c r="N3111" s="12" t="n">
        <v>1</v>
      </c>
      <c r="O3111" s="12" t="n">
        <v>1</v>
      </c>
      <c r="P3111" s="12" t="n"/>
      <c r="Q3111" s="12" t="n"/>
      <c r="R3111" s="12" t="n"/>
      <c r="S3111" s="12" t="inlineStr">
        <is>
          <t>Duct bank</t>
        </is>
      </c>
      <c r="T3111" s="16" t="n">
        <v>196</v>
      </c>
      <c r="U3111" s="16" t="n">
        <v>36</v>
      </c>
      <c r="V3111" s="16">
        <f>ROUNDUP((T3111+U3111+2*'Read Me'!$B$13)*(1+'Read Me'!$B$12),-1)</f>
        <v/>
      </c>
      <c r="W3111" s="16">
        <f>V3111*N3111*O3111</f>
        <v/>
      </c>
      <c r="X3111" s="12">
        <f>IF(LEFT(I3111,2)="MV",2*N3111*IF(L3111="1/C",O3111,1),0)</f>
        <v/>
      </c>
      <c r="Y3111" s="12">
        <f>IF(OR(LEFT(K3111,4)="LVAX",LEFT(K3111,6)="MV15AX",LEFT(K3111,4)="CTAX",LEFT(K3111,2)="W|"),2*N3111*O3111,0)</f>
        <v/>
      </c>
      <c r="Z3111" s="12" t="inlineStr"/>
      <c r="AA3111" s="12">
        <f>N3111*O3111</f>
        <v/>
      </c>
    </row>
    <row r="3112">
      <c r="A3112" s="12" t="inlineStr">
        <is>
          <t>G-C-0170</t>
        </is>
      </c>
      <c r="B3112" s="12" t="inlineStr">
        <is>
          <t>G</t>
        </is>
      </c>
      <c r="C3112" s="12" t="inlineStr">
        <is>
          <t>Carbon capture</t>
        </is>
      </c>
      <c r="D3112" s="12" t="inlineStr">
        <is>
          <t>MOV 3: control</t>
        </is>
      </c>
      <c r="E3112" s="12" t="inlineStr"/>
      <c r="F3112" s="12" t="inlineStr">
        <is>
          <t>CCS MV switchgear building (VFDs)</t>
        </is>
      </c>
      <c r="G3112" s="12" t="inlineStr">
        <is>
          <t>STR-C</t>
        </is>
      </c>
      <c r="H3112" s="12" t="inlineStr">
        <is>
          <t>STR-C: stripper / regenerator (45 ft dia x 207 ft)</t>
        </is>
      </c>
      <c r="I3112" s="12" t="inlineStr">
        <is>
          <t>Control</t>
        </is>
      </c>
      <c r="J3112" s="12" t="inlineStr">
        <is>
          <t>Control cable 600 V Type TC-ER, Cu #14 AWG, PVC jacket</t>
        </is>
      </c>
      <c r="K3112" s="12" t="inlineStr">
        <is>
          <t>CT|12/C|14</t>
        </is>
      </c>
      <c r="L3112" s="12" t="inlineStr">
        <is>
          <t>12/C</t>
        </is>
      </c>
      <c r="M3112" s="12" t="inlineStr">
        <is>
          <t>14</t>
        </is>
      </c>
      <c r="N3112" s="12" t="n">
        <v>1</v>
      </c>
      <c r="O3112" s="12" t="n">
        <v>1</v>
      </c>
      <c r="P3112" s="12" t="n"/>
      <c r="Q3112" s="12" t="n"/>
      <c r="R3112" s="12" t="n"/>
      <c r="S3112" s="12" t="inlineStr">
        <is>
          <t>Duct bank</t>
        </is>
      </c>
      <c r="T3112" s="16" t="n">
        <v>196</v>
      </c>
      <c r="U3112" s="16" t="n">
        <v>36</v>
      </c>
      <c r="V3112" s="16">
        <f>ROUNDUP((T3112+U3112+2*'Read Me'!$B$13)*(1+'Read Me'!$B$12),-1)</f>
        <v/>
      </c>
      <c r="W3112" s="16">
        <f>V3112*N3112*O3112</f>
        <v/>
      </c>
      <c r="X3112" s="12">
        <f>IF(LEFT(I3112,2)="MV",2*N3112*IF(L3112="1/C",O3112,1),0)</f>
        <v/>
      </c>
      <c r="Y3112" s="12">
        <f>IF(OR(LEFT(K3112,4)="LVAX",LEFT(K3112,6)="MV15AX",LEFT(K3112,4)="CTAX",LEFT(K3112,2)="W|"),2*N3112*O3112,0)</f>
        <v/>
      </c>
      <c r="Z3112" s="12" t="inlineStr"/>
      <c r="AA3112" s="12">
        <f>N3112*O3112</f>
        <v/>
      </c>
    </row>
    <row r="3113">
      <c r="A3113" s="12" t="inlineStr">
        <is>
          <t>G-C-0171</t>
        </is>
      </c>
      <c r="B3113" s="12" t="inlineStr">
        <is>
          <t>G</t>
        </is>
      </c>
      <c r="C3113" s="12" t="inlineStr">
        <is>
          <t>Carbon capture</t>
        </is>
      </c>
      <c r="D3113" s="12" t="inlineStr">
        <is>
          <t>MOV 4: control</t>
        </is>
      </c>
      <c r="E3113" s="12" t="inlineStr"/>
      <c r="F3113" s="12" t="inlineStr">
        <is>
          <t>CCS MV switchgear building (VFDs)</t>
        </is>
      </c>
      <c r="G3113" s="12" t="inlineStr">
        <is>
          <t>STR-C</t>
        </is>
      </c>
      <c r="H3113" s="12" t="inlineStr">
        <is>
          <t>STR-C: stripper / regenerator (45 ft dia x 207 ft)</t>
        </is>
      </c>
      <c r="I3113" s="12" t="inlineStr">
        <is>
          <t>Control</t>
        </is>
      </c>
      <c r="J3113" s="12" t="inlineStr">
        <is>
          <t>Control cable 600 V Type TC-ER, Cu #14 AWG, PVC jacket</t>
        </is>
      </c>
      <c r="K3113" s="12" t="inlineStr">
        <is>
          <t>CT|12/C|14</t>
        </is>
      </c>
      <c r="L3113" s="12" t="inlineStr">
        <is>
          <t>12/C</t>
        </is>
      </c>
      <c r="M3113" s="12" t="inlineStr">
        <is>
          <t>14</t>
        </is>
      </c>
      <c r="N3113" s="12" t="n">
        <v>1</v>
      </c>
      <c r="O3113" s="12" t="n">
        <v>1</v>
      </c>
      <c r="P3113" s="12" t="n"/>
      <c r="Q3113" s="12" t="n"/>
      <c r="R3113" s="12" t="n"/>
      <c r="S3113" s="12" t="inlineStr">
        <is>
          <t>Duct bank</t>
        </is>
      </c>
      <c r="T3113" s="16" t="n">
        <v>196</v>
      </c>
      <c r="U3113" s="16" t="n">
        <v>36</v>
      </c>
      <c r="V3113" s="16">
        <f>ROUNDUP((T3113+U3113+2*'Read Me'!$B$13)*(1+'Read Me'!$B$12),-1)</f>
        <v/>
      </c>
      <c r="W3113" s="16">
        <f>V3113*N3113*O3113</f>
        <v/>
      </c>
      <c r="X3113" s="12">
        <f>IF(LEFT(I3113,2)="MV",2*N3113*IF(L3113="1/C",O3113,1),0)</f>
        <v/>
      </c>
      <c r="Y3113" s="12">
        <f>IF(OR(LEFT(K3113,4)="LVAX",LEFT(K3113,6)="MV15AX",LEFT(K3113,4)="CTAX",LEFT(K3113,2)="W|"),2*N3113*O3113,0)</f>
        <v/>
      </c>
      <c r="Z3113" s="12" t="inlineStr"/>
      <c r="AA3113" s="12">
        <f>N3113*O3113</f>
        <v/>
      </c>
    </row>
    <row r="3114">
      <c r="A3114" s="12" t="inlineStr">
        <is>
          <t>G-C-0172</t>
        </is>
      </c>
      <c r="B3114" s="12" t="inlineStr">
        <is>
          <t>G</t>
        </is>
      </c>
      <c r="C3114" s="12" t="inlineStr">
        <is>
          <t>Carbon capture</t>
        </is>
      </c>
      <c r="D3114" s="12" t="inlineStr">
        <is>
          <t>MOV 5: control</t>
        </is>
      </c>
      <c r="E3114" s="12" t="inlineStr"/>
      <c r="F3114" s="12" t="inlineStr">
        <is>
          <t>CCS MV switchgear building (VFDs)</t>
        </is>
      </c>
      <c r="G3114" s="12" t="inlineStr">
        <is>
          <t>STR-C</t>
        </is>
      </c>
      <c r="H3114" s="12" t="inlineStr">
        <is>
          <t>STR-C: stripper / regenerator (45 ft dia x 207 ft)</t>
        </is>
      </c>
      <c r="I3114" s="12" t="inlineStr">
        <is>
          <t>Control</t>
        </is>
      </c>
      <c r="J3114" s="12" t="inlineStr">
        <is>
          <t>Control cable 600 V Type TC-ER, Cu #14 AWG, PVC jacket</t>
        </is>
      </c>
      <c r="K3114" s="12" t="inlineStr">
        <is>
          <t>CT|12/C|14</t>
        </is>
      </c>
      <c r="L3114" s="12" t="inlineStr">
        <is>
          <t>12/C</t>
        </is>
      </c>
      <c r="M3114" s="12" t="inlineStr">
        <is>
          <t>14</t>
        </is>
      </c>
      <c r="N3114" s="12" t="n">
        <v>1</v>
      </c>
      <c r="O3114" s="12" t="n">
        <v>1</v>
      </c>
      <c r="P3114" s="12" t="n"/>
      <c r="Q3114" s="12" t="n"/>
      <c r="R3114" s="12" t="n"/>
      <c r="S3114" s="12" t="inlineStr">
        <is>
          <t>Duct bank</t>
        </is>
      </c>
      <c r="T3114" s="16" t="n">
        <v>196</v>
      </c>
      <c r="U3114" s="16" t="n">
        <v>36</v>
      </c>
      <c r="V3114" s="16">
        <f>ROUNDUP((T3114+U3114+2*'Read Me'!$B$13)*(1+'Read Me'!$B$12),-1)</f>
        <v/>
      </c>
      <c r="W3114" s="16">
        <f>V3114*N3114*O3114</f>
        <v/>
      </c>
      <c r="X3114" s="12">
        <f>IF(LEFT(I3114,2)="MV",2*N3114*IF(L3114="1/C",O3114,1),0)</f>
        <v/>
      </c>
      <c r="Y3114" s="12">
        <f>IF(OR(LEFT(K3114,4)="LVAX",LEFT(K3114,6)="MV15AX",LEFT(K3114,4)="CTAX",LEFT(K3114,2)="W|"),2*N3114*O3114,0)</f>
        <v/>
      </c>
      <c r="Z3114" s="12" t="inlineStr"/>
      <c r="AA3114" s="12">
        <f>N3114*O3114</f>
        <v/>
      </c>
    </row>
    <row r="3115">
      <c r="A3115" s="12" t="inlineStr">
        <is>
          <t>G-C-0173</t>
        </is>
      </c>
      <c r="B3115" s="12" t="inlineStr">
        <is>
          <t>G</t>
        </is>
      </c>
      <c r="C3115" s="12" t="inlineStr">
        <is>
          <t>Carbon capture</t>
        </is>
      </c>
      <c r="D3115" s="12" t="inlineStr">
        <is>
          <t>MOV 6: control</t>
        </is>
      </c>
      <c r="E3115" s="12" t="inlineStr"/>
      <c r="F3115" s="12" t="inlineStr">
        <is>
          <t>CCS MV switchgear building (VFDs)</t>
        </is>
      </c>
      <c r="G3115" s="12" t="inlineStr">
        <is>
          <t>STR-C</t>
        </is>
      </c>
      <c r="H3115" s="12" t="inlineStr">
        <is>
          <t>STR-C: stripper / regenerator (45 ft dia x 207 ft)</t>
        </is>
      </c>
      <c r="I3115" s="12" t="inlineStr">
        <is>
          <t>Control</t>
        </is>
      </c>
      <c r="J3115" s="12" t="inlineStr">
        <is>
          <t>Control cable 600 V Type TC-ER, Cu #14 AWG, PVC jacket</t>
        </is>
      </c>
      <c r="K3115" s="12" t="inlineStr">
        <is>
          <t>CT|12/C|14</t>
        </is>
      </c>
      <c r="L3115" s="12" t="inlineStr">
        <is>
          <t>12/C</t>
        </is>
      </c>
      <c r="M3115" s="12" t="inlineStr">
        <is>
          <t>14</t>
        </is>
      </c>
      <c r="N3115" s="12" t="n">
        <v>1</v>
      </c>
      <c r="O3115" s="12" t="n">
        <v>1</v>
      </c>
      <c r="P3115" s="12" t="n"/>
      <c r="Q3115" s="12" t="n"/>
      <c r="R3115" s="12" t="n"/>
      <c r="S3115" s="12" t="inlineStr">
        <is>
          <t>Duct bank</t>
        </is>
      </c>
      <c r="T3115" s="16" t="n">
        <v>196</v>
      </c>
      <c r="U3115" s="16" t="n">
        <v>36</v>
      </c>
      <c r="V3115" s="16">
        <f>ROUNDUP((T3115+U3115+2*'Read Me'!$B$13)*(1+'Read Me'!$B$12),-1)</f>
        <v/>
      </c>
      <c r="W3115" s="16">
        <f>V3115*N3115*O3115</f>
        <v/>
      </c>
      <c r="X3115" s="12">
        <f>IF(LEFT(I3115,2)="MV",2*N3115*IF(L3115="1/C",O3115,1),0)</f>
        <v/>
      </c>
      <c r="Y3115" s="12">
        <f>IF(OR(LEFT(K3115,4)="LVAX",LEFT(K3115,6)="MV15AX",LEFT(K3115,4)="CTAX",LEFT(K3115,2)="W|"),2*N3115*O3115,0)</f>
        <v/>
      </c>
      <c r="Z3115" s="12" t="inlineStr"/>
      <c r="AA3115" s="12">
        <f>N3115*O3115</f>
        <v/>
      </c>
    </row>
    <row r="3116">
      <c r="A3116" s="12" t="inlineStr">
        <is>
          <t>G-C-0174</t>
        </is>
      </c>
      <c r="B3116" s="12" t="inlineStr">
        <is>
          <t>G</t>
        </is>
      </c>
      <c r="C3116" s="12" t="inlineStr">
        <is>
          <t>Carbon capture</t>
        </is>
      </c>
      <c r="D3116" s="12" t="inlineStr">
        <is>
          <t>Motor 1 of 4: control / local station</t>
        </is>
      </c>
      <c r="E3116" s="12" t="inlineStr"/>
      <c r="F3116" s="12" t="inlineStr">
        <is>
          <t>CCS MV switchgear building (VFDs)</t>
        </is>
      </c>
      <c r="G3116" s="12" t="inlineStr"/>
      <c r="H3116" s="12" t="inlineStr">
        <is>
          <t>Solvent + NaOH storage</t>
        </is>
      </c>
      <c r="I3116" s="12" t="inlineStr">
        <is>
          <t>Control</t>
        </is>
      </c>
      <c r="J3116" s="12" t="inlineStr">
        <is>
          <t>Control cable 600 V Type TC-ER, Cu #14 AWG, PVC jacket</t>
        </is>
      </c>
      <c r="K3116" s="12" t="inlineStr">
        <is>
          <t>CT|7/C|14</t>
        </is>
      </c>
      <c r="L3116" s="12" t="inlineStr">
        <is>
          <t>7/C</t>
        </is>
      </c>
      <c r="M3116" s="12" t="inlineStr">
        <is>
          <t>14</t>
        </is>
      </c>
      <c r="N3116" s="12" t="n">
        <v>1</v>
      </c>
      <c r="O3116" s="12" t="n">
        <v>1</v>
      </c>
      <c r="P3116" s="12" t="n"/>
      <c r="Q3116" s="12" t="n"/>
      <c r="R3116" s="12" t="n"/>
      <c r="S3116" s="12" t="inlineStr">
        <is>
          <t>Duct bank</t>
        </is>
      </c>
      <c r="T3116" s="16" t="n">
        <v>250</v>
      </c>
      <c r="U3116" s="16" t="n">
        <v>37</v>
      </c>
      <c r="V3116" s="16">
        <f>ROUNDUP((T3116+U3116+2*'Read Me'!$B$13)*(1+'Read Me'!$B$12),-1)</f>
        <v/>
      </c>
      <c r="W3116" s="16">
        <f>V3116*N3116*O3116</f>
        <v/>
      </c>
      <c r="X3116" s="12">
        <f>IF(LEFT(I3116,2)="MV",2*N3116*IF(L3116="1/C",O3116,1),0)</f>
        <v/>
      </c>
      <c r="Y3116" s="12">
        <f>IF(OR(LEFT(K3116,4)="LVAX",LEFT(K3116,6)="MV15AX",LEFT(K3116,4)="CTAX",LEFT(K3116,2)="W|"),2*N3116*O3116,0)</f>
        <v/>
      </c>
      <c r="Z3116" s="12" t="inlineStr"/>
      <c r="AA3116" s="12">
        <f>N3116*O3116</f>
        <v/>
      </c>
    </row>
    <row r="3117">
      <c r="A3117" s="12" t="inlineStr">
        <is>
          <t>G-C-0175</t>
        </is>
      </c>
      <c r="B3117" s="12" t="inlineStr">
        <is>
          <t>G</t>
        </is>
      </c>
      <c r="C3117" s="12" t="inlineStr">
        <is>
          <t>Carbon capture</t>
        </is>
      </c>
      <c r="D3117" s="12" t="inlineStr">
        <is>
          <t>Motor 2 of 4: control / local station</t>
        </is>
      </c>
      <c r="E3117" s="12" t="inlineStr"/>
      <c r="F3117" s="12" t="inlineStr">
        <is>
          <t>CCS MV switchgear building (VFDs)</t>
        </is>
      </c>
      <c r="G3117" s="12" t="inlineStr"/>
      <c r="H3117" s="12" t="inlineStr">
        <is>
          <t>Solvent + NaOH storage</t>
        </is>
      </c>
      <c r="I3117" s="12" t="inlineStr">
        <is>
          <t>Control</t>
        </is>
      </c>
      <c r="J3117" s="12" t="inlineStr">
        <is>
          <t>Control cable 600 V Type TC-ER, Cu #14 AWG, PVC jacket</t>
        </is>
      </c>
      <c r="K3117" s="12" t="inlineStr">
        <is>
          <t>CT|7/C|14</t>
        </is>
      </c>
      <c r="L3117" s="12" t="inlineStr">
        <is>
          <t>7/C</t>
        </is>
      </c>
      <c r="M3117" s="12" t="inlineStr">
        <is>
          <t>14</t>
        </is>
      </c>
      <c r="N3117" s="12" t="n">
        <v>1</v>
      </c>
      <c r="O3117" s="12" t="n">
        <v>1</v>
      </c>
      <c r="P3117" s="12" t="n"/>
      <c r="Q3117" s="12" t="n"/>
      <c r="R3117" s="12" t="n"/>
      <c r="S3117" s="12" t="inlineStr">
        <is>
          <t>Duct bank</t>
        </is>
      </c>
      <c r="T3117" s="16" t="n">
        <v>250</v>
      </c>
      <c r="U3117" s="16" t="n">
        <v>37</v>
      </c>
      <c r="V3117" s="16">
        <f>ROUNDUP((T3117+U3117+2*'Read Me'!$B$13)*(1+'Read Me'!$B$12),-1)</f>
        <v/>
      </c>
      <c r="W3117" s="16">
        <f>V3117*N3117*O3117</f>
        <v/>
      </c>
      <c r="X3117" s="12">
        <f>IF(LEFT(I3117,2)="MV",2*N3117*IF(L3117="1/C",O3117,1),0)</f>
        <v/>
      </c>
      <c r="Y3117" s="12">
        <f>IF(OR(LEFT(K3117,4)="LVAX",LEFT(K3117,6)="MV15AX",LEFT(K3117,4)="CTAX",LEFT(K3117,2)="W|"),2*N3117*O3117,0)</f>
        <v/>
      </c>
      <c r="Z3117" s="12" t="inlineStr"/>
      <c r="AA3117" s="12">
        <f>N3117*O3117</f>
        <v/>
      </c>
    </row>
    <row r="3118">
      <c r="A3118" s="12" t="inlineStr">
        <is>
          <t>G-C-0176</t>
        </is>
      </c>
      <c r="B3118" s="12" t="inlineStr">
        <is>
          <t>G</t>
        </is>
      </c>
      <c r="C3118" s="12" t="inlineStr">
        <is>
          <t>Carbon capture</t>
        </is>
      </c>
      <c r="D3118" s="12" t="inlineStr">
        <is>
          <t>Motor 3 of 4: control / local station</t>
        </is>
      </c>
      <c r="E3118" s="12" t="inlineStr"/>
      <c r="F3118" s="12" t="inlineStr">
        <is>
          <t>CCS MV switchgear building (VFDs)</t>
        </is>
      </c>
      <c r="G3118" s="12" t="inlineStr"/>
      <c r="H3118" s="12" t="inlineStr">
        <is>
          <t>Solvent + NaOH storage</t>
        </is>
      </c>
      <c r="I3118" s="12" t="inlineStr">
        <is>
          <t>Control</t>
        </is>
      </c>
      <c r="J3118" s="12" t="inlineStr">
        <is>
          <t>Control cable 600 V Type TC-ER, Cu #14 AWG, PVC jacket</t>
        </is>
      </c>
      <c r="K3118" s="12" t="inlineStr">
        <is>
          <t>CT|7/C|14</t>
        </is>
      </c>
      <c r="L3118" s="12" t="inlineStr">
        <is>
          <t>7/C</t>
        </is>
      </c>
      <c r="M3118" s="12" t="inlineStr">
        <is>
          <t>14</t>
        </is>
      </c>
      <c r="N3118" s="12" t="n">
        <v>1</v>
      </c>
      <c r="O3118" s="12" t="n">
        <v>1</v>
      </c>
      <c r="P3118" s="12" t="n"/>
      <c r="Q3118" s="12" t="n"/>
      <c r="R3118" s="12" t="n"/>
      <c r="S3118" s="12" t="inlineStr">
        <is>
          <t>Duct bank</t>
        </is>
      </c>
      <c r="T3118" s="16" t="n">
        <v>250</v>
      </c>
      <c r="U3118" s="16" t="n">
        <v>37</v>
      </c>
      <c r="V3118" s="16">
        <f>ROUNDUP((T3118+U3118+2*'Read Me'!$B$13)*(1+'Read Me'!$B$12),-1)</f>
        <v/>
      </c>
      <c r="W3118" s="16">
        <f>V3118*N3118*O3118</f>
        <v/>
      </c>
      <c r="X3118" s="12">
        <f>IF(LEFT(I3118,2)="MV",2*N3118*IF(L3118="1/C",O3118,1),0)</f>
        <v/>
      </c>
      <c r="Y3118" s="12">
        <f>IF(OR(LEFT(K3118,4)="LVAX",LEFT(K3118,6)="MV15AX",LEFT(K3118,4)="CTAX",LEFT(K3118,2)="W|"),2*N3118*O3118,0)</f>
        <v/>
      </c>
      <c r="Z3118" s="12" t="inlineStr"/>
      <c r="AA3118" s="12">
        <f>N3118*O3118</f>
        <v/>
      </c>
    </row>
    <row r="3119">
      <c r="A3119" s="12" t="inlineStr">
        <is>
          <t>G-C-0177</t>
        </is>
      </c>
      <c r="B3119" s="12" t="inlineStr">
        <is>
          <t>G</t>
        </is>
      </c>
      <c r="C3119" s="12" t="inlineStr">
        <is>
          <t>Carbon capture</t>
        </is>
      </c>
      <c r="D3119" s="12" t="inlineStr">
        <is>
          <t>Motor 4 of 4: control / local station</t>
        </is>
      </c>
      <c r="E3119" s="12" t="inlineStr"/>
      <c r="F3119" s="12" t="inlineStr">
        <is>
          <t>CCS MV switchgear building (VFDs)</t>
        </is>
      </c>
      <c r="G3119" s="12" t="inlineStr"/>
      <c r="H3119" s="12" t="inlineStr">
        <is>
          <t>Solvent + NaOH storage</t>
        </is>
      </c>
      <c r="I3119" s="12" t="inlineStr">
        <is>
          <t>Control</t>
        </is>
      </c>
      <c r="J3119" s="12" t="inlineStr">
        <is>
          <t>Control cable 600 V Type TC-ER, Cu #14 AWG, PVC jacket</t>
        </is>
      </c>
      <c r="K3119" s="12" t="inlineStr">
        <is>
          <t>CT|7/C|14</t>
        </is>
      </c>
      <c r="L3119" s="12" t="inlineStr">
        <is>
          <t>7/C</t>
        </is>
      </c>
      <c r="M3119" s="12" t="inlineStr">
        <is>
          <t>14</t>
        </is>
      </c>
      <c r="N3119" s="12" t="n">
        <v>1</v>
      </c>
      <c r="O3119" s="12" t="n">
        <v>1</v>
      </c>
      <c r="P3119" s="12" t="n"/>
      <c r="Q3119" s="12" t="n"/>
      <c r="R3119" s="12" t="n"/>
      <c r="S3119" s="12" t="inlineStr">
        <is>
          <t>Duct bank</t>
        </is>
      </c>
      <c r="T3119" s="16" t="n">
        <v>250</v>
      </c>
      <c r="U3119" s="16" t="n">
        <v>37</v>
      </c>
      <c r="V3119" s="16">
        <f>ROUNDUP((T3119+U3119+2*'Read Me'!$B$13)*(1+'Read Me'!$B$12),-1)</f>
        <v/>
      </c>
      <c r="W3119" s="16">
        <f>V3119*N3119*O3119</f>
        <v/>
      </c>
      <c r="X3119" s="12">
        <f>IF(LEFT(I3119,2)="MV",2*N3119*IF(L3119="1/C",O3119,1),0)</f>
        <v/>
      </c>
      <c r="Y3119" s="12">
        <f>IF(OR(LEFT(K3119,4)="LVAX",LEFT(K3119,6)="MV15AX",LEFT(K3119,4)="CTAX",LEFT(K3119,2)="W|"),2*N3119*O3119,0)</f>
        <v/>
      </c>
      <c r="Z3119" s="12" t="inlineStr"/>
      <c r="AA3119" s="12">
        <f>N3119*O3119</f>
        <v/>
      </c>
    </row>
    <row r="3120">
      <c r="A3120" s="12" t="inlineStr">
        <is>
          <t>G-C-0178</t>
        </is>
      </c>
      <c r="B3120" s="12" t="inlineStr">
        <is>
          <t>G</t>
        </is>
      </c>
      <c r="C3120" s="12" t="inlineStr">
        <is>
          <t>Carbon capture</t>
        </is>
      </c>
      <c r="D3120" s="12" t="inlineStr">
        <is>
          <t>Motor 1 of 2: control / local station</t>
        </is>
      </c>
      <c r="E3120" s="12" t="inlineStr"/>
      <c r="F3120" s="12" t="inlineStr">
        <is>
          <t>CCS MV switchgear building (VFDs)</t>
        </is>
      </c>
      <c r="G3120" s="12" t="inlineStr"/>
      <c r="H3120" s="12" t="inlineStr">
        <is>
          <t>Water-wash pumps A</t>
        </is>
      </c>
      <c r="I3120" s="12" t="inlineStr">
        <is>
          <t>Control</t>
        </is>
      </c>
      <c r="J3120" s="12" t="inlineStr">
        <is>
          <t>Control cable 600 V Type TC-ER, Cu #14 AWG, PVC jacket</t>
        </is>
      </c>
      <c r="K3120" s="12" t="inlineStr">
        <is>
          <t>CT|7/C|14</t>
        </is>
      </c>
      <c r="L3120" s="12" t="inlineStr">
        <is>
          <t>7/C</t>
        </is>
      </c>
      <c r="M3120" s="12" t="inlineStr">
        <is>
          <t>14</t>
        </is>
      </c>
      <c r="N3120" s="12" t="n">
        <v>1</v>
      </c>
      <c r="O3120" s="12" t="n">
        <v>1</v>
      </c>
      <c r="P3120" s="12" t="n"/>
      <c r="Q3120" s="12" t="n"/>
      <c r="R3120" s="12" t="n"/>
      <c r="S3120" s="12" t="inlineStr">
        <is>
          <t>Tray</t>
        </is>
      </c>
      <c r="T3120" s="16" t="n">
        <v>465</v>
      </c>
      <c r="U3120" s="16" t="n">
        <v>96</v>
      </c>
      <c r="V3120" s="16">
        <f>ROUNDUP((T3120+U3120+2*'Read Me'!$B$13)*(1+'Read Me'!$B$12),-1)</f>
        <v/>
      </c>
      <c r="W3120" s="16">
        <f>V3120*N3120*O3120</f>
        <v/>
      </c>
      <c r="X3120" s="12">
        <f>IF(LEFT(I3120,2)="MV",2*N3120*IF(L3120="1/C",O3120,1),0)</f>
        <v/>
      </c>
      <c r="Y3120" s="12">
        <f>IF(OR(LEFT(K3120,4)="LVAX",LEFT(K3120,6)="MV15AX",LEFT(K3120,4)="CTAX",LEFT(K3120,2)="W|"),2*N3120*O3120,0)</f>
        <v/>
      </c>
      <c r="Z3120" s="12" t="inlineStr"/>
      <c r="AA3120" s="12">
        <f>N3120*O3120</f>
        <v/>
      </c>
    </row>
    <row r="3121">
      <c r="A3121" s="12" t="inlineStr">
        <is>
          <t>G-C-0179</t>
        </is>
      </c>
      <c r="B3121" s="12" t="inlineStr">
        <is>
          <t>G</t>
        </is>
      </c>
      <c r="C3121" s="12" t="inlineStr">
        <is>
          <t>Carbon capture</t>
        </is>
      </c>
      <c r="D3121" s="12" t="inlineStr">
        <is>
          <t>Motor 2 of 2: control / local station</t>
        </is>
      </c>
      <c r="E3121" s="12" t="inlineStr"/>
      <c r="F3121" s="12" t="inlineStr">
        <is>
          <t>CCS MV switchgear building (VFDs)</t>
        </is>
      </c>
      <c r="G3121" s="12" t="inlineStr"/>
      <c r="H3121" s="12" t="inlineStr">
        <is>
          <t>Water-wash pumps A</t>
        </is>
      </c>
      <c r="I3121" s="12" t="inlineStr">
        <is>
          <t>Control</t>
        </is>
      </c>
      <c r="J3121" s="12" t="inlineStr">
        <is>
          <t>Control cable 600 V Type TC-ER, Cu #14 AWG, PVC jacket</t>
        </is>
      </c>
      <c r="K3121" s="12" t="inlineStr">
        <is>
          <t>CT|7/C|14</t>
        </is>
      </c>
      <c r="L3121" s="12" t="inlineStr">
        <is>
          <t>7/C</t>
        </is>
      </c>
      <c r="M3121" s="12" t="inlineStr">
        <is>
          <t>14</t>
        </is>
      </c>
      <c r="N3121" s="12" t="n">
        <v>1</v>
      </c>
      <c r="O3121" s="12" t="n">
        <v>1</v>
      </c>
      <c r="P3121" s="12" t="n"/>
      <c r="Q3121" s="12" t="n"/>
      <c r="R3121" s="12" t="n"/>
      <c r="S3121" s="12" t="inlineStr">
        <is>
          <t>Tray</t>
        </is>
      </c>
      <c r="T3121" s="16" t="n">
        <v>465</v>
      </c>
      <c r="U3121" s="16" t="n">
        <v>96</v>
      </c>
      <c r="V3121" s="16">
        <f>ROUNDUP((T3121+U3121+2*'Read Me'!$B$13)*(1+'Read Me'!$B$12),-1)</f>
        <v/>
      </c>
      <c r="W3121" s="16">
        <f>V3121*N3121*O3121</f>
        <v/>
      </c>
      <c r="X3121" s="12">
        <f>IF(LEFT(I3121,2)="MV",2*N3121*IF(L3121="1/C",O3121,1),0)</f>
        <v/>
      </c>
      <c r="Y3121" s="12">
        <f>IF(OR(LEFT(K3121,4)="LVAX",LEFT(K3121,6)="MV15AX",LEFT(K3121,4)="CTAX",LEFT(K3121,2)="W|"),2*N3121*O3121,0)</f>
        <v/>
      </c>
      <c r="Z3121" s="12" t="inlineStr"/>
      <c r="AA3121" s="12">
        <f>N3121*O3121</f>
        <v/>
      </c>
    </row>
    <row r="3122">
      <c r="A3122" s="12" t="inlineStr">
        <is>
          <t>G-C-0180</t>
        </is>
      </c>
      <c r="B3122" s="12" t="inlineStr">
        <is>
          <t>G</t>
        </is>
      </c>
      <c r="C3122" s="12" t="inlineStr">
        <is>
          <t>Carbon capture</t>
        </is>
      </c>
      <c r="D3122" s="12" t="inlineStr">
        <is>
          <t>Motor 1 of 2: control / local station</t>
        </is>
      </c>
      <c r="E3122" s="12" t="inlineStr"/>
      <c r="F3122" s="12" t="inlineStr">
        <is>
          <t>CCS MV switchgear building (VFDs)</t>
        </is>
      </c>
      <c r="G3122" s="12" t="inlineStr"/>
      <c r="H3122" s="12" t="inlineStr">
        <is>
          <t>Water-wash pumps B</t>
        </is>
      </c>
      <c r="I3122" s="12" t="inlineStr">
        <is>
          <t>Control</t>
        </is>
      </c>
      <c r="J3122" s="12" t="inlineStr">
        <is>
          <t>Control cable 600 V Type TC-ER, Cu #14 AWG, PVC jacket</t>
        </is>
      </c>
      <c r="K3122" s="12" t="inlineStr">
        <is>
          <t>CT|7/C|14</t>
        </is>
      </c>
      <c r="L3122" s="12" t="inlineStr">
        <is>
          <t>7/C</t>
        </is>
      </c>
      <c r="M3122" s="12" t="inlineStr">
        <is>
          <t>14</t>
        </is>
      </c>
      <c r="N3122" s="12" t="n">
        <v>1</v>
      </c>
      <c r="O3122" s="12" t="n">
        <v>1</v>
      </c>
      <c r="P3122" s="12" t="n"/>
      <c r="Q3122" s="12" t="n"/>
      <c r="R3122" s="12" t="n"/>
      <c r="S3122" s="12" t="inlineStr">
        <is>
          <t>Tray</t>
        </is>
      </c>
      <c r="T3122" s="16" t="n">
        <v>305</v>
      </c>
      <c r="U3122" s="16" t="n">
        <v>96</v>
      </c>
      <c r="V3122" s="16">
        <f>ROUNDUP((T3122+U3122+2*'Read Me'!$B$13)*(1+'Read Me'!$B$12),-1)</f>
        <v/>
      </c>
      <c r="W3122" s="16">
        <f>V3122*N3122*O3122</f>
        <v/>
      </c>
      <c r="X3122" s="12">
        <f>IF(LEFT(I3122,2)="MV",2*N3122*IF(L3122="1/C",O3122,1),0)</f>
        <v/>
      </c>
      <c r="Y3122" s="12">
        <f>IF(OR(LEFT(K3122,4)="LVAX",LEFT(K3122,6)="MV15AX",LEFT(K3122,4)="CTAX",LEFT(K3122,2)="W|"),2*N3122*O3122,0)</f>
        <v/>
      </c>
      <c r="Z3122" s="12" t="inlineStr"/>
      <c r="AA3122" s="12">
        <f>N3122*O3122</f>
        <v/>
      </c>
    </row>
    <row r="3123">
      <c r="A3123" s="12" t="inlineStr">
        <is>
          <t>G-C-0181</t>
        </is>
      </c>
      <c r="B3123" s="12" t="inlineStr">
        <is>
          <t>G</t>
        </is>
      </c>
      <c r="C3123" s="12" t="inlineStr">
        <is>
          <t>Carbon capture</t>
        </is>
      </c>
      <c r="D3123" s="12" t="inlineStr">
        <is>
          <t>Motor 2 of 2: control / local station</t>
        </is>
      </c>
      <c r="E3123" s="12" t="inlineStr"/>
      <c r="F3123" s="12" t="inlineStr">
        <is>
          <t>CCS MV switchgear building (VFDs)</t>
        </is>
      </c>
      <c r="G3123" s="12" t="inlineStr"/>
      <c r="H3123" s="12" t="inlineStr">
        <is>
          <t>Water-wash pumps B</t>
        </is>
      </c>
      <c r="I3123" s="12" t="inlineStr">
        <is>
          <t>Control</t>
        </is>
      </c>
      <c r="J3123" s="12" t="inlineStr">
        <is>
          <t>Control cable 600 V Type TC-ER, Cu #14 AWG, PVC jacket</t>
        </is>
      </c>
      <c r="K3123" s="12" t="inlineStr">
        <is>
          <t>CT|7/C|14</t>
        </is>
      </c>
      <c r="L3123" s="12" t="inlineStr">
        <is>
          <t>7/C</t>
        </is>
      </c>
      <c r="M3123" s="12" t="inlineStr">
        <is>
          <t>14</t>
        </is>
      </c>
      <c r="N3123" s="12" t="n">
        <v>1</v>
      </c>
      <c r="O3123" s="12" t="n">
        <v>1</v>
      </c>
      <c r="P3123" s="12" t="n"/>
      <c r="Q3123" s="12" t="n"/>
      <c r="R3123" s="12" t="n"/>
      <c r="S3123" s="12" t="inlineStr">
        <is>
          <t>Tray</t>
        </is>
      </c>
      <c r="T3123" s="16" t="n">
        <v>305</v>
      </c>
      <c r="U3123" s="16" t="n">
        <v>96</v>
      </c>
      <c r="V3123" s="16">
        <f>ROUNDUP((T3123+U3123+2*'Read Me'!$B$13)*(1+'Read Me'!$B$12),-1)</f>
        <v/>
      </c>
      <c r="W3123" s="16">
        <f>V3123*N3123*O3123</f>
        <v/>
      </c>
      <c r="X3123" s="12">
        <f>IF(LEFT(I3123,2)="MV",2*N3123*IF(L3123="1/C",O3123,1),0)</f>
        <v/>
      </c>
      <c r="Y3123" s="12">
        <f>IF(OR(LEFT(K3123,4)="LVAX",LEFT(K3123,6)="MV15AX",LEFT(K3123,4)="CTAX",LEFT(K3123,2)="W|"),2*N3123*O3123,0)</f>
        <v/>
      </c>
      <c r="Z3123" s="12" t="inlineStr"/>
      <c r="AA3123" s="12">
        <f>N3123*O3123</f>
        <v/>
      </c>
    </row>
    <row r="3124">
      <c r="A3124" s="12" t="inlineStr">
        <is>
          <t>G-C-0182</t>
        </is>
      </c>
      <c r="B3124" s="12" t="inlineStr">
        <is>
          <t>G</t>
        </is>
      </c>
      <c r="C3124" s="12" t="inlineStr">
        <is>
          <t>Carbon capture</t>
        </is>
      </c>
      <c r="D3124" s="12" t="inlineStr">
        <is>
          <t>Motor 1 of 2: control / local station</t>
        </is>
      </c>
      <c r="E3124" s="12" t="inlineStr"/>
      <c r="F3124" s="12" t="inlineStr">
        <is>
          <t>CCS MV switchgear building (VFDs)</t>
        </is>
      </c>
      <c r="G3124" s="12" t="inlineStr"/>
      <c r="H3124" s="12" t="inlineStr">
        <is>
          <t>Water-wash pumps C</t>
        </is>
      </c>
      <c r="I3124" s="12" t="inlineStr">
        <is>
          <t>Control</t>
        </is>
      </c>
      <c r="J3124" s="12" t="inlineStr">
        <is>
          <t>Control cable 600 V Type TC-ER, Cu #14 AWG, PVC jacket</t>
        </is>
      </c>
      <c r="K3124" s="12" t="inlineStr">
        <is>
          <t>CT|7/C|14</t>
        </is>
      </c>
      <c r="L3124" s="12" t="inlineStr">
        <is>
          <t>7/C</t>
        </is>
      </c>
      <c r="M3124" s="12" t="inlineStr">
        <is>
          <t>14</t>
        </is>
      </c>
      <c r="N3124" s="12" t="n">
        <v>1</v>
      </c>
      <c r="O3124" s="12" t="n">
        <v>1</v>
      </c>
      <c r="P3124" s="12" t="n"/>
      <c r="Q3124" s="12" t="n"/>
      <c r="R3124" s="12" t="n"/>
      <c r="S3124" s="12" t="inlineStr">
        <is>
          <t>Tray</t>
        </is>
      </c>
      <c r="T3124" s="16" t="n">
        <v>145</v>
      </c>
      <c r="U3124" s="16" t="n">
        <v>96</v>
      </c>
      <c r="V3124" s="16">
        <f>ROUNDUP((T3124+U3124+2*'Read Me'!$B$13)*(1+'Read Me'!$B$12),-1)</f>
        <v/>
      </c>
      <c r="W3124" s="16">
        <f>V3124*N3124*O3124</f>
        <v/>
      </c>
      <c r="X3124" s="12">
        <f>IF(LEFT(I3124,2)="MV",2*N3124*IF(L3124="1/C",O3124,1),0)</f>
        <v/>
      </c>
      <c r="Y3124" s="12">
        <f>IF(OR(LEFT(K3124,4)="LVAX",LEFT(K3124,6)="MV15AX",LEFT(K3124,4)="CTAX",LEFT(K3124,2)="W|"),2*N3124*O3124,0)</f>
        <v/>
      </c>
      <c r="Z3124" s="12" t="inlineStr"/>
      <c r="AA3124" s="12">
        <f>N3124*O3124</f>
        <v/>
      </c>
    </row>
    <row r="3125">
      <c r="A3125" s="12" t="inlineStr">
        <is>
          <t>G-C-0183</t>
        </is>
      </c>
      <c r="B3125" s="12" t="inlineStr">
        <is>
          <t>G</t>
        </is>
      </c>
      <c r="C3125" s="12" t="inlineStr">
        <is>
          <t>Carbon capture</t>
        </is>
      </c>
      <c r="D3125" s="12" t="inlineStr">
        <is>
          <t>Motor 2 of 2: control / local station</t>
        </is>
      </c>
      <c r="E3125" s="12" t="inlineStr"/>
      <c r="F3125" s="12" t="inlineStr">
        <is>
          <t>CCS MV switchgear building (VFDs)</t>
        </is>
      </c>
      <c r="G3125" s="12" t="inlineStr"/>
      <c r="H3125" s="12" t="inlineStr">
        <is>
          <t>Water-wash pumps C</t>
        </is>
      </c>
      <c r="I3125" s="12" t="inlineStr">
        <is>
          <t>Control</t>
        </is>
      </c>
      <c r="J3125" s="12" t="inlineStr">
        <is>
          <t>Control cable 600 V Type TC-ER, Cu #14 AWG, PVC jacket</t>
        </is>
      </c>
      <c r="K3125" s="12" t="inlineStr">
        <is>
          <t>CT|7/C|14</t>
        </is>
      </c>
      <c r="L3125" s="12" t="inlineStr">
        <is>
          <t>7/C</t>
        </is>
      </c>
      <c r="M3125" s="12" t="inlineStr">
        <is>
          <t>14</t>
        </is>
      </c>
      <c r="N3125" s="12" t="n">
        <v>1</v>
      </c>
      <c r="O3125" s="12" t="n">
        <v>1</v>
      </c>
      <c r="P3125" s="12" t="n"/>
      <c r="Q3125" s="12" t="n"/>
      <c r="R3125" s="12" t="n"/>
      <c r="S3125" s="12" t="inlineStr">
        <is>
          <t>Tray</t>
        </is>
      </c>
      <c r="T3125" s="16" t="n">
        <v>145</v>
      </c>
      <c r="U3125" s="16" t="n">
        <v>96</v>
      </c>
      <c r="V3125" s="16">
        <f>ROUNDUP((T3125+U3125+2*'Read Me'!$B$13)*(1+'Read Me'!$B$12),-1)</f>
        <v/>
      </c>
      <c r="W3125" s="16">
        <f>V3125*N3125*O3125</f>
        <v/>
      </c>
      <c r="X3125" s="12">
        <f>IF(LEFT(I3125,2)="MV",2*N3125*IF(L3125="1/C",O3125,1),0)</f>
        <v/>
      </c>
      <c r="Y3125" s="12">
        <f>IF(OR(LEFT(K3125,4)="LVAX",LEFT(K3125,6)="MV15AX",LEFT(K3125,4)="CTAX",LEFT(K3125,2)="W|"),2*N3125*O3125,0)</f>
        <v/>
      </c>
      <c r="Z3125" s="12" t="inlineStr"/>
      <c r="AA3125" s="12">
        <f>N3125*O3125</f>
        <v/>
      </c>
    </row>
    <row r="3126">
      <c r="A3126" s="12" t="inlineStr">
        <is>
          <t>G-F-0001</t>
        </is>
      </c>
      <c r="B3126" s="12" t="inlineStr">
        <is>
          <t>G</t>
        </is>
      </c>
      <c r="C3126" s="12" t="inlineStr">
        <is>
          <t>Carbon capture</t>
        </is>
      </c>
      <c r="D3126" s="12" t="inlineStr">
        <is>
          <t>Plant network / DCS fibre</t>
        </is>
      </c>
      <c r="E3126" s="12" t="inlineStr">
        <is>
          <t>CR</t>
        </is>
      </c>
      <c r="F3126" s="12" t="inlineStr">
        <is>
          <t>Control / admin building (main control room)</t>
        </is>
      </c>
      <c r="G3126" s="12" t="inlineStr"/>
      <c r="H3126" s="12" t="inlineStr">
        <is>
          <t>CCS F&amp;G / control</t>
        </is>
      </c>
      <c r="I3126" s="12" t="inlineStr">
        <is>
          <t>Fibre / data</t>
        </is>
      </c>
      <c r="J3126" s="12" t="inlineStr">
        <is>
          <t>Fibre optic, single-mode, 12-fibre, armored, orange jacket</t>
        </is>
      </c>
      <c r="K3126" s="12" t="inlineStr">
        <is>
          <t>FO|12 SM|-</t>
        </is>
      </c>
      <c r="L3126" s="12" t="inlineStr">
        <is>
          <t>12 SM</t>
        </is>
      </c>
      <c r="M3126" s="12" t="inlineStr">
        <is>
          <t>-</t>
        </is>
      </c>
      <c r="N3126" s="12" t="n">
        <v>1</v>
      </c>
      <c r="O3126" s="12" t="n">
        <v>1</v>
      </c>
      <c r="P3126" s="12" t="n"/>
      <c r="Q3126" s="12" t="n"/>
      <c r="R3126" s="12" t="n"/>
      <c r="S3126" s="12" t="inlineStr">
        <is>
          <t>Tray</t>
        </is>
      </c>
      <c r="T3126" s="16" t="n">
        <v>2379</v>
      </c>
      <c r="U3126" s="16" t="n">
        <v>333</v>
      </c>
      <c r="V3126" s="16">
        <f>ROUNDUP((T3126+U3126+2*'Read Me'!$B$13)*(1+'Read Me'!$B$12),-1)</f>
        <v/>
      </c>
      <c r="W3126" s="16">
        <f>V3126*N3126*O3126</f>
        <v/>
      </c>
      <c r="X3126" s="12">
        <f>IF(LEFT(I3126,2)="MV",2*N3126*IF(L3126="1/C",O3126,1),0)</f>
        <v/>
      </c>
      <c r="Y3126" s="12">
        <f>IF(OR(LEFT(K3126,4)="LVAX",LEFT(K3126,6)="MV15AX",LEFT(K3126,4)="CTAX",LEFT(K3126,2)="W|"),2*N3126*O3126,0)</f>
        <v/>
      </c>
      <c r="Z3126" s="12" t="inlineStr"/>
      <c r="AA3126" s="12">
        <f>N3126*O3126</f>
        <v/>
      </c>
    </row>
    <row r="3127">
      <c r="A3127" s="12" t="inlineStr">
        <is>
          <t>G-F-0002</t>
        </is>
      </c>
      <c r="B3127" s="12" t="inlineStr">
        <is>
          <t>G</t>
        </is>
      </c>
      <c r="C3127" s="12" t="inlineStr">
        <is>
          <t>Carbon capture</t>
        </is>
      </c>
      <c r="D3127" s="12" t="inlineStr">
        <is>
          <t>Plant network / DCS fibre</t>
        </is>
      </c>
      <c r="E3127" s="12" t="inlineStr">
        <is>
          <t>CR</t>
        </is>
      </c>
      <c r="F3127" s="12" t="inlineStr">
        <is>
          <t>Control / admin building (main control room)</t>
        </is>
      </c>
      <c r="G3127" s="12" t="inlineStr"/>
      <c r="H3127" s="12" t="inlineStr">
        <is>
          <t>CCS MV switchgear building (VFDs)</t>
        </is>
      </c>
      <c r="I3127" s="12" t="inlineStr">
        <is>
          <t>Fibre / data</t>
        </is>
      </c>
      <c r="J3127" s="12" t="inlineStr">
        <is>
          <t>Fibre optic, single-mode, 12-fibre, armored, orange jacket</t>
        </is>
      </c>
      <c r="K3127" s="12" t="inlineStr">
        <is>
          <t>FO|12 SM|-</t>
        </is>
      </c>
      <c r="L3127" s="12" t="inlineStr">
        <is>
          <t>12 SM</t>
        </is>
      </c>
      <c r="M3127" s="12" t="inlineStr">
        <is>
          <t>-</t>
        </is>
      </c>
      <c r="N3127" s="12" t="n">
        <v>1</v>
      </c>
      <c r="O3127" s="12" t="n">
        <v>1</v>
      </c>
      <c r="P3127" s="12" t="n"/>
      <c r="Q3127" s="12" t="n"/>
      <c r="R3127" s="12" t="n"/>
      <c r="S3127" s="12" t="inlineStr">
        <is>
          <t>Duct bank</t>
        </is>
      </c>
      <c r="T3127" s="16" t="n">
        <v>2585</v>
      </c>
      <c r="U3127" s="16" t="n">
        <v>264</v>
      </c>
      <c r="V3127" s="16">
        <f>ROUNDUP((T3127+U3127+2*'Read Me'!$B$13)*(1+'Read Me'!$B$12),-1)</f>
        <v/>
      </c>
      <c r="W3127" s="16">
        <f>V3127*N3127*O3127</f>
        <v/>
      </c>
      <c r="X3127" s="12">
        <f>IF(LEFT(I3127,2)="MV",2*N3127*IF(L3127="1/C",O3127,1),0)</f>
        <v/>
      </c>
      <c r="Y3127" s="12">
        <f>IF(OR(LEFT(K3127,4)="LVAX",LEFT(K3127,6)="MV15AX",LEFT(K3127,4)="CTAX",LEFT(K3127,2)="W|"),2*N3127*O3127,0)</f>
        <v/>
      </c>
      <c r="Z3127" s="12" t="inlineStr"/>
      <c r="AA3127" s="12">
        <f>N3127*O3127</f>
        <v/>
      </c>
    </row>
    <row r="3128">
      <c r="A3128" s="12" t="inlineStr">
        <is>
          <t>G-F-0003</t>
        </is>
      </c>
      <c r="B3128" s="12" t="inlineStr">
        <is>
          <t>G</t>
        </is>
      </c>
      <c r="C3128" s="12" t="inlineStr">
        <is>
          <t>Carbon capture</t>
        </is>
      </c>
      <c r="D3128" s="12" t="inlineStr">
        <is>
          <t>Plant network / DCS fibre</t>
        </is>
      </c>
      <c r="E3128" s="12" t="inlineStr">
        <is>
          <t>CR</t>
        </is>
      </c>
      <c r="F3128" s="12" t="inlineStr">
        <is>
          <t>Control / admin building (main control room)</t>
        </is>
      </c>
      <c r="G3128" s="12" t="inlineStr"/>
      <c r="H3128" s="12" t="inlineStr">
        <is>
          <t>CT MCC / VFD e-house</t>
        </is>
      </c>
      <c r="I3128" s="12" t="inlineStr">
        <is>
          <t>Fibre / data</t>
        </is>
      </c>
      <c r="J3128" s="12" t="inlineStr">
        <is>
          <t>Fibre optic, single-mode, 12-fibre, armored, orange jacket</t>
        </is>
      </c>
      <c r="K3128" s="12" t="inlineStr">
        <is>
          <t>FO|12 SM|-</t>
        </is>
      </c>
      <c r="L3128" s="12" t="inlineStr">
        <is>
          <t>12 SM</t>
        </is>
      </c>
      <c r="M3128" s="12" t="inlineStr">
        <is>
          <t>-</t>
        </is>
      </c>
      <c r="N3128" s="12" t="n">
        <v>1</v>
      </c>
      <c r="O3128" s="12" t="n">
        <v>1</v>
      </c>
      <c r="P3128" s="12" t="n"/>
      <c r="Q3128" s="12" t="n"/>
      <c r="R3128" s="12" t="n"/>
      <c r="S3128" s="12" t="inlineStr">
        <is>
          <t>Duct bank</t>
        </is>
      </c>
      <c r="T3128" s="16" t="n">
        <v>3200</v>
      </c>
      <c r="U3128" s="16" t="n">
        <v>264</v>
      </c>
      <c r="V3128" s="16">
        <f>ROUNDUP((T3128+U3128+2*'Read Me'!$B$13)*(1+'Read Me'!$B$12),-1)</f>
        <v/>
      </c>
      <c r="W3128" s="16">
        <f>V3128*N3128*O3128</f>
        <v/>
      </c>
      <c r="X3128" s="12">
        <f>IF(LEFT(I3128,2)="MV",2*N3128*IF(L3128="1/C",O3128,1),0)</f>
        <v/>
      </c>
      <c r="Y3128" s="12">
        <f>IF(OR(LEFT(K3128,4)="LVAX",LEFT(K3128,6)="MV15AX",LEFT(K3128,4)="CTAX",LEFT(K3128,2)="W|"),2*N3128*O3128,0)</f>
        <v/>
      </c>
      <c r="Z3128" s="12" t="inlineStr"/>
      <c r="AA3128" s="12">
        <f>N3128*O3128</f>
        <v/>
      </c>
    </row>
    <row r="3129">
      <c r="A3129" s="12" t="inlineStr">
        <is>
          <t>G-FA-0001</t>
        </is>
      </c>
      <c r="B3129" s="12" t="inlineStr">
        <is>
          <t>G</t>
        </is>
      </c>
      <c r="C3129" s="12" t="inlineStr">
        <is>
          <t>Carbon capture</t>
        </is>
      </c>
      <c r="D3129" s="12" t="inlineStr">
        <is>
          <t>Fire alarm / F&amp;G loop (to the local FACP / F&amp;G node)</t>
        </is>
      </c>
      <c r="E3129" s="12" t="inlineStr"/>
      <c r="F3129" s="12" t="inlineStr">
        <is>
          <t>CCS F&amp;G / control</t>
        </is>
      </c>
      <c r="G3129" s="12" t="inlineStr"/>
      <c r="H3129" s="12" t="inlineStr">
        <is>
          <t>CCS F&amp;G / control</t>
        </is>
      </c>
      <c r="I3129" s="12" t="inlineStr">
        <is>
          <t>Fire alarm</t>
        </is>
      </c>
      <c r="J3129" s="12" t="inlineStr">
        <is>
          <t>Fire alarm FPLR 2/C #14 shielded, red jacket (NEC 760)</t>
        </is>
      </c>
      <c r="K3129" s="12" t="inlineStr">
        <is>
          <t>FA|2/C|14</t>
        </is>
      </c>
      <c r="L3129" s="12" t="inlineStr">
        <is>
          <t>2/C</t>
        </is>
      </c>
      <c r="M3129" s="12" t="inlineStr">
        <is>
          <t>14</t>
        </is>
      </c>
      <c r="N3129" s="12" t="n">
        <v>1</v>
      </c>
      <c r="O3129" s="12" t="n">
        <v>1</v>
      </c>
      <c r="P3129" s="12" t="n"/>
      <c r="Q3129" s="12" t="n"/>
      <c r="R3129" s="12" t="n"/>
      <c r="S3129" s="12" t="inlineStr">
        <is>
          <t>Tray</t>
        </is>
      </c>
      <c r="T3129" s="16" t="n">
        <v>0</v>
      </c>
      <c r="U3129" s="16" t="n">
        <v>170</v>
      </c>
      <c r="V3129" s="16">
        <f>ROUNDUP((T3129+U3129+2*'Read Me'!$B$13)*(1+'Read Me'!$B$12),-1)</f>
        <v/>
      </c>
      <c r="W3129" s="16">
        <f>V3129*N3129*O3129</f>
        <v/>
      </c>
      <c r="X3129" s="12">
        <f>IF(LEFT(I3129,2)="MV",2*N3129*IF(L3129="1/C",O3129,1),0)</f>
        <v/>
      </c>
      <c r="Y3129" s="12">
        <f>IF(OR(LEFT(K3129,4)="LVAX",LEFT(K3129,6)="MV15AX",LEFT(K3129,4)="CTAX",LEFT(K3129,2)="W|"),2*N3129*O3129,0)</f>
        <v/>
      </c>
      <c r="Z3129" s="12" t="inlineStr"/>
      <c r="AA3129" s="12">
        <f>N3129*O3129</f>
        <v/>
      </c>
    </row>
    <row r="3130">
      <c r="A3130" s="12" t="inlineStr">
        <is>
          <t>G-FA-0002</t>
        </is>
      </c>
      <c r="B3130" s="12" t="inlineStr">
        <is>
          <t>G</t>
        </is>
      </c>
      <c r="C3130" s="12" t="inlineStr">
        <is>
          <t>Carbon capture</t>
        </is>
      </c>
      <c r="D3130" s="12" t="inlineStr">
        <is>
          <t>Fire alarm / F&amp;G loop (to the local FACP / F&amp;G node)</t>
        </is>
      </c>
      <c r="E3130" s="12" t="inlineStr"/>
      <c r="F3130" s="12" t="inlineStr">
        <is>
          <t>CCS F&amp;G / control</t>
        </is>
      </c>
      <c r="G3130" s="12" t="inlineStr"/>
      <c r="H3130" s="12" t="inlineStr">
        <is>
          <t>CCS MV switchgear building (VFDs)</t>
        </is>
      </c>
      <c r="I3130" s="12" t="inlineStr">
        <is>
          <t>Fire alarm</t>
        </is>
      </c>
      <c r="J3130" s="12" t="inlineStr">
        <is>
          <t>Fire alarm FPLR 2/C #14 shielded, red jacket (NEC 760)</t>
        </is>
      </c>
      <c r="K3130" s="12" t="inlineStr">
        <is>
          <t>FA|2/C|14</t>
        </is>
      </c>
      <c r="L3130" s="12" t="inlineStr">
        <is>
          <t>2/C</t>
        </is>
      </c>
      <c r="M3130" s="12" t="inlineStr">
        <is>
          <t>14</t>
        </is>
      </c>
      <c r="N3130" s="12" t="n">
        <v>1</v>
      </c>
      <c r="O3130" s="12" t="n">
        <v>1</v>
      </c>
      <c r="P3130" s="12" t="n"/>
      <c r="Q3130" s="12" t="n"/>
      <c r="R3130" s="12" t="n"/>
      <c r="S3130" s="12" t="inlineStr">
        <is>
          <t>Duct bank</t>
        </is>
      </c>
      <c r="T3130" s="16" t="n">
        <v>206</v>
      </c>
      <c r="U3130" s="16" t="n">
        <v>101</v>
      </c>
      <c r="V3130" s="16">
        <f>ROUNDUP((T3130+U3130+2*'Read Me'!$B$13)*(1+'Read Me'!$B$12),-1)</f>
        <v/>
      </c>
      <c r="W3130" s="16">
        <f>V3130*N3130*O3130</f>
        <v/>
      </c>
      <c r="X3130" s="12">
        <f>IF(LEFT(I3130,2)="MV",2*N3130*IF(L3130="1/C",O3130,1),0)</f>
        <v/>
      </c>
      <c r="Y3130" s="12">
        <f>IF(OR(LEFT(K3130,4)="LVAX",LEFT(K3130,6)="MV15AX",LEFT(K3130,4)="CTAX",LEFT(K3130,2)="W|"),2*N3130*O3130,0)</f>
        <v/>
      </c>
      <c r="Z3130" s="12" t="inlineStr"/>
      <c r="AA3130" s="12">
        <f>N3130*O3130</f>
        <v/>
      </c>
    </row>
    <row r="3131">
      <c r="A3131" s="12" t="inlineStr">
        <is>
          <t>G-FA-0003</t>
        </is>
      </c>
      <c r="B3131" s="12" t="inlineStr">
        <is>
          <t>G</t>
        </is>
      </c>
      <c r="C3131" s="12" t="inlineStr">
        <is>
          <t>Carbon capture</t>
        </is>
      </c>
      <c r="D3131" s="12" t="inlineStr">
        <is>
          <t>Fire alarm / F&amp;G loop (to the local FACP / F&amp;G node)</t>
        </is>
      </c>
      <c r="E3131" s="12" t="inlineStr"/>
      <c r="F3131" s="12" t="inlineStr">
        <is>
          <t>CCS F&amp;G / control</t>
        </is>
      </c>
      <c r="G3131" s="12" t="inlineStr"/>
      <c r="H3131" s="12" t="inlineStr">
        <is>
          <t>CT MCC / VFD e-house</t>
        </is>
      </c>
      <c r="I3131" s="12" t="inlineStr">
        <is>
          <t>Fire alarm</t>
        </is>
      </c>
      <c r="J3131" s="12" t="inlineStr">
        <is>
          <t>Fire alarm FPLR 2/C #14 shielded, red jacket (NEC 760)</t>
        </is>
      </c>
      <c r="K3131" s="12" t="inlineStr">
        <is>
          <t>FA|2/C|14</t>
        </is>
      </c>
      <c r="L3131" s="12" t="inlineStr">
        <is>
          <t>2/C</t>
        </is>
      </c>
      <c r="M3131" s="12" t="inlineStr">
        <is>
          <t>14</t>
        </is>
      </c>
      <c r="N3131" s="12" t="n">
        <v>1</v>
      </c>
      <c r="O3131" s="12" t="n">
        <v>1</v>
      </c>
      <c r="P3131" s="12" t="n"/>
      <c r="Q3131" s="12" t="n"/>
      <c r="R3131" s="12" t="n"/>
      <c r="S3131" s="12" t="inlineStr">
        <is>
          <t>Duct bank</t>
        </is>
      </c>
      <c r="T3131" s="16" t="n">
        <v>821</v>
      </c>
      <c r="U3131" s="16" t="n">
        <v>101</v>
      </c>
      <c r="V3131" s="16">
        <f>ROUNDUP((T3131+U3131+2*'Read Me'!$B$13)*(1+'Read Me'!$B$12),-1)</f>
        <v/>
      </c>
      <c r="W3131" s="16">
        <f>V3131*N3131*O3131</f>
        <v/>
      </c>
      <c r="X3131" s="12">
        <f>IF(LEFT(I3131,2)="MV",2*N3131*IF(L3131="1/C",O3131,1),0)</f>
        <v/>
      </c>
      <c r="Y3131" s="12">
        <f>IF(OR(LEFT(K3131,4)="LVAX",LEFT(K3131,6)="MV15AX",LEFT(K3131,4)="CTAX",LEFT(K3131,2)="W|"),2*N3131*O3131,0)</f>
        <v/>
      </c>
      <c r="Z3131" s="12" t="inlineStr"/>
      <c r="AA3131" s="12">
        <f>N3131*O3131</f>
        <v/>
      </c>
    </row>
    <row r="3132">
      <c r="A3132" s="12" t="inlineStr">
        <is>
          <t>G-I-0001</t>
        </is>
      </c>
      <c r="B3132" s="12" t="inlineStr">
        <is>
          <t>G</t>
        </is>
      </c>
      <c r="C3132" s="12" t="inlineStr">
        <is>
          <t>Carbon capture</t>
        </is>
      </c>
      <c r="D3132" s="12" t="inlineStr">
        <is>
          <t>Analog instrument to JB JB-ABS-A-AI01: 20 x 1 pr (field cables)</t>
        </is>
      </c>
      <c r="E3132" s="12" t="inlineStr">
        <is>
          <t>ABS-A</t>
        </is>
      </c>
      <c r="F3132" s="12" t="inlineStr">
        <is>
          <t>Absorber A (62 ft dia x 262 ft, stack to 313 ft)</t>
        </is>
      </c>
      <c r="G3132" s="12" t="inlineStr">
        <is>
          <t>JB-ABS-A-AI01</t>
        </is>
      </c>
      <c r="H3132" s="12" t="inlineStr">
        <is>
          <t>Absorber A (62 ft dia x 262 ft, stack to 313 ft)</t>
        </is>
      </c>
      <c r="I3132" s="12" t="inlineStr">
        <is>
          <t>Instrumentation</t>
        </is>
      </c>
      <c r="J3132" s="12" t="inlineStr">
        <is>
          <t>Instrumentation PLTC / TC-ER 300 V, #18 twisted shielded pairs, overall shield</t>
        </is>
      </c>
      <c r="K3132" s="12" t="inlineStr">
        <is>
          <t>PLTC|1 pr|16</t>
        </is>
      </c>
      <c r="L3132" s="12" t="inlineStr">
        <is>
          <t>1 pr</t>
        </is>
      </c>
      <c r="M3132" s="12" t="inlineStr">
        <is>
          <t>16</t>
        </is>
      </c>
      <c r="N3132" s="12" t="n">
        <v>20</v>
      </c>
      <c r="O3132" s="12" t="n">
        <v>1</v>
      </c>
      <c r="P3132" s="12" t="n"/>
      <c r="Q3132" s="12" t="n"/>
      <c r="R3132" s="12" t="n"/>
      <c r="S3132" s="12" t="inlineStr">
        <is>
          <t>Tray / conduit</t>
        </is>
      </c>
      <c r="T3132" s="16" t="n">
        <v>212</v>
      </c>
      <c r="U3132" s="16" t="n">
        <v>10</v>
      </c>
      <c r="V3132" s="16">
        <f>ROUNDUP((T3132+U3132+2*'Read Me'!$B$13)*(1+'Read Me'!$B$12),-1)</f>
        <v/>
      </c>
      <c r="W3132" s="16">
        <f>V3132*N3132*O3132</f>
        <v/>
      </c>
      <c r="X3132" s="12">
        <f>IF(LEFT(I3132,2)="MV",2*N3132*IF(L3132="1/C",O3132,1),0)</f>
        <v/>
      </c>
      <c r="Y3132" s="12">
        <f>IF(OR(LEFT(K3132,4)="LVAX",LEFT(K3132,6)="MV15AX",LEFT(K3132,4)="CTAX",LEFT(K3132,2)="W|"),2*N3132*O3132,0)</f>
        <v/>
      </c>
      <c r="Z3132" s="12" t="inlineStr">
        <is>
          <t>device-to-JB field wiring, one cable per device</t>
        </is>
      </c>
      <c r="AA3132" s="12">
        <f>N3132*O3132</f>
        <v/>
      </c>
    </row>
    <row r="3133">
      <c r="A3133" s="12" t="inlineStr">
        <is>
          <t>G-I-0002</t>
        </is>
      </c>
      <c r="B3133" s="12" t="inlineStr">
        <is>
          <t>G</t>
        </is>
      </c>
      <c r="C3133" s="12" t="inlineStr">
        <is>
          <t>Carbon capture</t>
        </is>
      </c>
      <c r="D3133" s="12" t="inlineStr">
        <is>
          <t>Home run JB-ABS-A-AI01 to the control / marshalling room</t>
        </is>
      </c>
      <c r="E3133" s="12" t="inlineStr"/>
      <c r="F3133" s="12" t="inlineStr">
        <is>
          <t>CCS F&amp;G / control</t>
        </is>
      </c>
      <c r="G3133" s="12" t="inlineStr">
        <is>
          <t>JB-ABS-A-AI01</t>
        </is>
      </c>
      <c r="H3133" s="12" t="inlineStr">
        <is>
          <t>Absorber A (62 ft dia x 262 ft, stack to 313 ft)</t>
        </is>
      </c>
      <c r="I3133" s="12" t="inlineStr">
        <is>
          <t>Instrumentation</t>
        </is>
      </c>
      <c r="J3133" s="12" t="inlineStr">
        <is>
          <t>Instrumentation PLTC / TC-ER 300 V, #18 twisted shielded pairs, overall shield</t>
        </is>
      </c>
      <c r="K3133" s="12" t="inlineStr">
        <is>
          <t>PLTC|24 pr|18</t>
        </is>
      </c>
      <c r="L3133" s="12" t="inlineStr">
        <is>
          <t>24 pr</t>
        </is>
      </c>
      <c r="M3133" s="12" t="inlineStr">
        <is>
          <t>18</t>
        </is>
      </c>
      <c r="N3133" s="12" t="n">
        <v>1</v>
      </c>
      <c r="O3133" s="12" t="n">
        <v>1</v>
      </c>
      <c r="P3133" s="12" t="n"/>
      <c r="Q3133" s="12" t="n"/>
      <c r="R3133" s="12" t="n"/>
      <c r="S3133" s="12" t="inlineStr">
        <is>
          <t>Tray</t>
        </is>
      </c>
      <c r="T3133" s="16" t="n">
        <v>939</v>
      </c>
      <c r="U3133" s="16" t="n">
        <v>149</v>
      </c>
      <c r="V3133" s="16">
        <f>ROUNDUP((T3133+U3133+2*'Read Me'!$B$13)*(1+'Read Me'!$B$12),-1)</f>
        <v/>
      </c>
      <c r="W3133" s="16">
        <f>V3133*N3133*O3133</f>
        <v/>
      </c>
      <c r="X3133" s="12">
        <f>IF(LEFT(I3133,2)="MV",2*N3133*IF(L3133="1/C",O3133,1),0)</f>
        <v/>
      </c>
      <c r="Y3133" s="12">
        <f>IF(OR(LEFT(K3133,4)="LVAX",LEFT(K3133,6)="MV15AX",LEFT(K3133,4)="CTAX",LEFT(K3133,2)="W|"),2*N3133*O3133,0)</f>
        <v/>
      </c>
      <c r="Z3133" s="12" t="inlineStr"/>
      <c r="AA3133" s="12">
        <f>N3133*O3133</f>
        <v/>
      </c>
    </row>
    <row r="3134">
      <c r="A3134" s="12" t="inlineStr">
        <is>
          <t>G-I-0003</t>
        </is>
      </c>
      <c r="B3134" s="12" t="inlineStr">
        <is>
          <t>G</t>
        </is>
      </c>
      <c r="C3134" s="12" t="inlineStr">
        <is>
          <t>Carbon capture</t>
        </is>
      </c>
      <c r="D3134" s="12" t="inlineStr">
        <is>
          <t>Analog instrument to JB JB-ABS-A-AI02: 20 x 1 pr (field cables)</t>
        </is>
      </c>
      <c r="E3134" s="12" t="inlineStr">
        <is>
          <t>ABS-A</t>
        </is>
      </c>
      <c r="F3134" s="12" t="inlineStr">
        <is>
          <t>Absorber A (62 ft dia x 262 ft, stack to 313 ft)</t>
        </is>
      </c>
      <c r="G3134" s="12" t="inlineStr">
        <is>
          <t>JB-ABS-A-AI02</t>
        </is>
      </c>
      <c r="H3134" s="12" t="inlineStr">
        <is>
          <t>Absorber A (62 ft dia x 262 ft, stack to 313 ft)</t>
        </is>
      </c>
      <c r="I3134" s="12" t="inlineStr">
        <is>
          <t>Instrumentation</t>
        </is>
      </c>
      <c r="J3134" s="12" t="inlineStr">
        <is>
          <t>Instrumentation PLTC / TC-ER 300 V, #18 twisted shielded pairs, overall shield</t>
        </is>
      </c>
      <c r="K3134" s="12" t="inlineStr">
        <is>
          <t>PLTC|1 pr|16</t>
        </is>
      </c>
      <c r="L3134" s="12" t="inlineStr">
        <is>
          <t>1 pr</t>
        </is>
      </c>
      <c r="M3134" s="12" t="inlineStr">
        <is>
          <t>16</t>
        </is>
      </c>
      <c r="N3134" s="12" t="n">
        <v>20</v>
      </c>
      <c r="O3134" s="12" t="n">
        <v>1</v>
      </c>
      <c r="P3134" s="12" t="n"/>
      <c r="Q3134" s="12" t="n"/>
      <c r="R3134" s="12" t="n"/>
      <c r="S3134" s="12" t="inlineStr">
        <is>
          <t>Tray / conduit</t>
        </is>
      </c>
      <c r="T3134" s="16" t="n">
        <v>212</v>
      </c>
      <c r="U3134" s="16" t="n">
        <v>10</v>
      </c>
      <c r="V3134" s="16">
        <f>ROUNDUP((T3134+U3134+2*'Read Me'!$B$13)*(1+'Read Me'!$B$12),-1)</f>
        <v/>
      </c>
      <c r="W3134" s="16">
        <f>V3134*N3134*O3134</f>
        <v/>
      </c>
      <c r="X3134" s="12">
        <f>IF(LEFT(I3134,2)="MV",2*N3134*IF(L3134="1/C",O3134,1),0)</f>
        <v/>
      </c>
      <c r="Y3134" s="12">
        <f>IF(OR(LEFT(K3134,4)="LVAX",LEFT(K3134,6)="MV15AX",LEFT(K3134,4)="CTAX",LEFT(K3134,2)="W|"),2*N3134*O3134,0)</f>
        <v/>
      </c>
      <c r="Z3134" s="12" t="inlineStr">
        <is>
          <t>device-to-JB field wiring, one cable per device</t>
        </is>
      </c>
      <c r="AA3134" s="12">
        <f>N3134*O3134</f>
        <v/>
      </c>
    </row>
    <row r="3135">
      <c r="A3135" s="12" t="inlineStr">
        <is>
          <t>G-I-0004</t>
        </is>
      </c>
      <c r="B3135" s="12" t="inlineStr">
        <is>
          <t>G</t>
        </is>
      </c>
      <c r="C3135" s="12" t="inlineStr">
        <is>
          <t>Carbon capture</t>
        </is>
      </c>
      <c r="D3135" s="12" t="inlineStr">
        <is>
          <t>Home run JB-ABS-A-AI02 to the control / marshalling room</t>
        </is>
      </c>
      <c r="E3135" s="12" t="inlineStr"/>
      <c r="F3135" s="12" t="inlineStr">
        <is>
          <t>CCS F&amp;G / control</t>
        </is>
      </c>
      <c r="G3135" s="12" t="inlineStr">
        <is>
          <t>JB-ABS-A-AI02</t>
        </is>
      </c>
      <c r="H3135" s="12" t="inlineStr">
        <is>
          <t>Absorber A (62 ft dia x 262 ft, stack to 313 ft)</t>
        </is>
      </c>
      <c r="I3135" s="12" t="inlineStr">
        <is>
          <t>Instrumentation</t>
        </is>
      </c>
      <c r="J3135" s="12" t="inlineStr">
        <is>
          <t>Instrumentation PLTC / TC-ER 300 V, #18 twisted shielded pairs, overall shield</t>
        </is>
      </c>
      <c r="K3135" s="12" t="inlineStr">
        <is>
          <t>PLTC|24 pr|18</t>
        </is>
      </c>
      <c r="L3135" s="12" t="inlineStr">
        <is>
          <t>24 pr</t>
        </is>
      </c>
      <c r="M3135" s="12" t="inlineStr">
        <is>
          <t>18</t>
        </is>
      </c>
      <c r="N3135" s="12" t="n">
        <v>1</v>
      </c>
      <c r="O3135" s="12" t="n">
        <v>1</v>
      </c>
      <c r="P3135" s="12" t="n"/>
      <c r="Q3135" s="12" t="n"/>
      <c r="R3135" s="12" t="n"/>
      <c r="S3135" s="12" t="inlineStr">
        <is>
          <t>Tray</t>
        </is>
      </c>
      <c r="T3135" s="16" t="n">
        <v>939</v>
      </c>
      <c r="U3135" s="16" t="n">
        <v>149</v>
      </c>
      <c r="V3135" s="16">
        <f>ROUNDUP((T3135+U3135+2*'Read Me'!$B$13)*(1+'Read Me'!$B$12),-1)</f>
        <v/>
      </c>
      <c r="W3135" s="16">
        <f>V3135*N3135*O3135</f>
        <v/>
      </c>
      <c r="X3135" s="12">
        <f>IF(LEFT(I3135,2)="MV",2*N3135*IF(L3135="1/C",O3135,1),0)</f>
        <v/>
      </c>
      <c r="Y3135" s="12">
        <f>IF(OR(LEFT(K3135,4)="LVAX",LEFT(K3135,6)="MV15AX",LEFT(K3135,4)="CTAX",LEFT(K3135,2)="W|"),2*N3135*O3135,0)</f>
        <v/>
      </c>
      <c r="Z3135" s="12" t="inlineStr"/>
      <c r="AA3135" s="12">
        <f>N3135*O3135</f>
        <v/>
      </c>
    </row>
    <row r="3136">
      <c r="A3136" s="12" t="inlineStr">
        <is>
          <t>G-I-0005</t>
        </is>
      </c>
      <c r="B3136" s="12" t="inlineStr">
        <is>
          <t>G</t>
        </is>
      </c>
      <c r="C3136" s="12" t="inlineStr">
        <is>
          <t>Carbon capture</t>
        </is>
      </c>
      <c r="D3136" s="12" t="inlineStr">
        <is>
          <t>Analog instrument to JB JB-ABS-A-AI03: 20 x 1 pr (field cables)</t>
        </is>
      </c>
      <c r="E3136" s="12" t="inlineStr">
        <is>
          <t>ABS-A</t>
        </is>
      </c>
      <c r="F3136" s="12" t="inlineStr">
        <is>
          <t>Absorber A (62 ft dia x 262 ft, stack to 313 ft)</t>
        </is>
      </c>
      <c r="G3136" s="12" t="inlineStr">
        <is>
          <t>JB-ABS-A-AI03</t>
        </is>
      </c>
      <c r="H3136" s="12" t="inlineStr">
        <is>
          <t>Absorber A (62 ft dia x 262 ft, stack to 313 ft)</t>
        </is>
      </c>
      <c r="I3136" s="12" t="inlineStr">
        <is>
          <t>Instrumentation</t>
        </is>
      </c>
      <c r="J3136" s="12" t="inlineStr">
        <is>
          <t>Instrumentation PLTC / TC-ER 300 V, #18 twisted shielded pairs, overall shield</t>
        </is>
      </c>
      <c r="K3136" s="12" t="inlineStr">
        <is>
          <t>PLTC|1 pr|16</t>
        </is>
      </c>
      <c r="L3136" s="12" t="inlineStr">
        <is>
          <t>1 pr</t>
        </is>
      </c>
      <c r="M3136" s="12" t="inlineStr">
        <is>
          <t>16</t>
        </is>
      </c>
      <c r="N3136" s="12" t="n">
        <v>20</v>
      </c>
      <c r="O3136" s="12" t="n">
        <v>1</v>
      </c>
      <c r="P3136" s="12" t="n"/>
      <c r="Q3136" s="12" t="n"/>
      <c r="R3136" s="12" t="n"/>
      <c r="S3136" s="12" t="inlineStr">
        <is>
          <t>Tray / conduit</t>
        </is>
      </c>
      <c r="T3136" s="16" t="n">
        <v>212</v>
      </c>
      <c r="U3136" s="16" t="n">
        <v>10</v>
      </c>
      <c r="V3136" s="16">
        <f>ROUNDUP((T3136+U3136+2*'Read Me'!$B$13)*(1+'Read Me'!$B$12),-1)</f>
        <v/>
      </c>
      <c r="W3136" s="16">
        <f>V3136*N3136*O3136</f>
        <v/>
      </c>
      <c r="X3136" s="12">
        <f>IF(LEFT(I3136,2)="MV",2*N3136*IF(L3136="1/C",O3136,1),0)</f>
        <v/>
      </c>
      <c r="Y3136" s="12">
        <f>IF(OR(LEFT(K3136,4)="LVAX",LEFT(K3136,6)="MV15AX",LEFT(K3136,4)="CTAX",LEFT(K3136,2)="W|"),2*N3136*O3136,0)</f>
        <v/>
      </c>
      <c r="Z3136" s="12" t="inlineStr">
        <is>
          <t>device-to-JB field wiring, one cable per device</t>
        </is>
      </c>
      <c r="AA3136" s="12">
        <f>N3136*O3136</f>
        <v/>
      </c>
    </row>
    <row r="3137">
      <c r="A3137" s="12" t="inlineStr">
        <is>
          <t>G-I-0006</t>
        </is>
      </c>
      <c r="B3137" s="12" t="inlineStr">
        <is>
          <t>G</t>
        </is>
      </c>
      <c r="C3137" s="12" t="inlineStr">
        <is>
          <t>Carbon capture</t>
        </is>
      </c>
      <c r="D3137" s="12" t="inlineStr">
        <is>
          <t>Home run JB-ABS-A-AI03 to the control / marshalling room</t>
        </is>
      </c>
      <c r="E3137" s="12" t="inlineStr"/>
      <c r="F3137" s="12" t="inlineStr">
        <is>
          <t>CCS F&amp;G / control</t>
        </is>
      </c>
      <c r="G3137" s="12" t="inlineStr">
        <is>
          <t>JB-ABS-A-AI03</t>
        </is>
      </c>
      <c r="H3137" s="12" t="inlineStr">
        <is>
          <t>Absorber A (62 ft dia x 262 ft, stack to 313 ft)</t>
        </is>
      </c>
      <c r="I3137" s="12" t="inlineStr">
        <is>
          <t>Instrumentation</t>
        </is>
      </c>
      <c r="J3137" s="12" t="inlineStr">
        <is>
          <t>Instrumentation PLTC / TC-ER 300 V, #18 twisted shielded pairs, overall shield</t>
        </is>
      </c>
      <c r="K3137" s="12" t="inlineStr">
        <is>
          <t>PLTC|24 pr|18</t>
        </is>
      </c>
      <c r="L3137" s="12" t="inlineStr">
        <is>
          <t>24 pr</t>
        </is>
      </c>
      <c r="M3137" s="12" t="inlineStr">
        <is>
          <t>18</t>
        </is>
      </c>
      <c r="N3137" s="12" t="n">
        <v>1</v>
      </c>
      <c r="O3137" s="12" t="n">
        <v>1</v>
      </c>
      <c r="P3137" s="12" t="n"/>
      <c r="Q3137" s="12" t="n"/>
      <c r="R3137" s="12" t="n"/>
      <c r="S3137" s="12" t="inlineStr">
        <is>
          <t>Tray</t>
        </is>
      </c>
      <c r="T3137" s="16" t="n">
        <v>939</v>
      </c>
      <c r="U3137" s="16" t="n">
        <v>149</v>
      </c>
      <c r="V3137" s="16">
        <f>ROUNDUP((T3137+U3137+2*'Read Me'!$B$13)*(1+'Read Me'!$B$12),-1)</f>
        <v/>
      </c>
      <c r="W3137" s="16">
        <f>V3137*N3137*O3137</f>
        <v/>
      </c>
      <c r="X3137" s="12">
        <f>IF(LEFT(I3137,2)="MV",2*N3137*IF(L3137="1/C",O3137,1),0)</f>
        <v/>
      </c>
      <c r="Y3137" s="12">
        <f>IF(OR(LEFT(K3137,4)="LVAX",LEFT(K3137,6)="MV15AX",LEFT(K3137,4)="CTAX",LEFT(K3137,2)="W|"),2*N3137*O3137,0)</f>
        <v/>
      </c>
      <c r="Z3137" s="12" t="inlineStr"/>
      <c r="AA3137" s="12">
        <f>N3137*O3137</f>
        <v/>
      </c>
    </row>
    <row r="3138">
      <c r="A3138" s="12" t="inlineStr">
        <is>
          <t>G-I-0007</t>
        </is>
      </c>
      <c r="B3138" s="12" t="inlineStr">
        <is>
          <t>G</t>
        </is>
      </c>
      <c r="C3138" s="12" t="inlineStr">
        <is>
          <t>Carbon capture</t>
        </is>
      </c>
      <c r="D3138" s="12" t="inlineStr">
        <is>
          <t>Discrete device to JB JB-ABS-A-DI01: 20 x 1 pr (field cables)</t>
        </is>
      </c>
      <c r="E3138" s="12" t="inlineStr">
        <is>
          <t>ABS-A</t>
        </is>
      </c>
      <c r="F3138" s="12" t="inlineStr">
        <is>
          <t>Absorber A (62 ft dia x 262 ft, stack to 313 ft)</t>
        </is>
      </c>
      <c r="G3138" s="12" t="inlineStr">
        <is>
          <t>JB-ABS-A-DI01</t>
        </is>
      </c>
      <c r="H3138" s="12" t="inlineStr">
        <is>
          <t>Absorber A (62 ft dia x 262 ft, stack to 313 ft)</t>
        </is>
      </c>
      <c r="I3138" s="12" t="inlineStr">
        <is>
          <t>Instrumentation</t>
        </is>
      </c>
      <c r="J3138" s="12" t="inlineStr">
        <is>
          <t>Instrumentation PLTC / TC-ER 300 V, #18 twisted shielded pairs, overall shield</t>
        </is>
      </c>
      <c r="K3138" s="12" t="inlineStr">
        <is>
          <t>PLTC|1 pr|16</t>
        </is>
      </c>
      <c r="L3138" s="12" t="inlineStr">
        <is>
          <t>1 pr</t>
        </is>
      </c>
      <c r="M3138" s="12" t="inlineStr">
        <is>
          <t>16</t>
        </is>
      </c>
      <c r="N3138" s="12" t="n">
        <v>20</v>
      </c>
      <c r="O3138" s="12" t="n">
        <v>1</v>
      </c>
      <c r="P3138" s="12" t="n"/>
      <c r="Q3138" s="12" t="n"/>
      <c r="R3138" s="12" t="n"/>
      <c r="S3138" s="12" t="inlineStr">
        <is>
          <t>Tray / conduit</t>
        </is>
      </c>
      <c r="T3138" s="16" t="n">
        <v>212</v>
      </c>
      <c r="U3138" s="16" t="n">
        <v>10</v>
      </c>
      <c r="V3138" s="16">
        <f>ROUNDUP((T3138+U3138+2*'Read Me'!$B$13)*(1+'Read Me'!$B$12),-1)</f>
        <v/>
      </c>
      <c r="W3138" s="16">
        <f>V3138*N3138*O3138</f>
        <v/>
      </c>
      <c r="X3138" s="12">
        <f>IF(LEFT(I3138,2)="MV",2*N3138*IF(L3138="1/C",O3138,1),0)</f>
        <v/>
      </c>
      <c r="Y3138" s="12">
        <f>IF(OR(LEFT(K3138,4)="LVAX",LEFT(K3138,6)="MV15AX",LEFT(K3138,4)="CTAX",LEFT(K3138,2)="W|"),2*N3138*O3138,0)</f>
        <v/>
      </c>
      <c r="Z3138" s="12" t="inlineStr">
        <is>
          <t>device-to-JB field wiring, one cable per device</t>
        </is>
      </c>
      <c r="AA3138" s="12">
        <f>N3138*O3138</f>
        <v/>
      </c>
    </row>
    <row r="3139">
      <c r="A3139" s="12" t="inlineStr">
        <is>
          <t>G-I-0008</t>
        </is>
      </c>
      <c r="B3139" s="12" t="inlineStr">
        <is>
          <t>G</t>
        </is>
      </c>
      <c r="C3139" s="12" t="inlineStr">
        <is>
          <t>Carbon capture</t>
        </is>
      </c>
      <c r="D3139" s="12" t="inlineStr">
        <is>
          <t>Home run JB-ABS-A-DI01 to the control / marshalling room</t>
        </is>
      </c>
      <c r="E3139" s="12" t="inlineStr"/>
      <c r="F3139" s="12" t="inlineStr">
        <is>
          <t>CCS F&amp;G / control</t>
        </is>
      </c>
      <c r="G3139" s="12" t="inlineStr">
        <is>
          <t>JB-ABS-A-DI01</t>
        </is>
      </c>
      <c r="H3139" s="12" t="inlineStr">
        <is>
          <t>Absorber A (62 ft dia x 262 ft, stack to 313 ft)</t>
        </is>
      </c>
      <c r="I3139" s="12" t="inlineStr">
        <is>
          <t>Instrumentation</t>
        </is>
      </c>
      <c r="J3139" s="12" t="inlineStr">
        <is>
          <t>Instrumentation PLTC / TC-ER 300 V, #18 twisted shielded pairs, overall shield</t>
        </is>
      </c>
      <c r="K3139" s="12" t="inlineStr">
        <is>
          <t>PLTC|24 pr|18</t>
        </is>
      </c>
      <c r="L3139" s="12" t="inlineStr">
        <is>
          <t>24 pr</t>
        </is>
      </c>
      <c r="M3139" s="12" t="inlineStr">
        <is>
          <t>18</t>
        </is>
      </c>
      <c r="N3139" s="12" t="n">
        <v>1</v>
      </c>
      <c r="O3139" s="12" t="n">
        <v>1</v>
      </c>
      <c r="P3139" s="12" t="n"/>
      <c r="Q3139" s="12" t="n"/>
      <c r="R3139" s="12" t="n"/>
      <c r="S3139" s="12" t="inlineStr">
        <is>
          <t>Tray</t>
        </is>
      </c>
      <c r="T3139" s="16" t="n">
        <v>939</v>
      </c>
      <c r="U3139" s="16" t="n">
        <v>149</v>
      </c>
      <c r="V3139" s="16">
        <f>ROUNDUP((T3139+U3139+2*'Read Me'!$B$13)*(1+'Read Me'!$B$12),-1)</f>
        <v/>
      </c>
      <c r="W3139" s="16">
        <f>V3139*N3139*O3139</f>
        <v/>
      </c>
      <c r="X3139" s="12">
        <f>IF(LEFT(I3139,2)="MV",2*N3139*IF(L3139="1/C",O3139,1),0)</f>
        <v/>
      </c>
      <c r="Y3139" s="12">
        <f>IF(OR(LEFT(K3139,4)="LVAX",LEFT(K3139,6)="MV15AX",LEFT(K3139,4)="CTAX",LEFT(K3139,2)="W|"),2*N3139*O3139,0)</f>
        <v/>
      </c>
      <c r="Z3139" s="12" t="inlineStr"/>
      <c r="AA3139" s="12">
        <f>N3139*O3139</f>
        <v/>
      </c>
    </row>
    <row r="3140">
      <c r="A3140" s="12" t="inlineStr">
        <is>
          <t>G-I-0009</t>
        </is>
      </c>
      <c r="B3140" s="12" t="inlineStr">
        <is>
          <t>G</t>
        </is>
      </c>
      <c r="C3140" s="12" t="inlineStr">
        <is>
          <t>Carbon capture</t>
        </is>
      </c>
      <c r="D3140" s="12" t="inlineStr">
        <is>
          <t>Discrete device to JB JB-ABS-A-DI02: 20 x 1 pr (field cables)</t>
        </is>
      </c>
      <c r="E3140" s="12" t="inlineStr">
        <is>
          <t>ABS-A</t>
        </is>
      </c>
      <c r="F3140" s="12" t="inlineStr">
        <is>
          <t>Absorber A (62 ft dia x 262 ft, stack to 313 ft)</t>
        </is>
      </c>
      <c r="G3140" s="12" t="inlineStr">
        <is>
          <t>JB-ABS-A-DI02</t>
        </is>
      </c>
      <c r="H3140" s="12" t="inlineStr">
        <is>
          <t>Absorber A (62 ft dia x 262 ft, stack to 313 ft)</t>
        </is>
      </c>
      <c r="I3140" s="12" t="inlineStr">
        <is>
          <t>Instrumentation</t>
        </is>
      </c>
      <c r="J3140" s="12" t="inlineStr">
        <is>
          <t>Instrumentation PLTC / TC-ER 300 V, #18 twisted shielded pairs, overall shield</t>
        </is>
      </c>
      <c r="K3140" s="12" t="inlineStr">
        <is>
          <t>PLTC|1 pr|16</t>
        </is>
      </c>
      <c r="L3140" s="12" t="inlineStr">
        <is>
          <t>1 pr</t>
        </is>
      </c>
      <c r="M3140" s="12" t="inlineStr">
        <is>
          <t>16</t>
        </is>
      </c>
      <c r="N3140" s="12" t="n">
        <v>20</v>
      </c>
      <c r="O3140" s="12" t="n">
        <v>1</v>
      </c>
      <c r="P3140" s="12" t="n"/>
      <c r="Q3140" s="12" t="n"/>
      <c r="R3140" s="12" t="n"/>
      <c r="S3140" s="12" t="inlineStr">
        <is>
          <t>Tray / conduit</t>
        </is>
      </c>
      <c r="T3140" s="16" t="n">
        <v>212</v>
      </c>
      <c r="U3140" s="16" t="n">
        <v>10</v>
      </c>
      <c r="V3140" s="16">
        <f>ROUNDUP((T3140+U3140+2*'Read Me'!$B$13)*(1+'Read Me'!$B$12),-1)</f>
        <v/>
      </c>
      <c r="W3140" s="16">
        <f>V3140*N3140*O3140</f>
        <v/>
      </c>
      <c r="X3140" s="12">
        <f>IF(LEFT(I3140,2)="MV",2*N3140*IF(L3140="1/C",O3140,1),0)</f>
        <v/>
      </c>
      <c r="Y3140" s="12">
        <f>IF(OR(LEFT(K3140,4)="LVAX",LEFT(K3140,6)="MV15AX",LEFT(K3140,4)="CTAX",LEFT(K3140,2)="W|"),2*N3140*O3140,0)</f>
        <v/>
      </c>
      <c r="Z3140" s="12" t="inlineStr">
        <is>
          <t>device-to-JB field wiring, one cable per device</t>
        </is>
      </c>
      <c r="AA3140" s="12">
        <f>N3140*O3140</f>
        <v/>
      </c>
    </row>
    <row r="3141">
      <c r="A3141" s="12" t="inlineStr">
        <is>
          <t>G-I-0010</t>
        </is>
      </c>
      <c r="B3141" s="12" t="inlineStr">
        <is>
          <t>G</t>
        </is>
      </c>
      <c r="C3141" s="12" t="inlineStr">
        <is>
          <t>Carbon capture</t>
        </is>
      </c>
      <c r="D3141" s="12" t="inlineStr">
        <is>
          <t>Home run JB-ABS-A-DI02 to the control / marshalling room</t>
        </is>
      </c>
      <c r="E3141" s="12" t="inlineStr"/>
      <c r="F3141" s="12" t="inlineStr">
        <is>
          <t>CCS F&amp;G / control</t>
        </is>
      </c>
      <c r="G3141" s="12" t="inlineStr">
        <is>
          <t>JB-ABS-A-DI02</t>
        </is>
      </c>
      <c r="H3141" s="12" t="inlineStr">
        <is>
          <t>Absorber A (62 ft dia x 262 ft, stack to 313 ft)</t>
        </is>
      </c>
      <c r="I3141" s="12" t="inlineStr">
        <is>
          <t>Instrumentation</t>
        </is>
      </c>
      <c r="J3141" s="12" t="inlineStr">
        <is>
          <t>Instrumentation PLTC / TC-ER 300 V, #18 twisted shielded pairs, overall shield</t>
        </is>
      </c>
      <c r="K3141" s="12" t="inlineStr">
        <is>
          <t>PLTC|24 pr|18</t>
        </is>
      </c>
      <c r="L3141" s="12" t="inlineStr">
        <is>
          <t>24 pr</t>
        </is>
      </c>
      <c r="M3141" s="12" t="inlineStr">
        <is>
          <t>18</t>
        </is>
      </c>
      <c r="N3141" s="12" t="n">
        <v>1</v>
      </c>
      <c r="O3141" s="12" t="n">
        <v>1</v>
      </c>
      <c r="P3141" s="12" t="n"/>
      <c r="Q3141" s="12" t="n"/>
      <c r="R3141" s="12" t="n"/>
      <c r="S3141" s="12" t="inlineStr">
        <is>
          <t>Tray</t>
        </is>
      </c>
      <c r="T3141" s="16" t="n">
        <v>939</v>
      </c>
      <c r="U3141" s="16" t="n">
        <v>149</v>
      </c>
      <c r="V3141" s="16">
        <f>ROUNDUP((T3141+U3141+2*'Read Me'!$B$13)*(1+'Read Me'!$B$12),-1)</f>
        <v/>
      </c>
      <c r="W3141" s="16">
        <f>V3141*N3141*O3141</f>
        <v/>
      </c>
      <c r="X3141" s="12">
        <f>IF(LEFT(I3141,2)="MV",2*N3141*IF(L3141="1/C",O3141,1),0)</f>
        <v/>
      </c>
      <c r="Y3141" s="12">
        <f>IF(OR(LEFT(K3141,4)="LVAX",LEFT(K3141,6)="MV15AX",LEFT(K3141,4)="CTAX",LEFT(K3141,2)="W|"),2*N3141*O3141,0)</f>
        <v/>
      </c>
      <c r="Z3141" s="12" t="inlineStr"/>
      <c r="AA3141" s="12">
        <f>N3141*O3141</f>
        <v/>
      </c>
    </row>
    <row r="3142">
      <c r="A3142" s="12" t="inlineStr">
        <is>
          <t>G-I-0011</t>
        </is>
      </c>
      <c r="B3142" s="12" t="inlineStr">
        <is>
          <t>G</t>
        </is>
      </c>
      <c r="C3142" s="12" t="inlineStr">
        <is>
          <t>Carbon capture</t>
        </is>
      </c>
      <c r="D3142" s="12" t="inlineStr">
        <is>
          <t>Analog instrument to JB JB-Absorber A interco-AI01: 15 x 1 pr (field cables)</t>
        </is>
      </c>
      <c r="E3142" s="12" t="inlineStr"/>
      <c r="F3142" s="12" t="inlineStr">
        <is>
          <t>Absorber A intercooler (pumps + plate exchanger)</t>
        </is>
      </c>
      <c r="G3142" s="12" t="inlineStr">
        <is>
          <t>JB-Absorber A interco-AI01</t>
        </is>
      </c>
      <c r="H3142" s="12" t="inlineStr">
        <is>
          <t>Absorber A intercooler (pumps + plate exchanger)</t>
        </is>
      </c>
      <c r="I3142" s="12" t="inlineStr">
        <is>
          <t>Instrumentation</t>
        </is>
      </c>
      <c r="J3142" s="12" t="inlineStr">
        <is>
          <t>Instrumentation PLTC / TC-ER 300 V, #18 twisted shielded pairs, overall shield</t>
        </is>
      </c>
      <c r="K3142" s="12" t="inlineStr">
        <is>
          <t>PLTC|1 pr|16</t>
        </is>
      </c>
      <c r="L3142" s="12" t="inlineStr">
        <is>
          <t>1 pr</t>
        </is>
      </c>
      <c r="M3142" s="12" t="inlineStr">
        <is>
          <t>16</t>
        </is>
      </c>
      <c r="N3142" s="12" t="n">
        <v>15</v>
      </c>
      <c r="O3142" s="12" t="n">
        <v>1</v>
      </c>
      <c r="P3142" s="12" t="n"/>
      <c r="Q3142" s="12" t="n"/>
      <c r="R3142" s="12" t="n"/>
      <c r="S3142" s="12" t="inlineStr">
        <is>
          <t>Tray / conduit</t>
        </is>
      </c>
      <c r="T3142" s="16" t="n">
        <v>55</v>
      </c>
      <c r="U3142" s="16" t="n">
        <v>10</v>
      </c>
      <c r="V3142" s="16">
        <f>ROUNDUP((T3142+U3142+2*'Read Me'!$B$13)*(1+'Read Me'!$B$12),-1)</f>
        <v/>
      </c>
      <c r="W3142" s="16">
        <f>V3142*N3142*O3142</f>
        <v/>
      </c>
      <c r="X3142" s="12">
        <f>IF(LEFT(I3142,2)="MV",2*N3142*IF(L3142="1/C",O3142,1),0)</f>
        <v/>
      </c>
      <c r="Y3142" s="12">
        <f>IF(OR(LEFT(K3142,4)="LVAX",LEFT(K3142,6)="MV15AX",LEFT(K3142,4)="CTAX",LEFT(K3142,2)="W|"),2*N3142*O3142,0)</f>
        <v/>
      </c>
      <c r="Z3142" s="12" t="inlineStr">
        <is>
          <t>device-to-JB field wiring, one cable per device</t>
        </is>
      </c>
      <c r="AA3142" s="12">
        <f>N3142*O3142</f>
        <v/>
      </c>
    </row>
    <row r="3143">
      <c r="A3143" s="12" t="inlineStr">
        <is>
          <t>G-I-0012</t>
        </is>
      </c>
      <c r="B3143" s="12" t="inlineStr">
        <is>
          <t>G</t>
        </is>
      </c>
      <c r="C3143" s="12" t="inlineStr">
        <is>
          <t>Carbon capture</t>
        </is>
      </c>
      <c r="D3143" s="12" t="inlineStr">
        <is>
          <t>Home run JB-Absorber A interco-AI01 to the control / marshalling room</t>
        </is>
      </c>
      <c r="E3143" s="12" t="inlineStr"/>
      <c r="F3143" s="12" t="inlineStr">
        <is>
          <t>CCS F&amp;G / control</t>
        </is>
      </c>
      <c r="G3143" s="12" t="inlineStr">
        <is>
          <t>JB-Absorber A interco-AI01</t>
        </is>
      </c>
      <c r="H3143" s="12" t="inlineStr">
        <is>
          <t>Absorber A intercooler (pumps + plate exchanger)</t>
        </is>
      </c>
      <c r="I3143" s="12" t="inlineStr">
        <is>
          <t>Instrumentation</t>
        </is>
      </c>
      <c r="J3143" s="12" t="inlineStr">
        <is>
          <t>Instrumentation PLTC / TC-ER 300 V, #18 twisted shielded pairs, overall shield</t>
        </is>
      </c>
      <c r="K3143" s="12" t="inlineStr">
        <is>
          <t>PLTC|24 pr|18</t>
        </is>
      </c>
      <c r="L3143" s="12" t="inlineStr">
        <is>
          <t>24 pr</t>
        </is>
      </c>
      <c r="M3143" s="12" t="inlineStr">
        <is>
          <t>18</t>
        </is>
      </c>
      <c r="N3143" s="12" t="n">
        <v>1</v>
      </c>
      <c r="O3143" s="12" t="n">
        <v>1</v>
      </c>
      <c r="P3143" s="12" t="n"/>
      <c r="Q3143" s="12" t="n"/>
      <c r="R3143" s="12" t="n"/>
      <c r="S3143" s="12" t="inlineStr">
        <is>
          <t>Tray</t>
        </is>
      </c>
      <c r="T3143" s="16" t="n">
        <v>921</v>
      </c>
      <c r="U3143" s="16" t="n">
        <v>150</v>
      </c>
      <c r="V3143" s="16">
        <f>ROUNDUP((T3143+U3143+2*'Read Me'!$B$13)*(1+'Read Me'!$B$12),-1)</f>
        <v/>
      </c>
      <c r="W3143" s="16">
        <f>V3143*N3143*O3143</f>
        <v/>
      </c>
      <c r="X3143" s="12">
        <f>IF(LEFT(I3143,2)="MV",2*N3143*IF(L3143="1/C",O3143,1),0)</f>
        <v/>
      </c>
      <c r="Y3143" s="12">
        <f>IF(OR(LEFT(K3143,4)="LVAX",LEFT(K3143,6)="MV15AX",LEFT(K3143,4)="CTAX",LEFT(K3143,2)="W|"),2*N3143*O3143,0)</f>
        <v/>
      </c>
      <c r="Z3143" s="12" t="inlineStr"/>
      <c r="AA3143" s="12">
        <f>N3143*O3143</f>
        <v/>
      </c>
    </row>
    <row r="3144">
      <c r="A3144" s="12" t="inlineStr">
        <is>
          <t>G-I-0013</t>
        </is>
      </c>
      <c r="B3144" s="12" t="inlineStr">
        <is>
          <t>G</t>
        </is>
      </c>
      <c r="C3144" s="12" t="inlineStr">
        <is>
          <t>Carbon capture</t>
        </is>
      </c>
      <c r="D3144" s="12" t="inlineStr">
        <is>
          <t>Discrete device to JB JB-Absorber A interco-DI01: 15 x 1 pr (field cables)</t>
        </is>
      </c>
      <c r="E3144" s="12" t="inlineStr"/>
      <c r="F3144" s="12" t="inlineStr">
        <is>
          <t>Absorber A intercooler (pumps + plate exchanger)</t>
        </is>
      </c>
      <c r="G3144" s="12" t="inlineStr">
        <is>
          <t>JB-Absorber A interco-DI01</t>
        </is>
      </c>
      <c r="H3144" s="12" t="inlineStr">
        <is>
          <t>Absorber A intercooler (pumps + plate exchanger)</t>
        </is>
      </c>
      <c r="I3144" s="12" t="inlineStr">
        <is>
          <t>Instrumentation</t>
        </is>
      </c>
      <c r="J3144" s="12" t="inlineStr">
        <is>
          <t>Instrumentation PLTC / TC-ER 300 V, #18 twisted shielded pairs, overall shield</t>
        </is>
      </c>
      <c r="K3144" s="12" t="inlineStr">
        <is>
          <t>PLTC|1 pr|16</t>
        </is>
      </c>
      <c r="L3144" s="12" t="inlineStr">
        <is>
          <t>1 pr</t>
        </is>
      </c>
      <c r="M3144" s="12" t="inlineStr">
        <is>
          <t>16</t>
        </is>
      </c>
      <c r="N3144" s="12" t="n">
        <v>15</v>
      </c>
      <c r="O3144" s="12" t="n">
        <v>1</v>
      </c>
      <c r="P3144" s="12" t="n"/>
      <c r="Q3144" s="12" t="n"/>
      <c r="R3144" s="12" t="n"/>
      <c r="S3144" s="12" t="inlineStr">
        <is>
          <t>Tray / conduit</t>
        </is>
      </c>
      <c r="T3144" s="16" t="n">
        <v>55</v>
      </c>
      <c r="U3144" s="16" t="n">
        <v>10</v>
      </c>
      <c r="V3144" s="16">
        <f>ROUNDUP((T3144+U3144+2*'Read Me'!$B$13)*(1+'Read Me'!$B$12),-1)</f>
        <v/>
      </c>
      <c r="W3144" s="16">
        <f>V3144*N3144*O3144</f>
        <v/>
      </c>
      <c r="X3144" s="12">
        <f>IF(LEFT(I3144,2)="MV",2*N3144*IF(L3144="1/C",O3144,1),0)</f>
        <v/>
      </c>
      <c r="Y3144" s="12">
        <f>IF(OR(LEFT(K3144,4)="LVAX",LEFT(K3144,6)="MV15AX",LEFT(K3144,4)="CTAX",LEFT(K3144,2)="W|"),2*N3144*O3144,0)</f>
        <v/>
      </c>
      <c r="Z3144" s="12" t="inlineStr">
        <is>
          <t>device-to-JB field wiring, one cable per device</t>
        </is>
      </c>
      <c r="AA3144" s="12">
        <f>N3144*O3144</f>
        <v/>
      </c>
    </row>
    <row r="3145">
      <c r="A3145" s="12" t="inlineStr">
        <is>
          <t>G-I-0014</t>
        </is>
      </c>
      <c r="B3145" s="12" t="inlineStr">
        <is>
          <t>G</t>
        </is>
      </c>
      <c r="C3145" s="12" t="inlineStr">
        <is>
          <t>Carbon capture</t>
        </is>
      </c>
      <c r="D3145" s="12" t="inlineStr">
        <is>
          <t>Home run JB-Absorber A interco-DI01 to the control / marshalling room</t>
        </is>
      </c>
      <c r="E3145" s="12" t="inlineStr"/>
      <c r="F3145" s="12" t="inlineStr">
        <is>
          <t>CCS F&amp;G / control</t>
        </is>
      </c>
      <c r="G3145" s="12" t="inlineStr">
        <is>
          <t>JB-Absorber A interco-DI01</t>
        </is>
      </c>
      <c r="H3145" s="12" t="inlineStr">
        <is>
          <t>Absorber A intercooler (pumps + plate exchanger)</t>
        </is>
      </c>
      <c r="I3145" s="12" t="inlineStr">
        <is>
          <t>Instrumentation</t>
        </is>
      </c>
      <c r="J3145" s="12" t="inlineStr">
        <is>
          <t>Instrumentation PLTC / TC-ER 300 V, #18 twisted shielded pairs, overall shield</t>
        </is>
      </c>
      <c r="K3145" s="12" t="inlineStr">
        <is>
          <t>PLTC|24 pr|18</t>
        </is>
      </c>
      <c r="L3145" s="12" t="inlineStr">
        <is>
          <t>24 pr</t>
        </is>
      </c>
      <c r="M3145" s="12" t="inlineStr">
        <is>
          <t>18</t>
        </is>
      </c>
      <c r="N3145" s="12" t="n">
        <v>1</v>
      </c>
      <c r="O3145" s="12" t="n">
        <v>1</v>
      </c>
      <c r="P3145" s="12" t="n"/>
      <c r="Q3145" s="12" t="n"/>
      <c r="R3145" s="12" t="n"/>
      <c r="S3145" s="12" t="inlineStr">
        <is>
          <t>Tray</t>
        </is>
      </c>
      <c r="T3145" s="16" t="n">
        <v>921</v>
      </c>
      <c r="U3145" s="16" t="n">
        <v>150</v>
      </c>
      <c r="V3145" s="16">
        <f>ROUNDUP((T3145+U3145+2*'Read Me'!$B$13)*(1+'Read Me'!$B$12),-1)</f>
        <v/>
      </c>
      <c r="W3145" s="16">
        <f>V3145*N3145*O3145</f>
        <v/>
      </c>
      <c r="X3145" s="12">
        <f>IF(LEFT(I3145,2)="MV",2*N3145*IF(L3145="1/C",O3145,1),0)</f>
        <v/>
      </c>
      <c r="Y3145" s="12">
        <f>IF(OR(LEFT(K3145,4)="LVAX",LEFT(K3145,6)="MV15AX",LEFT(K3145,4)="CTAX",LEFT(K3145,2)="W|"),2*N3145*O3145,0)</f>
        <v/>
      </c>
      <c r="Z3145" s="12" t="inlineStr"/>
      <c r="AA3145" s="12">
        <f>N3145*O3145</f>
        <v/>
      </c>
    </row>
    <row r="3146">
      <c r="A3146" s="12" t="inlineStr">
        <is>
          <t>G-I-0015</t>
        </is>
      </c>
      <c r="B3146" s="12" t="inlineStr">
        <is>
          <t>G</t>
        </is>
      </c>
      <c r="C3146" s="12" t="inlineStr">
        <is>
          <t>Carbon capture</t>
        </is>
      </c>
      <c r="D3146" s="12" t="inlineStr">
        <is>
          <t>Analog instrument to JB JB-ABS-B-AI01: 20 x 1 pr (field cables)</t>
        </is>
      </c>
      <c r="E3146" s="12" t="inlineStr">
        <is>
          <t>ABS-B</t>
        </is>
      </c>
      <c r="F3146" s="12" t="inlineStr">
        <is>
          <t>Absorber B (62 ft dia x 262 ft, stack to 313 ft)</t>
        </is>
      </c>
      <c r="G3146" s="12" t="inlineStr">
        <is>
          <t>JB-ABS-B-AI01</t>
        </is>
      </c>
      <c r="H3146" s="12" t="inlineStr">
        <is>
          <t>Absorber B (62 ft dia x 262 ft, stack to 313 ft)</t>
        </is>
      </c>
      <c r="I3146" s="12" t="inlineStr">
        <is>
          <t>Instrumentation</t>
        </is>
      </c>
      <c r="J3146" s="12" t="inlineStr">
        <is>
          <t>Instrumentation PLTC / TC-ER 300 V, #18 twisted shielded pairs, overall shield</t>
        </is>
      </c>
      <c r="K3146" s="12" t="inlineStr">
        <is>
          <t>PLTC|1 pr|16</t>
        </is>
      </c>
      <c r="L3146" s="12" t="inlineStr">
        <is>
          <t>1 pr</t>
        </is>
      </c>
      <c r="M3146" s="12" t="inlineStr">
        <is>
          <t>16</t>
        </is>
      </c>
      <c r="N3146" s="12" t="n">
        <v>20</v>
      </c>
      <c r="O3146" s="12" t="n">
        <v>1</v>
      </c>
      <c r="P3146" s="12" t="n"/>
      <c r="Q3146" s="12" t="n"/>
      <c r="R3146" s="12" t="n"/>
      <c r="S3146" s="12" t="inlineStr">
        <is>
          <t>Tray / conduit</t>
        </is>
      </c>
      <c r="T3146" s="16" t="n">
        <v>212</v>
      </c>
      <c r="U3146" s="16" t="n">
        <v>10</v>
      </c>
      <c r="V3146" s="16">
        <f>ROUNDUP((T3146+U3146+2*'Read Me'!$B$13)*(1+'Read Me'!$B$12),-1)</f>
        <v/>
      </c>
      <c r="W3146" s="16">
        <f>V3146*N3146*O3146</f>
        <v/>
      </c>
      <c r="X3146" s="12">
        <f>IF(LEFT(I3146,2)="MV",2*N3146*IF(L3146="1/C",O3146,1),0)</f>
        <v/>
      </c>
      <c r="Y3146" s="12">
        <f>IF(OR(LEFT(K3146,4)="LVAX",LEFT(K3146,6)="MV15AX",LEFT(K3146,4)="CTAX",LEFT(K3146,2)="W|"),2*N3146*O3146,0)</f>
        <v/>
      </c>
      <c r="Z3146" s="12" t="inlineStr">
        <is>
          <t>device-to-JB field wiring, one cable per device</t>
        </is>
      </c>
      <c r="AA3146" s="12">
        <f>N3146*O3146</f>
        <v/>
      </c>
    </row>
    <row r="3147">
      <c r="A3147" s="12" t="inlineStr">
        <is>
          <t>G-I-0016</t>
        </is>
      </c>
      <c r="B3147" s="12" t="inlineStr">
        <is>
          <t>G</t>
        </is>
      </c>
      <c r="C3147" s="12" t="inlineStr">
        <is>
          <t>Carbon capture</t>
        </is>
      </c>
      <c r="D3147" s="12" t="inlineStr">
        <is>
          <t>Home run JB-ABS-B-AI01 to the control / marshalling room</t>
        </is>
      </c>
      <c r="E3147" s="12" t="inlineStr"/>
      <c r="F3147" s="12" t="inlineStr">
        <is>
          <t>CCS F&amp;G / control</t>
        </is>
      </c>
      <c r="G3147" s="12" t="inlineStr">
        <is>
          <t>JB-ABS-B-AI01</t>
        </is>
      </c>
      <c r="H3147" s="12" t="inlineStr">
        <is>
          <t>Absorber B (62 ft dia x 262 ft, stack to 313 ft)</t>
        </is>
      </c>
      <c r="I3147" s="12" t="inlineStr">
        <is>
          <t>Instrumentation</t>
        </is>
      </c>
      <c r="J3147" s="12" t="inlineStr">
        <is>
          <t>Instrumentation PLTC / TC-ER 300 V, #18 twisted shielded pairs, overall shield</t>
        </is>
      </c>
      <c r="K3147" s="12" t="inlineStr">
        <is>
          <t>PLTC|24 pr|18</t>
        </is>
      </c>
      <c r="L3147" s="12" t="inlineStr">
        <is>
          <t>24 pr</t>
        </is>
      </c>
      <c r="M3147" s="12" t="inlineStr">
        <is>
          <t>18</t>
        </is>
      </c>
      <c r="N3147" s="12" t="n">
        <v>1</v>
      </c>
      <c r="O3147" s="12" t="n">
        <v>1</v>
      </c>
      <c r="P3147" s="12" t="n"/>
      <c r="Q3147" s="12" t="n"/>
      <c r="R3147" s="12" t="n"/>
      <c r="S3147" s="12" t="inlineStr">
        <is>
          <t>Tray</t>
        </is>
      </c>
      <c r="T3147" s="16" t="n">
        <v>779</v>
      </c>
      <c r="U3147" s="16" t="n">
        <v>149</v>
      </c>
      <c r="V3147" s="16">
        <f>ROUNDUP((T3147+U3147+2*'Read Me'!$B$13)*(1+'Read Me'!$B$12),-1)</f>
        <v/>
      </c>
      <c r="W3147" s="16">
        <f>V3147*N3147*O3147</f>
        <v/>
      </c>
      <c r="X3147" s="12">
        <f>IF(LEFT(I3147,2)="MV",2*N3147*IF(L3147="1/C",O3147,1),0)</f>
        <v/>
      </c>
      <c r="Y3147" s="12">
        <f>IF(OR(LEFT(K3147,4)="LVAX",LEFT(K3147,6)="MV15AX",LEFT(K3147,4)="CTAX",LEFT(K3147,2)="W|"),2*N3147*O3147,0)</f>
        <v/>
      </c>
      <c r="Z3147" s="12" t="inlineStr"/>
      <c r="AA3147" s="12">
        <f>N3147*O3147</f>
        <v/>
      </c>
    </row>
    <row r="3148">
      <c r="A3148" s="12" t="inlineStr">
        <is>
          <t>G-I-0017</t>
        </is>
      </c>
      <c r="B3148" s="12" t="inlineStr">
        <is>
          <t>G</t>
        </is>
      </c>
      <c r="C3148" s="12" t="inlineStr">
        <is>
          <t>Carbon capture</t>
        </is>
      </c>
      <c r="D3148" s="12" t="inlineStr">
        <is>
          <t>Analog instrument to JB JB-ABS-B-AI02: 20 x 1 pr (field cables)</t>
        </is>
      </c>
      <c r="E3148" s="12" t="inlineStr">
        <is>
          <t>ABS-B</t>
        </is>
      </c>
      <c r="F3148" s="12" t="inlineStr">
        <is>
          <t>Absorber B (62 ft dia x 262 ft, stack to 313 ft)</t>
        </is>
      </c>
      <c r="G3148" s="12" t="inlineStr">
        <is>
          <t>JB-ABS-B-AI02</t>
        </is>
      </c>
      <c r="H3148" s="12" t="inlineStr">
        <is>
          <t>Absorber B (62 ft dia x 262 ft, stack to 313 ft)</t>
        </is>
      </c>
      <c r="I3148" s="12" t="inlineStr">
        <is>
          <t>Instrumentation</t>
        </is>
      </c>
      <c r="J3148" s="12" t="inlineStr">
        <is>
          <t>Instrumentation PLTC / TC-ER 300 V, #18 twisted shielded pairs, overall shield</t>
        </is>
      </c>
      <c r="K3148" s="12" t="inlineStr">
        <is>
          <t>PLTC|1 pr|16</t>
        </is>
      </c>
      <c r="L3148" s="12" t="inlineStr">
        <is>
          <t>1 pr</t>
        </is>
      </c>
      <c r="M3148" s="12" t="inlineStr">
        <is>
          <t>16</t>
        </is>
      </c>
      <c r="N3148" s="12" t="n">
        <v>20</v>
      </c>
      <c r="O3148" s="12" t="n">
        <v>1</v>
      </c>
      <c r="P3148" s="12" t="n"/>
      <c r="Q3148" s="12" t="n"/>
      <c r="R3148" s="12" t="n"/>
      <c r="S3148" s="12" t="inlineStr">
        <is>
          <t>Tray / conduit</t>
        </is>
      </c>
      <c r="T3148" s="16" t="n">
        <v>212</v>
      </c>
      <c r="U3148" s="16" t="n">
        <v>10</v>
      </c>
      <c r="V3148" s="16">
        <f>ROUNDUP((T3148+U3148+2*'Read Me'!$B$13)*(1+'Read Me'!$B$12),-1)</f>
        <v/>
      </c>
      <c r="W3148" s="16">
        <f>V3148*N3148*O3148</f>
        <v/>
      </c>
      <c r="X3148" s="12">
        <f>IF(LEFT(I3148,2)="MV",2*N3148*IF(L3148="1/C",O3148,1),0)</f>
        <v/>
      </c>
      <c r="Y3148" s="12">
        <f>IF(OR(LEFT(K3148,4)="LVAX",LEFT(K3148,6)="MV15AX",LEFT(K3148,4)="CTAX",LEFT(K3148,2)="W|"),2*N3148*O3148,0)</f>
        <v/>
      </c>
      <c r="Z3148" s="12" t="inlineStr">
        <is>
          <t>device-to-JB field wiring, one cable per device</t>
        </is>
      </c>
      <c r="AA3148" s="12">
        <f>N3148*O3148</f>
        <v/>
      </c>
    </row>
    <row r="3149">
      <c r="A3149" s="12" t="inlineStr">
        <is>
          <t>G-I-0018</t>
        </is>
      </c>
      <c r="B3149" s="12" t="inlineStr">
        <is>
          <t>G</t>
        </is>
      </c>
      <c r="C3149" s="12" t="inlineStr">
        <is>
          <t>Carbon capture</t>
        </is>
      </c>
      <c r="D3149" s="12" t="inlineStr">
        <is>
          <t>Home run JB-ABS-B-AI02 to the control / marshalling room</t>
        </is>
      </c>
      <c r="E3149" s="12" t="inlineStr"/>
      <c r="F3149" s="12" t="inlineStr">
        <is>
          <t>CCS F&amp;G / control</t>
        </is>
      </c>
      <c r="G3149" s="12" t="inlineStr">
        <is>
          <t>JB-ABS-B-AI02</t>
        </is>
      </c>
      <c r="H3149" s="12" t="inlineStr">
        <is>
          <t>Absorber B (62 ft dia x 262 ft, stack to 313 ft)</t>
        </is>
      </c>
      <c r="I3149" s="12" t="inlineStr">
        <is>
          <t>Instrumentation</t>
        </is>
      </c>
      <c r="J3149" s="12" t="inlineStr">
        <is>
          <t>Instrumentation PLTC / TC-ER 300 V, #18 twisted shielded pairs, overall shield</t>
        </is>
      </c>
      <c r="K3149" s="12" t="inlineStr">
        <is>
          <t>PLTC|24 pr|18</t>
        </is>
      </c>
      <c r="L3149" s="12" t="inlineStr">
        <is>
          <t>24 pr</t>
        </is>
      </c>
      <c r="M3149" s="12" t="inlineStr">
        <is>
          <t>18</t>
        </is>
      </c>
      <c r="N3149" s="12" t="n">
        <v>1</v>
      </c>
      <c r="O3149" s="12" t="n">
        <v>1</v>
      </c>
      <c r="P3149" s="12" t="n"/>
      <c r="Q3149" s="12" t="n"/>
      <c r="R3149" s="12" t="n"/>
      <c r="S3149" s="12" t="inlineStr">
        <is>
          <t>Tray</t>
        </is>
      </c>
      <c r="T3149" s="16" t="n">
        <v>779</v>
      </c>
      <c r="U3149" s="16" t="n">
        <v>149</v>
      </c>
      <c r="V3149" s="16">
        <f>ROUNDUP((T3149+U3149+2*'Read Me'!$B$13)*(1+'Read Me'!$B$12),-1)</f>
        <v/>
      </c>
      <c r="W3149" s="16">
        <f>V3149*N3149*O3149</f>
        <v/>
      </c>
      <c r="X3149" s="12">
        <f>IF(LEFT(I3149,2)="MV",2*N3149*IF(L3149="1/C",O3149,1),0)</f>
        <v/>
      </c>
      <c r="Y3149" s="12">
        <f>IF(OR(LEFT(K3149,4)="LVAX",LEFT(K3149,6)="MV15AX",LEFT(K3149,4)="CTAX",LEFT(K3149,2)="W|"),2*N3149*O3149,0)</f>
        <v/>
      </c>
      <c r="Z3149" s="12" t="inlineStr"/>
      <c r="AA3149" s="12">
        <f>N3149*O3149</f>
        <v/>
      </c>
    </row>
    <row r="3150">
      <c r="A3150" s="12" t="inlineStr">
        <is>
          <t>G-I-0019</t>
        </is>
      </c>
      <c r="B3150" s="12" t="inlineStr">
        <is>
          <t>G</t>
        </is>
      </c>
      <c r="C3150" s="12" t="inlineStr">
        <is>
          <t>Carbon capture</t>
        </is>
      </c>
      <c r="D3150" s="12" t="inlineStr">
        <is>
          <t>Analog instrument to JB JB-ABS-B-AI03: 20 x 1 pr (field cables)</t>
        </is>
      </c>
      <c r="E3150" s="12" t="inlineStr">
        <is>
          <t>ABS-B</t>
        </is>
      </c>
      <c r="F3150" s="12" t="inlineStr">
        <is>
          <t>Absorber B (62 ft dia x 262 ft, stack to 313 ft)</t>
        </is>
      </c>
      <c r="G3150" s="12" t="inlineStr">
        <is>
          <t>JB-ABS-B-AI03</t>
        </is>
      </c>
      <c r="H3150" s="12" t="inlineStr">
        <is>
          <t>Absorber B (62 ft dia x 262 ft, stack to 313 ft)</t>
        </is>
      </c>
      <c r="I3150" s="12" t="inlineStr">
        <is>
          <t>Instrumentation</t>
        </is>
      </c>
      <c r="J3150" s="12" t="inlineStr">
        <is>
          <t>Instrumentation PLTC / TC-ER 300 V, #18 twisted shielded pairs, overall shield</t>
        </is>
      </c>
      <c r="K3150" s="12" t="inlineStr">
        <is>
          <t>PLTC|1 pr|16</t>
        </is>
      </c>
      <c r="L3150" s="12" t="inlineStr">
        <is>
          <t>1 pr</t>
        </is>
      </c>
      <c r="M3150" s="12" t="inlineStr">
        <is>
          <t>16</t>
        </is>
      </c>
      <c r="N3150" s="12" t="n">
        <v>20</v>
      </c>
      <c r="O3150" s="12" t="n">
        <v>1</v>
      </c>
      <c r="P3150" s="12" t="n"/>
      <c r="Q3150" s="12" t="n"/>
      <c r="R3150" s="12" t="n"/>
      <c r="S3150" s="12" t="inlineStr">
        <is>
          <t>Tray / conduit</t>
        </is>
      </c>
      <c r="T3150" s="16" t="n">
        <v>212</v>
      </c>
      <c r="U3150" s="16" t="n">
        <v>10</v>
      </c>
      <c r="V3150" s="16">
        <f>ROUNDUP((T3150+U3150+2*'Read Me'!$B$13)*(1+'Read Me'!$B$12),-1)</f>
        <v/>
      </c>
      <c r="W3150" s="16">
        <f>V3150*N3150*O3150</f>
        <v/>
      </c>
      <c r="X3150" s="12">
        <f>IF(LEFT(I3150,2)="MV",2*N3150*IF(L3150="1/C",O3150,1),0)</f>
        <v/>
      </c>
      <c r="Y3150" s="12">
        <f>IF(OR(LEFT(K3150,4)="LVAX",LEFT(K3150,6)="MV15AX",LEFT(K3150,4)="CTAX",LEFT(K3150,2)="W|"),2*N3150*O3150,0)</f>
        <v/>
      </c>
      <c r="Z3150" s="12" t="inlineStr">
        <is>
          <t>device-to-JB field wiring, one cable per device</t>
        </is>
      </c>
      <c r="AA3150" s="12">
        <f>N3150*O3150</f>
        <v/>
      </c>
    </row>
    <row r="3151">
      <c r="A3151" s="12" t="inlineStr">
        <is>
          <t>G-I-0020</t>
        </is>
      </c>
      <c r="B3151" s="12" t="inlineStr">
        <is>
          <t>G</t>
        </is>
      </c>
      <c r="C3151" s="12" t="inlineStr">
        <is>
          <t>Carbon capture</t>
        </is>
      </c>
      <c r="D3151" s="12" t="inlineStr">
        <is>
          <t>Home run JB-ABS-B-AI03 to the control / marshalling room</t>
        </is>
      </c>
      <c r="E3151" s="12" t="inlineStr"/>
      <c r="F3151" s="12" t="inlineStr">
        <is>
          <t>CCS F&amp;G / control</t>
        </is>
      </c>
      <c r="G3151" s="12" t="inlineStr">
        <is>
          <t>JB-ABS-B-AI03</t>
        </is>
      </c>
      <c r="H3151" s="12" t="inlineStr">
        <is>
          <t>Absorber B (62 ft dia x 262 ft, stack to 313 ft)</t>
        </is>
      </c>
      <c r="I3151" s="12" t="inlineStr">
        <is>
          <t>Instrumentation</t>
        </is>
      </c>
      <c r="J3151" s="12" t="inlineStr">
        <is>
          <t>Instrumentation PLTC / TC-ER 300 V, #18 twisted shielded pairs, overall shield</t>
        </is>
      </c>
      <c r="K3151" s="12" t="inlineStr">
        <is>
          <t>PLTC|24 pr|18</t>
        </is>
      </c>
      <c r="L3151" s="12" t="inlineStr">
        <is>
          <t>24 pr</t>
        </is>
      </c>
      <c r="M3151" s="12" t="inlineStr">
        <is>
          <t>18</t>
        </is>
      </c>
      <c r="N3151" s="12" t="n">
        <v>1</v>
      </c>
      <c r="O3151" s="12" t="n">
        <v>1</v>
      </c>
      <c r="P3151" s="12" t="n"/>
      <c r="Q3151" s="12" t="n"/>
      <c r="R3151" s="12" t="n"/>
      <c r="S3151" s="12" t="inlineStr">
        <is>
          <t>Tray</t>
        </is>
      </c>
      <c r="T3151" s="16" t="n">
        <v>779</v>
      </c>
      <c r="U3151" s="16" t="n">
        <v>149</v>
      </c>
      <c r="V3151" s="16">
        <f>ROUNDUP((T3151+U3151+2*'Read Me'!$B$13)*(1+'Read Me'!$B$12),-1)</f>
        <v/>
      </c>
      <c r="W3151" s="16">
        <f>V3151*N3151*O3151</f>
        <v/>
      </c>
      <c r="X3151" s="12">
        <f>IF(LEFT(I3151,2)="MV",2*N3151*IF(L3151="1/C",O3151,1),0)</f>
        <v/>
      </c>
      <c r="Y3151" s="12">
        <f>IF(OR(LEFT(K3151,4)="LVAX",LEFT(K3151,6)="MV15AX",LEFT(K3151,4)="CTAX",LEFT(K3151,2)="W|"),2*N3151*O3151,0)</f>
        <v/>
      </c>
      <c r="Z3151" s="12" t="inlineStr"/>
      <c r="AA3151" s="12">
        <f>N3151*O3151</f>
        <v/>
      </c>
    </row>
    <row r="3152">
      <c r="A3152" s="12" t="inlineStr">
        <is>
          <t>G-I-0021</t>
        </is>
      </c>
      <c r="B3152" s="12" t="inlineStr">
        <is>
          <t>G</t>
        </is>
      </c>
      <c r="C3152" s="12" t="inlineStr">
        <is>
          <t>Carbon capture</t>
        </is>
      </c>
      <c r="D3152" s="12" t="inlineStr">
        <is>
          <t>Discrete device to JB JB-ABS-B-DI01: 20 x 1 pr (field cables)</t>
        </is>
      </c>
      <c r="E3152" s="12" t="inlineStr">
        <is>
          <t>ABS-B</t>
        </is>
      </c>
      <c r="F3152" s="12" t="inlineStr">
        <is>
          <t>Absorber B (62 ft dia x 262 ft, stack to 313 ft)</t>
        </is>
      </c>
      <c r="G3152" s="12" t="inlineStr">
        <is>
          <t>JB-ABS-B-DI01</t>
        </is>
      </c>
      <c r="H3152" s="12" t="inlineStr">
        <is>
          <t>Absorber B (62 ft dia x 262 ft, stack to 313 ft)</t>
        </is>
      </c>
      <c r="I3152" s="12" t="inlineStr">
        <is>
          <t>Instrumentation</t>
        </is>
      </c>
      <c r="J3152" s="12" t="inlineStr">
        <is>
          <t>Instrumentation PLTC / TC-ER 300 V, #18 twisted shielded pairs, overall shield</t>
        </is>
      </c>
      <c r="K3152" s="12" t="inlineStr">
        <is>
          <t>PLTC|1 pr|16</t>
        </is>
      </c>
      <c r="L3152" s="12" t="inlineStr">
        <is>
          <t>1 pr</t>
        </is>
      </c>
      <c r="M3152" s="12" t="inlineStr">
        <is>
          <t>16</t>
        </is>
      </c>
      <c r="N3152" s="12" t="n">
        <v>20</v>
      </c>
      <c r="O3152" s="12" t="n">
        <v>1</v>
      </c>
      <c r="P3152" s="12" t="n"/>
      <c r="Q3152" s="12" t="n"/>
      <c r="R3152" s="12" t="n"/>
      <c r="S3152" s="12" t="inlineStr">
        <is>
          <t>Tray / conduit</t>
        </is>
      </c>
      <c r="T3152" s="16" t="n">
        <v>212</v>
      </c>
      <c r="U3152" s="16" t="n">
        <v>10</v>
      </c>
      <c r="V3152" s="16">
        <f>ROUNDUP((T3152+U3152+2*'Read Me'!$B$13)*(1+'Read Me'!$B$12),-1)</f>
        <v/>
      </c>
      <c r="W3152" s="16">
        <f>V3152*N3152*O3152</f>
        <v/>
      </c>
      <c r="X3152" s="12">
        <f>IF(LEFT(I3152,2)="MV",2*N3152*IF(L3152="1/C",O3152,1),0)</f>
        <v/>
      </c>
      <c r="Y3152" s="12">
        <f>IF(OR(LEFT(K3152,4)="LVAX",LEFT(K3152,6)="MV15AX",LEFT(K3152,4)="CTAX",LEFT(K3152,2)="W|"),2*N3152*O3152,0)</f>
        <v/>
      </c>
      <c r="Z3152" s="12" t="inlineStr">
        <is>
          <t>device-to-JB field wiring, one cable per device</t>
        </is>
      </c>
      <c r="AA3152" s="12">
        <f>N3152*O3152</f>
        <v/>
      </c>
    </row>
    <row r="3153">
      <c r="A3153" s="12" t="inlineStr">
        <is>
          <t>G-I-0022</t>
        </is>
      </c>
      <c r="B3153" s="12" t="inlineStr">
        <is>
          <t>G</t>
        </is>
      </c>
      <c r="C3153" s="12" t="inlineStr">
        <is>
          <t>Carbon capture</t>
        </is>
      </c>
      <c r="D3153" s="12" t="inlineStr">
        <is>
          <t>Home run JB-ABS-B-DI01 to the control / marshalling room</t>
        </is>
      </c>
      <c r="E3153" s="12" t="inlineStr"/>
      <c r="F3153" s="12" t="inlineStr">
        <is>
          <t>CCS F&amp;G / control</t>
        </is>
      </c>
      <c r="G3153" s="12" t="inlineStr">
        <is>
          <t>JB-ABS-B-DI01</t>
        </is>
      </c>
      <c r="H3153" s="12" t="inlineStr">
        <is>
          <t>Absorber B (62 ft dia x 262 ft, stack to 313 ft)</t>
        </is>
      </c>
      <c r="I3153" s="12" t="inlineStr">
        <is>
          <t>Instrumentation</t>
        </is>
      </c>
      <c r="J3153" s="12" t="inlineStr">
        <is>
          <t>Instrumentation PLTC / TC-ER 300 V, #18 twisted shielded pairs, overall shield</t>
        </is>
      </c>
      <c r="K3153" s="12" t="inlineStr">
        <is>
          <t>PLTC|24 pr|18</t>
        </is>
      </c>
      <c r="L3153" s="12" t="inlineStr">
        <is>
          <t>24 pr</t>
        </is>
      </c>
      <c r="M3153" s="12" t="inlineStr">
        <is>
          <t>18</t>
        </is>
      </c>
      <c r="N3153" s="12" t="n">
        <v>1</v>
      </c>
      <c r="O3153" s="12" t="n">
        <v>1</v>
      </c>
      <c r="P3153" s="12" t="n"/>
      <c r="Q3153" s="12" t="n"/>
      <c r="R3153" s="12" t="n"/>
      <c r="S3153" s="12" t="inlineStr">
        <is>
          <t>Tray</t>
        </is>
      </c>
      <c r="T3153" s="16" t="n">
        <v>779</v>
      </c>
      <c r="U3153" s="16" t="n">
        <v>149</v>
      </c>
      <c r="V3153" s="16">
        <f>ROUNDUP((T3153+U3153+2*'Read Me'!$B$13)*(1+'Read Me'!$B$12),-1)</f>
        <v/>
      </c>
      <c r="W3153" s="16">
        <f>V3153*N3153*O3153</f>
        <v/>
      </c>
      <c r="X3153" s="12">
        <f>IF(LEFT(I3153,2)="MV",2*N3153*IF(L3153="1/C",O3153,1),0)</f>
        <v/>
      </c>
      <c r="Y3153" s="12">
        <f>IF(OR(LEFT(K3153,4)="LVAX",LEFT(K3153,6)="MV15AX",LEFT(K3153,4)="CTAX",LEFT(K3153,2)="W|"),2*N3153*O3153,0)</f>
        <v/>
      </c>
      <c r="Z3153" s="12" t="inlineStr"/>
      <c r="AA3153" s="12">
        <f>N3153*O3153</f>
        <v/>
      </c>
    </row>
    <row r="3154">
      <c r="A3154" s="12" t="inlineStr">
        <is>
          <t>G-I-0023</t>
        </is>
      </c>
      <c r="B3154" s="12" t="inlineStr">
        <is>
          <t>G</t>
        </is>
      </c>
      <c r="C3154" s="12" t="inlineStr">
        <is>
          <t>Carbon capture</t>
        </is>
      </c>
      <c r="D3154" s="12" t="inlineStr">
        <is>
          <t>Discrete device to JB JB-ABS-B-DI02: 20 x 1 pr (field cables)</t>
        </is>
      </c>
      <c r="E3154" s="12" t="inlineStr">
        <is>
          <t>ABS-B</t>
        </is>
      </c>
      <c r="F3154" s="12" t="inlineStr">
        <is>
          <t>Absorber B (62 ft dia x 262 ft, stack to 313 ft)</t>
        </is>
      </c>
      <c r="G3154" s="12" t="inlineStr">
        <is>
          <t>JB-ABS-B-DI02</t>
        </is>
      </c>
      <c r="H3154" s="12" t="inlineStr">
        <is>
          <t>Absorber B (62 ft dia x 262 ft, stack to 313 ft)</t>
        </is>
      </c>
      <c r="I3154" s="12" t="inlineStr">
        <is>
          <t>Instrumentation</t>
        </is>
      </c>
      <c r="J3154" s="12" t="inlineStr">
        <is>
          <t>Instrumentation PLTC / TC-ER 300 V, #18 twisted shielded pairs, overall shield</t>
        </is>
      </c>
      <c r="K3154" s="12" t="inlineStr">
        <is>
          <t>PLTC|1 pr|16</t>
        </is>
      </c>
      <c r="L3154" s="12" t="inlineStr">
        <is>
          <t>1 pr</t>
        </is>
      </c>
      <c r="M3154" s="12" t="inlineStr">
        <is>
          <t>16</t>
        </is>
      </c>
      <c r="N3154" s="12" t="n">
        <v>20</v>
      </c>
      <c r="O3154" s="12" t="n">
        <v>1</v>
      </c>
      <c r="P3154" s="12" t="n"/>
      <c r="Q3154" s="12" t="n"/>
      <c r="R3154" s="12" t="n"/>
      <c r="S3154" s="12" t="inlineStr">
        <is>
          <t>Tray / conduit</t>
        </is>
      </c>
      <c r="T3154" s="16" t="n">
        <v>212</v>
      </c>
      <c r="U3154" s="16" t="n">
        <v>10</v>
      </c>
      <c r="V3154" s="16">
        <f>ROUNDUP((T3154+U3154+2*'Read Me'!$B$13)*(1+'Read Me'!$B$12),-1)</f>
        <v/>
      </c>
      <c r="W3154" s="16">
        <f>V3154*N3154*O3154</f>
        <v/>
      </c>
      <c r="X3154" s="12">
        <f>IF(LEFT(I3154,2)="MV",2*N3154*IF(L3154="1/C",O3154,1),0)</f>
        <v/>
      </c>
      <c r="Y3154" s="12">
        <f>IF(OR(LEFT(K3154,4)="LVAX",LEFT(K3154,6)="MV15AX",LEFT(K3154,4)="CTAX",LEFT(K3154,2)="W|"),2*N3154*O3154,0)</f>
        <v/>
      </c>
      <c r="Z3154" s="12" t="inlineStr">
        <is>
          <t>device-to-JB field wiring, one cable per device</t>
        </is>
      </c>
      <c r="AA3154" s="12">
        <f>N3154*O3154</f>
        <v/>
      </c>
    </row>
    <row r="3155">
      <c r="A3155" s="12" t="inlineStr">
        <is>
          <t>G-I-0024</t>
        </is>
      </c>
      <c r="B3155" s="12" t="inlineStr">
        <is>
          <t>G</t>
        </is>
      </c>
      <c r="C3155" s="12" t="inlineStr">
        <is>
          <t>Carbon capture</t>
        </is>
      </c>
      <c r="D3155" s="12" t="inlineStr">
        <is>
          <t>Home run JB-ABS-B-DI02 to the control / marshalling room</t>
        </is>
      </c>
      <c r="E3155" s="12" t="inlineStr"/>
      <c r="F3155" s="12" t="inlineStr">
        <is>
          <t>CCS F&amp;G / control</t>
        </is>
      </c>
      <c r="G3155" s="12" t="inlineStr">
        <is>
          <t>JB-ABS-B-DI02</t>
        </is>
      </c>
      <c r="H3155" s="12" t="inlineStr">
        <is>
          <t>Absorber B (62 ft dia x 262 ft, stack to 313 ft)</t>
        </is>
      </c>
      <c r="I3155" s="12" t="inlineStr">
        <is>
          <t>Instrumentation</t>
        </is>
      </c>
      <c r="J3155" s="12" t="inlineStr">
        <is>
          <t>Instrumentation PLTC / TC-ER 300 V, #18 twisted shielded pairs, overall shield</t>
        </is>
      </c>
      <c r="K3155" s="12" t="inlineStr">
        <is>
          <t>PLTC|24 pr|18</t>
        </is>
      </c>
      <c r="L3155" s="12" t="inlineStr">
        <is>
          <t>24 pr</t>
        </is>
      </c>
      <c r="M3155" s="12" t="inlineStr">
        <is>
          <t>18</t>
        </is>
      </c>
      <c r="N3155" s="12" t="n">
        <v>1</v>
      </c>
      <c r="O3155" s="12" t="n">
        <v>1</v>
      </c>
      <c r="P3155" s="12" t="n"/>
      <c r="Q3155" s="12" t="n"/>
      <c r="R3155" s="12" t="n"/>
      <c r="S3155" s="12" t="inlineStr">
        <is>
          <t>Tray</t>
        </is>
      </c>
      <c r="T3155" s="16" t="n">
        <v>779</v>
      </c>
      <c r="U3155" s="16" t="n">
        <v>149</v>
      </c>
      <c r="V3155" s="16">
        <f>ROUNDUP((T3155+U3155+2*'Read Me'!$B$13)*(1+'Read Me'!$B$12),-1)</f>
        <v/>
      </c>
      <c r="W3155" s="16">
        <f>V3155*N3155*O3155</f>
        <v/>
      </c>
      <c r="X3155" s="12">
        <f>IF(LEFT(I3155,2)="MV",2*N3155*IF(L3155="1/C",O3155,1),0)</f>
        <v/>
      </c>
      <c r="Y3155" s="12">
        <f>IF(OR(LEFT(K3155,4)="LVAX",LEFT(K3155,6)="MV15AX",LEFT(K3155,4)="CTAX",LEFT(K3155,2)="W|"),2*N3155*O3155,0)</f>
        <v/>
      </c>
      <c r="Z3155" s="12" t="inlineStr"/>
      <c r="AA3155" s="12">
        <f>N3155*O3155</f>
        <v/>
      </c>
    </row>
    <row r="3156">
      <c r="A3156" s="12" t="inlineStr">
        <is>
          <t>G-I-0025</t>
        </is>
      </c>
      <c r="B3156" s="12" t="inlineStr">
        <is>
          <t>G</t>
        </is>
      </c>
      <c r="C3156" s="12" t="inlineStr">
        <is>
          <t>Carbon capture</t>
        </is>
      </c>
      <c r="D3156" s="12" t="inlineStr">
        <is>
          <t>Analog instrument to JB JB-Absorber B interco-AI01: 15 x 1 pr (field cables)</t>
        </is>
      </c>
      <c r="E3156" s="12" t="inlineStr"/>
      <c r="F3156" s="12" t="inlineStr">
        <is>
          <t>Absorber B intercooler (pumps + plate exchanger)</t>
        </is>
      </c>
      <c r="G3156" s="12" t="inlineStr">
        <is>
          <t>JB-Absorber B interco-AI01</t>
        </is>
      </c>
      <c r="H3156" s="12" t="inlineStr">
        <is>
          <t>Absorber B intercooler (pumps + plate exchanger)</t>
        </is>
      </c>
      <c r="I3156" s="12" t="inlineStr">
        <is>
          <t>Instrumentation</t>
        </is>
      </c>
      <c r="J3156" s="12" t="inlineStr">
        <is>
          <t>Instrumentation PLTC / TC-ER 300 V, #18 twisted shielded pairs, overall shield</t>
        </is>
      </c>
      <c r="K3156" s="12" t="inlineStr">
        <is>
          <t>PLTC|1 pr|16</t>
        </is>
      </c>
      <c r="L3156" s="12" t="inlineStr">
        <is>
          <t>1 pr</t>
        </is>
      </c>
      <c r="M3156" s="12" t="inlineStr">
        <is>
          <t>16</t>
        </is>
      </c>
      <c r="N3156" s="12" t="n">
        <v>15</v>
      </c>
      <c r="O3156" s="12" t="n">
        <v>1</v>
      </c>
      <c r="P3156" s="12" t="n"/>
      <c r="Q3156" s="12" t="n"/>
      <c r="R3156" s="12" t="n"/>
      <c r="S3156" s="12" t="inlineStr">
        <is>
          <t>Tray / conduit</t>
        </is>
      </c>
      <c r="T3156" s="16" t="n">
        <v>55</v>
      </c>
      <c r="U3156" s="16" t="n">
        <v>10</v>
      </c>
      <c r="V3156" s="16">
        <f>ROUNDUP((T3156+U3156+2*'Read Me'!$B$13)*(1+'Read Me'!$B$12),-1)</f>
        <v/>
      </c>
      <c r="W3156" s="16">
        <f>V3156*N3156*O3156</f>
        <v/>
      </c>
      <c r="X3156" s="12">
        <f>IF(LEFT(I3156,2)="MV",2*N3156*IF(L3156="1/C",O3156,1),0)</f>
        <v/>
      </c>
      <c r="Y3156" s="12">
        <f>IF(OR(LEFT(K3156,4)="LVAX",LEFT(K3156,6)="MV15AX",LEFT(K3156,4)="CTAX",LEFT(K3156,2)="W|"),2*N3156*O3156,0)</f>
        <v/>
      </c>
      <c r="Z3156" s="12" t="inlineStr">
        <is>
          <t>device-to-JB field wiring, one cable per device</t>
        </is>
      </c>
      <c r="AA3156" s="12">
        <f>N3156*O3156</f>
        <v/>
      </c>
    </row>
    <row r="3157">
      <c r="A3157" s="12" t="inlineStr">
        <is>
          <t>G-I-0026</t>
        </is>
      </c>
      <c r="B3157" s="12" t="inlineStr">
        <is>
          <t>G</t>
        </is>
      </c>
      <c r="C3157" s="12" t="inlineStr">
        <is>
          <t>Carbon capture</t>
        </is>
      </c>
      <c r="D3157" s="12" t="inlineStr">
        <is>
          <t>Home run JB-Absorber B interco-AI01 to the control / marshalling room</t>
        </is>
      </c>
      <c r="E3157" s="12" t="inlineStr"/>
      <c r="F3157" s="12" t="inlineStr">
        <is>
          <t>CCS F&amp;G / control</t>
        </is>
      </c>
      <c r="G3157" s="12" t="inlineStr">
        <is>
          <t>JB-Absorber B interco-AI01</t>
        </is>
      </c>
      <c r="H3157" s="12" t="inlineStr">
        <is>
          <t>Absorber B intercooler (pumps + plate exchanger)</t>
        </is>
      </c>
      <c r="I3157" s="12" t="inlineStr">
        <is>
          <t>Instrumentation</t>
        </is>
      </c>
      <c r="J3157" s="12" t="inlineStr">
        <is>
          <t>Instrumentation PLTC / TC-ER 300 V, #18 twisted shielded pairs, overall shield</t>
        </is>
      </c>
      <c r="K3157" s="12" t="inlineStr">
        <is>
          <t>PLTC|24 pr|18</t>
        </is>
      </c>
      <c r="L3157" s="12" t="inlineStr">
        <is>
          <t>24 pr</t>
        </is>
      </c>
      <c r="M3157" s="12" t="inlineStr">
        <is>
          <t>18</t>
        </is>
      </c>
      <c r="N3157" s="12" t="n">
        <v>1</v>
      </c>
      <c r="O3157" s="12" t="n">
        <v>1</v>
      </c>
      <c r="P3157" s="12" t="n"/>
      <c r="Q3157" s="12" t="n"/>
      <c r="R3157" s="12" t="n"/>
      <c r="S3157" s="12" t="inlineStr">
        <is>
          <t>Tray</t>
        </is>
      </c>
      <c r="T3157" s="16" t="n">
        <v>761</v>
      </c>
      <c r="U3157" s="16" t="n">
        <v>150</v>
      </c>
      <c r="V3157" s="16">
        <f>ROUNDUP((T3157+U3157+2*'Read Me'!$B$13)*(1+'Read Me'!$B$12),-1)</f>
        <v/>
      </c>
      <c r="W3157" s="16">
        <f>V3157*N3157*O3157</f>
        <v/>
      </c>
      <c r="X3157" s="12">
        <f>IF(LEFT(I3157,2)="MV",2*N3157*IF(L3157="1/C",O3157,1),0)</f>
        <v/>
      </c>
      <c r="Y3157" s="12">
        <f>IF(OR(LEFT(K3157,4)="LVAX",LEFT(K3157,6)="MV15AX",LEFT(K3157,4)="CTAX",LEFT(K3157,2)="W|"),2*N3157*O3157,0)</f>
        <v/>
      </c>
      <c r="Z3157" s="12" t="inlineStr"/>
      <c r="AA3157" s="12">
        <f>N3157*O3157</f>
        <v/>
      </c>
    </row>
    <row r="3158">
      <c r="A3158" s="12" t="inlineStr">
        <is>
          <t>G-I-0027</t>
        </is>
      </c>
      <c r="B3158" s="12" t="inlineStr">
        <is>
          <t>G</t>
        </is>
      </c>
      <c r="C3158" s="12" t="inlineStr">
        <is>
          <t>Carbon capture</t>
        </is>
      </c>
      <c r="D3158" s="12" t="inlineStr">
        <is>
          <t>Discrete device to JB JB-Absorber B interco-DI01: 15 x 1 pr (field cables)</t>
        </is>
      </c>
      <c r="E3158" s="12" t="inlineStr"/>
      <c r="F3158" s="12" t="inlineStr">
        <is>
          <t>Absorber B intercooler (pumps + plate exchanger)</t>
        </is>
      </c>
      <c r="G3158" s="12" t="inlineStr">
        <is>
          <t>JB-Absorber B interco-DI01</t>
        </is>
      </c>
      <c r="H3158" s="12" t="inlineStr">
        <is>
          <t>Absorber B intercooler (pumps + plate exchanger)</t>
        </is>
      </c>
      <c r="I3158" s="12" t="inlineStr">
        <is>
          <t>Instrumentation</t>
        </is>
      </c>
      <c r="J3158" s="12" t="inlineStr">
        <is>
          <t>Instrumentation PLTC / TC-ER 300 V, #18 twisted shielded pairs, overall shield</t>
        </is>
      </c>
      <c r="K3158" s="12" t="inlineStr">
        <is>
          <t>PLTC|1 pr|16</t>
        </is>
      </c>
      <c r="L3158" s="12" t="inlineStr">
        <is>
          <t>1 pr</t>
        </is>
      </c>
      <c r="M3158" s="12" t="inlineStr">
        <is>
          <t>16</t>
        </is>
      </c>
      <c r="N3158" s="12" t="n">
        <v>15</v>
      </c>
      <c r="O3158" s="12" t="n">
        <v>1</v>
      </c>
      <c r="P3158" s="12" t="n"/>
      <c r="Q3158" s="12" t="n"/>
      <c r="R3158" s="12" t="n"/>
      <c r="S3158" s="12" t="inlineStr">
        <is>
          <t>Tray / conduit</t>
        </is>
      </c>
      <c r="T3158" s="16" t="n">
        <v>55</v>
      </c>
      <c r="U3158" s="16" t="n">
        <v>10</v>
      </c>
      <c r="V3158" s="16">
        <f>ROUNDUP((T3158+U3158+2*'Read Me'!$B$13)*(1+'Read Me'!$B$12),-1)</f>
        <v/>
      </c>
      <c r="W3158" s="16">
        <f>V3158*N3158*O3158</f>
        <v/>
      </c>
      <c r="X3158" s="12">
        <f>IF(LEFT(I3158,2)="MV",2*N3158*IF(L3158="1/C",O3158,1),0)</f>
        <v/>
      </c>
      <c r="Y3158" s="12">
        <f>IF(OR(LEFT(K3158,4)="LVAX",LEFT(K3158,6)="MV15AX",LEFT(K3158,4)="CTAX",LEFT(K3158,2)="W|"),2*N3158*O3158,0)</f>
        <v/>
      </c>
      <c r="Z3158" s="12" t="inlineStr">
        <is>
          <t>device-to-JB field wiring, one cable per device</t>
        </is>
      </c>
      <c r="AA3158" s="12">
        <f>N3158*O3158</f>
        <v/>
      </c>
    </row>
    <row r="3159">
      <c r="A3159" s="12" t="inlineStr">
        <is>
          <t>G-I-0028</t>
        </is>
      </c>
      <c r="B3159" s="12" t="inlineStr">
        <is>
          <t>G</t>
        </is>
      </c>
      <c r="C3159" s="12" t="inlineStr">
        <is>
          <t>Carbon capture</t>
        </is>
      </c>
      <c r="D3159" s="12" t="inlineStr">
        <is>
          <t>Home run JB-Absorber B interco-DI01 to the control / marshalling room</t>
        </is>
      </c>
      <c r="E3159" s="12" t="inlineStr"/>
      <c r="F3159" s="12" t="inlineStr">
        <is>
          <t>CCS F&amp;G / control</t>
        </is>
      </c>
      <c r="G3159" s="12" t="inlineStr">
        <is>
          <t>JB-Absorber B interco-DI01</t>
        </is>
      </c>
      <c r="H3159" s="12" t="inlineStr">
        <is>
          <t>Absorber B intercooler (pumps + plate exchanger)</t>
        </is>
      </c>
      <c r="I3159" s="12" t="inlineStr">
        <is>
          <t>Instrumentation</t>
        </is>
      </c>
      <c r="J3159" s="12" t="inlineStr">
        <is>
          <t>Instrumentation PLTC / TC-ER 300 V, #18 twisted shielded pairs, overall shield</t>
        </is>
      </c>
      <c r="K3159" s="12" t="inlineStr">
        <is>
          <t>PLTC|24 pr|18</t>
        </is>
      </c>
      <c r="L3159" s="12" t="inlineStr">
        <is>
          <t>24 pr</t>
        </is>
      </c>
      <c r="M3159" s="12" t="inlineStr">
        <is>
          <t>18</t>
        </is>
      </c>
      <c r="N3159" s="12" t="n">
        <v>1</v>
      </c>
      <c r="O3159" s="12" t="n">
        <v>1</v>
      </c>
      <c r="P3159" s="12" t="n"/>
      <c r="Q3159" s="12" t="n"/>
      <c r="R3159" s="12" t="n"/>
      <c r="S3159" s="12" t="inlineStr">
        <is>
          <t>Tray</t>
        </is>
      </c>
      <c r="T3159" s="16" t="n">
        <v>761</v>
      </c>
      <c r="U3159" s="16" t="n">
        <v>150</v>
      </c>
      <c r="V3159" s="16">
        <f>ROUNDUP((T3159+U3159+2*'Read Me'!$B$13)*(1+'Read Me'!$B$12),-1)</f>
        <v/>
      </c>
      <c r="W3159" s="16">
        <f>V3159*N3159*O3159</f>
        <v/>
      </c>
      <c r="X3159" s="12">
        <f>IF(LEFT(I3159,2)="MV",2*N3159*IF(L3159="1/C",O3159,1),0)</f>
        <v/>
      </c>
      <c r="Y3159" s="12">
        <f>IF(OR(LEFT(K3159,4)="LVAX",LEFT(K3159,6)="MV15AX",LEFT(K3159,4)="CTAX",LEFT(K3159,2)="W|"),2*N3159*O3159,0)</f>
        <v/>
      </c>
      <c r="Z3159" s="12" t="inlineStr"/>
      <c r="AA3159" s="12">
        <f>N3159*O3159</f>
        <v/>
      </c>
    </row>
    <row r="3160">
      <c r="A3160" s="12" t="inlineStr">
        <is>
          <t>G-I-0029</t>
        </is>
      </c>
      <c r="B3160" s="12" t="inlineStr">
        <is>
          <t>G</t>
        </is>
      </c>
      <c r="C3160" s="12" t="inlineStr">
        <is>
          <t>Carbon capture</t>
        </is>
      </c>
      <c r="D3160" s="12" t="inlineStr">
        <is>
          <t>Analog instrument to JB JB-ABS-C-AI01: 20 x 1 pr (field cables)</t>
        </is>
      </c>
      <c r="E3160" s="12" t="inlineStr">
        <is>
          <t>ABS-C</t>
        </is>
      </c>
      <c r="F3160" s="12" t="inlineStr">
        <is>
          <t>Absorber C (62 ft dia x 262 ft, stack to 313 ft)</t>
        </is>
      </c>
      <c r="G3160" s="12" t="inlineStr">
        <is>
          <t>JB-ABS-C-AI01</t>
        </is>
      </c>
      <c r="H3160" s="12" t="inlineStr">
        <is>
          <t>Absorber C (62 ft dia x 262 ft, stack to 313 ft)</t>
        </is>
      </c>
      <c r="I3160" s="12" t="inlineStr">
        <is>
          <t>Instrumentation</t>
        </is>
      </c>
      <c r="J3160" s="12" t="inlineStr">
        <is>
          <t>Instrumentation PLTC / TC-ER 300 V, #18 twisted shielded pairs, overall shield</t>
        </is>
      </c>
      <c r="K3160" s="12" t="inlineStr">
        <is>
          <t>PLTC|1 pr|16</t>
        </is>
      </c>
      <c r="L3160" s="12" t="inlineStr">
        <is>
          <t>1 pr</t>
        </is>
      </c>
      <c r="M3160" s="12" t="inlineStr">
        <is>
          <t>16</t>
        </is>
      </c>
      <c r="N3160" s="12" t="n">
        <v>20</v>
      </c>
      <c r="O3160" s="12" t="n">
        <v>1</v>
      </c>
      <c r="P3160" s="12" t="n"/>
      <c r="Q3160" s="12" t="n"/>
      <c r="R3160" s="12" t="n"/>
      <c r="S3160" s="12" t="inlineStr">
        <is>
          <t>Tray / conduit</t>
        </is>
      </c>
      <c r="T3160" s="16" t="n">
        <v>212</v>
      </c>
      <c r="U3160" s="16" t="n">
        <v>10</v>
      </c>
      <c r="V3160" s="16">
        <f>ROUNDUP((T3160+U3160+2*'Read Me'!$B$13)*(1+'Read Me'!$B$12),-1)</f>
        <v/>
      </c>
      <c r="W3160" s="16">
        <f>V3160*N3160*O3160</f>
        <v/>
      </c>
      <c r="X3160" s="12">
        <f>IF(LEFT(I3160,2)="MV",2*N3160*IF(L3160="1/C",O3160,1),0)</f>
        <v/>
      </c>
      <c r="Y3160" s="12">
        <f>IF(OR(LEFT(K3160,4)="LVAX",LEFT(K3160,6)="MV15AX",LEFT(K3160,4)="CTAX",LEFT(K3160,2)="W|"),2*N3160*O3160,0)</f>
        <v/>
      </c>
      <c r="Z3160" s="12" t="inlineStr">
        <is>
          <t>device-to-JB field wiring, one cable per device</t>
        </is>
      </c>
      <c r="AA3160" s="12">
        <f>N3160*O3160</f>
        <v/>
      </c>
    </row>
    <row r="3161">
      <c r="A3161" s="12" t="inlineStr">
        <is>
          <t>G-I-0030</t>
        </is>
      </c>
      <c r="B3161" s="12" t="inlineStr">
        <is>
          <t>G</t>
        </is>
      </c>
      <c r="C3161" s="12" t="inlineStr">
        <is>
          <t>Carbon capture</t>
        </is>
      </c>
      <c r="D3161" s="12" t="inlineStr">
        <is>
          <t>Home run JB-ABS-C-AI01 to the control / marshalling room</t>
        </is>
      </c>
      <c r="E3161" s="12" t="inlineStr"/>
      <c r="F3161" s="12" t="inlineStr">
        <is>
          <t>CCS F&amp;G / control</t>
        </is>
      </c>
      <c r="G3161" s="12" t="inlineStr">
        <is>
          <t>JB-ABS-C-AI01</t>
        </is>
      </c>
      <c r="H3161" s="12" t="inlineStr">
        <is>
          <t>Absorber C (62 ft dia x 262 ft, stack to 313 ft)</t>
        </is>
      </c>
      <c r="I3161" s="12" t="inlineStr">
        <is>
          <t>Instrumentation</t>
        </is>
      </c>
      <c r="J3161" s="12" t="inlineStr">
        <is>
          <t>Instrumentation PLTC / TC-ER 300 V, #18 twisted shielded pairs, overall shield</t>
        </is>
      </c>
      <c r="K3161" s="12" t="inlineStr">
        <is>
          <t>PLTC|24 pr|18</t>
        </is>
      </c>
      <c r="L3161" s="12" t="inlineStr">
        <is>
          <t>24 pr</t>
        </is>
      </c>
      <c r="M3161" s="12" t="inlineStr">
        <is>
          <t>18</t>
        </is>
      </c>
      <c r="N3161" s="12" t="n">
        <v>1</v>
      </c>
      <c r="O3161" s="12" t="n">
        <v>1</v>
      </c>
      <c r="P3161" s="12" t="n"/>
      <c r="Q3161" s="12" t="n"/>
      <c r="R3161" s="12" t="n"/>
      <c r="S3161" s="12" t="inlineStr">
        <is>
          <t>Duct bank</t>
        </is>
      </c>
      <c r="T3161" s="16" t="n">
        <v>619</v>
      </c>
      <c r="U3161" s="16" t="n">
        <v>149</v>
      </c>
      <c r="V3161" s="16">
        <f>ROUNDUP((T3161+U3161+2*'Read Me'!$B$13)*(1+'Read Me'!$B$12),-1)</f>
        <v/>
      </c>
      <c r="W3161" s="16">
        <f>V3161*N3161*O3161</f>
        <v/>
      </c>
      <c r="X3161" s="12">
        <f>IF(LEFT(I3161,2)="MV",2*N3161*IF(L3161="1/C",O3161,1),0)</f>
        <v/>
      </c>
      <c r="Y3161" s="12">
        <f>IF(OR(LEFT(K3161,4)="LVAX",LEFT(K3161,6)="MV15AX",LEFT(K3161,4)="CTAX",LEFT(K3161,2)="W|"),2*N3161*O3161,0)</f>
        <v/>
      </c>
      <c r="Z3161" s="12" t="inlineStr"/>
      <c r="AA3161" s="12">
        <f>N3161*O3161</f>
        <v/>
      </c>
    </row>
    <row r="3162">
      <c r="A3162" s="12" t="inlineStr">
        <is>
          <t>G-I-0031</t>
        </is>
      </c>
      <c r="B3162" s="12" t="inlineStr">
        <is>
          <t>G</t>
        </is>
      </c>
      <c r="C3162" s="12" t="inlineStr">
        <is>
          <t>Carbon capture</t>
        </is>
      </c>
      <c r="D3162" s="12" t="inlineStr">
        <is>
          <t>Analog instrument to JB JB-ABS-C-AI02: 20 x 1 pr (field cables)</t>
        </is>
      </c>
      <c r="E3162" s="12" t="inlineStr">
        <is>
          <t>ABS-C</t>
        </is>
      </c>
      <c r="F3162" s="12" t="inlineStr">
        <is>
          <t>Absorber C (62 ft dia x 262 ft, stack to 313 ft)</t>
        </is>
      </c>
      <c r="G3162" s="12" t="inlineStr">
        <is>
          <t>JB-ABS-C-AI02</t>
        </is>
      </c>
      <c r="H3162" s="12" t="inlineStr">
        <is>
          <t>Absorber C (62 ft dia x 262 ft, stack to 313 ft)</t>
        </is>
      </c>
      <c r="I3162" s="12" t="inlineStr">
        <is>
          <t>Instrumentation</t>
        </is>
      </c>
      <c r="J3162" s="12" t="inlineStr">
        <is>
          <t>Instrumentation PLTC / TC-ER 300 V, #18 twisted shielded pairs, overall shield</t>
        </is>
      </c>
      <c r="K3162" s="12" t="inlineStr">
        <is>
          <t>PLTC|1 pr|16</t>
        </is>
      </c>
      <c r="L3162" s="12" t="inlineStr">
        <is>
          <t>1 pr</t>
        </is>
      </c>
      <c r="M3162" s="12" t="inlineStr">
        <is>
          <t>16</t>
        </is>
      </c>
      <c r="N3162" s="12" t="n">
        <v>20</v>
      </c>
      <c r="O3162" s="12" t="n">
        <v>1</v>
      </c>
      <c r="P3162" s="12" t="n"/>
      <c r="Q3162" s="12" t="n"/>
      <c r="R3162" s="12" t="n"/>
      <c r="S3162" s="12" t="inlineStr">
        <is>
          <t>Tray / conduit</t>
        </is>
      </c>
      <c r="T3162" s="16" t="n">
        <v>212</v>
      </c>
      <c r="U3162" s="16" t="n">
        <v>10</v>
      </c>
      <c r="V3162" s="16">
        <f>ROUNDUP((T3162+U3162+2*'Read Me'!$B$13)*(1+'Read Me'!$B$12),-1)</f>
        <v/>
      </c>
      <c r="W3162" s="16">
        <f>V3162*N3162*O3162</f>
        <v/>
      </c>
      <c r="X3162" s="12">
        <f>IF(LEFT(I3162,2)="MV",2*N3162*IF(L3162="1/C",O3162,1),0)</f>
        <v/>
      </c>
      <c r="Y3162" s="12">
        <f>IF(OR(LEFT(K3162,4)="LVAX",LEFT(K3162,6)="MV15AX",LEFT(K3162,4)="CTAX",LEFT(K3162,2)="W|"),2*N3162*O3162,0)</f>
        <v/>
      </c>
      <c r="Z3162" s="12" t="inlineStr">
        <is>
          <t>device-to-JB field wiring, one cable per device</t>
        </is>
      </c>
      <c r="AA3162" s="12">
        <f>N3162*O3162</f>
        <v/>
      </c>
    </row>
    <row r="3163">
      <c r="A3163" s="12" t="inlineStr">
        <is>
          <t>G-I-0032</t>
        </is>
      </c>
      <c r="B3163" s="12" t="inlineStr">
        <is>
          <t>G</t>
        </is>
      </c>
      <c r="C3163" s="12" t="inlineStr">
        <is>
          <t>Carbon capture</t>
        </is>
      </c>
      <c r="D3163" s="12" t="inlineStr">
        <is>
          <t>Home run JB-ABS-C-AI02 to the control / marshalling room</t>
        </is>
      </c>
      <c r="E3163" s="12" t="inlineStr"/>
      <c r="F3163" s="12" t="inlineStr">
        <is>
          <t>CCS F&amp;G / control</t>
        </is>
      </c>
      <c r="G3163" s="12" t="inlineStr">
        <is>
          <t>JB-ABS-C-AI02</t>
        </is>
      </c>
      <c r="H3163" s="12" t="inlineStr">
        <is>
          <t>Absorber C (62 ft dia x 262 ft, stack to 313 ft)</t>
        </is>
      </c>
      <c r="I3163" s="12" t="inlineStr">
        <is>
          <t>Instrumentation</t>
        </is>
      </c>
      <c r="J3163" s="12" t="inlineStr">
        <is>
          <t>Instrumentation PLTC / TC-ER 300 V, #18 twisted shielded pairs, overall shield</t>
        </is>
      </c>
      <c r="K3163" s="12" t="inlineStr">
        <is>
          <t>PLTC|24 pr|18</t>
        </is>
      </c>
      <c r="L3163" s="12" t="inlineStr">
        <is>
          <t>24 pr</t>
        </is>
      </c>
      <c r="M3163" s="12" t="inlineStr">
        <is>
          <t>18</t>
        </is>
      </c>
      <c r="N3163" s="12" t="n">
        <v>1</v>
      </c>
      <c r="O3163" s="12" t="n">
        <v>1</v>
      </c>
      <c r="P3163" s="12" t="n"/>
      <c r="Q3163" s="12" t="n"/>
      <c r="R3163" s="12" t="n"/>
      <c r="S3163" s="12" t="inlineStr">
        <is>
          <t>Duct bank</t>
        </is>
      </c>
      <c r="T3163" s="16" t="n">
        <v>619</v>
      </c>
      <c r="U3163" s="16" t="n">
        <v>149</v>
      </c>
      <c r="V3163" s="16">
        <f>ROUNDUP((T3163+U3163+2*'Read Me'!$B$13)*(1+'Read Me'!$B$12),-1)</f>
        <v/>
      </c>
      <c r="W3163" s="16">
        <f>V3163*N3163*O3163</f>
        <v/>
      </c>
      <c r="X3163" s="12">
        <f>IF(LEFT(I3163,2)="MV",2*N3163*IF(L3163="1/C",O3163,1),0)</f>
        <v/>
      </c>
      <c r="Y3163" s="12">
        <f>IF(OR(LEFT(K3163,4)="LVAX",LEFT(K3163,6)="MV15AX",LEFT(K3163,4)="CTAX",LEFT(K3163,2)="W|"),2*N3163*O3163,0)</f>
        <v/>
      </c>
      <c r="Z3163" s="12" t="inlineStr"/>
      <c r="AA3163" s="12">
        <f>N3163*O3163</f>
        <v/>
      </c>
    </row>
    <row r="3164">
      <c r="A3164" s="12" t="inlineStr">
        <is>
          <t>G-I-0033</t>
        </is>
      </c>
      <c r="B3164" s="12" t="inlineStr">
        <is>
          <t>G</t>
        </is>
      </c>
      <c r="C3164" s="12" t="inlineStr">
        <is>
          <t>Carbon capture</t>
        </is>
      </c>
      <c r="D3164" s="12" t="inlineStr">
        <is>
          <t>Analog instrument to JB JB-ABS-C-AI03: 20 x 1 pr (field cables)</t>
        </is>
      </c>
      <c r="E3164" s="12" t="inlineStr">
        <is>
          <t>ABS-C</t>
        </is>
      </c>
      <c r="F3164" s="12" t="inlineStr">
        <is>
          <t>Absorber C (62 ft dia x 262 ft, stack to 313 ft)</t>
        </is>
      </c>
      <c r="G3164" s="12" t="inlineStr">
        <is>
          <t>JB-ABS-C-AI03</t>
        </is>
      </c>
      <c r="H3164" s="12" t="inlineStr">
        <is>
          <t>Absorber C (62 ft dia x 262 ft, stack to 313 ft)</t>
        </is>
      </c>
      <c r="I3164" s="12" t="inlineStr">
        <is>
          <t>Instrumentation</t>
        </is>
      </c>
      <c r="J3164" s="12" t="inlineStr">
        <is>
          <t>Instrumentation PLTC / TC-ER 300 V, #18 twisted shielded pairs, overall shield</t>
        </is>
      </c>
      <c r="K3164" s="12" t="inlineStr">
        <is>
          <t>PLTC|1 pr|16</t>
        </is>
      </c>
      <c r="L3164" s="12" t="inlineStr">
        <is>
          <t>1 pr</t>
        </is>
      </c>
      <c r="M3164" s="12" t="inlineStr">
        <is>
          <t>16</t>
        </is>
      </c>
      <c r="N3164" s="12" t="n">
        <v>20</v>
      </c>
      <c r="O3164" s="12" t="n">
        <v>1</v>
      </c>
      <c r="P3164" s="12" t="n"/>
      <c r="Q3164" s="12" t="n"/>
      <c r="R3164" s="12" t="n"/>
      <c r="S3164" s="12" t="inlineStr">
        <is>
          <t>Tray / conduit</t>
        </is>
      </c>
      <c r="T3164" s="16" t="n">
        <v>212</v>
      </c>
      <c r="U3164" s="16" t="n">
        <v>10</v>
      </c>
      <c r="V3164" s="16">
        <f>ROUNDUP((T3164+U3164+2*'Read Me'!$B$13)*(1+'Read Me'!$B$12),-1)</f>
        <v/>
      </c>
      <c r="W3164" s="16">
        <f>V3164*N3164*O3164</f>
        <v/>
      </c>
      <c r="X3164" s="12">
        <f>IF(LEFT(I3164,2)="MV",2*N3164*IF(L3164="1/C",O3164,1),0)</f>
        <v/>
      </c>
      <c r="Y3164" s="12">
        <f>IF(OR(LEFT(K3164,4)="LVAX",LEFT(K3164,6)="MV15AX",LEFT(K3164,4)="CTAX",LEFT(K3164,2)="W|"),2*N3164*O3164,0)</f>
        <v/>
      </c>
      <c r="Z3164" s="12" t="inlineStr">
        <is>
          <t>device-to-JB field wiring, one cable per device</t>
        </is>
      </c>
      <c r="AA3164" s="12">
        <f>N3164*O3164</f>
        <v/>
      </c>
    </row>
    <row r="3165">
      <c r="A3165" s="12" t="inlineStr">
        <is>
          <t>G-I-0034</t>
        </is>
      </c>
      <c r="B3165" s="12" t="inlineStr">
        <is>
          <t>G</t>
        </is>
      </c>
      <c r="C3165" s="12" t="inlineStr">
        <is>
          <t>Carbon capture</t>
        </is>
      </c>
      <c r="D3165" s="12" t="inlineStr">
        <is>
          <t>Home run JB-ABS-C-AI03 to the control / marshalling room</t>
        </is>
      </c>
      <c r="E3165" s="12" t="inlineStr"/>
      <c r="F3165" s="12" t="inlineStr">
        <is>
          <t>CCS F&amp;G / control</t>
        </is>
      </c>
      <c r="G3165" s="12" t="inlineStr">
        <is>
          <t>JB-ABS-C-AI03</t>
        </is>
      </c>
      <c r="H3165" s="12" t="inlineStr">
        <is>
          <t>Absorber C (62 ft dia x 262 ft, stack to 313 ft)</t>
        </is>
      </c>
      <c r="I3165" s="12" t="inlineStr">
        <is>
          <t>Instrumentation</t>
        </is>
      </c>
      <c r="J3165" s="12" t="inlineStr">
        <is>
          <t>Instrumentation PLTC / TC-ER 300 V, #18 twisted shielded pairs, overall shield</t>
        </is>
      </c>
      <c r="K3165" s="12" t="inlineStr">
        <is>
          <t>PLTC|24 pr|18</t>
        </is>
      </c>
      <c r="L3165" s="12" t="inlineStr">
        <is>
          <t>24 pr</t>
        </is>
      </c>
      <c r="M3165" s="12" t="inlineStr">
        <is>
          <t>18</t>
        </is>
      </c>
      <c r="N3165" s="12" t="n">
        <v>1</v>
      </c>
      <c r="O3165" s="12" t="n">
        <v>1</v>
      </c>
      <c r="P3165" s="12" t="n"/>
      <c r="Q3165" s="12" t="n"/>
      <c r="R3165" s="12" t="n"/>
      <c r="S3165" s="12" t="inlineStr">
        <is>
          <t>Duct bank</t>
        </is>
      </c>
      <c r="T3165" s="16" t="n">
        <v>619</v>
      </c>
      <c r="U3165" s="16" t="n">
        <v>149</v>
      </c>
      <c r="V3165" s="16">
        <f>ROUNDUP((T3165+U3165+2*'Read Me'!$B$13)*(1+'Read Me'!$B$12),-1)</f>
        <v/>
      </c>
      <c r="W3165" s="16">
        <f>V3165*N3165*O3165</f>
        <v/>
      </c>
      <c r="X3165" s="12">
        <f>IF(LEFT(I3165,2)="MV",2*N3165*IF(L3165="1/C",O3165,1),0)</f>
        <v/>
      </c>
      <c r="Y3165" s="12">
        <f>IF(OR(LEFT(K3165,4)="LVAX",LEFT(K3165,6)="MV15AX",LEFT(K3165,4)="CTAX",LEFT(K3165,2)="W|"),2*N3165*O3165,0)</f>
        <v/>
      </c>
      <c r="Z3165" s="12" t="inlineStr"/>
      <c r="AA3165" s="12">
        <f>N3165*O3165</f>
        <v/>
      </c>
    </row>
    <row r="3166">
      <c r="A3166" s="12" t="inlineStr">
        <is>
          <t>G-I-0035</t>
        </is>
      </c>
      <c r="B3166" s="12" t="inlineStr">
        <is>
          <t>G</t>
        </is>
      </c>
      <c r="C3166" s="12" t="inlineStr">
        <is>
          <t>Carbon capture</t>
        </is>
      </c>
      <c r="D3166" s="12" t="inlineStr">
        <is>
          <t>Discrete device to JB JB-ABS-C-DI01: 20 x 1 pr (field cables)</t>
        </is>
      </c>
      <c r="E3166" s="12" t="inlineStr">
        <is>
          <t>ABS-C</t>
        </is>
      </c>
      <c r="F3166" s="12" t="inlineStr">
        <is>
          <t>Absorber C (62 ft dia x 262 ft, stack to 313 ft)</t>
        </is>
      </c>
      <c r="G3166" s="12" t="inlineStr">
        <is>
          <t>JB-ABS-C-DI01</t>
        </is>
      </c>
      <c r="H3166" s="12" t="inlineStr">
        <is>
          <t>Absorber C (62 ft dia x 262 ft, stack to 313 ft)</t>
        </is>
      </c>
      <c r="I3166" s="12" t="inlineStr">
        <is>
          <t>Instrumentation</t>
        </is>
      </c>
      <c r="J3166" s="12" t="inlineStr">
        <is>
          <t>Instrumentation PLTC / TC-ER 300 V, #18 twisted shielded pairs, overall shield</t>
        </is>
      </c>
      <c r="K3166" s="12" t="inlineStr">
        <is>
          <t>PLTC|1 pr|16</t>
        </is>
      </c>
      <c r="L3166" s="12" t="inlineStr">
        <is>
          <t>1 pr</t>
        </is>
      </c>
      <c r="M3166" s="12" t="inlineStr">
        <is>
          <t>16</t>
        </is>
      </c>
      <c r="N3166" s="12" t="n">
        <v>20</v>
      </c>
      <c r="O3166" s="12" t="n">
        <v>1</v>
      </c>
      <c r="P3166" s="12" t="n"/>
      <c r="Q3166" s="12" t="n"/>
      <c r="R3166" s="12" t="n"/>
      <c r="S3166" s="12" t="inlineStr">
        <is>
          <t>Tray / conduit</t>
        </is>
      </c>
      <c r="T3166" s="16" t="n">
        <v>212</v>
      </c>
      <c r="U3166" s="16" t="n">
        <v>10</v>
      </c>
      <c r="V3166" s="16">
        <f>ROUNDUP((T3166+U3166+2*'Read Me'!$B$13)*(1+'Read Me'!$B$12),-1)</f>
        <v/>
      </c>
      <c r="W3166" s="16">
        <f>V3166*N3166*O3166</f>
        <v/>
      </c>
      <c r="X3166" s="12">
        <f>IF(LEFT(I3166,2)="MV",2*N3166*IF(L3166="1/C",O3166,1),0)</f>
        <v/>
      </c>
      <c r="Y3166" s="12">
        <f>IF(OR(LEFT(K3166,4)="LVAX",LEFT(K3166,6)="MV15AX",LEFT(K3166,4)="CTAX",LEFT(K3166,2)="W|"),2*N3166*O3166,0)</f>
        <v/>
      </c>
      <c r="Z3166" s="12" t="inlineStr">
        <is>
          <t>device-to-JB field wiring, one cable per device</t>
        </is>
      </c>
      <c r="AA3166" s="12">
        <f>N3166*O3166</f>
        <v/>
      </c>
    </row>
    <row r="3167">
      <c r="A3167" s="12" t="inlineStr">
        <is>
          <t>G-I-0036</t>
        </is>
      </c>
      <c r="B3167" s="12" t="inlineStr">
        <is>
          <t>G</t>
        </is>
      </c>
      <c r="C3167" s="12" t="inlineStr">
        <is>
          <t>Carbon capture</t>
        </is>
      </c>
      <c r="D3167" s="12" t="inlineStr">
        <is>
          <t>Home run JB-ABS-C-DI01 to the control / marshalling room</t>
        </is>
      </c>
      <c r="E3167" s="12" t="inlineStr"/>
      <c r="F3167" s="12" t="inlineStr">
        <is>
          <t>CCS F&amp;G / control</t>
        </is>
      </c>
      <c r="G3167" s="12" t="inlineStr">
        <is>
          <t>JB-ABS-C-DI01</t>
        </is>
      </c>
      <c r="H3167" s="12" t="inlineStr">
        <is>
          <t>Absorber C (62 ft dia x 262 ft, stack to 313 ft)</t>
        </is>
      </c>
      <c r="I3167" s="12" t="inlineStr">
        <is>
          <t>Instrumentation</t>
        </is>
      </c>
      <c r="J3167" s="12" t="inlineStr">
        <is>
          <t>Instrumentation PLTC / TC-ER 300 V, #18 twisted shielded pairs, overall shield</t>
        </is>
      </c>
      <c r="K3167" s="12" t="inlineStr">
        <is>
          <t>PLTC|24 pr|18</t>
        </is>
      </c>
      <c r="L3167" s="12" t="inlineStr">
        <is>
          <t>24 pr</t>
        </is>
      </c>
      <c r="M3167" s="12" t="inlineStr">
        <is>
          <t>18</t>
        </is>
      </c>
      <c r="N3167" s="12" t="n">
        <v>1</v>
      </c>
      <c r="O3167" s="12" t="n">
        <v>1</v>
      </c>
      <c r="P3167" s="12" t="n"/>
      <c r="Q3167" s="12" t="n"/>
      <c r="R3167" s="12" t="n"/>
      <c r="S3167" s="12" t="inlineStr">
        <is>
          <t>Duct bank</t>
        </is>
      </c>
      <c r="T3167" s="16" t="n">
        <v>619</v>
      </c>
      <c r="U3167" s="16" t="n">
        <v>149</v>
      </c>
      <c r="V3167" s="16">
        <f>ROUNDUP((T3167+U3167+2*'Read Me'!$B$13)*(1+'Read Me'!$B$12),-1)</f>
        <v/>
      </c>
      <c r="W3167" s="16">
        <f>V3167*N3167*O3167</f>
        <v/>
      </c>
      <c r="X3167" s="12">
        <f>IF(LEFT(I3167,2)="MV",2*N3167*IF(L3167="1/C",O3167,1),0)</f>
        <v/>
      </c>
      <c r="Y3167" s="12">
        <f>IF(OR(LEFT(K3167,4)="LVAX",LEFT(K3167,6)="MV15AX",LEFT(K3167,4)="CTAX",LEFT(K3167,2)="W|"),2*N3167*O3167,0)</f>
        <v/>
      </c>
      <c r="Z3167" s="12" t="inlineStr"/>
      <c r="AA3167" s="12">
        <f>N3167*O3167</f>
        <v/>
      </c>
    </row>
    <row r="3168">
      <c r="A3168" s="12" t="inlineStr">
        <is>
          <t>G-I-0037</t>
        </is>
      </c>
      <c r="B3168" s="12" t="inlineStr">
        <is>
          <t>G</t>
        </is>
      </c>
      <c r="C3168" s="12" t="inlineStr">
        <is>
          <t>Carbon capture</t>
        </is>
      </c>
      <c r="D3168" s="12" t="inlineStr">
        <is>
          <t>Discrete device to JB JB-ABS-C-DI02: 20 x 1 pr (field cables)</t>
        </is>
      </c>
      <c r="E3168" s="12" t="inlineStr">
        <is>
          <t>ABS-C</t>
        </is>
      </c>
      <c r="F3168" s="12" t="inlineStr">
        <is>
          <t>Absorber C (62 ft dia x 262 ft, stack to 313 ft)</t>
        </is>
      </c>
      <c r="G3168" s="12" t="inlineStr">
        <is>
          <t>JB-ABS-C-DI02</t>
        </is>
      </c>
      <c r="H3168" s="12" t="inlineStr">
        <is>
          <t>Absorber C (62 ft dia x 262 ft, stack to 313 ft)</t>
        </is>
      </c>
      <c r="I3168" s="12" t="inlineStr">
        <is>
          <t>Instrumentation</t>
        </is>
      </c>
      <c r="J3168" s="12" t="inlineStr">
        <is>
          <t>Instrumentation PLTC / TC-ER 300 V, #18 twisted shielded pairs, overall shield</t>
        </is>
      </c>
      <c r="K3168" s="12" t="inlineStr">
        <is>
          <t>PLTC|1 pr|16</t>
        </is>
      </c>
      <c r="L3168" s="12" t="inlineStr">
        <is>
          <t>1 pr</t>
        </is>
      </c>
      <c r="M3168" s="12" t="inlineStr">
        <is>
          <t>16</t>
        </is>
      </c>
      <c r="N3168" s="12" t="n">
        <v>20</v>
      </c>
      <c r="O3168" s="12" t="n">
        <v>1</v>
      </c>
      <c r="P3168" s="12" t="n"/>
      <c r="Q3168" s="12" t="n"/>
      <c r="R3168" s="12" t="n"/>
      <c r="S3168" s="12" t="inlineStr">
        <is>
          <t>Tray / conduit</t>
        </is>
      </c>
      <c r="T3168" s="16" t="n">
        <v>212</v>
      </c>
      <c r="U3168" s="16" t="n">
        <v>10</v>
      </c>
      <c r="V3168" s="16">
        <f>ROUNDUP((T3168+U3168+2*'Read Me'!$B$13)*(1+'Read Me'!$B$12),-1)</f>
        <v/>
      </c>
      <c r="W3168" s="16">
        <f>V3168*N3168*O3168</f>
        <v/>
      </c>
      <c r="X3168" s="12">
        <f>IF(LEFT(I3168,2)="MV",2*N3168*IF(L3168="1/C",O3168,1),0)</f>
        <v/>
      </c>
      <c r="Y3168" s="12">
        <f>IF(OR(LEFT(K3168,4)="LVAX",LEFT(K3168,6)="MV15AX",LEFT(K3168,4)="CTAX",LEFT(K3168,2)="W|"),2*N3168*O3168,0)</f>
        <v/>
      </c>
      <c r="Z3168" s="12" t="inlineStr">
        <is>
          <t>device-to-JB field wiring, one cable per device</t>
        </is>
      </c>
      <c r="AA3168" s="12">
        <f>N3168*O3168</f>
        <v/>
      </c>
    </row>
    <row r="3169">
      <c r="A3169" s="12" t="inlineStr">
        <is>
          <t>G-I-0038</t>
        </is>
      </c>
      <c r="B3169" s="12" t="inlineStr">
        <is>
          <t>G</t>
        </is>
      </c>
      <c r="C3169" s="12" t="inlineStr">
        <is>
          <t>Carbon capture</t>
        </is>
      </c>
      <c r="D3169" s="12" t="inlineStr">
        <is>
          <t>Home run JB-ABS-C-DI02 to the control / marshalling room</t>
        </is>
      </c>
      <c r="E3169" s="12" t="inlineStr"/>
      <c r="F3169" s="12" t="inlineStr">
        <is>
          <t>CCS F&amp;G / control</t>
        </is>
      </c>
      <c r="G3169" s="12" t="inlineStr">
        <is>
          <t>JB-ABS-C-DI02</t>
        </is>
      </c>
      <c r="H3169" s="12" t="inlineStr">
        <is>
          <t>Absorber C (62 ft dia x 262 ft, stack to 313 ft)</t>
        </is>
      </c>
      <c r="I3169" s="12" t="inlineStr">
        <is>
          <t>Instrumentation</t>
        </is>
      </c>
      <c r="J3169" s="12" t="inlineStr">
        <is>
          <t>Instrumentation PLTC / TC-ER 300 V, #18 twisted shielded pairs, overall shield</t>
        </is>
      </c>
      <c r="K3169" s="12" t="inlineStr">
        <is>
          <t>PLTC|24 pr|18</t>
        </is>
      </c>
      <c r="L3169" s="12" t="inlineStr">
        <is>
          <t>24 pr</t>
        </is>
      </c>
      <c r="M3169" s="12" t="inlineStr">
        <is>
          <t>18</t>
        </is>
      </c>
      <c r="N3169" s="12" t="n">
        <v>1</v>
      </c>
      <c r="O3169" s="12" t="n">
        <v>1</v>
      </c>
      <c r="P3169" s="12" t="n"/>
      <c r="Q3169" s="12" t="n"/>
      <c r="R3169" s="12" t="n"/>
      <c r="S3169" s="12" t="inlineStr">
        <is>
          <t>Duct bank</t>
        </is>
      </c>
      <c r="T3169" s="16" t="n">
        <v>619</v>
      </c>
      <c r="U3169" s="16" t="n">
        <v>149</v>
      </c>
      <c r="V3169" s="16">
        <f>ROUNDUP((T3169+U3169+2*'Read Me'!$B$13)*(1+'Read Me'!$B$12),-1)</f>
        <v/>
      </c>
      <c r="W3169" s="16">
        <f>V3169*N3169*O3169</f>
        <v/>
      </c>
      <c r="X3169" s="12">
        <f>IF(LEFT(I3169,2)="MV",2*N3169*IF(L3169="1/C",O3169,1),0)</f>
        <v/>
      </c>
      <c r="Y3169" s="12">
        <f>IF(OR(LEFT(K3169,4)="LVAX",LEFT(K3169,6)="MV15AX",LEFT(K3169,4)="CTAX",LEFT(K3169,2)="W|"),2*N3169*O3169,0)</f>
        <v/>
      </c>
      <c r="Z3169" s="12" t="inlineStr"/>
      <c r="AA3169" s="12">
        <f>N3169*O3169</f>
        <v/>
      </c>
    </row>
    <row r="3170">
      <c r="A3170" s="12" t="inlineStr">
        <is>
          <t>G-I-0039</t>
        </is>
      </c>
      <c r="B3170" s="12" t="inlineStr">
        <is>
          <t>G</t>
        </is>
      </c>
      <c r="C3170" s="12" t="inlineStr">
        <is>
          <t>Carbon capture</t>
        </is>
      </c>
      <c r="D3170" s="12" t="inlineStr">
        <is>
          <t>Analog instrument to JB JB-Absorber C interco-AI01: 15 x 1 pr (field cables)</t>
        </is>
      </c>
      <c r="E3170" s="12" t="inlineStr"/>
      <c r="F3170" s="12" t="inlineStr">
        <is>
          <t>Absorber C intercooler (pumps + plate exchanger)</t>
        </is>
      </c>
      <c r="G3170" s="12" t="inlineStr">
        <is>
          <t>JB-Absorber C interco-AI01</t>
        </is>
      </c>
      <c r="H3170" s="12" t="inlineStr">
        <is>
          <t>Absorber C intercooler (pumps + plate exchanger)</t>
        </is>
      </c>
      <c r="I3170" s="12" t="inlineStr">
        <is>
          <t>Instrumentation</t>
        </is>
      </c>
      <c r="J3170" s="12" t="inlineStr">
        <is>
          <t>Instrumentation PLTC / TC-ER 300 V, #18 twisted shielded pairs, overall shield</t>
        </is>
      </c>
      <c r="K3170" s="12" t="inlineStr">
        <is>
          <t>PLTC|1 pr|16</t>
        </is>
      </c>
      <c r="L3170" s="12" t="inlineStr">
        <is>
          <t>1 pr</t>
        </is>
      </c>
      <c r="M3170" s="12" t="inlineStr">
        <is>
          <t>16</t>
        </is>
      </c>
      <c r="N3170" s="12" t="n">
        <v>15</v>
      </c>
      <c r="O3170" s="12" t="n">
        <v>1</v>
      </c>
      <c r="P3170" s="12" t="n"/>
      <c r="Q3170" s="12" t="n"/>
      <c r="R3170" s="12" t="n"/>
      <c r="S3170" s="12" t="inlineStr">
        <is>
          <t>Tray / conduit</t>
        </is>
      </c>
      <c r="T3170" s="16" t="n">
        <v>55</v>
      </c>
      <c r="U3170" s="16" t="n">
        <v>10</v>
      </c>
      <c r="V3170" s="16">
        <f>ROUNDUP((T3170+U3170+2*'Read Me'!$B$13)*(1+'Read Me'!$B$12),-1)</f>
        <v/>
      </c>
      <c r="W3170" s="16">
        <f>V3170*N3170*O3170</f>
        <v/>
      </c>
      <c r="X3170" s="12">
        <f>IF(LEFT(I3170,2)="MV",2*N3170*IF(L3170="1/C",O3170,1),0)</f>
        <v/>
      </c>
      <c r="Y3170" s="12">
        <f>IF(OR(LEFT(K3170,4)="LVAX",LEFT(K3170,6)="MV15AX",LEFT(K3170,4)="CTAX",LEFT(K3170,2)="W|"),2*N3170*O3170,0)</f>
        <v/>
      </c>
      <c r="Z3170" s="12" t="inlineStr">
        <is>
          <t>device-to-JB field wiring, one cable per device</t>
        </is>
      </c>
      <c r="AA3170" s="12">
        <f>N3170*O3170</f>
        <v/>
      </c>
    </row>
    <row r="3171">
      <c r="A3171" s="12" t="inlineStr">
        <is>
          <t>G-I-0040</t>
        </is>
      </c>
      <c r="B3171" s="12" t="inlineStr">
        <is>
          <t>G</t>
        </is>
      </c>
      <c r="C3171" s="12" t="inlineStr">
        <is>
          <t>Carbon capture</t>
        </is>
      </c>
      <c r="D3171" s="12" t="inlineStr">
        <is>
          <t>Home run JB-Absorber C interco-AI01 to the control / marshalling room</t>
        </is>
      </c>
      <c r="E3171" s="12" t="inlineStr"/>
      <c r="F3171" s="12" t="inlineStr">
        <is>
          <t>CCS F&amp;G / control</t>
        </is>
      </c>
      <c r="G3171" s="12" t="inlineStr">
        <is>
          <t>JB-Absorber C interco-AI01</t>
        </is>
      </c>
      <c r="H3171" s="12" t="inlineStr">
        <is>
          <t>Absorber C intercooler (pumps + plate exchanger)</t>
        </is>
      </c>
      <c r="I3171" s="12" t="inlineStr">
        <is>
          <t>Instrumentation</t>
        </is>
      </c>
      <c r="J3171" s="12" t="inlineStr">
        <is>
          <t>Instrumentation PLTC / TC-ER 300 V, #18 twisted shielded pairs, overall shield</t>
        </is>
      </c>
      <c r="K3171" s="12" t="inlineStr">
        <is>
          <t>PLTC|24 pr|18</t>
        </is>
      </c>
      <c r="L3171" s="12" t="inlineStr">
        <is>
          <t>24 pr</t>
        </is>
      </c>
      <c r="M3171" s="12" t="inlineStr">
        <is>
          <t>18</t>
        </is>
      </c>
      <c r="N3171" s="12" t="n">
        <v>1</v>
      </c>
      <c r="O3171" s="12" t="n">
        <v>1</v>
      </c>
      <c r="P3171" s="12" t="n"/>
      <c r="Q3171" s="12" t="n"/>
      <c r="R3171" s="12" t="n"/>
      <c r="S3171" s="12" t="inlineStr">
        <is>
          <t>Duct bank</t>
        </is>
      </c>
      <c r="T3171" s="16" t="n">
        <v>601</v>
      </c>
      <c r="U3171" s="16" t="n">
        <v>150</v>
      </c>
      <c r="V3171" s="16">
        <f>ROUNDUP((T3171+U3171+2*'Read Me'!$B$13)*(1+'Read Me'!$B$12),-1)</f>
        <v/>
      </c>
      <c r="W3171" s="16">
        <f>V3171*N3171*O3171</f>
        <v/>
      </c>
      <c r="X3171" s="12">
        <f>IF(LEFT(I3171,2)="MV",2*N3171*IF(L3171="1/C",O3171,1),0)</f>
        <v/>
      </c>
      <c r="Y3171" s="12">
        <f>IF(OR(LEFT(K3171,4)="LVAX",LEFT(K3171,6)="MV15AX",LEFT(K3171,4)="CTAX",LEFT(K3171,2)="W|"),2*N3171*O3171,0)</f>
        <v/>
      </c>
      <c r="Z3171" s="12" t="inlineStr"/>
      <c r="AA3171" s="12">
        <f>N3171*O3171</f>
        <v/>
      </c>
    </row>
    <row r="3172">
      <c r="A3172" s="12" t="inlineStr">
        <is>
          <t>G-I-0041</t>
        </is>
      </c>
      <c r="B3172" s="12" t="inlineStr">
        <is>
          <t>G</t>
        </is>
      </c>
      <c r="C3172" s="12" t="inlineStr">
        <is>
          <t>Carbon capture</t>
        </is>
      </c>
      <c r="D3172" s="12" t="inlineStr">
        <is>
          <t>Discrete device to JB JB-Absorber C interco-DI01: 15 x 1 pr (field cables)</t>
        </is>
      </c>
      <c r="E3172" s="12" t="inlineStr"/>
      <c r="F3172" s="12" t="inlineStr">
        <is>
          <t>Absorber C intercooler (pumps + plate exchanger)</t>
        </is>
      </c>
      <c r="G3172" s="12" t="inlineStr">
        <is>
          <t>JB-Absorber C interco-DI01</t>
        </is>
      </c>
      <c r="H3172" s="12" t="inlineStr">
        <is>
          <t>Absorber C intercooler (pumps + plate exchanger)</t>
        </is>
      </c>
      <c r="I3172" s="12" t="inlineStr">
        <is>
          <t>Instrumentation</t>
        </is>
      </c>
      <c r="J3172" s="12" t="inlineStr">
        <is>
          <t>Instrumentation PLTC / TC-ER 300 V, #18 twisted shielded pairs, overall shield</t>
        </is>
      </c>
      <c r="K3172" s="12" t="inlineStr">
        <is>
          <t>PLTC|1 pr|16</t>
        </is>
      </c>
      <c r="L3172" s="12" t="inlineStr">
        <is>
          <t>1 pr</t>
        </is>
      </c>
      <c r="M3172" s="12" t="inlineStr">
        <is>
          <t>16</t>
        </is>
      </c>
      <c r="N3172" s="12" t="n">
        <v>15</v>
      </c>
      <c r="O3172" s="12" t="n">
        <v>1</v>
      </c>
      <c r="P3172" s="12" t="n"/>
      <c r="Q3172" s="12" t="n"/>
      <c r="R3172" s="12" t="n"/>
      <c r="S3172" s="12" t="inlineStr">
        <is>
          <t>Tray / conduit</t>
        </is>
      </c>
      <c r="T3172" s="16" t="n">
        <v>55</v>
      </c>
      <c r="U3172" s="16" t="n">
        <v>10</v>
      </c>
      <c r="V3172" s="16">
        <f>ROUNDUP((T3172+U3172+2*'Read Me'!$B$13)*(1+'Read Me'!$B$12),-1)</f>
        <v/>
      </c>
      <c r="W3172" s="16">
        <f>V3172*N3172*O3172</f>
        <v/>
      </c>
      <c r="X3172" s="12">
        <f>IF(LEFT(I3172,2)="MV",2*N3172*IF(L3172="1/C",O3172,1),0)</f>
        <v/>
      </c>
      <c r="Y3172" s="12">
        <f>IF(OR(LEFT(K3172,4)="LVAX",LEFT(K3172,6)="MV15AX",LEFT(K3172,4)="CTAX",LEFT(K3172,2)="W|"),2*N3172*O3172,0)</f>
        <v/>
      </c>
      <c r="Z3172" s="12" t="inlineStr">
        <is>
          <t>device-to-JB field wiring, one cable per device</t>
        </is>
      </c>
      <c r="AA3172" s="12">
        <f>N3172*O3172</f>
        <v/>
      </c>
    </row>
    <row r="3173">
      <c r="A3173" s="12" t="inlineStr">
        <is>
          <t>G-I-0042</t>
        </is>
      </c>
      <c r="B3173" s="12" t="inlineStr">
        <is>
          <t>G</t>
        </is>
      </c>
      <c r="C3173" s="12" t="inlineStr">
        <is>
          <t>Carbon capture</t>
        </is>
      </c>
      <c r="D3173" s="12" t="inlineStr">
        <is>
          <t>Home run JB-Absorber C interco-DI01 to the control / marshalling room</t>
        </is>
      </c>
      <c r="E3173" s="12" t="inlineStr"/>
      <c r="F3173" s="12" t="inlineStr">
        <is>
          <t>CCS F&amp;G / control</t>
        </is>
      </c>
      <c r="G3173" s="12" t="inlineStr">
        <is>
          <t>JB-Absorber C interco-DI01</t>
        </is>
      </c>
      <c r="H3173" s="12" t="inlineStr">
        <is>
          <t>Absorber C intercooler (pumps + plate exchanger)</t>
        </is>
      </c>
      <c r="I3173" s="12" t="inlineStr">
        <is>
          <t>Instrumentation</t>
        </is>
      </c>
      <c r="J3173" s="12" t="inlineStr">
        <is>
          <t>Instrumentation PLTC / TC-ER 300 V, #18 twisted shielded pairs, overall shield</t>
        </is>
      </c>
      <c r="K3173" s="12" t="inlineStr">
        <is>
          <t>PLTC|24 pr|18</t>
        </is>
      </c>
      <c r="L3173" s="12" t="inlineStr">
        <is>
          <t>24 pr</t>
        </is>
      </c>
      <c r="M3173" s="12" t="inlineStr">
        <is>
          <t>18</t>
        </is>
      </c>
      <c r="N3173" s="12" t="n">
        <v>1</v>
      </c>
      <c r="O3173" s="12" t="n">
        <v>1</v>
      </c>
      <c r="P3173" s="12" t="n"/>
      <c r="Q3173" s="12" t="n"/>
      <c r="R3173" s="12" t="n"/>
      <c r="S3173" s="12" t="inlineStr">
        <is>
          <t>Duct bank</t>
        </is>
      </c>
      <c r="T3173" s="16" t="n">
        <v>601</v>
      </c>
      <c r="U3173" s="16" t="n">
        <v>150</v>
      </c>
      <c r="V3173" s="16">
        <f>ROUNDUP((T3173+U3173+2*'Read Me'!$B$13)*(1+'Read Me'!$B$12),-1)</f>
        <v/>
      </c>
      <c r="W3173" s="16">
        <f>V3173*N3173*O3173</f>
        <v/>
      </c>
      <c r="X3173" s="12">
        <f>IF(LEFT(I3173,2)="MV",2*N3173*IF(L3173="1/C",O3173,1),0)</f>
        <v/>
      </c>
      <c r="Y3173" s="12">
        <f>IF(OR(LEFT(K3173,4)="LVAX",LEFT(K3173,6)="MV15AX",LEFT(K3173,4)="CTAX",LEFT(K3173,2)="W|"),2*N3173*O3173,0)</f>
        <v/>
      </c>
      <c r="Z3173" s="12" t="inlineStr"/>
      <c r="AA3173" s="12">
        <f>N3173*O3173</f>
        <v/>
      </c>
    </row>
    <row r="3174">
      <c r="A3174" s="12" t="inlineStr">
        <is>
          <t>G-I-0043</t>
        </is>
      </c>
      <c r="B3174" s="12" t="inlineStr">
        <is>
          <t>G</t>
        </is>
      </c>
      <c r="C3174" s="12" t="inlineStr">
        <is>
          <t>Carbon capture</t>
        </is>
      </c>
      <c r="D3174" s="12" t="inlineStr">
        <is>
          <t>Analog instrument to JB JB-Activated-carbon f-AI01: 6 x 1 pr (field cables)</t>
        </is>
      </c>
      <c r="E3174" s="12" t="inlineStr"/>
      <c r="F3174" s="12" t="inlineStr">
        <is>
          <t>Activated-carbon filter</t>
        </is>
      </c>
      <c r="G3174" s="12" t="inlineStr">
        <is>
          <t>JB-Activated-carbon f-AI01</t>
        </is>
      </c>
      <c r="H3174" s="12" t="inlineStr">
        <is>
          <t>Activated-carbon filter</t>
        </is>
      </c>
      <c r="I3174" s="12" t="inlineStr">
        <is>
          <t>Instrumentation</t>
        </is>
      </c>
      <c r="J3174" s="12" t="inlineStr">
        <is>
          <t>Instrumentation PLTC / TC-ER 300 V, #18 twisted shielded pairs, overall shield</t>
        </is>
      </c>
      <c r="K3174" s="12" t="inlineStr">
        <is>
          <t>PLTC|1 pr|16</t>
        </is>
      </c>
      <c r="L3174" s="12" t="inlineStr">
        <is>
          <t>1 pr</t>
        </is>
      </c>
      <c r="M3174" s="12" t="inlineStr">
        <is>
          <t>16</t>
        </is>
      </c>
      <c r="N3174" s="12" t="n">
        <v>6</v>
      </c>
      <c r="O3174" s="12" t="n">
        <v>1</v>
      </c>
      <c r="P3174" s="12" t="n"/>
      <c r="Q3174" s="12" t="n"/>
      <c r="R3174" s="12" t="n"/>
      <c r="S3174" s="12" t="inlineStr">
        <is>
          <t>Tray / conduit</t>
        </is>
      </c>
      <c r="T3174" s="16" t="n">
        <v>91</v>
      </c>
      <c r="U3174" s="16" t="n">
        <v>10</v>
      </c>
      <c r="V3174" s="16">
        <f>ROUNDUP((T3174+U3174+2*'Read Me'!$B$13)*(1+'Read Me'!$B$12),-1)</f>
        <v/>
      </c>
      <c r="W3174" s="16">
        <f>V3174*N3174*O3174</f>
        <v/>
      </c>
      <c r="X3174" s="12">
        <f>IF(LEFT(I3174,2)="MV",2*N3174*IF(L3174="1/C",O3174,1),0)</f>
        <v/>
      </c>
      <c r="Y3174" s="12">
        <f>IF(OR(LEFT(K3174,4)="LVAX",LEFT(K3174,6)="MV15AX",LEFT(K3174,4)="CTAX",LEFT(K3174,2)="W|"),2*N3174*O3174,0)</f>
        <v/>
      </c>
      <c r="Z3174" s="12" t="inlineStr">
        <is>
          <t>device-to-JB field wiring, one cable per device</t>
        </is>
      </c>
      <c r="AA3174" s="12">
        <f>N3174*O3174</f>
        <v/>
      </c>
    </row>
    <row r="3175">
      <c r="A3175" s="12" t="inlineStr">
        <is>
          <t>G-I-0044</t>
        </is>
      </c>
      <c r="B3175" s="12" t="inlineStr">
        <is>
          <t>G</t>
        </is>
      </c>
      <c r="C3175" s="12" t="inlineStr">
        <is>
          <t>Carbon capture</t>
        </is>
      </c>
      <c r="D3175" s="12" t="inlineStr">
        <is>
          <t>Home run JB-Activated-carbon f-AI01 to the control / marshalling room</t>
        </is>
      </c>
      <c r="E3175" s="12" t="inlineStr"/>
      <c r="F3175" s="12" t="inlineStr">
        <is>
          <t>CCS F&amp;G / control</t>
        </is>
      </c>
      <c r="G3175" s="12" t="inlineStr">
        <is>
          <t>JB-Activated-carbon f-AI01</t>
        </is>
      </c>
      <c r="H3175" s="12" t="inlineStr">
        <is>
          <t>Activated-carbon filter</t>
        </is>
      </c>
      <c r="I3175" s="12" t="inlineStr">
        <is>
          <t>Instrumentation</t>
        </is>
      </c>
      <c r="J3175" s="12" t="inlineStr">
        <is>
          <t>Instrumentation PLTC / TC-ER 300 V, #18 twisted shielded pairs, overall shield</t>
        </is>
      </c>
      <c r="K3175" s="12" t="inlineStr">
        <is>
          <t>PLTC|24 pr|18</t>
        </is>
      </c>
      <c r="L3175" s="12" t="inlineStr">
        <is>
          <t>24 pr</t>
        </is>
      </c>
      <c r="M3175" s="12" t="inlineStr">
        <is>
          <t>18</t>
        </is>
      </c>
      <c r="N3175" s="12" t="n">
        <v>1</v>
      </c>
      <c r="O3175" s="12" t="n">
        <v>1</v>
      </c>
      <c r="P3175" s="12" t="n"/>
      <c r="Q3175" s="12" t="n"/>
      <c r="R3175" s="12" t="n"/>
      <c r="S3175" s="12" t="inlineStr">
        <is>
          <t>Duct bank</t>
        </is>
      </c>
      <c r="T3175" s="16" t="n">
        <v>185</v>
      </c>
      <c r="U3175" s="16" t="n">
        <v>112</v>
      </c>
      <c r="V3175" s="16">
        <f>ROUNDUP((T3175+U3175+2*'Read Me'!$B$13)*(1+'Read Me'!$B$12),-1)</f>
        <v/>
      </c>
      <c r="W3175" s="16">
        <f>V3175*N3175*O3175</f>
        <v/>
      </c>
      <c r="X3175" s="12">
        <f>IF(LEFT(I3175,2)="MV",2*N3175*IF(L3175="1/C",O3175,1),0)</f>
        <v/>
      </c>
      <c r="Y3175" s="12">
        <f>IF(OR(LEFT(K3175,4)="LVAX",LEFT(K3175,6)="MV15AX",LEFT(K3175,4)="CTAX",LEFT(K3175,2)="W|"),2*N3175*O3175,0)</f>
        <v/>
      </c>
      <c r="Z3175" s="12" t="inlineStr"/>
      <c r="AA3175" s="12">
        <f>N3175*O3175</f>
        <v/>
      </c>
    </row>
    <row r="3176">
      <c r="A3176" s="12" t="inlineStr">
        <is>
          <t>G-I-0045</t>
        </is>
      </c>
      <c r="B3176" s="12" t="inlineStr">
        <is>
          <t>G</t>
        </is>
      </c>
      <c r="C3176" s="12" t="inlineStr">
        <is>
          <t>Carbon capture</t>
        </is>
      </c>
      <c r="D3176" s="12" t="inlineStr">
        <is>
          <t>Discrete device to JB JB-Activated-carbon f-DI01: 6 x 1 pr (field cables)</t>
        </is>
      </c>
      <c r="E3176" s="12" t="inlineStr"/>
      <c r="F3176" s="12" t="inlineStr">
        <is>
          <t>Activated-carbon filter</t>
        </is>
      </c>
      <c r="G3176" s="12" t="inlineStr">
        <is>
          <t>JB-Activated-carbon f-DI01</t>
        </is>
      </c>
      <c r="H3176" s="12" t="inlineStr">
        <is>
          <t>Activated-carbon filter</t>
        </is>
      </c>
      <c r="I3176" s="12" t="inlineStr">
        <is>
          <t>Instrumentation</t>
        </is>
      </c>
      <c r="J3176" s="12" t="inlineStr">
        <is>
          <t>Instrumentation PLTC / TC-ER 300 V, #18 twisted shielded pairs, overall shield</t>
        </is>
      </c>
      <c r="K3176" s="12" t="inlineStr">
        <is>
          <t>PLTC|1 pr|16</t>
        </is>
      </c>
      <c r="L3176" s="12" t="inlineStr">
        <is>
          <t>1 pr</t>
        </is>
      </c>
      <c r="M3176" s="12" t="inlineStr">
        <is>
          <t>16</t>
        </is>
      </c>
      <c r="N3176" s="12" t="n">
        <v>6</v>
      </c>
      <c r="O3176" s="12" t="n">
        <v>1</v>
      </c>
      <c r="P3176" s="12" t="n"/>
      <c r="Q3176" s="12" t="n"/>
      <c r="R3176" s="12" t="n"/>
      <c r="S3176" s="12" t="inlineStr">
        <is>
          <t>Tray / conduit</t>
        </is>
      </c>
      <c r="T3176" s="16" t="n">
        <v>91</v>
      </c>
      <c r="U3176" s="16" t="n">
        <v>10</v>
      </c>
      <c r="V3176" s="16">
        <f>ROUNDUP((T3176+U3176+2*'Read Me'!$B$13)*(1+'Read Me'!$B$12),-1)</f>
        <v/>
      </c>
      <c r="W3176" s="16">
        <f>V3176*N3176*O3176</f>
        <v/>
      </c>
      <c r="X3176" s="12">
        <f>IF(LEFT(I3176,2)="MV",2*N3176*IF(L3176="1/C",O3176,1),0)</f>
        <v/>
      </c>
      <c r="Y3176" s="12">
        <f>IF(OR(LEFT(K3176,4)="LVAX",LEFT(K3176,6)="MV15AX",LEFT(K3176,4)="CTAX",LEFT(K3176,2)="W|"),2*N3176*O3176,0)</f>
        <v/>
      </c>
      <c r="Z3176" s="12" t="inlineStr">
        <is>
          <t>device-to-JB field wiring, one cable per device</t>
        </is>
      </c>
      <c r="AA3176" s="12">
        <f>N3176*O3176</f>
        <v/>
      </c>
    </row>
    <row r="3177">
      <c r="A3177" s="12" t="inlineStr">
        <is>
          <t>G-I-0046</t>
        </is>
      </c>
      <c r="B3177" s="12" t="inlineStr">
        <is>
          <t>G</t>
        </is>
      </c>
      <c r="C3177" s="12" t="inlineStr">
        <is>
          <t>Carbon capture</t>
        </is>
      </c>
      <c r="D3177" s="12" t="inlineStr">
        <is>
          <t>Home run JB-Activated-carbon f-DI01 to the control / marshalling room</t>
        </is>
      </c>
      <c r="E3177" s="12" t="inlineStr"/>
      <c r="F3177" s="12" t="inlineStr">
        <is>
          <t>CCS F&amp;G / control</t>
        </is>
      </c>
      <c r="G3177" s="12" t="inlineStr">
        <is>
          <t>JB-Activated-carbon f-DI01</t>
        </is>
      </c>
      <c r="H3177" s="12" t="inlineStr">
        <is>
          <t>Activated-carbon filter</t>
        </is>
      </c>
      <c r="I3177" s="12" t="inlineStr">
        <is>
          <t>Instrumentation</t>
        </is>
      </c>
      <c r="J3177" s="12" t="inlineStr">
        <is>
          <t>Instrumentation PLTC / TC-ER 300 V, #18 twisted shielded pairs, overall shield</t>
        </is>
      </c>
      <c r="K3177" s="12" t="inlineStr">
        <is>
          <t>PLTC|24 pr|18</t>
        </is>
      </c>
      <c r="L3177" s="12" t="inlineStr">
        <is>
          <t>24 pr</t>
        </is>
      </c>
      <c r="M3177" s="12" t="inlineStr">
        <is>
          <t>18</t>
        </is>
      </c>
      <c r="N3177" s="12" t="n">
        <v>1</v>
      </c>
      <c r="O3177" s="12" t="n">
        <v>1</v>
      </c>
      <c r="P3177" s="12" t="n"/>
      <c r="Q3177" s="12" t="n"/>
      <c r="R3177" s="12" t="n"/>
      <c r="S3177" s="12" t="inlineStr">
        <is>
          <t>Duct bank</t>
        </is>
      </c>
      <c r="T3177" s="16" t="n">
        <v>185</v>
      </c>
      <c r="U3177" s="16" t="n">
        <v>112</v>
      </c>
      <c r="V3177" s="16">
        <f>ROUNDUP((T3177+U3177+2*'Read Me'!$B$13)*(1+'Read Me'!$B$12),-1)</f>
        <v/>
      </c>
      <c r="W3177" s="16">
        <f>V3177*N3177*O3177</f>
        <v/>
      </c>
      <c r="X3177" s="12">
        <f>IF(LEFT(I3177,2)="MV",2*N3177*IF(L3177="1/C",O3177,1),0)</f>
        <v/>
      </c>
      <c r="Y3177" s="12">
        <f>IF(OR(LEFT(K3177,4)="LVAX",LEFT(K3177,6)="MV15AX",LEFT(K3177,4)="CTAX",LEFT(K3177,2)="W|"),2*N3177*O3177,0)</f>
        <v/>
      </c>
      <c r="Z3177" s="12" t="inlineStr"/>
      <c r="AA3177" s="12">
        <f>N3177*O3177</f>
        <v/>
      </c>
    </row>
    <row r="3178">
      <c r="A3178" s="12" t="inlineStr">
        <is>
          <t>G-I-0047</t>
        </is>
      </c>
      <c r="B3178" s="12" t="inlineStr">
        <is>
          <t>G</t>
        </is>
      </c>
      <c r="C3178" s="12" t="inlineStr">
        <is>
          <t>Carbon capture</t>
        </is>
      </c>
      <c r="D3178" s="12" t="inlineStr">
        <is>
          <t>Analog instrument to JB JB-BF-A-AI01: 20 x 1 pr (field cables)</t>
        </is>
      </c>
      <c r="E3178" s="12" t="inlineStr">
        <is>
          <t>BF-A</t>
        </is>
      </c>
      <c r="F3178" s="12" t="inlineStr">
        <is>
          <t>BF-A: booster fan (~16 MW)</t>
        </is>
      </c>
      <c r="G3178" s="12" t="inlineStr">
        <is>
          <t>JB-BF-A-AI01</t>
        </is>
      </c>
      <c r="H3178" s="12" t="inlineStr">
        <is>
          <t>BF-A: booster fan (~16 MW)</t>
        </is>
      </c>
      <c r="I3178" s="12" t="inlineStr">
        <is>
          <t>Instrumentation</t>
        </is>
      </c>
      <c r="J3178" s="12" t="inlineStr">
        <is>
          <t>Instrumentation PLTC / TC-ER 300 V, #18 twisted shielded pairs, overall shield</t>
        </is>
      </c>
      <c r="K3178" s="12" t="inlineStr">
        <is>
          <t>PLTC|1 pr|16</t>
        </is>
      </c>
      <c r="L3178" s="12" t="inlineStr">
        <is>
          <t>1 pr</t>
        </is>
      </c>
      <c r="M3178" s="12" t="inlineStr">
        <is>
          <t>16</t>
        </is>
      </c>
      <c r="N3178" s="12" t="n">
        <v>20</v>
      </c>
      <c r="O3178" s="12" t="n">
        <v>1</v>
      </c>
      <c r="P3178" s="12" t="n"/>
      <c r="Q3178" s="12" t="n"/>
      <c r="R3178" s="12" t="n"/>
      <c r="S3178" s="12" t="inlineStr">
        <is>
          <t>Tray / conduit</t>
        </is>
      </c>
      <c r="T3178" s="16" t="n">
        <v>82</v>
      </c>
      <c r="U3178" s="16" t="n">
        <v>10</v>
      </c>
      <c r="V3178" s="16">
        <f>ROUNDUP((T3178+U3178+2*'Read Me'!$B$13)*(1+'Read Me'!$B$12),-1)</f>
        <v/>
      </c>
      <c r="W3178" s="16">
        <f>V3178*N3178*O3178</f>
        <v/>
      </c>
      <c r="X3178" s="12">
        <f>IF(LEFT(I3178,2)="MV",2*N3178*IF(L3178="1/C",O3178,1),0)</f>
        <v/>
      </c>
      <c r="Y3178" s="12">
        <f>IF(OR(LEFT(K3178,4)="LVAX",LEFT(K3178,6)="MV15AX",LEFT(K3178,4)="CTAX",LEFT(K3178,2)="W|"),2*N3178*O3178,0)</f>
        <v/>
      </c>
      <c r="Z3178" s="12" t="inlineStr">
        <is>
          <t>device-to-JB field wiring, one cable per device</t>
        </is>
      </c>
      <c r="AA3178" s="12">
        <f>N3178*O3178</f>
        <v/>
      </c>
    </row>
    <row r="3179">
      <c r="A3179" s="12" t="inlineStr">
        <is>
          <t>G-I-0048</t>
        </is>
      </c>
      <c r="B3179" s="12" t="inlineStr">
        <is>
          <t>G</t>
        </is>
      </c>
      <c r="C3179" s="12" t="inlineStr">
        <is>
          <t>Carbon capture</t>
        </is>
      </c>
      <c r="D3179" s="12" t="inlineStr">
        <is>
          <t>Home run JB-BF-A-AI01 to the control / marshalling room</t>
        </is>
      </c>
      <c r="E3179" s="12" t="inlineStr"/>
      <c r="F3179" s="12" t="inlineStr">
        <is>
          <t>CCS F&amp;G / control</t>
        </is>
      </c>
      <c r="G3179" s="12" t="inlineStr">
        <is>
          <t>JB-BF-A-AI01</t>
        </is>
      </c>
      <c r="H3179" s="12" t="inlineStr">
        <is>
          <t>BF-A: booster fan (~16 MW)</t>
        </is>
      </c>
      <c r="I3179" s="12" t="inlineStr">
        <is>
          <t>Instrumentation</t>
        </is>
      </c>
      <c r="J3179" s="12" t="inlineStr">
        <is>
          <t>Instrumentation PLTC / TC-ER 300 V, #18 twisted shielded pairs, overall shield</t>
        </is>
      </c>
      <c r="K3179" s="12" t="inlineStr">
        <is>
          <t>PLTC|24 pr|18</t>
        </is>
      </c>
      <c r="L3179" s="12" t="inlineStr">
        <is>
          <t>24 pr</t>
        </is>
      </c>
      <c r="M3179" s="12" t="inlineStr">
        <is>
          <t>18</t>
        </is>
      </c>
      <c r="N3179" s="12" t="n">
        <v>1</v>
      </c>
      <c r="O3179" s="12" t="n">
        <v>1</v>
      </c>
      <c r="P3179" s="12" t="n"/>
      <c r="Q3179" s="12" t="n"/>
      <c r="R3179" s="12" t="n"/>
      <c r="S3179" s="12" t="inlineStr">
        <is>
          <t>Duct bank</t>
        </is>
      </c>
      <c r="T3179" s="16" t="n">
        <v>861</v>
      </c>
      <c r="U3179" s="16" t="n">
        <v>101</v>
      </c>
      <c r="V3179" s="16">
        <f>ROUNDUP((T3179+U3179+2*'Read Me'!$B$13)*(1+'Read Me'!$B$12),-1)</f>
        <v/>
      </c>
      <c r="W3179" s="16">
        <f>V3179*N3179*O3179</f>
        <v/>
      </c>
      <c r="X3179" s="12">
        <f>IF(LEFT(I3179,2)="MV",2*N3179*IF(L3179="1/C",O3179,1),0)</f>
        <v/>
      </c>
      <c r="Y3179" s="12">
        <f>IF(OR(LEFT(K3179,4)="LVAX",LEFT(K3179,6)="MV15AX",LEFT(K3179,4)="CTAX",LEFT(K3179,2)="W|"),2*N3179*O3179,0)</f>
        <v/>
      </c>
      <c r="Z3179" s="12" t="inlineStr"/>
      <c r="AA3179" s="12">
        <f>N3179*O3179</f>
        <v/>
      </c>
    </row>
    <row r="3180">
      <c r="A3180" s="12" t="inlineStr">
        <is>
          <t>G-I-0049</t>
        </is>
      </c>
      <c r="B3180" s="12" t="inlineStr">
        <is>
          <t>G</t>
        </is>
      </c>
      <c r="C3180" s="12" t="inlineStr">
        <is>
          <t>Carbon capture</t>
        </is>
      </c>
      <c r="D3180" s="12" t="inlineStr">
        <is>
          <t>Analog instrument to JB JB-BF-A-AI02: 10 x 1 pr (field cables)</t>
        </is>
      </c>
      <c r="E3180" s="12" t="inlineStr">
        <is>
          <t>BF-A</t>
        </is>
      </c>
      <c r="F3180" s="12" t="inlineStr">
        <is>
          <t>BF-A: booster fan (~16 MW)</t>
        </is>
      </c>
      <c r="G3180" s="12" t="inlineStr">
        <is>
          <t>JB-BF-A-AI02</t>
        </is>
      </c>
      <c r="H3180" s="12" t="inlineStr">
        <is>
          <t>BF-A: booster fan (~16 MW)</t>
        </is>
      </c>
      <c r="I3180" s="12" t="inlineStr">
        <is>
          <t>Instrumentation</t>
        </is>
      </c>
      <c r="J3180" s="12" t="inlineStr">
        <is>
          <t>Instrumentation PLTC / TC-ER 300 V, #18 twisted shielded pairs, overall shield</t>
        </is>
      </c>
      <c r="K3180" s="12" t="inlineStr">
        <is>
          <t>PLTC|1 pr|16</t>
        </is>
      </c>
      <c r="L3180" s="12" t="inlineStr">
        <is>
          <t>1 pr</t>
        </is>
      </c>
      <c r="M3180" s="12" t="inlineStr">
        <is>
          <t>16</t>
        </is>
      </c>
      <c r="N3180" s="12" t="n">
        <v>10</v>
      </c>
      <c r="O3180" s="12" t="n">
        <v>1</v>
      </c>
      <c r="P3180" s="12" t="n"/>
      <c r="Q3180" s="12" t="n"/>
      <c r="R3180" s="12" t="n"/>
      <c r="S3180" s="12" t="inlineStr">
        <is>
          <t>Tray / conduit</t>
        </is>
      </c>
      <c r="T3180" s="16" t="n">
        <v>82</v>
      </c>
      <c r="U3180" s="16" t="n">
        <v>10</v>
      </c>
      <c r="V3180" s="16">
        <f>ROUNDUP((T3180+U3180+2*'Read Me'!$B$13)*(1+'Read Me'!$B$12),-1)</f>
        <v/>
      </c>
      <c r="W3180" s="16">
        <f>V3180*N3180*O3180</f>
        <v/>
      </c>
      <c r="X3180" s="12">
        <f>IF(LEFT(I3180,2)="MV",2*N3180*IF(L3180="1/C",O3180,1),0)</f>
        <v/>
      </c>
      <c r="Y3180" s="12">
        <f>IF(OR(LEFT(K3180,4)="LVAX",LEFT(K3180,6)="MV15AX",LEFT(K3180,4)="CTAX",LEFT(K3180,2)="W|"),2*N3180*O3180,0)</f>
        <v/>
      </c>
      <c r="Z3180" s="12" t="inlineStr">
        <is>
          <t>device-to-JB field wiring, one cable per device</t>
        </is>
      </c>
      <c r="AA3180" s="12">
        <f>N3180*O3180</f>
        <v/>
      </c>
    </row>
    <row r="3181">
      <c r="A3181" s="12" t="inlineStr">
        <is>
          <t>G-I-0050</t>
        </is>
      </c>
      <c r="B3181" s="12" t="inlineStr">
        <is>
          <t>G</t>
        </is>
      </c>
      <c r="C3181" s="12" t="inlineStr">
        <is>
          <t>Carbon capture</t>
        </is>
      </c>
      <c r="D3181" s="12" t="inlineStr">
        <is>
          <t>Home run JB-BF-A-AI02 to the control / marshalling room</t>
        </is>
      </c>
      <c r="E3181" s="12" t="inlineStr"/>
      <c r="F3181" s="12" t="inlineStr">
        <is>
          <t>CCS F&amp;G / control</t>
        </is>
      </c>
      <c r="G3181" s="12" t="inlineStr">
        <is>
          <t>JB-BF-A-AI02</t>
        </is>
      </c>
      <c r="H3181" s="12" t="inlineStr">
        <is>
          <t>BF-A: booster fan (~16 MW)</t>
        </is>
      </c>
      <c r="I3181" s="12" t="inlineStr">
        <is>
          <t>Instrumentation</t>
        </is>
      </c>
      <c r="J3181" s="12" t="inlineStr">
        <is>
          <t>Instrumentation PLTC / TC-ER 300 V, #18 twisted shielded pairs, overall shield</t>
        </is>
      </c>
      <c r="K3181" s="12" t="inlineStr">
        <is>
          <t>PLTC|24 pr|18</t>
        </is>
      </c>
      <c r="L3181" s="12" t="inlineStr">
        <is>
          <t>24 pr</t>
        </is>
      </c>
      <c r="M3181" s="12" t="inlineStr">
        <is>
          <t>18</t>
        </is>
      </c>
      <c r="N3181" s="12" t="n">
        <v>1</v>
      </c>
      <c r="O3181" s="12" t="n">
        <v>1</v>
      </c>
      <c r="P3181" s="12" t="n"/>
      <c r="Q3181" s="12" t="n"/>
      <c r="R3181" s="12" t="n"/>
      <c r="S3181" s="12" t="inlineStr">
        <is>
          <t>Duct bank</t>
        </is>
      </c>
      <c r="T3181" s="16" t="n">
        <v>861</v>
      </c>
      <c r="U3181" s="16" t="n">
        <v>101</v>
      </c>
      <c r="V3181" s="16">
        <f>ROUNDUP((T3181+U3181+2*'Read Me'!$B$13)*(1+'Read Me'!$B$12),-1)</f>
        <v/>
      </c>
      <c r="W3181" s="16">
        <f>V3181*N3181*O3181</f>
        <v/>
      </c>
      <c r="X3181" s="12">
        <f>IF(LEFT(I3181,2)="MV",2*N3181*IF(L3181="1/C",O3181,1),0)</f>
        <v/>
      </c>
      <c r="Y3181" s="12">
        <f>IF(OR(LEFT(K3181,4)="LVAX",LEFT(K3181,6)="MV15AX",LEFT(K3181,4)="CTAX",LEFT(K3181,2)="W|"),2*N3181*O3181,0)</f>
        <v/>
      </c>
      <c r="Z3181" s="12" t="inlineStr"/>
      <c r="AA3181" s="12">
        <f>N3181*O3181</f>
        <v/>
      </c>
    </row>
    <row r="3182">
      <c r="A3182" s="12" t="inlineStr">
        <is>
          <t>G-I-0051</t>
        </is>
      </c>
      <c r="B3182" s="12" t="inlineStr">
        <is>
          <t>G</t>
        </is>
      </c>
      <c r="C3182" s="12" t="inlineStr">
        <is>
          <t>Carbon capture</t>
        </is>
      </c>
      <c r="D3182" s="12" t="inlineStr">
        <is>
          <t>Discrete device to JB JB-BF-A-DI01: 20 x 1 pr (field cables)</t>
        </is>
      </c>
      <c r="E3182" s="12" t="inlineStr">
        <is>
          <t>BF-A</t>
        </is>
      </c>
      <c r="F3182" s="12" t="inlineStr">
        <is>
          <t>BF-A: booster fan (~16 MW)</t>
        </is>
      </c>
      <c r="G3182" s="12" t="inlineStr">
        <is>
          <t>JB-BF-A-DI01</t>
        </is>
      </c>
      <c r="H3182" s="12" t="inlineStr">
        <is>
          <t>BF-A: booster fan (~16 MW)</t>
        </is>
      </c>
      <c r="I3182" s="12" t="inlineStr">
        <is>
          <t>Instrumentation</t>
        </is>
      </c>
      <c r="J3182" s="12" t="inlineStr">
        <is>
          <t>Instrumentation PLTC / TC-ER 300 V, #18 twisted shielded pairs, overall shield</t>
        </is>
      </c>
      <c r="K3182" s="12" t="inlineStr">
        <is>
          <t>PLTC|1 pr|16</t>
        </is>
      </c>
      <c r="L3182" s="12" t="inlineStr">
        <is>
          <t>1 pr</t>
        </is>
      </c>
      <c r="M3182" s="12" t="inlineStr">
        <is>
          <t>16</t>
        </is>
      </c>
      <c r="N3182" s="12" t="n">
        <v>20</v>
      </c>
      <c r="O3182" s="12" t="n">
        <v>1</v>
      </c>
      <c r="P3182" s="12" t="n"/>
      <c r="Q3182" s="12" t="n"/>
      <c r="R3182" s="12" t="n"/>
      <c r="S3182" s="12" t="inlineStr">
        <is>
          <t>Tray / conduit</t>
        </is>
      </c>
      <c r="T3182" s="16" t="n">
        <v>82</v>
      </c>
      <c r="U3182" s="16" t="n">
        <v>10</v>
      </c>
      <c r="V3182" s="16">
        <f>ROUNDUP((T3182+U3182+2*'Read Me'!$B$13)*(1+'Read Me'!$B$12),-1)</f>
        <v/>
      </c>
      <c r="W3182" s="16">
        <f>V3182*N3182*O3182</f>
        <v/>
      </c>
      <c r="X3182" s="12">
        <f>IF(LEFT(I3182,2)="MV",2*N3182*IF(L3182="1/C",O3182,1),0)</f>
        <v/>
      </c>
      <c r="Y3182" s="12">
        <f>IF(OR(LEFT(K3182,4)="LVAX",LEFT(K3182,6)="MV15AX",LEFT(K3182,4)="CTAX",LEFT(K3182,2)="W|"),2*N3182*O3182,0)</f>
        <v/>
      </c>
      <c r="Z3182" s="12" t="inlineStr">
        <is>
          <t>device-to-JB field wiring, one cable per device</t>
        </is>
      </c>
      <c r="AA3182" s="12">
        <f>N3182*O3182</f>
        <v/>
      </c>
    </row>
    <row r="3183">
      <c r="A3183" s="12" t="inlineStr">
        <is>
          <t>G-I-0052</t>
        </is>
      </c>
      <c r="B3183" s="12" t="inlineStr">
        <is>
          <t>G</t>
        </is>
      </c>
      <c r="C3183" s="12" t="inlineStr">
        <is>
          <t>Carbon capture</t>
        </is>
      </c>
      <c r="D3183" s="12" t="inlineStr">
        <is>
          <t>Home run JB-BF-A-DI01 to the control / marshalling room</t>
        </is>
      </c>
      <c r="E3183" s="12" t="inlineStr"/>
      <c r="F3183" s="12" t="inlineStr">
        <is>
          <t>CCS F&amp;G / control</t>
        </is>
      </c>
      <c r="G3183" s="12" t="inlineStr">
        <is>
          <t>JB-BF-A-DI01</t>
        </is>
      </c>
      <c r="H3183" s="12" t="inlineStr">
        <is>
          <t>BF-A: booster fan (~16 MW)</t>
        </is>
      </c>
      <c r="I3183" s="12" t="inlineStr">
        <is>
          <t>Instrumentation</t>
        </is>
      </c>
      <c r="J3183" s="12" t="inlineStr">
        <is>
          <t>Instrumentation PLTC / TC-ER 300 V, #18 twisted shielded pairs, overall shield</t>
        </is>
      </c>
      <c r="K3183" s="12" t="inlineStr">
        <is>
          <t>PLTC|24 pr|18</t>
        </is>
      </c>
      <c r="L3183" s="12" t="inlineStr">
        <is>
          <t>24 pr</t>
        </is>
      </c>
      <c r="M3183" s="12" t="inlineStr">
        <is>
          <t>18</t>
        </is>
      </c>
      <c r="N3183" s="12" t="n">
        <v>1</v>
      </c>
      <c r="O3183" s="12" t="n">
        <v>1</v>
      </c>
      <c r="P3183" s="12" t="n"/>
      <c r="Q3183" s="12" t="n"/>
      <c r="R3183" s="12" t="n"/>
      <c r="S3183" s="12" t="inlineStr">
        <is>
          <t>Duct bank</t>
        </is>
      </c>
      <c r="T3183" s="16" t="n">
        <v>861</v>
      </c>
      <c r="U3183" s="16" t="n">
        <v>101</v>
      </c>
      <c r="V3183" s="16">
        <f>ROUNDUP((T3183+U3183+2*'Read Me'!$B$13)*(1+'Read Me'!$B$12),-1)</f>
        <v/>
      </c>
      <c r="W3183" s="16">
        <f>V3183*N3183*O3183</f>
        <v/>
      </c>
      <c r="X3183" s="12">
        <f>IF(LEFT(I3183,2)="MV",2*N3183*IF(L3183="1/C",O3183,1),0)</f>
        <v/>
      </c>
      <c r="Y3183" s="12">
        <f>IF(OR(LEFT(K3183,4)="LVAX",LEFT(K3183,6)="MV15AX",LEFT(K3183,4)="CTAX",LEFT(K3183,2)="W|"),2*N3183*O3183,0)</f>
        <v/>
      </c>
      <c r="Z3183" s="12" t="inlineStr"/>
      <c r="AA3183" s="12">
        <f>N3183*O3183</f>
        <v/>
      </c>
    </row>
    <row r="3184">
      <c r="A3184" s="12" t="inlineStr">
        <is>
          <t>G-I-0053</t>
        </is>
      </c>
      <c r="B3184" s="12" t="inlineStr">
        <is>
          <t>G</t>
        </is>
      </c>
      <c r="C3184" s="12" t="inlineStr">
        <is>
          <t>Carbon capture</t>
        </is>
      </c>
      <c r="D3184" s="12" t="inlineStr">
        <is>
          <t>RTD to JB JB-BF-A-RTD01: 10 x 1 tri (field cables)</t>
        </is>
      </c>
      <c r="E3184" s="12" t="inlineStr">
        <is>
          <t>BF-A</t>
        </is>
      </c>
      <c r="F3184" s="12" t="inlineStr">
        <is>
          <t>BF-A: booster fan (~16 MW)</t>
        </is>
      </c>
      <c r="G3184" s="12" t="inlineStr">
        <is>
          <t>JB-BF-A-RTD01</t>
        </is>
      </c>
      <c r="H3184" s="12" t="inlineStr">
        <is>
          <t>BF-A: booster fan (~16 MW)</t>
        </is>
      </c>
      <c r="I3184" s="12" t="inlineStr">
        <is>
          <t>Instrumentation</t>
        </is>
      </c>
      <c r="J3184" s="12" t="inlineStr">
        <is>
          <t>RTD cable, #18 shielded triads, PLTC</t>
        </is>
      </c>
      <c r="K3184" s="12" t="inlineStr">
        <is>
          <t>RTD|1 tri|18</t>
        </is>
      </c>
      <c r="L3184" s="12" t="inlineStr">
        <is>
          <t>1 tri</t>
        </is>
      </c>
      <c r="M3184" s="12" t="inlineStr">
        <is>
          <t>18</t>
        </is>
      </c>
      <c r="N3184" s="12" t="n">
        <v>10</v>
      </c>
      <c r="O3184" s="12" t="n">
        <v>1</v>
      </c>
      <c r="P3184" s="12" t="n"/>
      <c r="Q3184" s="12" t="n"/>
      <c r="R3184" s="12" t="n"/>
      <c r="S3184" s="12" t="inlineStr">
        <is>
          <t>Tray / conduit</t>
        </is>
      </c>
      <c r="T3184" s="16" t="n">
        <v>82</v>
      </c>
      <c r="U3184" s="16" t="n">
        <v>10</v>
      </c>
      <c r="V3184" s="16">
        <f>ROUNDUP((T3184+U3184+2*'Read Me'!$B$13)*(1+'Read Me'!$B$12),-1)</f>
        <v/>
      </c>
      <c r="W3184" s="16">
        <f>V3184*N3184*O3184</f>
        <v/>
      </c>
      <c r="X3184" s="12">
        <f>IF(LEFT(I3184,2)="MV",2*N3184*IF(L3184="1/C",O3184,1),0)</f>
        <v/>
      </c>
      <c r="Y3184" s="12">
        <f>IF(OR(LEFT(K3184,4)="LVAX",LEFT(K3184,6)="MV15AX",LEFT(K3184,4)="CTAX",LEFT(K3184,2)="W|"),2*N3184*O3184,0)</f>
        <v/>
      </c>
      <c r="Z3184" s="12" t="inlineStr">
        <is>
          <t>device-to-JB field wiring, one cable per device</t>
        </is>
      </c>
      <c r="AA3184" s="12">
        <f>N3184*O3184</f>
        <v/>
      </c>
    </row>
    <row r="3185">
      <c r="A3185" s="12" t="inlineStr">
        <is>
          <t>G-I-0054</t>
        </is>
      </c>
      <c r="B3185" s="12" t="inlineStr">
        <is>
          <t>G</t>
        </is>
      </c>
      <c r="C3185" s="12" t="inlineStr">
        <is>
          <t>Carbon capture</t>
        </is>
      </c>
      <c r="D3185" s="12" t="inlineStr">
        <is>
          <t>Home run JB-BF-A-RTD01 to the control / marshalling room</t>
        </is>
      </c>
      <c r="E3185" s="12" t="inlineStr"/>
      <c r="F3185" s="12" t="inlineStr">
        <is>
          <t>CCS F&amp;G / control</t>
        </is>
      </c>
      <c r="G3185" s="12" t="inlineStr">
        <is>
          <t>JB-BF-A-RTD01</t>
        </is>
      </c>
      <c r="H3185" s="12" t="inlineStr">
        <is>
          <t>BF-A: booster fan (~16 MW)</t>
        </is>
      </c>
      <c r="I3185" s="12" t="inlineStr">
        <is>
          <t>Instrumentation</t>
        </is>
      </c>
      <c r="J3185" s="12" t="inlineStr">
        <is>
          <t>RTD cable, #18 shielded triads, PLTC</t>
        </is>
      </c>
      <c r="K3185" s="12" t="inlineStr">
        <is>
          <t>RTD|12 tri|18</t>
        </is>
      </c>
      <c r="L3185" s="12" t="inlineStr">
        <is>
          <t>12 tri</t>
        </is>
      </c>
      <c r="M3185" s="12" t="inlineStr">
        <is>
          <t>18</t>
        </is>
      </c>
      <c r="N3185" s="12" t="n">
        <v>1</v>
      </c>
      <c r="O3185" s="12" t="n">
        <v>1</v>
      </c>
      <c r="P3185" s="12" t="n"/>
      <c r="Q3185" s="12" t="n"/>
      <c r="R3185" s="12" t="n"/>
      <c r="S3185" s="12" t="inlineStr">
        <is>
          <t>Duct bank</t>
        </is>
      </c>
      <c r="T3185" s="16" t="n">
        <v>861</v>
      </c>
      <c r="U3185" s="16" t="n">
        <v>101</v>
      </c>
      <c r="V3185" s="16">
        <f>ROUNDUP((T3185+U3185+2*'Read Me'!$B$13)*(1+'Read Me'!$B$12),-1)</f>
        <v/>
      </c>
      <c r="W3185" s="16">
        <f>V3185*N3185*O3185</f>
        <v/>
      </c>
      <c r="X3185" s="12">
        <f>IF(LEFT(I3185,2)="MV",2*N3185*IF(L3185="1/C",O3185,1),0)</f>
        <v/>
      </c>
      <c r="Y3185" s="12">
        <f>IF(OR(LEFT(K3185,4)="LVAX",LEFT(K3185,6)="MV15AX",LEFT(K3185,4)="CTAX",LEFT(K3185,2)="W|"),2*N3185*O3185,0)</f>
        <v/>
      </c>
      <c r="Z3185" s="12" t="inlineStr"/>
      <c r="AA3185" s="12">
        <f>N3185*O3185</f>
        <v/>
      </c>
    </row>
    <row r="3186">
      <c r="A3186" s="12" t="inlineStr">
        <is>
          <t>G-I-0055</t>
        </is>
      </c>
      <c r="B3186" s="12" t="inlineStr">
        <is>
          <t>G</t>
        </is>
      </c>
      <c r="C3186" s="12" t="inlineStr">
        <is>
          <t>Carbon capture</t>
        </is>
      </c>
      <c r="D3186" s="12" t="inlineStr">
        <is>
          <t>RTD to JB JB-BF-A-RTD02: 8 x 1 tri (field cables)</t>
        </is>
      </c>
      <c r="E3186" s="12" t="inlineStr">
        <is>
          <t>BF-A</t>
        </is>
      </c>
      <c r="F3186" s="12" t="inlineStr">
        <is>
          <t>BF-A: booster fan (~16 MW)</t>
        </is>
      </c>
      <c r="G3186" s="12" t="inlineStr">
        <is>
          <t>JB-BF-A-RTD02</t>
        </is>
      </c>
      <c r="H3186" s="12" t="inlineStr">
        <is>
          <t>BF-A: booster fan (~16 MW)</t>
        </is>
      </c>
      <c r="I3186" s="12" t="inlineStr">
        <is>
          <t>Instrumentation</t>
        </is>
      </c>
      <c r="J3186" s="12" t="inlineStr">
        <is>
          <t>RTD cable, #18 shielded triads, PLTC</t>
        </is>
      </c>
      <c r="K3186" s="12" t="inlineStr">
        <is>
          <t>RTD|1 tri|18</t>
        </is>
      </c>
      <c r="L3186" s="12" t="inlineStr">
        <is>
          <t>1 tri</t>
        </is>
      </c>
      <c r="M3186" s="12" t="inlineStr">
        <is>
          <t>18</t>
        </is>
      </c>
      <c r="N3186" s="12" t="n">
        <v>8</v>
      </c>
      <c r="O3186" s="12" t="n">
        <v>1</v>
      </c>
      <c r="P3186" s="12" t="n"/>
      <c r="Q3186" s="12" t="n"/>
      <c r="R3186" s="12" t="n"/>
      <c r="S3186" s="12" t="inlineStr">
        <is>
          <t>Tray / conduit</t>
        </is>
      </c>
      <c r="T3186" s="16" t="n">
        <v>82</v>
      </c>
      <c r="U3186" s="16" t="n">
        <v>10</v>
      </c>
      <c r="V3186" s="16">
        <f>ROUNDUP((T3186+U3186+2*'Read Me'!$B$13)*(1+'Read Me'!$B$12),-1)</f>
        <v/>
      </c>
      <c r="W3186" s="16">
        <f>V3186*N3186*O3186</f>
        <v/>
      </c>
      <c r="X3186" s="12">
        <f>IF(LEFT(I3186,2)="MV",2*N3186*IF(L3186="1/C",O3186,1),0)</f>
        <v/>
      </c>
      <c r="Y3186" s="12">
        <f>IF(OR(LEFT(K3186,4)="LVAX",LEFT(K3186,6)="MV15AX",LEFT(K3186,4)="CTAX",LEFT(K3186,2)="W|"),2*N3186*O3186,0)</f>
        <v/>
      </c>
      <c r="Z3186" s="12" t="inlineStr">
        <is>
          <t>device-to-JB field wiring, one cable per device</t>
        </is>
      </c>
      <c r="AA3186" s="12">
        <f>N3186*O3186</f>
        <v/>
      </c>
    </row>
    <row r="3187">
      <c r="A3187" s="12" t="inlineStr">
        <is>
          <t>G-I-0056</t>
        </is>
      </c>
      <c r="B3187" s="12" t="inlineStr">
        <is>
          <t>G</t>
        </is>
      </c>
      <c r="C3187" s="12" t="inlineStr">
        <is>
          <t>Carbon capture</t>
        </is>
      </c>
      <c r="D3187" s="12" t="inlineStr">
        <is>
          <t>Home run JB-BF-A-RTD02 to the control / marshalling room</t>
        </is>
      </c>
      <c r="E3187" s="12" t="inlineStr"/>
      <c r="F3187" s="12" t="inlineStr">
        <is>
          <t>CCS F&amp;G / control</t>
        </is>
      </c>
      <c r="G3187" s="12" t="inlineStr">
        <is>
          <t>JB-BF-A-RTD02</t>
        </is>
      </c>
      <c r="H3187" s="12" t="inlineStr">
        <is>
          <t>BF-A: booster fan (~16 MW)</t>
        </is>
      </c>
      <c r="I3187" s="12" t="inlineStr">
        <is>
          <t>Instrumentation</t>
        </is>
      </c>
      <c r="J3187" s="12" t="inlineStr">
        <is>
          <t>RTD cable, #18 shielded triads, PLTC</t>
        </is>
      </c>
      <c r="K3187" s="12" t="inlineStr">
        <is>
          <t>RTD|12 tri|18</t>
        </is>
      </c>
      <c r="L3187" s="12" t="inlineStr">
        <is>
          <t>12 tri</t>
        </is>
      </c>
      <c r="M3187" s="12" t="inlineStr">
        <is>
          <t>18</t>
        </is>
      </c>
      <c r="N3187" s="12" t="n">
        <v>1</v>
      </c>
      <c r="O3187" s="12" t="n">
        <v>1</v>
      </c>
      <c r="P3187" s="12" t="n"/>
      <c r="Q3187" s="12" t="n"/>
      <c r="R3187" s="12" t="n"/>
      <c r="S3187" s="12" t="inlineStr">
        <is>
          <t>Duct bank</t>
        </is>
      </c>
      <c r="T3187" s="16" t="n">
        <v>861</v>
      </c>
      <c r="U3187" s="16" t="n">
        <v>101</v>
      </c>
      <c r="V3187" s="16">
        <f>ROUNDUP((T3187+U3187+2*'Read Me'!$B$13)*(1+'Read Me'!$B$12),-1)</f>
        <v/>
      </c>
      <c r="W3187" s="16">
        <f>V3187*N3187*O3187</f>
        <v/>
      </c>
      <c r="X3187" s="12">
        <f>IF(LEFT(I3187,2)="MV",2*N3187*IF(L3187="1/C",O3187,1),0)</f>
        <v/>
      </c>
      <c r="Y3187" s="12">
        <f>IF(OR(LEFT(K3187,4)="LVAX",LEFT(K3187,6)="MV15AX",LEFT(K3187,4)="CTAX",LEFT(K3187,2)="W|"),2*N3187*O3187,0)</f>
        <v/>
      </c>
      <c r="Z3187" s="12" t="inlineStr"/>
      <c r="AA3187" s="12">
        <f>N3187*O3187</f>
        <v/>
      </c>
    </row>
    <row r="3188">
      <c r="A3188" s="12" t="inlineStr">
        <is>
          <t>G-I-0057</t>
        </is>
      </c>
      <c r="B3188" s="12" t="inlineStr">
        <is>
          <t>G</t>
        </is>
      </c>
      <c r="C3188" s="12" t="inlineStr">
        <is>
          <t>Carbon capture</t>
        </is>
      </c>
      <c r="D3188" s="12" t="inlineStr">
        <is>
          <t>Analog instrument to JB JB-BF-B-AI01: 20 x 1 pr (field cables)</t>
        </is>
      </c>
      <c r="E3188" s="12" t="inlineStr">
        <is>
          <t>BF-B</t>
        </is>
      </c>
      <c r="F3188" s="12" t="inlineStr">
        <is>
          <t>BF-B: booster fan (~16 MW)</t>
        </is>
      </c>
      <c r="G3188" s="12" t="inlineStr">
        <is>
          <t>JB-BF-B-AI01</t>
        </is>
      </c>
      <c r="H3188" s="12" t="inlineStr">
        <is>
          <t>BF-B: booster fan (~16 MW)</t>
        </is>
      </c>
      <c r="I3188" s="12" t="inlineStr">
        <is>
          <t>Instrumentation</t>
        </is>
      </c>
      <c r="J3188" s="12" t="inlineStr">
        <is>
          <t>Instrumentation PLTC / TC-ER 300 V, #18 twisted shielded pairs, overall shield</t>
        </is>
      </c>
      <c r="K3188" s="12" t="inlineStr">
        <is>
          <t>PLTC|1 pr|16</t>
        </is>
      </c>
      <c r="L3188" s="12" t="inlineStr">
        <is>
          <t>1 pr</t>
        </is>
      </c>
      <c r="M3188" s="12" t="inlineStr">
        <is>
          <t>16</t>
        </is>
      </c>
      <c r="N3188" s="12" t="n">
        <v>20</v>
      </c>
      <c r="O3188" s="12" t="n">
        <v>1</v>
      </c>
      <c r="P3188" s="12" t="n"/>
      <c r="Q3188" s="12" t="n"/>
      <c r="R3188" s="12" t="n"/>
      <c r="S3188" s="12" t="inlineStr">
        <is>
          <t>Tray / conduit</t>
        </is>
      </c>
      <c r="T3188" s="16" t="n">
        <v>82</v>
      </c>
      <c r="U3188" s="16" t="n">
        <v>10</v>
      </c>
      <c r="V3188" s="16">
        <f>ROUNDUP((T3188+U3188+2*'Read Me'!$B$13)*(1+'Read Me'!$B$12),-1)</f>
        <v/>
      </c>
      <c r="W3188" s="16">
        <f>V3188*N3188*O3188</f>
        <v/>
      </c>
      <c r="X3188" s="12">
        <f>IF(LEFT(I3188,2)="MV",2*N3188*IF(L3188="1/C",O3188,1),0)</f>
        <v/>
      </c>
      <c r="Y3188" s="12">
        <f>IF(OR(LEFT(K3188,4)="LVAX",LEFT(K3188,6)="MV15AX",LEFT(K3188,4)="CTAX",LEFT(K3188,2)="W|"),2*N3188*O3188,0)</f>
        <v/>
      </c>
      <c r="Z3188" s="12" t="inlineStr">
        <is>
          <t>device-to-JB field wiring, one cable per device</t>
        </is>
      </c>
      <c r="AA3188" s="12">
        <f>N3188*O3188</f>
        <v/>
      </c>
    </row>
    <row r="3189">
      <c r="A3189" s="12" t="inlineStr">
        <is>
          <t>G-I-0058</t>
        </is>
      </c>
      <c r="B3189" s="12" t="inlineStr">
        <is>
          <t>G</t>
        </is>
      </c>
      <c r="C3189" s="12" t="inlineStr">
        <is>
          <t>Carbon capture</t>
        </is>
      </c>
      <c r="D3189" s="12" t="inlineStr">
        <is>
          <t>Home run JB-BF-B-AI01 to the control / marshalling room</t>
        </is>
      </c>
      <c r="E3189" s="12" t="inlineStr"/>
      <c r="F3189" s="12" t="inlineStr">
        <is>
          <t>CCS F&amp;G / control</t>
        </is>
      </c>
      <c r="G3189" s="12" t="inlineStr">
        <is>
          <t>JB-BF-B-AI01</t>
        </is>
      </c>
      <c r="H3189" s="12" t="inlineStr">
        <is>
          <t>BF-B: booster fan (~16 MW)</t>
        </is>
      </c>
      <c r="I3189" s="12" t="inlineStr">
        <is>
          <t>Instrumentation</t>
        </is>
      </c>
      <c r="J3189" s="12" t="inlineStr">
        <is>
          <t>Instrumentation PLTC / TC-ER 300 V, #18 twisted shielded pairs, overall shield</t>
        </is>
      </c>
      <c r="K3189" s="12" t="inlineStr">
        <is>
          <t>PLTC|24 pr|18</t>
        </is>
      </c>
      <c r="L3189" s="12" t="inlineStr">
        <is>
          <t>24 pr</t>
        </is>
      </c>
      <c r="M3189" s="12" t="inlineStr">
        <is>
          <t>18</t>
        </is>
      </c>
      <c r="N3189" s="12" t="n">
        <v>1</v>
      </c>
      <c r="O3189" s="12" t="n">
        <v>1</v>
      </c>
      <c r="P3189" s="12" t="n"/>
      <c r="Q3189" s="12" t="n"/>
      <c r="R3189" s="12" t="n"/>
      <c r="S3189" s="12" t="inlineStr">
        <is>
          <t>Duct bank</t>
        </is>
      </c>
      <c r="T3189" s="16" t="n">
        <v>701</v>
      </c>
      <c r="U3189" s="16" t="n">
        <v>101</v>
      </c>
      <c r="V3189" s="16">
        <f>ROUNDUP((T3189+U3189+2*'Read Me'!$B$13)*(1+'Read Me'!$B$12),-1)</f>
        <v/>
      </c>
      <c r="W3189" s="16">
        <f>V3189*N3189*O3189</f>
        <v/>
      </c>
      <c r="X3189" s="12">
        <f>IF(LEFT(I3189,2)="MV",2*N3189*IF(L3189="1/C",O3189,1),0)</f>
        <v/>
      </c>
      <c r="Y3189" s="12">
        <f>IF(OR(LEFT(K3189,4)="LVAX",LEFT(K3189,6)="MV15AX",LEFT(K3189,4)="CTAX",LEFT(K3189,2)="W|"),2*N3189*O3189,0)</f>
        <v/>
      </c>
      <c r="Z3189" s="12" t="inlineStr"/>
      <c r="AA3189" s="12">
        <f>N3189*O3189</f>
        <v/>
      </c>
    </row>
    <row r="3190">
      <c r="A3190" s="12" t="inlineStr">
        <is>
          <t>G-I-0059</t>
        </is>
      </c>
      <c r="B3190" s="12" t="inlineStr">
        <is>
          <t>G</t>
        </is>
      </c>
      <c r="C3190" s="12" t="inlineStr">
        <is>
          <t>Carbon capture</t>
        </is>
      </c>
      <c r="D3190" s="12" t="inlineStr">
        <is>
          <t>Analog instrument to JB JB-BF-B-AI02: 10 x 1 pr (field cables)</t>
        </is>
      </c>
      <c r="E3190" s="12" t="inlineStr">
        <is>
          <t>BF-B</t>
        </is>
      </c>
      <c r="F3190" s="12" t="inlineStr">
        <is>
          <t>BF-B: booster fan (~16 MW)</t>
        </is>
      </c>
      <c r="G3190" s="12" t="inlineStr">
        <is>
          <t>JB-BF-B-AI02</t>
        </is>
      </c>
      <c r="H3190" s="12" t="inlineStr">
        <is>
          <t>BF-B: booster fan (~16 MW)</t>
        </is>
      </c>
      <c r="I3190" s="12" t="inlineStr">
        <is>
          <t>Instrumentation</t>
        </is>
      </c>
      <c r="J3190" s="12" t="inlineStr">
        <is>
          <t>Instrumentation PLTC / TC-ER 300 V, #18 twisted shielded pairs, overall shield</t>
        </is>
      </c>
      <c r="K3190" s="12" t="inlineStr">
        <is>
          <t>PLTC|1 pr|16</t>
        </is>
      </c>
      <c r="L3190" s="12" t="inlineStr">
        <is>
          <t>1 pr</t>
        </is>
      </c>
      <c r="M3190" s="12" t="inlineStr">
        <is>
          <t>16</t>
        </is>
      </c>
      <c r="N3190" s="12" t="n">
        <v>10</v>
      </c>
      <c r="O3190" s="12" t="n">
        <v>1</v>
      </c>
      <c r="P3190" s="12" t="n"/>
      <c r="Q3190" s="12" t="n"/>
      <c r="R3190" s="12" t="n"/>
      <c r="S3190" s="12" t="inlineStr">
        <is>
          <t>Tray / conduit</t>
        </is>
      </c>
      <c r="T3190" s="16" t="n">
        <v>82</v>
      </c>
      <c r="U3190" s="16" t="n">
        <v>10</v>
      </c>
      <c r="V3190" s="16">
        <f>ROUNDUP((T3190+U3190+2*'Read Me'!$B$13)*(1+'Read Me'!$B$12),-1)</f>
        <v/>
      </c>
      <c r="W3190" s="16">
        <f>V3190*N3190*O3190</f>
        <v/>
      </c>
      <c r="X3190" s="12">
        <f>IF(LEFT(I3190,2)="MV",2*N3190*IF(L3190="1/C",O3190,1),0)</f>
        <v/>
      </c>
      <c r="Y3190" s="12">
        <f>IF(OR(LEFT(K3190,4)="LVAX",LEFT(K3190,6)="MV15AX",LEFT(K3190,4)="CTAX",LEFT(K3190,2)="W|"),2*N3190*O3190,0)</f>
        <v/>
      </c>
      <c r="Z3190" s="12" t="inlineStr">
        <is>
          <t>device-to-JB field wiring, one cable per device</t>
        </is>
      </c>
      <c r="AA3190" s="12">
        <f>N3190*O3190</f>
        <v/>
      </c>
    </row>
    <row r="3191">
      <c r="A3191" s="12" t="inlineStr">
        <is>
          <t>G-I-0060</t>
        </is>
      </c>
      <c r="B3191" s="12" t="inlineStr">
        <is>
          <t>G</t>
        </is>
      </c>
      <c r="C3191" s="12" t="inlineStr">
        <is>
          <t>Carbon capture</t>
        </is>
      </c>
      <c r="D3191" s="12" t="inlineStr">
        <is>
          <t>Home run JB-BF-B-AI02 to the control / marshalling room</t>
        </is>
      </c>
      <c r="E3191" s="12" t="inlineStr"/>
      <c r="F3191" s="12" t="inlineStr">
        <is>
          <t>CCS F&amp;G / control</t>
        </is>
      </c>
      <c r="G3191" s="12" t="inlineStr">
        <is>
          <t>JB-BF-B-AI02</t>
        </is>
      </c>
      <c r="H3191" s="12" t="inlineStr">
        <is>
          <t>BF-B: booster fan (~16 MW)</t>
        </is>
      </c>
      <c r="I3191" s="12" t="inlineStr">
        <is>
          <t>Instrumentation</t>
        </is>
      </c>
      <c r="J3191" s="12" t="inlineStr">
        <is>
          <t>Instrumentation PLTC / TC-ER 300 V, #18 twisted shielded pairs, overall shield</t>
        </is>
      </c>
      <c r="K3191" s="12" t="inlineStr">
        <is>
          <t>PLTC|24 pr|18</t>
        </is>
      </c>
      <c r="L3191" s="12" t="inlineStr">
        <is>
          <t>24 pr</t>
        </is>
      </c>
      <c r="M3191" s="12" t="inlineStr">
        <is>
          <t>18</t>
        </is>
      </c>
      <c r="N3191" s="12" t="n">
        <v>1</v>
      </c>
      <c r="O3191" s="12" t="n">
        <v>1</v>
      </c>
      <c r="P3191" s="12" t="n"/>
      <c r="Q3191" s="12" t="n"/>
      <c r="R3191" s="12" t="n"/>
      <c r="S3191" s="12" t="inlineStr">
        <is>
          <t>Duct bank</t>
        </is>
      </c>
      <c r="T3191" s="16" t="n">
        <v>701</v>
      </c>
      <c r="U3191" s="16" t="n">
        <v>101</v>
      </c>
      <c r="V3191" s="16">
        <f>ROUNDUP((T3191+U3191+2*'Read Me'!$B$13)*(1+'Read Me'!$B$12),-1)</f>
        <v/>
      </c>
      <c r="W3191" s="16">
        <f>V3191*N3191*O3191</f>
        <v/>
      </c>
      <c r="X3191" s="12">
        <f>IF(LEFT(I3191,2)="MV",2*N3191*IF(L3191="1/C",O3191,1),0)</f>
        <v/>
      </c>
      <c r="Y3191" s="12">
        <f>IF(OR(LEFT(K3191,4)="LVAX",LEFT(K3191,6)="MV15AX",LEFT(K3191,4)="CTAX",LEFT(K3191,2)="W|"),2*N3191*O3191,0)</f>
        <v/>
      </c>
      <c r="Z3191" s="12" t="inlineStr"/>
      <c r="AA3191" s="12">
        <f>N3191*O3191</f>
        <v/>
      </c>
    </row>
    <row r="3192">
      <c r="A3192" s="12" t="inlineStr">
        <is>
          <t>G-I-0061</t>
        </is>
      </c>
      <c r="B3192" s="12" t="inlineStr">
        <is>
          <t>G</t>
        </is>
      </c>
      <c r="C3192" s="12" t="inlineStr">
        <is>
          <t>Carbon capture</t>
        </is>
      </c>
      <c r="D3192" s="12" t="inlineStr">
        <is>
          <t>Discrete device to JB JB-BF-B-DI01: 20 x 1 pr (field cables)</t>
        </is>
      </c>
      <c r="E3192" s="12" t="inlineStr">
        <is>
          <t>BF-B</t>
        </is>
      </c>
      <c r="F3192" s="12" t="inlineStr">
        <is>
          <t>BF-B: booster fan (~16 MW)</t>
        </is>
      </c>
      <c r="G3192" s="12" t="inlineStr">
        <is>
          <t>JB-BF-B-DI01</t>
        </is>
      </c>
      <c r="H3192" s="12" t="inlineStr">
        <is>
          <t>BF-B: booster fan (~16 MW)</t>
        </is>
      </c>
      <c r="I3192" s="12" t="inlineStr">
        <is>
          <t>Instrumentation</t>
        </is>
      </c>
      <c r="J3192" s="12" t="inlineStr">
        <is>
          <t>Instrumentation PLTC / TC-ER 300 V, #18 twisted shielded pairs, overall shield</t>
        </is>
      </c>
      <c r="K3192" s="12" t="inlineStr">
        <is>
          <t>PLTC|1 pr|16</t>
        </is>
      </c>
      <c r="L3192" s="12" t="inlineStr">
        <is>
          <t>1 pr</t>
        </is>
      </c>
      <c r="M3192" s="12" t="inlineStr">
        <is>
          <t>16</t>
        </is>
      </c>
      <c r="N3192" s="12" t="n">
        <v>20</v>
      </c>
      <c r="O3192" s="12" t="n">
        <v>1</v>
      </c>
      <c r="P3192" s="12" t="n"/>
      <c r="Q3192" s="12" t="n"/>
      <c r="R3192" s="12" t="n"/>
      <c r="S3192" s="12" t="inlineStr">
        <is>
          <t>Tray / conduit</t>
        </is>
      </c>
      <c r="T3192" s="16" t="n">
        <v>82</v>
      </c>
      <c r="U3192" s="16" t="n">
        <v>10</v>
      </c>
      <c r="V3192" s="16">
        <f>ROUNDUP((T3192+U3192+2*'Read Me'!$B$13)*(1+'Read Me'!$B$12),-1)</f>
        <v/>
      </c>
      <c r="W3192" s="16">
        <f>V3192*N3192*O3192</f>
        <v/>
      </c>
      <c r="X3192" s="12">
        <f>IF(LEFT(I3192,2)="MV",2*N3192*IF(L3192="1/C",O3192,1),0)</f>
        <v/>
      </c>
      <c r="Y3192" s="12">
        <f>IF(OR(LEFT(K3192,4)="LVAX",LEFT(K3192,6)="MV15AX",LEFT(K3192,4)="CTAX",LEFT(K3192,2)="W|"),2*N3192*O3192,0)</f>
        <v/>
      </c>
      <c r="Z3192" s="12" t="inlineStr">
        <is>
          <t>device-to-JB field wiring, one cable per device</t>
        </is>
      </c>
      <c r="AA3192" s="12">
        <f>N3192*O3192</f>
        <v/>
      </c>
    </row>
    <row r="3193">
      <c r="A3193" s="12" t="inlineStr">
        <is>
          <t>G-I-0062</t>
        </is>
      </c>
      <c r="B3193" s="12" t="inlineStr">
        <is>
          <t>G</t>
        </is>
      </c>
      <c r="C3193" s="12" t="inlineStr">
        <is>
          <t>Carbon capture</t>
        </is>
      </c>
      <c r="D3193" s="12" t="inlineStr">
        <is>
          <t>Home run JB-BF-B-DI01 to the control / marshalling room</t>
        </is>
      </c>
      <c r="E3193" s="12" t="inlineStr"/>
      <c r="F3193" s="12" t="inlineStr">
        <is>
          <t>CCS F&amp;G / control</t>
        </is>
      </c>
      <c r="G3193" s="12" t="inlineStr">
        <is>
          <t>JB-BF-B-DI01</t>
        </is>
      </c>
      <c r="H3193" s="12" t="inlineStr">
        <is>
          <t>BF-B: booster fan (~16 MW)</t>
        </is>
      </c>
      <c r="I3193" s="12" t="inlineStr">
        <is>
          <t>Instrumentation</t>
        </is>
      </c>
      <c r="J3193" s="12" t="inlineStr">
        <is>
          <t>Instrumentation PLTC / TC-ER 300 V, #18 twisted shielded pairs, overall shield</t>
        </is>
      </c>
      <c r="K3193" s="12" t="inlineStr">
        <is>
          <t>PLTC|24 pr|18</t>
        </is>
      </c>
      <c r="L3193" s="12" t="inlineStr">
        <is>
          <t>24 pr</t>
        </is>
      </c>
      <c r="M3193" s="12" t="inlineStr">
        <is>
          <t>18</t>
        </is>
      </c>
      <c r="N3193" s="12" t="n">
        <v>1</v>
      </c>
      <c r="O3193" s="12" t="n">
        <v>1</v>
      </c>
      <c r="P3193" s="12" t="n"/>
      <c r="Q3193" s="12" t="n"/>
      <c r="R3193" s="12" t="n"/>
      <c r="S3193" s="12" t="inlineStr">
        <is>
          <t>Duct bank</t>
        </is>
      </c>
      <c r="T3193" s="16" t="n">
        <v>701</v>
      </c>
      <c r="U3193" s="16" t="n">
        <v>101</v>
      </c>
      <c r="V3193" s="16">
        <f>ROUNDUP((T3193+U3193+2*'Read Me'!$B$13)*(1+'Read Me'!$B$12),-1)</f>
        <v/>
      </c>
      <c r="W3193" s="16">
        <f>V3193*N3193*O3193</f>
        <v/>
      </c>
      <c r="X3193" s="12">
        <f>IF(LEFT(I3193,2)="MV",2*N3193*IF(L3193="1/C",O3193,1),0)</f>
        <v/>
      </c>
      <c r="Y3193" s="12">
        <f>IF(OR(LEFT(K3193,4)="LVAX",LEFT(K3193,6)="MV15AX",LEFT(K3193,4)="CTAX",LEFT(K3193,2)="W|"),2*N3193*O3193,0)</f>
        <v/>
      </c>
      <c r="Z3193" s="12" t="inlineStr"/>
      <c r="AA3193" s="12">
        <f>N3193*O3193</f>
        <v/>
      </c>
    </row>
    <row r="3194">
      <c r="A3194" s="12" t="inlineStr">
        <is>
          <t>G-I-0063</t>
        </is>
      </c>
      <c r="B3194" s="12" t="inlineStr">
        <is>
          <t>G</t>
        </is>
      </c>
      <c r="C3194" s="12" t="inlineStr">
        <is>
          <t>Carbon capture</t>
        </is>
      </c>
      <c r="D3194" s="12" t="inlineStr">
        <is>
          <t>RTD to JB JB-BF-B-RTD01: 10 x 1 tri (field cables)</t>
        </is>
      </c>
      <c r="E3194" s="12" t="inlineStr">
        <is>
          <t>BF-B</t>
        </is>
      </c>
      <c r="F3194" s="12" t="inlineStr">
        <is>
          <t>BF-B: booster fan (~16 MW)</t>
        </is>
      </c>
      <c r="G3194" s="12" t="inlineStr">
        <is>
          <t>JB-BF-B-RTD01</t>
        </is>
      </c>
      <c r="H3194" s="12" t="inlineStr">
        <is>
          <t>BF-B: booster fan (~16 MW)</t>
        </is>
      </c>
      <c r="I3194" s="12" t="inlineStr">
        <is>
          <t>Instrumentation</t>
        </is>
      </c>
      <c r="J3194" s="12" t="inlineStr">
        <is>
          <t>RTD cable, #18 shielded triads, PLTC</t>
        </is>
      </c>
      <c r="K3194" s="12" t="inlineStr">
        <is>
          <t>RTD|1 tri|18</t>
        </is>
      </c>
      <c r="L3194" s="12" t="inlineStr">
        <is>
          <t>1 tri</t>
        </is>
      </c>
      <c r="M3194" s="12" t="inlineStr">
        <is>
          <t>18</t>
        </is>
      </c>
      <c r="N3194" s="12" t="n">
        <v>10</v>
      </c>
      <c r="O3194" s="12" t="n">
        <v>1</v>
      </c>
      <c r="P3194" s="12" t="n"/>
      <c r="Q3194" s="12" t="n"/>
      <c r="R3194" s="12" t="n"/>
      <c r="S3194" s="12" t="inlineStr">
        <is>
          <t>Tray / conduit</t>
        </is>
      </c>
      <c r="T3194" s="16" t="n">
        <v>82</v>
      </c>
      <c r="U3194" s="16" t="n">
        <v>10</v>
      </c>
      <c r="V3194" s="16">
        <f>ROUNDUP((T3194+U3194+2*'Read Me'!$B$13)*(1+'Read Me'!$B$12),-1)</f>
        <v/>
      </c>
      <c r="W3194" s="16">
        <f>V3194*N3194*O3194</f>
        <v/>
      </c>
      <c r="X3194" s="12">
        <f>IF(LEFT(I3194,2)="MV",2*N3194*IF(L3194="1/C",O3194,1),0)</f>
        <v/>
      </c>
      <c r="Y3194" s="12">
        <f>IF(OR(LEFT(K3194,4)="LVAX",LEFT(K3194,6)="MV15AX",LEFT(K3194,4)="CTAX",LEFT(K3194,2)="W|"),2*N3194*O3194,0)</f>
        <v/>
      </c>
      <c r="Z3194" s="12" t="inlineStr">
        <is>
          <t>device-to-JB field wiring, one cable per device</t>
        </is>
      </c>
      <c r="AA3194" s="12">
        <f>N3194*O3194</f>
        <v/>
      </c>
    </row>
    <row r="3195">
      <c r="A3195" s="12" t="inlineStr">
        <is>
          <t>G-I-0064</t>
        </is>
      </c>
      <c r="B3195" s="12" t="inlineStr">
        <is>
          <t>G</t>
        </is>
      </c>
      <c r="C3195" s="12" t="inlineStr">
        <is>
          <t>Carbon capture</t>
        </is>
      </c>
      <c r="D3195" s="12" t="inlineStr">
        <is>
          <t>Home run JB-BF-B-RTD01 to the control / marshalling room</t>
        </is>
      </c>
      <c r="E3195" s="12" t="inlineStr"/>
      <c r="F3195" s="12" t="inlineStr">
        <is>
          <t>CCS F&amp;G / control</t>
        </is>
      </c>
      <c r="G3195" s="12" t="inlineStr">
        <is>
          <t>JB-BF-B-RTD01</t>
        </is>
      </c>
      <c r="H3195" s="12" t="inlineStr">
        <is>
          <t>BF-B: booster fan (~16 MW)</t>
        </is>
      </c>
      <c r="I3195" s="12" t="inlineStr">
        <is>
          <t>Instrumentation</t>
        </is>
      </c>
      <c r="J3195" s="12" t="inlineStr">
        <is>
          <t>RTD cable, #18 shielded triads, PLTC</t>
        </is>
      </c>
      <c r="K3195" s="12" t="inlineStr">
        <is>
          <t>RTD|12 tri|18</t>
        </is>
      </c>
      <c r="L3195" s="12" t="inlineStr">
        <is>
          <t>12 tri</t>
        </is>
      </c>
      <c r="M3195" s="12" t="inlineStr">
        <is>
          <t>18</t>
        </is>
      </c>
      <c r="N3195" s="12" t="n">
        <v>1</v>
      </c>
      <c r="O3195" s="12" t="n">
        <v>1</v>
      </c>
      <c r="P3195" s="12" t="n"/>
      <c r="Q3195" s="12" t="n"/>
      <c r="R3195" s="12" t="n"/>
      <c r="S3195" s="12" t="inlineStr">
        <is>
          <t>Duct bank</t>
        </is>
      </c>
      <c r="T3195" s="16" t="n">
        <v>701</v>
      </c>
      <c r="U3195" s="16" t="n">
        <v>101</v>
      </c>
      <c r="V3195" s="16">
        <f>ROUNDUP((T3195+U3195+2*'Read Me'!$B$13)*(1+'Read Me'!$B$12),-1)</f>
        <v/>
      </c>
      <c r="W3195" s="16">
        <f>V3195*N3195*O3195</f>
        <v/>
      </c>
      <c r="X3195" s="12">
        <f>IF(LEFT(I3195,2)="MV",2*N3195*IF(L3195="1/C",O3195,1),0)</f>
        <v/>
      </c>
      <c r="Y3195" s="12">
        <f>IF(OR(LEFT(K3195,4)="LVAX",LEFT(K3195,6)="MV15AX",LEFT(K3195,4)="CTAX",LEFT(K3195,2)="W|"),2*N3195*O3195,0)</f>
        <v/>
      </c>
      <c r="Z3195" s="12" t="inlineStr"/>
      <c r="AA3195" s="12">
        <f>N3195*O3195</f>
        <v/>
      </c>
    </row>
    <row r="3196">
      <c r="A3196" s="12" t="inlineStr">
        <is>
          <t>G-I-0065</t>
        </is>
      </c>
      <c r="B3196" s="12" t="inlineStr">
        <is>
          <t>G</t>
        </is>
      </c>
      <c r="C3196" s="12" t="inlineStr">
        <is>
          <t>Carbon capture</t>
        </is>
      </c>
      <c r="D3196" s="12" t="inlineStr">
        <is>
          <t>RTD to JB JB-BF-B-RTD02: 8 x 1 tri (field cables)</t>
        </is>
      </c>
      <c r="E3196" s="12" t="inlineStr">
        <is>
          <t>BF-B</t>
        </is>
      </c>
      <c r="F3196" s="12" t="inlineStr">
        <is>
          <t>BF-B: booster fan (~16 MW)</t>
        </is>
      </c>
      <c r="G3196" s="12" t="inlineStr">
        <is>
          <t>JB-BF-B-RTD02</t>
        </is>
      </c>
      <c r="H3196" s="12" t="inlineStr">
        <is>
          <t>BF-B: booster fan (~16 MW)</t>
        </is>
      </c>
      <c r="I3196" s="12" t="inlineStr">
        <is>
          <t>Instrumentation</t>
        </is>
      </c>
      <c r="J3196" s="12" t="inlineStr">
        <is>
          <t>RTD cable, #18 shielded triads, PLTC</t>
        </is>
      </c>
      <c r="K3196" s="12" t="inlineStr">
        <is>
          <t>RTD|1 tri|18</t>
        </is>
      </c>
      <c r="L3196" s="12" t="inlineStr">
        <is>
          <t>1 tri</t>
        </is>
      </c>
      <c r="M3196" s="12" t="inlineStr">
        <is>
          <t>18</t>
        </is>
      </c>
      <c r="N3196" s="12" t="n">
        <v>8</v>
      </c>
      <c r="O3196" s="12" t="n">
        <v>1</v>
      </c>
      <c r="P3196" s="12" t="n"/>
      <c r="Q3196" s="12" t="n"/>
      <c r="R3196" s="12" t="n"/>
      <c r="S3196" s="12" t="inlineStr">
        <is>
          <t>Tray / conduit</t>
        </is>
      </c>
      <c r="T3196" s="16" t="n">
        <v>82</v>
      </c>
      <c r="U3196" s="16" t="n">
        <v>10</v>
      </c>
      <c r="V3196" s="16">
        <f>ROUNDUP((T3196+U3196+2*'Read Me'!$B$13)*(1+'Read Me'!$B$12),-1)</f>
        <v/>
      </c>
      <c r="W3196" s="16">
        <f>V3196*N3196*O3196</f>
        <v/>
      </c>
      <c r="X3196" s="12">
        <f>IF(LEFT(I3196,2)="MV",2*N3196*IF(L3196="1/C",O3196,1),0)</f>
        <v/>
      </c>
      <c r="Y3196" s="12">
        <f>IF(OR(LEFT(K3196,4)="LVAX",LEFT(K3196,6)="MV15AX",LEFT(K3196,4)="CTAX",LEFT(K3196,2)="W|"),2*N3196*O3196,0)</f>
        <v/>
      </c>
      <c r="Z3196" s="12" t="inlineStr">
        <is>
          <t>device-to-JB field wiring, one cable per device</t>
        </is>
      </c>
      <c r="AA3196" s="12">
        <f>N3196*O3196</f>
        <v/>
      </c>
    </row>
    <row r="3197">
      <c r="A3197" s="12" t="inlineStr">
        <is>
          <t>G-I-0066</t>
        </is>
      </c>
      <c r="B3197" s="12" t="inlineStr">
        <is>
          <t>G</t>
        </is>
      </c>
      <c r="C3197" s="12" t="inlineStr">
        <is>
          <t>Carbon capture</t>
        </is>
      </c>
      <c r="D3197" s="12" t="inlineStr">
        <is>
          <t>Home run JB-BF-B-RTD02 to the control / marshalling room</t>
        </is>
      </c>
      <c r="E3197" s="12" t="inlineStr"/>
      <c r="F3197" s="12" t="inlineStr">
        <is>
          <t>CCS F&amp;G / control</t>
        </is>
      </c>
      <c r="G3197" s="12" t="inlineStr">
        <is>
          <t>JB-BF-B-RTD02</t>
        </is>
      </c>
      <c r="H3197" s="12" t="inlineStr">
        <is>
          <t>BF-B: booster fan (~16 MW)</t>
        </is>
      </c>
      <c r="I3197" s="12" t="inlineStr">
        <is>
          <t>Instrumentation</t>
        </is>
      </c>
      <c r="J3197" s="12" t="inlineStr">
        <is>
          <t>RTD cable, #18 shielded triads, PLTC</t>
        </is>
      </c>
      <c r="K3197" s="12" t="inlineStr">
        <is>
          <t>RTD|12 tri|18</t>
        </is>
      </c>
      <c r="L3197" s="12" t="inlineStr">
        <is>
          <t>12 tri</t>
        </is>
      </c>
      <c r="M3197" s="12" t="inlineStr">
        <is>
          <t>18</t>
        </is>
      </c>
      <c r="N3197" s="12" t="n">
        <v>1</v>
      </c>
      <c r="O3197" s="12" t="n">
        <v>1</v>
      </c>
      <c r="P3197" s="12" t="n"/>
      <c r="Q3197" s="12" t="n"/>
      <c r="R3197" s="12" t="n"/>
      <c r="S3197" s="12" t="inlineStr">
        <is>
          <t>Duct bank</t>
        </is>
      </c>
      <c r="T3197" s="16" t="n">
        <v>701</v>
      </c>
      <c r="U3197" s="16" t="n">
        <v>101</v>
      </c>
      <c r="V3197" s="16">
        <f>ROUNDUP((T3197+U3197+2*'Read Me'!$B$13)*(1+'Read Me'!$B$12),-1)</f>
        <v/>
      </c>
      <c r="W3197" s="16">
        <f>V3197*N3197*O3197</f>
        <v/>
      </c>
      <c r="X3197" s="12">
        <f>IF(LEFT(I3197,2)="MV",2*N3197*IF(L3197="1/C",O3197,1),0)</f>
        <v/>
      </c>
      <c r="Y3197" s="12">
        <f>IF(OR(LEFT(K3197,4)="LVAX",LEFT(K3197,6)="MV15AX",LEFT(K3197,4)="CTAX",LEFT(K3197,2)="W|"),2*N3197*O3197,0)</f>
        <v/>
      </c>
      <c r="Z3197" s="12" t="inlineStr"/>
      <c r="AA3197" s="12">
        <f>N3197*O3197</f>
        <v/>
      </c>
    </row>
    <row r="3198">
      <c r="A3198" s="12" t="inlineStr">
        <is>
          <t>G-I-0067</t>
        </is>
      </c>
      <c r="B3198" s="12" t="inlineStr">
        <is>
          <t>G</t>
        </is>
      </c>
      <c r="C3198" s="12" t="inlineStr">
        <is>
          <t>Carbon capture</t>
        </is>
      </c>
      <c r="D3198" s="12" t="inlineStr">
        <is>
          <t>Analog instrument to JB JB-BF-C-AI01: 20 x 1 pr (field cables)</t>
        </is>
      </c>
      <c r="E3198" s="12" t="inlineStr">
        <is>
          <t>BF-C</t>
        </is>
      </c>
      <c r="F3198" s="12" t="inlineStr">
        <is>
          <t>BF-C: booster fan (~16 MW)</t>
        </is>
      </c>
      <c r="G3198" s="12" t="inlineStr">
        <is>
          <t>JB-BF-C-AI01</t>
        </is>
      </c>
      <c r="H3198" s="12" t="inlineStr">
        <is>
          <t>BF-C: booster fan (~16 MW)</t>
        </is>
      </c>
      <c r="I3198" s="12" t="inlineStr">
        <is>
          <t>Instrumentation</t>
        </is>
      </c>
      <c r="J3198" s="12" t="inlineStr">
        <is>
          <t>Instrumentation PLTC / TC-ER 300 V, #18 twisted shielded pairs, overall shield</t>
        </is>
      </c>
      <c r="K3198" s="12" t="inlineStr">
        <is>
          <t>PLTC|1 pr|16</t>
        </is>
      </c>
      <c r="L3198" s="12" t="inlineStr">
        <is>
          <t>1 pr</t>
        </is>
      </c>
      <c r="M3198" s="12" t="inlineStr">
        <is>
          <t>16</t>
        </is>
      </c>
      <c r="N3198" s="12" t="n">
        <v>20</v>
      </c>
      <c r="O3198" s="12" t="n">
        <v>1</v>
      </c>
      <c r="P3198" s="12" t="n"/>
      <c r="Q3198" s="12" t="n"/>
      <c r="R3198" s="12" t="n"/>
      <c r="S3198" s="12" t="inlineStr">
        <is>
          <t>Tray / conduit</t>
        </is>
      </c>
      <c r="T3198" s="16" t="n">
        <v>82</v>
      </c>
      <c r="U3198" s="16" t="n">
        <v>10</v>
      </c>
      <c r="V3198" s="16">
        <f>ROUNDUP((T3198+U3198+2*'Read Me'!$B$13)*(1+'Read Me'!$B$12),-1)</f>
        <v/>
      </c>
      <c r="W3198" s="16">
        <f>V3198*N3198*O3198</f>
        <v/>
      </c>
      <c r="X3198" s="12">
        <f>IF(LEFT(I3198,2)="MV",2*N3198*IF(L3198="1/C",O3198,1),0)</f>
        <v/>
      </c>
      <c r="Y3198" s="12">
        <f>IF(OR(LEFT(K3198,4)="LVAX",LEFT(K3198,6)="MV15AX",LEFT(K3198,4)="CTAX",LEFT(K3198,2)="W|"),2*N3198*O3198,0)</f>
        <v/>
      </c>
      <c r="Z3198" s="12" t="inlineStr">
        <is>
          <t>device-to-JB field wiring, one cable per device</t>
        </is>
      </c>
      <c r="AA3198" s="12">
        <f>N3198*O3198</f>
        <v/>
      </c>
    </row>
    <row r="3199">
      <c r="A3199" s="12" t="inlineStr">
        <is>
          <t>G-I-0068</t>
        </is>
      </c>
      <c r="B3199" s="12" t="inlineStr">
        <is>
          <t>G</t>
        </is>
      </c>
      <c r="C3199" s="12" t="inlineStr">
        <is>
          <t>Carbon capture</t>
        </is>
      </c>
      <c r="D3199" s="12" t="inlineStr">
        <is>
          <t>Home run JB-BF-C-AI01 to the control / marshalling room</t>
        </is>
      </c>
      <c r="E3199" s="12" t="inlineStr"/>
      <c r="F3199" s="12" t="inlineStr">
        <is>
          <t>CCS F&amp;G / control</t>
        </is>
      </c>
      <c r="G3199" s="12" t="inlineStr">
        <is>
          <t>JB-BF-C-AI01</t>
        </is>
      </c>
      <c r="H3199" s="12" t="inlineStr">
        <is>
          <t>BF-C: booster fan (~16 MW)</t>
        </is>
      </c>
      <c r="I3199" s="12" t="inlineStr">
        <is>
          <t>Instrumentation</t>
        </is>
      </c>
      <c r="J3199" s="12" t="inlineStr">
        <is>
          <t>Instrumentation PLTC / TC-ER 300 V, #18 twisted shielded pairs, overall shield</t>
        </is>
      </c>
      <c r="K3199" s="12" t="inlineStr">
        <is>
          <t>PLTC|24 pr|18</t>
        </is>
      </c>
      <c r="L3199" s="12" t="inlineStr">
        <is>
          <t>24 pr</t>
        </is>
      </c>
      <c r="M3199" s="12" t="inlineStr">
        <is>
          <t>18</t>
        </is>
      </c>
      <c r="N3199" s="12" t="n">
        <v>1</v>
      </c>
      <c r="O3199" s="12" t="n">
        <v>1</v>
      </c>
      <c r="P3199" s="12" t="n"/>
      <c r="Q3199" s="12" t="n"/>
      <c r="R3199" s="12" t="n"/>
      <c r="S3199" s="12" t="inlineStr">
        <is>
          <t>Duct bank</t>
        </is>
      </c>
      <c r="T3199" s="16" t="n">
        <v>385</v>
      </c>
      <c r="U3199" s="16" t="n">
        <v>219</v>
      </c>
      <c r="V3199" s="16">
        <f>ROUNDUP((T3199+U3199+2*'Read Me'!$B$13)*(1+'Read Me'!$B$12),-1)</f>
        <v/>
      </c>
      <c r="W3199" s="16">
        <f>V3199*N3199*O3199</f>
        <v/>
      </c>
      <c r="X3199" s="12">
        <f>IF(LEFT(I3199,2)="MV",2*N3199*IF(L3199="1/C",O3199,1),0)</f>
        <v/>
      </c>
      <c r="Y3199" s="12">
        <f>IF(OR(LEFT(K3199,4)="LVAX",LEFT(K3199,6)="MV15AX",LEFT(K3199,4)="CTAX",LEFT(K3199,2)="W|"),2*N3199*O3199,0)</f>
        <v/>
      </c>
      <c r="Z3199" s="12" t="inlineStr"/>
      <c r="AA3199" s="12">
        <f>N3199*O3199</f>
        <v/>
      </c>
    </row>
    <row r="3200">
      <c r="A3200" s="12" t="inlineStr">
        <is>
          <t>G-I-0069</t>
        </is>
      </c>
      <c r="B3200" s="12" t="inlineStr">
        <is>
          <t>G</t>
        </is>
      </c>
      <c r="C3200" s="12" t="inlineStr">
        <is>
          <t>Carbon capture</t>
        </is>
      </c>
      <c r="D3200" s="12" t="inlineStr">
        <is>
          <t>Analog instrument to JB JB-BF-C-AI02: 10 x 1 pr (field cables)</t>
        </is>
      </c>
      <c r="E3200" s="12" t="inlineStr">
        <is>
          <t>BF-C</t>
        </is>
      </c>
      <c r="F3200" s="12" t="inlineStr">
        <is>
          <t>BF-C: booster fan (~16 MW)</t>
        </is>
      </c>
      <c r="G3200" s="12" t="inlineStr">
        <is>
          <t>JB-BF-C-AI02</t>
        </is>
      </c>
      <c r="H3200" s="12" t="inlineStr">
        <is>
          <t>BF-C: booster fan (~16 MW)</t>
        </is>
      </c>
      <c r="I3200" s="12" t="inlineStr">
        <is>
          <t>Instrumentation</t>
        </is>
      </c>
      <c r="J3200" s="12" t="inlineStr">
        <is>
          <t>Instrumentation PLTC / TC-ER 300 V, #18 twisted shielded pairs, overall shield</t>
        </is>
      </c>
      <c r="K3200" s="12" t="inlineStr">
        <is>
          <t>PLTC|1 pr|16</t>
        </is>
      </c>
      <c r="L3200" s="12" t="inlineStr">
        <is>
          <t>1 pr</t>
        </is>
      </c>
      <c r="M3200" s="12" t="inlineStr">
        <is>
          <t>16</t>
        </is>
      </c>
      <c r="N3200" s="12" t="n">
        <v>10</v>
      </c>
      <c r="O3200" s="12" t="n">
        <v>1</v>
      </c>
      <c r="P3200" s="12" t="n"/>
      <c r="Q3200" s="12" t="n"/>
      <c r="R3200" s="12" t="n"/>
      <c r="S3200" s="12" t="inlineStr">
        <is>
          <t>Tray / conduit</t>
        </is>
      </c>
      <c r="T3200" s="16" t="n">
        <v>82</v>
      </c>
      <c r="U3200" s="16" t="n">
        <v>10</v>
      </c>
      <c r="V3200" s="16">
        <f>ROUNDUP((T3200+U3200+2*'Read Me'!$B$13)*(1+'Read Me'!$B$12),-1)</f>
        <v/>
      </c>
      <c r="W3200" s="16">
        <f>V3200*N3200*O3200</f>
        <v/>
      </c>
      <c r="X3200" s="12">
        <f>IF(LEFT(I3200,2)="MV",2*N3200*IF(L3200="1/C",O3200,1),0)</f>
        <v/>
      </c>
      <c r="Y3200" s="12">
        <f>IF(OR(LEFT(K3200,4)="LVAX",LEFT(K3200,6)="MV15AX",LEFT(K3200,4)="CTAX",LEFT(K3200,2)="W|"),2*N3200*O3200,0)</f>
        <v/>
      </c>
      <c r="Z3200" s="12" t="inlineStr">
        <is>
          <t>device-to-JB field wiring, one cable per device</t>
        </is>
      </c>
      <c r="AA3200" s="12">
        <f>N3200*O3200</f>
        <v/>
      </c>
    </row>
    <row r="3201">
      <c r="A3201" s="12" t="inlineStr">
        <is>
          <t>G-I-0070</t>
        </is>
      </c>
      <c r="B3201" s="12" t="inlineStr">
        <is>
          <t>G</t>
        </is>
      </c>
      <c r="C3201" s="12" t="inlineStr">
        <is>
          <t>Carbon capture</t>
        </is>
      </c>
      <c r="D3201" s="12" t="inlineStr">
        <is>
          <t>Home run JB-BF-C-AI02 to the control / marshalling room</t>
        </is>
      </c>
      <c r="E3201" s="12" t="inlineStr"/>
      <c r="F3201" s="12" t="inlineStr">
        <is>
          <t>CCS F&amp;G / control</t>
        </is>
      </c>
      <c r="G3201" s="12" t="inlineStr">
        <is>
          <t>JB-BF-C-AI02</t>
        </is>
      </c>
      <c r="H3201" s="12" t="inlineStr">
        <is>
          <t>BF-C: booster fan (~16 MW)</t>
        </is>
      </c>
      <c r="I3201" s="12" t="inlineStr">
        <is>
          <t>Instrumentation</t>
        </is>
      </c>
      <c r="J3201" s="12" t="inlineStr">
        <is>
          <t>Instrumentation PLTC / TC-ER 300 V, #18 twisted shielded pairs, overall shield</t>
        </is>
      </c>
      <c r="K3201" s="12" t="inlineStr">
        <is>
          <t>PLTC|24 pr|18</t>
        </is>
      </c>
      <c r="L3201" s="12" t="inlineStr">
        <is>
          <t>24 pr</t>
        </is>
      </c>
      <c r="M3201" s="12" t="inlineStr">
        <is>
          <t>18</t>
        </is>
      </c>
      <c r="N3201" s="12" t="n">
        <v>1</v>
      </c>
      <c r="O3201" s="12" t="n">
        <v>1</v>
      </c>
      <c r="P3201" s="12" t="n"/>
      <c r="Q3201" s="12" t="n"/>
      <c r="R3201" s="12" t="n"/>
      <c r="S3201" s="12" t="inlineStr">
        <is>
          <t>Duct bank</t>
        </is>
      </c>
      <c r="T3201" s="16" t="n">
        <v>385</v>
      </c>
      <c r="U3201" s="16" t="n">
        <v>219</v>
      </c>
      <c r="V3201" s="16">
        <f>ROUNDUP((T3201+U3201+2*'Read Me'!$B$13)*(1+'Read Me'!$B$12),-1)</f>
        <v/>
      </c>
      <c r="W3201" s="16">
        <f>V3201*N3201*O3201</f>
        <v/>
      </c>
      <c r="X3201" s="12">
        <f>IF(LEFT(I3201,2)="MV",2*N3201*IF(L3201="1/C",O3201,1),0)</f>
        <v/>
      </c>
      <c r="Y3201" s="12">
        <f>IF(OR(LEFT(K3201,4)="LVAX",LEFT(K3201,6)="MV15AX",LEFT(K3201,4)="CTAX",LEFT(K3201,2)="W|"),2*N3201*O3201,0)</f>
        <v/>
      </c>
      <c r="Z3201" s="12" t="inlineStr"/>
      <c r="AA3201" s="12">
        <f>N3201*O3201</f>
        <v/>
      </c>
    </row>
    <row r="3202">
      <c r="A3202" s="12" t="inlineStr">
        <is>
          <t>G-I-0071</t>
        </is>
      </c>
      <c r="B3202" s="12" t="inlineStr">
        <is>
          <t>G</t>
        </is>
      </c>
      <c r="C3202" s="12" t="inlineStr">
        <is>
          <t>Carbon capture</t>
        </is>
      </c>
      <c r="D3202" s="12" t="inlineStr">
        <is>
          <t>Discrete device to JB JB-BF-C-DI01: 20 x 1 pr (field cables)</t>
        </is>
      </c>
      <c r="E3202" s="12" t="inlineStr">
        <is>
          <t>BF-C</t>
        </is>
      </c>
      <c r="F3202" s="12" t="inlineStr">
        <is>
          <t>BF-C: booster fan (~16 MW)</t>
        </is>
      </c>
      <c r="G3202" s="12" t="inlineStr">
        <is>
          <t>JB-BF-C-DI01</t>
        </is>
      </c>
      <c r="H3202" s="12" t="inlineStr">
        <is>
          <t>BF-C: booster fan (~16 MW)</t>
        </is>
      </c>
      <c r="I3202" s="12" t="inlineStr">
        <is>
          <t>Instrumentation</t>
        </is>
      </c>
      <c r="J3202" s="12" t="inlineStr">
        <is>
          <t>Instrumentation PLTC / TC-ER 300 V, #18 twisted shielded pairs, overall shield</t>
        </is>
      </c>
      <c r="K3202" s="12" t="inlineStr">
        <is>
          <t>PLTC|1 pr|16</t>
        </is>
      </c>
      <c r="L3202" s="12" t="inlineStr">
        <is>
          <t>1 pr</t>
        </is>
      </c>
      <c r="M3202" s="12" t="inlineStr">
        <is>
          <t>16</t>
        </is>
      </c>
      <c r="N3202" s="12" t="n">
        <v>20</v>
      </c>
      <c r="O3202" s="12" t="n">
        <v>1</v>
      </c>
      <c r="P3202" s="12" t="n"/>
      <c r="Q3202" s="12" t="n"/>
      <c r="R3202" s="12" t="n"/>
      <c r="S3202" s="12" t="inlineStr">
        <is>
          <t>Tray / conduit</t>
        </is>
      </c>
      <c r="T3202" s="16" t="n">
        <v>82</v>
      </c>
      <c r="U3202" s="16" t="n">
        <v>10</v>
      </c>
      <c r="V3202" s="16">
        <f>ROUNDUP((T3202+U3202+2*'Read Me'!$B$13)*(1+'Read Me'!$B$12),-1)</f>
        <v/>
      </c>
      <c r="W3202" s="16">
        <f>V3202*N3202*O3202</f>
        <v/>
      </c>
      <c r="X3202" s="12">
        <f>IF(LEFT(I3202,2)="MV",2*N3202*IF(L3202="1/C",O3202,1),0)</f>
        <v/>
      </c>
      <c r="Y3202" s="12">
        <f>IF(OR(LEFT(K3202,4)="LVAX",LEFT(K3202,6)="MV15AX",LEFT(K3202,4)="CTAX",LEFT(K3202,2)="W|"),2*N3202*O3202,0)</f>
        <v/>
      </c>
      <c r="Z3202" s="12" t="inlineStr">
        <is>
          <t>device-to-JB field wiring, one cable per device</t>
        </is>
      </c>
      <c r="AA3202" s="12">
        <f>N3202*O3202</f>
        <v/>
      </c>
    </row>
    <row r="3203">
      <c r="A3203" s="12" t="inlineStr">
        <is>
          <t>G-I-0072</t>
        </is>
      </c>
      <c r="B3203" s="12" t="inlineStr">
        <is>
          <t>G</t>
        </is>
      </c>
      <c r="C3203" s="12" t="inlineStr">
        <is>
          <t>Carbon capture</t>
        </is>
      </c>
      <c r="D3203" s="12" t="inlineStr">
        <is>
          <t>Home run JB-BF-C-DI01 to the control / marshalling room</t>
        </is>
      </c>
      <c r="E3203" s="12" t="inlineStr"/>
      <c r="F3203" s="12" t="inlineStr">
        <is>
          <t>CCS F&amp;G / control</t>
        </is>
      </c>
      <c r="G3203" s="12" t="inlineStr">
        <is>
          <t>JB-BF-C-DI01</t>
        </is>
      </c>
      <c r="H3203" s="12" t="inlineStr">
        <is>
          <t>BF-C: booster fan (~16 MW)</t>
        </is>
      </c>
      <c r="I3203" s="12" t="inlineStr">
        <is>
          <t>Instrumentation</t>
        </is>
      </c>
      <c r="J3203" s="12" t="inlineStr">
        <is>
          <t>Instrumentation PLTC / TC-ER 300 V, #18 twisted shielded pairs, overall shield</t>
        </is>
      </c>
      <c r="K3203" s="12" t="inlineStr">
        <is>
          <t>PLTC|24 pr|18</t>
        </is>
      </c>
      <c r="L3203" s="12" t="inlineStr">
        <is>
          <t>24 pr</t>
        </is>
      </c>
      <c r="M3203" s="12" t="inlineStr">
        <is>
          <t>18</t>
        </is>
      </c>
      <c r="N3203" s="12" t="n">
        <v>1</v>
      </c>
      <c r="O3203" s="12" t="n">
        <v>1</v>
      </c>
      <c r="P3203" s="12" t="n"/>
      <c r="Q3203" s="12" t="n"/>
      <c r="R3203" s="12" t="n"/>
      <c r="S3203" s="12" t="inlineStr">
        <is>
          <t>Duct bank</t>
        </is>
      </c>
      <c r="T3203" s="16" t="n">
        <v>385</v>
      </c>
      <c r="U3203" s="16" t="n">
        <v>219</v>
      </c>
      <c r="V3203" s="16">
        <f>ROUNDUP((T3203+U3203+2*'Read Me'!$B$13)*(1+'Read Me'!$B$12),-1)</f>
        <v/>
      </c>
      <c r="W3203" s="16">
        <f>V3203*N3203*O3203</f>
        <v/>
      </c>
      <c r="X3203" s="12">
        <f>IF(LEFT(I3203,2)="MV",2*N3203*IF(L3203="1/C",O3203,1),0)</f>
        <v/>
      </c>
      <c r="Y3203" s="12">
        <f>IF(OR(LEFT(K3203,4)="LVAX",LEFT(K3203,6)="MV15AX",LEFT(K3203,4)="CTAX",LEFT(K3203,2)="W|"),2*N3203*O3203,0)</f>
        <v/>
      </c>
      <c r="Z3203" s="12" t="inlineStr"/>
      <c r="AA3203" s="12">
        <f>N3203*O3203</f>
        <v/>
      </c>
    </row>
    <row r="3204">
      <c r="A3204" s="12" t="inlineStr">
        <is>
          <t>G-I-0073</t>
        </is>
      </c>
      <c r="B3204" s="12" t="inlineStr">
        <is>
          <t>G</t>
        </is>
      </c>
      <c r="C3204" s="12" t="inlineStr">
        <is>
          <t>Carbon capture</t>
        </is>
      </c>
      <c r="D3204" s="12" t="inlineStr">
        <is>
          <t>RTD to JB JB-BF-C-RTD01: 10 x 1 tri (field cables)</t>
        </is>
      </c>
      <c r="E3204" s="12" t="inlineStr">
        <is>
          <t>BF-C</t>
        </is>
      </c>
      <c r="F3204" s="12" t="inlineStr">
        <is>
          <t>BF-C: booster fan (~16 MW)</t>
        </is>
      </c>
      <c r="G3204" s="12" t="inlineStr">
        <is>
          <t>JB-BF-C-RTD01</t>
        </is>
      </c>
      <c r="H3204" s="12" t="inlineStr">
        <is>
          <t>BF-C: booster fan (~16 MW)</t>
        </is>
      </c>
      <c r="I3204" s="12" t="inlineStr">
        <is>
          <t>Instrumentation</t>
        </is>
      </c>
      <c r="J3204" s="12" t="inlineStr">
        <is>
          <t>RTD cable, #18 shielded triads, PLTC</t>
        </is>
      </c>
      <c r="K3204" s="12" t="inlineStr">
        <is>
          <t>RTD|1 tri|18</t>
        </is>
      </c>
      <c r="L3204" s="12" t="inlineStr">
        <is>
          <t>1 tri</t>
        </is>
      </c>
      <c r="M3204" s="12" t="inlineStr">
        <is>
          <t>18</t>
        </is>
      </c>
      <c r="N3204" s="12" t="n">
        <v>10</v>
      </c>
      <c r="O3204" s="12" t="n">
        <v>1</v>
      </c>
      <c r="P3204" s="12" t="n"/>
      <c r="Q3204" s="12" t="n"/>
      <c r="R3204" s="12" t="n"/>
      <c r="S3204" s="12" t="inlineStr">
        <is>
          <t>Tray / conduit</t>
        </is>
      </c>
      <c r="T3204" s="16" t="n">
        <v>82</v>
      </c>
      <c r="U3204" s="16" t="n">
        <v>10</v>
      </c>
      <c r="V3204" s="16">
        <f>ROUNDUP((T3204+U3204+2*'Read Me'!$B$13)*(1+'Read Me'!$B$12),-1)</f>
        <v/>
      </c>
      <c r="W3204" s="16">
        <f>V3204*N3204*O3204</f>
        <v/>
      </c>
      <c r="X3204" s="12">
        <f>IF(LEFT(I3204,2)="MV",2*N3204*IF(L3204="1/C",O3204,1),0)</f>
        <v/>
      </c>
      <c r="Y3204" s="12">
        <f>IF(OR(LEFT(K3204,4)="LVAX",LEFT(K3204,6)="MV15AX",LEFT(K3204,4)="CTAX",LEFT(K3204,2)="W|"),2*N3204*O3204,0)</f>
        <v/>
      </c>
      <c r="Z3204" s="12" t="inlineStr">
        <is>
          <t>device-to-JB field wiring, one cable per device</t>
        </is>
      </c>
      <c r="AA3204" s="12">
        <f>N3204*O3204</f>
        <v/>
      </c>
    </row>
    <row r="3205">
      <c r="A3205" s="12" t="inlineStr">
        <is>
          <t>G-I-0074</t>
        </is>
      </c>
      <c r="B3205" s="12" t="inlineStr">
        <is>
          <t>G</t>
        </is>
      </c>
      <c r="C3205" s="12" t="inlineStr">
        <is>
          <t>Carbon capture</t>
        </is>
      </c>
      <c r="D3205" s="12" t="inlineStr">
        <is>
          <t>Home run JB-BF-C-RTD01 to the control / marshalling room</t>
        </is>
      </c>
      <c r="E3205" s="12" t="inlineStr"/>
      <c r="F3205" s="12" t="inlineStr">
        <is>
          <t>CCS F&amp;G / control</t>
        </is>
      </c>
      <c r="G3205" s="12" t="inlineStr">
        <is>
          <t>JB-BF-C-RTD01</t>
        </is>
      </c>
      <c r="H3205" s="12" t="inlineStr">
        <is>
          <t>BF-C: booster fan (~16 MW)</t>
        </is>
      </c>
      <c r="I3205" s="12" t="inlineStr">
        <is>
          <t>Instrumentation</t>
        </is>
      </c>
      <c r="J3205" s="12" t="inlineStr">
        <is>
          <t>RTD cable, #18 shielded triads, PLTC</t>
        </is>
      </c>
      <c r="K3205" s="12" t="inlineStr">
        <is>
          <t>RTD|12 tri|18</t>
        </is>
      </c>
      <c r="L3205" s="12" t="inlineStr">
        <is>
          <t>12 tri</t>
        </is>
      </c>
      <c r="M3205" s="12" t="inlineStr">
        <is>
          <t>18</t>
        </is>
      </c>
      <c r="N3205" s="12" t="n">
        <v>1</v>
      </c>
      <c r="O3205" s="12" t="n">
        <v>1</v>
      </c>
      <c r="P3205" s="12" t="n"/>
      <c r="Q3205" s="12" t="n"/>
      <c r="R3205" s="12" t="n"/>
      <c r="S3205" s="12" t="inlineStr">
        <is>
          <t>Duct bank</t>
        </is>
      </c>
      <c r="T3205" s="16" t="n">
        <v>385</v>
      </c>
      <c r="U3205" s="16" t="n">
        <v>219</v>
      </c>
      <c r="V3205" s="16">
        <f>ROUNDUP((T3205+U3205+2*'Read Me'!$B$13)*(1+'Read Me'!$B$12),-1)</f>
        <v/>
      </c>
      <c r="W3205" s="16">
        <f>V3205*N3205*O3205</f>
        <v/>
      </c>
      <c r="X3205" s="12">
        <f>IF(LEFT(I3205,2)="MV",2*N3205*IF(L3205="1/C",O3205,1),0)</f>
        <v/>
      </c>
      <c r="Y3205" s="12">
        <f>IF(OR(LEFT(K3205,4)="LVAX",LEFT(K3205,6)="MV15AX",LEFT(K3205,4)="CTAX",LEFT(K3205,2)="W|"),2*N3205*O3205,0)</f>
        <v/>
      </c>
      <c r="Z3205" s="12" t="inlineStr"/>
      <c r="AA3205" s="12">
        <f>N3205*O3205</f>
        <v/>
      </c>
    </row>
    <row r="3206">
      <c r="A3206" s="12" t="inlineStr">
        <is>
          <t>G-I-0075</t>
        </is>
      </c>
      <c r="B3206" s="12" t="inlineStr">
        <is>
          <t>G</t>
        </is>
      </c>
      <c r="C3206" s="12" t="inlineStr">
        <is>
          <t>Carbon capture</t>
        </is>
      </c>
      <c r="D3206" s="12" t="inlineStr">
        <is>
          <t>RTD to JB JB-BF-C-RTD02: 8 x 1 tri (field cables)</t>
        </is>
      </c>
      <c r="E3206" s="12" t="inlineStr">
        <is>
          <t>BF-C</t>
        </is>
      </c>
      <c r="F3206" s="12" t="inlineStr">
        <is>
          <t>BF-C: booster fan (~16 MW)</t>
        </is>
      </c>
      <c r="G3206" s="12" t="inlineStr">
        <is>
          <t>JB-BF-C-RTD02</t>
        </is>
      </c>
      <c r="H3206" s="12" t="inlineStr">
        <is>
          <t>BF-C: booster fan (~16 MW)</t>
        </is>
      </c>
      <c r="I3206" s="12" t="inlineStr">
        <is>
          <t>Instrumentation</t>
        </is>
      </c>
      <c r="J3206" s="12" t="inlineStr">
        <is>
          <t>RTD cable, #18 shielded triads, PLTC</t>
        </is>
      </c>
      <c r="K3206" s="12" t="inlineStr">
        <is>
          <t>RTD|1 tri|18</t>
        </is>
      </c>
      <c r="L3206" s="12" t="inlineStr">
        <is>
          <t>1 tri</t>
        </is>
      </c>
      <c r="M3206" s="12" t="inlineStr">
        <is>
          <t>18</t>
        </is>
      </c>
      <c r="N3206" s="12" t="n">
        <v>8</v>
      </c>
      <c r="O3206" s="12" t="n">
        <v>1</v>
      </c>
      <c r="P3206" s="12" t="n"/>
      <c r="Q3206" s="12" t="n"/>
      <c r="R3206" s="12" t="n"/>
      <c r="S3206" s="12" t="inlineStr">
        <is>
          <t>Tray / conduit</t>
        </is>
      </c>
      <c r="T3206" s="16" t="n">
        <v>82</v>
      </c>
      <c r="U3206" s="16" t="n">
        <v>10</v>
      </c>
      <c r="V3206" s="16">
        <f>ROUNDUP((T3206+U3206+2*'Read Me'!$B$13)*(1+'Read Me'!$B$12),-1)</f>
        <v/>
      </c>
      <c r="W3206" s="16">
        <f>V3206*N3206*O3206</f>
        <v/>
      </c>
      <c r="X3206" s="12">
        <f>IF(LEFT(I3206,2)="MV",2*N3206*IF(L3206="1/C",O3206,1),0)</f>
        <v/>
      </c>
      <c r="Y3206" s="12">
        <f>IF(OR(LEFT(K3206,4)="LVAX",LEFT(K3206,6)="MV15AX",LEFT(K3206,4)="CTAX",LEFT(K3206,2)="W|"),2*N3206*O3206,0)</f>
        <v/>
      </c>
      <c r="Z3206" s="12" t="inlineStr">
        <is>
          <t>device-to-JB field wiring, one cable per device</t>
        </is>
      </c>
      <c r="AA3206" s="12">
        <f>N3206*O3206</f>
        <v/>
      </c>
    </row>
    <row r="3207">
      <c r="A3207" s="12" t="inlineStr">
        <is>
          <t>G-I-0076</t>
        </is>
      </c>
      <c r="B3207" s="12" t="inlineStr">
        <is>
          <t>G</t>
        </is>
      </c>
      <c r="C3207" s="12" t="inlineStr">
        <is>
          <t>Carbon capture</t>
        </is>
      </c>
      <c r="D3207" s="12" t="inlineStr">
        <is>
          <t>Home run JB-BF-C-RTD02 to the control / marshalling room</t>
        </is>
      </c>
      <c r="E3207" s="12" t="inlineStr"/>
      <c r="F3207" s="12" t="inlineStr">
        <is>
          <t>CCS F&amp;G / control</t>
        </is>
      </c>
      <c r="G3207" s="12" t="inlineStr">
        <is>
          <t>JB-BF-C-RTD02</t>
        </is>
      </c>
      <c r="H3207" s="12" t="inlineStr">
        <is>
          <t>BF-C: booster fan (~16 MW)</t>
        </is>
      </c>
      <c r="I3207" s="12" t="inlineStr">
        <is>
          <t>Instrumentation</t>
        </is>
      </c>
      <c r="J3207" s="12" t="inlineStr">
        <is>
          <t>RTD cable, #18 shielded triads, PLTC</t>
        </is>
      </c>
      <c r="K3207" s="12" t="inlineStr">
        <is>
          <t>RTD|12 tri|18</t>
        </is>
      </c>
      <c r="L3207" s="12" t="inlineStr">
        <is>
          <t>12 tri</t>
        </is>
      </c>
      <c r="M3207" s="12" t="inlineStr">
        <is>
          <t>18</t>
        </is>
      </c>
      <c r="N3207" s="12" t="n">
        <v>1</v>
      </c>
      <c r="O3207" s="12" t="n">
        <v>1</v>
      </c>
      <c r="P3207" s="12" t="n"/>
      <c r="Q3207" s="12" t="n"/>
      <c r="R3207" s="12" t="n"/>
      <c r="S3207" s="12" t="inlineStr">
        <is>
          <t>Duct bank</t>
        </is>
      </c>
      <c r="T3207" s="16" t="n">
        <v>385</v>
      </c>
      <c r="U3207" s="16" t="n">
        <v>219</v>
      </c>
      <c r="V3207" s="16">
        <f>ROUNDUP((T3207+U3207+2*'Read Me'!$B$13)*(1+'Read Me'!$B$12),-1)</f>
        <v/>
      </c>
      <c r="W3207" s="16">
        <f>V3207*N3207*O3207</f>
        <v/>
      </c>
      <c r="X3207" s="12">
        <f>IF(LEFT(I3207,2)="MV",2*N3207*IF(L3207="1/C",O3207,1),0)</f>
        <v/>
      </c>
      <c r="Y3207" s="12">
        <f>IF(OR(LEFT(K3207,4)="LVAX",LEFT(K3207,6)="MV15AX",LEFT(K3207,4)="CTAX",LEFT(K3207,2)="W|"),2*N3207*O3207,0)</f>
        <v/>
      </c>
      <c r="Z3207" s="12" t="inlineStr"/>
      <c r="AA3207" s="12">
        <f>N3207*O3207</f>
        <v/>
      </c>
    </row>
    <row r="3208">
      <c r="A3208" s="12" t="inlineStr">
        <is>
          <t>G-I-0077</t>
        </is>
      </c>
      <c r="B3208" s="12" t="inlineStr">
        <is>
          <t>G</t>
        </is>
      </c>
      <c r="C3208" s="12" t="inlineStr">
        <is>
          <t>Carbon capture</t>
        </is>
      </c>
      <c r="D3208" s="12" t="inlineStr">
        <is>
          <t>Analog instrument to JB JB-CCS T-1-AI01: 8 x 1 pr (field cables)</t>
        </is>
      </c>
      <c r="E3208" s="12" t="inlineStr">
        <is>
          <t>CCS T-1</t>
        </is>
      </c>
      <c r="F3208" s="12" t="inlineStr">
        <is>
          <t>CCS T-1: 230/13.8 kV</t>
        </is>
      </c>
      <c r="G3208" s="12" t="inlineStr">
        <is>
          <t>JB-CCS T-1-AI01</t>
        </is>
      </c>
      <c r="H3208" s="12" t="inlineStr">
        <is>
          <t>CCS T-1: 230/13.8 kV</t>
        </is>
      </c>
      <c r="I3208" s="12" t="inlineStr">
        <is>
          <t>Instrumentation</t>
        </is>
      </c>
      <c r="J3208" s="12" t="inlineStr">
        <is>
          <t>Instrumentation PLTC / TC-ER 300 V, #18 twisted shielded pairs, overall shield</t>
        </is>
      </c>
      <c r="K3208" s="12" t="inlineStr">
        <is>
          <t>PLTC|1 pr|16</t>
        </is>
      </c>
      <c r="L3208" s="12" t="inlineStr">
        <is>
          <t>1 pr</t>
        </is>
      </c>
      <c r="M3208" s="12" t="inlineStr">
        <is>
          <t>16</t>
        </is>
      </c>
      <c r="N3208" s="12" t="n">
        <v>8</v>
      </c>
      <c r="O3208" s="12" t="n">
        <v>1</v>
      </c>
      <c r="P3208" s="12" t="n"/>
      <c r="Q3208" s="12" t="n"/>
      <c r="R3208" s="12" t="n"/>
      <c r="S3208" s="12" t="inlineStr">
        <is>
          <t>Tray / conduit</t>
        </is>
      </c>
      <c r="T3208" s="16" t="n">
        <v>82</v>
      </c>
      <c r="U3208" s="16" t="n">
        <v>10</v>
      </c>
      <c r="V3208" s="16">
        <f>ROUNDUP((T3208+U3208+2*'Read Me'!$B$13)*(1+'Read Me'!$B$12),-1)</f>
        <v/>
      </c>
      <c r="W3208" s="16">
        <f>V3208*N3208*O3208</f>
        <v/>
      </c>
      <c r="X3208" s="12">
        <f>IF(LEFT(I3208,2)="MV",2*N3208*IF(L3208="1/C",O3208,1),0)</f>
        <v/>
      </c>
      <c r="Y3208" s="12">
        <f>IF(OR(LEFT(K3208,4)="LVAX",LEFT(K3208,6)="MV15AX",LEFT(K3208,4)="CTAX",LEFT(K3208,2)="W|"),2*N3208*O3208,0)</f>
        <v/>
      </c>
      <c r="Z3208" s="12" t="inlineStr">
        <is>
          <t>device-to-JB field wiring, one cable per device</t>
        </is>
      </c>
      <c r="AA3208" s="12">
        <f>N3208*O3208</f>
        <v/>
      </c>
    </row>
    <row r="3209">
      <c r="A3209" s="12" t="inlineStr">
        <is>
          <t>G-I-0078</t>
        </is>
      </c>
      <c r="B3209" s="12" t="inlineStr">
        <is>
          <t>G</t>
        </is>
      </c>
      <c r="C3209" s="12" t="inlineStr">
        <is>
          <t>Carbon capture</t>
        </is>
      </c>
      <c r="D3209" s="12" t="inlineStr">
        <is>
          <t>Home run JB-CCS T-1-AI01 to the control / marshalling room</t>
        </is>
      </c>
      <c r="E3209" s="12" t="inlineStr"/>
      <c r="F3209" s="12" t="inlineStr">
        <is>
          <t>CCS F&amp;G / control</t>
        </is>
      </c>
      <c r="G3209" s="12" t="inlineStr">
        <is>
          <t>JB-CCS T-1-AI01</t>
        </is>
      </c>
      <c r="H3209" s="12" t="inlineStr">
        <is>
          <t>CCS T-1: 230/13.8 kV</t>
        </is>
      </c>
      <c r="I3209" s="12" t="inlineStr">
        <is>
          <t>Instrumentation</t>
        </is>
      </c>
      <c r="J3209" s="12" t="inlineStr">
        <is>
          <t>Instrumentation PLTC / TC-ER 300 V, #18 twisted shielded pairs, overall shield</t>
        </is>
      </c>
      <c r="K3209" s="12" t="inlineStr">
        <is>
          <t>PLTC|24 pr|18</t>
        </is>
      </c>
      <c r="L3209" s="12" t="inlineStr">
        <is>
          <t>24 pr</t>
        </is>
      </c>
      <c r="M3209" s="12" t="inlineStr">
        <is>
          <t>18</t>
        </is>
      </c>
      <c r="N3209" s="12" t="n">
        <v>1</v>
      </c>
      <c r="O3209" s="12" t="n">
        <v>1</v>
      </c>
      <c r="P3209" s="12" t="n"/>
      <c r="Q3209" s="12" t="n"/>
      <c r="R3209" s="12" t="n"/>
      <c r="S3209" s="12" t="inlineStr">
        <is>
          <t>HV duct bank</t>
        </is>
      </c>
      <c r="T3209" s="16" t="n">
        <v>77</v>
      </c>
      <c r="U3209" s="16" t="n">
        <v>103</v>
      </c>
      <c r="V3209" s="16">
        <f>ROUNDUP((T3209+U3209+2*'Read Me'!$B$13)*(1+'Read Me'!$B$12),-1)</f>
        <v/>
      </c>
      <c r="W3209" s="16">
        <f>V3209*N3209*O3209</f>
        <v/>
      </c>
      <c r="X3209" s="12">
        <f>IF(LEFT(I3209,2)="MV",2*N3209*IF(L3209="1/C",O3209,1),0)</f>
        <v/>
      </c>
      <c r="Y3209" s="12">
        <f>IF(OR(LEFT(K3209,4)="LVAX",LEFT(K3209,6)="MV15AX",LEFT(K3209,4)="CTAX",LEFT(K3209,2)="W|"),2*N3209*O3209,0)</f>
        <v/>
      </c>
      <c r="Z3209" s="12" t="inlineStr"/>
      <c r="AA3209" s="12">
        <f>N3209*O3209</f>
        <v/>
      </c>
    </row>
    <row r="3210">
      <c r="A3210" s="12" t="inlineStr">
        <is>
          <t>G-I-0079</t>
        </is>
      </c>
      <c r="B3210" s="12" t="inlineStr">
        <is>
          <t>G</t>
        </is>
      </c>
      <c r="C3210" s="12" t="inlineStr">
        <is>
          <t>Carbon capture</t>
        </is>
      </c>
      <c r="D3210" s="12" t="inlineStr">
        <is>
          <t>Discrete device to JB JB-CCS T-1-DI01: 16 x 1 pr (field cables)</t>
        </is>
      </c>
      <c r="E3210" s="12" t="inlineStr">
        <is>
          <t>CCS T-1</t>
        </is>
      </c>
      <c r="F3210" s="12" t="inlineStr">
        <is>
          <t>CCS T-1: 230/13.8 kV</t>
        </is>
      </c>
      <c r="G3210" s="12" t="inlineStr">
        <is>
          <t>JB-CCS T-1-DI01</t>
        </is>
      </c>
      <c r="H3210" s="12" t="inlineStr">
        <is>
          <t>CCS T-1: 230/13.8 kV</t>
        </is>
      </c>
      <c r="I3210" s="12" t="inlineStr">
        <is>
          <t>Instrumentation</t>
        </is>
      </c>
      <c r="J3210" s="12" t="inlineStr">
        <is>
          <t>Instrumentation PLTC / TC-ER 300 V, #18 twisted shielded pairs, overall shield</t>
        </is>
      </c>
      <c r="K3210" s="12" t="inlineStr">
        <is>
          <t>PLTC|1 pr|16</t>
        </is>
      </c>
      <c r="L3210" s="12" t="inlineStr">
        <is>
          <t>1 pr</t>
        </is>
      </c>
      <c r="M3210" s="12" t="inlineStr">
        <is>
          <t>16</t>
        </is>
      </c>
      <c r="N3210" s="12" t="n">
        <v>16</v>
      </c>
      <c r="O3210" s="12" t="n">
        <v>1</v>
      </c>
      <c r="P3210" s="12" t="n"/>
      <c r="Q3210" s="12" t="n"/>
      <c r="R3210" s="12" t="n"/>
      <c r="S3210" s="12" t="inlineStr">
        <is>
          <t>Tray / conduit</t>
        </is>
      </c>
      <c r="T3210" s="16" t="n">
        <v>82</v>
      </c>
      <c r="U3210" s="16" t="n">
        <v>10</v>
      </c>
      <c r="V3210" s="16">
        <f>ROUNDUP((T3210+U3210+2*'Read Me'!$B$13)*(1+'Read Me'!$B$12),-1)</f>
        <v/>
      </c>
      <c r="W3210" s="16">
        <f>V3210*N3210*O3210</f>
        <v/>
      </c>
      <c r="X3210" s="12">
        <f>IF(LEFT(I3210,2)="MV",2*N3210*IF(L3210="1/C",O3210,1),0)</f>
        <v/>
      </c>
      <c r="Y3210" s="12">
        <f>IF(OR(LEFT(K3210,4)="LVAX",LEFT(K3210,6)="MV15AX",LEFT(K3210,4)="CTAX",LEFT(K3210,2)="W|"),2*N3210*O3210,0)</f>
        <v/>
      </c>
      <c r="Z3210" s="12" t="inlineStr">
        <is>
          <t>device-to-JB field wiring, one cable per device</t>
        </is>
      </c>
      <c r="AA3210" s="12">
        <f>N3210*O3210</f>
        <v/>
      </c>
    </row>
    <row r="3211">
      <c r="A3211" s="12" t="inlineStr">
        <is>
          <t>G-I-0080</t>
        </is>
      </c>
      <c r="B3211" s="12" t="inlineStr">
        <is>
          <t>G</t>
        </is>
      </c>
      <c r="C3211" s="12" t="inlineStr">
        <is>
          <t>Carbon capture</t>
        </is>
      </c>
      <c r="D3211" s="12" t="inlineStr">
        <is>
          <t>Home run JB-CCS T-1-DI01 to the control / marshalling room</t>
        </is>
      </c>
      <c r="E3211" s="12" t="inlineStr"/>
      <c r="F3211" s="12" t="inlineStr">
        <is>
          <t>CCS F&amp;G / control</t>
        </is>
      </c>
      <c r="G3211" s="12" t="inlineStr">
        <is>
          <t>JB-CCS T-1-DI01</t>
        </is>
      </c>
      <c r="H3211" s="12" t="inlineStr">
        <is>
          <t>CCS T-1: 230/13.8 kV</t>
        </is>
      </c>
      <c r="I3211" s="12" t="inlineStr">
        <is>
          <t>Instrumentation</t>
        </is>
      </c>
      <c r="J3211" s="12" t="inlineStr">
        <is>
          <t>Instrumentation PLTC / TC-ER 300 V, #18 twisted shielded pairs, overall shield</t>
        </is>
      </c>
      <c r="K3211" s="12" t="inlineStr">
        <is>
          <t>PLTC|24 pr|18</t>
        </is>
      </c>
      <c r="L3211" s="12" t="inlineStr">
        <is>
          <t>24 pr</t>
        </is>
      </c>
      <c r="M3211" s="12" t="inlineStr">
        <is>
          <t>18</t>
        </is>
      </c>
      <c r="N3211" s="12" t="n">
        <v>1</v>
      </c>
      <c r="O3211" s="12" t="n">
        <v>1</v>
      </c>
      <c r="P3211" s="12" t="n"/>
      <c r="Q3211" s="12" t="n"/>
      <c r="R3211" s="12" t="n"/>
      <c r="S3211" s="12" t="inlineStr">
        <is>
          <t>HV duct bank</t>
        </is>
      </c>
      <c r="T3211" s="16" t="n">
        <v>77</v>
      </c>
      <c r="U3211" s="16" t="n">
        <v>103</v>
      </c>
      <c r="V3211" s="16">
        <f>ROUNDUP((T3211+U3211+2*'Read Me'!$B$13)*(1+'Read Me'!$B$12),-1)</f>
        <v/>
      </c>
      <c r="W3211" s="16">
        <f>V3211*N3211*O3211</f>
        <v/>
      </c>
      <c r="X3211" s="12">
        <f>IF(LEFT(I3211,2)="MV",2*N3211*IF(L3211="1/C",O3211,1),0)</f>
        <v/>
      </c>
      <c r="Y3211" s="12">
        <f>IF(OR(LEFT(K3211,4)="LVAX",LEFT(K3211,6)="MV15AX",LEFT(K3211,4)="CTAX",LEFT(K3211,2)="W|"),2*N3211*O3211,0)</f>
        <v/>
      </c>
      <c r="Z3211" s="12" t="inlineStr"/>
      <c r="AA3211" s="12">
        <f>N3211*O3211</f>
        <v/>
      </c>
    </row>
    <row r="3212">
      <c r="A3212" s="12" t="inlineStr">
        <is>
          <t>G-I-0081</t>
        </is>
      </c>
      <c r="B3212" s="12" t="inlineStr">
        <is>
          <t>G</t>
        </is>
      </c>
      <c r="C3212" s="12" t="inlineStr">
        <is>
          <t>Carbon capture</t>
        </is>
      </c>
      <c r="D3212" s="12" t="inlineStr">
        <is>
          <t>Analog instrument to JB JB-CCS T-2-AI01: 8 x 1 pr (field cables)</t>
        </is>
      </c>
      <c r="E3212" s="12" t="inlineStr">
        <is>
          <t>CCS T-2</t>
        </is>
      </c>
      <c r="F3212" s="12" t="inlineStr">
        <is>
          <t>CCS T-2: 230/13.8 kV</t>
        </is>
      </c>
      <c r="G3212" s="12" t="inlineStr">
        <is>
          <t>JB-CCS T-2-AI01</t>
        </is>
      </c>
      <c r="H3212" s="12" t="inlineStr">
        <is>
          <t>CCS T-2: 230/13.8 kV</t>
        </is>
      </c>
      <c r="I3212" s="12" t="inlineStr">
        <is>
          <t>Instrumentation</t>
        </is>
      </c>
      <c r="J3212" s="12" t="inlineStr">
        <is>
          <t>Instrumentation PLTC / TC-ER 300 V, #18 twisted shielded pairs, overall shield</t>
        </is>
      </c>
      <c r="K3212" s="12" t="inlineStr">
        <is>
          <t>PLTC|1 pr|16</t>
        </is>
      </c>
      <c r="L3212" s="12" t="inlineStr">
        <is>
          <t>1 pr</t>
        </is>
      </c>
      <c r="M3212" s="12" t="inlineStr">
        <is>
          <t>16</t>
        </is>
      </c>
      <c r="N3212" s="12" t="n">
        <v>8</v>
      </c>
      <c r="O3212" s="12" t="n">
        <v>1</v>
      </c>
      <c r="P3212" s="12" t="n"/>
      <c r="Q3212" s="12" t="n"/>
      <c r="R3212" s="12" t="n"/>
      <c r="S3212" s="12" t="inlineStr">
        <is>
          <t>Tray / conduit</t>
        </is>
      </c>
      <c r="T3212" s="16" t="n">
        <v>82</v>
      </c>
      <c r="U3212" s="16" t="n">
        <v>10</v>
      </c>
      <c r="V3212" s="16">
        <f>ROUNDUP((T3212+U3212+2*'Read Me'!$B$13)*(1+'Read Me'!$B$12),-1)</f>
        <v/>
      </c>
      <c r="W3212" s="16">
        <f>V3212*N3212*O3212</f>
        <v/>
      </c>
      <c r="X3212" s="12">
        <f>IF(LEFT(I3212,2)="MV",2*N3212*IF(L3212="1/C",O3212,1),0)</f>
        <v/>
      </c>
      <c r="Y3212" s="12">
        <f>IF(OR(LEFT(K3212,4)="LVAX",LEFT(K3212,6)="MV15AX",LEFT(K3212,4)="CTAX",LEFT(K3212,2)="W|"),2*N3212*O3212,0)</f>
        <v/>
      </c>
      <c r="Z3212" s="12" t="inlineStr">
        <is>
          <t>device-to-JB field wiring, one cable per device</t>
        </is>
      </c>
      <c r="AA3212" s="12">
        <f>N3212*O3212</f>
        <v/>
      </c>
    </row>
    <row r="3213">
      <c r="A3213" s="12" t="inlineStr">
        <is>
          <t>G-I-0082</t>
        </is>
      </c>
      <c r="B3213" s="12" t="inlineStr">
        <is>
          <t>G</t>
        </is>
      </c>
      <c r="C3213" s="12" t="inlineStr">
        <is>
          <t>Carbon capture</t>
        </is>
      </c>
      <c r="D3213" s="12" t="inlineStr">
        <is>
          <t>Home run JB-CCS T-2-AI01 to the control / marshalling room</t>
        </is>
      </c>
      <c r="E3213" s="12" t="inlineStr"/>
      <c r="F3213" s="12" t="inlineStr">
        <is>
          <t>CCS F&amp;G / control</t>
        </is>
      </c>
      <c r="G3213" s="12" t="inlineStr">
        <is>
          <t>JB-CCS T-2-AI01</t>
        </is>
      </c>
      <c r="H3213" s="12" t="inlineStr">
        <is>
          <t>CCS T-2: 230/13.8 kV</t>
        </is>
      </c>
      <c r="I3213" s="12" t="inlineStr">
        <is>
          <t>Instrumentation</t>
        </is>
      </c>
      <c r="J3213" s="12" t="inlineStr">
        <is>
          <t>Instrumentation PLTC / TC-ER 300 V, #18 twisted shielded pairs, overall shield</t>
        </is>
      </c>
      <c r="K3213" s="12" t="inlineStr">
        <is>
          <t>PLTC|24 pr|18</t>
        </is>
      </c>
      <c r="L3213" s="12" t="inlineStr">
        <is>
          <t>24 pr</t>
        </is>
      </c>
      <c r="M3213" s="12" t="inlineStr">
        <is>
          <t>18</t>
        </is>
      </c>
      <c r="N3213" s="12" t="n">
        <v>1</v>
      </c>
      <c r="O3213" s="12" t="n">
        <v>1</v>
      </c>
      <c r="P3213" s="12" t="n"/>
      <c r="Q3213" s="12" t="n"/>
      <c r="R3213" s="12" t="n"/>
      <c r="S3213" s="12" t="inlineStr">
        <is>
          <t>Tray</t>
        </is>
      </c>
      <c r="T3213" s="16" t="n">
        <v>11</v>
      </c>
      <c r="U3213" s="16" t="n">
        <v>101</v>
      </c>
      <c r="V3213" s="16">
        <f>ROUNDUP((T3213+U3213+2*'Read Me'!$B$13)*(1+'Read Me'!$B$12),-1)</f>
        <v/>
      </c>
      <c r="W3213" s="16">
        <f>V3213*N3213*O3213</f>
        <v/>
      </c>
      <c r="X3213" s="12">
        <f>IF(LEFT(I3213,2)="MV",2*N3213*IF(L3213="1/C",O3213,1),0)</f>
        <v/>
      </c>
      <c r="Y3213" s="12">
        <f>IF(OR(LEFT(K3213,4)="LVAX",LEFT(K3213,6)="MV15AX",LEFT(K3213,4)="CTAX",LEFT(K3213,2)="W|"),2*N3213*O3213,0)</f>
        <v/>
      </c>
      <c r="Z3213" s="12" t="inlineStr"/>
      <c r="AA3213" s="12">
        <f>N3213*O3213</f>
        <v/>
      </c>
    </row>
    <row r="3214">
      <c r="A3214" s="12" t="inlineStr">
        <is>
          <t>G-I-0083</t>
        </is>
      </c>
      <c r="B3214" s="12" t="inlineStr">
        <is>
          <t>G</t>
        </is>
      </c>
      <c r="C3214" s="12" t="inlineStr">
        <is>
          <t>Carbon capture</t>
        </is>
      </c>
      <c r="D3214" s="12" t="inlineStr">
        <is>
          <t>Discrete device to JB JB-CCS T-2-DI01: 16 x 1 pr (field cables)</t>
        </is>
      </c>
      <c r="E3214" s="12" t="inlineStr">
        <is>
          <t>CCS T-2</t>
        </is>
      </c>
      <c r="F3214" s="12" t="inlineStr">
        <is>
          <t>CCS T-2: 230/13.8 kV</t>
        </is>
      </c>
      <c r="G3214" s="12" t="inlineStr">
        <is>
          <t>JB-CCS T-2-DI01</t>
        </is>
      </c>
      <c r="H3214" s="12" t="inlineStr">
        <is>
          <t>CCS T-2: 230/13.8 kV</t>
        </is>
      </c>
      <c r="I3214" s="12" t="inlineStr">
        <is>
          <t>Instrumentation</t>
        </is>
      </c>
      <c r="J3214" s="12" t="inlineStr">
        <is>
          <t>Instrumentation PLTC / TC-ER 300 V, #18 twisted shielded pairs, overall shield</t>
        </is>
      </c>
      <c r="K3214" s="12" t="inlineStr">
        <is>
          <t>PLTC|1 pr|16</t>
        </is>
      </c>
      <c r="L3214" s="12" t="inlineStr">
        <is>
          <t>1 pr</t>
        </is>
      </c>
      <c r="M3214" s="12" t="inlineStr">
        <is>
          <t>16</t>
        </is>
      </c>
      <c r="N3214" s="12" t="n">
        <v>16</v>
      </c>
      <c r="O3214" s="12" t="n">
        <v>1</v>
      </c>
      <c r="P3214" s="12" t="n"/>
      <c r="Q3214" s="12" t="n"/>
      <c r="R3214" s="12" t="n"/>
      <c r="S3214" s="12" t="inlineStr">
        <is>
          <t>Tray / conduit</t>
        </is>
      </c>
      <c r="T3214" s="16" t="n">
        <v>82</v>
      </c>
      <c r="U3214" s="16" t="n">
        <v>10</v>
      </c>
      <c r="V3214" s="16">
        <f>ROUNDUP((T3214+U3214+2*'Read Me'!$B$13)*(1+'Read Me'!$B$12),-1)</f>
        <v/>
      </c>
      <c r="W3214" s="16">
        <f>V3214*N3214*O3214</f>
        <v/>
      </c>
      <c r="X3214" s="12">
        <f>IF(LEFT(I3214,2)="MV",2*N3214*IF(L3214="1/C",O3214,1),0)</f>
        <v/>
      </c>
      <c r="Y3214" s="12">
        <f>IF(OR(LEFT(K3214,4)="LVAX",LEFT(K3214,6)="MV15AX",LEFT(K3214,4)="CTAX",LEFT(K3214,2)="W|"),2*N3214*O3214,0)</f>
        <v/>
      </c>
      <c r="Z3214" s="12" t="inlineStr">
        <is>
          <t>device-to-JB field wiring, one cable per device</t>
        </is>
      </c>
      <c r="AA3214" s="12">
        <f>N3214*O3214</f>
        <v/>
      </c>
    </row>
    <row r="3215">
      <c r="A3215" s="12" t="inlineStr">
        <is>
          <t>G-I-0084</t>
        </is>
      </c>
      <c r="B3215" s="12" t="inlineStr">
        <is>
          <t>G</t>
        </is>
      </c>
      <c r="C3215" s="12" t="inlineStr">
        <is>
          <t>Carbon capture</t>
        </is>
      </c>
      <c r="D3215" s="12" t="inlineStr">
        <is>
          <t>Home run JB-CCS T-2-DI01 to the control / marshalling room</t>
        </is>
      </c>
      <c r="E3215" s="12" t="inlineStr"/>
      <c r="F3215" s="12" t="inlineStr">
        <is>
          <t>CCS F&amp;G / control</t>
        </is>
      </c>
      <c r="G3215" s="12" t="inlineStr">
        <is>
          <t>JB-CCS T-2-DI01</t>
        </is>
      </c>
      <c r="H3215" s="12" t="inlineStr">
        <is>
          <t>CCS T-2: 230/13.8 kV</t>
        </is>
      </c>
      <c r="I3215" s="12" t="inlineStr">
        <is>
          <t>Instrumentation</t>
        </is>
      </c>
      <c r="J3215" s="12" t="inlineStr">
        <is>
          <t>Instrumentation PLTC / TC-ER 300 V, #18 twisted shielded pairs, overall shield</t>
        </is>
      </c>
      <c r="K3215" s="12" t="inlineStr">
        <is>
          <t>PLTC|24 pr|18</t>
        </is>
      </c>
      <c r="L3215" s="12" t="inlineStr">
        <is>
          <t>24 pr</t>
        </is>
      </c>
      <c r="M3215" s="12" t="inlineStr">
        <is>
          <t>18</t>
        </is>
      </c>
      <c r="N3215" s="12" t="n">
        <v>1</v>
      </c>
      <c r="O3215" s="12" t="n">
        <v>1</v>
      </c>
      <c r="P3215" s="12" t="n"/>
      <c r="Q3215" s="12" t="n"/>
      <c r="R3215" s="12" t="n"/>
      <c r="S3215" s="12" t="inlineStr">
        <is>
          <t>Tray</t>
        </is>
      </c>
      <c r="T3215" s="16" t="n">
        <v>11</v>
      </c>
      <c r="U3215" s="16" t="n">
        <v>101</v>
      </c>
      <c r="V3215" s="16">
        <f>ROUNDUP((T3215+U3215+2*'Read Me'!$B$13)*(1+'Read Me'!$B$12),-1)</f>
        <v/>
      </c>
      <c r="W3215" s="16">
        <f>V3215*N3215*O3215</f>
        <v/>
      </c>
      <c r="X3215" s="12">
        <f>IF(LEFT(I3215,2)="MV",2*N3215*IF(L3215="1/C",O3215,1),0)</f>
        <v/>
      </c>
      <c r="Y3215" s="12">
        <f>IF(OR(LEFT(K3215,4)="LVAX",LEFT(K3215,6)="MV15AX",LEFT(K3215,4)="CTAX",LEFT(K3215,2)="W|"),2*N3215*O3215,0)</f>
        <v/>
      </c>
      <c r="Z3215" s="12" t="inlineStr"/>
      <c r="AA3215" s="12">
        <f>N3215*O3215</f>
        <v/>
      </c>
    </row>
    <row r="3216">
      <c r="A3216" s="12" t="inlineStr">
        <is>
          <t>G-I-0085</t>
        </is>
      </c>
      <c r="B3216" s="12" t="inlineStr">
        <is>
          <t>G</t>
        </is>
      </c>
      <c r="C3216" s="12" t="inlineStr">
        <is>
          <t>Carbon capture</t>
        </is>
      </c>
      <c r="D3216" s="12" t="inlineStr">
        <is>
          <t>Analog instrument to JB JB-CCS circulating-wa-AI01: 20 x 1 pr (field cables)</t>
        </is>
      </c>
      <c r="E3216" s="12" t="inlineStr"/>
      <c r="F3216" s="12" t="inlineStr">
        <is>
          <t>CCS circulating-water pumps</t>
        </is>
      </c>
      <c r="G3216" s="12" t="inlineStr">
        <is>
          <t>JB-CCS circulating-wa-AI01</t>
        </is>
      </c>
      <c r="H3216" s="12" t="inlineStr">
        <is>
          <t>CCS circulating-water pumps</t>
        </is>
      </c>
      <c r="I3216" s="12" t="inlineStr">
        <is>
          <t>Instrumentation</t>
        </is>
      </c>
      <c r="J3216" s="12" t="inlineStr">
        <is>
          <t>Instrumentation PLTC / TC-ER 300 V, #18 twisted shielded pairs, overall shield</t>
        </is>
      </c>
      <c r="K3216" s="12" t="inlineStr">
        <is>
          <t>PLTC|1 pr|16</t>
        </is>
      </c>
      <c r="L3216" s="12" t="inlineStr">
        <is>
          <t>1 pr</t>
        </is>
      </c>
      <c r="M3216" s="12" t="inlineStr">
        <is>
          <t>16</t>
        </is>
      </c>
      <c r="N3216" s="12" t="n">
        <v>20</v>
      </c>
      <c r="O3216" s="12" t="n">
        <v>1</v>
      </c>
      <c r="P3216" s="12" t="n"/>
      <c r="Q3216" s="12" t="n"/>
      <c r="R3216" s="12" t="n"/>
      <c r="S3216" s="12" t="inlineStr">
        <is>
          <t>Tray / conduit</t>
        </is>
      </c>
      <c r="T3216" s="16" t="n">
        <v>100</v>
      </c>
      <c r="U3216" s="16" t="n">
        <v>10</v>
      </c>
      <c r="V3216" s="16">
        <f>ROUNDUP((T3216+U3216+2*'Read Me'!$B$13)*(1+'Read Me'!$B$12),-1)</f>
        <v/>
      </c>
      <c r="W3216" s="16">
        <f>V3216*N3216*O3216</f>
        <v/>
      </c>
      <c r="X3216" s="12">
        <f>IF(LEFT(I3216,2)="MV",2*N3216*IF(L3216="1/C",O3216,1),0)</f>
        <v/>
      </c>
      <c r="Y3216" s="12">
        <f>IF(OR(LEFT(K3216,4)="LVAX",LEFT(K3216,6)="MV15AX",LEFT(K3216,4)="CTAX",LEFT(K3216,2)="W|"),2*N3216*O3216,0)</f>
        <v/>
      </c>
      <c r="Z3216" s="12" t="inlineStr">
        <is>
          <t>device-to-JB field wiring, one cable per device</t>
        </is>
      </c>
      <c r="AA3216" s="12">
        <f>N3216*O3216</f>
        <v/>
      </c>
    </row>
    <row r="3217">
      <c r="A3217" s="12" t="inlineStr">
        <is>
          <t>G-I-0086</t>
        </is>
      </c>
      <c r="B3217" s="12" t="inlineStr">
        <is>
          <t>G</t>
        </is>
      </c>
      <c r="C3217" s="12" t="inlineStr">
        <is>
          <t>Carbon capture</t>
        </is>
      </c>
      <c r="D3217" s="12" t="inlineStr">
        <is>
          <t>Home run JB-CCS circulating-wa-AI01 to the control / marshalling room</t>
        </is>
      </c>
      <c r="E3217" s="12" t="inlineStr"/>
      <c r="F3217" s="12" t="inlineStr">
        <is>
          <t>CCS F&amp;G / control</t>
        </is>
      </c>
      <c r="G3217" s="12" t="inlineStr">
        <is>
          <t>JB-CCS circulating-wa-AI01</t>
        </is>
      </c>
      <c r="H3217" s="12" t="inlineStr">
        <is>
          <t>CCS circulating-water pumps</t>
        </is>
      </c>
      <c r="I3217" s="12" t="inlineStr">
        <is>
          <t>Instrumentation</t>
        </is>
      </c>
      <c r="J3217" s="12" t="inlineStr">
        <is>
          <t>Instrumentation PLTC / TC-ER 300 V, #18 twisted shielded pairs, overall shield</t>
        </is>
      </c>
      <c r="K3217" s="12" t="inlineStr">
        <is>
          <t>PLTC|24 pr|18</t>
        </is>
      </c>
      <c r="L3217" s="12" t="inlineStr">
        <is>
          <t>24 pr</t>
        </is>
      </c>
      <c r="M3217" s="12" t="inlineStr">
        <is>
          <t>18</t>
        </is>
      </c>
      <c r="N3217" s="12" t="n">
        <v>1</v>
      </c>
      <c r="O3217" s="12" t="n">
        <v>1</v>
      </c>
      <c r="P3217" s="12" t="n"/>
      <c r="Q3217" s="12" t="n"/>
      <c r="R3217" s="12" t="n"/>
      <c r="S3217" s="12" t="inlineStr">
        <is>
          <t>Duct bank</t>
        </is>
      </c>
      <c r="T3217" s="16" t="n">
        <v>821</v>
      </c>
      <c r="U3217" s="16" t="n">
        <v>141</v>
      </c>
      <c r="V3217" s="16">
        <f>ROUNDUP((T3217+U3217+2*'Read Me'!$B$13)*(1+'Read Me'!$B$12),-1)</f>
        <v/>
      </c>
      <c r="W3217" s="16">
        <f>V3217*N3217*O3217</f>
        <v/>
      </c>
      <c r="X3217" s="12">
        <f>IF(LEFT(I3217,2)="MV",2*N3217*IF(L3217="1/C",O3217,1),0)</f>
        <v/>
      </c>
      <c r="Y3217" s="12">
        <f>IF(OR(LEFT(K3217,4)="LVAX",LEFT(K3217,6)="MV15AX",LEFT(K3217,4)="CTAX",LEFT(K3217,2)="W|"),2*N3217*O3217,0)</f>
        <v/>
      </c>
      <c r="Z3217" s="12" t="inlineStr"/>
      <c r="AA3217" s="12">
        <f>N3217*O3217</f>
        <v/>
      </c>
    </row>
    <row r="3218">
      <c r="A3218" s="12" t="inlineStr">
        <is>
          <t>G-I-0087</t>
        </is>
      </c>
      <c r="B3218" s="12" t="inlineStr">
        <is>
          <t>G</t>
        </is>
      </c>
      <c r="C3218" s="12" t="inlineStr">
        <is>
          <t>Carbon capture</t>
        </is>
      </c>
      <c r="D3218" s="12" t="inlineStr">
        <is>
          <t>Discrete device to JB JB-CCS circulating-wa-DI01: 20 x 1 pr (field cables)</t>
        </is>
      </c>
      <c r="E3218" s="12" t="inlineStr"/>
      <c r="F3218" s="12" t="inlineStr">
        <is>
          <t>CCS circulating-water pumps</t>
        </is>
      </c>
      <c r="G3218" s="12" t="inlineStr">
        <is>
          <t>JB-CCS circulating-wa-DI01</t>
        </is>
      </c>
      <c r="H3218" s="12" t="inlineStr">
        <is>
          <t>CCS circulating-water pumps</t>
        </is>
      </c>
      <c r="I3218" s="12" t="inlineStr">
        <is>
          <t>Instrumentation</t>
        </is>
      </c>
      <c r="J3218" s="12" t="inlineStr">
        <is>
          <t>Instrumentation PLTC / TC-ER 300 V, #18 twisted shielded pairs, overall shield</t>
        </is>
      </c>
      <c r="K3218" s="12" t="inlineStr">
        <is>
          <t>PLTC|1 pr|16</t>
        </is>
      </c>
      <c r="L3218" s="12" t="inlineStr">
        <is>
          <t>1 pr</t>
        </is>
      </c>
      <c r="M3218" s="12" t="inlineStr">
        <is>
          <t>16</t>
        </is>
      </c>
      <c r="N3218" s="12" t="n">
        <v>20</v>
      </c>
      <c r="O3218" s="12" t="n">
        <v>1</v>
      </c>
      <c r="P3218" s="12" t="n"/>
      <c r="Q3218" s="12" t="n"/>
      <c r="R3218" s="12" t="n"/>
      <c r="S3218" s="12" t="inlineStr">
        <is>
          <t>Tray / conduit</t>
        </is>
      </c>
      <c r="T3218" s="16" t="n">
        <v>100</v>
      </c>
      <c r="U3218" s="16" t="n">
        <v>10</v>
      </c>
      <c r="V3218" s="16">
        <f>ROUNDUP((T3218+U3218+2*'Read Me'!$B$13)*(1+'Read Me'!$B$12),-1)</f>
        <v/>
      </c>
      <c r="W3218" s="16">
        <f>V3218*N3218*O3218</f>
        <v/>
      </c>
      <c r="X3218" s="12">
        <f>IF(LEFT(I3218,2)="MV",2*N3218*IF(L3218="1/C",O3218,1),0)</f>
        <v/>
      </c>
      <c r="Y3218" s="12">
        <f>IF(OR(LEFT(K3218,4)="LVAX",LEFT(K3218,6)="MV15AX",LEFT(K3218,4)="CTAX",LEFT(K3218,2)="W|"),2*N3218*O3218,0)</f>
        <v/>
      </c>
      <c r="Z3218" s="12" t="inlineStr">
        <is>
          <t>device-to-JB field wiring, one cable per device</t>
        </is>
      </c>
      <c r="AA3218" s="12">
        <f>N3218*O3218</f>
        <v/>
      </c>
    </row>
    <row r="3219">
      <c r="A3219" s="12" t="inlineStr">
        <is>
          <t>G-I-0088</t>
        </is>
      </c>
      <c r="B3219" s="12" t="inlineStr">
        <is>
          <t>G</t>
        </is>
      </c>
      <c r="C3219" s="12" t="inlineStr">
        <is>
          <t>Carbon capture</t>
        </is>
      </c>
      <c r="D3219" s="12" t="inlineStr">
        <is>
          <t>Home run JB-CCS circulating-wa-DI01 to the control / marshalling room</t>
        </is>
      </c>
      <c r="E3219" s="12" t="inlineStr"/>
      <c r="F3219" s="12" t="inlineStr">
        <is>
          <t>CCS F&amp;G / control</t>
        </is>
      </c>
      <c r="G3219" s="12" t="inlineStr">
        <is>
          <t>JB-CCS circulating-wa-DI01</t>
        </is>
      </c>
      <c r="H3219" s="12" t="inlineStr">
        <is>
          <t>CCS circulating-water pumps</t>
        </is>
      </c>
      <c r="I3219" s="12" t="inlineStr">
        <is>
          <t>Instrumentation</t>
        </is>
      </c>
      <c r="J3219" s="12" t="inlineStr">
        <is>
          <t>Instrumentation PLTC / TC-ER 300 V, #18 twisted shielded pairs, overall shield</t>
        </is>
      </c>
      <c r="K3219" s="12" t="inlineStr">
        <is>
          <t>PLTC|24 pr|18</t>
        </is>
      </c>
      <c r="L3219" s="12" t="inlineStr">
        <is>
          <t>24 pr</t>
        </is>
      </c>
      <c r="M3219" s="12" t="inlineStr">
        <is>
          <t>18</t>
        </is>
      </c>
      <c r="N3219" s="12" t="n">
        <v>1</v>
      </c>
      <c r="O3219" s="12" t="n">
        <v>1</v>
      </c>
      <c r="P3219" s="12" t="n"/>
      <c r="Q3219" s="12" t="n"/>
      <c r="R3219" s="12" t="n"/>
      <c r="S3219" s="12" t="inlineStr">
        <is>
          <t>Duct bank</t>
        </is>
      </c>
      <c r="T3219" s="16" t="n">
        <v>821</v>
      </c>
      <c r="U3219" s="16" t="n">
        <v>141</v>
      </c>
      <c r="V3219" s="16">
        <f>ROUNDUP((T3219+U3219+2*'Read Me'!$B$13)*(1+'Read Me'!$B$12),-1)</f>
        <v/>
      </c>
      <c r="W3219" s="16">
        <f>V3219*N3219*O3219</f>
        <v/>
      </c>
      <c r="X3219" s="12">
        <f>IF(LEFT(I3219,2)="MV",2*N3219*IF(L3219="1/C",O3219,1),0)</f>
        <v/>
      </c>
      <c r="Y3219" s="12">
        <f>IF(OR(LEFT(K3219,4)="LVAX",LEFT(K3219,6)="MV15AX",LEFT(K3219,4)="CTAX",LEFT(K3219,2)="W|"),2*N3219*O3219,0)</f>
        <v/>
      </c>
      <c r="Z3219" s="12" t="inlineStr"/>
      <c r="AA3219" s="12">
        <f>N3219*O3219</f>
        <v/>
      </c>
    </row>
    <row r="3220">
      <c r="A3220" s="12" t="inlineStr">
        <is>
          <t>G-I-0089</t>
        </is>
      </c>
      <c r="B3220" s="12" t="inlineStr">
        <is>
          <t>G</t>
        </is>
      </c>
      <c r="C3220" s="12" t="inlineStr">
        <is>
          <t>Carbon capture</t>
        </is>
      </c>
      <c r="D3220" s="12" t="inlineStr">
        <is>
          <t>Analog instrument to JB JB-CCS-CT-AI01: 20 x 1 pr (field cables)</t>
        </is>
      </c>
      <c r="E3220" s="12" t="inlineStr">
        <is>
          <t>CCS-CT</t>
        </is>
      </c>
      <c r="F3220" s="12" t="inlineStr">
        <is>
          <t>CCS cooling tower (~30 cells): CCS process cooling only</t>
        </is>
      </c>
      <c r="G3220" s="12" t="inlineStr">
        <is>
          <t>JB-CCS-CT-AI01</t>
        </is>
      </c>
      <c r="H3220" s="12" t="inlineStr">
        <is>
          <t>CCS cooling tower (~30 cells): CCS process cooling only</t>
        </is>
      </c>
      <c r="I3220" s="12" t="inlineStr">
        <is>
          <t>Instrumentation</t>
        </is>
      </c>
      <c r="J3220" s="12" t="inlineStr">
        <is>
          <t>Instrumentation PLTC / TC-ER 300 V, #18 twisted shielded pairs, overall shield</t>
        </is>
      </c>
      <c r="K3220" s="12" t="inlineStr">
        <is>
          <t>PLTC|1 pr|16</t>
        </is>
      </c>
      <c r="L3220" s="12" t="inlineStr">
        <is>
          <t>1 pr</t>
        </is>
      </c>
      <c r="M3220" s="12" t="inlineStr">
        <is>
          <t>16</t>
        </is>
      </c>
      <c r="N3220" s="12" t="n">
        <v>20</v>
      </c>
      <c r="O3220" s="12" t="n">
        <v>1</v>
      </c>
      <c r="P3220" s="12" t="n"/>
      <c r="Q3220" s="12" t="n"/>
      <c r="R3220" s="12" t="n"/>
      <c r="S3220" s="12" t="inlineStr">
        <is>
          <t>Tray / conduit</t>
        </is>
      </c>
      <c r="T3220" s="16" t="n">
        <v>250</v>
      </c>
      <c r="U3220" s="16" t="n">
        <v>10</v>
      </c>
      <c r="V3220" s="16">
        <f>ROUNDUP((T3220+U3220+2*'Read Me'!$B$13)*(1+'Read Me'!$B$12),-1)</f>
        <v/>
      </c>
      <c r="W3220" s="16">
        <f>V3220*N3220*O3220</f>
        <v/>
      </c>
      <c r="X3220" s="12">
        <f>IF(LEFT(I3220,2)="MV",2*N3220*IF(L3220="1/C",O3220,1),0)</f>
        <v/>
      </c>
      <c r="Y3220" s="12">
        <f>IF(OR(LEFT(K3220,4)="LVAX",LEFT(K3220,6)="MV15AX",LEFT(K3220,4)="CTAX",LEFT(K3220,2)="W|"),2*N3220*O3220,0)</f>
        <v/>
      </c>
      <c r="Z3220" s="12" t="inlineStr">
        <is>
          <t>device-to-JB field wiring, one cable per device</t>
        </is>
      </c>
      <c r="AA3220" s="12">
        <f>N3220*O3220</f>
        <v/>
      </c>
    </row>
    <row r="3221">
      <c r="A3221" s="12" t="inlineStr">
        <is>
          <t>G-I-0090</t>
        </is>
      </c>
      <c r="B3221" s="12" t="inlineStr">
        <is>
          <t>G</t>
        </is>
      </c>
      <c r="C3221" s="12" t="inlineStr">
        <is>
          <t>Carbon capture</t>
        </is>
      </c>
      <c r="D3221" s="12" t="inlineStr">
        <is>
          <t>Home run JB-CCS-CT-AI01 to the control / marshalling room</t>
        </is>
      </c>
      <c r="E3221" s="12" t="inlineStr"/>
      <c r="F3221" s="12" t="inlineStr">
        <is>
          <t>CCS F&amp;G / control</t>
        </is>
      </c>
      <c r="G3221" s="12" t="inlineStr">
        <is>
          <t>JB-CCS-CT-AI01</t>
        </is>
      </c>
      <c r="H3221" s="12" t="inlineStr">
        <is>
          <t>CCS cooling tower (~30 cells): CCS process cooling only</t>
        </is>
      </c>
      <c r="I3221" s="12" t="inlineStr">
        <is>
          <t>Instrumentation</t>
        </is>
      </c>
      <c r="J3221" s="12" t="inlineStr">
        <is>
          <t>Instrumentation PLTC / TC-ER 300 V, #18 twisted shielded pairs, overall shield</t>
        </is>
      </c>
      <c r="K3221" s="12" t="inlineStr">
        <is>
          <t>PLTC|24 pr|18</t>
        </is>
      </c>
      <c r="L3221" s="12" t="inlineStr">
        <is>
          <t>24 pr</t>
        </is>
      </c>
      <c r="M3221" s="12" t="inlineStr">
        <is>
          <t>18</t>
        </is>
      </c>
      <c r="N3221" s="12" t="n">
        <v>1</v>
      </c>
      <c r="O3221" s="12" t="n">
        <v>1</v>
      </c>
      <c r="P3221" s="12" t="n"/>
      <c r="Q3221" s="12" t="n"/>
      <c r="R3221" s="12" t="n"/>
      <c r="S3221" s="12" t="inlineStr">
        <is>
          <t>Duct bank</t>
        </is>
      </c>
      <c r="T3221" s="16" t="n">
        <v>911</v>
      </c>
      <c r="U3221" s="16" t="n">
        <v>111</v>
      </c>
      <c r="V3221" s="16">
        <f>ROUNDUP((T3221+U3221+2*'Read Me'!$B$13)*(1+'Read Me'!$B$12),-1)</f>
        <v/>
      </c>
      <c r="W3221" s="16">
        <f>V3221*N3221*O3221</f>
        <v/>
      </c>
      <c r="X3221" s="12">
        <f>IF(LEFT(I3221,2)="MV",2*N3221*IF(L3221="1/C",O3221,1),0)</f>
        <v/>
      </c>
      <c r="Y3221" s="12">
        <f>IF(OR(LEFT(K3221,4)="LVAX",LEFT(K3221,6)="MV15AX",LEFT(K3221,4)="CTAX",LEFT(K3221,2)="W|"),2*N3221*O3221,0)</f>
        <v/>
      </c>
      <c r="Z3221" s="12" t="inlineStr"/>
      <c r="AA3221" s="12">
        <f>N3221*O3221</f>
        <v/>
      </c>
    </row>
    <row r="3222">
      <c r="A3222" s="12" t="inlineStr">
        <is>
          <t>G-I-0091</t>
        </is>
      </c>
      <c r="B3222" s="12" t="inlineStr">
        <is>
          <t>G</t>
        </is>
      </c>
      <c r="C3222" s="12" t="inlineStr">
        <is>
          <t>Carbon capture</t>
        </is>
      </c>
      <c r="D3222" s="12" t="inlineStr">
        <is>
          <t>Analog instrument to JB JB-CCS-CT-AI02: 10 x 1 pr (field cables)</t>
        </is>
      </c>
      <c r="E3222" s="12" t="inlineStr">
        <is>
          <t>CCS-CT</t>
        </is>
      </c>
      <c r="F3222" s="12" t="inlineStr">
        <is>
          <t>CCS cooling tower (~30 cells): CCS process cooling only</t>
        </is>
      </c>
      <c r="G3222" s="12" t="inlineStr">
        <is>
          <t>JB-CCS-CT-AI02</t>
        </is>
      </c>
      <c r="H3222" s="12" t="inlineStr">
        <is>
          <t>CCS cooling tower (~30 cells): CCS process cooling only</t>
        </is>
      </c>
      <c r="I3222" s="12" t="inlineStr">
        <is>
          <t>Instrumentation</t>
        </is>
      </c>
      <c r="J3222" s="12" t="inlineStr">
        <is>
          <t>Instrumentation PLTC / TC-ER 300 V, #18 twisted shielded pairs, overall shield</t>
        </is>
      </c>
      <c r="K3222" s="12" t="inlineStr">
        <is>
          <t>PLTC|1 pr|16</t>
        </is>
      </c>
      <c r="L3222" s="12" t="inlineStr">
        <is>
          <t>1 pr</t>
        </is>
      </c>
      <c r="M3222" s="12" t="inlineStr">
        <is>
          <t>16</t>
        </is>
      </c>
      <c r="N3222" s="12" t="n">
        <v>10</v>
      </c>
      <c r="O3222" s="12" t="n">
        <v>1</v>
      </c>
      <c r="P3222" s="12" t="n"/>
      <c r="Q3222" s="12" t="n"/>
      <c r="R3222" s="12" t="n"/>
      <c r="S3222" s="12" t="inlineStr">
        <is>
          <t>Tray / conduit</t>
        </is>
      </c>
      <c r="T3222" s="16" t="n">
        <v>250</v>
      </c>
      <c r="U3222" s="16" t="n">
        <v>10</v>
      </c>
      <c r="V3222" s="16">
        <f>ROUNDUP((T3222+U3222+2*'Read Me'!$B$13)*(1+'Read Me'!$B$12),-1)</f>
        <v/>
      </c>
      <c r="W3222" s="16">
        <f>V3222*N3222*O3222</f>
        <v/>
      </c>
      <c r="X3222" s="12">
        <f>IF(LEFT(I3222,2)="MV",2*N3222*IF(L3222="1/C",O3222,1),0)</f>
        <v/>
      </c>
      <c r="Y3222" s="12">
        <f>IF(OR(LEFT(K3222,4)="LVAX",LEFT(K3222,6)="MV15AX",LEFT(K3222,4)="CTAX",LEFT(K3222,2)="W|"),2*N3222*O3222,0)</f>
        <v/>
      </c>
      <c r="Z3222" s="12" t="inlineStr">
        <is>
          <t>device-to-JB field wiring, one cable per device</t>
        </is>
      </c>
      <c r="AA3222" s="12">
        <f>N3222*O3222</f>
        <v/>
      </c>
    </row>
    <row r="3223">
      <c r="A3223" s="12" t="inlineStr">
        <is>
          <t>G-I-0092</t>
        </is>
      </c>
      <c r="B3223" s="12" t="inlineStr">
        <is>
          <t>G</t>
        </is>
      </c>
      <c r="C3223" s="12" t="inlineStr">
        <is>
          <t>Carbon capture</t>
        </is>
      </c>
      <c r="D3223" s="12" t="inlineStr">
        <is>
          <t>Home run JB-CCS-CT-AI02 to the control / marshalling room</t>
        </is>
      </c>
      <c r="E3223" s="12" t="inlineStr"/>
      <c r="F3223" s="12" t="inlineStr">
        <is>
          <t>CCS F&amp;G / control</t>
        </is>
      </c>
      <c r="G3223" s="12" t="inlineStr">
        <is>
          <t>JB-CCS-CT-AI02</t>
        </is>
      </c>
      <c r="H3223" s="12" t="inlineStr">
        <is>
          <t>CCS cooling tower (~30 cells): CCS process cooling only</t>
        </is>
      </c>
      <c r="I3223" s="12" t="inlineStr">
        <is>
          <t>Instrumentation</t>
        </is>
      </c>
      <c r="J3223" s="12" t="inlineStr">
        <is>
          <t>Instrumentation PLTC / TC-ER 300 V, #18 twisted shielded pairs, overall shield</t>
        </is>
      </c>
      <c r="K3223" s="12" t="inlineStr">
        <is>
          <t>PLTC|24 pr|18</t>
        </is>
      </c>
      <c r="L3223" s="12" t="inlineStr">
        <is>
          <t>24 pr</t>
        </is>
      </c>
      <c r="M3223" s="12" t="inlineStr">
        <is>
          <t>18</t>
        </is>
      </c>
      <c r="N3223" s="12" t="n">
        <v>1</v>
      </c>
      <c r="O3223" s="12" t="n">
        <v>1</v>
      </c>
      <c r="P3223" s="12" t="n"/>
      <c r="Q3223" s="12" t="n"/>
      <c r="R3223" s="12" t="n"/>
      <c r="S3223" s="12" t="inlineStr">
        <is>
          <t>Duct bank</t>
        </is>
      </c>
      <c r="T3223" s="16" t="n">
        <v>911</v>
      </c>
      <c r="U3223" s="16" t="n">
        <v>111</v>
      </c>
      <c r="V3223" s="16">
        <f>ROUNDUP((T3223+U3223+2*'Read Me'!$B$13)*(1+'Read Me'!$B$12),-1)</f>
        <v/>
      </c>
      <c r="W3223" s="16">
        <f>V3223*N3223*O3223</f>
        <v/>
      </c>
      <c r="X3223" s="12">
        <f>IF(LEFT(I3223,2)="MV",2*N3223*IF(L3223="1/C",O3223,1),0)</f>
        <v/>
      </c>
      <c r="Y3223" s="12">
        <f>IF(OR(LEFT(K3223,4)="LVAX",LEFT(K3223,6)="MV15AX",LEFT(K3223,4)="CTAX",LEFT(K3223,2)="W|"),2*N3223*O3223,0)</f>
        <v/>
      </c>
      <c r="Z3223" s="12" t="inlineStr"/>
      <c r="AA3223" s="12">
        <f>N3223*O3223</f>
        <v/>
      </c>
    </row>
    <row r="3224">
      <c r="A3224" s="12" t="inlineStr">
        <is>
          <t>G-I-0093</t>
        </is>
      </c>
      <c r="B3224" s="12" t="inlineStr">
        <is>
          <t>G</t>
        </is>
      </c>
      <c r="C3224" s="12" t="inlineStr">
        <is>
          <t>Carbon capture</t>
        </is>
      </c>
      <c r="D3224" s="12" t="inlineStr">
        <is>
          <t>Discrete device to JB JB-CCS-CT-DI01: 20 x 1 pr (field cables)</t>
        </is>
      </c>
      <c r="E3224" s="12" t="inlineStr">
        <is>
          <t>CCS-CT</t>
        </is>
      </c>
      <c r="F3224" s="12" t="inlineStr">
        <is>
          <t>CCS cooling tower (~30 cells): CCS process cooling only</t>
        </is>
      </c>
      <c r="G3224" s="12" t="inlineStr">
        <is>
          <t>JB-CCS-CT-DI01</t>
        </is>
      </c>
      <c r="H3224" s="12" t="inlineStr">
        <is>
          <t>CCS cooling tower (~30 cells): CCS process cooling only</t>
        </is>
      </c>
      <c r="I3224" s="12" t="inlineStr">
        <is>
          <t>Instrumentation</t>
        </is>
      </c>
      <c r="J3224" s="12" t="inlineStr">
        <is>
          <t>Instrumentation PLTC / TC-ER 300 V, #18 twisted shielded pairs, overall shield</t>
        </is>
      </c>
      <c r="K3224" s="12" t="inlineStr">
        <is>
          <t>PLTC|1 pr|16</t>
        </is>
      </c>
      <c r="L3224" s="12" t="inlineStr">
        <is>
          <t>1 pr</t>
        </is>
      </c>
      <c r="M3224" s="12" t="inlineStr">
        <is>
          <t>16</t>
        </is>
      </c>
      <c r="N3224" s="12" t="n">
        <v>20</v>
      </c>
      <c r="O3224" s="12" t="n">
        <v>1</v>
      </c>
      <c r="P3224" s="12" t="n"/>
      <c r="Q3224" s="12" t="n"/>
      <c r="R3224" s="12" t="n"/>
      <c r="S3224" s="12" t="inlineStr">
        <is>
          <t>Tray / conduit</t>
        </is>
      </c>
      <c r="T3224" s="16" t="n">
        <v>250</v>
      </c>
      <c r="U3224" s="16" t="n">
        <v>10</v>
      </c>
      <c r="V3224" s="16">
        <f>ROUNDUP((T3224+U3224+2*'Read Me'!$B$13)*(1+'Read Me'!$B$12),-1)</f>
        <v/>
      </c>
      <c r="W3224" s="16">
        <f>V3224*N3224*O3224</f>
        <v/>
      </c>
      <c r="X3224" s="12">
        <f>IF(LEFT(I3224,2)="MV",2*N3224*IF(L3224="1/C",O3224,1),0)</f>
        <v/>
      </c>
      <c r="Y3224" s="12">
        <f>IF(OR(LEFT(K3224,4)="LVAX",LEFT(K3224,6)="MV15AX",LEFT(K3224,4)="CTAX",LEFT(K3224,2)="W|"),2*N3224*O3224,0)</f>
        <v/>
      </c>
      <c r="Z3224" s="12" t="inlineStr">
        <is>
          <t>device-to-JB field wiring, one cable per device</t>
        </is>
      </c>
      <c r="AA3224" s="12">
        <f>N3224*O3224</f>
        <v/>
      </c>
    </row>
    <row r="3225">
      <c r="A3225" s="12" t="inlineStr">
        <is>
          <t>G-I-0094</t>
        </is>
      </c>
      <c r="B3225" s="12" t="inlineStr">
        <is>
          <t>G</t>
        </is>
      </c>
      <c r="C3225" s="12" t="inlineStr">
        <is>
          <t>Carbon capture</t>
        </is>
      </c>
      <c r="D3225" s="12" t="inlineStr">
        <is>
          <t>Home run JB-CCS-CT-DI01 to the control / marshalling room</t>
        </is>
      </c>
      <c r="E3225" s="12" t="inlineStr"/>
      <c r="F3225" s="12" t="inlineStr">
        <is>
          <t>CCS F&amp;G / control</t>
        </is>
      </c>
      <c r="G3225" s="12" t="inlineStr">
        <is>
          <t>JB-CCS-CT-DI01</t>
        </is>
      </c>
      <c r="H3225" s="12" t="inlineStr">
        <is>
          <t>CCS cooling tower (~30 cells): CCS process cooling only</t>
        </is>
      </c>
      <c r="I3225" s="12" t="inlineStr">
        <is>
          <t>Instrumentation</t>
        </is>
      </c>
      <c r="J3225" s="12" t="inlineStr">
        <is>
          <t>Instrumentation PLTC / TC-ER 300 V, #18 twisted shielded pairs, overall shield</t>
        </is>
      </c>
      <c r="K3225" s="12" t="inlineStr">
        <is>
          <t>PLTC|24 pr|18</t>
        </is>
      </c>
      <c r="L3225" s="12" t="inlineStr">
        <is>
          <t>24 pr</t>
        </is>
      </c>
      <c r="M3225" s="12" t="inlineStr">
        <is>
          <t>18</t>
        </is>
      </c>
      <c r="N3225" s="12" t="n">
        <v>1</v>
      </c>
      <c r="O3225" s="12" t="n">
        <v>1</v>
      </c>
      <c r="P3225" s="12" t="n"/>
      <c r="Q3225" s="12" t="n"/>
      <c r="R3225" s="12" t="n"/>
      <c r="S3225" s="12" t="inlineStr">
        <is>
          <t>Duct bank</t>
        </is>
      </c>
      <c r="T3225" s="16" t="n">
        <v>911</v>
      </c>
      <c r="U3225" s="16" t="n">
        <v>111</v>
      </c>
      <c r="V3225" s="16">
        <f>ROUNDUP((T3225+U3225+2*'Read Me'!$B$13)*(1+'Read Me'!$B$12),-1)</f>
        <v/>
      </c>
      <c r="W3225" s="16">
        <f>V3225*N3225*O3225</f>
        <v/>
      </c>
      <c r="X3225" s="12">
        <f>IF(LEFT(I3225,2)="MV",2*N3225*IF(L3225="1/C",O3225,1),0)</f>
        <v/>
      </c>
      <c r="Y3225" s="12">
        <f>IF(OR(LEFT(K3225,4)="LVAX",LEFT(K3225,6)="MV15AX",LEFT(K3225,4)="CTAX",LEFT(K3225,2)="W|"),2*N3225*O3225,0)</f>
        <v/>
      </c>
      <c r="Z3225" s="12" t="inlineStr"/>
      <c r="AA3225" s="12">
        <f>N3225*O3225</f>
        <v/>
      </c>
    </row>
    <row r="3226">
      <c r="A3226" s="12" t="inlineStr">
        <is>
          <t>G-I-0095</t>
        </is>
      </c>
      <c r="B3226" s="12" t="inlineStr">
        <is>
          <t>G</t>
        </is>
      </c>
      <c r="C3226" s="12" t="inlineStr">
        <is>
          <t>Carbon capture</t>
        </is>
      </c>
      <c r="D3226" s="12" t="inlineStr">
        <is>
          <t>Discrete device to JB JB-CCS-CT-DI02: 20 x 1 pr (field cables)</t>
        </is>
      </c>
      <c r="E3226" s="12" t="inlineStr">
        <is>
          <t>CCS-CT</t>
        </is>
      </c>
      <c r="F3226" s="12" t="inlineStr">
        <is>
          <t>CCS cooling tower (~30 cells): CCS process cooling only</t>
        </is>
      </c>
      <c r="G3226" s="12" t="inlineStr">
        <is>
          <t>JB-CCS-CT-DI02</t>
        </is>
      </c>
      <c r="H3226" s="12" t="inlineStr">
        <is>
          <t>CCS cooling tower (~30 cells): CCS process cooling only</t>
        </is>
      </c>
      <c r="I3226" s="12" t="inlineStr">
        <is>
          <t>Instrumentation</t>
        </is>
      </c>
      <c r="J3226" s="12" t="inlineStr">
        <is>
          <t>Instrumentation PLTC / TC-ER 300 V, #18 twisted shielded pairs, overall shield</t>
        </is>
      </c>
      <c r="K3226" s="12" t="inlineStr">
        <is>
          <t>PLTC|1 pr|16</t>
        </is>
      </c>
      <c r="L3226" s="12" t="inlineStr">
        <is>
          <t>1 pr</t>
        </is>
      </c>
      <c r="M3226" s="12" t="inlineStr">
        <is>
          <t>16</t>
        </is>
      </c>
      <c r="N3226" s="12" t="n">
        <v>20</v>
      </c>
      <c r="O3226" s="12" t="n">
        <v>1</v>
      </c>
      <c r="P3226" s="12" t="n"/>
      <c r="Q3226" s="12" t="n"/>
      <c r="R3226" s="12" t="n"/>
      <c r="S3226" s="12" t="inlineStr">
        <is>
          <t>Tray / conduit</t>
        </is>
      </c>
      <c r="T3226" s="16" t="n">
        <v>250</v>
      </c>
      <c r="U3226" s="16" t="n">
        <v>10</v>
      </c>
      <c r="V3226" s="16">
        <f>ROUNDUP((T3226+U3226+2*'Read Me'!$B$13)*(1+'Read Me'!$B$12),-1)</f>
        <v/>
      </c>
      <c r="W3226" s="16">
        <f>V3226*N3226*O3226</f>
        <v/>
      </c>
      <c r="X3226" s="12">
        <f>IF(LEFT(I3226,2)="MV",2*N3226*IF(L3226="1/C",O3226,1),0)</f>
        <v/>
      </c>
      <c r="Y3226" s="12">
        <f>IF(OR(LEFT(K3226,4)="LVAX",LEFT(K3226,6)="MV15AX",LEFT(K3226,4)="CTAX",LEFT(K3226,2)="W|"),2*N3226*O3226,0)</f>
        <v/>
      </c>
      <c r="Z3226" s="12" t="inlineStr">
        <is>
          <t>device-to-JB field wiring, one cable per device</t>
        </is>
      </c>
      <c r="AA3226" s="12">
        <f>N3226*O3226</f>
        <v/>
      </c>
    </row>
    <row r="3227">
      <c r="A3227" s="12" t="inlineStr">
        <is>
          <t>G-I-0096</t>
        </is>
      </c>
      <c r="B3227" s="12" t="inlineStr">
        <is>
          <t>G</t>
        </is>
      </c>
      <c r="C3227" s="12" t="inlineStr">
        <is>
          <t>Carbon capture</t>
        </is>
      </c>
      <c r="D3227" s="12" t="inlineStr">
        <is>
          <t>Home run JB-CCS-CT-DI02 to the control / marshalling room</t>
        </is>
      </c>
      <c r="E3227" s="12" t="inlineStr"/>
      <c r="F3227" s="12" t="inlineStr">
        <is>
          <t>CCS F&amp;G / control</t>
        </is>
      </c>
      <c r="G3227" s="12" t="inlineStr">
        <is>
          <t>JB-CCS-CT-DI02</t>
        </is>
      </c>
      <c r="H3227" s="12" t="inlineStr">
        <is>
          <t>CCS cooling tower (~30 cells): CCS process cooling only</t>
        </is>
      </c>
      <c r="I3227" s="12" t="inlineStr">
        <is>
          <t>Instrumentation</t>
        </is>
      </c>
      <c r="J3227" s="12" t="inlineStr">
        <is>
          <t>Instrumentation PLTC / TC-ER 300 V, #18 twisted shielded pairs, overall shield</t>
        </is>
      </c>
      <c r="K3227" s="12" t="inlineStr">
        <is>
          <t>PLTC|24 pr|18</t>
        </is>
      </c>
      <c r="L3227" s="12" t="inlineStr">
        <is>
          <t>24 pr</t>
        </is>
      </c>
      <c r="M3227" s="12" t="inlineStr">
        <is>
          <t>18</t>
        </is>
      </c>
      <c r="N3227" s="12" t="n">
        <v>1</v>
      </c>
      <c r="O3227" s="12" t="n">
        <v>1</v>
      </c>
      <c r="P3227" s="12" t="n"/>
      <c r="Q3227" s="12" t="n"/>
      <c r="R3227" s="12" t="n"/>
      <c r="S3227" s="12" t="inlineStr">
        <is>
          <t>Duct bank</t>
        </is>
      </c>
      <c r="T3227" s="16" t="n">
        <v>911</v>
      </c>
      <c r="U3227" s="16" t="n">
        <v>111</v>
      </c>
      <c r="V3227" s="16">
        <f>ROUNDUP((T3227+U3227+2*'Read Me'!$B$13)*(1+'Read Me'!$B$12),-1)</f>
        <v/>
      </c>
      <c r="W3227" s="16">
        <f>V3227*N3227*O3227</f>
        <v/>
      </c>
      <c r="X3227" s="12">
        <f>IF(LEFT(I3227,2)="MV",2*N3227*IF(L3227="1/C",O3227,1),0)</f>
        <v/>
      </c>
      <c r="Y3227" s="12">
        <f>IF(OR(LEFT(K3227,4)="LVAX",LEFT(K3227,6)="MV15AX",LEFT(K3227,4)="CTAX",LEFT(K3227,2)="W|"),2*N3227*O3227,0)</f>
        <v/>
      </c>
      <c r="Z3227" s="12" t="inlineStr"/>
      <c r="AA3227" s="12">
        <f>N3227*O3227</f>
        <v/>
      </c>
    </row>
    <row r="3228">
      <c r="A3228" s="12" t="inlineStr">
        <is>
          <t>G-I-0097</t>
        </is>
      </c>
      <c r="B3228" s="12" t="inlineStr">
        <is>
          <t>G</t>
        </is>
      </c>
      <c r="C3228" s="12" t="inlineStr">
        <is>
          <t>Carbon capture</t>
        </is>
      </c>
      <c r="D3228" s="12" t="inlineStr">
        <is>
          <t>Discrete device to JB JB-CCS-CT-DI03: 20 x 1 pr (field cables)</t>
        </is>
      </c>
      <c r="E3228" s="12" t="inlineStr">
        <is>
          <t>CCS-CT</t>
        </is>
      </c>
      <c r="F3228" s="12" t="inlineStr">
        <is>
          <t>CCS cooling tower (~30 cells): CCS process cooling only</t>
        </is>
      </c>
      <c r="G3228" s="12" t="inlineStr">
        <is>
          <t>JB-CCS-CT-DI03</t>
        </is>
      </c>
      <c r="H3228" s="12" t="inlineStr">
        <is>
          <t>CCS cooling tower (~30 cells): CCS process cooling only</t>
        </is>
      </c>
      <c r="I3228" s="12" t="inlineStr">
        <is>
          <t>Instrumentation</t>
        </is>
      </c>
      <c r="J3228" s="12" t="inlineStr">
        <is>
          <t>Instrumentation PLTC / TC-ER 300 V, #18 twisted shielded pairs, overall shield</t>
        </is>
      </c>
      <c r="K3228" s="12" t="inlineStr">
        <is>
          <t>PLTC|1 pr|16</t>
        </is>
      </c>
      <c r="L3228" s="12" t="inlineStr">
        <is>
          <t>1 pr</t>
        </is>
      </c>
      <c r="M3228" s="12" t="inlineStr">
        <is>
          <t>16</t>
        </is>
      </c>
      <c r="N3228" s="12" t="n">
        <v>20</v>
      </c>
      <c r="O3228" s="12" t="n">
        <v>1</v>
      </c>
      <c r="P3228" s="12" t="n"/>
      <c r="Q3228" s="12" t="n"/>
      <c r="R3228" s="12" t="n"/>
      <c r="S3228" s="12" t="inlineStr">
        <is>
          <t>Tray / conduit</t>
        </is>
      </c>
      <c r="T3228" s="16" t="n">
        <v>250</v>
      </c>
      <c r="U3228" s="16" t="n">
        <v>10</v>
      </c>
      <c r="V3228" s="16">
        <f>ROUNDUP((T3228+U3228+2*'Read Me'!$B$13)*(1+'Read Me'!$B$12),-1)</f>
        <v/>
      </c>
      <c r="W3228" s="16">
        <f>V3228*N3228*O3228</f>
        <v/>
      </c>
      <c r="X3228" s="12">
        <f>IF(LEFT(I3228,2)="MV",2*N3228*IF(L3228="1/C",O3228,1),0)</f>
        <v/>
      </c>
      <c r="Y3228" s="12">
        <f>IF(OR(LEFT(K3228,4)="LVAX",LEFT(K3228,6)="MV15AX",LEFT(K3228,4)="CTAX",LEFT(K3228,2)="W|"),2*N3228*O3228,0)</f>
        <v/>
      </c>
      <c r="Z3228" s="12" t="inlineStr">
        <is>
          <t>device-to-JB field wiring, one cable per device</t>
        </is>
      </c>
      <c r="AA3228" s="12">
        <f>N3228*O3228</f>
        <v/>
      </c>
    </row>
    <row r="3229">
      <c r="A3229" s="12" t="inlineStr">
        <is>
          <t>G-I-0098</t>
        </is>
      </c>
      <c r="B3229" s="12" t="inlineStr">
        <is>
          <t>G</t>
        </is>
      </c>
      <c r="C3229" s="12" t="inlineStr">
        <is>
          <t>Carbon capture</t>
        </is>
      </c>
      <c r="D3229" s="12" t="inlineStr">
        <is>
          <t>Home run JB-CCS-CT-DI03 to the control / marshalling room</t>
        </is>
      </c>
      <c r="E3229" s="12" t="inlineStr"/>
      <c r="F3229" s="12" t="inlineStr">
        <is>
          <t>CCS F&amp;G / control</t>
        </is>
      </c>
      <c r="G3229" s="12" t="inlineStr">
        <is>
          <t>JB-CCS-CT-DI03</t>
        </is>
      </c>
      <c r="H3229" s="12" t="inlineStr">
        <is>
          <t>CCS cooling tower (~30 cells): CCS process cooling only</t>
        </is>
      </c>
      <c r="I3229" s="12" t="inlineStr">
        <is>
          <t>Instrumentation</t>
        </is>
      </c>
      <c r="J3229" s="12" t="inlineStr">
        <is>
          <t>Instrumentation PLTC / TC-ER 300 V, #18 twisted shielded pairs, overall shield</t>
        </is>
      </c>
      <c r="K3229" s="12" t="inlineStr">
        <is>
          <t>PLTC|24 pr|18</t>
        </is>
      </c>
      <c r="L3229" s="12" t="inlineStr">
        <is>
          <t>24 pr</t>
        </is>
      </c>
      <c r="M3229" s="12" t="inlineStr">
        <is>
          <t>18</t>
        </is>
      </c>
      <c r="N3229" s="12" t="n">
        <v>1</v>
      </c>
      <c r="O3229" s="12" t="n">
        <v>1</v>
      </c>
      <c r="P3229" s="12" t="n"/>
      <c r="Q3229" s="12" t="n"/>
      <c r="R3229" s="12" t="n"/>
      <c r="S3229" s="12" t="inlineStr">
        <is>
          <t>Duct bank</t>
        </is>
      </c>
      <c r="T3229" s="16" t="n">
        <v>911</v>
      </c>
      <c r="U3229" s="16" t="n">
        <v>111</v>
      </c>
      <c r="V3229" s="16">
        <f>ROUNDUP((T3229+U3229+2*'Read Me'!$B$13)*(1+'Read Me'!$B$12),-1)</f>
        <v/>
      </c>
      <c r="W3229" s="16">
        <f>V3229*N3229*O3229</f>
        <v/>
      </c>
      <c r="X3229" s="12">
        <f>IF(LEFT(I3229,2)="MV",2*N3229*IF(L3229="1/C",O3229,1),0)</f>
        <v/>
      </c>
      <c r="Y3229" s="12">
        <f>IF(OR(LEFT(K3229,4)="LVAX",LEFT(K3229,6)="MV15AX",LEFT(K3229,4)="CTAX",LEFT(K3229,2)="W|"),2*N3229*O3229,0)</f>
        <v/>
      </c>
      <c r="Z3229" s="12" t="inlineStr"/>
      <c r="AA3229" s="12">
        <f>N3229*O3229</f>
        <v/>
      </c>
    </row>
    <row r="3230">
      <c r="A3230" s="12" t="inlineStr">
        <is>
          <t>G-I-0099</t>
        </is>
      </c>
      <c r="B3230" s="12" t="inlineStr">
        <is>
          <t>G</t>
        </is>
      </c>
      <c r="C3230" s="12" t="inlineStr">
        <is>
          <t>Carbon capture</t>
        </is>
      </c>
      <c r="D3230" s="12" t="inlineStr">
        <is>
          <t>Analog instrument to JB JB-CCS instrument air-AI01: 10 x 1 pr (field cables)</t>
        </is>
      </c>
      <c r="E3230" s="12" t="inlineStr"/>
      <c r="F3230" s="12" t="inlineStr">
        <is>
          <t>CCS instrument air</t>
        </is>
      </c>
      <c r="G3230" s="12" t="inlineStr">
        <is>
          <t>JB-CCS instrument air-AI01</t>
        </is>
      </c>
      <c r="H3230" s="12" t="inlineStr">
        <is>
          <t>CCS instrument air</t>
        </is>
      </c>
      <c r="I3230" s="12" t="inlineStr">
        <is>
          <t>Instrumentation</t>
        </is>
      </c>
      <c r="J3230" s="12" t="inlineStr">
        <is>
          <t>Instrumentation PLTC / TC-ER 300 V, #18 twisted shielded pairs, overall shield</t>
        </is>
      </c>
      <c r="K3230" s="12" t="inlineStr">
        <is>
          <t>PLTC|1 pr|16</t>
        </is>
      </c>
      <c r="L3230" s="12" t="inlineStr">
        <is>
          <t>1 pr</t>
        </is>
      </c>
      <c r="M3230" s="12" t="inlineStr">
        <is>
          <t>16</t>
        </is>
      </c>
      <c r="N3230" s="12" t="n">
        <v>10</v>
      </c>
      <c r="O3230" s="12" t="n">
        <v>1</v>
      </c>
      <c r="P3230" s="12" t="n"/>
      <c r="Q3230" s="12" t="n"/>
      <c r="R3230" s="12" t="n"/>
      <c r="S3230" s="12" t="inlineStr">
        <is>
          <t>Tray / conduit</t>
        </is>
      </c>
      <c r="T3230" s="16" t="n">
        <v>72</v>
      </c>
      <c r="U3230" s="16" t="n">
        <v>10</v>
      </c>
      <c r="V3230" s="16">
        <f>ROUNDUP((T3230+U3230+2*'Read Me'!$B$13)*(1+'Read Me'!$B$12),-1)</f>
        <v/>
      </c>
      <c r="W3230" s="16">
        <f>V3230*N3230*O3230</f>
        <v/>
      </c>
      <c r="X3230" s="12">
        <f>IF(LEFT(I3230,2)="MV",2*N3230*IF(L3230="1/C",O3230,1),0)</f>
        <v/>
      </c>
      <c r="Y3230" s="12">
        <f>IF(OR(LEFT(K3230,4)="LVAX",LEFT(K3230,6)="MV15AX",LEFT(K3230,4)="CTAX",LEFT(K3230,2)="W|"),2*N3230*O3230,0)</f>
        <v/>
      </c>
      <c r="Z3230" s="12" t="inlineStr">
        <is>
          <t>device-to-JB field wiring, one cable per device</t>
        </is>
      </c>
      <c r="AA3230" s="12">
        <f>N3230*O3230</f>
        <v/>
      </c>
    </row>
    <row r="3231">
      <c r="A3231" s="12" t="inlineStr">
        <is>
          <t>G-I-0100</t>
        </is>
      </c>
      <c r="B3231" s="12" t="inlineStr">
        <is>
          <t>G</t>
        </is>
      </c>
      <c r="C3231" s="12" t="inlineStr">
        <is>
          <t>Carbon capture</t>
        </is>
      </c>
      <c r="D3231" s="12" t="inlineStr">
        <is>
          <t>Home run JB-CCS instrument air-AI01 to the control / marshalling room</t>
        </is>
      </c>
      <c r="E3231" s="12" t="inlineStr"/>
      <c r="F3231" s="12" t="inlineStr">
        <is>
          <t>CCS F&amp;G / control</t>
        </is>
      </c>
      <c r="G3231" s="12" t="inlineStr">
        <is>
          <t>JB-CCS instrument air-AI01</t>
        </is>
      </c>
      <c r="H3231" s="12" t="inlineStr">
        <is>
          <t>CCS instrument air</t>
        </is>
      </c>
      <c r="I3231" s="12" t="inlineStr">
        <is>
          <t>Instrumentation</t>
        </is>
      </c>
      <c r="J3231" s="12" t="inlineStr">
        <is>
          <t>Instrumentation PLTC / TC-ER 300 V, #18 twisted shielded pairs, overall shield</t>
        </is>
      </c>
      <c r="K3231" s="12" t="inlineStr">
        <is>
          <t>PLTC|24 pr|18</t>
        </is>
      </c>
      <c r="L3231" s="12" t="inlineStr">
        <is>
          <t>24 pr</t>
        </is>
      </c>
      <c r="M3231" s="12" t="inlineStr">
        <is>
          <t>18</t>
        </is>
      </c>
      <c r="N3231" s="12" t="n">
        <v>1</v>
      </c>
      <c r="O3231" s="12" t="n">
        <v>1</v>
      </c>
      <c r="P3231" s="12" t="n"/>
      <c r="Q3231" s="12" t="n"/>
      <c r="R3231" s="12" t="n"/>
      <c r="S3231" s="12" t="inlineStr">
        <is>
          <t>Tray</t>
        </is>
      </c>
      <c r="T3231" s="16" t="n">
        <v>0</v>
      </c>
      <c r="U3231" s="16" t="n">
        <v>120</v>
      </c>
      <c r="V3231" s="16">
        <f>ROUNDUP((T3231+U3231+2*'Read Me'!$B$13)*(1+'Read Me'!$B$12),-1)</f>
        <v/>
      </c>
      <c r="W3231" s="16">
        <f>V3231*N3231*O3231</f>
        <v/>
      </c>
      <c r="X3231" s="12">
        <f>IF(LEFT(I3231,2)="MV",2*N3231*IF(L3231="1/C",O3231,1),0)</f>
        <v/>
      </c>
      <c r="Y3231" s="12">
        <f>IF(OR(LEFT(K3231,4)="LVAX",LEFT(K3231,6)="MV15AX",LEFT(K3231,4)="CTAX",LEFT(K3231,2)="W|"),2*N3231*O3231,0)</f>
        <v/>
      </c>
      <c r="Z3231" s="12" t="inlineStr"/>
      <c r="AA3231" s="12">
        <f>N3231*O3231</f>
        <v/>
      </c>
    </row>
    <row r="3232">
      <c r="A3232" s="12" t="inlineStr">
        <is>
          <t>G-I-0101</t>
        </is>
      </c>
      <c r="B3232" s="12" t="inlineStr">
        <is>
          <t>G</t>
        </is>
      </c>
      <c r="C3232" s="12" t="inlineStr">
        <is>
          <t>Carbon capture</t>
        </is>
      </c>
      <c r="D3232" s="12" t="inlineStr">
        <is>
          <t>Discrete device to JB JB-CCS instrument air-DI01: 10 x 1 pr (field cables)</t>
        </is>
      </c>
      <c r="E3232" s="12" t="inlineStr"/>
      <c r="F3232" s="12" t="inlineStr">
        <is>
          <t>CCS instrument air</t>
        </is>
      </c>
      <c r="G3232" s="12" t="inlineStr">
        <is>
          <t>JB-CCS instrument air-DI01</t>
        </is>
      </c>
      <c r="H3232" s="12" t="inlineStr">
        <is>
          <t>CCS instrument air</t>
        </is>
      </c>
      <c r="I3232" s="12" t="inlineStr">
        <is>
          <t>Instrumentation</t>
        </is>
      </c>
      <c r="J3232" s="12" t="inlineStr">
        <is>
          <t>Instrumentation PLTC / TC-ER 300 V, #18 twisted shielded pairs, overall shield</t>
        </is>
      </c>
      <c r="K3232" s="12" t="inlineStr">
        <is>
          <t>PLTC|1 pr|16</t>
        </is>
      </c>
      <c r="L3232" s="12" t="inlineStr">
        <is>
          <t>1 pr</t>
        </is>
      </c>
      <c r="M3232" s="12" t="inlineStr">
        <is>
          <t>16</t>
        </is>
      </c>
      <c r="N3232" s="12" t="n">
        <v>10</v>
      </c>
      <c r="O3232" s="12" t="n">
        <v>1</v>
      </c>
      <c r="P3232" s="12" t="n"/>
      <c r="Q3232" s="12" t="n"/>
      <c r="R3232" s="12" t="n"/>
      <c r="S3232" s="12" t="inlineStr">
        <is>
          <t>Tray / conduit</t>
        </is>
      </c>
      <c r="T3232" s="16" t="n">
        <v>72</v>
      </c>
      <c r="U3232" s="16" t="n">
        <v>10</v>
      </c>
      <c r="V3232" s="16">
        <f>ROUNDUP((T3232+U3232+2*'Read Me'!$B$13)*(1+'Read Me'!$B$12),-1)</f>
        <v/>
      </c>
      <c r="W3232" s="16">
        <f>V3232*N3232*O3232</f>
        <v/>
      </c>
      <c r="X3232" s="12">
        <f>IF(LEFT(I3232,2)="MV",2*N3232*IF(L3232="1/C",O3232,1),0)</f>
        <v/>
      </c>
      <c r="Y3232" s="12">
        <f>IF(OR(LEFT(K3232,4)="LVAX",LEFT(K3232,6)="MV15AX",LEFT(K3232,4)="CTAX",LEFT(K3232,2)="W|"),2*N3232*O3232,0)</f>
        <v/>
      </c>
      <c r="Z3232" s="12" t="inlineStr">
        <is>
          <t>device-to-JB field wiring, one cable per device</t>
        </is>
      </c>
      <c r="AA3232" s="12">
        <f>N3232*O3232</f>
        <v/>
      </c>
    </row>
    <row r="3233">
      <c r="A3233" s="12" t="inlineStr">
        <is>
          <t>G-I-0102</t>
        </is>
      </c>
      <c r="B3233" s="12" t="inlineStr">
        <is>
          <t>G</t>
        </is>
      </c>
      <c r="C3233" s="12" t="inlineStr">
        <is>
          <t>Carbon capture</t>
        </is>
      </c>
      <c r="D3233" s="12" t="inlineStr">
        <is>
          <t>Home run JB-CCS instrument air-DI01 to the control / marshalling room</t>
        </is>
      </c>
      <c r="E3233" s="12" t="inlineStr"/>
      <c r="F3233" s="12" t="inlineStr">
        <is>
          <t>CCS F&amp;G / control</t>
        </is>
      </c>
      <c r="G3233" s="12" t="inlineStr">
        <is>
          <t>JB-CCS instrument air-DI01</t>
        </is>
      </c>
      <c r="H3233" s="12" t="inlineStr">
        <is>
          <t>CCS instrument air</t>
        </is>
      </c>
      <c r="I3233" s="12" t="inlineStr">
        <is>
          <t>Instrumentation</t>
        </is>
      </c>
      <c r="J3233" s="12" t="inlineStr">
        <is>
          <t>Instrumentation PLTC / TC-ER 300 V, #18 twisted shielded pairs, overall shield</t>
        </is>
      </c>
      <c r="K3233" s="12" t="inlineStr">
        <is>
          <t>PLTC|24 pr|18</t>
        </is>
      </c>
      <c r="L3233" s="12" t="inlineStr">
        <is>
          <t>24 pr</t>
        </is>
      </c>
      <c r="M3233" s="12" t="inlineStr">
        <is>
          <t>18</t>
        </is>
      </c>
      <c r="N3233" s="12" t="n">
        <v>1</v>
      </c>
      <c r="O3233" s="12" t="n">
        <v>1</v>
      </c>
      <c r="P3233" s="12" t="n"/>
      <c r="Q3233" s="12" t="n"/>
      <c r="R3233" s="12" t="n"/>
      <c r="S3233" s="12" t="inlineStr">
        <is>
          <t>Tray</t>
        </is>
      </c>
      <c r="T3233" s="16" t="n">
        <v>0</v>
      </c>
      <c r="U3233" s="16" t="n">
        <v>120</v>
      </c>
      <c r="V3233" s="16">
        <f>ROUNDUP((T3233+U3233+2*'Read Me'!$B$13)*(1+'Read Me'!$B$12),-1)</f>
        <v/>
      </c>
      <c r="W3233" s="16">
        <f>V3233*N3233*O3233</f>
        <v/>
      </c>
      <c r="X3233" s="12">
        <f>IF(LEFT(I3233,2)="MV",2*N3233*IF(L3233="1/C",O3233,1),0)</f>
        <v/>
      </c>
      <c r="Y3233" s="12">
        <f>IF(OR(LEFT(K3233,4)="LVAX",LEFT(K3233,6)="MV15AX",LEFT(K3233,4)="CTAX",LEFT(K3233,2)="W|"),2*N3233*O3233,0)</f>
        <v/>
      </c>
      <c r="Z3233" s="12" t="inlineStr"/>
      <c r="AA3233" s="12">
        <f>N3233*O3233</f>
        <v/>
      </c>
    </row>
    <row r="3234">
      <c r="A3234" s="12" t="inlineStr">
        <is>
          <t>G-I-0103</t>
        </is>
      </c>
      <c r="B3234" s="12" t="inlineStr">
        <is>
          <t>G</t>
        </is>
      </c>
      <c r="C3234" s="12" t="inlineStr">
        <is>
          <t>Carbon capture</t>
        </is>
      </c>
      <c r="D3234" s="12" t="inlineStr">
        <is>
          <t>Analog instrument to JB JB-CCS wastewater (DC-AI01: 15 x 1 pr (field cables)</t>
        </is>
      </c>
      <c r="E3234" s="12" t="inlineStr"/>
      <c r="F3234" s="12" t="inlineStr">
        <is>
          <t>CCS wastewater (DCC + tower blowdown)</t>
        </is>
      </c>
      <c r="G3234" s="12" t="inlineStr">
        <is>
          <t>JB-CCS wastewater (DC-AI01</t>
        </is>
      </c>
      <c r="H3234" s="12" t="inlineStr">
        <is>
          <t>CCS wastewater (DCC + tower blowdown)</t>
        </is>
      </c>
      <c r="I3234" s="12" t="inlineStr">
        <is>
          <t>Instrumentation</t>
        </is>
      </c>
      <c r="J3234" s="12" t="inlineStr">
        <is>
          <t>Instrumentation PLTC / TC-ER 300 V, #18 twisted shielded pairs, overall shield</t>
        </is>
      </c>
      <c r="K3234" s="12" t="inlineStr">
        <is>
          <t>PLTC|1 pr|16</t>
        </is>
      </c>
      <c r="L3234" s="12" t="inlineStr">
        <is>
          <t>1 pr</t>
        </is>
      </c>
      <c r="M3234" s="12" t="inlineStr">
        <is>
          <t>16</t>
        </is>
      </c>
      <c r="N3234" s="12" t="n">
        <v>15</v>
      </c>
      <c r="O3234" s="12" t="n">
        <v>1</v>
      </c>
      <c r="P3234" s="12" t="n"/>
      <c r="Q3234" s="12" t="n"/>
      <c r="R3234" s="12" t="n"/>
      <c r="S3234" s="12" t="inlineStr">
        <is>
          <t>Tray / conduit</t>
        </is>
      </c>
      <c r="T3234" s="16" t="n">
        <v>140</v>
      </c>
      <c r="U3234" s="16" t="n">
        <v>10</v>
      </c>
      <c r="V3234" s="16">
        <f>ROUNDUP((T3234+U3234+2*'Read Me'!$B$13)*(1+'Read Me'!$B$12),-1)</f>
        <v/>
      </c>
      <c r="W3234" s="16">
        <f>V3234*N3234*O3234</f>
        <v/>
      </c>
      <c r="X3234" s="12">
        <f>IF(LEFT(I3234,2)="MV",2*N3234*IF(L3234="1/C",O3234,1),0)</f>
        <v/>
      </c>
      <c r="Y3234" s="12">
        <f>IF(OR(LEFT(K3234,4)="LVAX",LEFT(K3234,6)="MV15AX",LEFT(K3234,4)="CTAX",LEFT(K3234,2)="W|"),2*N3234*O3234,0)</f>
        <v/>
      </c>
      <c r="Z3234" s="12" t="inlineStr">
        <is>
          <t>device-to-JB field wiring, one cable per device</t>
        </is>
      </c>
      <c r="AA3234" s="12">
        <f>N3234*O3234</f>
        <v/>
      </c>
    </row>
    <row r="3235">
      <c r="A3235" s="12" t="inlineStr">
        <is>
          <t>G-I-0104</t>
        </is>
      </c>
      <c r="B3235" s="12" t="inlineStr">
        <is>
          <t>G</t>
        </is>
      </c>
      <c r="C3235" s="12" t="inlineStr">
        <is>
          <t>Carbon capture</t>
        </is>
      </c>
      <c r="D3235" s="12" t="inlineStr">
        <is>
          <t>Home run JB-CCS wastewater (DC-AI01 to the control / marshalling room</t>
        </is>
      </c>
      <c r="E3235" s="12" t="inlineStr"/>
      <c r="F3235" s="12" t="inlineStr">
        <is>
          <t>CCS F&amp;G / control</t>
        </is>
      </c>
      <c r="G3235" s="12" t="inlineStr">
        <is>
          <t>JB-CCS wastewater (DC-AI01</t>
        </is>
      </c>
      <c r="H3235" s="12" t="inlineStr">
        <is>
          <t>CCS wastewater (DCC + tower blowdown)</t>
        </is>
      </c>
      <c r="I3235" s="12" t="inlineStr">
        <is>
          <t>Instrumentation</t>
        </is>
      </c>
      <c r="J3235" s="12" t="inlineStr">
        <is>
          <t>Instrumentation PLTC / TC-ER 300 V, #18 twisted shielded pairs, overall shield</t>
        </is>
      </c>
      <c r="K3235" s="12" t="inlineStr">
        <is>
          <t>PLTC|24 pr|18</t>
        </is>
      </c>
      <c r="L3235" s="12" t="inlineStr">
        <is>
          <t>24 pr</t>
        </is>
      </c>
      <c r="M3235" s="12" t="inlineStr">
        <is>
          <t>18</t>
        </is>
      </c>
      <c r="N3235" s="12" t="n">
        <v>1</v>
      </c>
      <c r="O3235" s="12" t="n">
        <v>1</v>
      </c>
      <c r="P3235" s="12" t="n"/>
      <c r="Q3235" s="12" t="n"/>
      <c r="R3235" s="12" t="n"/>
      <c r="S3235" s="12" t="inlineStr">
        <is>
          <t>Duct bank</t>
        </is>
      </c>
      <c r="T3235" s="16" t="n">
        <v>656</v>
      </c>
      <c r="U3235" s="16" t="n">
        <v>121</v>
      </c>
      <c r="V3235" s="16">
        <f>ROUNDUP((T3235+U3235+2*'Read Me'!$B$13)*(1+'Read Me'!$B$12),-1)</f>
        <v/>
      </c>
      <c r="W3235" s="16">
        <f>V3235*N3235*O3235</f>
        <v/>
      </c>
      <c r="X3235" s="12">
        <f>IF(LEFT(I3235,2)="MV",2*N3235*IF(L3235="1/C",O3235,1),0)</f>
        <v/>
      </c>
      <c r="Y3235" s="12">
        <f>IF(OR(LEFT(K3235,4)="LVAX",LEFT(K3235,6)="MV15AX",LEFT(K3235,4)="CTAX",LEFT(K3235,2)="W|"),2*N3235*O3235,0)</f>
        <v/>
      </c>
      <c r="Z3235" s="12" t="inlineStr"/>
      <c r="AA3235" s="12">
        <f>N3235*O3235</f>
        <v/>
      </c>
    </row>
    <row r="3236">
      <c r="A3236" s="12" t="inlineStr">
        <is>
          <t>G-I-0105</t>
        </is>
      </c>
      <c r="B3236" s="12" t="inlineStr">
        <is>
          <t>G</t>
        </is>
      </c>
      <c r="C3236" s="12" t="inlineStr">
        <is>
          <t>Carbon capture</t>
        </is>
      </c>
      <c r="D3236" s="12" t="inlineStr">
        <is>
          <t>Discrete device to JB JB-CCS wastewater (DC-DI01: 15 x 1 pr (field cables)</t>
        </is>
      </c>
      <c r="E3236" s="12" t="inlineStr"/>
      <c r="F3236" s="12" t="inlineStr">
        <is>
          <t>CCS wastewater (DCC + tower blowdown)</t>
        </is>
      </c>
      <c r="G3236" s="12" t="inlineStr">
        <is>
          <t>JB-CCS wastewater (DC-DI01</t>
        </is>
      </c>
      <c r="H3236" s="12" t="inlineStr">
        <is>
          <t>CCS wastewater (DCC + tower blowdown)</t>
        </is>
      </c>
      <c r="I3236" s="12" t="inlineStr">
        <is>
          <t>Instrumentation</t>
        </is>
      </c>
      <c r="J3236" s="12" t="inlineStr">
        <is>
          <t>Instrumentation PLTC / TC-ER 300 V, #18 twisted shielded pairs, overall shield</t>
        </is>
      </c>
      <c r="K3236" s="12" t="inlineStr">
        <is>
          <t>PLTC|1 pr|16</t>
        </is>
      </c>
      <c r="L3236" s="12" t="inlineStr">
        <is>
          <t>1 pr</t>
        </is>
      </c>
      <c r="M3236" s="12" t="inlineStr">
        <is>
          <t>16</t>
        </is>
      </c>
      <c r="N3236" s="12" t="n">
        <v>15</v>
      </c>
      <c r="O3236" s="12" t="n">
        <v>1</v>
      </c>
      <c r="P3236" s="12" t="n"/>
      <c r="Q3236" s="12" t="n"/>
      <c r="R3236" s="12" t="n"/>
      <c r="S3236" s="12" t="inlineStr">
        <is>
          <t>Tray / conduit</t>
        </is>
      </c>
      <c r="T3236" s="16" t="n">
        <v>140</v>
      </c>
      <c r="U3236" s="16" t="n">
        <v>10</v>
      </c>
      <c r="V3236" s="16">
        <f>ROUNDUP((T3236+U3236+2*'Read Me'!$B$13)*(1+'Read Me'!$B$12),-1)</f>
        <v/>
      </c>
      <c r="W3236" s="16">
        <f>V3236*N3236*O3236</f>
        <v/>
      </c>
      <c r="X3236" s="12">
        <f>IF(LEFT(I3236,2)="MV",2*N3236*IF(L3236="1/C",O3236,1),0)</f>
        <v/>
      </c>
      <c r="Y3236" s="12">
        <f>IF(OR(LEFT(K3236,4)="LVAX",LEFT(K3236,6)="MV15AX",LEFT(K3236,4)="CTAX",LEFT(K3236,2)="W|"),2*N3236*O3236,0)</f>
        <v/>
      </c>
      <c r="Z3236" s="12" t="inlineStr">
        <is>
          <t>device-to-JB field wiring, one cable per device</t>
        </is>
      </c>
      <c r="AA3236" s="12">
        <f>N3236*O3236</f>
        <v/>
      </c>
    </row>
    <row r="3237">
      <c r="A3237" s="12" t="inlineStr">
        <is>
          <t>G-I-0106</t>
        </is>
      </c>
      <c r="B3237" s="12" t="inlineStr">
        <is>
          <t>G</t>
        </is>
      </c>
      <c r="C3237" s="12" t="inlineStr">
        <is>
          <t>Carbon capture</t>
        </is>
      </c>
      <c r="D3237" s="12" t="inlineStr">
        <is>
          <t>Home run JB-CCS wastewater (DC-DI01 to the control / marshalling room</t>
        </is>
      </c>
      <c r="E3237" s="12" t="inlineStr"/>
      <c r="F3237" s="12" t="inlineStr">
        <is>
          <t>CCS F&amp;G / control</t>
        </is>
      </c>
      <c r="G3237" s="12" t="inlineStr">
        <is>
          <t>JB-CCS wastewater (DC-DI01</t>
        </is>
      </c>
      <c r="H3237" s="12" t="inlineStr">
        <is>
          <t>CCS wastewater (DCC + tower blowdown)</t>
        </is>
      </c>
      <c r="I3237" s="12" t="inlineStr">
        <is>
          <t>Instrumentation</t>
        </is>
      </c>
      <c r="J3237" s="12" t="inlineStr">
        <is>
          <t>Instrumentation PLTC / TC-ER 300 V, #18 twisted shielded pairs, overall shield</t>
        </is>
      </c>
      <c r="K3237" s="12" t="inlineStr">
        <is>
          <t>PLTC|24 pr|18</t>
        </is>
      </c>
      <c r="L3237" s="12" t="inlineStr">
        <is>
          <t>24 pr</t>
        </is>
      </c>
      <c r="M3237" s="12" t="inlineStr">
        <is>
          <t>18</t>
        </is>
      </c>
      <c r="N3237" s="12" t="n">
        <v>1</v>
      </c>
      <c r="O3237" s="12" t="n">
        <v>1</v>
      </c>
      <c r="P3237" s="12" t="n"/>
      <c r="Q3237" s="12" t="n"/>
      <c r="R3237" s="12" t="n"/>
      <c r="S3237" s="12" t="inlineStr">
        <is>
          <t>Duct bank</t>
        </is>
      </c>
      <c r="T3237" s="16" t="n">
        <v>656</v>
      </c>
      <c r="U3237" s="16" t="n">
        <v>121</v>
      </c>
      <c r="V3237" s="16">
        <f>ROUNDUP((T3237+U3237+2*'Read Me'!$B$13)*(1+'Read Me'!$B$12),-1)</f>
        <v/>
      </c>
      <c r="W3237" s="16">
        <f>V3237*N3237*O3237</f>
        <v/>
      </c>
      <c r="X3237" s="12">
        <f>IF(LEFT(I3237,2)="MV",2*N3237*IF(L3237="1/C",O3237,1),0)</f>
        <v/>
      </c>
      <c r="Y3237" s="12">
        <f>IF(OR(LEFT(K3237,4)="LVAX",LEFT(K3237,6)="MV15AX",LEFT(K3237,4)="CTAX",LEFT(K3237,2)="W|"),2*N3237*O3237,0)</f>
        <v/>
      </c>
      <c r="Z3237" s="12" t="inlineStr"/>
      <c r="AA3237" s="12">
        <f>N3237*O3237</f>
        <v/>
      </c>
    </row>
    <row r="3238">
      <c r="A3238" s="12" t="inlineStr">
        <is>
          <t>G-I-0107</t>
        </is>
      </c>
      <c r="B3238" s="12" t="inlineStr">
        <is>
          <t>G</t>
        </is>
      </c>
      <c r="C3238" s="12" t="inlineStr">
        <is>
          <t>Carbon capture</t>
        </is>
      </c>
      <c r="D3238" s="12" t="inlineStr">
        <is>
          <t>Analog instrument to JB JB-CO2 compression 3 -AI01: 20 x 1 pr (field cables)</t>
        </is>
      </c>
      <c r="E3238" s="12" t="inlineStr"/>
      <c r="F3238" s="12" t="inlineStr">
        <is>
          <t>CO2 compression 3 x ~19 MW + dehydration</t>
        </is>
      </c>
      <c r="G3238" s="12" t="inlineStr">
        <is>
          <t>JB-CO2 compression 3 -AI01</t>
        </is>
      </c>
      <c r="H3238" s="12" t="inlineStr">
        <is>
          <t>CO2 compression 3 x ~19 MW + dehydration</t>
        </is>
      </c>
      <c r="I3238" s="12" t="inlineStr">
        <is>
          <t>Instrumentation</t>
        </is>
      </c>
      <c r="J3238" s="12" t="inlineStr">
        <is>
          <t>Instrumentation PLTC / TC-ER 300 V, #18 twisted shielded pairs, overall shield</t>
        </is>
      </c>
      <c r="K3238" s="12" t="inlineStr">
        <is>
          <t>PLTC|1 pr|16</t>
        </is>
      </c>
      <c r="L3238" s="12" t="inlineStr">
        <is>
          <t>1 pr</t>
        </is>
      </c>
      <c r="M3238" s="12" t="inlineStr">
        <is>
          <t>16</t>
        </is>
      </c>
      <c r="N3238" s="12" t="n">
        <v>20</v>
      </c>
      <c r="O3238" s="12" t="n">
        <v>1</v>
      </c>
      <c r="P3238" s="12" t="n"/>
      <c r="Q3238" s="12" t="n"/>
      <c r="R3238" s="12" t="n"/>
      <c r="S3238" s="12" t="inlineStr">
        <is>
          <t>Tray / conduit</t>
        </is>
      </c>
      <c r="T3238" s="16" t="n">
        <v>159</v>
      </c>
      <c r="U3238" s="16" t="n">
        <v>10</v>
      </c>
      <c r="V3238" s="16">
        <f>ROUNDUP((T3238+U3238+2*'Read Me'!$B$13)*(1+'Read Me'!$B$12),-1)</f>
        <v/>
      </c>
      <c r="W3238" s="16">
        <f>V3238*N3238*O3238</f>
        <v/>
      </c>
      <c r="X3238" s="12">
        <f>IF(LEFT(I3238,2)="MV",2*N3238*IF(L3238="1/C",O3238,1),0)</f>
        <v/>
      </c>
      <c r="Y3238" s="12">
        <f>IF(OR(LEFT(K3238,4)="LVAX",LEFT(K3238,6)="MV15AX",LEFT(K3238,4)="CTAX",LEFT(K3238,2)="W|"),2*N3238*O3238,0)</f>
        <v/>
      </c>
      <c r="Z3238" s="12" t="inlineStr">
        <is>
          <t>device-to-JB field wiring, one cable per device</t>
        </is>
      </c>
      <c r="AA3238" s="12">
        <f>N3238*O3238</f>
        <v/>
      </c>
    </row>
    <row r="3239">
      <c r="A3239" s="12" t="inlineStr">
        <is>
          <t>G-I-0108</t>
        </is>
      </c>
      <c r="B3239" s="12" t="inlineStr">
        <is>
          <t>G</t>
        </is>
      </c>
      <c r="C3239" s="12" t="inlineStr">
        <is>
          <t>Carbon capture</t>
        </is>
      </c>
      <c r="D3239" s="12" t="inlineStr">
        <is>
          <t>Home run JB-CO2 compression 3 -AI01 to the control / marshalling room</t>
        </is>
      </c>
      <c r="E3239" s="12" t="inlineStr"/>
      <c r="F3239" s="12" t="inlineStr">
        <is>
          <t>CCS F&amp;G / control</t>
        </is>
      </c>
      <c r="G3239" s="12" t="inlineStr">
        <is>
          <t>JB-CO2 compression 3 -AI01</t>
        </is>
      </c>
      <c r="H3239" s="12" t="inlineStr">
        <is>
          <t>CO2 compression 3 x ~19 MW + dehydration</t>
        </is>
      </c>
      <c r="I3239" s="12" t="inlineStr">
        <is>
          <t>Instrumentation</t>
        </is>
      </c>
      <c r="J3239" s="12" t="inlineStr">
        <is>
          <t>Instrumentation PLTC / TC-ER 300 V, #18 twisted shielded pairs, overall shield</t>
        </is>
      </c>
      <c r="K3239" s="12" t="inlineStr">
        <is>
          <t>PLTC|24 pr|18</t>
        </is>
      </c>
      <c r="L3239" s="12" t="inlineStr">
        <is>
          <t>24 pr</t>
        </is>
      </c>
      <c r="M3239" s="12" t="inlineStr">
        <is>
          <t>18</t>
        </is>
      </c>
      <c r="N3239" s="12" t="n">
        <v>1</v>
      </c>
      <c r="O3239" s="12" t="n">
        <v>1</v>
      </c>
      <c r="P3239" s="12" t="n"/>
      <c r="Q3239" s="12" t="n"/>
      <c r="R3239" s="12" t="n"/>
      <c r="S3239" s="12" t="inlineStr">
        <is>
          <t>Duct bank</t>
        </is>
      </c>
      <c r="T3239" s="16" t="n">
        <v>183</v>
      </c>
      <c r="U3239" s="16" t="n">
        <v>105</v>
      </c>
      <c r="V3239" s="16">
        <f>ROUNDUP((T3239+U3239+2*'Read Me'!$B$13)*(1+'Read Me'!$B$12),-1)</f>
        <v/>
      </c>
      <c r="W3239" s="16">
        <f>V3239*N3239*O3239</f>
        <v/>
      </c>
      <c r="X3239" s="12">
        <f>IF(LEFT(I3239,2)="MV",2*N3239*IF(L3239="1/C",O3239,1),0)</f>
        <v/>
      </c>
      <c r="Y3239" s="12">
        <f>IF(OR(LEFT(K3239,4)="LVAX",LEFT(K3239,6)="MV15AX",LEFT(K3239,4)="CTAX",LEFT(K3239,2)="W|"),2*N3239*O3239,0)</f>
        <v/>
      </c>
      <c r="Z3239" s="12" t="inlineStr"/>
      <c r="AA3239" s="12">
        <f>N3239*O3239</f>
        <v/>
      </c>
    </row>
    <row r="3240">
      <c r="A3240" s="12" t="inlineStr">
        <is>
          <t>G-I-0109</t>
        </is>
      </c>
      <c r="B3240" s="12" t="inlineStr">
        <is>
          <t>G</t>
        </is>
      </c>
      <c r="C3240" s="12" t="inlineStr">
        <is>
          <t>Carbon capture</t>
        </is>
      </c>
      <c r="D3240" s="12" t="inlineStr">
        <is>
          <t>Analog instrument to JB JB-CO2 compression 3 -AI02: 20 x 1 pr (field cables)</t>
        </is>
      </c>
      <c r="E3240" s="12" t="inlineStr"/>
      <c r="F3240" s="12" t="inlineStr">
        <is>
          <t>CO2 compression 3 x ~19 MW + dehydration</t>
        </is>
      </c>
      <c r="G3240" s="12" t="inlineStr">
        <is>
          <t>JB-CO2 compression 3 -AI02</t>
        </is>
      </c>
      <c r="H3240" s="12" t="inlineStr">
        <is>
          <t>CO2 compression 3 x ~19 MW + dehydration</t>
        </is>
      </c>
      <c r="I3240" s="12" t="inlineStr">
        <is>
          <t>Instrumentation</t>
        </is>
      </c>
      <c r="J3240" s="12" t="inlineStr">
        <is>
          <t>Instrumentation PLTC / TC-ER 300 V, #18 twisted shielded pairs, overall shield</t>
        </is>
      </c>
      <c r="K3240" s="12" t="inlineStr">
        <is>
          <t>PLTC|1 pr|16</t>
        </is>
      </c>
      <c r="L3240" s="12" t="inlineStr">
        <is>
          <t>1 pr</t>
        </is>
      </c>
      <c r="M3240" s="12" t="inlineStr">
        <is>
          <t>16</t>
        </is>
      </c>
      <c r="N3240" s="12" t="n">
        <v>20</v>
      </c>
      <c r="O3240" s="12" t="n">
        <v>1</v>
      </c>
      <c r="P3240" s="12" t="n"/>
      <c r="Q3240" s="12" t="n"/>
      <c r="R3240" s="12" t="n"/>
      <c r="S3240" s="12" t="inlineStr">
        <is>
          <t>Tray / conduit</t>
        </is>
      </c>
      <c r="T3240" s="16" t="n">
        <v>159</v>
      </c>
      <c r="U3240" s="16" t="n">
        <v>10</v>
      </c>
      <c r="V3240" s="16">
        <f>ROUNDUP((T3240+U3240+2*'Read Me'!$B$13)*(1+'Read Me'!$B$12),-1)</f>
        <v/>
      </c>
      <c r="W3240" s="16">
        <f>V3240*N3240*O3240</f>
        <v/>
      </c>
      <c r="X3240" s="12">
        <f>IF(LEFT(I3240,2)="MV",2*N3240*IF(L3240="1/C",O3240,1),0)</f>
        <v/>
      </c>
      <c r="Y3240" s="12">
        <f>IF(OR(LEFT(K3240,4)="LVAX",LEFT(K3240,6)="MV15AX",LEFT(K3240,4)="CTAX",LEFT(K3240,2)="W|"),2*N3240*O3240,0)</f>
        <v/>
      </c>
      <c r="Z3240" s="12" t="inlineStr">
        <is>
          <t>device-to-JB field wiring, one cable per device</t>
        </is>
      </c>
      <c r="AA3240" s="12">
        <f>N3240*O3240</f>
        <v/>
      </c>
    </row>
    <row r="3241">
      <c r="A3241" s="12" t="inlineStr">
        <is>
          <t>G-I-0110</t>
        </is>
      </c>
      <c r="B3241" s="12" t="inlineStr">
        <is>
          <t>G</t>
        </is>
      </c>
      <c r="C3241" s="12" t="inlineStr">
        <is>
          <t>Carbon capture</t>
        </is>
      </c>
      <c r="D3241" s="12" t="inlineStr">
        <is>
          <t>Home run JB-CO2 compression 3 -AI02 to the control / marshalling room</t>
        </is>
      </c>
      <c r="E3241" s="12" t="inlineStr"/>
      <c r="F3241" s="12" t="inlineStr">
        <is>
          <t>CCS F&amp;G / control</t>
        </is>
      </c>
      <c r="G3241" s="12" t="inlineStr">
        <is>
          <t>JB-CO2 compression 3 -AI02</t>
        </is>
      </c>
      <c r="H3241" s="12" t="inlineStr">
        <is>
          <t>CO2 compression 3 x ~19 MW + dehydration</t>
        </is>
      </c>
      <c r="I3241" s="12" t="inlineStr">
        <is>
          <t>Instrumentation</t>
        </is>
      </c>
      <c r="J3241" s="12" t="inlineStr">
        <is>
          <t>Instrumentation PLTC / TC-ER 300 V, #18 twisted shielded pairs, overall shield</t>
        </is>
      </c>
      <c r="K3241" s="12" t="inlineStr">
        <is>
          <t>PLTC|24 pr|18</t>
        </is>
      </c>
      <c r="L3241" s="12" t="inlineStr">
        <is>
          <t>24 pr</t>
        </is>
      </c>
      <c r="M3241" s="12" t="inlineStr">
        <is>
          <t>18</t>
        </is>
      </c>
      <c r="N3241" s="12" t="n">
        <v>1</v>
      </c>
      <c r="O3241" s="12" t="n">
        <v>1</v>
      </c>
      <c r="P3241" s="12" t="n"/>
      <c r="Q3241" s="12" t="n"/>
      <c r="R3241" s="12" t="n"/>
      <c r="S3241" s="12" t="inlineStr">
        <is>
          <t>Duct bank</t>
        </is>
      </c>
      <c r="T3241" s="16" t="n">
        <v>183</v>
      </c>
      <c r="U3241" s="16" t="n">
        <v>105</v>
      </c>
      <c r="V3241" s="16">
        <f>ROUNDUP((T3241+U3241+2*'Read Me'!$B$13)*(1+'Read Me'!$B$12),-1)</f>
        <v/>
      </c>
      <c r="W3241" s="16">
        <f>V3241*N3241*O3241</f>
        <v/>
      </c>
      <c r="X3241" s="12">
        <f>IF(LEFT(I3241,2)="MV",2*N3241*IF(L3241="1/C",O3241,1),0)</f>
        <v/>
      </c>
      <c r="Y3241" s="12">
        <f>IF(OR(LEFT(K3241,4)="LVAX",LEFT(K3241,6)="MV15AX",LEFT(K3241,4)="CTAX",LEFT(K3241,2)="W|"),2*N3241*O3241,0)</f>
        <v/>
      </c>
      <c r="Z3241" s="12" t="inlineStr"/>
      <c r="AA3241" s="12">
        <f>N3241*O3241</f>
        <v/>
      </c>
    </row>
    <row r="3242">
      <c r="A3242" s="12" t="inlineStr">
        <is>
          <t>G-I-0111</t>
        </is>
      </c>
      <c r="B3242" s="12" t="inlineStr">
        <is>
          <t>G</t>
        </is>
      </c>
      <c r="C3242" s="12" t="inlineStr">
        <is>
          <t>Carbon capture</t>
        </is>
      </c>
      <c r="D3242" s="12" t="inlineStr">
        <is>
          <t>Analog instrument to JB JB-CO2 compression 3 -AI03: 20 x 1 pr (field cables)</t>
        </is>
      </c>
      <c r="E3242" s="12" t="inlineStr"/>
      <c r="F3242" s="12" t="inlineStr">
        <is>
          <t>CO2 compression 3 x ~19 MW + dehydration</t>
        </is>
      </c>
      <c r="G3242" s="12" t="inlineStr">
        <is>
          <t>JB-CO2 compression 3 -AI03</t>
        </is>
      </c>
      <c r="H3242" s="12" t="inlineStr">
        <is>
          <t>CO2 compression 3 x ~19 MW + dehydration</t>
        </is>
      </c>
      <c r="I3242" s="12" t="inlineStr">
        <is>
          <t>Instrumentation</t>
        </is>
      </c>
      <c r="J3242" s="12" t="inlineStr">
        <is>
          <t>Instrumentation PLTC / TC-ER 300 V, #18 twisted shielded pairs, overall shield</t>
        </is>
      </c>
      <c r="K3242" s="12" t="inlineStr">
        <is>
          <t>PLTC|1 pr|16</t>
        </is>
      </c>
      <c r="L3242" s="12" t="inlineStr">
        <is>
          <t>1 pr</t>
        </is>
      </c>
      <c r="M3242" s="12" t="inlineStr">
        <is>
          <t>16</t>
        </is>
      </c>
      <c r="N3242" s="12" t="n">
        <v>20</v>
      </c>
      <c r="O3242" s="12" t="n">
        <v>1</v>
      </c>
      <c r="P3242" s="12" t="n"/>
      <c r="Q3242" s="12" t="n"/>
      <c r="R3242" s="12" t="n"/>
      <c r="S3242" s="12" t="inlineStr">
        <is>
          <t>Tray / conduit</t>
        </is>
      </c>
      <c r="T3242" s="16" t="n">
        <v>159</v>
      </c>
      <c r="U3242" s="16" t="n">
        <v>10</v>
      </c>
      <c r="V3242" s="16">
        <f>ROUNDUP((T3242+U3242+2*'Read Me'!$B$13)*(1+'Read Me'!$B$12),-1)</f>
        <v/>
      </c>
      <c r="W3242" s="16">
        <f>V3242*N3242*O3242</f>
        <v/>
      </c>
      <c r="X3242" s="12">
        <f>IF(LEFT(I3242,2)="MV",2*N3242*IF(L3242="1/C",O3242,1),0)</f>
        <v/>
      </c>
      <c r="Y3242" s="12">
        <f>IF(OR(LEFT(K3242,4)="LVAX",LEFT(K3242,6)="MV15AX",LEFT(K3242,4)="CTAX",LEFT(K3242,2)="W|"),2*N3242*O3242,0)</f>
        <v/>
      </c>
      <c r="Z3242" s="12" t="inlineStr">
        <is>
          <t>device-to-JB field wiring, one cable per device</t>
        </is>
      </c>
      <c r="AA3242" s="12">
        <f>N3242*O3242</f>
        <v/>
      </c>
    </row>
    <row r="3243">
      <c r="A3243" s="12" t="inlineStr">
        <is>
          <t>G-I-0112</t>
        </is>
      </c>
      <c r="B3243" s="12" t="inlineStr">
        <is>
          <t>G</t>
        </is>
      </c>
      <c r="C3243" s="12" t="inlineStr">
        <is>
          <t>Carbon capture</t>
        </is>
      </c>
      <c r="D3243" s="12" t="inlineStr">
        <is>
          <t>Home run JB-CO2 compression 3 -AI03 to the control / marshalling room</t>
        </is>
      </c>
      <c r="E3243" s="12" t="inlineStr"/>
      <c r="F3243" s="12" t="inlineStr">
        <is>
          <t>CCS F&amp;G / control</t>
        </is>
      </c>
      <c r="G3243" s="12" t="inlineStr">
        <is>
          <t>JB-CO2 compression 3 -AI03</t>
        </is>
      </c>
      <c r="H3243" s="12" t="inlineStr">
        <is>
          <t>CO2 compression 3 x ~19 MW + dehydration</t>
        </is>
      </c>
      <c r="I3243" s="12" t="inlineStr">
        <is>
          <t>Instrumentation</t>
        </is>
      </c>
      <c r="J3243" s="12" t="inlineStr">
        <is>
          <t>Instrumentation PLTC / TC-ER 300 V, #18 twisted shielded pairs, overall shield</t>
        </is>
      </c>
      <c r="K3243" s="12" t="inlineStr">
        <is>
          <t>PLTC|24 pr|18</t>
        </is>
      </c>
      <c r="L3243" s="12" t="inlineStr">
        <is>
          <t>24 pr</t>
        </is>
      </c>
      <c r="M3243" s="12" t="inlineStr">
        <is>
          <t>18</t>
        </is>
      </c>
      <c r="N3243" s="12" t="n">
        <v>1</v>
      </c>
      <c r="O3243" s="12" t="n">
        <v>1</v>
      </c>
      <c r="P3243" s="12" t="n"/>
      <c r="Q3243" s="12" t="n"/>
      <c r="R3243" s="12" t="n"/>
      <c r="S3243" s="12" t="inlineStr">
        <is>
          <t>Duct bank</t>
        </is>
      </c>
      <c r="T3243" s="16" t="n">
        <v>183</v>
      </c>
      <c r="U3243" s="16" t="n">
        <v>105</v>
      </c>
      <c r="V3243" s="16">
        <f>ROUNDUP((T3243+U3243+2*'Read Me'!$B$13)*(1+'Read Me'!$B$12),-1)</f>
        <v/>
      </c>
      <c r="W3243" s="16">
        <f>V3243*N3243*O3243</f>
        <v/>
      </c>
      <c r="X3243" s="12">
        <f>IF(LEFT(I3243,2)="MV",2*N3243*IF(L3243="1/C",O3243,1),0)</f>
        <v/>
      </c>
      <c r="Y3243" s="12">
        <f>IF(OR(LEFT(K3243,4)="LVAX",LEFT(K3243,6)="MV15AX",LEFT(K3243,4)="CTAX",LEFT(K3243,2)="W|"),2*N3243*O3243,0)</f>
        <v/>
      </c>
      <c r="Z3243" s="12" t="inlineStr"/>
      <c r="AA3243" s="12">
        <f>N3243*O3243</f>
        <v/>
      </c>
    </row>
    <row r="3244">
      <c r="A3244" s="12" t="inlineStr">
        <is>
          <t>G-I-0113</t>
        </is>
      </c>
      <c r="B3244" s="12" t="inlineStr">
        <is>
          <t>G</t>
        </is>
      </c>
      <c r="C3244" s="12" t="inlineStr">
        <is>
          <t>Carbon capture</t>
        </is>
      </c>
      <c r="D3244" s="12" t="inlineStr">
        <is>
          <t>Analog instrument to JB JB-CO2 compression 3 -AI04: 20 x 1 pr (field cables)</t>
        </is>
      </c>
      <c r="E3244" s="12" t="inlineStr"/>
      <c r="F3244" s="12" t="inlineStr">
        <is>
          <t>CO2 compression 3 x ~19 MW + dehydration</t>
        </is>
      </c>
      <c r="G3244" s="12" t="inlineStr">
        <is>
          <t>JB-CO2 compression 3 -AI04</t>
        </is>
      </c>
      <c r="H3244" s="12" t="inlineStr">
        <is>
          <t>CO2 compression 3 x ~19 MW + dehydration</t>
        </is>
      </c>
      <c r="I3244" s="12" t="inlineStr">
        <is>
          <t>Instrumentation</t>
        </is>
      </c>
      <c r="J3244" s="12" t="inlineStr">
        <is>
          <t>Instrumentation PLTC / TC-ER 300 V, #18 twisted shielded pairs, overall shield</t>
        </is>
      </c>
      <c r="K3244" s="12" t="inlineStr">
        <is>
          <t>PLTC|1 pr|16</t>
        </is>
      </c>
      <c r="L3244" s="12" t="inlineStr">
        <is>
          <t>1 pr</t>
        </is>
      </c>
      <c r="M3244" s="12" t="inlineStr">
        <is>
          <t>16</t>
        </is>
      </c>
      <c r="N3244" s="12" t="n">
        <v>20</v>
      </c>
      <c r="O3244" s="12" t="n">
        <v>1</v>
      </c>
      <c r="P3244" s="12" t="n"/>
      <c r="Q3244" s="12" t="n"/>
      <c r="R3244" s="12" t="n"/>
      <c r="S3244" s="12" t="inlineStr">
        <is>
          <t>Tray / conduit</t>
        </is>
      </c>
      <c r="T3244" s="16" t="n">
        <v>159</v>
      </c>
      <c r="U3244" s="16" t="n">
        <v>10</v>
      </c>
      <c r="V3244" s="16">
        <f>ROUNDUP((T3244+U3244+2*'Read Me'!$B$13)*(1+'Read Me'!$B$12),-1)</f>
        <v/>
      </c>
      <c r="W3244" s="16">
        <f>V3244*N3244*O3244</f>
        <v/>
      </c>
      <c r="X3244" s="12">
        <f>IF(LEFT(I3244,2)="MV",2*N3244*IF(L3244="1/C",O3244,1),0)</f>
        <v/>
      </c>
      <c r="Y3244" s="12">
        <f>IF(OR(LEFT(K3244,4)="LVAX",LEFT(K3244,6)="MV15AX",LEFT(K3244,4)="CTAX",LEFT(K3244,2)="W|"),2*N3244*O3244,0)</f>
        <v/>
      </c>
      <c r="Z3244" s="12" t="inlineStr">
        <is>
          <t>device-to-JB field wiring, one cable per device</t>
        </is>
      </c>
      <c r="AA3244" s="12">
        <f>N3244*O3244</f>
        <v/>
      </c>
    </row>
    <row r="3245">
      <c r="A3245" s="12" t="inlineStr">
        <is>
          <t>G-I-0114</t>
        </is>
      </c>
      <c r="B3245" s="12" t="inlineStr">
        <is>
          <t>G</t>
        </is>
      </c>
      <c r="C3245" s="12" t="inlineStr">
        <is>
          <t>Carbon capture</t>
        </is>
      </c>
      <c r="D3245" s="12" t="inlineStr">
        <is>
          <t>Home run JB-CO2 compression 3 -AI04 to the control / marshalling room</t>
        </is>
      </c>
      <c r="E3245" s="12" t="inlineStr"/>
      <c r="F3245" s="12" t="inlineStr">
        <is>
          <t>CCS F&amp;G / control</t>
        </is>
      </c>
      <c r="G3245" s="12" t="inlineStr">
        <is>
          <t>JB-CO2 compression 3 -AI04</t>
        </is>
      </c>
      <c r="H3245" s="12" t="inlineStr">
        <is>
          <t>CO2 compression 3 x ~19 MW + dehydration</t>
        </is>
      </c>
      <c r="I3245" s="12" t="inlineStr">
        <is>
          <t>Instrumentation</t>
        </is>
      </c>
      <c r="J3245" s="12" t="inlineStr">
        <is>
          <t>Instrumentation PLTC / TC-ER 300 V, #18 twisted shielded pairs, overall shield</t>
        </is>
      </c>
      <c r="K3245" s="12" t="inlineStr">
        <is>
          <t>PLTC|24 pr|18</t>
        </is>
      </c>
      <c r="L3245" s="12" t="inlineStr">
        <is>
          <t>24 pr</t>
        </is>
      </c>
      <c r="M3245" s="12" t="inlineStr">
        <is>
          <t>18</t>
        </is>
      </c>
      <c r="N3245" s="12" t="n">
        <v>1</v>
      </c>
      <c r="O3245" s="12" t="n">
        <v>1</v>
      </c>
      <c r="P3245" s="12" t="n"/>
      <c r="Q3245" s="12" t="n"/>
      <c r="R3245" s="12" t="n"/>
      <c r="S3245" s="12" t="inlineStr">
        <is>
          <t>Duct bank</t>
        </is>
      </c>
      <c r="T3245" s="16" t="n">
        <v>183</v>
      </c>
      <c r="U3245" s="16" t="n">
        <v>105</v>
      </c>
      <c r="V3245" s="16">
        <f>ROUNDUP((T3245+U3245+2*'Read Me'!$B$13)*(1+'Read Me'!$B$12),-1)</f>
        <v/>
      </c>
      <c r="W3245" s="16">
        <f>V3245*N3245*O3245</f>
        <v/>
      </c>
      <c r="X3245" s="12">
        <f>IF(LEFT(I3245,2)="MV",2*N3245*IF(L3245="1/C",O3245,1),0)</f>
        <v/>
      </c>
      <c r="Y3245" s="12">
        <f>IF(OR(LEFT(K3245,4)="LVAX",LEFT(K3245,6)="MV15AX",LEFT(K3245,4)="CTAX",LEFT(K3245,2)="W|"),2*N3245*O3245,0)</f>
        <v/>
      </c>
      <c r="Z3245" s="12" t="inlineStr"/>
      <c r="AA3245" s="12">
        <f>N3245*O3245</f>
        <v/>
      </c>
    </row>
    <row r="3246">
      <c r="A3246" s="12" t="inlineStr">
        <is>
          <t>G-I-0115</t>
        </is>
      </c>
      <c r="B3246" s="12" t="inlineStr">
        <is>
          <t>G</t>
        </is>
      </c>
      <c r="C3246" s="12" t="inlineStr">
        <is>
          <t>Carbon capture</t>
        </is>
      </c>
      <c r="D3246" s="12" t="inlineStr">
        <is>
          <t>Analog instrument to JB JB-CO2 compression 3 -AI05: 20 x 1 pr (field cables)</t>
        </is>
      </c>
      <c r="E3246" s="12" t="inlineStr"/>
      <c r="F3246" s="12" t="inlineStr">
        <is>
          <t>CO2 compression 3 x ~19 MW + dehydration</t>
        </is>
      </c>
      <c r="G3246" s="12" t="inlineStr">
        <is>
          <t>JB-CO2 compression 3 -AI05</t>
        </is>
      </c>
      <c r="H3246" s="12" t="inlineStr">
        <is>
          <t>CO2 compression 3 x ~19 MW + dehydration</t>
        </is>
      </c>
      <c r="I3246" s="12" t="inlineStr">
        <is>
          <t>Instrumentation</t>
        </is>
      </c>
      <c r="J3246" s="12" t="inlineStr">
        <is>
          <t>Instrumentation PLTC / TC-ER 300 V, #18 twisted shielded pairs, overall shield</t>
        </is>
      </c>
      <c r="K3246" s="12" t="inlineStr">
        <is>
          <t>PLTC|1 pr|16</t>
        </is>
      </c>
      <c r="L3246" s="12" t="inlineStr">
        <is>
          <t>1 pr</t>
        </is>
      </c>
      <c r="M3246" s="12" t="inlineStr">
        <is>
          <t>16</t>
        </is>
      </c>
      <c r="N3246" s="12" t="n">
        <v>20</v>
      </c>
      <c r="O3246" s="12" t="n">
        <v>1</v>
      </c>
      <c r="P3246" s="12" t="n"/>
      <c r="Q3246" s="12" t="n"/>
      <c r="R3246" s="12" t="n"/>
      <c r="S3246" s="12" t="inlineStr">
        <is>
          <t>Tray / conduit</t>
        </is>
      </c>
      <c r="T3246" s="16" t="n">
        <v>159</v>
      </c>
      <c r="U3246" s="16" t="n">
        <v>10</v>
      </c>
      <c r="V3246" s="16">
        <f>ROUNDUP((T3246+U3246+2*'Read Me'!$B$13)*(1+'Read Me'!$B$12),-1)</f>
        <v/>
      </c>
      <c r="W3246" s="16">
        <f>V3246*N3246*O3246</f>
        <v/>
      </c>
      <c r="X3246" s="12">
        <f>IF(LEFT(I3246,2)="MV",2*N3246*IF(L3246="1/C",O3246,1),0)</f>
        <v/>
      </c>
      <c r="Y3246" s="12">
        <f>IF(OR(LEFT(K3246,4)="LVAX",LEFT(K3246,6)="MV15AX",LEFT(K3246,4)="CTAX",LEFT(K3246,2)="W|"),2*N3246*O3246,0)</f>
        <v/>
      </c>
      <c r="Z3246" s="12" t="inlineStr">
        <is>
          <t>device-to-JB field wiring, one cable per device</t>
        </is>
      </c>
      <c r="AA3246" s="12">
        <f>N3246*O3246</f>
        <v/>
      </c>
    </row>
    <row r="3247">
      <c r="A3247" s="12" t="inlineStr">
        <is>
          <t>G-I-0116</t>
        </is>
      </c>
      <c r="B3247" s="12" t="inlineStr">
        <is>
          <t>G</t>
        </is>
      </c>
      <c r="C3247" s="12" t="inlineStr">
        <is>
          <t>Carbon capture</t>
        </is>
      </c>
      <c r="D3247" s="12" t="inlineStr">
        <is>
          <t>Home run JB-CO2 compression 3 -AI05 to the control / marshalling room</t>
        </is>
      </c>
      <c r="E3247" s="12" t="inlineStr"/>
      <c r="F3247" s="12" t="inlineStr">
        <is>
          <t>CCS F&amp;G / control</t>
        </is>
      </c>
      <c r="G3247" s="12" t="inlineStr">
        <is>
          <t>JB-CO2 compression 3 -AI05</t>
        </is>
      </c>
      <c r="H3247" s="12" t="inlineStr">
        <is>
          <t>CO2 compression 3 x ~19 MW + dehydration</t>
        </is>
      </c>
      <c r="I3247" s="12" t="inlineStr">
        <is>
          <t>Instrumentation</t>
        </is>
      </c>
      <c r="J3247" s="12" t="inlineStr">
        <is>
          <t>Instrumentation PLTC / TC-ER 300 V, #18 twisted shielded pairs, overall shield</t>
        </is>
      </c>
      <c r="K3247" s="12" t="inlineStr">
        <is>
          <t>PLTC|24 pr|18</t>
        </is>
      </c>
      <c r="L3247" s="12" t="inlineStr">
        <is>
          <t>24 pr</t>
        </is>
      </c>
      <c r="M3247" s="12" t="inlineStr">
        <is>
          <t>18</t>
        </is>
      </c>
      <c r="N3247" s="12" t="n">
        <v>1</v>
      </c>
      <c r="O3247" s="12" t="n">
        <v>1</v>
      </c>
      <c r="P3247" s="12" t="n"/>
      <c r="Q3247" s="12" t="n"/>
      <c r="R3247" s="12" t="n"/>
      <c r="S3247" s="12" t="inlineStr">
        <is>
          <t>Duct bank</t>
        </is>
      </c>
      <c r="T3247" s="16" t="n">
        <v>183</v>
      </c>
      <c r="U3247" s="16" t="n">
        <v>105</v>
      </c>
      <c r="V3247" s="16">
        <f>ROUNDUP((T3247+U3247+2*'Read Me'!$B$13)*(1+'Read Me'!$B$12),-1)</f>
        <v/>
      </c>
      <c r="W3247" s="16">
        <f>V3247*N3247*O3247</f>
        <v/>
      </c>
      <c r="X3247" s="12">
        <f>IF(LEFT(I3247,2)="MV",2*N3247*IF(L3247="1/C",O3247,1),0)</f>
        <v/>
      </c>
      <c r="Y3247" s="12">
        <f>IF(OR(LEFT(K3247,4)="LVAX",LEFT(K3247,6)="MV15AX",LEFT(K3247,4)="CTAX",LEFT(K3247,2)="W|"),2*N3247*O3247,0)</f>
        <v/>
      </c>
      <c r="Z3247" s="12" t="inlineStr"/>
      <c r="AA3247" s="12">
        <f>N3247*O3247</f>
        <v/>
      </c>
    </row>
    <row r="3248">
      <c r="A3248" s="12" t="inlineStr">
        <is>
          <t>G-I-0117</t>
        </is>
      </c>
      <c r="B3248" s="12" t="inlineStr">
        <is>
          <t>G</t>
        </is>
      </c>
      <c r="C3248" s="12" t="inlineStr">
        <is>
          <t>Carbon capture</t>
        </is>
      </c>
      <c r="D3248" s="12" t="inlineStr">
        <is>
          <t>Analog instrument to JB JB-CO2 compression 3 -AI06: 20 x 1 pr (field cables)</t>
        </is>
      </c>
      <c r="E3248" s="12" t="inlineStr"/>
      <c r="F3248" s="12" t="inlineStr">
        <is>
          <t>CO2 compression 3 x ~19 MW + dehydration</t>
        </is>
      </c>
      <c r="G3248" s="12" t="inlineStr">
        <is>
          <t>JB-CO2 compression 3 -AI06</t>
        </is>
      </c>
      <c r="H3248" s="12" t="inlineStr">
        <is>
          <t>CO2 compression 3 x ~19 MW + dehydration</t>
        </is>
      </c>
      <c r="I3248" s="12" t="inlineStr">
        <is>
          <t>Instrumentation</t>
        </is>
      </c>
      <c r="J3248" s="12" t="inlineStr">
        <is>
          <t>Instrumentation PLTC / TC-ER 300 V, #18 twisted shielded pairs, overall shield</t>
        </is>
      </c>
      <c r="K3248" s="12" t="inlineStr">
        <is>
          <t>PLTC|1 pr|16</t>
        </is>
      </c>
      <c r="L3248" s="12" t="inlineStr">
        <is>
          <t>1 pr</t>
        </is>
      </c>
      <c r="M3248" s="12" t="inlineStr">
        <is>
          <t>16</t>
        </is>
      </c>
      <c r="N3248" s="12" t="n">
        <v>20</v>
      </c>
      <c r="O3248" s="12" t="n">
        <v>1</v>
      </c>
      <c r="P3248" s="12" t="n"/>
      <c r="Q3248" s="12" t="n"/>
      <c r="R3248" s="12" t="n"/>
      <c r="S3248" s="12" t="inlineStr">
        <is>
          <t>Tray / conduit</t>
        </is>
      </c>
      <c r="T3248" s="16" t="n">
        <v>159</v>
      </c>
      <c r="U3248" s="16" t="n">
        <v>10</v>
      </c>
      <c r="V3248" s="16">
        <f>ROUNDUP((T3248+U3248+2*'Read Me'!$B$13)*(1+'Read Me'!$B$12),-1)</f>
        <v/>
      </c>
      <c r="W3248" s="16">
        <f>V3248*N3248*O3248</f>
        <v/>
      </c>
      <c r="X3248" s="12">
        <f>IF(LEFT(I3248,2)="MV",2*N3248*IF(L3248="1/C",O3248,1),0)</f>
        <v/>
      </c>
      <c r="Y3248" s="12">
        <f>IF(OR(LEFT(K3248,4)="LVAX",LEFT(K3248,6)="MV15AX",LEFT(K3248,4)="CTAX",LEFT(K3248,2)="W|"),2*N3248*O3248,0)</f>
        <v/>
      </c>
      <c r="Z3248" s="12" t="inlineStr">
        <is>
          <t>device-to-JB field wiring, one cable per device</t>
        </is>
      </c>
      <c r="AA3248" s="12">
        <f>N3248*O3248</f>
        <v/>
      </c>
    </row>
    <row r="3249">
      <c r="A3249" s="12" t="inlineStr">
        <is>
          <t>G-I-0118</t>
        </is>
      </c>
      <c r="B3249" s="12" t="inlineStr">
        <is>
          <t>G</t>
        </is>
      </c>
      <c r="C3249" s="12" t="inlineStr">
        <is>
          <t>Carbon capture</t>
        </is>
      </c>
      <c r="D3249" s="12" t="inlineStr">
        <is>
          <t>Home run JB-CO2 compression 3 -AI06 to the control / marshalling room</t>
        </is>
      </c>
      <c r="E3249" s="12" t="inlineStr"/>
      <c r="F3249" s="12" t="inlineStr">
        <is>
          <t>CCS F&amp;G / control</t>
        </is>
      </c>
      <c r="G3249" s="12" t="inlineStr">
        <is>
          <t>JB-CO2 compression 3 -AI06</t>
        </is>
      </c>
      <c r="H3249" s="12" t="inlineStr">
        <is>
          <t>CO2 compression 3 x ~19 MW + dehydration</t>
        </is>
      </c>
      <c r="I3249" s="12" t="inlineStr">
        <is>
          <t>Instrumentation</t>
        </is>
      </c>
      <c r="J3249" s="12" t="inlineStr">
        <is>
          <t>Instrumentation PLTC / TC-ER 300 V, #18 twisted shielded pairs, overall shield</t>
        </is>
      </c>
      <c r="K3249" s="12" t="inlineStr">
        <is>
          <t>PLTC|24 pr|18</t>
        </is>
      </c>
      <c r="L3249" s="12" t="inlineStr">
        <is>
          <t>24 pr</t>
        </is>
      </c>
      <c r="M3249" s="12" t="inlineStr">
        <is>
          <t>18</t>
        </is>
      </c>
      <c r="N3249" s="12" t="n">
        <v>1</v>
      </c>
      <c r="O3249" s="12" t="n">
        <v>1</v>
      </c>
      <c r="P3249" s="12" t="n"/>
      <c r="Q3249" s="12" t="n"/>
      <c r="R3249" s="12" t="n"/>
      <c r="S3249" s="12" t="inlineStr">
        <is>
          <t>Duct bank</t>
        </is>
      </c>
      <c r="T3249" s="16" t="n">
        <v>183</v>
      </c>
      <c r="U3249" s="16" t="n">
        <v>105</v>
      </c>
      <c r="V3249" s="16">
        <f>ROUNDUP((T3249+U3249+2*'Read Me'!$B$13)*(1+'Read Me'!$B$12),-1)</f>
        <v/>
      </c>
      <c r="W3249" s="16">
        <f>V3249*N3249*O3249</f>
        <v/>
      </c>
      <c r="X3249" s="12">
        <f>IF(LEFT(I3249,2)="MV",2*N3249*IF(L3249="1/C",O3249,1),0)</f>
        <v/>
      </c>
      <c r="Y3249" s="12">
        <f>IF(OR(LEFT(K3249,4)="LVAX",LEFT(K3249,6)="MV15AX",LEFT(K3249,4)="CTAX",LEFT(K3249,2)="W|"),2*N3249*O3249,0)</f>
        <v/>
      </c>
      <c r="Z3249" s="12" t="inlineStr"/>
      <c r="AA3249" s="12">
        <f>N3249*O3249</f>
        <v/>
      </c>
    </row>
    <row r="3250">
      <c r="A3250" s="12" t="inlineStr">
        <is>
          <t>G-I-0119</t>
        </is>
      </c>
      <c r="B3250" s="12" t="inlineStr">
        <is>
          <t>G</t>
        </is>
      </c>
      <c r="C3250" s="12" t="inlineStr">
        <is>
          <t>Carbon capture</t>
        </is>
      </c>
      <c r="D3250" s="12" t="inlineStr">
        <is>
          <t>Analog instrument to JB JB-CO2 compression 3 -AI07: 20 x 1 pr (field cables)</t>
        </is>
      </c>
      <c r="E3250" s="12" t="inlineStr"/>
      <c r="F3250" s="12" t="inlineStr">
        <is>
          <t>CO2 compression 3 x ~19 MW + dehydration</t>
        </is>
      </c>
      <c r="G3250" s="12" t="inlineStr">
        <is>
          <t>JB-CO2 compression 3 -AI07</t>
        </is>
      </c>
      <c r="H3250" s="12" t="inlineStr">
        <is>
          <t>CO2 compression 3 x ~19 MW + dehydration</t>
        </is>
      </c>
      <c r="I3250" s="12" t="inlineStr">
        <is>
          <t>Instrumentation</t>
        </is>
      </c>
      <c r="J3250" s="12" t="inlineStr">
        <is>
          <t>Instrumentation PLTC / TC-ER 300 V, #18 twisted shielded pairs, overall shield</t>
        </is>
      </c>
      <c r="K3250" s="12" t="inlineStr">
        <is>
          <t>PLTC|1 pr|16</t>
        </is>
      </c>
      <c r="L3250" s="12" t="inlineStr">
        <is>
          <t>1 pr</t>
        </is>
      </c>
      <c r="M3250" s="12" t="inlineStr">
        <is>
          <t>16</t>
        </is>
      </c>
      <c r="N3250" s="12" t="n">
        <v>20</v>
      </c>
      <c r="O3250" s="12" t="n">
        <v>1</v>
      </c>
      <c r="P3250" s="12" t="n"/>
      <c r="Q3250" s="12" t="n"/>
      <c r="R3250" s="12" t="n"/>
      <c r="S3250" s="12" t="inlineStr">
        <is>
          <t>Tray / conduit</t>
        </is>
      </c>
      <c r="T3250" s="16" t="n">
        <v>159</v>
      </c>
      <c r="U3250" s="16" t="n">
        <v>10</v>
      </c>
      <c r="V3250" s="16">
        <f>ROUNDUP((T3250+U3250+2*'Read Me'!$B$13)*(1+'Read Me'!$B$12),-1)</f>
        <v/>
      </c>
      <c r="W3250" s="16">
        <f>V3250*N3250*O3250</f>
        <v/>
      </c>
      <c r="X3250" s="12">
        <f>IF(LEFT(I3250,2)="MV",2*N3250*IF(L3250="1/C",O3250,1),0)</f>
        <v/>
      </c>
      <c r="Y3250" s="12">
        <f>IF(OR(LEFT(K3250,4)="LVAX",LEFT(K3250,6)="MV15AX",LEFT(K3250,4)="CTAX",LEFT(K3250,2)="W|"),2*N3250*O3250,0)</f>
        <v/>
      </c>
      <c r="Z3250" s="12" t="inlineStr">
        <is>
          <t>device-to-JB field wiring, one cable per device</t>
        </is>
      </c>
      <c r="AA3250" s="12">
        <f>N3250*O3250</f>
        <v/>
      </c>
    </row>
    <row r="3251">
      <c r="A3251" s="12" t="inlineStr">
        <is>
          <t>G-I-0120</t>
        </is>
      </c>
      <c r="B3251" s="12" t="inlineStr">
        <is>
          <t>G</t>
        </is>
      </c>
      <c r="C3251" s="12" t="inlineStr">
        <is>
          <t>Carbon capture</t>
        </is>
      </c>
      <c r="D3251" s="12" t="inlineStr">
        <is>
          <t>Home run JB-CO2 compression 3 -AI07 to the control / marshalling room</t>
        </is>
      </c>
      <c r="E3251" s="12" t="inlineStr"/>
      <c r="F3251" s="12" t="inlineStr">
        <is>
          <t>CCS F&amp;G / control</t>
        </is>
      </c>
      <c r="G3251" s="12" t="inlineStr">
        <is>
          <t>JB-CO2 compression 3 -AI07</t>
        </is>
      </c>
      <c r="H3251" s="12" t="inlineStr">
        <is>
          <t>CO2 compression 3 x ~19 MW + dehydration</t>
        </is>
      </c>
      <c r="I3251" s="12" t="inlineStr">
        <is>
          <t>Instrumentation</t>
        </is>
      </c>
      <c r="J3251" s="12" t="inlineStr">
        <is>
          <t>Instrumentation PLTC / TC-ER 300 V, #18 twisted shielded pairs, overall shield</t>
        </is>
      </c>
      <c r="K3251" s="12" t="inlineStr">
        <is>
          <t>PLTC|24 pr|18</t>
        </is>
      </c>
      <c r="L3251" s="12" t="inlineStr">
        <is>
          <t>24 pr</t>
        </is>
      </c>
      <c r="M3251" s="12" t="inlineStr">
        <is>
          <t>18</t>
        </is>
      </c>
      <c r="N3251" s="12" t="n">
        <v>1</v>
      </c>
      <c r="O3251" s="12" t="n">
        <v>1</v>
      </c>
      <c r="P3251" s="12" t="n"/>
      <c r="Q3251" s="12" t="n"/>
      <c r="R3251" s="12" t="n"/>
      <c r="S3251" s="12" t="inlineStr">
        <is>
          <t>Duct bank</t>
        </is>
      </c>
      <c r="T3251" s="16" t="n">
        <v>183</v>
      </c>
      <c r="U3251" s="16" t="n">
        <v>105</v>
      </c>
      <c r="V3251" s="16">
        <f>ROUNDUP((T3251+U3251+2*'Read Me'!$B$13)*(1+'Read Me'!$B$12),-1)</f>
        <v/>
      </c>
      <c r="W3251" s="16">
        <f>V3251*N3251*O3251</f>
        <v/>
      </c>
      <c r="X3251" s="12">
        <f>IF(LEFT(I3251,2)="MV",2*N3251*IF(L3251="1/C",O3251,1),0)</f>
        <v/>
      </c>
      <c r="Y3251" s="12">
        <f>IF(OR(LEFT(K3251,4)="LVAX",LEFT(K3251,6)="MV15AX",LEFT(K3251,4)="CTAX",LEFT(K3251,2)="W|"),2*N3251*O3251,0)</f>
        <v/>
      </c>
      <c r="Z3251" s="12" t="inlineStr"/>
      <c r="AA3251" s="12">
        <f>N3251*O3251</f>
        <v/>
      </c>
    </row>
    <row r="3252">
      <c r="A3252" s="12" t="inlineStr">
        <is>
          <t>G-I-0121</t>
        </is>
      </c>
      <c r="B3252" s="12" t="inlineStr">
        <is>
          <t>G</t>
        </is>
      </c>
      <c r="C3252" s="12" t="inlineStr">
        <is>
          <t>Carbon capture</t>
        </is>
      </c>
      <c r="D3252" s="12" t="inlineStr">
        <is>
          <t>Analog instrument to JB JB-CO2 compression 3 -AI08: 10 x 1 pr (field cables)</t>
        </is>
      </c>
      <c r="E3252" s="12" t="inlineStr"/>
      <c r="F3252" s="12" t="inlineStr">
        <is>
          <t>CO2 compression 3 x ~19 MW + dehydration</t>
        </is>
      </c>
      <c r="G3252" s="12" t="inlineStr">
        <is>
          <t>JB-CO2 compression 3 -AI08</t>
        </is>
      </c>
      <c r="H3252" s="12" t="inlineStr">
        <is>
          <t>CO2 compression 3 x ~19 MW + dehydration</t>
        </is>
      </c>
      <c r="I3252" s="12" t="inlineStr">
        <is>
          <t>Instrumentation</t>
        </is>
      </c>
      <c r="J3252" s="12" t="inlineStr">
        <is>
          <t>Instrumentation PLTC / TC-ER 300 V, #18 twisted shielded pairs, overall shield</t>
        </is>
      </c>
      <c r="K3252" s="12" t="inlineStr">
        <is>
          <t>PLTC|1 pr|16</t>
        </is>
      </c>
      <c r="L3252" s="12" t="inlineStr">
        <is>
          <t>1 pr</t>
        </is>
      </c>
      <c r="M3252" s="12" t="inlineStr">
        <is>
          <t>16</t>
        </is>
      </c>
      <c r="N3252" s="12" t="n">
        <v>10</v>
      </c>
      <c r="O3252" s="12" t="n">
        <v>1</v>
      </c>
      <c r="P3252" s="12" t="n"/>
      <c r="Q3252" s="12" t="n"/>
      <c r="R3252" s="12" t="n"/>
      <c r="S3252" s="12" t="inlineStr">
        <is>
          <t>Tray / conduit</t>
        </is>
      </c>
      <c r="T3252" s="16" t="n">
        <v>159</v>
      </c>
      <c r="U3252" s="16" t="n">
        <v>10</v>
      </c>
      <c r="V3252" s="16">
        <f>ROUNDUP((T3252+U3252+2*'Read Me'!$B$13)*(1+'Read Me'!$B$12),-1)</f>
        <v/>
      </c>
      <c r="W3252" s="16">
        <f>V3252*N3252*O3252</f>
        <v/>
      </c>
      <c r="X3252" s="12">
        <f>IF(LEFT(I3252,2)="MV",2*N3252*IF(L3252="1/C",O3252,1),0)</f>
        <v/>
      </c>
      <c r="Y3252" s="12">
        <f>IF(OR(LEFT(K3252,4)="LVAX",LEFT(K3252,6)="MV15AX",LEFT(K3252,4)="CTAX",LEFT(K3252,2)="W|"),2*N3252*O3252,0)</f>
        <v/>
      </c>
      <c r="Z3252" s="12" t="inlineStr">
        <is>
          <t>device-to-JB field wiring, one cable per device</t>
        </is>
      </c>
      <c r="AA3252" s="12">
        <f>N3252*O3252</f>
        <v/>
      </c>
    </row>
    <row r="3253">
      <c r="A3253" s="12" t="inlineStr">
        <is>
          <t>G-I-0122</t>
        </is>
      </c>
      <c r="B3253" s="12" t="inlineStr">
        <is>
          <t>G</t>
        </is>
      </c>
      <c r="C3253" s="12" t="inlineStr">
        <is>
          <t>Carbon capture</t>
        </is>
      </c>
      <c r="D3253" s="12" t="inlineStr">
        <is>
          <t>Home run JB-CO2 compression 3 -AI08 to the control / marshalling room</t>
        </is>
      </c>
      <c r="E3253" s="12" t="inlineStr"/>
      <c r="F3253" s="12" t="inlineStr">
        <is>
          <t>CCS F&amp;G / control</t>
        </is>
      </c>
      <c r="G3253" s="12" t="inlineStr">
        <is>
          <t>JB-CO2 compression 3 -AI08</t>
        </is>
      </c>
      <c r="H3253" s="12" t="inlineStr">
        <is>
          <t>CO2 compression 3 x ~19 MW + dehydration</t>
        </is>
      </c>
      <c r="I3253" s="12" t="inlineStr">
        <is>
          <t>Instrumentation</t>
        </is>
      </c>
      <c r="J3253" s="12" t="inlineStr">
        <is>
          <t>Instrumentation PLTC / TC-ER 300 V, #18 twisted shielded pairs, overall shield</t>
        </is>
      </c>
      <c r="K3253" s="12" t="inlineStr">
        <is>
          <t>PLTC|24 pr|18</t>
        </is>
      </c>
      <c r="L3253" s="12" t="inlineStr">
        <is>
          <t>24 pr</t>
        </is>
      </c>
      <c r="M3253" s="12" t="inlineStr">
        <is>
          <t>18</t>
        </is>
      </c>
      <c r="N3253" s="12" t="n">
        <v>1</v>
      </c>
      <c r="O3253" s="12" t="n">
        <v>1</v>
      </c>
      <c r="P3253" s="12" t="n"/>
      <c r="Q3253" s="12" t="n"/>
      <c r="R3253" s="12" t="n"/>
      <c r="S3253" s="12" t="inlineStr">
        <is>
          <t>Duct bank</t>
        </is>
      </c>
      <c r="T3253" s="16" t="n">
        <v>183</v>
      </c>
      <c r="U3253" s="16" t="n">
        <v>105</v>
      </c>
      <c r="V3253" s="16">
        <f>ROUNDUP((T3253+U3253+2*'Read Me'!$B$13)*(1+'Read Me'!$B$12),-1)</f>
        <v/>
      </c>
      <c r="W3253" s="16">
        <f>V3253*N3253*O3253</f>
        <v/>
      </c>
      <c r="X3253" s="12">
        <f>IF(LEFT(I3253,2)="MV",2*N3253*IF(L3253="1/C",O3253,1),0)</f>
        <v/>
      </c>
      <c r="Y3253" s="12">
        <f>IF(OR(LEFT(K3253,4)="LVAX",LEFT(K3253,6)="MV15AX",LEFT(K3253,4)="CTAX",LEFT(K3253,2)="W|"),2*N3253*O3253,0)</f>
        <v/>
      </c>
      <c r="Z3253" s="12" t="inlineStr"/>
      <c r="AA3253" s="12">
        <f>N3253*O3253</f>
        <v/>
      </c>
    </row>
    <row r="3254">
      <c r="A3254" s="12" t="inlineStr">
        <is>
          <t>G-I-0123</t>
        </is>
      </c>
      <c r="B3254" s="12" t="inlineStr">
        <is>
          <t>G</t>
        </is>
      </c>
      <c r="C3254" s="12" t="inlineStr">
        <is>
          <t>Carbon capture</t>
        </is>
      </c>
      <c r="D3254" s="12" t="inlineStr">
        <is>
          <t>Discrete device to JB JB-CO2 compression 3 -DI01: 20 x 1 pr (field cables)</t>
        </is>
      </c>
      <c r="E3254" s="12" t="inlineStr"/>
      <c r="F3254" s="12" t="inlineStr">
        <is>
          <t>CO2 compression 3 x ~19 MW + dehydration</t>
        </is>
      </c>
      <c r="G3254" s="12" t="inlineStr">
        <is>
          <t>JB-CO2 compression 3 -DI01</t>
        </is>
      </c>
      <c r="H3254" s="12" t="inlineStr">
        <is>
          <t>CO2 compression 3 x ~19 MW + dehydration</t>
        </is>
      </c>
      <c r="I3254" s="12" t="inlineStr">
        <is>
          <t>Instrumentation</t>
        </is>
      </c>
      <c r="J3254" s="12" t="inlineStr">
        <is>
          <t>Instrumentation PLTC / TC-ER 300 V, #18 twisted shielded pairs, overall shield</t>
        </is>
      </c>
      <c r="K3254" s="12" t="inlineStr">
        <is>
          <t>PLTC|1 pr|16</t>
        </is>
      </c>
      <c r="L3254" s="12" t="inlineStr">
        <is>
          <t>1 pr</t>
        </is>
      </c>
      <c r="M3254" s="12" t="inlineStr">
        <is>
          <t>16</t>
        </is>
      </c>
      <c r="N3254" s="12" t="n">
        <v>20</v>
      </c>
      <c r="O3254" s="12" t="n">
        <v>1</v>
      </c>
      <c r="P3254" s="12" t="n"/>
      <c r="Q3254" s="12" t="n"/>
      <c r="R3254" s="12" t="n"/>
      <c r="S3254" s="12" t="inlineStr">
        <is>
          <t>Tray / conduit</t>
        </is>
      </c>
      <c r="T3254" s="16" t="n">
        <v>159</v>
      </c>
      <c r="U3254" s="16" t="n">
        <v>10</v>
      </c>
      <c r="V3254" s="16">
        <f>ROUNDUP((T3254+U3254+2*'Read Me'!$B$13)*(1+'Read Me'!$B$12),-1)</f>
        <v/>
      </c>
      <c r="W3254" s="16">
        <f>V3254*N3254*O3254</f>
        <v/>
      </c>
      <c r="X3254" s="12">
        <f>IF(LEFT(I3254,2)="MV",2*N3254*IF(L3254="1/C",O3254,1),0)</f>
        <v/>
      </c>
      <c r="Y3254" s="12">
        <f>IF(OR(LEFT(K3254,4)="LVAX",LEFT(K3254,6)="MV15AX",LEFT(K3254,4)="CTAX",LEFT(K3254,2)="W|"),2*N3254*O3254,0)</f>
        <v/>
      </c>
      <c r="Z3254" s="12" t="inlineStr">
        <is>
          <t>device-to-JB field wiring, one cable per device</t>
        </is>
      </c>
      <c r="AA3254" s="12">
        <f>N3254*O3254</f>
        <v/>
      </c>
    </row>
    <row r="3255">
      <c r="A3255" s="12" t="inlineStr">
        <is>
          <t>G-I-0124</t>
        </is>
      </c>
      <c r="B3255" s="12" t="inlineStr">
        <is>
          <t>G</t>
        </is>
      </c>
      <c r="C3255" s="12" t="inlineStr">
        <is>
          <t>Carbon capture</t>
        </is>
      </c>
      <c r="D3255" s="12" t="inlineStr">
        <is>
          <t>Home run JB-CO2 compression 3 -DI01 to the control / marshalling room</t>
        </is>
      </c>
      <c r="E3255" s="12" t="inlineStr"/>
      <c r="F3255" s="12" t="inlineStr">
        <is>
          <t>CCS F&amp;G / control</t>
        </is>
      </c>
      <c r="G3255" s="12" t="inlineStr">
        <is>
          <t>JB-CO2 compression 3 -DI01</t>
        </is>
      </c>
      <c r="H3255" s="12" t="inlineStr">
        <is>
          <t>CO2 compression 3 x ~19 MW + dehydration</t>
        </is>
      </c>
      <c r="I3255" s="12" t="inlineStr">
        <is>
          <t>Instrumentation</t>
        </is>
      </c>
      <c r="J3255" s="12" t="inlineStr">
        <is>
          <t>Instrumentation PLTC / TC-ER 300 V, #18 twisted shielded pairs, overall shield</t>
        </is>
      </c>
      <c r="K3255" s="12" t="inlineStr">
        <is>
          <t>PLTC|24 pr|18</t>
        </is>
      </c>
      <c r="L3255" s="12" t="inlineStr">
        <is>
          <t>24 pr</t>
        </is>
      </c>
      <c r="M3255" s="12" t="inlineStr">
        <is>
          <t>18</t>
        </is>
      </c>
      <c r="N3255" s="12" t="n">
        <v>1</v>
      </c>
      <c r="O3255" s="12" t="n">
        <v>1</v>
      </c>
      <c r="P3255" s="12" t="n"/>
      <c r="Q3255" s="12" t="n"/>
      <c r="R3255" s="12" t="n"/>
      <c r="S3255" s="12" t="inlineStr">
        <is>
          <t>Duct bank</t>
        </is>
      </c>
      <c r="T3255" s="16" t="n">
        <v>183</v>
      </c>
      <c r="U3255" s="16" t="n">
        <v>105</v>
      </c>
      <c r="V3255" s="16">
        <f>ROUNDUP((T3255+U3255+2*'Read Me'!$B$13)*(1+'Read Me'!$B$12),-1)</f>
        <v/>
      </c>
      <c r="W3255" s="16">
        <f>V3255*N3255*O3255</f>
        <v/>
      </c>
      <c r="X3255" s="12">
        <f>IF(LEFT(I3255,2)="MV",2*N3255*IF(L3255="1/C",O3255,1),0)</f>
        <v/>
      </c>
      <c r="Y3255" s="12">
        <f>IF(OR(LEFT(K3255,4)="LVAX",LEFT(K3255,6)="MV15AX",LEFT(K3255,4)="CTAX",LEFT(K3255,2)="W|"),2*N3255*O3255,0)</f>
        <v/>
      </c>
      <c r="Z3255" s="12" t="inlineStr"/>
      <c r="AA3255" s="12">
        <f>N3255*O3255</f>
        <v/>
      </c>
    </row>
    <row r="3256">
      <c r="A3256" s="12" t="inlineStr">
        <is>
          <t>G-I-0125</t>
        </is>
      </c>
      <c r="B3256" s="12" t="inlineStr">
        <is>
          <t>G</t>
        </is>
      </c>
      <c r="C3256" s="12" t="inlineStr">
        <is>
          <t>Carbon capture</t>
        </is>
      </c>
      <c r="D3256" s="12" t="inlineStr">
        <is>
          <t>Discrete device to JB JB-CO2 compression 3 -DI02: 20 x 1 pr (field cables)</t>
        </is>
      </c>
      <c r="E3256" s="12" t="inlineStr"/>
      <c r="F3256" s="12" t="inlineStr">
        <is>
          <t>CO2 compression 3 x ~19 MW + dehydration</t>
        </is>
      </c>
      <c r="G3256" s="12" t="inlineStr">
        <is>
          <t>JB-CO2 compression 3 -DI02</t>
        </is>
      </c>
      <c r="H3256" s="12" t="inlineStr">
        <is>
          <t>CO2 compression 3 x ~19 MW + dehydration</t>
        </is>
      </c>
      <c r="I3256" s="12" t="inlineStr">
        <is>
          <t>Instrumentation</t>
        </is>
      </c>
      <c r="J3256" s="12" t="inlineStr">
        <is>
          <t>Instrumentation PLTC / TC-ER 300 V, #18 twisted shielded pairs, overall shield</t>
        </is>
      </c>
      <c r="K3256" s="12" t="inlineStr">
        <is>
          <t>PLTC|1 pr|16</t>
        </is>
      </c>
      <c r="L3256" s="12" t="inlineStr">
        <is>
          <t>1 pr</t>
        </is>
      </c>
      <c r="M3256" s="12" t="inlineStr">
        <is>
          <t>16</t>
        </is>
      </c>
      <c r="N3256" s="12" t="n">
        <v>20</v>
      </c>
      <c r="O3256" s="12" t="n">
        <v>1</v>
      </c>
      <c r="P3256" s="12" t="n"/>
      <c r="Q3256" s="12" t="n"/>
      <c r="R3256" s="12" t="n"/>
      <c r="S3256" s="12" t="inlineStr">
        <is>
          <t>Tray / conduit</t>
        </is>
      </c>
      <c r="T3256" s="16" t="n">
        <v>159</v>
      </c>
      <c r="U3256" s="16" t="n">
        <v>10</v>
      </c>
      <c r="V3256" s="16">
        <f>ROUNDUP((T3256+U3256+2*'Read Me'!$B$13)*(1+'Read Me'!$B$12),-1)</f>
        <v/>
      </c>
      <c r="W3256" s="16">
        <f>V3256*N3256*O3256</f>
        <v/>
      </c>
      <c r="X3256" s="12">
        <f>IF(LEFT(I3256,2)="MV",2*N3256*IF(L3256="1/C",O3256,1),0)</f>
        <v/>
      </c>
      <c r="Y3256" s="12">
        <f>IF(OR(LEFT(K3256,4)="LVAX",LEFT(K3256,6)="MV15AX",LEFT(K3256,4)="CTAX",LEFT(K3256,2)="W|"),2*N3256*O3256,0)</f>
        <v/>
      </c>
      <c r="Z3256" s="12" t="inlineStr">
        <is>
          <t>device-to-JB field wiring, one cable per device</t>
        </is>
      </c>
      <c r="AA3256" s="12">
        <f>N3256*O3256</f>
        <v/>
      </c>
    </row>
    <row r="3257">
      <c r="A3257" s="12" t="inlineStr">
        <is>
          <t>G-I-0126</t>
        </is>
      </c>
      <c r="B3257" s="12" t="inlineStr">
        <is>
          <t>G</t>
        </is>
      </c>
      <c r="C3257" s="12" t="inlineStr">
        <is>
          <t>Carbon capture</t>
        </is>
      </c>
      <c r="D3257" s="12" t="inlineStr">
        <is>
          <t>Home run JB-CO2 compression 3 -DI02 to the control / marshalling room</t>
        </is>
      </c>
      <c r="E3257" s="12" t="inlineStr"/>
      <c r="F3257" s="12" t="inlineStr">
        <is>
          <t>CCS F&amp;G / control</t>
        </is>
      </c>
      <c r="G3257" s="12" t="inlineStr">
        <is>
          <t>JB-CO2 compression 3 -DI02</t>
        </is>
      </c>
      <c r="H3257" s="12" t="inlineStr">
        <is>
          <t>CO2 compression 3 x ~19 MW + dehydration</t>
        </is>
      </c>
      <c r="I3257" s="12" t="inlineStr">
        <is>
          <t>Instrumentation</t>
        </is>
      </c>
      <c r="J3257" s="12" t="inlineStr">
        <is>
          <t>Instrumentation PLTC / TC-ER 300 V, #18 twisted shielded pairs, overall shield</t>
        </is>
      </c>
      <c r="K3257" s="12" t="inlineStr">
        <is>
          <t>PLTC|24 pr|18</t>
        </is>
      </c>
      <c r="L3257" s="12" t="inlineStr">
        <is>
          <t>24 pr</t>
        </is>
      </c>
      <c r="M3257" s="12" t="inlineStr">
        <is>
          <t>18</t>
        </is>
      </c>
      <c r="N3257" s="12" t="n">
        <v>1</v>
      </c>
      <c r="O3257" s="12" t="n">
        <v>1</v>
      </c>
      <c r="P3257" s="12" t="n"/>
      <c r="Q3257" s="12" t="n"/>
      <c r="R3257" s="12" t="n"/>
      <c r="S3257" s="12" t="inlineStr">
        <is>
          <t>Duct bank</t>
        </is>
      </c>
      <c r="T3257" s="16" t="n">
        <v>183</v>
      </c>
      <c r="U3257" s="16" t="n">
        <v>105</v>
      </c>
      <c r="V3257" s="16">
        <f>ROUNDUP((T3257+U3257+2*'Read Me'!$B$13)*(1+'Read Me'!$B$12),-1)</f>
        <v/>
      </c>
      <c r="W3257" s="16">
        <f>V3257*N3257*O3257</f>
        <v/>
      </c>
      <c r="X3257" s="12">
        <f>IF(LEFT(I3257,2)="MV",2*N3257*IF(L3257="1/C",O3257,1),0)</f>
        <v/>
      </c>
      <c r="Y3257" s="12">
        <f>IF(OR(LEFT(K3257,4)="LVAX",LEFT(K3257,6)="MV15AX",LEFT(K3257,4)="CTAX",LEFT(K3257,2)="W|"),2*N3257*O3257,0)</f>
        <v/>
      </c>
      <c r="Z3257" s="12" t="inlineStr"/>
      <c r="AA3257" s="12">
        <f>N3257*O3257</f>
        <v/>
      </c>
    </row>
    <row r="3258">
      <c r="A3258" s="12" t="inlineStr">
        <is>
          <t>G-I-0127</t>
        </is>
      </c>
      <c r="B3258" s="12" t="inlineStr">
        <is>
          <t>G</t>
        </is>
      </c>
      <c r="C3258" s="12" t="inlineStr">
        <is>
          <t>Carbon capture</t>
        </is>
      </c>
      <c r="D3258" s="12" t="inlineStr">
        <is>
          <t>Discrete device to JB JB-CO2 compression 3 -DI03: 20 x 1 pr (field cables)</t>
        </is>
      </c>
      <c r="E3258" s="12" t="inlineStr"/>
      <c r="F3258" s="12" t="inlineStr">
        <is>
          <t>CO2 compression 3 x ~19 MW + dehydration</t>
        </is>
      </c>
      <c r="G3258" s="12" t="inlineStr">
        <is>
          <t>JB-CO2 compression 3 -DI03</t>
        </is>
      </c>
      <c r="H3258" s="12" t="inlineStr">
        <is>
          <t>CO2 compression 3 x ~19 MW + dehydration</t>
        </is>
      </c>
      <c r="I3258" s="12" t="inlineStr">
        <is>
          <t>Instrumentation</t>
        </is>
      </c>
      <c r="J3258" s="12" t="inlineStr">
        <is>
          <t>Instrumentation PLTC / TC-ER 300 V, #18 twisted shielded pairs, overall shield</t>
        </is>
      </c>
      <c r="K3258" s="12" t="inlineStr">
        <is>
          <t>PLTC|1 pr|16</t>
        </is>
      </c>
      <c r="L3258" s="12" t="inlineStr">
        <is>
          <t>1 pr</t>
        </is>
      </c>
      <c r="M3258" s="12" t="inlineStr">
        <is>
          <t>16</t>
        </is>
      </c>
      <c r="N3258" s="12" t="n">
        <v>20</v>
      </c>
      <c r="O3258" s="12" t="n">
        <v>1</v>
      </c>
      <c r="P3258" s="12" t="n"/>
      <c r="Q3258" s="12" t="n"/>
      <c r="R3258" s="12" t="n"/>
      <c r="S3258" s="12" t="inlineStr">
        <is>
          <t>Tray / conduit</t>
        </is>
      </c>
      <c r="T3258" s="16" t="n">
        <v>159</v>
      </c>
      <c r="U3258" s="16" t="n">
        <v>10</v>
      </c>
      <c r="V3258" s="16">
        <f>ROUNDUP((T3258+U3258+2*'Read Me'!$B$13)*(1+'Read Me'!$B$12),-1)</f>
        <v/>
      </c>
      <c r="W3258" s="16">
        <f>V3258*N3258*O3258</f>
        <v/>
      </c>
      <c r="X3258" s="12">
        <f>IF(LEFT(I3258,2)="MV",2*N3258*IF(L3258="1/C",O3258,1),0)</f>
        <v/>
      </c>
      <c r="Y3258" s="12">
        <f>IF(OR(LEFT(K3258,4)="LVAX",LEFT(K3258,6)="MV15AX",LEFT(K3258,4)="CTAX",LEFT(K3258,2)="W|"),2*N3258*O3258,0)</f>
        <v/>
      </c>
      <c r="Z3258" s="12" t="inlineStr">
        <is>
          <t>device-to-JB field wiring, one cable per device</t>
        </is>
      </c>
      <c r="AA3258" s="12">
        <f>N3258*O3258</f>
        <v/>
      </c>
    </row>
    <row r="3259">
      <c r="A3259" s="12" t="inlineStr">
        <is>
          <t>G-I-0128</t>
        </is>
      </c>
      <c r="B3259" s="12" t="inlineStr">
        <is>
          <t>G</t>
        </is>
      </c>
      <c r="C3259" s="12" t="inlineStr">
        <is>
          <t>Carbon capture</t>
        </is>
      </c>
      <c r="D3259" s="12" t="inlineStr">
        <is>
          <t>Home run JB-CO2 compression 3 -DI03 to the control / marshalling room</t>
        </is>
      </c>
      <c r="E3259" s="12" t="inlineStr"/>
      <c r="F3259" s="12" t="inlineStr">
        <is>
          <t>CCS F&amp;G / control</t>
        </is>
      </c>
      <c r="G3259" s="12" t="inlineStr">
        <is>
          <t>JB-CO2 compression 3 -DI03</t>
        </is>
      </c>
      <c r="H3259" s="12" t="inlineStr">
        <is>
          <t>CO2 compression 3 x ~19 MW + dehydration</t>
        </is>
      </c>
      <c r="I3259" s="12" t="inlineStr">
        <is>
          <t>Instrumentation</t>
        </is>
      </c>
      <c r="J3259" s="12" t="inlineStr">
        <is>
          <t>Instrumentation PLTC / TC-ER 300 V, #18 twisted shielded pairs, overall shield</t>
        </is>
      </c>
      <c r="K3259" s="12" t="inlineStr">
        <is>
          <t>PLTC|24 pr|18</t>
        </is>
      </c>
      <c r="L3259" s="12" t="inlineStr">
        <is>
          <t>24 pr</t>
        </is>
      </c>
      <c r="M3259" s="12" t="inlineStr">
        <is>
          <t>18</t>
        </is>
      </c>
      <c r="N3259" s="12" t="n">
        <v>1</v>
      </c>
      <c r="O3259" s="12" t="n">
        <v>1</v>
      </c>
      <c r="P3259" s="12" t="n"/>
      <c r="Q3259" s="12" t="n"/>
      <c r="R3259" s="12" t="n"/>
      <c r="S3259" s="12" t="inlineStr">
        <is>
          <t>Duct bank</t>
        </is>
      </c>
      <c r="T3259" s="16" t="n">
        <v>183</v>
      </c>
      <c r="U3259" s="16" t="n">
        <v>105</v>
      </c>
      <c r="V3259" s="16">
        <f>ROUNDUP((T3259+U3259+2*'Read Me'!$B$13)*(1+'Read Me'!$B$12),-1)</f>
        <v/>
      </c>
      <c r="W3259" s="16">
        <f>V3259*N3259*O3259</f>
        <v/>
      </c>
      <c r="X3259" s="12">
        <f>IF(LEFT(I3259,2)="MV",2*N3259*IF(L3259="1/C",O3259,1),0)</f>
        <v/>
      </c>
      <c r="Y3259" s="12">
        <f>IF(OR(LEFT(K3259,4)="LVAX",LEFT(K3259,6)="MV15AX",LEFT(K3259,4)="CTAX",LEFT(K3259,2)="W|"),2*N3259*O3259,0)</f>
        <v/>
      </c>
      <c r="Z3259" s="12" t="inlineStr"/>
      <c r="AA3259" s="12">
        <f>N3259*O3259</f>
        <v/>
      </c>
    </row>
    <row r="3260">
      <c r="A3260" s="12" t="inlineStr">
        <is>
          <t>G-I-0129</t>
        </is>
      </c>
      <c r="B3260" s="12" t="inlineStr">
        <is>
          <t>G</t>
        </is>
      </c>
      <c r="C3260" s="12" t="inlineStr">
        <is>
          <t>Carbon capture</t>
        </is>
      </c>
      <c r="D3260" s="12" t="inlineStr">
        <is>
          <t>Discrete device to JB JB-CO2 compression 3 -DI04: 20 x 1 pr (field cables)</t>
        </is>
      </c>
      <c r="E3260" s="12" t="inlineStr"/>
      <c r="F3260" s="12" t="inlineStr">
        <is>
          <t>CO2 compression 3 x ~19 MW + dehydration</t>
        </is>
      </c>
      <c r="G3260" s="12" t="inlineStr">
        <is>
          <t>JB-CO2 compression 3 -DI04</t>
        </is>
      </c>
      <c r="H3260" s="12" t="inlineStr">
        <is>
          <t>CO2 compression 3 x ~19 MW + dehydration</t>
        </is>
      </c>
      <c r="I3260" s="12" t="inlineStr">
        <is>
          <t>Instrumentation</t>
        </is>
      </c>
      <c r="J3260" s="12" t="inlineStr">
        <is>
          <t>Instrumentation PLTC / TC-ER 300 V, #18 twisted shielded pairs, overall shield</t>
        </is>
      </c>
      <c r="K3260" s="12" t="inlineStr">
        <is>
          <t>PLTC|1 pr|16</t>
        </is>
      </c>
      <c r="L3260" s="12" t="inlineStr">
        <is>
          <t>1 pr</t>
        </is>
      </c>
      <c r="M3260" s="12" t="inlineStr">
        <is>
          <t>16</t>
        </is>
      </c>
      <c r="N3260" s="12" t="n">
        <v>20</v>
      </c>
      <c r="O3260" s="12" t="n">
        <v>1</v>
      </c>
      <c r="P3260" s="12" t="n"/>
      <c r="Q3260" s="12" t="n"/>
      <c r="R3260" s="12" t="n"/>
      <c r="S3260" s="12" t="inlineStr">
        <is>
          <t>Tray / conduit</t>
        </is>
      </c>
      <c r="T3260" s="16" t="n">
        <v>159</v>
      </c>
      <c r="U3260" s="16" t="n">
        <v>10</v>
      </c>
      <c r="V3260" s="16">
        <f>ROUNDUP((T3260+U3260+2*'Read Me'!$B$13)*(1+'Read Me'!$B$12),-1)</f>
        <v/>
      </c>
      <c r="W3260" s="16">
        <f>V3260*N3260*O3260</f>
        <v/>
      </c>
      <c r="X3260" s="12">
        <f>IF(LEFT(I3260,2)="MV",2*N3260*IF(L3260="1/C",O3260,1),0)</f>
        <v/>
      </c>
      <c r="Y3260" s="12">
        <f>IF(OR(LEFT(K3260,4)="LVAX",LEFT(K3260,6)="MV15AX",LEFT(K3260,4)="CTAX",LEFT(K3260,2)="W|"),2*N3260*O3260,0)</f>
        <v/>
      </c>
      <c r="Z3260" s="12" t="inlineStr">
        <is>
          <t>device-to-JB field wiring, one cable per device</t>
        </is>
      </c>
      <c r="AA3260" s="12">
        <f>N3260*O3260</f>
        <v/>
      </c>
    </row>
    <row r="3261">
      <c r="A3261" s="12" t="inlineStr">
        <is>
          <t>G-I-0130</t>
        </is>
      </c>
      <c r="B3261" s="12" t="inlineStr">
        <is>
          <t>G</t>
        </is>
      </c>
      <c r="C3261" s="12" t="inlineStr">
        <is>
          <t>Carbon capture</t>
        </is>
      </c>
      <c r="D3261" s="12" t="inlineStr">
        <is>
          <t>Home run JB-CO2 compression 3 -DI04 to the control / marshalling room</t>
        </is>
      </c>
      <c r="E3261" s="12" t="inlineStr"/>
      <c r="F3261" s="12" t="inlineStr">
        <is>
          <t>CCS F&amp;G / control</t>
        </is>
      </c>
      <c r="G3261" s="12" t="inlineStr">
        <is>
          <t>JB-CO2 compression 3 -DI04</t>
        </is>
      </c>
      <c r="H3261" s="12" t="inlineStr">
        <is>
          <t>CO2 compression 3 x ~19 MW + dehydration</t>
        </is>
      </c>
      <c r="I3261" s="12" t="inlineStr">
        <is>
          <t>Instrumentation</t>
        </is>
      </c>
      <c r="J3261" s="12" t="inlineStr">
        <is>
          <t>Instrumentation PLTC / TC-ER 300 V, #18 twisted shielded pairs, overall shield</t>
        </is>
      </c>
      <c r="K3261" s="12" t="inlineStr">
        <is>
          <t>PLTC|24 pr|18</t>
        </is>
      </c>
      <c r="L3261" s="12" t="inlineStr">
        <is>
          <t>24 pr</t>
        </is>
      </c>
      <c r="M3261" s="12" t="inlineStr">
        <is>
          <t>18</t>
        </is>
      </c>
      <c r="N3261" s="12" t="n">
        <v>1</v>
      </c>
      <c r="O3261" s="12" t="n">
        <v>1</v>
      </c>
      <c r="P3261" s="12" t="n"/>
      <c r="Q3261" s="12" t="n"/>
      <c r="R3261" s="12" t="n"/>
      <c r="S3261" s="12" t="inlineStr">
        <is>
          <t>Duct bank</t>
        </is>
      </c>
      <c r="T3261" s="16" t="n">
        <v>183</v>
      </c>
      <c r="U3261" s="16" t="n">
        <v>105</v>
      </c>
      <c r="V3261" s="16">
        <f>ROUNDUP((T3261+U3261+2*'Read Me'!$B$13)*(1+'Read Me'!$B$12),-1)</f>
        <v/>
      </c>
      <c r="W3261" s="16">
        <f>V3261*N3261*O3261</f>
        <v/>
      </c>
      <c r="X3261" s="12">
        <f>IF(LEFT(I3261,2)="MV",2*N3261*IF(L3261="1/C",O3261,1),0)</f>
        <v/>
      </c>
      <c r="Y3261" s="12">
        <f>IF(OR(LEFT(K3261,4)="LVAX",LEFT(K3261,6)="MV15AX",LEFT(K3261,4)="CTAX",LEFT(K3261,2)="W|"),2*N3261*O3261,0)</f>
        <v/>
      </c>
      <c r="Z3261" s="12" t="inlineStr"/>
      <c r="AA3261" s="12">
        <f>N3261*O3261</f>
        <v/>
      </c>
    </row>
    <row r="3262">
      <c r="A3262" s="12" t="inlineStr">
        <is>
          <t>G-I-0131</t>
        </is>
      </c>
      <c r="B3262" s="12" t="inlineStr">
        <is>
          <t>G</t>
        </is>
      </c>
      <c r="C3262" s="12" t="inlineStr">
        <is>
          <t>Carbon capture</t>
        </is>
      </c>
      <c r="D3262" s="12" t="inlineStr">
        <is>
          <t>Discrete device to JB JB-CO2 compression 3 -DI05: 20 x 1 pr (field cables)</t>
        </is>
      </c>
      <c r="E3262" s="12" t="inlineStr"/>
      <c r="F3262" s="12" t="inlineStr">
        <is>
          <t>CO2 compression 3 x ~19 MW + dehydration</t>
        </is>
      </c>
      <c r="G3262" s="12" t="inlineStr">
        <is>
          <t>JB-CO2 compression 3 -DI05</t>
        </is>
      </c>
      <c r="H3262" s="12" t="inlineStr">
        <is>
          <t>CO2 compression 3 x ~19 MW + dehydration</t>
        </is>
      </c>
      <c r="I3262" s="12" t="inlineStr">
        <is>
          <t>Instrumentation</t>
        </is>
      </c>
      <c r="J3262" s="12" t="inlineStr">
        <is>
          <t>Instrumentation PLTC / TC-ER 300 V, #18 twisted shielded pairs, overall shield</t>
        </is>
      </c>
      <c r="K3262" s="12" t="inlineStr">
        <is>
          <t>PLTC|1 pr|16</t>
        </is>
      </c>
      <c r="L3262" s="12" t="inlineStr">
        <is>
          <t>1 pr</t>
        </is>
      </c>
      <c r="M3262" s="12" t="inlineStr">
        <is>
          <t>16</t>
        </is>
      </c>
      <c r="N3262" s="12" t="n">
        <v>20</v>
      </c>
      <c r="O3262" s="12" t="n">
        <v>1</v>
      </c>
      <c r="P3262" s="12" t="n"/>
      <c r="Q3262" s="12" t="n"/>
      <c r="R3262" s="12" t="n"/>
      <c r="S3262" s="12" t="inlineStr">
        <is>
          <t>Tray / conduit</t>
        </is>
      </c>
      <c r="T3262" s="16" t="n">
        <v>159</v>
      </c>
      <c r="U3262" s="16" t="n">
        <v>10</v>
      </c>
      <c r="V3262" s="16">
        <f>ROUNDUP((T3262+U3262+2*'Read Me'!$B$13)*(1+'Read Me'!$B$12),-1)</f>
        <v/>
      </c>
      <c r="W3262" s="16">
        <f>V3262*N3262*O3262</f>
        <v/>
      </c>
      <c r="X3262" s="12">
        <f>IF(LEFT(I3262,2)="MV",2*N3262*IF(L3262="1/C",O3262,1),0)</f>
        <v/>
      </c>
      <c r="Y3262" s="12">
        <f>IF(OR(LEFT(K3262,4)="LVAX",LEFT(K3262,6)="MV15AX",LEFT(K3262,4)="CTAX",LEFT(K3262,2)="W|"),2*N3262*O3262,0)</f>
        <v/>
      </c>
      <c r="Z3262" s="12" t="inlineStr">
        <is>
          <t>device-to-JB field wiring, one cable per device</t>
        </is>
      </c>
      <c r="AA3262" s="12">
        <f>N3262*O3262</f>
        <v/>
      </c>
    </row>
    <row r="3263">
      <c r="A3263" s="12" t="inlineStr">
        <is>
          <t>G-I-0132</t>
        </is>
      </c>
      <c r="B3263" s="12" t="inlineStr">
        <is>
          <t>G</t>
        </is>
      </c>
      <c r="C3263" s="12" t="inlineStr">
        <is>
          <t>Carbon capture</t>
        </is>
      </c>
      <c r="D3263" s="12" t="inlineStr">
        <is>
          <t>Home run JB-CO2 compression 3 -DI05 to the control / marshalling room</t>
        </is>
      </c>
      <c r="E3263" s="12" t="inlineStr"/>
      <c r="F3263" s="12" t="inlineStr">
        <is>
          <t>CCS F&amp;G / control</t>
        </is>
      </c>
      <c r="G3263" s="12" t="inlineStr">
        <is>
          <t>JB-CO2 compression 3 -DI05</t>
        </is>
      </c>
      <c r="H3263" s="12" t="inlineStr">
        <is>
          <t>CO2 compression 3 x ~19 MW + dehydration</t>
        </is>
      </c>
      <c r="I3263" s="12" t="inlineStr">
        <is>
          <t>Instrumentation</t>
        </is>
      </c>
      <c r="J3263" s="12" t="inlineStr">
        <is>
          <t>Instrumentation PLTC / TC-ER 300 V, #18 twisted shielded pairs, overall shield</t>
        </is>
      </c>
      <c r="K3263" s="12" t="inlineStr">
        <is>
          <t>PLTC|24 pr|18</t>
        </is>
      </c>
      <c r="L3263" s="12" t="inlineStr">
        <is>
          <t>24 pr</t>
        </is>
      </c>
      <c r="M3263" s="12" t="inlineStr">
        <is>
          <t>18</t>
        </is>
      </c>
      <c r="N3263" s="12" t="n">
        <v>1</v>
      </c>
      <c r="O3263" s="12" t="n">
        <v>1</v>
      </c>
      <c r="P3263" s="12" t="n"/>
      <c r="Q3263" s="12" t="n"/>
      <c r="R3263" s="12" t="n"/>
      <c r="S3263" s="12" t="inlineStr">
        <is>
          <t>Duct bank</t>
        </is>
      </c>
      <c r="T3263" s="16" t="n">
        <v>183</v>
      </c>
      <c r="U3263" s="16" t="n">
        <v>105</v>
      </c>
      <c r="V3263" s="16">
        <f>ROUNDUP((T3263+U3263+2*'Read Me'!$B$13)*(1+'Read Me'!$B$12),-1)</f>
        <v/>
      </c>
      <c r="W3263" s="16">
        <f>V3263*N3263*O3263</f>
        <v/>
      </c>
      <c r="X3263" s="12">
        <f>IF(LEFT(I3263,2)="MV",2*N3263*IF(L3263="1/C",O3263,1),0)</f>
        <v/>
      </c>
      <c r="Y3263" s="12">
        <f>IF(OR(LEFT(K3263,4)="LVAX",LEFT(K3263,6)="MV15AX",LEFT(K3263,4)="CTAX",LEFT(K3263,2)="W|"),2*N3263*O3263,0)</f>
        <v/>
      </c>
      <c r="Z3263" s="12" t="inlineStr"/>
      <c r="AA3263" s="12">
        <f>N3263*O3263</f>
        <v/>
      </c>
    </row>
    <row r="3264">
      <c r="A3264" s="12" t="inlineStr">
        <is>
          <t>G-I-0133</t>
        </is>
      </c>
      <c r="B3264" s="12" t="inlineStr">
        <is>
          <t>G</t>
        </is>
      </c>
      <c r="C3264" s="12" t="inlineStr">
        <is>
          <t>Carbon capture</t>
        </is>
      </c>
      <c r="D3264" s="12" t="inlineStr">
        <is>
          <t>RTD to JB JB-CO2 compression 3 -RTD01: 10 x 1 tri (field cables)</t>
        </is>
      </c>
      <c r="E3264" s="12" t="inlineStr"/>
      <c r="F3264" s="12" t="inlineStr">
        <is>
          <t>CO2 compression 3 x ~19 MW + dehydration</t>
        </is>
      </c>
      <c r="G3264" s="12" t="inlineStr">
        <is>
          <t>JB-CO2 compression 3 -RTD01</t>
        </is>
      </c>
      <c r="H3264" s="12" t="inlineStr">
        <is>
          <t>CO2 compression 3 x ~19 MW + dehydration</t>
        </is>
      </c>
      <c r="I3264" s="12" t="inlineStr">
        <is>
          <t>Instrumentation</t>
        </is>
      </c>
      <c r="J3264" s="12" t="inlineStr">
        <is>
          <t>RTD cable, #18 shielded triads, PLTC</t>
        </is>
      </c>
      <c r="K3264" s="12" t="inlineStr">
        <is>
          <t>RTD|1 tri|18</t>
        </is>
      </c>
      <c r="L3264" s="12" t="inlineStr">
        <is>
          <t>1 tri</t>
        </is>
      </c>
      <c r="M3264" s="12" t="inlineStr">
        <is>
          <t>18</t>
        </is>
      </c>
      <c r="N3264" s="12" t="n">
        <v>10</v>
      </c>
      <c r="O3264" s="12" t="n">
        <v>1</v>
      </c>
      <c r="P3264" s="12" t="n"/>
      <c r="Q3264" s="12" t="n"/>
      <c r="R3264" s="12" t="n"/>
      <c r="S3264" s="12" t="inlineStr">
        <is>
          <t>Tray / conduit</t>
        </is>
      </c>
      <c r="T3264" s="16" t="n">
        <v>159</v>
      </c>
      <c r="U3264" s="16" t="n">
        <v>10</v>
      </c>
      <c r="V3264" s="16">
        <f>ROUNDUP((T3264+U3264+2*'Read Me'!$B$13)*(1+'Read Me'!$B$12),-1)</f>
        <v/>
      </c>
      <c r="W3264" s="16">
        <f>V3264*N3264*O3264</f>
        <v/>
      </c>
      <c r="X3264" s="12">
        <f>IF(LEFT(I3264,2)="MV",2*N3264*IF(L3264="1/C",O3264,1),0)</f>
        <v/>
      </c>
      <c r="Y3264" s="12">
        <f>IF(OR(LEFT(K3264,4)="LVAX",LEFT(K3264,6)="MV15AX",LEFT(K3264,4)="CTAX",LEFT(K3264,2)="W|"),2*N3264*O3264,0)</f>
        <v/>
      </c>
      <c r="Z3264" s="12" t="inlineStr">
        <is>
          <t>device-to-JB field wiring, one cable per device</t>
        </is>
      </c>
      <c r="AA3264" s="12">
        <f>N3264*O3264</f>
        <v/>
      </c>
    </row>
    <row r="3265">
      <c r="A3265" s="12" t="inlineStr">
        <is>
          <t>G-I-0134</t>
        </is>
      </c>
      <c r="B3265" s="12" t="inlineStr">
        <is>
          <t>G</t>
        </is>
      </c>
      <c r="C3265" s="12" t="inlineStr">
        <is>
          <t>Carbon capture</t>
        </is>
      </c>
      <c r="D3265" s="12" t="inlineStr">
        <is>
          <t>Home run JB-CO2 compression 3 -RTD01 to the control / marshalling room</t>
        </is>
      </c>
      <c r="E3265" s="12" t="inlineStr"/>
      <c r="F3265" s="12" t="inlineStr">
        <is>
          <t>CCS F&amp;G / control</t>
        </is>
      </c>
      <c r="G3265" s="12" t="inlineStr">
        <is>
          <t>JB-CO2 compression 3 -RTD01</t>
        </is>
      </c>
      <c r="H3265" s="12" t="inlineStr">
        <is>
          <t>CO2 compression 3 x ~19 MW + dehydration</t>
        </is>
      </c>
      <c r="I3265" s="12" t="inlineStr">
        <is>
          <t>Instrumentation</t>
        </is>
      </c>
      <c r="J3265" s="12" t="inlineStr">
        <is>
          <t>RTD cable, #18 shielded triads, PLTC</t>
        </is>
      </c>
      <c r="K3265" s="12" t="inlineStr">
        <is>
          <t>RTD|12 tri|18</t>
        </is>
      </c>
      <c r="L3265" s="12" t="inlineStr">
        <is>
          <t>12 tri</t>
        </is>
      </c>
      <c r="M3265" s="12" t="inlineStr">
        <is>
          <t>18</t>
        </is>
      </c>
      <c r="N3265" s="12" t="n">
        <v>1</v>
      </c>
      <c r="O3265" s="12" t="n">
        <v>1</v>
      </c>
      <c r="P3265" s="12" t="n"/>
      <c r="Q3265" s="12" t="n"/>
      <c r="R3265" s="12" t="n"/>
      <c r="S3265" s="12" t="inlineStr">
        <is>
          <t>Duct bank</t>
        </is>
      </c>
      <c r="T3265" s="16" t="n">
        <v>183</v>
      </c>
      <c r="U3265" s="16" t="n">
        <v>105</v>
      </c>
      <c r="V3265" s="16">
        <f>ROUNDUP((T3265+U3265+2*'Read Me'!$B$13)*(1+'Read Me'!$B$12),-1)</f>
        <v/>
      </c>
      <c r="W3265" s="16">
        <f>V3265*N3265*O3265</f>
        <v/>
      </c>
      <c r="X3265" s="12">
        <f>IF(LEFT(I3265,2)="MV",2*N3265*IF(L3265="1/C",O3265,1),0)</f>
        <v/>
      </c>
      <c r="Y3265" s="12">
        <f>IF(OR(LEFT(K3265,4)="LVAX",LEFT(K3265,6)="MV15AX",LEFT(K3265,4)="CTAX",LEFT(K3265,2)="W|"),2*N3265*O3265,0)</f>
        <v/>
      </c>
      <c r="Z3265" s="12" t="inlineStr"/>
      <c r="AA3265" s="12">
        <f>N3265*O3265</f>
        <v/>
      </c>
    </row>
    <row r="3266">
      <c r="A3266" s="12" t="inlineStr">
        <is>
          <t>G-I-0135</t>
        </is>
      </c>
      <c r="B3266" s="12" t="inlineStr">
        <is>
          <t>G</t>
        </is>
      </c>
      <c r="C3266" s="12" t="inlineStr">
        <is>
          <t>Carbon capture</t>
        </is>
      </c>
      <c r="D3266" s="12" t="inlineStr">
        <is>
          <t>RTD to JB JB-CO2 compression 3 -RTD02: 10 x 1 tri (field cables)</t>
        </is>
      </c>
      <c r="E3266" s="12" t="inlineStr"/>
      <c r="F3266" s="12" t="inlineStr">
        <is>
          <t>CO2 compression 3 x ~19 MW + dehydration</t>
        </is>
      </c>
      <c r="G3266" s="12" t="inlineStr">
        <is>
          <t>JB-CO2 compression 3 -RTD02</t>
        </is>
      </c>
      <c r="H3266" s="12" t="inlineStr">
        <is>
          <t>CO2 compression 3 x ~19 MW + dehydration</t>
        </is>
      </c>
      <c r="I3266" s="12" t="inlineStr">
        <is>
          <t>Instrumentation</t>
        </is>
      </c>
      <c r="J3266" s="12" t="inlineStr">
        <is>
          <t>RTD cable, #18 shielded triads, PLTC</t>
        </is>
      </c>
      <c r="K3266" s="12" t="inlineStr">
        <is>
          <t>RTD|1 tri|18</t>
        </is>
      </c>
      <c r="L3266" s="12" t="inlineStr">
        <is>
          <t>1 tri</t>
        </is>
      </c>
      <c r="M3266" s="12" t="inlineStr">
        <is>
          <t>18</t>
        </is>
      </c>
      <c r="N3266" s="12" t="n">
        <v>10</v>
      </c>
      <c r="O3266" s="12" t="n">
        <v>1</v>
      </c>
      <c r="P3266" s="12" t="n"/>
      <c r="Q3266" s="12" t="n"/>
      <c r="R3266" s="12" t="n"/>
      <c r="S3266" s="12" t="inlineStr">
        <is>
          <t>Tray / conduit</t>
        </is>
      </c>
      <c r="T3266" s="16" t="n">
        <v>159</v>
      </c>
      <c r="U3266" s="16" t="n">
        <v>10</v>
      </c>
      <c r="V3266" s="16">
        <f>ROUNDUP((T3266+U3266+2*'Read Me'!$B$13)*(1+'Read Me'!$B$12),-1)</f>
        <v/>
      </c>
      <c r="W3266" s="16">
        <f>V3266*N3266*O3266</f>
        <v/>
      </c>
      <c r="X3266" s="12">
        <f>IF(LEFT(I3266,2)="MV",2*N3266*IF(L3266="1/C",O3266,1),0)</f>
        <v/>
      </c>
      <c r="Y3266" s="12">
        <f>IF(OR(LEFT(K3266,4)="LVAX",LEFT(K3266,6)="MV15AX",LEFT(K3266,4)="CTAX",LEFT(K3266,2)="W|"),2*N3266*O3266,0)</f>
        <v/>
      </c>
      <c r="Z3266" s="12" t="inlineStr">
        <is>
          <t>device-to-JB field wiring, one cable per device</t>
        </is>
      </c>
      <c r="AA3266" s="12">
        <f>N3266*O3266</f>
        <v/>
      </c>
    </row>
    <row r="3267">
      <c r="A3267" s="12" t="inlineStr">
        <is>
          <t>G-I-0136</t>
        </is>
      </c>
      <c r="B3267" s="12" t="inlineStr">
        <is>
          <t>G</t>
        </is>
      </c>
      <c r="C3267" s="12" t="inlineStr">
        <is>
          <t>Carbon capture</t>
        </is>
      </c>
      <c r="D3267" s="12" t="inlineStr">
        <is>
          <t>Home run JB-CO2 compression 3 -RTD02 to the control / marshalling room</t>
        </is>
      </c>
      <c r="E3267" s="12" t="inlineStr"/>
      <c r="F3267" s="12" t="inlineStr">
        <is>
          <t>CCS F&amp;G / control</t>
        </is>
      </c>
      <c r="G3267" s="12" t="inlineStr">
        <is>
          <t>JB-CO2 compression 3 -RTD02</t>
        </is>
      </c>
      <c r="H3267" s="12" t="inlineStr">
        <is>
          <t>CO2 compression 3 x ~19 MW + dehydration</t>
        </is>
      </c>
      <c r="I3267" s="12" t="inlineStr">
        <is>
          <t>Instrumentation</t>
        </is>
      </c>
      <c r="J3267" s="12" t="inlineStr">
        <is>
          <t>RTD cable, #18 shielded triads, PLTC</t>
        </is>
      </c>
      <c r="K3267" s="12" t="inlineStr">
        <is>
          <t>RTD|12 tri|18</t>
        </is>
      </c>
      <c r="L3267" s="12" t="inlineStr">
        <is>
          <t>12 tri</t>
        </is>
      </c>
      <c r="M3267" s="12" t="inlineStr">
        <is>
          <t>18</t>
        </is>
      </c>
      <c r="N3267" s="12" t="n">
        <v>1</v>
      </c>
      <c r="O3267" s="12" t="n">
        <v>1</v>
      </c>
      <c r="P3267" s="12" t="n"/>
      <c r="Q3267" s="12" t="n"/>
      <c r="R3267" s="12" t="n"/>
      <c r="S3267" s="12" t="inlineStr">
        <is>
          <t>Duct bank</t>
        </is>
      </c>
      <c r="T3267" s="16" t="n">
        <v>183</v>
      </c>
      <c r="U3267" s="16" t="n">
        <v>105</v>
      </c>
      <c r="V3267" s="16">
        <f>ROUNDUP((T3267+U3267+2*'Read Me'!$B$13)*(1+'Read Me'!$B$12),-1)</f>
        <v/>
      </c>
      <c r="W3267" s="16">
        <f>V3267*N3267*O3267</f>
        <v/>
      </c>
      <c r="X3267" s="12">
        <f>IF(LEFT(I3267,2)="MV",2*N3267*IF(L3267="1/C",O3267,1),0)</f>
        <v/>
      </c>
      <c r="Y3267" s="12">
        <f>IF(OR(LEFT(K3267,4)="LVAX",LEFT(K3267,6)="MV15AX",LEFT(K3267,4)="CTAX",LEFT(K3267,2)="W|"),2*N3267*O3267,0)</f>
        <v/>
      </c>
      <c r="Z3267" s="12" t="inlineStr"/>
      <c r="AA3267" s="12">
        <f>N3267*O3267</f>
        <v/>
      </c>
    </row>
    <row r="3268">
      <c r="A3268" s="12" t="inlineStr">
        <is>
          <t>G-I-0137</t>
        </is>
      </c>
      <c r="B3268" s="12" t="inlineStr">
        <is>
          <t>G</t>
        </is>
      </c>
      <c r="C3268" s="12" t="inlineStr">
        <is>
          <t>Carbon capture</t>
        </is>
      </c>
      <c r="D3268" s="12" t="inlineStr">
        <is>
          <t>RTD to JB JB-CO2 compression 3 -RTD03: 10 x 1 tri (field cables)</t>
        </is>
      </c>
      <c r="E3268" s="12" t="inlineStr"/>
      <c r="F3268" s="12" t="inlineStr">
        <is>
          <t>CO2 compression 3 x ~19 MW + dehydration</t>
        </is>
      </c>
      <c r="G3268" s="12" t="inlineStr">
        <is>
          <t>JB-CO2 compression 3 -RTD03</t>
        </is>
      </c>
      <c r="H3268" s="12" t="inlineStr">
        <is>
          <t>CO2 compression 3 x ~19 MW + dehydration</t>
        </is>
      </c>
      <c r="I3268" s="12" t="inlineStr">
        <is>
          <t>Instrumentation</t>
        </is>
      </c>
      <c r="J3268" s="12" t="inlineStr">
        <is>
          <t>RTD cable, #18 shielded triads, PLTC</t>
        </is>
      </c>
      <c r="K3268" s="12" t="inlineStr">
        <is>
          <t>RTD|1 tri|18</t>
        </is>
      </c>
      <c r="L3268" s="12" t="inlineStr">
        <is>
          <t>1 tri</t>
        </is>
      </c>
      <c r="M3268" s="12" t="inlineStr">
        <is>
          <t>18</t>
        </is>
      </c>
      <c r="N3268" s="12" t="n">
        <v>10</v>
      </c>
      <c r="O3268" s="12" t="n">
        <v>1</v>
      </c>
      <c r="P3268" s="12" t="n"/>
      <c r="Q3268" s="12" t="n"/>
      <c r="R3268" s="12" t="n"/>
      <c r="S3268" s="12" t="inlineStr">
        <is>
          <t>Tray / conduit</t>
        </is>
      </c>
      <c r="T3268" s="16" t="n">
        <v>159</v>
      </c>
      <c r="U3268" s="16" t="n">
        <v>10</v>
      </c>
      <c r="V3268" s="16">
        <f>ROUNDUP((T3268+U3268+2*'Read Me'!$B$13)*(1+'Read Me'!$B$12),-1)</f>
        <v/>
      </c>
      <c r="W3268" s="16">
        <f>V3268*N3268*O3268</f>
        <v/>
      </c>
      <c r="X3268" s="12">
        <f>IF(LEFT(I3268,2)="MV",2*N3268*IF(L3268="1/C",O3268,1),0)</f>
        <v/>
      </c>
      <c r="Y3268" s="12">
        <f>IF(OR(LEFT(K3268,4)="LVAX",LEFT(K3268,6)="MV15AX",LEFT(K3268,4)="CTAX",LEFT(K3268,2)="W|"),2*N3268*O3268,0)</f>
        <v/>
      </c>
      <c r="Z3268" s="12" t="inlineStr">
        <is>
          <t>device-to-JB field wiring, one cable per device</t>
        </is>
      </c>
      <c r="AA3268" s="12">
        <f>N3268*O3268</f>
        <v/>
      </c>
    </row>
    <row r="3269">
      <c r="A3269" s="12" t="inlineStr">
        <is>
          <t>G-I-0138</t>
        </is>
      </c>
      <c r="B3269" s="12" t="inlineStr">
        <is>
          <t>G</t>
        </is>
      </c>
      <c r="C3269" s="12" t="inlineStr">
        <is>
          <t>Carbon capture</t>
        </is>
      </c>
      <c r="D3269" s="12" t="inlineStr">
        <is>
          <t>Home run JB-CO2 compression 3 -RTD03 to the control / marshalling room</t>
        </is>
      </c>
      <c r="E3269" s="12" t="inlineStr"/>
      <c r="F3269" s="12" t="inlineStr">
        <is>
          <t>CCS F&amp;G / control</t>
        </is>
      </c>
      <c r="G3269" s="12" t="inlineStr">
        <is>
          <t>JB-CO2 compression 3 -RTD03</t>
        </is>
      </c>
      <c r="H3269" s="12" t="inlineStr">
        <is>
          <t>CO2 compression 3 x ~19 MW + dehydration</t>
        </is>
      </c>
      <c r="I3269" s="12" t="inlineStr">
        <is>
          <t>Instrumentation</t>
        </is>
      </c>
      <c r="J3269" s="12" t="inlineStr">
        <is>
          <t>RTD cable, #18 shielded triads, PLTC</t>
        </is>
      </c>
      <c r="K3269" s="12" t="inlineStr">
        <is>
          <t>RTD|12 tri|18</t>
        </is>
      </c>
      <c r="L3269" s="12" t="inlineStr">
        <is>
          <t>12 tri</t>
        </is>
      </c>
      <c r="M3269" s="12" t="inlineStr">
        <is>
          <t>18</t>
        </is>
      </c>
      <c r="N3269" s="12" t="n">
        <v>1</v>
      </c>
      <c r="O3269" s="12" t="n">
        <v>1</v>
      </c>
      <c r="P3269" s="12" t="n"/>
      <c r="Q3269" s="12" t="n"/>
      <c r="R3269" s="12" t="n"/>
      <c r="S3269" s="12" t="inlineStr">
        <is>
          <t>Duct bank</t>
        </is>
      </c>
      <c r="T3269" s="16" t="n">
        <v>183</v>
      </c>
      <c r="U3269" s="16" t="n">
        <v>105</v>
      </c>
      <c r="V3269" s="16">
        <f>ROUNDUP((T3269+U3269+2*'Read Me'!$B$13)*(1+'Read Me'!$B$12),-1)</f>
        <v/>
      </c>
      <c r="W3269" s="16">
        <f>V3269*N3269*O3269</f>
        <v/>
      </c>
      <c r="X3269" s="12">
        <f>IF(LEFT(I3269,2)="MV",2*N3269*IF(L3269="1/C",O3269,1),0)</f>
        <v/>
      </c>
      <c r="Y3269" s="12">
        <f>IF(OR(LEFT(K3269,4)="LVAX",LEFT(K3269,6)="MV15AX",LEFT(K3269,4)="CTAX",LEFT(K3269,2)="W|"),2*N3269*O3269,0)</f>
        <v/>
      </c>
      <c r="Z3269" s="12" t="inlineStr"/>
      <c r="AA3269" s="12">
        <f>N3269*O3269</f>
        <v/>
      </c>
    </row>
    <row r="3270">
      <c r="A3270" s="12" t="inlineStr">
        <is>
          <t>G-I-0139</t>
        </is>
      </c>
      <c r="B3270" s="12" t="inlineStr">
        <is>
          <t>G</t>
        </is>
      </c>
      <c r="C3270" s="12" t="inlineStr">
        <is>
          <t>Carbon capture</t>
        </is>
      </c>
      <c r="D3270" s="12" t="inlineStr">
        <is>
          <t>RTD to JB JB-CO2 compression 3 -RTD04: 6 x 1 tri (field cables)</t>
        </is>
      </c>
      <c r="E3270" s="12" t="inlineStr"/>
      <c r="F3270" s="12" t="inlineStr">
        <is>
          <t>CO2 compression 3 x ~19 MW + dehydration</t>
        </is>
      </c>
      <c r="G3270" s="12" t="inlineStr">
        <is>
          <t>JB-CO2 compression 3 -RTD04</t>
        </is>
      </c>
      <c r="H3270" s="12" t="inlineStr">
        <is>
          <t>CO2 compression 3 x ~19 MW + dehydration</t>
        </is>
      </c>
      <c r="I3270" s="12" t="inlineStr">
        <is>
          <t>Instrumentation</t>
        </is>
      </c>
      <c r="J3270" s="12" t="inlineStr">
        <is>
          <t>RTD cable, #18 shielded triads, PLTC</t>
        </is>
      </c>
      <c r="K3270" s="12" t="inlineStr">
        <is>
          <t>RTD|1 tri|18</t>
        </is>
      </c>
      <c r="L3270" s="12" t="inlineStr">
        <is>
          <t>1 tri</t>
        </is>
      </c>
      <c r="M3270" s="12" t="inlineStr">
        <is>
          <t>18</t>
        </is>
      </c>
      <c r="N3270" s="12" t="n">
        <v>6</v>
      </c>
      <c r="O3270" s="12" t="n">
        <v>1</v>
      </c>
      <c r="P3270" s="12" t="n"/>
      <c r="Q3270" s="12" t="n"/>
      <c r="R3270" s="12" t="n"/>
      <c r="S3270" s="12" t="inlineStr">
        <is>
          <t>Tray / conduit</t>
        </is>
      </c>
      <c r="T3270" s="16" t="n">
        <v>159</v>
      </c>
      <c r="U3270" s="16" t="n">
        <v>10</v>
      </c>
      <c r="V3270" s="16">
        <f>ROUNDUP((T3270+U3270+2*'Read Me'!$B$13)*(1+'Read Me'!$B$12),-1)</f>
        <v/>
      </c>
      <c r="W3270" s="16">
        <f>V3270*N3270*O3270</f>
        <v/>
      </c>
      <c r="X3270" s="12">
        <f>IF(LEFT(I3270,2)="MV",2*N3270*IF(L3270="1/C",O3270,1),0)</f>
        <v/>
      </c>
      <c r="Y3270" s="12">
        <f>IF(OR(LEFT(K3270,4)="LVAX",LEFT(K3270,6)="MV15AX",LEFT(K3270,4)="CTAX",LEFT(K3270,2)="W|"),2*N3270*O3270,0)</f>
        <v/>
      </c>
      <c r="Z3270" s="12" t="inlineStr">
        <is>
          <t>device-to-JB field wiring, one cable per device</t>
        </is>
      </c>
      <c r="AA3270" s="12">
        <f>N3270*O3270</f>
        <v/>
      </c>
    </row>
    <row r="3271">
      <c r="A3271" s="12" t="inlineStr">
        <is>
          <t>G-I-0140</t>
        </is>
      </c>
      <c r="B3271" s="12" t="inlineStr">
        <is>
          <t>G</t>
        </is>
      </c>
      <c r="C3271" s="12" t="inlineStr">
        <is>
          <t>Carbon capture</t>
        </is>
      </c>
      <c r="D3271" s="12" t="inlineStr">
        <is>
          <t>Home run JB-CO2 compression 3 -RTD04 to the control / marshalling room</t>
        </is>
      </c>
      <c r="E3271" s="12" t="inlineStr"/>
      <c r="F3271" s="12" t="inlineStr">
        <is>
          <t>CCS F&amp;G / control</t>
        </is>
      </c>
      <c r="G3271" s="12" t="inlineStr">
        <is>
          <t>JB-CO2 compression 3 -RTD04</t>
        </is>
      </c>
      <c r="H3271" s="12" t="inlineStr">
        <is>
          <t>CO2 compression 3 x ~19 MW + dehydration</t>
        </is>
      </c>
      <c r="I3271" s="12" t="inlineStr">
        <is>
          <t>Instrumentation</t>
        </is>
      </c>
      <c r="J3271" s="12" t="inlineStr">
        <is>
          <t>RTD cable, #18 shielded triads, PLTC</t>
        </is>
      </c>
      <c r="K3271" s="12" t="inlineStr">
        <is>
          <t>RTD|12 tri|18</t>
        </is>
      </c>
      <c r="L3271" s="12" t="inlineStr">
        <is>
          <t>12 tri</t>
        </is>
      </c>
      <c r="M3271" s="12" t="inlineStr">
        <is>
          <t>18</t>
        </is>
      </c>
      <c r="N3271" s="12" t="n">
        <v>1</v>
      </c>
      <c r="O3271" s="12" t="n">
        <v>1</v>
      </c>
      <c r="P3271" s="12" t="n"/>
      <c r="Q3271" s="12" t="n"/>
      <c r="R3271" s="12" t="n"/>
      <c r="S3271" s="12" t="inlineStr">
        <is>
          <t>Duct bank</t>
        </is>
      </c>
      <c r="T3271" s="16" t="n">
        <v>183</v>
      </c>
      <c r="U3271" s="16" t="n">
        <v>105</v>
      </c>
      <c r="V3271" s="16">
        <f>ROUNDUP((T3271+U3271+2*'Read Me'!$B$13)*(1+'Read Me'!$B$12),-1)</f>
        <v/>
      </c>
      <c r="W3271" s="16">
        <f>V3271*N3271*O3271</f>
        <v/>
      </c>
      <c r="X3271" s="12">
        <f>IF(LEFT(I3271,2)="MV",2*N3271*IF(L3271="1/C",O3271,1),0)</f>
        <v/>
      </c>
      <c r="Y3271" s="12">
        <f>IF(OR(LEFT(K3271,4)="LVAX",LEFT(K3271,6)="MV15AX",LEFT(K3271,4)="CTAX",LEFT(K3271,2)="W|"),2*N3271*O3271,0)</f>
        <v/>
      </c>
      <c r="Z3271" s="12" t="inlineStr"/>
      <c r="AA3271" s="12">
        <f>N3271*O3271</f>
        <v/>
      </c>
    </row>
    <row r="3272">
      <c r="A3272" s="12" t="inlineStr">
        <is>
          <t>G-I-0141</t>
        </is>
      </c>
      <c r="B3272" s="12" t="inlineStr">
        <is>
          <t>G</t>
        </is>
      </c>
      <c r="C3272" s="12" t="inlineStr">
        <is>
          <t>Carbon capture</t>
        </is>
      </c>
      <c r="D3272" s="12" t="inlineStr">
        <is>
          <t>Analog instrument to JB JB-CO2 dehydration: m-AI01: 20 x 1 pr (field cables)</t>
        </is>
      </c>
      <c r="E3272" s="12" t="inlineStr"/>
      <c r="F3272" s="12" t="inlineStr">
        <is>
          <t>CO2 dehydration: molecular-sieve towers and regeneration heater</t>
        </is>
      </c>
      <c r="G3272" s="12" t="inlineStr">
        <is>
          <t>JB-CO2 dehydration: m-AI01</t>
        </is>
      </c>
      <c r="H3272" s="12" t="inlineStr">
        <is>
          <t>CO2 dehydration: molecular-sieve towers and regeneration heater</t>
        </is>
      </c>
      <c r="I3272" s="12" t="inlineStr">
        <is>
          <t>Instrumentation</t>
        </is>
      </c>
      <c r="J3272" s="12" t="inlineStr">
        <is>
          <t>Instrumentation PLTC / TC-ER 300 V, #18 twisted shielded pairs, overall shield</t>
        </is>
      </c>
      <c r="K3272" s="12" t="inlineStr">
        <is>
          <t>PLTC|1 pr|16</t>
        </is>
      </c>
      <c r="L3272" s="12" t="inlineStr">
        <is>
          <t>1 pr</t>
        </is>
      </c>
      <c r="M3272" s="12" t="inlineStr">
        <is>
          <t>16</t>
        </is>
      </c>
      <c r="N3272" s="12" t="n">
        <v>20</v>
      </c>
      <c r="O3272" s="12" t="n">
        <v>1</v>
      </c>
      <c r="P3272" s="12" t="n"/>
      <c r="Q3272" s="12" t="n"/>
      <c r="R3272" s="12" t="n"/>
      <c r="S3272" s="12" t="inlineStr">
        <is>
          <t>Tray / conduit</t>
        </is>
      </c>
      <c r="T3272" s="16" t="n">
        <v>81</v>
      </c>
      <c r="U3272" s="16" t="n">
        <v>10</v>
      </c>
      <c r="V3272" s="16">
        <f>ROUNDUP((T3272+U3272+2*'Read Me'!$B$13)*(1+'Read Me'!$B$12),-1)</f>
        <v/>
      </c>
      <c r="W3272" s="16">
        <f>V3272*N3272*O3272</f>
        <v/>
      </c>
      <c r="X3272" s="12">
        <f>IF(LEFT(I3272,2)="MV",2*N3272*IF(L3272="1/C",O3272,1),0)</f>
        <v/>
      </c>
      <c r="Y3272" s="12">
        <f>IF(OR(LEFT(K3272,4)="LVAX",LEFT(K3272,6)="MV15AX",LEFT(K3272,4)="CTAX",LEFT(K3272,2)="W|"),2*N3272*O3272,0)</f>
        <v/>
      </c>
      <c r="Z3272" s="12" t="inlineStr">
        <is>
          <t>device-to-JB field wiring, one cable per device</t>
        </is>
      </c>
      <c r="AA3272" s="12">
        <f>N3272*O3272</f>
        <v/>
      </c>
    </row>
    <row r="3273">
      <c r="A3273" s="12" t="inlineStr">
        <is>
          <t>G-I-0142</t>
        </is>
      </c>
      <c r="B3273" s="12" t="inlineStr">
        <is>
          <t>G</t>
        </is>
      </c>
      <c r="C3273" s="12" t="inlineStr">
        <is>
          <t>Carbon capture</t>
        </is>
      </c>
      <c r="D3273" s="12" t="inlineStr">
        <is>
          <t>Home run JB-CO2 dehydration: m-AI01 to the control / marshalling room</t>
        </is>
      </c>
      <c r="E3273" s="12" t="inlineStr"/>
      <c r="F3273" s="12" t="inlineStr">
        <is>
          <t>CCS F&amp;G / control</t>
        </is>
      </c>
      <c r="G3273" s="12" t="inlineStr">
        <is>
          <t>JB-CO2 dehydration: m-AI01</t>
        </is>
      </c>
      <c r="H3273" s="12" t="inlineStr">
        <is>
          <t>CO2 dehydration: molecular-sieve towers and regeneration heater</t>
        </is>
      </c>
      <c r="I3273" s="12" t="inlineStr">
        <is>
          <t>Instrumentation</t>
        </is>
      </c>
      <c r="J3273" s="12" t="inlineStr">
        <is>
          <t>Instrumentation PLTC / TC-ER 300 V, #18 twisted shielded pairs, overall shield</t>
        </is>
      </c>
      <c r="K3273" s="12" t="inlineStr">
        <is>
          <t>PLTC|24 pr|18</t>
        </is>
      </c>
      <c r="L3273" s="12" t="inlineStr">
        <is>
          <t>24 pr</t>
        </is>
      </c>
      <c r="M3273" s="12" t="inlineStr">
        <is>
          <t>18</t>
        </is>
      </c>
      <c r="N3273" s="12" t="n">
        <v>1</v>
      </c>
      <c r="O3273" s="12" t="n">
        <v>1</v>
      </c>
      <c r="P3273" s="12" t="n"/>
      <c r="Q3273" s="12" t="n"/>
      <c r="R3273" s="12" t="n"/>
      <c r="S3273" s="12" t="inlineStr">
        <is>
          <t>Duct bank</t>
        </is>
      </c>
      <c r="T3273" s="16" t="n">
        <v>197</v>
      </c>
      <c r="U3273" s="16" t="n">
        <v>229</v>
      </c>
      <c r="V3273" s="16">
        <f>ROUNDUP((T3273+U3273+2*'Read Me'!$B$13)*(1+'Read Me'!$B$12),-1)</f>
        <v/>
      </c>
      <c r="W3273" s="16">
        <f>V3273*N3273*O3273</f>
        <v/>
      </c>
      <c r="X3273" s="12">
        <f>IF(LEFT(I3273,2)="MV",2*N3273*IF(L3273="1/C",O3273,1),0)</f>
        <v/>
      </c>
      <c r="Y3273" s="12">
        <f>IF(OR(LEFT(K3273,4)="LVAX",LEFT(K3273,6)="MV15AX",LEFT(K3273,4)="CTAX",LEFT(K3273,2)="W|"),2*N3273*O3273,0)</f>
        <v/>
      </c>
      <c r="Z3273" s="12" t="inlineStr"/>
      <c r="AA3273" s="12">
        <f>N3273*O3273</f>
        <v/>
      </c>
    </row>
    <row r="3274">
      <c r="A3274" s="12" t="inlineStr">
        <is>
          <t>G-I-0143</t>
        </is>
      </c>
      <c r="B3274" s="12" t="inlineStr">
        <is>
          <t>G</t>
        </is>
      </c>
      <c r="C3274" s="12" t="inlineStr">
        <is>
          <t>Carbon capture</t>
        </is>
      </c>
      <c r="D3274" s="12" t="inlineStr">
        <is>
          <t>Analog instrument to JB JB-CO2 dehydration: m-AI02: 10 x 1 pr (field cables)</t>
        </is>
      </c>
      <c r="E3274" s="12" t="inlineStr"/>
      <c r="F3274" s="12" t="inlineStr">
        <is>
          <t>CO2 dehydration: molecular-sieve towers and regeneration heater</t>
        </is>
      </c>
      <c r="G3274" s="12" t="inlineStr">
        <is>
          <t>JB-CO2 dehydration: m-AI02</t>
        </is>
      </c>
      <c r="H3274" s="12" t="inlineStr">
        <is>
          <t>CO2 dehydration: molecular-sieve towers and regeneration heater</t>
        </is>
      </c>
      <c r="I3274" s="12" t="inlineStr">
        <is>
          <t>Instrumentation</t>
        </is>
      </c>
      <c r="J3274" s="12" t="inlineStr">
        <is>
          <t>Instrumentation PLTC / TC-ER 300 V, #18 twisted shielded pairs, overall shield</t>
        </is>
      </c>
      <c r="K3274" s="12" t="inlineStr">
        <is>
          <t>PLTC|1 pr|16</t>
        </is>
      </c>
      <c r="L3274" s="12" t="inlineStr">
        <is>
          <t>1 pr</t>
        </is>
      </c>
      <c r="M3274" s="12" t="inlineStr">
        <is>
          <t>16</t>
        </is>
      </c>
      <c r="N3274" s="12" t="n">
        <v>10</v>
      </c>
      <c r="O3274" s="12" t="n">
        <v>1</v>
      </c>
      <c r="P3274" s="12" t="n"/>
      <c r="Q3274" s="12" t="n"/>
      <c r="R3274" s="12" t="n"/>
      <c r="S3274" s="12" t="inlineStr">
        <is>
          <t>Tray / conduit</t>
        </is>
      </c>
      <c r="T3274" s="16" t="n">
        <v>81</v>
      </c>
      <c r="U3274" s="16" t="n">
        <v>10</v>
      </c>
      <c r="V3274" s="16">
        <f>ROUNDUP((T3274+U3274+2*'Read Me'!$B$13)*(1+'Read Me'!$B$12),-1)</f>
        <v/>
      </c>
      <c r="W3274" s="16">
        <f>V3274*N3274*O3274</f>
        <v/>
      </c>
      <c r="X3274" s="12">
        <f>IF(LEFT(I3274,2)="MV",2*N3274*IF(L3274="1/C",O3274,1),0)</f>
        <v/>
      </c>
      <c r="Y3274" s="12">
        <f>IF(OR(LEFT(K3274,4)="LVAX",LEFT(K3274,6)="MV15AX",LEFT(K3274,4)="CTAX",LEFT(K3274,2)="W|"),2*N3274*O3274,0)</f>
        <v/>
      </c>
      <c r="Z3274" s="12" t="inlineStr">
        <is>
          <t>device-to-JB field wiring, one cable per device</t>
        </is>
      </c>
      <c r="AA3274" s="12">
        <f>N3274*O3274</f>
        <v/>
      </c>
    </row>
    <row r="3275">
      <c r="A3275" s="12" t="inlineStr">
        <is>
          <t>G-I-0144</t>
        </is>
      </c>
      <c r="B3275" s="12" t="inlineStr">
        <is>
          <t>G</t>
        </is>
      </c>
      <c r="C3275" s="12" t="inlineStr">
        <is>
          <t>Carbon capture</t>
        </is>
      </c>
      <c r="D3275" s="12" t="inlineStr">
        <is>
          <t>Home run JB-CO2 dehydration: m-AI02 to the control / marshalling room</t>
        </is>
      </c>
      <c r="E3275" s="12" t="inlineStr"/>
      <c r="F3275" s="12" t="inlineStr">
        <is>
          <t>CCS F&amp;G / control</t>
        </is>
      </c>
      <c r="G3275" s="12" t="inlineStr">
        <is>
          <t>JB-CO2 dehydration: m-AI02</t>
        </is>
      </c>
      <c r="H3275" s="12" t="inlineStr">
        <is>
          <t>CO2 dehydration: molecular-sieve towers and regeneration heater</t>
        </is>
      </c>
      <c r="I3275" s="12" t="inlineStr">
        <is>
          <t>Instrumentation</t>
        </is>
      </c>
      <c r="J3275" s="12" t="inlineStr">
        <is>
          <t>Instrumentation PLTC / TC-ER 300 V, #18 twisted shielded pairs, overall shield</t>
        </is>
      </c>
      <c r="K3275" s="12" t="inlineStr">
        <is>
          <t>PLTC|24 pr|18</t>
        </is>
      </c>
      <c r="L3275" s="12" t="inlineStr">
        <is>
          <t>24 pr</t>
        </is>
      </c>
      <c r="M3275" s="12" t="inlineStr">
        <is>
          <t>18</t>
        </is>
      </c>
      <c r="N3275" s="12" t="n">
        <v>1</v>
      </c>
      <c r="O3275" s="12" t="n">
        <v>1</v>
      </c>
      <c r="P3275" s="12" t="n"/>
      <c r="Q3275" s="12" t="n"/>
      <c r="R3275" s="12" t="n"/>
      <c r="S3275" s="12" t="inlineStr">
        <is>
          <t>Duct bank</t>
        </is>
      </c>
      <c r="T3275" s="16" t="n">
        <v>197</v>
      </c>
      <c r="U3275" s="16" t="n">
        <v>229</v>
      </c>
      <c r="V3275" s="16">
        <f>ROUNDUP((T3275+U3275+2*'Read Me'!$B$13)*(1+'Read Me'!$B$12),-1)</f>
        <v/>
      </c>
      <c r="W3275" s="16">
        <f>V3275*N3275*O3275</f>
        <v/>
      </c>
      <c r="X3275" s="12">
        <f>IF(LEFT(I3275,2)="MV",2*N3275*IF(L3275="1/C",O3275,1),0)</f>
        <v/>
      </c>
      <c r="Y3275" s="12">
        <f>IF(OR(LEFT(K3275,4)="LVAX",LEFT(K3275,6)="MV15AX",LEFT(K3275,4)="CTAX",LEFT(K3275,2)="W|"),2*N3275*O3275,0)</f>
        <v/>
      </c>
      <c r="Z3275" s="12" t="inlineStr"/>
      <c r="AA3275" s="12">
        <f>N3275*O3275</f>
        <v/>
      </c>
    </row>
    <row r="3276">
      <c r="A3276" s="12" t="inlineStr">
        <is>
          <t>G-I-0145</t>
        </is>
      </c>
      <c r="B3276" s="12" t="inlineStr">
        <is>
          <t>G</t>
        </is>
      </c>
      <c r="C3276" s="12" t="inlineStr">
        <is>
          <t>Carbon capture</t>
        </is>
      </c>
      <c r="D3276" s="12" t="inlineStr">
        <is>
          <t>Discrete device to JB JB-CO2 dehydration: m-DI01: 20 x 1 pr (field cables)</t>
        </is>
      </c>
      <c r="E3276" s="12" t="inlineStr"/>
      <c r="F3276" s="12" t="inlineStr">
        <is>
          <t>CO2 dehydration: molecular-sieve towers and regeneration heater</t>
        </is>
      </c>
      <c r="G3276" s="12" t="inlineStr">
        <is>
          <t>JB-CO2 dehydration: m-DI01</t>
        </is>
      </c>
      <c r="H3276" s="12" t="inlineStr">
        <is>
          <t>CO2 dehydration: molecular-sieve towers and regeneration heater</t>
        </is>
      </c>
      <c r="I3276" s="12" t="inlineStr">
        <is>
          <t>Instrumentation</t>
        </is>
      </c>
      <c r="J3276" s="12" t="inlineStr">
        <is>
          <t>Instrumentation PLTC / TC-ER 300 V, #18 twisted shielded pairs, overall shield</t>
        </is>
      </c>
      <c r="K3276" s="12" t="inlineStr">
        <is>
          <t>PLTC|1 pr|16</t>
        </is>
      </c>
      <c r="L3276" s="12" t="inlineStr">
        <is>
          <t>1 pr</t>
        </is>
      </c>
      <c r="M3276" s="12" t="inlineStr">
        <is>
          <t>16</t>
        </is>
      </c>
      <c r="N3276" s="12" t="n">
        <v>20</v>
      </c>
      <c r="O3276" s="12" t="n">
        <v>1</v>
      </c>
      <c r="P3276" s="12" t="n"/>
      <c r="Q3276" s="12" t="n"/>
      <c r="R3276" s="12" t="n"/>
      <c r="S3276" s="12" t="inlineStr">
        <is>
          <t>Tray / conduit</t>
        </is>
      </c>
      <c r="T3276" s="16" t="n">
        <v>81</v>
      </c>
      <c r="U3276" s="16" t="n">
        <v>10</v>
      </c>
      <c r="V3276" s="16">
        <f>ROUNDUP((T3276+U3276+2*'Read Me'!$B$13)*(1+'Read Me'!$B$12),-1)</f>
        <v/>
      </c>
      <c r="W3276" s="16">
        <f>V3276*N3276*O3276</f>
        <v/>
      </c>
      <c r="X3276" s="12">
        <f>IF(LEFT(I3276,2)="MV",2*N3276*IF(L3276="1/C",O3276,1),0)</f>
        <v/>
      </c>
      <c r="Y3276" s="12">
        <f>IF(OR(LEFT(K3276,4)="LVAX",LEFT(K3276,6)="MV15AX",LEFT(K3276,4)="CTAX",LEFT(K3276,2)="W|"),2*N3276*O3276,0)</f>
        <v/>
      </c>
      <c r="Z3276" s="12" t="inlineStr">
        <is>
          <t>device-to-JB field wiring, one cable per device</t>
        </is>
      </c>
      <c r="AA3276" s="12">
        <f>N3276*O3276</f>
        <v/>
      </c>
    </row>
    <row r="3277">
      <c r="A3277" s="12" t="inlineStr">
        <is>
          <t>G-I-0146</t>
        </is>
      </c>
      <c r="B3277" s="12" t="inlineStr">
        <is>
          <t>G</t>
        </is>
      </c>
      <c r="C3277" s="12" t="inlineStr">
        <is>
          <t>Carbon capture</t>
        </is>
      </c>
      <c r="D3277" s="12" t="inlineStr">
        <is>
          <t>Home run JB-CO2 dehydration: m-DI01 to the control / marshalling room</t>
        </is>
      </c>
      <c r="E3277" s="12" t="inlineStr"/>
      <c r="F3277" s="12" t="inlineStr">
        <is>
          <t>CCS F&amp;G / control</t>
        </is>
      </c>
      <c r="G3277" s="12" t="inlineStr">
        <is>
          <t>JB-CO2 dehydration: m-DI01</t>
        </is>
      </c>
      <c r="H3277" s="12" t="inlineStr">
        <is>
          <t>CO2 dehydration: molecular-sieve towers and regeneration heater</t>
        </is>
      </c>
      <c r="I3277" s="12" t="inlineStr">
        <is>
          <t>Instrumentation</t>
        </is>
      </c>
      <c r="J3277" s="12" t="inlineStr">
        <is>
          <t>Instrumentation PLTC / TC-ER 300 V, #18 twisted shielded pairs, overall shield</t>
        </is>
      </c>
      <c r="K3277" s="12" t="inlineStr">
        <is>
          <t>PLTC|24 pr|18</t>
        </is>
      </c>
      <c r="L3277" s="12" t="inlineStr">
        <is>
          <t>24 pr</t>
        </is>
      </c>
      <c r="M3277" s="12" t="inlineStr">
        <is>
          <t>18</t>
        </is>
      </c>
      <c r="N3277" s="12" t="n">
        <v>1</v>
      </c>
      <c r="O3277" s="12" t="n">
        <v>1</v>
      </c>
      <c r="P3277" s="12" t="n"/>
      <c r="Q3277" s="12" t="n"/>
      <c r="R3277" s="12" t="n"/>
      <c r="S3277" s="12" t="inlineStr">
        <is>
          <t>Duct bank</t>
        </is>
      </c>
      <c r="T3277" s="16" t="n">
        <v>197</v>
      </c>
      <c r="U3277" s="16" t="n">
        <v>229</v>
      </c>
      <c r="V3277" s="16">
        <f>ROUNDUP((T3277+U3277+2*'Read Me'!$B$13)*(1+'Read Me'!$B$12),-1)</f>
        <v/>
      </c>
      <c r="W3277" s="16">
        <f>V3277*N3277*O3277</f>
        <v/>
      </c>
      <c r="X3277" s="12">
        <f>IF(LEFT(I3277,2)="MV",2*N3277*IF(L3277="1/C",O3277,1),0)</f>
        <v/>
      </c>
      <c r="Y3277" s="12">
        <f>IF(OR(LEFT(K3277,4)="LVAX",LEFT(K3277,6)="MV15AX",LEFT(K3277,4)="CTAX",LEFT(K3277,2)="W|"),2*N3277*O3277,0)</f>
        <v/>
      </c>
      <c r="Z3277" s="12" t="inlineStr"/>
      <c r="AA3277" s="12">
        <f>N3277*O3277</f>
        <v/>
      </c>
    </row>
    <row r="3278">
      <c r="A3278" s="12" t="inlineStr">
        <is>
          <t>G-I-0147</t>
        </is>
      </c>
      <c r="B3278" s="12" t="inlineStr">
        <is>
          <t>G</t>
        </is>
      </c>
      <c r="C3278" s="12" t="inlineStr">
        <is>
          <t>Carbon capture</t>
        </is>
      </c>
      <c r="D3278" s="12" t="inlineStr">
        <is>
          <t>Discrete device to JB JB-CO2 dehydration: m-DI02: 10 x 1 pr (field cables)</t>
        </is>
      </c>
      <c r="E3278" s="12" t="inlineStr"/>
      <c r="F3278" s="12" t="inlineStr">
        <is>
          <t>CO2 dehydration: molecular-sieve towers and regeneration heater</t>
        </is>
      </c>
      <c r="G3278" s="12" t="inlineStr">
        <is>
          <t>JB-CO2 dehydration: m-DI02</t>
        </is>
      </c>
      <c r="H3278" s="12" t="inlineStr">
        <is>
          <t>CO2 dehydration: molecular-sieve towers and regeneration heater</t>
        </is>
      </c>
      <c r="I3278" s="12" t="inlineStr">
        <is>
          <t>Instrumentation</t>
        </is>
      </c>
      <c r="J3278" s="12" t="inlineStr">
        <is>
          <t>Instrumentation PLTC / TC-ER 300 V, #18 twisted shielded pairs, overall shield</t>
        </is>
      </c>
      <c r="K3278" s="12" t="inlineStr">
        <is>
          <t>PLTC|1 pr|16</t>
        </is>
      </c>
      <c r="L3278" s="12" t="inlineStr">
        <is>
          <t>1 pr</t>
        </is>
      </c>
      <c r="M3278" s="12" t="inlineStr">
        <is>
          <t>16</t>
        </is>
      </c>
      <c r="N3278" s="12" t="n">
        <v>10</v>
      </c>
      <c r="O3278" s="12" t="n">
        <v>1</v>
      </c>
      <c r="P3278" s="12" t="n"/>
      <c r="Q3278" s="12" t="n"/>
      <c r="R3278" s="12" t="n"/>
      <c r="S3278" s="12" t="inlineStr">
        <is>
          <t>Tray / conduit</t>
        </is>
      </c>
      <c r="T3278" s="16" t="n">
        <v>81</v>
      </c>
      <c r="U3278" s="16" t="n">
        <v>10</v>
      </c>
      <c r="V3278" s="16">
        <f>ROUNDUP((T3278+U3278+2*'Read Me'!$B$13)*(1+'Read Me'!$B$12),-1)</f>
        <v/>
      </c>
      <c r="W3278" s="16">
        <f>V3278*N3278*O3278</f>
        <v/>
      </c>
      <c r="X3278" s="12">
        <f>IF(LEFT(I3278,2)="MV",2*N3278*IF(L3278="1/C",O3278,1),0)</f>
        <v/>
      </c>
      <c r="Y3278" s="12">
        <f>IF(OR(LEFT(K3278,4)="LVAX",LEFT(K3278,6)="MV15AX",LEFT(K3278,4)="CTAX",LEFT(K3278,2)="W|"),2*N3278*O3278,0)</f>
        <v/>
      </c>
      <c r="Z3278" s="12" t="inlineStr">
        <is>
          <t>device-to-JB field wiring, one cable per device</t>
        </is>
      </c>
      <c r="AA3278" s="12">
        <f>N3278*O3278</f>
        <v/>
      </c>
    </row>
    <row r="3279">
      <c r="A3279" s="12" t="inlineStr">
        <is>
          <t>G-I-0148</t>
        </is>
      </c>
      <c r="B3279" s="12" t="inlineStr">
        <is>
          <t>G</t>
        </is>
      </c>
      <c r="C3279" s="12" t="inlineStr">
        <is>
          <t>Carbon capture</t>
        </is>
      </c>
      <c r="D3279" s="12" t="inlineStr">
        <is>
          <t>Home run JB-CO2 dehydration: m-DI02 to the control / marshalling room</t>
        </is>
      </c>
      <c r="E3279" s="12" t="inlineStr"/>
      <c r="F3279" s="12" t="inlineStr">
        <is>
          <t>CCS F&amp;G / control</t>
        </is>
      </c>
      <c r="G3279" s="12" t="inlineStr">
        <is>
          <t>JB-CO2 dehydration: m-DI02</t>
        </is>
      </c>
      <c r="H3279" s="12" t="inlineStr">
        <is>
          <t>CO2 dehydration: molecular-sieve towers and regeneration heater</t>
        </is>
      </c>
      <c r="I3279" s="12" t="inlineStr">
        <is>
          <t>Instrumentation</t>
        </is>
      </c>
      <c r="J3279" s="12" t="inlineStr">
        <is>
          <t>Instrumentation PLTC / TC-ER 300 V, #18 twisted shielded pairs, overall shield</t>
        </is>
      </c>
      <c r="K3279" s="12" t="inlineStr">
        <is>
          <t>PLTC|24 pr|18</t>
        </is>
      </c>
      <c r="L3279" s="12" t="inlineStr">
        <is>
          <t>24 pr</t>
        </is>
      </c>
      <c r="M3279" s="12" t="inlineStr">
        <is>
          <t>18</t>
        </is>
      </c>
      <c r="N3279" s="12" t="n">
        <v>1</v>
      </c>
      <c r="O3279" s="12" t="n">
        <v>1</v>
      </c>
      <c r="P3279" s="12" t="n"/>
      <c r="Q3279" s="12" t="n"/>
      <c r="R3279" s="12" t="n"/>
      <c r="S3279" s="12" t="inlineStr">
        <is>
          <t>Duct bank</t>
        </is>
      </c>
      <c r="T3279" s="16" t="n">
        <v>197</v>
      </c>
      <c r="U3279" s="16" t="n">
        <v>229</v>
      </c>
      <c r="V3279" s="16">
        <f>ROUNDUP((T3279+U3279+2*'Read Me'!$B$13)*(1+'Read Me'!$B$12),-1)</f>
        <v/>
      </c>
      <c r="W3279" s="16">
        <f>V3279*N3279*O3279</f>
        <v/>
      </c>
      <c r="X3279" s="12">
        <f>IF(LEFT(I3279,2)="MV",2*N3279*IF(L3279="1/C",O3279,1),0)</f>
        <v/>
      </c>
      <c r="Y3279" s="12">
        <f>IF(OR(LEFT(K3279,4)="LVAX",LEFT(K3279,6)="MV15AX",LEFT(K3279,4)="CTAX",LEFT(K3279,2)="W|"),2*N3279*O3279,0)</f>
        <v/>
      </c>
      <c r="Z3279" s="12" t="inlineStr"/>
      <c r="AA3279" s="12">
        <f>N3279*O3279</f>
        <v/>
      </c>
    </row>
    <row r="3280">
      <c r="A3280" s="12" t="inlineStr">
        <is>
          <t>G-I-0149</t>
        </is>
      </c>
      <c r="B3280" s="12" t="inlineStr">
        <is>
          <t>G</t>
        </is>
      </c>
      <c r="C3280" s="12" t="inlineStr">
        <is>
          <t>Carbon capture</t>
        </is>
      </c>
      <c r="D3280" s="12" t="inlineStr">
        <is>
          <t>Analog instrument to JB JB-CONDITIONAL: HP ex-AI01: 20 x 1 pr (field cables)</t>
        </is>
      </c>
      <c r="E3280" s="12" t="inlineStr"/>
      <c r="F3280" s="12" t="inlineStr">
        <is>
          <t>CONDITIONAL: HP export compressor + metering</t>
        </is>
      </c>
      <c r="G3280" s="12" t="inlineStr">
        <is>
          <t>JB-CONDITIONAL: HP ex-AI01</t>
        </is>
      </c>
      <c r="H3280" s="12" t="inlineStr">
        <is>
          <t>CONDITIONAL: HP export compressor + metering</t>
        </is>
      </c>
      <c r="I3280" s="12" t="inlineStr">
        <is>
          <t>Instrumentation</t>
        </is>
      </c>
      <c r="J3280" s="12" t="inlineStr">
        <is>
          <t>Instrumentation ITC / PLTC, IS, #18 shielded pairs, blue jacket</t>
        </is>
      </c>
      <c r="K3280" s="12" t="inlineStr">
        <is>
          <t>ITC|1 pr|16</t>
        </is>
      </c>
      <c r="L3280" s="12" t="inlineStr">
        <is>
          <t>1 pr</t>
        </is>
      </c>
      <c r="M3280" s="12" t="inlineStr">
        <is>
          <t>16</t>
        </is>
      </c>
      <c r="N3280" s="12" t="n">
        <v>20</v>
      </c>
      <c r="O3280" s="12" t="n">
        <v>1</v>
      </c>
      <c r="P3280" s="12" t="n"/>
      <c r="Q3280" s="12" t="n"/>
      <c r="R3280" s="12" t="n"/>
      <c r="S3280" s="12" t="inlineStr">
        <is>
          <t>Tray / conduit</t>
        </is>
      </c>
      <c r="T3280" s="16" t="n">
        <v>100</v>
      </c>
      <c r="U3280" s="16" t="n">
        <v>10</v>
      </c>
      <c r="V3280" s="16">
        <f>ROUNDUP((T3280+U3280+2*'Read Me'!$B$13)*(1+'Read Me'!$B$12),-1)</f>
        <v/>
      </c>
      <c r="W3280" s="16">
        <f>V3280*N3280*O3280</f>
        <v/>
      </c>
      <c r="X3280" s="12">
        <f>IF(LEFT(I3280,2)="MV",2*N3280*IF(L3280="1/C",O3280,1),0)</f>
        <v/>
      </c>
      <c r="Y3280" s="12">
        <f>IF(OR(LEFT(K3280,4)="LVAX",LEFT(K3280,6)="MV15AX",LEFT(K3280,4)="CTAX",LEFT(K3280,2)="W|"),2*N3280*O3280,0)</f>
        <v/>
      </c>
      <c r="Z3280" s="12" t="inlineStr">
        <is>
          <t>device-to-JB field wiring, one cable per device</t>
        </is>
      </c>
      <c r="AA3280" s="12">
        <f>N3280*O3280</f>
        <v/>
      </c>
    </row>
    <row r="3281">
      <c r="A3281" s="12" t="inlineStr">
        <is>
          <t>G-I-0150</t>
        </is>
      </c>
      <c r="B3281" s="12" t="inlineStr">
        <is>
          <t>G</t>
        </is>
      </c>
      <c r="C3281" s="12" t="inlineStr">
        <is>
          <t>Carbon capture</t>
        </is>
      </c>
      <c r="D3281" s="12" t="inlineStr">
        <is>
          <t>Home run JB-CONDITIONAL: HP ex-AI01 to the control / marshalling room</t>
        </is>
      </c>
      <c r="E3281" s="12" t="inlineStr"/>
      <c r="F3281" s="12" t="inlineStr">
        <is>
          <t>CCS F&amp;G / control</t>
        </is>
      </c>
      <c r="G3281" s="12" t="inlineStr">
        <is>
          <t>JB-CONDITIONAL: HP ex-AI01</t>
        </is>
      </c>
      <c r="H3281" s="12" t="inlineStr">
        <is>
          <t>CONDITIONAL: HP export compressor + metering</t>
        </is>
      </c>
      <c r="I3281" s="12" t="inlineStr">
        <is>
          <t>Instrumentation</t>
        </is>
      </c>
      <c r="J3281" s="12" t="inlineStr">
        <is>
          <t>Instrumentation ITC / PLTC, IS, #18 shielded pairs, blue jacket</t>
        </is>
      </c>
      <c r="K3281" s="12" t="inlineStr">
        <is>
          <t>ITC|24 pr|18</t>
        </is>
      </c>
      <c r="L3281" s="12" t="inlineStr">
        <is>
          <t>24 pr</t>
        </is>
      </c>
      <c r="M3281" s="12" t="inlineStr">
        <is>
          <t>18</t>
        </is>
      </c>
      <c r="N3281" s="12" t="n">
        <v>1</v>
      </c>
      <c r="O3281" s="12" t="n">
        <v>1</v>
      </c>
      <c r="P3281" s="12" t="n"/>
      <c r="Q3281" s="12" t="n"/>
      <c r="R3281" s="12" t="n"/>
      <c r="S3281" s="12" t="inlineStr">
        <is>
          <t>Duct bank</t>
        </is>
      </c>
      <c r="T3281" s="16" t="n">
        <v>144</v>
      </c>
      <c r="U3281" s="16" t="n">
        <v>154</v>
      </c>
      <c r="V3281" s="16">
        <f>ROUNDUP((T3281+U3281+2*'Read Me'!$B$13)*(1+'Read Me'!$B$12),-1)</f>
        <v/>
      </c>
      <c r="W3281" s="16">
        <f>V3281*N3281*O3281</f>
        <v/>
      </c>
      <c r="X3281" s="12">
        <f>IF(LEFT(I3281,2)="MV",2*N3281*IF(L3281="1/C",O3281,1),0)</f>
        <v/>
      </c>
      <c r="Y3281" s="12">
        <f>IF(OR(LEFT(K3281,4)="LVAX",LEFT(K3281,6)="MV15AX",LEFT(K3281,4)="CTAX",LEFT(K3281,2)="W|"),2*N3281*O3281,0)</f>
        <v/>
      </c>
      <c r="Z3281" s="12" t="inlineStr"/>
      <c r="AA3281" s="12">
        <f>N3281*O3281</f>
        <v/>
      </c>
    </row>
    <row r="3282">
      <c r="A3282" s="12" t="inlineStr">
        <is>
          <t>G-I-0151</t>
        </is>
      </c>
      <c r="B3282" s="12" t="inlineStr">
        <is>
          <t>G</t>
        </is>
      </c>
      <c r="C3282" s="12" t="inlineStr">
        <is>
          <t>Carbon capture</t>
        </is>
      </c>
      <c r="D3282" s="12" t="inlineStr">
        <is>
          <t>Analog instrument to JB JB-CONDITIONAL: HP ex-AI02: 20 x 1 pr (field cables)</t>
        </is>
      </c>
      <c r="E3282" s="12" t="inlineStr"/>
      <c r="F3282" s="12" t="inlineStr">
        <is>
          <t>CONDITIONAL: HP export compressor + metering</t>
        </is>
      </c>
      <c r="G3282" s="12" t="inlineStr">
        <is>
          <t>JB-CONDITIONAL: HP ex-AI02</t>
        </is>
      </c>
      <c r="H3282" s="12" t="inlineStr">
        <is>
          <t>CONDITIONAL: HP export compressor + metering</t>
        </is>
      </c>
      <c r="I3282" s="12" t="inlineStr">
        <is>
          <t>Instrumentation</t>
        </is>
      </c>
      <c r="J3282" s="12" t="inlineStr">
        <is>
          <t>Instrumentation ITC / PLTC, IS, #18 shielded pairs, blue jacket</t>
        </is>
      </c>
      <c r="K3282" s="12" t="inlineStr">
        <is>
          <t>ITC|1 pr|16</t>
        </is>
      </c>
      <c r="L3282" s="12" t="inlineStr">
        <is>
          <t>1 pr</t>
        </is>
      </c>
      <c r="M3282" s="12" t="inlineStr">
        <is>
          <t>16</t>
        </is>
      </c>
      <c r="N3282" s="12" t="n">
        <v>20</v>
      </c>
      <c r="O3282" s="12" t="n">
        <v>1</v>
      </c>
      <c r="P3282" s="12" t="n"/>
      <c r="Q3282" s="12" t="n"/>
      <c r="R3282" s="12" t="n"/>
      <c r="S3282" s="12" t="inlineStr">
        <is>
          <t>Tray / conduit</t>
        </is>
      </c>
      <c r="T3282" s="16" t="n">
        <v>100</v>
      </c>
      <c r="U3282" s="16" t="n">
        <v>10</v>
      </c>
      <c r="V3282" s="16">
        <f>ROUNDUP((T3282+U3282+2*'Read Me'!$B$13)*(1+'Read Me'!$B$12),-1)</f>
        <v/>
      </c>
      <c r="W3282" s="16">
        <f>V3282*N3282*O3282</f>
        <v/>
      </c>
      <c r="X3282" s="12">
        <f>IF(LEFT(I3282,2)="MV",2*N3282*IF(L3282="1/C",O3282,1),0)</f>
        <v/>
      </c>
      <c r="Y3282" s="12">
        <f>IF(OR(LEFT(K3282,4)="LVAX",LEFT(K3282,6)="MV15AX",LEFT(K3282,4)="CTAX",LEFT(K3282,2)="W|"),2*N3282*O3282,0)</f>
        <v/>
      </c>
      <c r="Z3282" s="12" t="inlineStr">
        <is>
          <t>device-to-JB field wiring, one cable per device</t>
        </is>
      </c>
      <c r="AA3282" s="12">
        <f>N3282*O3282</f>
        <v/>
      </c>
    </row>
    <row r="3283">
      <c r="A3283" s="12" t="inlineStr">
        <is>
          <t>G-I-0152</t>
        </is>
      </c>
      <c r="B3283" s="12" t="inlineStr">
        <is>
          <t>G</t>
        </is>
      </c>
      <c r="C3283" s="12" t="inlineStr">
        <is>
          <t>Carbon capture</t>
        </is>
      </c>
      <c r="D3283" s="12" t="inlineStr">
        <is>
          <t>Home run JB-CONDITIONAL: HP ex-AI02 to the control / marshalling room</t>
        </is>
      </c>
      <c r="E3283" s="12" t="inlineStr"/>
      <c r="F3283" s="12" t="inlineStr">
        <is>
          <t>CCS F&amp;G / control</t>
        </is>
      </c>
      <c r="G3283" s="12" t="inlineStr">
        <is>
          <t>JB-CONDITIONAL: HP ex-AI02</t>
        </is>
      </c>
      <c r="H3283" s="12" t="inlineStr">
        <is>
          <t>CONDITIONAL: HP export compressor + metering</t>
        </is>
      </c>
      <c r="I3283" s="12" t="inlineStr">
        <is>
          <t>Instrumentation</t>
        </is>
      </c>
      <c r="J3283" s="12" t="inlineStr">
        <is>
          <t>Instrumentation ITC / PLTC, IS, #18 shielded pairs, blue jacket</t>
        </is>
      </c>
      <c r="K3283" s="12" t="inlineStr">
        <is>
          <t>ITC|24 pr|18</t>
        </is>
      </c>
      <c r="L3283" s="12" t="inlineStr">
        <is>
          <t>24 pr</t>
        </is>
      </c>
      <c r="M3283" s="12" t="inlineStr">
        <is>
          <t>18</t>
        </is>
      </c>
      <c r="N3283" s="12" t="n">
        <v>1</v>
      </c>
      <c r="O3283" s="12" t="n">
        <v>1</v>
      </c>
      <c r="P3283" s="12" t="n"/>
      <c r="Q3283" s="12" t="n"/>
      <c r="R3283" s="12" t="n"/>
      <c r="S3283" s="12" t="inlineStr">
        <is>
          <t>Duct bank</t>
        </is>
      </c>
      <c r="T3283" s="16" t="n">
        <v>144</v>
      </c>
      <c r="U3283" s="16" t="n">
        <v>154</v>
      </c>
      <c r="V3283" s="16">
        <f>ROUNDUP((T3283+U3283+2*'Read Me'!$B$13)*(1+'Read Me'!$B$12),-1)</f>
        <v/>
      </c>
      <c r="W3283" s="16">
        <f>V3283*N3283*O3283</f>
        <v/>
      </c>
      <c r="X3283" s="12">
        <f>IF(LEFT(I3283,2)="MV",2*N3283*IF(L3283="1/C",O3283,1),0)</f>
        <v/>
      </c>
      <c r="Y3283" s="12">
        <f>IF(OR(LEFT(K3283,4)="LVAX",LEFT(K3283,6)="MV15AX",LEFT(K3283,4)="CTAX",LEFT(K3283,2)="W|"),2*N3283*O3283,0)</f>
        <v/>
      </c>
      <c r="Z3283" s="12" t="inlineStr"/>
      <c r="AA3283" s="12">
        <f>N3283*O3283</f>
        <v/>
      </c>
    </row>
    <row r="3284">
      <c r="A3284" s="12" t="inlineStr">
        <is>
          <t>G-I-0153</t>
        </is>
      </c>
      <c r="B3284" s="12" t="inlineStr">
        <is>
          <t>G</t>
        </is>
      </c>
      <c r="C3284" s="12" t="inlineStr">
        <is>
          <t>Carbon capture</t>
        </is>
      </c>
      <c r="D3284" s="12" t="inlineStr">
        <is>
          <t>Analog instrument to JB JB-CONDITIONAL: HP ex-AI03: 20 x 1 pr (field cables)</t>
        </is>
      </c>
      <c r="E3284" s="12" t="inlineStr"/>
      <c r="F3284" s="12" t="inlineStr">
        <is>
          <t>CONDITIONAL: HP export compressor + metering</t>
        </is>
      </c>
      <c r="G3284" s="12" t="inlineStr">
        <is>
          <t>JB-CONDITIONAL: HP ex-AI03</t>
        </is>
      </c>
      <c r="H3284" s="12" t="inlineStr">
        <is>
          <t>CONDITIONAL: HP export compressor + metering</t>
        </is>
      </c>
      <c r="I3284" s="12" t="inlineStr">
        <is>
          <t>Instrumentation</t>
        </is>
      </c>
      <c r="J3284" s="12" t="inlineStr">
        <is>
          <t>Instrumentation ITC / PLTC, IS, #18 shielded pairs, blue jacket</t>
        </is>
      </c>
      <c r="K3284" s="12" t="inlineStr">
        <is>
          <t>ITC|1 pr|16</t>
        </is>
      </c>
      <c r="L3284" s="12" t="inlineStr">
        <is>
          <t>1 pr</t>
        </is>
      </c>
      <c r="M3284" s="12" t="inlineStr">
        <is>
          <t>16</t>
        </is>
      </c>
      <c r="N3284" s="12" t="n">
        <v>20</v>
      </c>
      <c r="O3284" s="12" t="n">
        <v>1</v>
      </c>
      <c r="P3284" s="12" t="n"/>
      <c r="Q3284" s="12" t="n"/>
      <c r="R3284" s="12" t="n"/>
      <c r="S3284" s="12" t="inlineStr">
        <is>
          <t>Tray / conduit</t>
        </is>
      </c>
      <c r="T3284" s="16" t="n">
        <v>100</v>
      </c>
      <c r="U3284" s="16" t="n">
        <v>10</v>
      </c>
      <c r="V3284" s="16">
        <f>ROUNDUP((T3284+U3284+2*'Read Me'!$B$13)*(1+'Read Me'!$B$12),-1)</f>
        <v/>
      </c>
      <c r="W3284" s="16">
        <f>V3284*N3284*O3284</f>
        <v/>
      </c>
      <c r="X3284" s="12">
        <f>IF(LEFT(I3284,2)="MV",2*N3284*IF(L3284="1/C",O3284,1),0)</f>
        <v/>
      </c>
      <c r="Y3284" s="12">
        <f>IF(OR(LEFT(K3284,4)="LVAX",LEFT(K3284,6)="MV15AX",LEFT(K3284,4)="CTAX",LEFT(K3284,2)="W|"),2*N3284*O3284,0)</f>
        <v/>
      </c>
      <c r="Z3284" s="12" t="inlineStr">
        <is>
          <t>device-to-JB field wiring, one cable per device</t>
        </is>
      </c>
      <c r="AA3284" s="12">
        <f>N3284*O3284</f>
        <v/>
      </c>
    </row>
    <row r="3285">
      <c r="A3285" s="12" t="inlineStr">
        <is>
          <t>G-I-0154</t>
        </is>
      </c>
      <c r="B3285" s="12" t="inlineStr">
        <is>
          <t>G</t>
        </is>
      </c>
      <c r="C3285" s="12" t="inlineStr">
        <is>
          <t>Carbon capture</t>
        </is>
      </c>
      <c r="D3285" s="12" t="inlineStr">
        <is>
          <t>Home run JB-CONDITIONAL: HP ex-AI03 to the control / marshalling room</t>
        </is>
      </c>
      <c r="E3285" s="12" t="inlineStr"/>
      <c r="F3285" s="12" t="inlineStr">
        <is>
          <t>CCS F&amp;G / control</t>
        </is>
      </c>
      <c r="G3285" s="12" t="inlineStr">
        <is>
          <t>JB-CONDITIONAL: HP ex-AI03</t>
        </is>
      </c>
      <c r="H3285" s="12" t="inlineStr">
        <is>
          <t>CONDITIONAL: HP export compressor + metering</t>
        </is>
      </c>
      <c r="I3285" s="12" t="inlineStr">
        <is>
          <t>Instrumentation</t>
        </is>
      </c>
      <c r="J3285" s="12" t="inlineStr">
        <is>
          <t>Instrumentation ITC / PLTC, IS, #18 shielded pairs, blue jacket</t>
        </is>
      </c>
      <c r="K3285" s="12" t="inlineStr">
        <is>
          <t>ITC|24 pr|18</t>
        </is>
      </c>
      <c r="L3285" s="12" t="inlineStr">
        <is>
          <t>24 pr</t>
        </is>
      </c>
      <c r="M3285" s="12" t="inlineStr">
        <is>
          <t>18</t>
        </is>
      </c>
      <c r="N3285" s="12" t="n">
        <v>1</v>
      </c>
      <c r="O3285" s="12" t="n">
        <v>1</v>
      </c>
      <c r="P3285" s="12" t="n"/>
      <c r="Q3285" s="12" t="n"/>
      <c r="R3285" s="12" t="n"/>
      <c r="S3285" s="12" t="inlineStr">
        <is>
          <t>Duct bank</t>
        </is>
      </c>
      <c r="T3285" s="16" t="n">
        <v>144</v>
      </c>
      <c r="U3285" s="16" t="n">
        <v>154</v>
      </c>
      <c r="V3285" s="16">
        <f>ROUNDUP((T3285+U3285+2*'Read Me'!$B$13)*(1+'Read Me'!$B$12),-1)</f>
        <v/>
      </c>
      <c r="W3285" s="16">
        <f>V3285*N3285*O3285</f>
        <v/>
      </c>
      <c r="X3285" s="12">
        <f>IF(LEFT(I3285,2)="MV",2*N3285*IF(L3285="1/C",O3285,1),0)</f>
        <v/>
      </c>
      <c r="Y3285" s="12">
        <f>IF(OR(LEFT(K3285,4)="LVAX",LEFT(K3285,6)="MV15AX",LEFT(K3285,4)="CTAX",LEFT(K3285,2)="W|"),2*N3285*O3285,0)</f>
        <v/>
      </c>
      <c r="Z3285" s="12" t="inlineStr"/>
      <c r="AA3285" s="12">
        <f>N3285*O3285</f>
        <v/>
      </c>
    </row>
    <row r="3286">
      <c r="A3286" s="12" t="inlineStr">
        <is>
          <t>G-I-0155</t>
        </is>
      </c>
      <c r="B3286" s="12" t="inlineStr">
        <is>
          <t>G</t>
        </is>
      </c>
      <c r="C3286" s="12" t="inlineStr">
        <is>
          <t>Carbon capture</t>
        </is>
      </c>
      <c r="D3286" s="12" t="inlineStr">
        <is>
          <t>Discrete device to JB JB-CONDITIONAL: HP ex-DI01: 20 x 1 pr (field cables)</t>
        </is>
      </c>
      <c r="E3286" s="12" t="inlineStr"/>
      <c r="F3286" s="12" t="inlineStr">
        <is>
          <t>CONDITIONAL: HP export compressor + metering</t>
        </is>
      </c>
      <c r="G3286" s="12" t="inlineStr">
        <is>
          <t>JB-CONDITIONAL: HP ex-DI01</t>
        </is>
      </c>
      <c r="H3286" s="12" t="inlineStr">
        <is>
          <t>CONDITIONAL: HP export compressor + metering</t>
        </is>
      </c>
      <c r="I3286" s="12" t="inlineStr">
        <is>
          <t>Instrumentation</t>
        </is>
      </c>
      <c r="J3286" s="12" t="inlineStr">
        <is>
          <t>Instrumentation ITC / PLTC, IS, #18 shielded pairs, blue jacket</t>
        </is>
      </c>
      <c r="K3286" s="12" t="inlineStr">
        <is>
          <t>ITC|1 pr|16</t>
        </is>
      </c>
      <c r="L3286" s="12" t="inlineStr">
        <is>
          <t>1 pr</t>
        </is>
      </c>
      <c r="M3286" s="12" t="inlineStr">
        <is>
          <t>16</t>
        </is>
      </c>
      <c r="N3286" s="12" t="n">
        <v>20</v>
      </c>
      <c r="O3286" s="12" t="n">
        <v>1</v>
      </c>
      <c r="P3286" s="12" t="n"/>
      <c r="Q3286" s="12" t="n"/>
      <c r="R3286" s="12" t="n"/>
      <c r="S3286" s="12" t="inlineStr">
        <is>
          <t>Tray / conduit</t>
        </is>
      </c>
      <c r="T3286" s="16" t="n">
        <v>100</v>
      </c>
      <c r="U3286" s="16" t="n">
        <v>10</v>
      </c>
      <c r="V3286" s="16">
        <f>ROUNDUP((T3286+U3286+2*'Read Me'!$B$13)*(1+'Read Me'!$B$12),-1)</f>
        <v/>
      </c>
      <c r="W3286" s="16">
        <f>V3286*N3286*O3286</f>
        <v/>
      </c>
      <c r="X3286" s="12">
        <f>IF(LEFT(I3286,2)="MV",2*N3286*IF(L3286="1/C",O3286,1),0)</f>
        <v/>
      </c>
      <c r="Y3286" s="12">
        <f>IF(OR(LEFT(K3286,4)="LVAX",LEFT(K3286,6)="MV15AX",LEFT(K3286,4)="CTAX",LEFT(K3286,2)="W|"),2*N3286*O3286,0)</f>
        <v/>
      </c>
      <c r="Z3286" s="12" t="inlineStr">
        <is>
          <t>device-to-JB field wiring, one cable per device</t>
        </is>
      </c>
      <c r="AA3286" s="12">
        <f>N3286*O3286</f>
        <v/>
      </c>
    </row>
    <row r="3287">
      <c r="A3287" s="12" t="inlineStr">
        <is>
          <t>G-I-0156</t>
        </is>
      </c>
      <c r="B3287" s="12" t="inlineStr">
        <is>
          <t>G</t>
        </is>
      </c>
      <c r="C3287" s="12" t="inlineStr">
        <is>
          <t>Carbon capture</t>
        </is>
      </c>
      <c r="D3287" s="12" t="inlineStr">
        <is>
          <t>Home run JB-CONDITIONAL: HP ex-DI01 to the control / marshalling room</t>
        </is>
      </c>
      <c r="E3287" s="12" t="inlineStr"/>
      <c r="F3287" s="12" t="inlineStr">
        <is>
          <t>CCS F&amp;G / control</t>
        </is>
      </c>
      <c r="G3287" s="12" t="inlineStr">
        <is>
          <t>JB-CONDITIONAL: HP ex-DI01</t>
        </is>
      </c>
      <c r="H3287" s="12" t="inlineStr">
        <is>
          <t>CONDITIONAL: HP export compressor + metering</t>
        </is>
      </c>
      <c r="I3287" s="12" t="inlineStr">
        <is>
          <t>Instrumentation</t>
        </is>
      </c>
      <c r="J3287" s="12" t="inlineStr">
        <is>
          <t>Instrumentation ITC / PLTC, IS, #18 shielded pairs, blue jacket</t>
        </is>
      </c>
      <c r="K3287" s="12" t="inlineStr">
        <is>
          <t>ITC|24 pr|18</t>
        </is>
      </c>
      <c r="L3287" s="12" t="inlineStr">
        <is>
          <t>24 pr</t>
        </is>
      </c>
      <c r="M3287" s="12" t="inlineStr">
        <is>
          <t>18</t>
        </is>
      </c>
      <c r="N3287" s="12" t="n">
        <v>1</v>
      </c>
      <c r="O3287" s="12" t="n">
        <v>1</v>
      </c>
      <c r="P3287" s="12" t="n"/>
      <c r="Q3287" s="12" t="n"/>
      <c r="R3287" s="12" t="n"/>
      <c r="S3287" s="12" t="inlineStr">
        <is>
          <t>Duct bank</t>
        </is>
      </c>
      <c r="T3287" s="16" t="n">
        <v>144</v>
      </c>
      <c r="U3287" s="16" t="n">
        <v>154</v>
      </c>
      <c r="V3287" s="16">
        <f>ROUNDUP((T3287+U3287+2*'Read Me'!$B$13)*(1+'Read Me'!$B$12),-1)</f>
        <v/>
      </c>
      <c r="W3287" s="16">
        <f>V3287*N3287*O3287</f>
        <v/>
      </c>
      <c r="X3287" s="12">
        <f>IF(LEFT(I3287,2)="MV",2*N3287*IF(L3287="1/C",O3287,1),0)</f>
        <v/>
      </c>
      <c r="Y3287" s="12">
        <f>IF(OR(LEFT(K3287,4)="LVAX",LEFT(K3287,6)="MV15AX",LEFT(K3287,4)="CTAX",LEFT(K3287,2)="W|"),2*N3287*O3287,0)</f>
        <v/>
      </c>
      <c r="Z3287" s="12" t="inlineStr"/>
      <c r="AA3287" s="12">
        <f>N3287*O3287</f>
        <v/>
      </c>
    </row>
    <row r="3288">
      <c r="A3288" s="12" t="inlineStr">
        <is>
          <t>G-I-0157</t>
        </is>
      </c>
      <c r="B3288" s="12" t="inlineStr">
        <is>
          <t>G</t>
        </is>
      </c>
      <c r="C3288" s="12" t="inlineStr">
        <is>
          <t>Carbon capture</t>
        </is>
      </c>
      <c r="D3288" s="12" t="inlineStr">
        <is>
          <t>Discrete device to JB JB-CONDITIONAL: HP ex-DI02: 20 x 1 pr (field cables)</t>
        </is>
      </c>
      <c r="E3288" s="12" t="inlineStr"/>
      <c r="F3288" s="12" t="inlineStr">
        <is>
          <t>CONDITIONAL: HP export compressor + metering</t>
        </is>
      </c>
      <c r="G3288" s="12" t="inlineStr">
        <is>
          <t>JB-CONDITIONAL: HP ex-DI02</t>
        </is>
      </c>
      <c r="H3288" s="12" t="inlineStr">
        <is>
          <t>CONDITIONAL: HP export compressor + metering</t>
        </is>
      </c>
      <c r="I3288" s="12" t="inlineStr">
        <is>
          <t>Instrumentation</t>
        </is>
      </c>
      <c r="J3288" s="12" t="inlineStr">
        <is>
          <t>Instrumentation ITC / PLTC, IS, #18 shielded pairs, blue jacket</t>
        </is>
      </c>
      <c r="K3288" s="12" t="inlineStr">
        <is>
          <t>ITC|1 pr|16</t>
        </is>
      </c>
      <c r="L3288" s="12" t="inlineStr">
        <is>
          <t>1 pr</t>
        </is>
      </c>
      <c r="M3288" s="12" t="inlineStr">
        <is>
          <t>16</t>
        </is>
      </c>
      <c r="N3288" s="12" t="n">
        <v>20</v>
      </c>
      <c r="O3288" s="12" t="n">
        <v>1</v>
      </c>
      <c r="P3288" s="12" t="n"/>
      <c r="Q3288" s="12" t="n"/>
      <c r="R3288" s="12" t="n"/>
      <c r="S3288" s="12" t="inlineStr">
        <is>
          <t>Tray / conduit</t>
        </is>
      </c>
      <c r="T3288" s="16" t="n">
        <v>100</v>
      </c>
      <c r="U3288" s="16" t="n">
        <v>10</v>
      </c>
      <c r="V3288" s="16">
        <f>ROUNDUP((T3288+U3288+2*'Read Me'!$B$13)*(1+'Read Me'!$B$12),-1)</f>
        <v/>
      </c>
      <c r="W3288" s="16">
        <f>V3288*N3288*O3288</f>
        <v/>
      </c>
      <c r="X3288" s="12">
        <f>IF(LEFT(I3288,2)="MV",2*N3288*IF(L3288="1/C",O3288,1),0)</f>
        <v/>
      </c>
      <c r="Y3288" s="12">
        <f>IF(OR(LEFT(K3288,4)="LVAX",LEFT(K3288,6)="MV15AX",LEFT(K3288,4)="CTAX",LEFT(K3288,2)="W|"),2*N3288*O3288,0)</f>
        <v/>
      </c>
      <c r="Z3288" s="12" t="inlineStr">
        <is>
          <t>device-to-JB field wiring, one cable per device</t>
        </is>
      </c>
      <c r="AA3288" s="12">
        <f>N3288*O3288</f>
        <v/>
      </c>
    </row>
    <row r="3289">
      <c r="A3289" s="12" t="inlineStr">
        <is>
          <t>G-I-0158</t>
        </is>
      </c>
      <c r="B3289" s="12" t="inlineStr">
        <is>
          <t>G</t>
        </is>
      </c>
      <c r="C3289" s="12" t="inlineStr">
        <is>
          <t>Carbon capture</t>
        </is>
      </c>
      <c r="D3289" s="12" t="inlineStr">
        <is>
          <t>Home run JB-CONDITIONAL: HP ex-DI02 to the control / marshalling room</t>
        </is>
      </c>
      <c r="E3289" s="12" t="inlineStr"/>
      <c r="F3289" s="12" t="inlineStr">
        <is>
          <t>CCS F&amp;G / control</t>
        </is>
      </c>
      <c r="G3289" s="12" t="inlineStr">
        <is>
          <t>JB-CONDITIONAL: HP ex-DI02</t>
        </is>
      </c>
      <c r="H3289" s="12" t="inlineStr">
        <is>
          <t>CONDITIONAL: HP export compressor + metering</t>
        </is>
      </c>
      <c r="I3289" s="12" t="inlineStr">
        <is>
          <t>Instrumentation</t>
        </is>
      </c>
      <c r="J3289" s="12" t="inlineStr">
        <is>
          <t>Instrumentation ITC / PLTC, IS, #18 shielded pairs, blue jacket</t>
        </is>
      </c>
      <c r="K3289" s="12" t="inlineStr">
        <is>
          <t>ITC|24 pr|18</t>
        </is>
      </c>
      <c r="L3289" s="12" t="inlineStr">
        <is>
          <t>24 pr</t>
        </is>
      </c>
      <c r="M3289" s="12" t="inlineStr">
        <is>
          <t>18</t>
        </is>
      </c>
      <c r="N3289" s="12" t="n">
        <v>1</v>
      </c>
      <c r="O3289" s="12" t="n">
        <v>1</v>
      </c>
      <c r="P3289" s="12" t="n"/>
      <c r="Q3289" s="12" t="n"/>
      <c r="R3289" s="12" t="n"/>
      <c r="S3289" s="12" t="inlineStr">
        <is>
          <t>Duct bank</t>
        </is>
      </c>
      <c r="T3289" s="16" t="n">
        <v>144</v>
      </c>
      <c r="U3289" s="16" t="n">
        <v>154</v>
      </c>
      <c r="V3289" s="16">
        <f>ROUNDUP((T3289+U3289+2*'Read Me'!$B$13)*(1+'Read Me'!$B$12),-1)</f>
        <v/>
      </c>
      <c r="W3289" s="16">
        <f>V3289*N3289*O3289</f>
        <v/>
      </c>
      <c r="X3289" s="12">
        <f>IF(LEFT(I3289,2)="MV",2*N3289*IF(L3289="1/C",O3289,1),0)</f>
        <v/>
      </c>
      <c r="Y3289" s="12">
        <f>IF(OR(LEFT(K3289,4)="LVAX",LEFT(K3289,6)="MV15AX",LEFT(K3289,4)="CTAX",LEFT(K3289,2)="W|"),2*N3289*O3289,0)</f>
        <v/>
      </c>
      <c r="Z3289" s="12" t="inlineStr"/>
      <c r="AA3289" s="12">
        <f>N3289*O3289</f>
        <v/>
      </c>
    </row>
    <row r="3290">
      <c r="A3290" s="12" t="inlineStr">
        <is>
          <t>G-I-0159</t>
        </is>
      </c>
      <c r="B3290" s="12" t="inlineStr">
        <is>
          <t>G</t>
        </is>
      </c>
      <c r="C3290" s="12" t="inlineStr">
        <is>
          <t>Carbon capture</t>
        </is>
      </c>
      <c r="D3290" s="12" t="inlineStr">
        <is>
          <t>RTD to JB JB-CONDITIONAL: HP ex-RTD01: 10 x 1 tri (field cables)</t>
        </is>
      </c>
      <c r="E3290" s="12" t="inlineStr"/>
      <c r="F3290" s="12" t="inlineStr">
        <is>
          <t>CONDITIONAL: HP export compressor + metering</t>
        </is>
      </c>
      <c r="G3290" s="12" t="inlineStr">
        <is>
          <t>JB-CONDITIONAL: HP ex-RTD01</t>
        </is>
      </c>
      <c r="H3290" s="12" t="inlineStr">
        <is>
          <t>CONDITIONAL: HP export compressor + metering</t>
        </is>
      </c>
      <c r="I3290" s="12" t="inlineStr">
        <is>
          <t>Instrumentation</t>
        </is>
      </c>
      <c r="J3290" s="12" t="inlineStr">
        <is>
          <t>RTD cable, #18 shielded triads, PLTC</t>
        </is>
      </c>
      <c r="K3290" s="12" t="inlineStr">
        <is>
          <t>RTD|1 tri|18</t>
        </is>
      </c>
      <c r="L3290" s="12" t="inlineStr">
        <is>
          <t>1 tri</t>
        </is>
      </c>
      <c r="M3290" s="12" t="inlineStr">
        <is>
          <t>18</t>
        </is>
      </c>
      <c r="N3290" s="12" t="n">
        <v>10</v>
      </c>
      <c r="O3290" s="12" t="n">
        <v>1</v>
      </c>
      <c r="P3290" s="12" t="n"/>
      <c r="Q3290" s="12" t="n"/>
      <c r="R3290" s="12" t="n"/>
      <c r="S3290" s="12" t="inlineStr">
        <is>
          <t>Tray / conduit</t>
        </is>
      </c>
      <c r="T3290" s="16" t="n">
        <v>100</v>
      </c>
      <c r="U3290" s="16" t="n">
        <v>10</v>
      </c>
      <c r="V3290" s="16">
        <f>ROUNDUP((T3290+U3290+2*'Read Me'!$B$13)*(1+'Read Me'!$B$12),-1)</f>
        <v/>
      </c>
      <c r="W3290" s="16">
        <f>V3290*N3290*O3290</f>
        <v/>
      </c>
      <c r="X3290" s="12">
        <f>IF(LEFT(I3290,2)="MV",2*N3290*IF(L3290="1/C",O3290,1),0)</f>
        <v/>
      </c>
      <c r="Y3290" s="12">
        <f>IF(OR(LEFT(K3290,4)="LVAX",LEFT(K3290,6)="MV15AX",LEFT(K3290,4)="CTAX",LEFT(K3290,2)="W|"),2*N3290*O3290,0)</f>
        <v/>
      </c>
      <c r="Z3290" s="12" t="inlineStr">
        <is>
          <t>device-to-JB field wiring, one cable per device</t>
        </is>
      </c>
      <c r="AA3290" s="12">
        <f>N3290*O3290</f>
        <v/>
      </c>
    </row>
    <row r="3291">
      <c r="A3291" s="12" t="inlineStr">
        <is>
          <t>G-I-0160</t>
        </is>
      </c>
      <c r="B3291" s="12" t="inlineStr">
        <is>
          <t>G</t>
        </is>
      </c>
      <c r="C3291" s="12" t="inlineStr">
        <is>
          <t>Carbon capture</t>
        </is>
      </c>
      <c r="D3291" s="12" t="inlineStr">
        <is>
          <t>Home run JB-CONDITIONAL: HP ex-RTD01 to the control / marshalling room</t>
        </is>
      </c>
      <c r="E3291" s="12" t="inlineStr"/>
      <c r="F3291" s="12" t="inlineStr">
        <is>
          <t>CCS F&amp;G / control</t>
        </is>
      </c>
      <c r="G3291" s="12" t="inlineStr">
        <is>
          <t>JB-CONDITIONAL: HP ex-RTD01</t>
        </is>
      </c>
      <c r="H3291" s="12" t="inlineStr">
        <is>
          <t>CONDITIONAL: HP export compressor + metering</t>
        </is>
      </c>
      <c r="I3291" s="12" t="inlineStr">
        <is>
          <t>Instrumentation</t>
        </is>
      </c>
      <c r="J3291" s="12" t="inlineStr">
        <is>
          <t>RTD cable, #18 shielded triads, PLTC</t>
        </is>
      </c>
      <c r="K3291" s="12" t="inlineStr">
        <is>
          <t>RTD|12 tri|18</t>
        </is>
      </c>
      <c r="L3291" s="12" t="inlineStr">
        <is>
          <t>12 tri</t>
        </is>
      </c>
      <c r="M3291" s="12" t="inlineStr">
        <is>
          <t>18</t>
        </is>
      </c>
      <c r="N3291" s="12" t="n">
        <v>1</v>
      </c>
      <c r="O3291" s="12" t="n">
        <v>1</v>
      </c>
      <c r="P3291" s="12" t="n"/>
      <c r="Q3291" s="12" t="n"/>
      <c r="R3291" s="12" t="n"/>
      <c r="S3291" s="12" t="inlineStr">
        <is>
          <t>Duct bank</t>
        </is>
      </c>
      <c r="T3291" s="16" t="n">
        <v>144</v>
      </c>
      <c r="U3291" s="16" t="n">
        <v>154</v>
      </c>
      <c r="V3291" s="16">
        <f>ROUNDUP((T3291+U3291+2*'Read Me'!$B$13)*(1+'Read Me'!$B$12),-1)</f>
        <v/>
      </c>
      <c r="W3291" s="16">
        <f>V3291*N3291*O3291</f>
        <v/>
      </c>
      <c r="X3291" s="12">
        <f>IF(LEFT(I3291,2)="MV",2*N3291*IF(L3291="1/C",O3291,1),0)</f>
        <v/>
      </c>
      <c r="Y3291" s="12">
        <f>IF(OR(LEFT(K3291,4)="LVAX",LEFT(K3291,6)="MV15AX",LEFT(K3291,4)="CTAX",LEFT(K3291,2)="W|"),2*N3291*O3291,0)</f>
        <v/>
      </c>
      <c r="Z3291" s="12" t="inlineStr"/>
      <c r="AA3291" s="12">
        <f>N3291*O3291</f>
        <v/>
      </c>
    </row>
    <row r="3292">
      <c r="A3292" s="12" t="inlineStr">
        <is>
          <t>G-I-0161</t>
        </is>
      </c>
      <c r="B3292" s="12" t="inlineStr">
        <is>
          <t>G</t>
        </is>
      </c>
      <c r="C3292" s="12" t="inlineStr">
        <is>
          <t>Carbon capture</t>
        </is>
      </c>
      <c r="D3292" s="12" t="inlineStr">
        <is>
          <t>RTD to JB JB-CONDITIONAL: HP ex-RTD02: 2 x 1 tri (field cables)</t>
        </is>
      </c>
      <c r="E3292" s="12" t="inlineStr"/>
      <c r="F3292" s="12" t="inlineStr">
        <is>
          <t>CONDITIONAL: HP export compressor + metering</t>
        </is>
      </c>
      <c r="G3292" s="12" t="inlineStr">
        <is>
          <t>JB-CONDITIONAL: HP ex-RTD02</t>
        </is>
      </c>
      <c r="H3292" s="12" t="inlineStr">
        <is>
          <t>CONDITIONAL: HP export compressor + metering</t>
        </is>
      </c>
      <c r="I3292" s="12" t="inlineStr">
        <is>
          <t>Instrumentation</t>
        </is>
      </c>
      <c r="J3292" s="12" t="inlineStr">
        <is>
          <t>RTD cable, #18 shielded triads, PLTC</t>
        </is>
      </c>
      <c r="K3292" s="12" t="inlineStr">
        <is>
          <t>RTD|1 tri|18</t>
        </is>
      </c>
      <c r="L3292" s="12" t="inlineStr">
        <is>
          <t>1 tri</t>
        </is>
      </c>
      <c r="M3292" s="12" t="inlineStr">
        <is>
          <t>18</t>
        </is>
      </c>
      <c r="N3292" s="12" t="n">
        <v>2</v>
      </c>
      <c r="O3292" s="12" t="n">
        <v>1</v>
      </c>
      <c r="P3292" s="12" t="n"/>
      <c r="Q3292" s="12" t="n"/>
      <c r="R3292" s="12" t="n"/>
      <c r="S3292" s="12" t="inlineStr">
        <is>
          <t>Tray / conduit</t>
        </is>
      </c>
      <c r="T3292" s="16" t="n">
        <v>100</v>
      </c>
      <c r="U3292" s="16" t="n">
        <v>10</v>
      </c>
      <c r="V3292" s="16">
        <f>ROUNDUP((T3292+U3292+2*'Read Me'!$B$13)*(1+'Read Me'!$B$12),-1)</f>
        <v/>
      </c>
      <c r="W3292" s="16">
        <f>V3292*N3292*O3292</f>
        <v/>
      </c>
      <c r="X3292" s="12">
        <f>IF(LEFT(I3292,2)="MV",2*N3292*IF(L3292="1/C",O3292,1),0)</f>
        <v/>
      </c>
      <c r="Y3292" s="12">
        <f>IF(OR(LEFT(K3292,4)="LVAX",LEFT(K3292,6)="MV15AX",LEFT(K3292,4)="CTAX",LEFT(K3292,2)="W|"),2*N3292*O3292,0)</f>
        <v/>
      </c>
      <c r="Z3292" s="12" t="inlineStr">
        <is>
          <t>device-to-JB field wiring, one cable per device</t>
        </is>
      </c>
      <c r="AA3292" s="12">
        <f>N3292*O3292</f>
        <v/>
      </c>
    </row>
    <row r="3293">
      <c r="A3293" s="12" t="inlineStr">
        <is>
          <t>G-I-0162</t>
        </is>
      </c>
      <c r="B3293" s="12" t="inlineStr">
        <is>
          <t>G</t>
        </is>
      </c>
      <c r="C3293" s="12" t="inlineStr">
        <is>
          <t>Carbon capture</t>
        </is>
      </c>
      <c r="D3293" s="12" t="inlineStr">
        <is>
          <t>Home run JB-CONDITIONAL: HP ex-RTD02 to the control / marshalling room</t>
        </is>
      </c>
      <c r="E3293" s="12" t="inlineStr"/>
      <c r="F3293" s="12" t="inlineStr">
        <is>
          <t>CCS F&amp;G / control</t>
        </is>
      </c>
      <c r="G3293" s="12" t="inlineStr">
        <is>
          <t>JB-CONDITIONAL: HP ex-RTD02</t>
        </is>
      </c>
      <c r="H3293" s="12" t="inlineStr">
        <is>
          <t>CONDITIONAL: HP export compressor + metering</t>
        </is>
      </c>
      <c r="I3293" s="12" t="inlineStr">
        <is>
          <t>Instrumentation</t>
        </is>
      </c>
      <c r="J3293" s="12" t="inlineStr">
        <is>
          <t>RTD cable, #18 shielded triads, PLTC</t>
        </is>
      </c>
      <c r="K3293" s="12" t="inlineStr">
        <is>
          <t>RTD|12 tri|18</t>
        </is>
      </c>
      <c r="L3293" s="12" t="inlineStr">
        <is>
          <t>12 tri</t>
        </is>
      </c>
      <c r="M3293" s="12" t="inlineStr">
        <is>
          <t>18</t>
        </is>
      </c>
      <c r="N3293" s="12" t="n">
        <v>1</v>
      </c>
      <c r="O3293" s="12" t="n">
        <v>1</v>
      </c>
      <c r="P3293" s="12" t="n"/>
      <c r="Q3293" s="12" t="n"/>
      <c r="R3293" s="12" t="n"/>
      <c r="S3293" s="12" t="inlineStr">
        <is>
          <t>Duct bank</t>
        </is>
      </c>
      <c r="T3293" s="16" t="n">
        <v>144</v>
      </c>
      <c r="U3293" s="16" t="n">
        <v>154</v>
      </c>
      <c r="V3293" s="16">
        <f>ROUNDUP((T3293+U3293+2*'Read Me'!$B$13)*(1+'Read Me'!$B$12),-1)</f>
        <v/>
      </c>
      <c r="W3293" s="16">
        <f>V3293*N3293*O3293</f>
        <v/>
      </c>
      <c r="X3293" s="12">
        <f>IF(LEFT(I3293,2)="MV",2*N3293*IF(L3293="1/C",O3293,1),0)</f>
        <v/>
      </c>
      <c r="Y3293" s="12">
        <f>IF(OR(LEFT(K3293,4)="LVAX",LEFT(K3293,6)="MV15AX",LEFT(K3293,4)="CTAX",LEFT(K3293,2)="W|"),2*N3293*O3293,0)</f>
        <v/>
      </c>
      <c r="Z3293" s="12" t="inlineStr"/>
      <c r="AA3293" s="12">
        <f>N3293*O3293</f>
        <v/>
      </c>
    </row>
    <row r="3294">
      <c r="A3294" s="12" t="inlineStr">
        <is>
          <t>G-I-0163</t>
        </is>
      </c>
      <c r="B3294" s="12" t="inlineStr">
        <is>
          <t>G</t>
        </is>
      </c>
      <c r="C3294" s="12" t="inlineStr">
        <is>
          <t>Carbon capture</t>
        </is>
      </c>
      <c r="D3294" s="12" t="inlineStr">
        <is>
          <t>Analog instrument to JB JB-DCC-A pumps + wate-AI01: 10 x 1 pr (field cables)</t>
        </is>
      </c>
      <c r="E3294" s="12" t="inlineStr"/>
      <c r="F3294" s="12" t="inlineStr">
        <is>
          <t>DCC-A pumps + water filter</t>
        </is>
      </c>
      <c r="G3294" s="12" t="inlineStr">
        <is>
          <t>JB-DCC-A pumps + wate-AI01</t>
        </is>
      </c>
      <c r="H3294" s="12" t="inlineStr">
        <is>
          <t>DCC-A pumps + water filter</t>
        </is>
      </c>
      <c r="I3294" s="12" t="inlineStr">
        <is>
          <t>Instrumentation</t>
        </is>
      </c>
      <c r="J3294" s="12" t="inlineStr">
        <is>
          <t>Instrumentation PLTC / TC-ER 300 V, #18 twisted shielded pairs, overall shield</t>
        </is>
      </c>
      <c r="K3294" s="12" t="inlineStr">
        <is>
          <t>PLTC|1 pr|16</t>
        </is>
      </c>
      <c r="L3294" s="12" t="inlineStr">
        <is>
          <t>1 pr</t>
        </is>
      </c>
      <c r="M3294" s="12" t="inlineStr">
        <is>
          <t>16</t>
        </is>
      </c>
      <c r="N3294" s="12" t="n">
        <v>10</v>
      </c>
      <c r="O3294" s="12" t="n">
        <v>1</v>
      </c>
      <c r="P3294" s="12" t="n"/>
      <c r="Q3294" s="12" t="n"/>
      <c r="R3294" s="12" t="n"/>
      <c r="S3294" s="12" t="inlineStr">
        <is>
          <t>Tray / conduit</t>
        </is>
      </c>
      <c r="T3294" s="16" t="n">
        <v>60</v>
      </c>
      <c r="U3294" s="16" t="n">
        <v>10</v>
      </c>
      <c r="V3294" s="16">
        <f>ROUNDUP((T3294+U3294+2*'Read Me'!$B$13)*(1+'Read Me'!$B$12),-1)</f>
        <v/>
      </c>
      <c r="W3294" s="16">
        <f>V3294*N3294*O3294</f>
        <v/>
      </c>
      <c r="X3294" s="12">
        <f>IF(LEFT(I3294,2)="MV",2*N3294*IF(L3294="1/C",O3294,1),0)</f>
        <v/>
      </c>
      <c r="Y3294" s="12">
        <f>IF(OR(LEFT(K3294,4)="LVAX",LEFT(K3294,6)="MV15AX",LEFT(K3294,4)="CTAX",LEFT(K3294,2)="W|"),2*N3294*O3294,0)</f>
        <v/>
      </c>
      <c r="Z3294" s="12" t="inlineStr">
        <is>
          <t>device-to-JB field wiring, one cable per device</t>
        </is>
      </c>
      <c r="AA3294" s="12">
        <f>N3294*O3294</f>
        <v/>
      </c>
    </row>
    <row r="3295">
      <c r="A3295" s="12" t="inlineStr">
        <is>
          <t>G-I-0164</t>
        </is>
      </c>
      <c r="B3295" s="12" t="inlineStr">
        <is>
          <t>G</t>
        </is>
      </c>
      <c r="C3295" s="12" t="inlineStr">
        <is>
          <t>Carbon capture</t>
        </is>
      </c>
      <c r="D3295" s="12" t="inlineStr">
        <is>
          <t>Home run JB-DCC-A pumps + wate-AI01 to the control / marshalling room</t>
        </is>
      </c>
      <c r="E3295" s="12" t="inlineStr"/>
      <c r="F3295" s="12" t="inlineStr">
        <is>
          <t>CCS F&amp;G / control</t>
        </is>
      </c>
      <c r="G3295" s="12" t="inlineStr">
        <is>
          <t>JB-DCC-A pumps + wate-AI01</t>
        </is>
      </c>
      <c r="H3295" s="12" t="inlineStr">
        <is>
          <t>DCC-A pumps + water filter</t>
        </is>
      </c>
      <c r="I3295" s="12" t="inlineStr">
        <is>
          <t>Instrumentation</t>
        </is>
      </c>
      <c r="J3295" s="12" t="inlineStr">
        <is>
          <t>Instrumentation PLTC / TC-ER 300 V, #18 twisted shielded pairs, overall shield</t>
        </is>
      </c>
      <c r="K3295" s="12" t="inlineStr">
        <is>
          <t>PLTC|24 pr|18</t>
        </is>
      </c>
      <c r="L3295" s="12" t="inlineStr">
        <is>
          <t>24 pr</t>
        </is>
      </c>
      <c r="M3295" s="12" t="inlineStr">
        <is>
          <t>18</t>
        </is>
      </c>
      <c r="N3295" s="12" t="n">
        <v>1</v>
      </c>
      <c r="O3295" s="12" t="n">
        <v>1</v>
      </c>
      <c r="P3295" s="12" t="n"/>
      <c r="Q3295" s="12" t="n"/>
      <c r="R3295" s="12" t="n"/>
      <c r="S3295" s="12" t="inlineStr">
        <is>
          <t>Tray</t>
        </is>
      </c>
      <c r="T3295" s="16" t="n">
        <v>884</v>
      </c>
      <c r="U3295" s="16" t="n">
        <v>233</v>
      </c>
      <c r="V3295" s="16">
        <f>ROUNDUP((T3295+U3295+2*'Read Me'!$B$13)*(1+'Read Me'!$B$12),-1)</f>
        <v/>
      </c>
      <c r="W3295" s="16">
        <f>V3295*N3295*O3295</f>
        <v/>
      </c>
      <c r="X3295" s="12">
        <f>IF(LEFT(I3295,2)="MV",2*N3295*IF(L3295="1/C",O3295,1),0)</f>
        <v/>
      </c>
      <c r="Y3295" s="12">
        <f>IF(OR(LEFT(K3295,4)="LVAX",LEFT(K3295,6)="MV15AX",LEFT(K3295,4)="CTAX",LEFT(K3295,2)="W|"),2*N3295*O3295,0)</f>
        <v/>
      </c>
      <c r="Z3295" s="12" t="inlineStr"/>
      <c r="AA3295" s="12">
        <f>N3295*O3295</f>
        <v/>
      </c>
    </row>
    <row r="3296">
      <c r="A3296" s="12" t="inlineStr">
        <is>
          <t>G-I-0165</t>
        </is>
      </c>
      <c r="B3296" s="12" t="inlineStr">
        <is>
          <t>G</t>
        </is>
      </c>
      <c r="C3296" s="12" t="inlineStr">
        <is>
          <t>Carbon capture</t>
        </is>
      </c>
      <c r="D3296" s="12" t="inlineStr">
        <is>
          <t>Discrete device to JB JB-DCC-A pumps + wate-DI01: 10 x 1 pr (field cables)</t>
        </is>
      </c>
      <c r="E3296" s="12" t="inlineStr"/>
      <c r="F3296" s="12" t="inlineStr">
        <is>
          <t>DCC-A pumps + water filter</t>
        </is>
      </c>
      <c r="G3296" s="12" t="inlineStr">
        <is>
          <t>JB-DCC-A pumps + wate-DI01</t>
        </is>
      </c>
      <c r="H3296" s="12" t="inlineStr">
        <is>
          <t>DCC-A pumps + water filter</t>
        </is>
      </c>
      <c r="I3296" s="12" t="inlineStr">
        <is>
          <t>Instrumentation</t>
        </is>
      </c>
      <c r="J3296" s="12" t="inlineStr">
        <is>
          <t>Instrumentation PLTC / TC-ER 300 V, #18 twisted shielded pairs, overall shield</t>
        </is>
      </c>
      <c r="K3296" s="12" t="inlineStr">
        <is>
          <t>PLTC|1 pr|16</t>
        </is>
      </c>
      <c r="L3296" s="12" t="inlineStr">
        <is>
          <t>1 pr</t>
        </is>
      </c>
      <c r="M3296" s="12" t="inlineStr">
        <is>
          <t>16</t>
        </is>
      </c>
      <c r="N3296" s="12" t="n">
        <v>10</v>
      </c>
      <c r="O3296" s="12" t="n">
        <v>1</v>
      </c>
      <c r="P3296" s="12" t="n"/>
      <c r="Q3296" s="12" t="n"/>
      <c r="R3296" s="12" t="n"/>
      <c r="S3296" s="12" t="inlineStr">
        <is>
          <t>Tray / conduit</t>
        </is>
      </c>
      <c r="T3296" s="16" t="n">
        <v>60</v>
      </c>
      <c r="U3296" s="16" t="n">
        <v>10</v>
      </c>
      <c r="V3296" s="16">
        <f>ROUNDUP((T3296+U3296+2*'Read Me'!$B$13)*(1+'Read Me'!$B$12),-1)</f>
        <v/>
      </c>
      <c r="W3296" s="16">
        <f>V3296*N3296*O3296</f>
        <v/>
      </c>
      <c r="X3296" s="12">
        <f>IF(LEFT(I3296,2)="MV",2*N3296*IF(L3296="1/C",O3296,1),0)</f>
        <v/>
      </c>
      <c r="Y3296" s="12">
        <f>IF(OR(LEFT(K3296,4)="LVAX",LEFT(K3296,6)="MV15AX",LEFT(K3296,4)="CTAX",LEFT(K3296,2)="W|"),2*N3296*O3296,0)</f>
        <v/>
      </c>
      <c r="Z3296" s="12" t="inlineStr">
        <is>
          <t>device-to-JB field wiring, one cable per device</t>
        </is>
      </c>
      <c r="AA3296" s="12">
        <f>N3296*O3296</f>
        <v/>
      </c>
    </row>
    <row r="3297">
      <c r="A3297" s="12" t="inlineStr">
        <is>
          <t>G-I-0166</t>
        </is>
      </c>
      <c r="B3297" s="12" t="inlineStr">
        <is>
          <t>G</t>
        </is>
      </c>
      <c r="C3297" s="12" t="inlineStr">
        <is>
          <t>Carbon capture</t>
        </is>
      </c>
      <c r="D3297" s="12" t="inlineStr">
        <is>
          <t>Home run JB-DCC-A pumps + wate-DI01 to the control / marshalling room</t>
        </is>
      </c>
      <c r="E3297" s="12" t="inlineStr"/>
      <c r="F3297" s="12" t="inlineStr">
        <is>
          <t>CCS F&amp;G / control</t>
        </is>
      </c>
      <c r="G3297" s="12" t="inlineStr">
        <is>
          <t>JB-DCC-A pumps + wate-DI01</t>
        </is>
      </c>
      <c r="H3297" s="12" t="inlineStr">
        <is>
          <t>DCC-A pumps + water filter</t>
        </is>
      </c>
      <c r="I3297" s="12" t="inlineStr">
        <is>
          <t>Instrumentation</t>
        </is>
      </c>
      <c r="J3297" s="12" t="inlineStr">
        <is>
          <t>Instrumentation PLTC / TC-ER 300 V, #18 twisted shielded pairs, overall shield</t>
        </is>
      </c>
      <c r="K3297" s="12" t="inlineStr">
        <is>
          <t>PLTC|24 pr|18</t>
        </is>
      </c>
      <c r="L3297" s="12" t="inlineStr">
        <is>
          <t>24 pr</t>
        </is>
      </c>
      <c r="M3297" s="12" t="inlineStr">
        <is>
          <t>18</t>
        </is>
      </c>
      <c r="N3297" s="12" t="n">
        <v>1</v>
      </c>
      <c r="O3297" s="12" t="n">
        <v>1</v>
      </c>
      <c r="P3297" s="12" t="n"/>
      <c r="Q3297" s="12" t="n"/>
      <c r="R3297" s="12" t="n"/>
      <c r="S3297" s="12" t="inlineStr">
        <is>
          <t>Tray</t>
        </is>
      </c>
      <c r="T3297" s="16" t="n">
        <v>884</v>
      </c>
      <c r="U3297" s="16" t="n">
        <v>233</v>
      </c>
      <c r="V3297" s="16">
        <f>ROUNDUP((T3297+U3297+2*'Read Me'!$B$13)*(1+'Read Me'!$B$12),-1)</f>
        <v/>
      </c>
      <c r="W3297" s="16">
        <f>V3297*N3297*O3297</f>
        <v/>
      </c>
      <c r="X3297" s="12">
        <f>IF(LEFT(I3297,2)="MV",2*N3297*IF(L3297="1/C",O3297,1),0)</f>
        <v/>
      </c>
      <c r="Y3297" s="12">
        <f>IF(OR(LEFT(K3297,4)="LVAX",LEFT(K3297,6)="MV15AX",LEFT(K3297,4)="CTAX",LEFT(K3297,2)="W|"),2*N3297*O3297,0)</f>
        <v/>
      </c>
      <c r="Z3297" s="12" t="inlineStr"/>
      <c r="AA3297" s="12">
        <f>N3297*O3297</f>
        <v/>
      </c>
    </row>
    <row r="3298">
      <c r="A3298" s="12" t="inlineStr">
        <is>
          <t>G-I-0167</t>
        </is>
      </c>
      <c r="B3298" s="12" t="inlineStr">
        <is>
          <t>G</t>
        </is>
      </c>
      <c r="C3298" s="12" t="inlineStr">
        <is>
          <t>Carbon capture</t>
        </is>
      </c>
      <c r="D3298" s="12" t="inlineStr">
        <is>
          <t>Analog instrument to JB JB-DCC-A-AI01: 20 x 1 pr (field cables)</t>
        </is>
      </c>
      <c r="E3298" s="12" t="inlineStr">
        <is>
          <t>DCC-A</t>
        </is>
      </c>
      <c r="F3298" s="12" t="inlineStr">
        <is>
          <t>DCC-A: direct-contact cooler (quench)</t>
        </is>
      </c>
      <c r="G3298" s="12" t="inlineStr">
        <is>
          <t>JB-DCC-A-AI01</t>
        </is>
      </c>
      <c r="H3298" s="12" t="inlineStr">
        <is>
          <t>DCC-A: direct-contact cooler (quench)</t>
        </is>
      </c>
      <c r="I3298" s="12" t="inlineStr">
        <is>
          <t>Instrumentation</t>
        </is>
      </c>
      <c r="J3298" s="12" t="inlineStr">
        <is>
          <t>Instrumentation PLTC / TC-ER 300 V, #18 twisted shielded pairs, overall shield</t>
        </is>
      </c>
      <c r="K3298" s="12" t="inlineStr">
        <is>
          <t>PLTC|1 pr|16</t>
        </is>
      </c>
      <c r="L3298" s="12" t="inlineStr">
        <is>
          <t>1 pr</t>
        </is>
      </c>
      <c r="M3298" s="12" t="inlineStr">
        <is>
          <t>16</t>
        </is>
      </c>
      <c r="N3298" s="12" t="n">
        <v>20</v>
      </c>
      <c r="O3298" s="12" t="n">
        <v>1</v>
      </c>
      <c r="P3298" s="12" t="n"/>
      <c r="Q3298" s="12" t="n"/>
      <c r="R3298" s="12" t="n"/>
      <c r="S3298" s="12" t="inlineStr">
        <is>
          <t>Tray / conduit</t>
        </is>
      </c>
      <c r="T3298" s="16" t="n">
        <v>121</v>
      </c>
      <c r="U3298" s="16" t="n">
        <v>10</v>
      </c>
      <c r="V3298" s="16">
        <f>ROUNDUP((T3298+U3298+2*'Read Me'!$B$13)*(1+'Read Me'!$B$12),-1)</f>
        <v/>
      </c>
      <c r="W3298" s="16">
        <f>V3298*N3298*O3298</f>
        <v/>
      </c>
      <c r="X3298" s="12">
        <f>IF(LEFT(I3298,2)="MV",2*N3298*IF(L3298="1/C",O3298,1),0)</f>
        <v/>
      </c>
      <c r="Y3298" s="12">
        <f>IF(OR(LEFT(K3298,4)="LVAX",LEFT(K3298,6)="MV15AX",LEFT(K3298,4)="CTAX",LEFT(K3298,2)="W|"),2*N3298*O3298,0)</f>
        <v/>
      </c>
      <c r="Z3298" s="12" t="inlineStr">
        <is>
          <t>device-to-JB field wiring, one cable per device</t>
        </is>
      </c>
      <c r="AA3298" s="12">
        <f>N3298*O3298</f>
        <v/>
      </c>
    </row>
    <row r="3299">
      <c r="A3299" s="12" t="inlineStr">
        <is>
          <t>G-I-0168</t>
        </is>
      </c>
      <c r="B3299" s="12" t="inlineStr">
        <is>
          <t>G</t>
        </is>
      </c>
      <c r="C3299" s="12" t="inlineStr">
        <is>
          <t>Carbon capture</t>
        </is>
      </c>
      <c r="D3299" s="12" t="inlineStr">
        <is>
          <t>Home run JB-DCC-A-AI01 to the control / marshalling room</t>
        </is>
      </c>
      <c r="E3299" s="12" t="inlineStr"/>
      <c r="F3299" s="12" t="inlineStr">
        <is>
          <t>CCS F&amp;G / control</t>
        </is>
      </c>
      <c r="G3299" s="12" t="inlineStr">
        <is>
          <t>JB-DCC-A-AI01</t>
        </is>
      </c>
      <c r="H3299" s="12" t="inlineStr">
        <is>
          <t>DCC-A: direct-contact cooler (quench)</t>
        </is>
      </c>
      <c r="I3299" s="12" t="inlineStr">
        <is>
          <t>Instrumentation</t>
        </is>
      </c>
      <c r="J3299" s="12" t="inlineStr">
        <is>
          <t>Instrumentation PLTC / TC-ER 300 V, #18 twisted shielded pairs, overall shield</t>
        </is>
      </c>
      <c r="K3299" s="12" t="inlineStr">
        <is>
          <t>PLTC|24 pr|18</t>
        </is>
      </c>
      <c r="L3299" s="12" t="inlineStr">
        <is>
          <t>24 pr</t>
        </is>
      </c>
      <c r="M3299" s="12" t="inlineStr">
        <is>
          <t>18</t>
        </is>
      </c>
      <c r="N3299" s="12" t="n">
        <v>1</v>
      </c>
      <c r="O3299" s="12" t="n">
        <v>1</v>
      </c>
      <c r="P3299" s="12" t="n"/>
      <c r="Q3299" s="12" t="n"/>
      <c r="R3299" s="12" t="n"/>
      <c r="S3299" s="12" t="inlineStr">
        <is>
          <t>Duct bank</t>
        </is>
      </c>
      <c r="T3299" s="16" t="n">
        <v>861</v>
      </c>
      <c r="U3299" s="16" t="n">
        <v>129</v>
      </c>
      <c r="V3299" s="16">
        <f>ROUNDUP((T3299+U3299+2*'Read Me'!$B$13)*(1+'Read Me'!$B$12),-1)</f>
        <v/>
      </c>
      <c r="W3299" s="16">
        <f>V3299*N3299*O3299</f>
        <v/>
      </c>
      <c r="X3299" s="12">
        <f>IF(LEFT(I3299,2)="MV",2*N3299*IF(L3299="1/C",O3299,1),0)</f>
        <v/>
      </c>
      <c r="Y3299" s="12">
        <f>IF(OR(LEFT(K3299,4)="LVAX",LEFT(K3299,6)="MV15AX",LEFT(K3299,4)="CTAX",LEFT(K3299,2)="W|"),2*N3299*O3299,0)</f>
        <v/>
      </c>
      <c r="Z3299" s="12" t="inlineStr"/>
      <c r="AA3299" s="12">
        <f>N3299*O3299</f>
        <v/>
      </c>
    </row>
    <row r="3300">
      <c r="A3300" s="12" t="inlineStr">
        <is>
          <t>G-I-0169</t>
        </is>
      </c>
      <c r="B3300" s="12" t="inlineStr">
        <is>
          <t>G</t>
        </is>
      </c>
      <c r="C3300" s="12" t="inlineStr">
        <is>
          <t>Carbon capture</t>
        </is>
      </c>
      <c r="D3300" s="12" t="inlineStr">
        <is>
          <t>Discrete device to JB JB-DCC-A-DI01: 10 x 1 pr (field cables)</t>
        </is>
      </c>
      <c r="E3300" s="12" t="inlineStr">
        <is>
          <t>DCC-A</t>
        </is>
      </c>
      <c r="F3300" s="12" t="inlineStr">
        <is>
          <t>DCC-A: direct-contact cooler (quench)</t>
        </is>
      </c>
      <c r="G3300" s="12" t="inlineStr">
        <is>
          <t>JB-DCC-A-DI01</t>
        </is>
      </c>
      <c r="H3300" s="12" t="inlineStr">
        <is>
          <t>DCC-A: direct-contact cooler (quench)</t>
        </is>
      </c>
      <c r="I3300" s="12" t="inlineStr">
        <is>
          <t>Instrumentation</t>
        </is>
      </c>
      <c r="J3300" s="12" t="inlineStr">
        <is>
          <t>Instrumentation PLTC / TC-ER 300 V, #18 twisted shielded pairs, overall shield</t>
        </is>
      </c>
      <c r="K3300" s="12" t="inlineStr">
        <is>
          <t>PLTC|1 pr|16</t>
        </is>
      </c>
      <c r="L3300" s="12" t="inlineStr">
        <is>
          <t>1 pr</t>
        </is>
      </c>
      <c r="M3300" s="12" t="inlineStr">
        <is>
          <t>16</t>
        </is>
      </c>
      <c r="N3300" s="12" t="n">
        <v>10</v>
      </c>
      <c r="O3300" s="12" t="n">
        <v>1</v>
      </c>
      <c r="P3300" s="12" t="n"/>
      <c r="Q3300" s="12" t="n"/>
      <c r="R3300" s="12" t="n"/>
      <c r="S3300" s="12" t="inlineStr">
        <is>
          <t>Tray / conduit</t>
        </is>
      </c>
      <c r="T3300" s="16" t="n">
        <v>121</v>
      </c>
      <c r="U3300" s="16" t="n">
        <v>10</v>
      </c>
      <c r="V3300" s="16">
        <f>ROUNDUP((T3300+U3300+2*'Read Me'!$B$13)*(1+'Read Me'!$B$12),-1)</f>
        <v/>
      </c>
      <c r="W3300" s="16">
        <f>V3300*N3300*O3300</f>
        <v/>
      </c>
      <c r="X3300" s="12">
        <f>IF(LEFT(I3300,2)="MV",2*N3300*IF(L3300="1/C",O3300,1),0)</f>
        <v/>
      </c>
      <c r="Y3300" s="12">
        <f>IF(OR(LEFT(K3300,4)="LVAX",LEFT(K3300,6)="MV15AX",LEFT(K3300,4)="CTAX",LEFT(K3300,2)="W|"),2*N3300*O3300,0)</f>
        <v/>
      </c>
      <c r="Z3300" s="12" t="inlineStr">
        <is>
          <t>device-to-JB field wiring, one cable per device</t>
        </is>
      </c>
      <c r="AA3300" s="12">
        <f>N3300*O3300</f>
        <v/>
      </c>
    </row>
    <row r="3301">
      <c r="A3301" s="12" t="inlineStr">
        <is>
          <t>G-I-0170</t>
        </is>
      </c>
      <c r="B3301" s="12" t="inlineStr">
        <is>
          <t>G</t>
        </is>
      </c>
      <c r="C3301" s="12" t="inlineStr">
        <is>
          <t>Carbon capture</t>
        </is>
      </c>
      <c r="D3301" s="12" t="inlineStr">
        <is>
          <t>Home run JB-DCC-A-DI01 to the control / marshalling room</t>
        </is>
      </c>
      <c r="E3301" s="12" t="inlineStr"/>
      <c r="F3301" s="12" t="inlineStr">
        <is>
          <t>CCS F&amp;G / control</t>
        </is>
      </c>
      <c r="G3301" s="12" t="inlineStr">
        <is>
          <t>JB-DCC-A-DI01</t>
        </is>
      </c>
      <c r="H3301" s="12" t="inlineStr">
        <is>
          <t>DCC-A: direct-contact cooler (quench)</t>
        </is>
      </c>
      <c r="I3301" s="12" t="inlineStr">
        <is>
          <t>Instrumentation</t>
        </is>
      </c>
      <c r="J3301" s="12" t="inlineStr">
        <is>
          <t>Instrumentation PLTC / TC-ER 300 V, #18 twisted shielded pairs, overall shield</t>
        </is>
      </c>
      <c r="K3301" s="12" t="inlineStr">
        <is>
          <t>PLTC|24 pr|18</t>
        </is>
      </c>
      <c r="L3301" s="12" t="inlineStr">
        <is>
          <t>24 pr</t>
        </is>
      </c>
      <c r="M3301" s="12" t="inlineStr">
        <is>
          <t>18</t>
        </is>
      </c>
      <c r="N3301" s="12" t="n">
        <v>1</v>
      </c>
      <c r="O3301" s="12" t="n">
        <v>1</v>
      </c>
      <c r="P3301" s="12" t="n"/>
      <c r="Q3301" s="12" t="n"/>
      <c r="R3301" s="12" t="n"/>
      <c r="S3301" s="12" t="inlineStr">
        <is>
          <t>Duct bank</t>
        </is>
      </c>
      <c r="T3301" s="16" t="n">
        <v>861</v>
      </c>
      <c r="U3301" s="16" t="n">
        <v>129</v>
      </c>
      <c r="V3301" s="16">
        <f>ROUNDUP((T3301+U3301+2*'Read Me'!$B$13)*(1+'Read Me'!$B$12),-1)</f>
        <v/>
      </c>
      <c r="W3301" s="16">
        <f>V3301*N3301*O3301</f>
        <v/>
      </c>
      <c r="X3301" s="12">
        <f>IF(LEFT(I3301,2)="MV",2*N3301*IF(L3301="1/C",O3301,1),0)</f>
        <v/>
      </c>
      <c r="Y3301" s="12">
        <f>IF(OR(LEFT(K3301,4)="LVAX",LEFT(K3301,6)="MV15AX",LEFT(K3301,4)="CTAX",LEFT(K3301,2)="W|"),2*N3301*O3301,0)</f>
        <v/>
      </c>
      <c r="Z3301" s="12" t="inlineStr"/>
      <c r="AA3301" s="12">
        <f>N3301*O3301</f>
        <v/>
      </c>
    </row>
    <row r="3302">
      <c r="A3302" s="12" t="inlineStr">
        <is>
          <t>G-I-0171</t>
        </is>
      </c>
      <c r="B3302" s="12" t="inlineStr">
        <is>
          <t>G</t>
        </is>
      </c>
      <c r="C3302" s="12" t="inlineStr">
        <is>
          <t>Carbon capture</t>
        </is>
      </c>
      <c r="D3302" s="12" t="inlineStr">
        <is>
          <t>Analog instrument to JB JB-DCC-B pumps + wate-AI01: 10 x 1 pr (field cables)</t>
        </is>
      </c>
      <c r="E3302" s="12" t="inlineStr"/>
      <c r="F3302" s="12" t="inlineStr">
        <is>
          <t>DCC-B pumps + water filter</t>
        </is>
      </c>
      <c r="G3302" s="12" t="inlineStr">
        <is>
          <t>JB-DCC-B pumps + wate-AI01</t>
        </is>
      </c>
      <c r="H3302" s="12" t="inlineStr">
        <is>
          <t>DCC-B pumps + water filter</t>
        </is>
      </c>
      <c r="I3302" s="12" t="inlineStr">
        <is>
          <t>Instrumentation</t>
        </is>
      </c>
      <c r="J3302" s="12" t="inlineStr">
        <is>
          <t>Instrumentation PLTC / TC-ER 300 V, #18 twisted shielded pairs, overall shield</t>
        </is>
      </c>
      <c r="K3302" s="12" t="inlineStr">
        <is>
          <t>PLTC|1 pr|16</t>
        </is>
      </c>
      <c r="L3302" s="12" t="inlineStr">
        <is>
          <t>1 pr</t>
        </is>
      </c>
      <c r="M3302" s="12" t="inlineStr">
        <is>
          <t>16</t>
        </is>
      </c>
      <c r="N3302" s="12" t="n">
        <v>10</v>
      </c>
      <c r="O3302" s="12" t="n">
        <v>1</v>
      </c>
      <c r="P3302" s="12" t="n"/>
      <c r="Q3302" s="12" t="n"/>
      <c r="R3302" s="12" t="n"/>
      <c r="S3302" s="12" t="inlineStr">
        <is>
          <t>Tray / conduit</t>
        </is>
      </c>
      <c r="T3302" s="16" t="n">
        <v>60</v>
      </c>
      <c r="U3302" s="16" t="n">
        <v>10</v>
      </c>
      <c r="V3302" s="16">
        <f>ROUNDUP((T3302+U3302+2*'Read Me'!$B$13)*(1+'Read Me'!$B$12),-1)</f>
        <v/>
      </c>
      <c r="W3302" s="16">
        <f>V3302*N3302*O3302</f>
        <v/>
      </c>
      <c r="X3302" s="12">
        <f>IF(LEFT(I3302,2)="MV",2*N3302*IF(L3302="1/C",O3302,1),0)</f>
        <v/>
      </c>
      <c r="Y3302" s="12">
        <f>IF(OR(LEFT(K3302,4)="LVAX",LEFT(K3302,6)="MV15AX",LEFT(K3302,4)="CTAX",LEFT(K3302,2)="W|"),2*N3302*O3302,0)</f>
        <v/>
      </c>
      <c r="Z3302" s="12" t="inlineStr">
        <is>
          <t>device-to-JB field wiring, one cable per device</t>
        </is>
      </c>
      <c r="AA3302" s="12">
        <f>N3302*O3302</f>
        <v/>
      </c>
    </row>
    <row r="3303">
      <c r="A3303" s="12" t="inlineStr">
        <is>
          <t>G-I-0172</t>
        </is>
      </c>
      <c r="B3303" s="12" t="inlineStr">
        <is>
          <t>G</t>
        </is>
      </c>
      <c r="C3303" s="12" t="inlineStr">
        <is>
          <t>Carbon capture</t>
        </is>
      </c>
      <c r="D3303" s="12" t="inlineStr">
        <is>
          <t>Home run JB-DCC-B pumps + wate-AI01 to the control / marshalling room</t>
        </is>
      </c>
      <c r="E3303" s="12" t="inlineStr"/>
      <c r="F3303" s="12" t="inlineStr">
        <is>
          <t>CCS F&amp;G / control</t>
        </is>
      </c>
      <c r="G3303" s="12" t="inlineStr">
        <is>
          <t>JB-DCC-B pumps + wate-AI01</t>
        </is>
      </c>
      <c r="H3303" s="12" t="inlineStr">
        <is>
          <t>DCC-B pumps + water filter</t>
        </is>
      </c>
      <c r="I3303" s="12" t="inlineStr">
        <is>
          <t>Instrumentation</t>
        </is>
      </c>
      <c r="J3303" s="12" t="inlineStr">
        <is>
          <t>Instrumentation PLTC / TC-ER 300 V, #18 twisted shielded pairs, overall shield</t>
        </is>
      </c>
      <c r="K3303" s="12" t="inlineStr">
        <is>
          <t>PLTC|24 pr|18</t>
        </is>
      </c>
      <c r="L3303" s="12" t="inlineStr">
        <is>
          <t>24 pr</t>
        </is>
      </c>
      <c r="M3303" s="12" t="inlineStr">
        <is>
          <t>18</t>
        </is>
      </c>
      <c r="N3303" s="12" t="n">
        <v>1</v>
      </c>
      <c r="O3303" s="12" t="n">
        <v>1</v>
      </c>
      <c r="P3303" s="12" t="n"/>
      <c r="Q3303" s="12" t="n"/>
      <c r="R3303" s="12" t="n"/>
      <c r="S3303" s="12" t="inlineStr">
        <is>
          <t>Tray</t>
        </is>
      </c>
      <c r="T3303" s="16" t="n">
        <v>784</v>
      </c>
      <c r="U3303" s="16" t="n">
        <v>191</v>
      </c>
      <c r="V3303" s="16">
        <f>ROUNDUP((T3303+U3303+2*'Read Me'!$B$13)*(1+'Read Me'!$B$12),-1)</f>
        <v/>
      </c>
      <c r="W3303" s="16">
        <f>V3303*N3303*O3303</f>
        <v/>
      </c>
      <c r="X3303" s="12">
        <f>IF(LEFT(I3303,2)="MV",2*N3303*IF(L3303="1/C",O3303,1),0)</f>
        <v/>
      </c>
      <c r="Y3303" s="12">
        <f>IF(OR(LEFT(K3303,4)="LVAX",LEFT(K3303,6)="MV15AX",LEFT(K3303,4)="CTAX",LEFT(K3303,2)="W|"),2*N3303*O3303,0)</f>
        <v/>
      </c>
      <c r="Z3303" s="12" t="inlineStr"/>
      <c r="AA3303" s="12">
        <f>N3303*O3303</f>
        <v/>
      </c>
    </row>
    <row r="3304">
      <c r="A3304" s="12" t="inlineStr">
        <is>
          <t>G-I-0173</t>
        </is>
      </c>
      <c r="B3304" s="12" t="inlineStr">
        <is>
          <t>G</t>
        </is>
      </c>
      <c r="C3304" s="12" t="inlineStr">
        <is>
          <t>Carbon capture</t>
        </is>
      </c>
      <c r="D3304" s="12" t="inlineStr">
        <is>
          <t>Discrete device to JB JB-DCC-B pumps + wate-DI01: 10 x 1 pr (field cables)</t>
        </is>
      </c>
      <c r="E3304" s="12" t="inlineStr"/>
      <c r="F3304" s="12" t="inlineStr">
        <is>
          <t>DCC-B pumps + water filter</t>
        </is>
      </c>
      <c r="G3304" s="12" t="inlineStr">
        <is>
          <t>JB-DCC-B pumps + wate-DI01</t>
        </is>
      </c>
      <c r="H3304" s="12" t="inlineStr">
        <is>
          <t>DCC-B pumps + water filter</t>
        </is>
      </c>
      <c r="I3304" s="12" t="inlineStr">
        <is>
          <t>Instrumentation</t>
        </is>
      </c>
      <c r="J3304" s="12" t="inlineStr">
        <is>
          <t>Instrumentation PLTC / TC-ER 300 V, #18 twisted shielded pairs, overall shield</t>
        </is>
      </c>
      <c r="K3304" s="12" t="inlineStr">
        <is>
          <t>PLTC|1 pr|16</t>
        </is>
      </c>
      <c r="L3304" s="12" t="inlineStr">
        <is>
          <t>1 pr</t>
        </is>
      </c>
      <c r="M3304" s="12" t="inlineStr">
        <is>
          <t>16</t>
        </is>
      </c>
      <c r="N3304" s="12" t="n">
        <v>10</v>
      </c>
      <c r="O3304" s="12" t="n">
        <v>1</v>
      </c>
      <c r="P3304" s="12" t="n"/>
      <c r="Q3304" s="12" t="n"/>
      <c r="R3304" s="12" t="n"/>
      <c r="S3304" s="12" t="inlineStr">
        <is>
          <t>Tray / conduit</t>
        </is>
      </c>
      <c r="T3304" s="16" t="n">
        <v>60</v>
      </c>
      <c r="U3304" s="16" t="n">
        <v>10</v>
      </c>
      <c r="V3304" s="16">
        <f>ROUNDUP((T3304+U3304+2*'Read Me'!$B$13)*(1+'Read Me'!$B$12),-1)</f>
        <v/>
      </c>
      <c r="W3304" s="16">
        <f>V3304*N3304*O3304</f>
        <v/>
      </c>
      <c r="X3304" s="12">
        <f>IF(LEFT(I3304,2)="MV",2*N3304*IF(L3304="1/C",O3304,1),0)</f>
        <v/>
      </c>
      <c r="Y3304" s="12">
        <f>IF(OR(LEFT(K3304,4)="LVAX",LEFT(K3304,6)="MV15AX",LEFT(K3304,4)="CTAX",LEFT(K3304,2)="W|"),2*N3304*O3304,0)</f>
        <v/>
      </c>
      <c r="Z3304" s="12" t="inlineStr">
        <is>
          <t>device-to-JB field wiring, one cable per device</t>
        </is>
      </c>
      <c r="AA3304" s="12">
        <f>N3304*O3304</f>
        <v/>
      </c>
    </row>
    <row r="3305">
      <c r="A3305" s="12" t="inlineStr">
        <is>
          <t>G-I-0174</t>
        </is>
      </c>
      <c r="B3305" s="12" t="inlineStr">
        <is>
          <t>G</t>
        </is>
      </c>
      <c r="C3305" s="12" t="inlineStr">
        <is>
          <t>Carbon capture</t>
        </is>
      </c>
      <c r="D3305" s="12" t="inlineStr">
        <is>
          <t>Home run JB-DCC-B pumps + wate-DI01 to the control / marshalling room</t>
        </is>
      </c>
      <c r="E3305" s="12" t="inlineStr"/>
      <c r="F3305" s="12" t="inlineStr">
        <is>
          <t>CCS F&amp;G / control</t>
        </is>
      </c>
      <c r="G3305" s="12" t="inlineStr">
        <is>
          <t>JB-DCC-B pumps + wate-DI01</t>
        </is>
      </c>
      <c r="H3305" s="12" t="inlineStr">
        <is>
          <t>DCC-B pumps + water filter</t>
        </is>
      </c>
      <c r="I3305" s="12" t="inlineStr">
        <is>
          <t>Instrumentation</t>
        </is>
      </c>
      <c r="J3305" s="12" t="inlineStr">
        <is>
          <t>Instrumentation PLTC / TC-ER 300 V, #18 twisted shielded pairs, overall shield</t>
        </is>
      </c>
      <c r="K3305" s="12" t="inlineStr">
        <is>
          <t>PLTC|24 pr|18</t>
        </is>
      </c>
      <c r="L3305" s="12" t="inlineStr">
        <is>
          <t>24 pr</t>
        </is>
      </c>
      <c r="M3305" s="12" t="inlineStr">
        <is>
          <t>18</t>
        </is>
      </c>
      <c r="N3305" s="12" t="n">
        <v>1</v>
      </c>
      <c r="O3305" s="12" t="n">
        <v>1</v>
      </c>
      <c r="P3305" s="12" t="n"/>
      <c r="Q3305" s="12" t="n"/>
      <c r="R3305" s="12" t="n"/>
      <c r="S3305" s="12" t="inlineStr">
        <is>
          <t>Tray</t>
        </is>
      </c>
      <c r="T3305" s="16" t="n">
        <v>784</v>
      </c>
      <c r="U3305" s="16" t="n">
        <v>191</v>
      </c>
      <c r="V3305" s="16">
        <f>ROUNDUP((T3305+U3305+2*'Read Me'!$B$13)*(1+'Read Me'!$B$12),-1)</f>
        <v/>
      </c>
      <c r="W3305" s="16">
        <f>V3305*N3305*O3305</f>
        <v/>
      </c>
      <c r="X3305" s="12">
        <f>IF(LEFT(I3305,2)="MV",2*N3305*IF(L3305="1/C",O3305,1),0)</f>
        <v/>
      </c>
      <c r="Y3305" s="12">
        <f>IF(OR(LEFT(K3305,4)="LVAX",LEFT(K3305,6)="MV15AX",LEFT(K3305,4)="CTAX",LEFT(K3305,2)="W|"),2*N3305*O3305,0)</f>
        <v/>
      </c>
      <c r="Z3305" s="12" t="inlineStr"/>
      <c r="AA3305" s="12">
        <f>N3305*O3305</f>
        <v/>
      </c>
    </row>
    <row r="3306">
      <c r="A3306" s="12" t="inlineStr">
        <is>
          <t>G-I-0175</t>
        </is>
      </c>
      <c r="B3306" s="12" t="inlineStr">
        <is>
          <t>G</t>
        </is>
      </c>
      <c r="C3306" s="12" t="inlineStr">
        <is>
          <t>Carbon capture</t>
        </is>
      </c>
      <c r="D3306" s="12" t="inlineStr">
        <is>
          <t>Analog instrument to JB JB-DCC-B-AI01: 20 x 1 pr (field cables)</t>
        </is>
      </c>
      <c r="E3306" s="12" t="inlineStr">
        <is>
          <t>DCC-B</t>
        </is>
      </c>
      <c r="F3306" s="12" t="inlineStr">
        <is>
          <t>DCC-B: direct-contact cooler (quench)</t>
        </is>
      </c>
      <c r="G3306" s="12" t="inlineStr">
        <is>
          <t>JB-DCC-B-AI01</t>
        </is>
      </c>
      <c r="H3306" s="12" t="inlineStr">
        <is>
          <t>DCC-B: direct-contact cooler (quench)</t>
        </is>
      </c>
      <c r="I3306" s="12" t="inlineStr">
        <is>
          <t>Instrumentation</t>
        </is>
      </c>
      <c r="J3306" s="12" t="inlineStr">
        <is>
          <t>Instrumentation PLTC / TC-ER 300 V, #18 twisted shielded pairs, overall shield</t>
        </is>
      </c>
      <c r="K3306" s="12" t="inlineStr">
        <is>
          <t>PLTC|1 pr|16</t>
        </is>
      </c>
      <c r="L3306" s="12" t="inlineStr">
        <is>
          <t>1 pr</t>
        </is>
      </c>
      <c r="M3306" s="12" t="inlineStr">
        <is>
          <t>16</t>
        </is>
      </c>
      <c r="N3306" s="12" t="n">
        <v>20</v>
      </c>
      <c r="O3306" s="12" t="n">
        <v>1</v>
      </c>
      <c r="P3306" s="12" t="n"/>
      <c r="Q3306" s="12" t="n"/>
      <c r="R3306" s="12" t="n"/>
      <c r="S3306" s="12" t="inlineStr">
        <is>
          <t>Tray / conduit</t>
        </is>
      </c>
      <c r="T3306" s="16" t="n">
        <v>121</v>
      </c>
      <c r="U3306" s="16" t="n">
        <v>10</v>
      </c>
      <c r="V3306" s="16">
        <f>ROUNDUP((T3306+U3306+2*'Read Me'!$B$13)*(1+'Read Me'!$B$12),-1)</f>
        <v/>
      </c>
      <c r="W3306" s="16">
        <f>V3306*N3306*O3306</f>
        <v/>
      </c>
      <c r="X3306" s="12">
        <f>IF(LEFT(I3306,2)="MV",2*N3306*IF(L3306="1/C",O3306,1),0)</f>
        <v/>
      </c>
      <c r="Y3306" s="12">
        <f>IF(OR(LEFT(K3306,4)="LVAX",LEFT(K3306,6)="MV15AX",LEFT(K3306,4)="CTAX",LEFT(K3306,2)="W|"),2*N3306*O3306,0)</f>
        <v/>
      </c>
      <c r="Z3306" s="12" t="inlineStr">
        <is>
          <t>device-to-JB field wiring, one cable per device</t>
        </is>
      </c>
      <c r="AA3306" s="12">
        <f>N3306*O3306</f>
        <v/>
      </c>
    </row>
    <row r="3307">
      <c r="A3307" s="12" t="inlineStr">
        <is>
          <t>G-I-0176</t>
        </is>
      </c>
      <c r="B3307" s="12" t="inlineStr">
        <is>
          <t>G</t>
        </is>
      </c>
      <c r="C3307" s="12" t="inlineStr">
        <is>
          <t>Carbon capture</t>
        </is>
      </c>
      <c r="D3307" s="12" t="inlineStr">
        <is>
          <t>Home run JB-DCC-B-AI01 to the control / marshalling room</t>
        </is>
      </c>
      <c r="E3307" s="12" t="inlineStr"/>
      <c r="F3307" s="12" t="inlineStr">
        <is>
          <t>CCS F&amp;G / control</t>
        </is>
      </c>
      <c r="G3307" s="12" t="inlineStr">
        <is>
          <t>JB-DCC-B-AI01</t>
        </is>
      </c>
      <c r="H3307" s="12" t="inlineStr">
        <is>
          <t>DCC-B: direct-contact cooler (quench)</t>
        </is>
      </c>
      <c r="I3307" s="12" t="inlineStr">
        <is>
          <t>Instrumentation</t>
        </is>
      </c>
      <c r="J3307" s="12" t="inlineStr">
        <is>
          <t>Instrumentation PLTC / TC-ER 300 V, #18 twisted shielded pairs, overall shield</t>
        </is>
      </c>
      <c r="K3307" s="12" t="inlineStr">
        <is>
          <t>PLTC|24 pr|18</t>
        </is>
      </c>
      <c r="L3307" s="12" t="inlineStr">
        <is>
          <t>24 pr</t>
        </is>
      </c>
      <c r="M3307" s="12" t="inlineStr">
        <is>
          <t>18</t>
        </is>
      </c>
      <c r="N3307" s="12" t="n">
        <v>1</v>
      </c>
      <c r="O3307" s="12" t="n">
        <v>1</v>
      </c>
      <c r="P3307" s="12" t="n"/>
      <c r="Q3307" s="12" t="n"/>
      <c r="R3307" s="12" t="n"/>
      <c r="S3307" s="12" t="inlineStr">
        <is>
          <t>Duct bank</t>
        </is>
      </c>
      <c r="T3307" s="16" t="n">
        <v>701</v>
      </c>
      <c r="U3307" s="16" t="n">
        <v>129</v>
      </c>
      <c r="V3307" s="16">
        <f>ROUNDUP((T3307+U3307+2*'Read Me'!$B$13)*(1+'Read Me'!$B$12),-1)</f>
        <v/>
      </c>
      <c r="W3307" s="16">
        <f>V3307*N3307*O3307</f>
        <v/>
      </c>
      <c r="X3307" s="12">
        <f>IF(LEFT(I3307,2)="MV",2*N3307*IF(L3307="1/C",O3307,1),0)</f>
        <v/>
      </c>
      <c r="Y3307" s="12">
        <f>IF(OR(LEFT(K3307,4)="LVAX",LEFT(K3307,6)="MV15AX",LEFT(K3307,4)="CTAX",LEFT(K3307,2)="W|"),2*N3307*O3307,0)</f>
        <v/>
      </c>
      <c r="Z3307" s="12" t="inlineStr"/>
      <c r="AA3307" s="12">
        <f>N3307*O3307</f>
        <v/>
      </c>
    </row>
    <row r="3308">
      <c r="A3308" s="12" t="inlineStr">
        <is>
          <t>G-I-0177</t>
        </is>
      </c>
      <c r="B3308" s="12" t="inlineStr">
        <is>
          <t>G</t>
        </is>
      </c>
      <c r="C3308" s="12" t="inlineStr">
        <is>
          <t>Carbon capture</t>
        </is>
      </c>
      <c r="D3308" s="12" t="inlineStr">
        <is>
          <t>Discrete device to JB JB-DCC-B-DI01: 10 x 1 pr (field cables)</t>
        </is>
      </c>
      <c r="E3308" s="12" t="inlineStr">
        <is>
          <t>DCC-B</t>
        </is>
      </c>
      <c r="F3308" s="12" t="inlineStr">
        <is>
          <t>DCC-B: direct-contact cooler (quench)</t>
        </is>
      </c>
      <c r="G3308" s="12" t="inlineStr">
        <is>
          <t>JB-DCC-B-DI01</t>
        </is>
      </c>
      <c r="H3308" s="12" t="inlineStr">
        <is>
          <t>DCC-B: direct-contact cooler (quench)</t>
        </is>
      </c>
      <c r="I3308" s="12" t="inlineStr">
        <is>
          <t>Instrumentation</t>
        </is>
      </c>
      <c r="J3308" s="12" t="inlineStr">
        <is>
          <t>Instrumentation PLTC / TC-ER 300 V, #18 twisted shielded pairs, overall shield</t>
        </is>
      </c>
      <c r="K3308" s="12" t="inlineStr">
        <is>
          <t>PLTC|1 pr|16</t>
        </is>
      </c>
      <c r="L3308" s="12" t="inlineStr">
        <is>
          <t>1 pr</t>
        </is>
      </c>
      <c r="M3308" s="12" t="inlineStr">
        <is>
          <t>16</t>
        </is>
      </c>
      <c r="N3308" s="12" t="n">
        <v>10</v>
      </c>
      <c r="O3308" s="12" t="n">
        <v>1</v>
      </c>
      <c r="P3308" s="12" t="n"/>
      <c r="Q3308" s="12" t="n"/>
      <c r="R3308" s="12" t="n"/>
      <c r="S3308" s="12" t="inlineStr">
        <is>
          <t>Tray / conduit</t>
        </is>
      </c>
      <c r="T3308" s="16" t="n">
        <v>121</v>
      </c>
      <c r="U3308" s="16" t="n">
        <v>10</v>
      </c>
      <c r="V3308" s="16">
        <f>ROUNDUP((T3308+U3308+2*'Read Me'!$B$13)*(1+'Read Me'!$B$12),-1)</f>
        <v/>
      </c>
      <c r="W3308" s="16">
        <f>V3308*N3308*O3308</f>
        <v/>
      </c>
      <c r="X3308" s="12">
        <f>IF(LEFT(I3308,2)="MV",2*N3308*IF(L3308="1/C",O3308,1),0)</f>
        <v/>
      </c>
      <c r="Y3308" s="12">
        <f>IF(OR(LEFT(K3308,4)="LVAX",LEFT(K3308,6)="MV15AX",LEFT(K3308,4)="CTAX",LEFT(K3308,2)="W|"),2*N3308*O3308,0)</f>
        <v/>
      </c>
      <c r="Z3308" s="12" t="inlineStr">
        <is>
          <t>device-to-JB field wiring, one cable per device</t>
        </is>
      </c>
      <c r="AA3308" s="12">
        <f>N3308*O3308</f>
        <v/>
      </c>
    </row>
    <row r="3309">
      <c r="A3309" s="12" t="inlineStr">
        <is>
          <t>G-I-0178</t>
        </is>
      </c>
      <c r="B3309" s="12" t="inlineStr">
        <is>
          <t>G</t>
        </is>
      </c>
      <c r="C3309" s="12" t="inlineStr">
        <is>
          <t>Carbon capture</t>
        </is>
      </c>
      <c r="D3309" s="12" t="inlineStr">
        <is>
          <t>Home run JB-DCC-B-DI01 to the control / marshalling room</t>
        </is>
      </c>
      <c r="E3309" s="12" t="inlineStr"/>
      <c r="F3309" s="12" t="inlineStr">
        <is>
          <t>CCS F&amp;G / control</t>
        </is>
      </c>
      <c r="G3309" s="12" t="inlineStr">
        <is>
          <t>JB-DCC-B-DI01</t>
        </is>
      </c>
      <c r="H3309" s="12" t="inlineStr">
        <is>
          <t>DCC-B: direct-contact cooler (quench)</t>
        </is>
      </c>
      <c r="I3309" s="12" t="inlineStr">
        <is>
          <t>Instrumentation</t>
        </is>
      </c>
      <c r="J3309" s="12" t="inlineStr">
        <is>
          <t>Instrumentation PLTC / TC-ER 300 V, #18 twisted shielded pairs, overall shield</t>
        </is>
      </c>
      <c r="K3309" s="12" t="inlineStr">
        <is>
          <t>PLTC|24 pr|18</t>
        </is>
      </c>
      <c r="L3309" s="12" t="inlineStr">
        <is>
          <t>24 pr</t>
        </is>
      </c>
      <c r="M3309" s="12" t="inlineStr">
        <is>
          <t>18</t>
        </is>
      </c>
      <c r="N3309" s="12" t="n">
        <v>1</v>
      </c>
      <c r="O3309" s="12" t="n">
        <v>1</v>
      </c>
      <c r="P3309" s="12" t="n"/>
      <c r="Q3309" s="12" t="n"/>
      <c r="R3309" s="12" t="n"/>
      <c r="S3309" s="12" t="inlineStr">
        <is>
          <t>Duct bank</t>
        </is>
      </c>
      <c r="T3309" s="16" t="n">
        <v>701</v>
      </c>
      <c r="U3309" s="16" t="n">
        <v>129</v>
      </c>
      <c r="V3309" s="16">
        <f>ROUNDUP((T3309+U3309+2*'Read Me'!$B$13)*(1+'Read Me'!$B$12),-1)</f>
        <v/>
      </c>
      <c r="W3309" s="16">
        <f>V3309*N3309*O3309</f>
        <v/>
      </c>
      <c r="X3309" s="12">
        <f>IF(LEFT(I3309,2)="MV",2*N3309*IF(L3309="1/C",O3309,1),0)</f>
        <v/>
      </c>
      <c r="Y3309" s="12">
        <f>IF(OR(LEFT(K3309,4)="LVAX",LEFT(K3309,6)="MV15AX",LEFT(K3309,4)="CTAX",LEFT(K3309,2)="W|"),2*N3309*O3309,0)</f>
        <v/>
      </c>
      <c r="Z3309" s="12" t="inlineStr"/>
      <c r="AA3309" s="12">
        <f>N3309*O3309</f>
        <v/>
      </c>
    </row>
    <row r="3310">
      <c r="A3310" s="12" t="inlineStr">
        <is>
          <t>G-I-0179</t>
        </is>
      </c>
      <c r="B3310" s="12" t="inlineStr">
        <is>
          <t>G</t>
        </is>
      </c>
      <c r="C3310" s="12" t="inlineStr">
        <is>
          <t>Carbon capture</t>
        </is>
      </c>
      <c r="D3310" s="12" t="inlineStr">
        <is>
          <t>Analog instrument to JB JB-DCC-C pumps + wate-AI01: 10 x 1 pr (field cables)</t>
        </is>
      </c>
      <c r="E3310" s="12" t="inlineStr"/>
      <c r="F3310" s="12" t="inlineStr">
        <is>
          <t>DCC-C pumps + water filter</t>
        </is>
      </c>
      <c r="G3310" s="12" t="inlineStr">
        <is>
          <t>JB-DCC-C pumps + wate-AI01</t>
        </is>
      </c>
      <c r="H3310" s="12" t="inlineStr">
        <is>
          <t>DCC-C pumps + water filter</t>
        </is>
      </c>
      <c r="I3310" s="12" t="inlineStr">
        <is>
          <t>Instrumentation</t>
        </is>
      </c>
      <c r="J3310" s="12" t="inlineStr">
        <is>
          <t>Instrumentation PLTC / TC-ER 300 V, #18 twisted shielded pairs, overall shield</t>
        </is>
      </c>
      <c r="K3310" s="12" t="inlineStr">
        <is>
          <t>PLTC|1 pr|16</t>
        </is>
      </c>
      <c r="L3310" s="12" t="inlineStr">
        <is>
          <t>1 pr</t>
        </is>
      </c>
      <c r="M3310" s="12" t="inlineStr">
        <is>
          <t>16</t>
        </is>
      </c>
      <c r="N3310" s="12" t="n">
        <v>10</v>
      </c>
      <c r="O3310" s="12" t="n">
        <v>1</v>
      </c>
      <c r="P3310" s="12" t="n"/>
      <c r="Q3310" s="12" t="n"/>
      <c r="R3310" s="12" t="n"/>
      <c r="S3310" s="12" t="inlineStr">
        <is>
          <t>Tray / conduit</t>
        </is>
      </c>
      <c r="T3310" s="16" t="n">
        <v>60</v>
      </c>
      <c r="U3310" s="16" t="n">
        <v>10</v>
      </c>
      <c r="V3310" s="16">
        <f>ROUNDUP((T3310+U3310+2*'Read Me'!$B$13)*(1+'Read Me'!$B$12),-1)</f>
        <v/>
      </c>
      <c r="W3310" s="16">
        <f>V3310*N3310*O3310</f>
        <v/>
      </c>
      <c r="X3310" s="12">
        <f>IF(LEFT(I3310,2)="MV",2*N3310*IF(L3310="1/C",O3310,1),0)</f>
        <v/>
      </c>
      <c r="Y3310" s="12">
        <f>IF(OR(LEFT(K3310,4)="LVAX",LEFT(K3310,6)="MV15AX",LEFT(K3310,4)="CTAX",LEFT(K3310,2)="W|"),2*N3310*O3310,0)</f>
        <v/>
      </c>
      <c r="Z3310" s="12" t="inlineStr">
        <is>
          <t>device-to-JB field wiring, one cable per device</t>
        </is>
      </c>
      <c r="AA3310" s="12">
        <f>N3310*O3310</f>
        <v/>
      </c>
    </row>
    <row r="3311">
      <c r="A3311" s="12" t="inlineStr">
        <is>
          <t>G-I-0180</t>
        </is>
      </c>
      <c r="B3311" s="12" t="inlineStr">
        <is>
          <t>G</t>
        </is>
      </c>
      <c r="C3311" s="12" t="inlineStr">
        <is>
          <t>Carbon capture</t>
        </is>
      </c>
      <c r="D3311" s="12" t="inlineStr">
        <is>
          <t>Home run JB-DCC-C pumps + wate-AI01 to the control / marshalling room</t>
        </is>
      </c>
      <c r="E3311" s="12" t="inlineStr"/>
      <c r="F3311" s="12" t="inlineStr">
        <is>
          <t>CCS F&amp;G / control</t>
        </is>
      </c>
      <c r="G3311" s="12" t="inlineStr">
        <is>
          <t>JB-DCC-C pumps + wate-AI01</t>
        </is>
      </c>
      <c r="H3311" s="12" t="inlineStr">
        <is>
          <t>DCC-C pumps + water filter</t>
        </is>
      </c>
      <c r="I3311" s="12" t="inlineStr">
        <is>
          <t>Instrumentation</t>
        </is>
      </c>
      <c r="J3311" s="12" t="inlineStr">
        <is>
          <t>Instrumentation PLTC / TC-ER 300 V, #18 twisted shielded pairs, overall shield</t>
        </is>
      </c>
      <c r="K3311" s="12" t="inlineStr">
        <is>
          <t>PLTC|24 pr|18</t>
        </is>
      </c>
      <c r="L3311" s="12" t="inlineStr">
        <is>
          <t>24 pr</t>
        </is>
      </c>
      <c r="M3311" s="12" t="inlineStr">
        <is>
          <t>18</t>
        </is>
      </c>
      <c r="N3311" s="12" t="n">
        <v>1</v>
      </c>
      <c r="O3311" s="12" t="n">
        <v>1</v>
      </c>
      <c r="P3311" s="12" t="n"/>
      <c r="Q3311" s="12" t="n"/>
      <c r="R3311" s="12" t="n"/>
      <c r="S3311" s="12" t="inlineStr">
        <is>
          <t>Duct bank</t>
        </is>
      </c>
      <c r="T3311" s="16" t="n">
        <v>564</v>
      </c>
      <c r="U3311" s="16" t="n">
        <v>233</v>
      </c>
      <c r="V3311" s="16">
        <f>ROUNDUP((T3311+U3311+2*'Read Me'!$B$13)*(1+'Read Me'!$B$12),-1)</f>
        <v/>
      </c>
      <c r="W3311" s="16">
        <f>V3311*N3311*O3311</f>
        <v/>
      </c>
      <c r="X3311" s="12">
        <f>IF(LEFT(I3311,2)="MV",2*N3311*IF(L3311="1/C",O3311,1),0)</f>
        <v/>
      </c>
      <c r="Y3311" s="12">
        <f>IF(OR(LEFT(K3311,4)="LVAX",LEFT(K3311,6)="MV15AX",LEFT(K3311,4)="CTAX",LEFT(K3311,2)="W|"),2*N3311*O3311,0)</f>
        <v/>
      </c>
      <c r="Z3311" s="12" t="inlineStr"/>
      <c r="AA3311" s="12">
        <f>N3311*O3311</f>
        <v/>
      </c>
    </row>
    <row r="3312">
      <c r="A3312" s="12" t="inlineStr">
        <is>
          <t>G-I-0181</t>
        </is>
      </c>
      <c r="B3312" s="12" t="inlineStr">
        <is>
          <t>G</t>
        </is>
      </c>
      <c r="C3312" s="12" t="inlineStr">
        <is>
          <t>Carbon capture</t>
        </is>
      </c>
      <c r="D3312" s="12" t="inlineStr">
        <is>
          <t>Discrete device to JB JB-DCC-C pumps + wate-DI01: 10 x 1 pr (field cables)</t>
        </is>
      </c>
      <c r="E3312" s="12" t="inlineStr"/>
      <c r="F3312" s="12" t="inlineStr">
        <is>
          <t>DCC-C pumps + water filter</t>
        </is>
      </c>
      <c r="G3312" s="12" t="inlineStr">
        <is>
          <t>JB-DCC-C pumps + wate-DI01</t>
        </is>
      </c>
      <c r="H3312" s="12" t="inlineStr">
        <is>
          <t>DCC-C pumps + water filter</t>
        </is>
      </c>
      <c r="I3312" s="12" t="inlineStr">
        <is>
          <t>Instrumentation</t>
        </is>
      </c>
      <c r="J3312" s="12" t="inlineStr">
        <is>
          <t>Instrumentation PLTC / TC-ER 300 V, #18 twisted shielded pairs, overall shield</t>
        </is>
      </c>
      <c r="K3312" s="12" t="inlineStr">
        <is>
          <t>PLTC|1 pr|16</t>
        </is>
      </c>
      <c r="L3312" s="12" t="inlineStr">
        <is>
          <t>1 pr</t>
        </is>
      </c>
      <c r="M3312" s="12" t="inlineStr">
        <is>
          <t>16</t>
        </is>
      </c>
      <c r="N3312" s="12" t="n">
        <v>10</v>
      </c>
      <c r="O3312" s="12" t="n">
        <v>1</v>
      </c>
      <c r="P3312" s="12" t="n"/>
      <c r="Q3312" s="12" t="n"/>
      <c r="R3312" s="12" t="n"/>
      <c r="S3312" s="12" t="inlineStr">
        <is>
          <t>Tray / conduit</t>
        </is>
      </c>
      <c r="T3312" s="16" t="n">
        <v>60</v>
      </c>
      <c r="U3312" s="16" t="n">
        <v>10</v>
      </c>
      <c r="V3312" s="16">
        <f>ROUNDUP((T3312+U3312+2*'Read Me'!$B$13)*(1+'Read Me'!$B$12),-1)</f>
        <v/>
      </c>
      <c r="W3312" s="16">
        <f>V3312*N3312*O3312</f>
        <v/>
      </c>
      <c r="X3312" s="12">
        <f>IF(LEFT(I3312,2)="MV",2*N3312*IF(L3312="1/C",O3312,1),0)</f>
        <v/>
      </c>
      <c r="Y3312" s="12">
        <f>IF(OR(LEFT(K3312,4)="LVAX",LEFT(K3312,6)="MV15AX",LEFT(K3312,4)="CTAX",LEFT(K3312,2)="W|"),2*N3312*O3312,0)</f>
        <v/>
      </c>
      <c r="Z3312" s="12" t="inlineStr">
        <is>
          <t>device-to-JB field wiring, one cable per device</t>
        </is>
      </c>
      <c r="AA3312" s="12">
        <f>N3312*O3312</f>
        <v/>
      </c>
    </row>
    <row r="3313">
      <c r="A3313" s="12" t="inlineStr">
        <is>
          <t>G-I-0182</t>
        </is>
      </c>
      <c r="B3313" s="12" t="inlineStr">
        <is>
          <t>G</t>
        </is>
      </c>
      <c r="C3313" s="12" t="inlineStr">
        <is>
          <t>Carbon capture</t>
        </is>
      </c>
      <c r="D3313" s="12" t="inlineStr">
        <is>
          <t>Home run JB-DCC-C pumps + wate-DI01 to the control / marshalling room</t>
        </is>
      </c>
      <c r="E3313" s="12" t="inlineStr"/>
      <c r="F3313" s="12" t="inlineStr">
        <is>
          <t>CCS F&amp;G / control</t>
        </is>
      </c>
      <c r="G3313" s="12" t="inlineStr">
        <is>
          <t>JB-DCC-C pumps + wate-DI01</t>
        </is>
      </c>
      <c r="H3313" s="12" t="inlineStr">
        <is>
          <t>DCC-C pumps + water filter</t>
        </is>
      </c>
      <c r="I3313" s="12" t="inlineStr">
        <is>
          <t>Instrumentation</t>
        </is>
      </c>
      <c r="J3313" s="12" t="inlineStr">
        <is>
          <t>Instrumentation PLTC / TC-ER 300 V, #18 twisted shielded pairs, overall shield</t>
        </is>
      </c>
      <c r="K3313" s="12" t="inlineStr">
        <is>
          <t>PLTC|24 pr|18</t>
        </is>
      </c>
      <c r="L3313" s="12" t="inlineStr">
        <is>
          <t>24 pr</t>
        </is>
      </c>
      <c r="M3313" s="12" t="inlineStr">
        <is>
          <t>18</t>
        </is>
      </c>
      <c r="N3313" s="12" t="n">
        <v>1</v>
      </c>
      <c r="O3313" s="12" t="n">
        <v>1</v>
      </c>
      <c r="P3313" s="12" t="n"/>
      <c r="Q3313" s="12" t="n"/>
      <c r="R3313" s="12" t="n"/>
      <c r="S3313" s="12" t="inlineStr">
        <is>
          <t>Duct bank</t>
        </is>
      </c>
      <c r="T3313" s="16" t="n">
        <v>564</v>
      </c>
      <c r="U3313" s="16" t="n">
        <v>233</v>
      </c>
      <c r="V3313" s="16">
        <f>ROUNDUP((T3313+U3313+2*'Read Me'!$B$13)*(1+'Read Me'!$B$12),-1)</f>
        <v/>
      </c>
      <c r="W3313" s="16">
        <f>V3313*N3313*O3313</f>
        <v/>
      </c>
      <c r="X3313" s="12">
        <f>IF(LEFT(I3313,2)="MV",2*N3313*IF(L3313="1/C",O3313,1),0)</f>
        <v/>
      </c>
      <c r="Y3313" s="12">
        <f>IF(OR(LEFT(K3313,4)="LVAX",LEFT(K3313,6)="MV15AX",LEFT(K3313,4)="CTAX",LEFT(K3313,2)="W|"),2*N3313*O3313,0)</f>
        <v/>
      </c>
      <c r="Z3313" s="12" t="inlineStr"/>
      <c r="AA3313" s="12">
        <f>N3313*O3313</f>
        <v/>
      </c>
    </row>
    <row r="3314">
      <c r="A3314" s="12" t="inlineStr">
        <is>
          <t>G-I-0183</t>
        </is>
      </c>
      <c r="B3314" s="12" t="inlineStr">
        <is>
          <t>G</t>
        </is>
      </c>
      <c r="C3314" s="12" t="inlineStr">
        <is>
          <t>Carbon capture</t>
        </is>
      </c>
      <c r="D3314" s="12" t="inlineStr">
        <is>
          <t>Analog instrument to JB JB-DCC-C-AI01: 20 x 1 pr (field cables)</t>
        </is>
      </c>
      <c r="E3314" s="12" t="inlineStr">
        <is>
          <t>DCC-C</t>
        </is>
      </c>
      <c r="F3314" s="12" t="inlineStr">
        <is>
          <t>DCC-C: direct-contact cooler (quench)</t>
        </is>
      </c>
      <c r="G3314" s="12" t="inlineStr">
        <is>
          <t>JB-DCC-C-AI01</t>
        </is>
      </c>
      <c r="H3314" s="12" t="inlineStr">
        <is>
          <t>DCC-C: direct-contact cooler (quench)</t>
        </is>
      </c>
      <c r="I3314" s="12" t="inlineStr">
        <is>
          <t>Instrumentation</t>
        </is>
      </c>
      <c r="J3314" s="12" t="inlineStr">
        <is>
          <t>Instrumentation PLTC / TC-ER 300 V, #18 twisted shielded pairs, overall shield</t>
        </is>
      </c>
      <c r="K3314" s="12" t="inlineStr">
        <is>
          <t>PLTC|1 pr|16</t>
        </is>
      </c>
      <c r="L3314" s="12" t="inlineStr">
        <is>
          <t>1 pr</t>
        </is>
      </c>
      <c r="M3314" s="12" t="inlineStr">
        <is>
          <t>16</t>
        </is>
      </c>
      <c r="N3314" s="12" t="n">
        <v>20</v>
      </c>
      <c r="O3314" s="12" t="n">
        <v>1</v>
      </c>
      <c r="P3314" s="12" t="n"/>
      <c r="Q3314" s="12" t="n"/>
      <c r="R3314" s="12" t="n"/>
      <c r="S3314" s="12" t="inlineStr">
        <is>
          <t>Tray / conduit</t>
        </is>
      </c>
      <c r="T3314" s="16" t="n">
        <v>121</v>
      </c>
      <c r="U3314" s="16" t="n">
        <v>10</v>
      </c>
      <c r="V3314" s="16">
        <f>ROUNDUP((T3314+U3314+2*'Read Me'!$B$13)*(1+'Read Me'!$B$12),-1)</f>
        <v/>
      </c>
      <c r="W3314" s="16">
        <f>V3314*N3314*O3314</f>
        <v/>
      </c>
      <c r="X3314" s="12">
        <f>IF(LEFT(I3314,2)="MV",2*N3314*IF(L3314="1/C",O3314,1),0)</f>
        <v/>
      </c>
      <c r="Y3314" s="12">
        <f>IF(OR(LEFT(K3314,4)="LVAX",LEFT(K3314,6)="MV15AX",LEFT(K3314,4)="CTAX",LEFT(K3314,2)="W|"),2*N3314*O3314,0)</f>
        <v/>
      </c>
      <c r="Z3314" s="12" t="inlineStr">
        <is>
          <t>device-to-JB field wiring, one cable per device</t>
        </is>
      </c>
      <c r="AA3314" s="12">
        <f>N3314*O3314</f>
        <v/>
      </c>
    </row>
    <row r="3315">
      <c r="A3315" s="12" t="inlineStr">
        <is>
          <t>G-I-0184</t>
        </is>
      </c>
      <c r="B3315" s="12" t="inlineStr">
        <is>
          <t>G</t>
        </is>
      </c>
      <c r="C3315" s="12" t="inlineStr">
        <is>
          <t>Carbon capture</t>
        </is>
      </c>
      <c r="D3315" s="12" t="inlineStr">
        <is>
          <t>Home run JB-DCC-C-AI01 to the control / marshalling room</t>
        </is>
      </c>
      <c r="E3315" s="12" t="inlineStr"/>
      <c r="F3315" s="12" t="inlineStr">
        <is>
          <t>CCS F&amp;G / control</t>
        </is>
      </c>
      <c r="G3315" s="12" t="inlineStr">
        <is>
          <t>JB-DCC-C-AI01</t>
        </is>
      </c>
      <c r="H3315" s="12" t="inlineStr">
        <is>
          <t>DCC-C: direct-contact cooler (quench)</t>
        </is>
      </c>
      <c r="I3315" s="12" t="inlineStr">
        <is>
          <t>Instrumentation</t>
        </is>
      </c>
      <c r="J3315" s="12" t="inlineStr">
        <is>
          <t>Instrumentation PLTC / TC-ER 300 V, #18 twisted shielded pairs, overall shield</t>
        </is>
      </c>
      <c r="K3315" s="12" t="inlineStr">
        <is>
          <t>PLTC|24 pr|18</t>
        </is>
      </c>
      <c r="L3315" s="12" t="inlineStr">
        <is>
          <t>24 pr</t>
        </is>
      </c>
      <c r="M3315" s="12" t="inlineStr">
        <is>
          <t>18</t>
        </is>
      </c>
      <c r="N3315" s="12" t="n">
        <v>1</v>
      </c>
      <c r="O3315" s="12" t="n">
        <v>1</v>
      </c>
      <c r="P3315" s="12" t="n"/>
      <c r="Q3315" s="12" t="n"/>
      <c r="R3315" s="12" t="n"/>
      <c r="S3315" s="12" t="inlineStr">
        <is>
          <t>Duct bank</t>
        </is>
      </c>
      <c r="T3315" s="16" t="n">
        <v>541</v>
      </c>
      <c r="U3315" s="16" t="n">
        <v>129</v>
      </c>
      <c r="V3315" s="16">
        <f>ROUNDUP((T3315+U3315+2*'Read Me'!$B$13)*(1+'Read Me'!$B$12),-1)</f>
        <v/>
      </c>
      <c r="W3315" s="16">
        <f>V3315*N3315*O3315</f>
        <v/>
      </c>
      <c r="X3315" s="12">
        <f>IF(LEFT(I3315,2)="MV",2*N3315*IF(L3315="1/C",O3315,1),0)</f>
        <v/>
      </c>
      <c r="Y3315" s="12">
        <f>IF(OR(LEFT(K3315,4)="LVAX",LEFT(K3315,6)="MV15AX",LEFT(K3315,4)="CTAX",LEFT(K3315,2)="W|"),2*N3315*O3315,0)</f>
        <v/>
      </c>
      <c r="Z3315" s="12" t="inlineStr"/>
      <c r="AA3315" s="12">
        <f>N3315*O3315</f>
        <v/>
      </c>
    </row>
    <row r="3316">
      <c r="A3316" s="12" t="inlineStr">
        <is>
          <t>G-I-0185</t>
        </is>
      </c>
      <c r="B3316" s="12" t="inlineStr">
        <is>
          <t>G</t>
        </is>
      </c>
      <c r="C3316" s="12" t="inlineStr">
        <is>
          <t>Carbon capture</t>
        </is>
      </c>
      <c r="D3316" s="12" t="inlineStr">
        <is>
          <t>Discrete device to JB JB-DCC-C-DI01: 10 x 1 pr (field cables)</t>
        </is>
      </c>
      <c r="E3316" s="12" t="inlineStr">
        <is>
          <t>DCC-C</t>
        </is>
      </c>
      <c r="F3316" s="12" t="inlineStr">
        <is>
          <t>DCC-C: direct-contact cooler (quench)</t>
        </is>
      </c>
      <c r="G3316" s="12" t="inlineStr">
        <is>
          <t>JB-DCC-C-DI01</t>
        </is>
      </c>
      <c r="H3316" s="12" t="inlineStr">
        <is>
          <t>DCC-C: direct-contact cooler (quench)</t>
        </is>
      </c>
      <c r="I3316" s="12" t="inlineStr">
        <is>
          <t>Instrumentation</t>
        </is>
      </c>
      <c r="J3316" s="12" t="inlineStr">
        <is>
          <t>Instrumentation PLTC / TC-ER 300 V, #18 twisted shielded pairs, overall shield</t>
        </is>
      </c>
      <c r="K3316" s="12" t="inlineStr">
        <is>
          <t>PLTC|1 pr|16</t>
        </is>
      </c>
      <c r="L3316" s="12" t="inlineStr">
        <is>
          <t>1 pr</t>
        </is>
      </c>
      <c r="M3316" s="12" t="inlineStr">
        <is>
          <t>16</t>
        </is>
      </c>
      <c r="N3316" s="12" t="n">
        <v>10</v>
      </c>
      <c r="O3316" s="12" t="n">
        <v>1</v>
      </c>
      <c r="P3316" s="12" t="n"/>
      <c r="Q3316" s="12" t="n"/>
      <c r="R3316" s="12" t="n"/>
      <c r="S3316" s="12" t="inlineStr">
        <is>
          <t>Tray / conduit</t>
        </is>
      </c>
      <c r="T3316" s="16" t="n">
        <v>121</v>
      </c>
      <c r="U3316" s="16" t="n">
        <v>10</v>
      </c>
      <c r="V3316" s="16">
        <f>ROUNDUP((T3316+U3316+2*'Read Me'!$B$13)*(1+'Read Me'!$B$12),-1)</f>
        <v/>
      </c>
      <c r="W3316" s="16">
        <f>V3316*N3316*O3316</f>
        <v/>
      </c>
      <c r="X3316" s="12">
        <f>IF(LEFT(I3316,2)="MV",2*N3316*IF(L3316="1/C",O3316,1),0)</f>
        <v/>
      </c>
      <c r="Y3316" s="12">
        <f>IF(OR(LEFT(K3316,4)="LVAX",LEFT(K3316,6)="MV15AX",LEFT(K3316,4)="CTAX",LEFT(K3316,2)="W|"),2*N3316*O3316,0)</f>
        <v/>
      </c>
      <c r="Z3316" s="12" t="inlineStr">
        <is>
          <t>device-to-JB field wiring, one cable per device</t>
        </is>
      </c>
      <c r="AA3316" s="12">
        <f>N3316*O3316</f>
        <v/>
      </c>
    </row>
    <row r="3317">
      <c r="A3317" s="12" t="inlineStr">
        <is>
          <t>G-I-0186</t>
        </is>
      </c>
      <c r="B3317" s="12" t="inlineStr">
        <is>
          <t>G</t>
        </is>
      </c>
      <c r="C3317" s="12" t="inlineStr">
        <is>
          <t>Carbon capture</t>
        </is>
      </c>
      <c r="D3317" s="12" t="inlineStr">
        <is>
          <t>Home run JB-DCC-C-DI01 to the control / marshalling room</t>
        </is>
      </c>
      <c r="E3317" s="12" t="inlineStr"/>
      <c r="F3317" s="12" t="inlineStr">
        <is>
          <t>CCS F&amp;G / control</t>
        </is>
      </c>
      <c r="G3317" s="12" t="inlineStr">
        <is>
          <t>JB-DCC-C-DI01</t>
        </is>
      </c>
      <c r="H3317" s="12" t="inlineStr">
        <is>
          <t>DCC-C: direct-contact cooler (quench)</t>
        </is>
      </c>
      <c r="I3317" s="12" t="inlineStr">
        <is>
          <t>Instrumentation</t>
        </is>
      </c>
      <c r="J3317" s="12" t="inlineStr">
        <is>
          <t>Instrumentation PLTC / TC-ER 300 V, #18 twisted shielded pairs, overall shield</t>
        </is>
      </c>
      <c r="K3317" s="12" t="inlineStr">
        <is>
          <t>PLTC|24 pr|18</t>
        </is>
      </c>
      <c r="L3317" s="12" t="inlineStr">
        <is>
          <t>24 pr</t>
        </is>
      </c>
      <c r="M3317" s="12" t="inlineStr">
        <is>
          <t>18</t>
        </is>
      </c>
      <c r="N3317" s="12" t="n">
        <v>1</v>
      </c>
      <c r="O3317" s="12" t="n">
        <v>1</v>
      </c>
      <c r="P3317" s="12" t="n"/>
      <c r="Q3317" s="12" t="n"/>
      <c r="R3317" s="12" t="n"/>
      <c r="S3317" s="12" t="inlineStr">
        <is>
          <t>Duct bank</t>
        </is>
      </c>
      <c r="T3317" s="16" t="n">
        <v>541</v>
      </c>
      <c r="U3317" s="16" t="n">
        <v>129</v>
      </c>
      <c r="V3317" s="16">
        <f>ROUNDUP((T3317+U3317+2*'Read Me'!$B$13)*(1+'Read Me'!$B$12),-1)</f>
        <v/>
      </c>
      <c r="W3317" s="16">
        <f>V3317*N3317*O3317</f>
        <v/>
      </c>
      <c r="X3317" s="12">
        <f>IF(LEFT(I3317,2)="MV",2*N3317*IF(L3317="1/C",O3317,1),0)</f>
        <v/>
      </c>
      <c r="Y3317" s="12">
        <f>IF(OR(LEFT(K3317,4)="LVAX",LEFT(K3317,6)="MV15AX",LEFT(K3317,4)="CTAX",LEFT(K3317,2)="W|"),2*N3317*O3317,0)</f>
        <v/>
      </c>
      <c r="Z3317" s="12" t="inlineStr"/>
      <c r="AA3317" s="12">
        <f>N3317*O3317</f>
        <v/>
      </c>
    </row>
    <row r="3318">
      <c r="A3318" s="12" t="inlineStr">
        <is>
          <t>G-I-0187</t>
        </is>
      </c>
      <c r="B3318" s="12" t="inlineStr">
        <is>
          <t>G</t>
        </is>
      </c>
      <c r="C3318" s="12" t="inlineStr">
        <is>
          <t>Carbon capture</t>
        </is>
      </c>
      <c r="D3318" s="12" t="inlineStr">
        <is>
          <t>Analog instrument to JB JB-DMP-A-AI01: 8 x 1 pr (field cables)</t>
        </is>
      </c>
      <c r="E3318" s="12" t="inlineStr">
        <is>
          <t>DMP-A</t>
        </is>
      </c>
      <c r="F3318" s="12" t="inlineStr">
        <is>
          <t>DMP-A: diverter / bypass damper</t>
        </is>
      </c>
      <c r="G3318" s="12" t="inlineStr">
        <is>
          <t>JB-DMP-A-AI01</t>
        </is>
      </c>
      <c r="H3318" s="12" t="inlineStr">
        <is>
          <t>DMP-A: diverter / bypass damper</t>
        </is>
      </c>
      <c r="I3318" s="12" t="inlineStr">
        <is>
          <t>Instrumentation</t>
        </is>
      </c>
      <c r="J3318" s="12" t="inlineStr">
        <is>
          <t>Instrumentation PLTC / TC-ER 300 V, #18 twisted shielded pairs, overall shield</t>
        </is>
      </c>
      <c r="K3318" s="12" t="inlineStr">
        <is>
          <t>PLTC|1 pr|16</t>
        </is>
      </c>
      <c r="L3318" s="12" t="inlineStr">
        <is>
          <t>1 pr</t>
        </is>
      </c>
      <c r="M3318" s="12" t="inlineStr">
        <is>
          <t>16</t>
        </is>
      </c>
      <c r="N3318" s="12" t="n">
        <v>8</v>
      </c>
      <c r="O3318" s="12" t="n">
        <v>1</v>
      </c>
      <c r="P3318" s="12" t="n"/>
      <c r="Q3318" s="12" t="n"/>
      <c r="R3318" s="12" t="n"/>
      <c r="S3318" s="12" t="inlineStr">
        <is>
          <t>Tray / conduit</t>
        </is>
      </c>
      <c r="T3318" s="16" t="n">
        <v>74</v>
      </c>
      <c r="U3318" s="16" t="n">
        <v>10</v>
      </c>
      <c r="V3318" s="16">
        <f>ROUNDUP((T3318+U3318+2*'Read Me'!$B$13)*(1+'Read Me'!$B$12),-1)</f>
        <v/>
      </c>
      <c r="W3318" s="16">
        <f>V3318*N3318*O3318</f>
        <v/>
      </c>
      <c r="X3318" s="12">
        <f>IF(LEFT(I3318,2)="MV",2*N3318*IF(L3318="1/C",O3318,1),0)</f>
        <v/>
      </c>
      <c r="Y3318" s="12">
        <f>IF(OR(LEFT(K3318,4)="LVAX",LEFT(K3318,6)="MV15AX",LEFT(K3318,4)="CTAX",LEFT(K3318,2)="W|"),2*N3318*O3318,0)</f>
        <v/>
      </c>
      <c r="Z3318" s="12" t="inlineStr">
        <is>
          <t>device-to-JB field wiring, one cable per device</t>
        </is>
      </c>
      <c r="AA3318" s="12">
        <f>N3318*O3318</f>
        <v/>
      </c>
    </row>
    <row r="3319">
      <c r="A3319" s="12" t="inlineStr">
        <is>
          <t>G-I-0188</t>
        </is>
      </c>
      <c r="B3319" s="12" t="inlineStr">
        <is>
          <t>G</t>
        </is>
      </c>
      <c r="C3319" s="12" t="inlineStr">
        <is>
          <t>Carbon capture</t>
        </is>
      </c>
      <c r="D3319" s="12" t="inlineStr">
        <is>
          <t>Home run JB-DMP-A-AI01 to the control / marshalling room</t>
        </is>
      </c>
      <c r="E3319" s="12" t="inlineStr"/>
      <c r="F3319" s="12" t="inlineStr">
        <is>
          <t>CCS F&amp;G / control</t>
        </is>
      </c>
      <c r="G3319" s="12" t="inlineStr">
        <is>
          <t>JB-DMP-A-AI01</t>
        </is>
      </c>
      <c r="H3319" s="12" t="inlineStr">
        <is>
          <t>DMP-A: diverter / bypass damper</t>
        </is>
      </c>
      <c r="I3319" s="12" t="inlineStr">
        <is>
          <t>Instrumentation</t>
        </is>
      </c>
      <c r="J3319" s="12" t="inlineStr">
        <is>
          <t>Instrumentation PLTC / TC-ER 300 V, #18 twisted shielded pairs, overall shield</t>
        </is>
      </c>
      <c r="K3319" s="12" t="inlineStr">
        <is>
          <t>PLTC|24 pr|18</t>
        </is>
      </c>
      <c r="L3319" s="12" t="inlineStr">
        <is>
          <t>24 pr</t>
        </is>
      </c>
      <c r="M3319" s="12" t="inlineStr">
        <is>
          <t>18</t>
        </is>
      </c>
      <c r="N3319" s="12" t="n">
        <v>1</v>
      </c>
      <c r="O3319" s="12" t="n">
        <v>1</v>
      </c>
      <c r="P3319" s="12" t="n"/>
      <c r="Q3319" s="12" t="n"/>
      <c r="R3319" s="12" t="n"/>
      <c r="S3319" s="12" t="inlineStr">
        <is>
          <t>Tray</t>
        </is>
      </c>
      <c r="T3319" s="16" t="n">
        <v>1230</v>
      </c>
      <c r="U3319" s="16" t="n">
        <v>193</v>
      </c>
      <c r="V3319" s="16">
        <f>ROUNDUP((T3319+U3319+2*'Read Me'!$B$13)*(1+'Read Me'!$B$12),-1)</f>
        <v/>
      </c>
      <c r="W3319" s="16">
        <f>V3319*N3319*O3319</f>
        <v/>
      </c>
      <c r="X3319" s="12">
        <f>IF(LEFT(I3319,2)="MV",2*N3319*IF(L3319="1/C",O3319,1),0)</f>
        <v/>
      </c>
      <c r="Y3319" s="12">
        <f>IF(OR(LEFT(K3319,4)="LVAX",LEFT(K3319,6)="MV15AX",LEFT(K3319,4)="CTAX",LEFT(K3319,2)="W|"),2*N3319*O3319,0)</f>
        <v/>
      </c>
      <c r="Z3319" s="12" t="inlineStr"/>
      <c r="AA3319" s="12">
        <f>N3319*O3319</f>
        <v/>
      </c>
    </row>
    <row r="3320">
      <c r="A3320" s="12" t="inlineStr">
        <is>
          <t>G-I-0189</t>
        </is>
      </c>
      <c r="B3320" s="12" t="inlineStr">
        <is>
          <t>G</t>
        </is>
      </c>
      <c r="C3320" s="12" t="inlineStr">
        <is>
          <t>Carbon capture</t>
        </is>
      </c>
      <c r="D3320" s="12" t="inlineStr">
        <is>
          <t>Discrete device to JB JB-DMP-A-DI01: 16 x 1 pr (field cables)</t>
        </is>
      </c>
      <c r="E3320" s="12" t="inlineStr">
        <is>
          <t>DMP-A</t>
        </is>
      </c>
      <c r="F3320" s="12" t="inlineStr">
        <is>
          <t>DMP-A: diverter / bypass damper</t>
        </is>
      </c>
      <c r="G3320" s="12" t="inlineStr">
        <is>
          <t>JB-DMP-A-DI01</t>
        </is>
      </c>
      <c r="H3320" s="12" t="inlineStr">
        <is>
          <t>DMP-A: diverter / bypass damper</t>
        </is>
      </c>
      <c r="I3320" s="12" t="inlineStr">
        <is>
          <t>Instrumentation</t>
        </is>
      </c>
      <c r="J3320" s="12" t="inlineStr">
        <is>
          <t>Instrumentation PLTC / TC-ER 300 V, #18 twisted shielded pairs, overall shield</t>
        </is>
      </c>
      <c r="K3320" s="12" t="inlineStr">
        <is>
          <t>PLTC|1 pr|16</t>
        </is>
      </c>
      <c r="L3320" s="12" t="inlineStr">
        <is>
          <t>1 pr</t>
        </is>
      </c>
      <c r="M3320" s="12" t="inlineStr">
        <is>
          <t>16</t>
        </is>
      </c>
      <c r="N3320" s="12" t="n">
        <v>16</v>
      </c>
      <c r="O3320" s="12" t="n">
        <v>1</v>
      </c>
      <c r="P3320" s="12" t="n"/>
      <c r="Q3320" s="12" t="n"/>
      <c r="R3320" s="12" t="n"/>
      <c r="S3320" s="12" t="inlineStr">
        <is>
          <t>Tray / conduit</t>
        </is>
      </c>
      <c r="T3320" s="16" t="n">
        <v>74</v>
      </c>
      <c r="U3320" s="16" t="n">
        <v>10</v>
      </c>
      <c r="V3320" s="16">
        <f>ROUNDUP((T3320+U3320+2*'Read Me'!$B$13)*(1+'Read Me'!$B$12),-1)</f>
        <v/>
      </c>
      <c r="W3320" s="16">
        <f>V3320*N3320*O3320</f>
        <v/>
      </c>
      <c r="X3320" s="12">
        <f>IF(LEFT(I3320,2)="MV",2*N3320*IF(L3320="1/C",O3320,1),0)</f>
        <v/>
      </c>
      <c r="Y3320" s="12">
        <f>IF(OR(LEFT(K3320,4)="LVAX",LEFT(K3320,6)="MV15AX",LEFT(K3320,4)="CTAX",LEFT(K3320,2)="W|"),2*N3320*O3320,0)</f>
        <v/>
      </c>
      <c r="Z3320" s="12" t="inlineStr">
        <is>
          <t>device-to-JB field wiring, one cable per device</t>
        </is>
      </c>
      <c r="AA3320" s="12">
        <f>N3320*O3320</f>
        <v/>
      </c>
    </row>
    <row r="3321">
      <c r="A3321" s="12" t="inlineStr">
        <is>
          <t>G-I-0190</t>
        </is>
      </c>
      <c r="B3321" s="12" t="inlineStr">
        <is>
          <t>G</t>
        </is>
      </c>
      <c r="C3321" s="12" t="inlineStr">
        <is>
          <t>Carbon capture</t>
        </is>
      </c>
      <c r="D3321" s="12" t="inlineStr">
        <is>
          <t>Home run JB-DMP-A-DI01 to the control / marshalling room</t>
        </is>
      </c>
      <c r="E3321" s="12" t="inlineStr"/>
      <c r="F3321" s="12" t="inlineStr">
        <is>
          <t>CCS F&amp;G / control</t>
        </is>
      </c>
      <c r="G3321" s="12" t="inlineStr">
        <is>
          <t>JB-DMP-A-DI01</t>
        </is>
      </c>
      <c r="H3321" s="12" t="inlineStr">
        <is>
          <t>DMP-A: diverter / bypass damper</t>
        </is>
      </c>
      <c r="I3321" s="12" t="inlineStr">
        <is>
          <t>Instrumentation</t>
        </is>
      </c>
      <c r="J3321" s="12" t="inlineStr">
        <is>
          <t>Instrumentation PLTC / TC-ER 300 V, #18 twisted shielded pairs, overall shield</t>
        </is>
      </c>
      <c r="K3321" s="12" t="inlineStr">
        <is>
          <t>PLTC|24 pr|18</t>
        </is>
      </c>
      <c r="L3321" s="12" t="inlineStr">
        <is>
          <t>24 pr</t>
        </is>
      </c>
      <c r="M3321" s="12" t="inlineStr">
        <is>
          <t>18</t>
        </is>
      </c>
      <c r="N3321" s="12" t="n">
        <v>1</v>
      </c>
      <c r="O3321" s="12" t="n">
        <v>1</v>
      </c>
      <c r="P3321" s="12" t="n"/>
      <c r="Q3321" s="12" t="n"/>
      <c r="R3321" s="12" t="n"/>
      <c r="S3321" s="12" t="inlineStr">
        <is>
          <t>Tray</t>
        </is>
      </c>
      <c r="T3321" s="16" t="n">
        <v>1230</v>
      </c>
      <c r="U3321" s="16" t="n">
        <v>193</v>
      </c>
      <c r="V3321" s="16">
        <f>ROUNDUP((T3321+U3321+2*'Read Me'!$B$13)*(1+'Read Me'!$B$12),-1)</f>
        <v/>
      </c>
      <c r="W3321" s="16">
        <f>V3321*N3321*O3321</f>
        <v/>
      </c>
      <c r="X3321" s="12">
        <f>IF(LEFT(I3321,2)="MV",2*N3321*IF(L3321="1/C",O3321,1),0)</f>
        <v/>
      </c>
      <c r="Y3321" s="12">
        <f>IF(OR(LEFT(K3321,4)="LVAX",LEFT(K3321,6)="MV15AX",LEFT(K3321,4)="CTAX",LEFT(K3321,2)="W|"),2*N3321*O3321,0)</f>
        <v/>
      </c>
      <c r="Z3321" s="12" t="inlineStr"/>
      <c r="AA3321" s="12">
        <f>N3321*O3321</f>
        <v/>
      </c>
    </row>
    <row r="3322">
      <c r="A3322" s="12" t="inlineStr">
        <is>
          <t>G-I-0191</t>
        </is>
      </c>
      <c r="B3322" s="12" t="inlineStr">
        <is>
          <t>G</t>
        </is>
      </c>
      <c r="C3322" s="12" t="inlineStr">
        <is>
          <t>Carbon capture</t>
        </is>
      </c>
      <c r="D3322" s="12" t="inlineStr">
        <is>
          <t>Analog instrument to JB JB-DMP-B-AI01: 8 x 1 pr (field cables)</t>
        </is>
      </c>
      <c r="E3322" s="12" t="inlineStr">
        <is>
          <t>DMP-B</t>
        </is>
      </c>
      <c r="F3322" s="12" t="inlineStr">
        <is>
          <t>DMP-B: diverter / bypass damper</t>
        </is>
      </c>
      <c r="G3322" s="12" t="inlineStr">
        <is>
          <t>JB-DMP-B-AI01</t>
        </is>
      </c>
      <c r="H3322" s="12" t="inlineStr">
        <is>
          <t>DMP-B: diverter / bypass damper</t>
        </is>
      </c>
      <c r="I3322" s="12" t="inlineStr">
        <is>
          <t>Instrumentation</t>
        </is>
      </c>
      <c r="J3322" s="12" t="inlineStr">
        <is>
          <t>Instrumentation PLTC / TC-ER 300 V, #18 twisted shielded pairs, overall shield</t>
        </is>
      </c>
      <c r="K3322" s="12" t="inlineStr">
        <is>
          <t>PLTC|1 pr|16</t>
        </is>
      </c>
      <c r="L3322" s="12" t="inlineStr">
        <is>
          <t>1 pr</t>
        </is>
      </c>
      <c r="M3322" s="12" t="inlineStr">
        <is>
          <t>16</t>
        </is>
      </c>
      <c r="N3322" s="12" t="n">
        <v>8</v>
      </c>
      <c r="O3322" s="12" t="n">
        <v>1</v>
      </c>
      <c r="P3322" s="12" t="n"/>
      <c r="Q3322" s="12" t="n"/>
      <c r="R3322" s="12" t="n"/>
      <c r="S3322" s="12" t="inlineStr">
        <is>
          <t>Tray / conduit</t>
        </is>
      </c>
      <c r="T3322" s="16" t="n">
        <v>74</v>
      </c>
      <c r="U3322" s="16" t="n">
        <v>10</v>
      </c>
      <c r="V3322" s="16">
        <f>ROUNDUP((T3322+U3322+2*'Read Me'!$B$13)*(1+'Read Me'!$B$12),-1)</f>
        <v/>
      </c>
      <c r="W3322" s="16">
        <f>V3322*N3322*O3322</f>
        <v/>
      </c>
      <c r="X3322" s="12">
        <f>IF(LEFT(I3322,2)="MV",2*N3322*IF(L3322="1/C",O3322,1),0)</f>
        <v/>
      </c>
      <c r="Y3322" s="12">
        <f>IF(OR(LEFT(K3322,4)="LVAX",LEFT(K3322,6)="MV15AX",LEFT(K3322,4)="CTAX",LEFT(K3322,2)="W|"),2*N3322*O3322,0)</f>
        <v/>
      </c>
      <c r="Z3322" s="12" t="inlineStr">
        <is>
          <t>device-to-JB field wiring, one cable per device</t>
        </is>
      </c>
      <c r="AA3322" s="12">
        <f>N3322*O3322</f>
        <v/>
      </c>
    </row>
    <row r="3323">
      <c r="A3323" s="12" t="inlineStr">
        <is>
          <t>G-I-0192</t>
        </is>
      </c>
      <c r="B3323" s="12" t="inlineStr">
        <is>
          <t>G</t>
        </is>
      </c>
      <c r="C3323" s="12" t="inlineStr">
        <is>
          <t>Carbon capture</t>
        </is>
      </c>
      <c r="D3323" s="12" t="inlineStr">
        <is>
          <t>Home run JB-DMP-B-AI01 to the control / marshalling room</t>
        </is>
      </c>
      <c r="E3323" s="12" t="inlineStr"/>
      <c r="F3323" s="12" t="inlineStr">
        <is>
          <t>CCS F&amp;G / control</t>
        </is>
      </c>
      <c r="G3323" s="12" t="inlineStr">
        <is>
          <t>JB-DMP-B-AI01</t>
        </is>
      </c>
      <c r="H3323" s="12" t="inlineStr">
        <is>
          <t>DMP-B: diverter / bypass damper</t>
        </is>
      </c>
      <c r="I3323" s="12" t="inlineStr">
        <is>
          <t>Instrumentation</t>
        </is>
      </c>
      <c r="J3323" s="12" t="inlineStr">
        <is>
          <t>Instrumentation PLTC / TC-ER 300 V, #18 twisted shielded pairs, overall shield</t>
        </is>
      </c>
      <c r="K3323" s="12" t="inlineStr">
        <is>
          <t>PLTC|24 pr|18</t>
        </is>
      </c>
      <c r="L3323" s="12" t="inlineStr">
        <is>
          <t>24 pr</t>
        </is>
      </c>
      <c r="M3323" s="12" t="inlineStr">
        <is>
          <t>18</t>
        </is>
      </c>
      <c r="N3323" s="12" t="n">
        <v>1</v>
      </c>
      <c r="O3323" s="12" t="n">
        <v>1</v>
      </c>
      <c r="P3323" s="12" t="n"/>
      <c r="Q3323" s="12" t="n"/>
      <c r="R3323" s="12" t="n"/>
      <c r="S3323" s="12" t="inlineStr">
        <is>
          <t>Duct bank</t>
        </is>
      </c>
      <c r="T3323" s="16" t="n">
        <v>1074</v>
      </c>
      <c r="U3323" s="16" t="n">
        <v>189</v>
      </c>
      <c r="V3323" s="16">
        <f>ROUNDUP((T3323+U3323+2*'Read Me'!$B$13)*(1+'Read Me'!$B$12),-1)</f>
        <v/>
      </c>
      <c r="W3323" s="16">
        <f>V3323*N3323*O3323</f>
        <v/>
      </c>
      <c r="X3323" s="12">
        <f>IF(LEFT(I3323,2)="MV",2*N3323*IF(L3323="1/C",O3323,1),0)</f>
        <v/>
      </c>
      <c r="Y3323" s="12">
        <f>IF(OR(LEFT(K3323,4)="LVAX",LEFT(K3323,6)="MV15AX",LEFT(K3323,4)="CTAX",LEFT(K3323,2)="W|"),2*N3323*O3323,0)</f>
        <v/>
      </c>
      <c r="Z3323" s="12" t="inlineStr"/>
      <c r="AA3323" s="12">
        <f>N3323*O3323</f>
        <v/>
      </c>
    </row>
    <row r="3324">
      <c r="A3324" s="12" t="inlineStr">
        <is>
          <t>G-I-0193</t>
        </is>
      </c>
      <c r="B3324" s="12" t="inlineStr">
        <is>
          <t>G</t>
        </is>
      </c>
      <c r="C3324" s="12" t="inlineStr">
        <is>
          <t>Carbon capture</t>
        </is>
      </c>
      <c r="D3324" s="12" t="inlineStr">
        <is>
          <t>Discrete device to JB JB-DMP-B-DI01: 16 x 1 pr (field cables)</t>
        </is>
      </c>
      <c r="E3324" s="12" t="inlineStr">
        <is>
          <t>DMP-B</t>
        </is>
      </c>
      <c r="F3324" s="12" t="inlineStr">
        <is>
          <t>DMP-B: diverter / bypass damper</t>
        </is>
      </c>
      <c r="G3324" s="12" t="inlineStr">
        <is>
          <t>JB-DMP-B-DI01</t>
        </is>
      </c>
      <c r="H3324" s="12" t="inlineStr">
        <is>
          <t>DMP-B: diverter / bypass damper</t>
        </is>
      </c>
      <c r="I3324" s="12" t="inlineStr">
        <is>
          <t>Instrumentation</t>
        </is>
      </c>
      <c r="J3324" s="12" t="inlineStr">
        <is>
          <t>Instrumentation PLTC / TC-ER 300 V, #18 twisted shielded pairs, overall shield</t>
        </is>
      </c>
      <c r="K3324" s="12" t="inlineStr">
        <is>
          <t>PLTC|1 pr|16</t>
        </is>
      </c>
      <c r="L3324" s="12" t="inlineStr">
        <is>
          <t>1 pr</t>
        </is>
      </c>
      <c r="M3324" s="12" t="inlineStr">
        <is>
          <t>16</t>
        </is>
      </c>
      <c r="N3324" s="12" t="n">
        <v>16</v>
      </c>
      <c r="O3324" s="12" t="n">
        <v>1</v>
      </c>
      <c r="P3324" s="12" t="n"/>
      <c r="Q3324" s="12" t="n"/>
      <c r="R3324" s="12" t="n"/>
      <c r="S3324" s="12" t="inlineStr">
        <is>
          <t>Tray / conduit</t>
        </is>
      </c>
      <c r="T3324" s="16" t="n">
        <v>74</v>
      </c>
      <c r="U3324" s="16" t="n">
        <v>10</v>
      </c>
      <c r="V3324" s="16">
        <f>ROUNDUP((T3324+U3324+2*'Read Me'!$B$13)*(1+'Read Me'!$B$12),-1)</f>
        <v/>
      </c>
      <c r="W3324" s="16">
        <f>V3324*N3324*O3324</f>
        <v/>
      </c>
      <c r="X3324" s="12">
        <f>IF(LEFT(I3324,2)="MV",2*N3324*IF(L3324="1/C",O3324,1),0)</f>
        <v/>
      </c>
      <c r="Y3324" s="12">
        <f>IF(OR(LEFT(K3324,4)="LVAX",LEFT(K3324,6)="MV15AX",LEFT(K3324,4)="CTAX",LEFT(K3324,2)="W|"),2*N3324*O3324,0)</f>
        <v/>
      </c>
      <c r="Z3324" s="12" t="inlineStr">
        <is>
          <t>device-to-JB field wiring, one cable per device</t>
        </is>
      </c>
      <c r="AA3324" s="12">
        <f>N3324*O3324</f>
        <v/>
      </c>
    </row>
    <row r="3325">
      <c r="A3325" s="12" t="inlineStr">
        <is>
          <t>G-I-0194</t>
        </is>
      </c>
      <c r="B3325" s="12" t="inlineStr">
        <is>
          <t>G</t>
        </is>
      </c>
      <c r="C3325" s="12" t="inlineStr">
        <is>
          <t>Carbon capture</t>
        </is>
      </c>
      <c r="D3325" s="12" t="inlineStr">
        <is>
          <t>Home run JB-DMP-B-DI01 to the control / marshalling room</t>
        </is>
      </c>
      <c r="E3325" s="12" t="inlineStr"/>
      <c r="F3325" s="12" t="inlineStr">
        <is>
          <t>CCS F&amp;G / control</t>
        </is>
      </c>
      <c r="G3325" s="12" t="inlineStr">
        <is>
          <t>JB-DMP-B-DI01</t>
        </is>
      </c>
      <c r="H3325" s="12" t="inlineStr">
        <is>
          <t>DMP-B: diverter / bypass damper</t>
        </is>
      </c>
      <c r="I3325" s="12" t="inlineStr">
        <is>
          <t>Instrumentation</t>
        </is>
      </c>
      <c r="J3325" s="12" t="inlineStr">
        <is>
          <t>Instrumentation PLTC / TC-ER 300 V, #18 twisted shielded pairs, overall shield</t>
        </is>
      </c>
      <c r="K3325" s="12" t="inlineStr">
        <is>
          <t>PLTC|24 pr|18</t>
        </is>
      </c>
      <c r="L3325" s="12" t="inlineStr">
        <is>
          <t>24 pr</t>
        </is>
      </c>
      <c r="M3325" s="12" t="inlineStr">
        <is>
          <t>18</t>
        </is>
      </c>
      <c r="N3325" s="12" t="n">
        <v>1</v>
      </c>
      <c r="O3325" s="12" t="n">
        <v>1</v>
      </c>
      <c r="P3325" s="12" t="n"/>
      <c r="Q3325" s="12" t="n"/>
      <c r="R3325" s="12" t="n"/>
      <c r="S3325" s="12" t="inlineStr">
        <is>
          <t>Duct bank</t>
        </is>
      </c>
      <c r="T3325" s="16" t="n">
        <v>1074</v>
      </c>
      <c r="U3325" s="16" t="n">
        <v>189</v>
      </c>
      <c r="V3325" s="16">
        <f>ROUNDUP((T3325+U3325+2*'Read Me'!$B$13)*(1+'Read Me'!$B$12),-1)</f>
        <v/>
      </c>
      <c r="W3325" s="16">
        <f>V3325*N3325*O3325</f>
        <v/>
      </c>
      <c r="X3325" s="12">
        <f>IF(LEFT(I3325,2)="MV",2*N3325*IF(L3325="1/C",O3325,1),0)</f>
        <v/>
      </c>
      <c r="Y3325" s="12">
        <f>IF(OR(LEFT(K3325,4)="LVAX",LEFT(K3325,6)="MV15AX",LEFT(K3325,4)="CTAX",LEFT(K3325,2)="W|"),2*N3325*O3325,0)</f>
        <v/>
      </c>
      <c r="Z3325" s="12" t="inlineStr"/>
      <c r="AA3325" s="12">
        <f>N3325*O3325</f>
        <v/>
      </c>
    </row>
    <row r="3326">
      <c r="A3326" s="12" t="inlineStr">
        <is>
          <t>G-I-0195</t>
        </is>
      </c>
      <c r="B3326" s="12" t="inlineStr">
        <is>
          <t>G</t>
        </is>
      </c>
      <c r="C3326" s="12" t="inlineStr">
        <is>
          <t>Carbon capture</t>
        </is>
      </c>
      <c r="D3326" s="12" t="inlineStr">
        <is>
          <t>Analog instrument to JB JB-DMP-C-AI01: 8 x 1 pr (field cables)</t>
        </is>
      </c>
      <c r="E3326" s="12" t="inlineStr">
        <is>
          <t>DMP-C</t>
        </is>
      </c>
      <c r="F3326" s="12" t="inlineStr">
        <is>
          <t>DMP-C: diverter / bypass damper</t>
        </is>
      </c>
      <c r="G3326" s="12" t="inlineStr">
        <is>
          <t>JB-DMP-C-AI01</t>
        </is>
      </c>
      <c r="H3326" s="12" t="inlineStr">
        <is>
          <t>DMP-C: diverter / bypass damper</t>
        </is>
      </c>
      <c r="I3326" s="12" t="inlineStr">
        <is>
          <t>Instrumentation</t>
        </is>
      </c>
      <c r="J3326" s="12" t="inlineStr">
        <is>
          <t>Instrumentation PLTC / TC-ER 300 V, #18 twisted shielded pairs, overall shield</t>
        </is>
      </c>
      <c r="K3326" s="12" t="inlineStr">
        <is>
          <t>PLTC|1 pr|16</t>
        </is>
      </c>
      <c r="L3326" s="12" t="inlineStr">
        <is>
          <t>1 pr</t>
        </is>
      </c>
      <c r="M3326" s="12" t="inlineStr">
        <is>
          <t>16</t>
        </is>
      </c>
      <c r="N3326" s="12" t="n">
        <v>8</v>
      </c>
      <c r="O3326" s="12" t="n">
        <v>1</v>
      </c>
      <c r="P3326" s="12" t="n"/>
      <c r="Q3326" s="12" t="n"/>
      <c r="R3326" s="12" t="n"/>
      <c r="S3326" s="12" t="inlineStr">
        <is>
          <t>Tray / conduit</t>
        </is>
      </c>
      <c r="T3326" s="16" t="n">
        <v>74</v>
      </c>
      <c r="U3326" s="16" t="n">
        <v>10</v>
      </c>
      <c r="V3326" s="16">
        <f>ROUNDUP((T3326+U3326+2*'Read Me'!$B$13)*(1+'Read Me'!$B$12),-1)</f>
        <v/>
      </c>
      <c r="W3326" s="16">
        <f>V3326*N3326*O3326</f>
        <v/>
      </c>
      <c r="X3326" s="12">
        <f>IF(LEFT(I3326,2)="MV",2*N3326*IF(L3326="1/C",O3326,1),0)</f>
        <v/>
      </c>
      <c r="Y3326" s="12">
        <f>IF(OR(LEFT(K3326,4)="LVAX",LEFT(K3326,6)="MV15AX",LEFT(K3326,4)="CTAX",LEFT(K3326,2)="W|"),2*N3326*O3326,0)</f>
        <v/>
      </c>
      <c r="Z3326" s="12" t="inlineStr">
        <is>
          <t>device-to-JB field wiring, one cable per device</t>
        </is>
      </c>
      <c r="AA3326" s="12">
        <f>N3326*O3326</f>
        <v/>
      </c>
    </row>
    <row r="3327">
      <c r="A3327" s="12" t="inlineStr">
        <is>
          <t>G-I-0196</t>
        </is>
      </c>
      <c r="B3327" s="12" t="inlineStr">
        <is>
          <t>G</t>
        </is>
      </c>
      <c r="C3327" s="12" t="inlineStr">
        <is>
          <t>Carbon capture</t>
        </is>
      </c>
      <c r="D3327" s="12" t="inlineStr">
        <is>
          <t>Home run JB-DMP-C-AI01 to the control / marshalling room</t>
        </is>
      </c>
      <c r="E3327" s="12" t="inlineStr"/>
      <c r="F3327" s="12" t="inlineStr">
        <is>
          <t>CCS F&amp;G / control</t>
        </is>
      </c>
      <c r="G3327" s="12" t="inlineStr">
        <is>
          <t>JB-DMP-C-AI01</t>
        </is>
      </c>
      <c r="H3327" s="12" t="inlineStr">
        <is>
          <t>DMP-C: diverter / bypass damper</t>
        </is>
      </c>
      <c r="I3327" s="12" t="inlineStr">
        <is>
          <t>Instrumentation</t>
        </is>
      </c>
      <c r="J3327" s="12" t="inlineStr">
        <is>
          <t>Instrumentation PLTC / TC-ER 300 V, #18 twisted shielded pairs, overall shield</t>
        </is>
      </c>
      <c r="K3327" s="12" t="inlineStr">
        <is>
          <t>PLTC|24 pr|18</t>
        </is>
      </c>
      <c r="L3327" s="12" t="inlineStr">
        <is>
          <t>24 pr</t>
        </is>
      </c>
      <c r="M3327" s="12" t="inlineStr">
        <is>
          <t>18</t>
        </is>
      </c>
      <c r="N3327" s="12" t="n">
        <v>1</v>
      </c>
      <c r="O3327" s="12" t="n">
        <v>1</v>
      </c>
      <c r="P3327" s="12" t="n"/>
      <c r="Q3327" s="12" t="n"/>
      <c r="R3327" s="12" t="n"/>
      <c r="S3327" s="12" t="inlineStr">
        <is>
          <t>Duct bank</t>
        </is>
      </c>
      <c r="T3327" s="16" t="n">
        <v>910</v>
      </c>
      <c r="U3327" s="16" t="n">
        <v>193</v>
      </c>
      <c r="V3327" s="16">
        <f>ROUNDUP((T3327+U3327+2*'Read Me'!$B$13)*(1+'Read Me'!$B$12),-1)</f>
        <v/>
      </c>
      <c r="W3327" s="16">
        <f>V3327*N3327*O3327</f>
        <v/>
      </c>
      <c r="X3327" s="12">
        <f>IF(LEFT(I3327,2)="MV",2*N3327*IF(L3327="1/C",O3327,1),0)</f>
        <v/>
      </c>
      <c r="Y3327" s="12">
        <f>IF(OR(LEFT(K3327,4)="LVAX",LEFT(K3327,6)="MV15AX",LEFT(K3327,4)="CTAX",LEFT(K3327,2)="W|"),2*N3327*O3327,0)</f>
        <v/>
      </c>
      <c r="Z3327" s="12" t="inlineStr"/>
      <c r="AA3327" s="12">
        <f>N3327*O3327</f>
        <v/>
      </c>
    </row>
    <row r="3328">
      <c r="A3328" s="12" t="inlineStr">
        <is>
          <t>G-I-0197</t>
        </is>
      </c>
      <c r="B3328" s="12" t="inlineStr">
        <is>
          <t>G</t>
        </is>
      </c>
      <c r="C3328" s="12" t="inlineStr">
        <is>
          <t>Carbon capture</t>
        </is>
      </c>
      <c r="D3328" s="12" t="inlineStr">
        <is>
          <t>Discrete device to JB JB-DMP-C-DI01: 16 x 1 pr (field cables)</t>
        </is>
      </c>
      <c r="E3328" s="12" t="inlineStr">
        <is>
          <t>DMP-C</t>
        </is>
      </c>
      <c r="F3328" s="12" t="inlineStr">
        <is>
          <t>DMP-C: diverter / bypass damper</t>
        </is>
      </c>
      <c r="G3328" s="12" t="inlineStr">
        <is>
          <t>JB-DMP-C-DI01</t>
        </is>
      </c>
      <c r="H3328" s="12" t="inlineStr">
        <is>
          <t>DMP-C: diverter / bypass damper</t>
        </is>
      </c>
      <c r="I3328" s="12" t="inlineStr">
        <is>
          <t>Instrumentation</t>
        </is>
      </c>
      <c r="J3328" s="12" t="inlineStr">
        <is>
          <t>Instrumentation PLTC / TC-ER 300 V, #18 twisted shielded pairs, overall shield</t>
        </is>
      </c>
      <c r="K3328" s="12" t="inlineStr">
        <is>
          <t>PLTC|1 pr|16</t>
        </is>
      </c>
      <c r="L3328" s="12" t="inlineStr">
        <is>
          <t>1 pr</t>
        </is>
      </c>
      <c r="M3328" s="12" t="inlineStr">
        <is>
          <t>16</t>
        </is>
      </c>
      <c r="N3328" s="12" t="n">
        <v>16</v>
      </c>
      <c r="O3328" s="12" t="n">
        <v>1</v>
      </c>
      <c r="P3328" s="12" t="n"/>
      <c r="Q3328" s="12" t="n"/>
      <c r="R3328" s="12" t="n"/>
      <c r="S3328" s="12" t="inlineStr">
        <is>
          <t>Tray / conduit</t>
        </is>
      </c>
      <c r="T3328" s="16" t="n">
        <v>74</v>
      </c>
      <c r="U3328" s="16" t="n">
        <v>10</v>
      </c>
      <c r="V3328" s="16">
        <f>ROUNDUP((T3328+U3328+2*'Read Me'!$B$13)*(1+'Read Me'!$B$12),-1)</f>
        <v/>
      </c>
      <c r="W3328" s="16">
        <f>V3328*N3328*O3328</f>
        <v/>
      </c>
      <c r="X3328" s="12">
        <f>IF(LEFT(I3328,2)="MV",2*N3328*IF(L3328="1/C",O3328,1),0)</f>
        <v/>
      </c>
      <c r="Y3328" s="12">
        <f>IF(OR(LEFT(K3328,4)="LVAX",LEFT(K3328,6)="MV15AX",LEFT(K3328,4)="CTAX",LEFT(K3328,2)="W|"),2*N3328*O3328,0)</f>
        <v/>
      </c>
      <c r="Z3328" s="12" t="inlineStr">
        <is>
          <t>device-to-JB field wiring, one cable per device</t>
        </is>
      </c>
      <c r="AA3328" s="12">
        <f>N3328*O3328</f>
        <v/>
      </c>
    </row>
    <row r="3329">
      <c r="A3329" s="12" t="inlineStr">
        <is>
          <t>G-I-0198</t>
        </is>
      </c>
      <c r="B3329" s="12" t="inlineStr">
        <is>
          <t>G</t>
        </is>
      </c>
      <c r="C3329" s="12" t="inlineStr">
        <is>
          <t>Carbon capture</t>
        </is>
      </c>
      <c r="D3329" s="12" t="inlineStr">
        <is>
          <t>Home run JB-DMP-C-DI01 to the control / marshalling room</t>
        </is>
      </c>
      <c r="E3329" s="12" t="inlineStr"/>
      <c r="F3329" s="12" t="inlineStr">
        <is>
          <t>CCS F&amp;G / control</t>
        </is>
      </c>
      <c r="G3329" s="12" t="inlineStr">
        <is>
          <t>JB-DMP-C-DI01</t>
        </is>
      </c>
      <c r="H3329" s="12" t="inlineStr">
        <is>
          <t>DMP-C: diverter / bypass damper</t>
        </is>
      </c>
      <c r="I3329" s="12" t="inlineStr">
        <is>
          <t>Instrumentation</t>
        </is>
      </c>
      <c r="J3329" s="12" t="inlineStr">
        <is>
          <t>Instrumentation PLTC / TC-ER 300 V, #18 twisted shielded pairs, overall shield</t>
        </is>
      </c>
      <c r="K3329" s="12" t="inlineStr">
        <is>
          <t>PLTC|24 pr|18</t>
        </is>
      </c>
      <c r="L3329" s="12" t="inlineStr">
        <is>
          <t>24 pr</t>
        </is>
      </c>
      <c r="M3329" s="12" t="inlineStr">
        <is>
          <t>18</t>
        </is>
      </c>
      <c r="N3329" s="12" t="n">
        <v>1</v>
      </c>
      <c r="O3329" s="12" t="n">
        <v>1</v>
      </c>
      <c r="P3329" s="12" t="n"/>
      <c r="Q3329" s="12" t="n"/>
      <c r="R3329" s="12" t="n"/>
      <c r="S3329" s="12" t="inlineStr">
        <is>
          <t>Duct bank</t>
        </is>
      </c>
      <c r="T3329" s="16" t="n">
        <v>910</v>
      </c>
      <c r="U3329" s="16" t="n">
        <v>193</v>
      </c>
      <c r="V3329" s="16">
        <f>ROUNDUP((T3329+U3329+2*'Read Me'!$B$13)*(1+'Read Me'!$B$12),-1)</f>
        <v/>
      </c>
      <c r="W3329" s="16">
        <f>V3329*N3329*O3329</f>
        <v/>
      </c>
      <c r="X3329" s="12">
        <f>IF(LEFT(I3329,2)="MV",2*N3329*IF(L3329="1/C",O3329,1),0)</f>
        <v/>
      </c>
      <c r="Y3329" s="12">
        <f>IF(OR(LEFT(K3329,4)="LVAX",LEFT(K3329,6)="MV15AX",LEFT(K3329,4)="CTAX",LEFT(K3329,2)="W|"),2*N3329*O3329,0)</f>
        <v/>
      </c>
      <c r="Z3329" s="12" t="inlineStr"/>
      <c r="AA3329" s="12">
        <f>N3329*O3329</f>
        <v/>
      </c>
    </row>
    <row r="3330">
      <c r="A3330" s="12" t="inlineStr">
        <is>
          <t>G-I-0199</t>
        </is>
      </c>
      <c r="B3330" s="12" t="inlineStr">
        <is>
          <t>G</t>
        </is>
      </c>
      <c r="C3330" s="12" t="inlineStr">
        <is>
          <t>Carbon capture</t>
        </is>
      </c>
      <c r="D3330" s="12" t="inlineStr">
        <is>
          <t>Analog instrument to JB JB-RB-A: reboiler (LP-AI01: 15 x 1 pr (field cables)</t>
        </is>
      </c>
      <c r="E3330" s="12" t="inlineStr"/>
      <c r="F3330" s="12" t="inlineStr">
        <is>
          <t>RB-A: reboiler (LP steam from ST extraction)</t>
        </is>
      </c>
      <c r="G3330" s="12" t="inlineStr">
        <is>
          <t>JB-RB-A: reboiler (LP-AI01</t>
        </is>
      </c>
      <c r="H3330" s="12" t="inlineStr">
        <is>
          <t>RB-A: reboiler (LP steam from ST extraction)</t>
        </is>
      </c>
      <c r="I3330" s="12" t="inlineStr">
        <is>
          <t>Instrumentation</t>
        </is>
      </c>
      <c r="J3330" s="12" t="inlineStr">
        <is>
          <t>Instrumentation PLTC / TC-ER 300 V, #18 twisted shielded pairs, overall shield</t>
        </is>
      </c>
      <c r="K3330" s="12" t="inlineStr">
        <is>
          <t>PLTC|1 pr|16</t>
        </is>
      </c>
      <c r="L3330" s="12" t="inlineStr">
        <is>
          <t>1 pr</t>
        </is>
      </c>
      <c r="M3330" s="12" t="inlineStr">
        <is>
          <t>16</t>
        </is>
      </c>
      <c r="N3330" s="12" t="n">
        <v>15</v>
      </c>
      <c r="O3330" s="12" t="n">
        <v>1</v>
      </c>
      <c r="P3330" s="12" t="n"/>
      <c r="Q3330" s="12" t="n"/>
      <c r="R3330" s="12" t="n"/>
      <c r="S3330" s="12" t="inlineStr">
        <is>
          <t>Tray / conduit</t>
        </is>
      </c>
      <c r="T3330" s="16" t="n">
        <v>80</v>
      </c>
      <c r="U3330" s="16" t="n">
        <v>10</v>
      </c>
      <c r="V3330" s="16">
        <f>ROUNDUP((T3330+U3330+2*'Read Me'!$B$13)*(1+'Read Me'!$B$12),-1)</f>
        <v/>
      </c>
      <c r="W3330" s="16">
        <f>V3330*N3330*O3330</f>
        <v/>
      </c>
      <c r="X3330" s="12">
        <f>IF(LEFT(I3330,2)="MV",2*N3330*IF(L3330="1/C",O3330,1),0)</f>
        <v/>
      </c>
      <c r="Y3330" s="12">
        <f>IF(OR(LEFT(K3330,4)="LVAX",LEFT(K3330,6)="MV15AX",LEFT(K3330,4)="CTAX",LEFT(K3330,2)="W|"),2*N3330*O3330,0)</f>
        <v/>
      </c>
      <c r="Z3330" s="12" t="inlineStr">
        <is>
          <t>device-to-JB field wiring, one cable per device</t>
        </is>
      </c>
      <c r="AA3330" s="12">
        <f>N3330*O3330</f>
        <v/>
      </c>
    </row>
    <row r="3331">
      <c r="A3331" s="12" t="inlineStr">
        <is>
          <t>G-I-0200</t>
        </is>
      </c>
      <c r="B3331" s="12" t="inlineStr">
        <is>
          <t>G</t>
        </is>
      </c>
      <c r="C3331" s="12" t="inlineStr">
        <is>
          <t>Carbon capture</t>
        </is>
      </c>
      <c r="D3331" s="12" t="inlineStr">
        <is>
          <t>Home run JB-RB-A: reboiler (LP-AI01 to the control / marshalling room</t>
        </is>
      </c>
      <c r="E3331" s="12" t="inlineStr"/>
      <c r="F3331" s="12" t="inlineStr">
        <is>
          <t>CCS F&amp;G / control</t>
        </is>
      </c>
      <c r="G3331" s="12" t="inlineStr">
        <is>
          <t>JB-RB-A: reboiler (LP-AI01</t>
        </is>
      </c>
      <c r="H3331" s="12" t="inlineStr">
        <is>
          <t>RB-A: reboiler (LP steam from ST extraction)</t>
        </is>
      </c>
      <c r="I3331" s="12" t="inlineStr">
        <is>
          <t>Instrumentation</t>
        </is>
      </c>
      <c r="J3331" s="12" t="inlineStr">
        <is>
          <t>Instrumentation PLTC / TC-ER 300 V, #18 twisted shielded pairs, overall shield</t>
        </is>
      </c>
      <c r="K3331" s="12" t="inlineStr">
        <is>
          <t>PLTC|24 pr|18</t>
        </is>
      </c>
      <c r="L3331" s="12" t="inlineStr">
        <is>
          <t>24 pr</t>
        </is>
      </c>
      <c r="M3331" s="12" t="inlineStr">
        <is>
          <t>18</t>
        </is>
      </c>
      <c r="N3331" s="12" t="n">
        <v>1</v>
      </c>
      <c r="O3331" s="12" t="n">
        <v>1</v>
      </c>
      <c r="P3331" s="12" t="n"/>
      <c r="Q3331" s="12" t="n"/>
      <c r="R3331" s="12" t="n"/>
      <c r="S3331" s="12" t="inlineStr">
        <is>
          <t>Duct bank</t>
        </is>
      </c>
      <c r="T3331" s="16" t="n">
        <v>266</v>
      </c>
      <c r="U3331" s="16" t="n">
        <v>111</v>
      </c>
      <c r="V3331" s="16">
        <f>ROUNDUP((T3331+U3331+2*'Read Me'!$B$13)*(1+'Read Me'!$B$12),-1)</f>
        <v/>
      </c>
      <c r="W3331" s="16">
        <f>V3331*N3331*O3331</f>
        <v/>
      </c>
      <c r="X3331" s="12">
        <f>IF(LEFT(I3331,2)="MV",2*N3331*IF(L3331="1/C",O3331,1),0)</f>
        <v/>
      </c>
      <c r="Y3331" s="12">
        <f>IF(OR(LEFT(K3331,4)="LVAX",LEFT(K3331,6)="MV15AX",LEFT(K3331,4)="CTAX",LEFT(K3331,2)="W|"),2*N3331*O3331,0)</f>
        <v/>
      </c>
      <c r="Z3331" s="12" t="inlineStr"/>
      <c r="AA3331" s="12">
        <f>N3331*O3331</f>
        <v/>
      </c>
    </row>
    <row r="3332">
      <c r="A3332" s="12" t="inlineStr">
        <is>
          <t>G-I-0201</t>
        </is>
      </c>
      <c r="B3332" s="12" t="inlineStr">
        <is>
          <t>G</t>
        </is>
      </c>
      <c r="C3332" s="12" t="inlineStr">
        <is>
          <t>Carbon capture</t>
        </is>
      </c>
      <c r="D3332" s="12" t="inlineStr">
        <is>
          <t>Discrete device to JB JB-RB-A: reboiler (LP-DI01: 10 x 1 pr (field cables)</t>
        </is>
      </c>
      <c r="E3332" s="12" t="inlineStr"/>
      <c r="F3332" s="12" t="inlineStr">
        <is>
          <t>RB-A: reboiler (LP steam from ST extraction)</t>
        </is>
      </c>
      <c r="G3332" s="12" t="inlineStr">
        <is>
          <t>JB-RB-A: reboiler (LP-DI01</t>
        </is>
      </c>
      <c r="H3332" s="12" t="inlineStr">
        <is>
          <t>RB-A: reboiler (LP steam from ST extraction)</t>
        </is>
      </c>
      <c r="I3332" s="12" t="inlineStr">
        <is>
          <t>Instrumentation</t>
        </is>
      </c>
      <c r="J3332" s="12" t="inlineStr">
        <is>
          <t>Instrumentation PLTC / TC-ER 300 V, #18 twisted shielded pairs, overall shield</t>
        </is>
      </c>
      <c r="K3332" s="12" t="inlineStr">
        <is>
          <t>PLTC|1 pr|16</t>
        </is>
      </c>
      <c r="L3332" s="12" t="inlineStr">
        <is>
          <t>1 pr</t>
        </is>
      </c>
      <c r="M3332" s="12" t="inlineStr">
        <is>
          <t>16</t>
        </is>
      </c>
      <c r="N3332" s="12" t="n">
        <v>10</v>
      </c>
      <c r="O3332" s="12" t="n">
        <v>1</v>
      </c>
      <c r="P3332" s="12" t="n"/>
      <c r="Q3332" s="12" t="n"/>
      <c r="R3332" s="12" t="n"/>
      <c r="S3332" s="12" t="inlineStr">
        <is>
          <t>Tray / conduit</t>
        </is>
      </c>
      <c r="T3332" s="16" t="n">
        <v>80</v>
      </c>
      <c r="U3332" s="16" t="n">
        <v>10</v>
      </c>
      <c r="V3332" s="16">
        <f>ROUNDUP((T3332+U3332+2*'Read Me'!$B$13)*(1+'Read Me'!$B$12),-1)</f>
        <v/>
      </c>
      <c r="W3332" s="16">
        <f>V3332*N3332*O3332</f>
        <v/>
      </c>
      <c r="X3332" s="12">
        <f>IF(LEFT(I3332,2)="MV",2*N3332*IF(L3332="1/C",O3332,1),0)</f>
        <v/>
      </c>
      <c r="Y3332" s="12">
        <f>IF(OR(LEFT(K3332,4)="LVAX",LEFT(K3332,6)="MV15AX",LEFT(K3332,4)="CTAX",LEFT(K3332,2)="W|"),2*N3332*O3332,0)</f>
        <v/>
      </c>
      <c r="Z3332" s="12" t="inlineStr">
        <is>
          <t>device-to-JB field wiring, one cable per device</t>
        </is>
      </c>
      <c r="AA3332" s="12">
        <f>N3332*O3332</f>
        <v/>
      </c>
    </row>
    <row r="3333">
      <c r="A3333" s="12" t="inlineStr">
        <is>
          <t>G-I-0202</t>
        </is>
      </c>
      <c r="B3333" s="12" t="inlineStr">
        <is>
          <t>G</t>
        </is>
      </c>
      <c r="C3333" s="12" t="inlineStr">
        <is>
          <t>Carbon capture</t>
        </is>
      </c>
      <c r="D3333" s="12" t="inlineStr">
        <is>
          <t>Home run JB-RB-A: reboiler (LP-DI01 to the control / marshalling room</t>
        </is>
      </c>
      <c r="E3333" s="12" t="inlineStr"/>
      <c r="F3333" s="12" t="inlineStr">
        <is>
          <t>CCS F&amp;G / control</t>
        </is>
      </c>
      <c r="G3333" s="12" t="inlineStr">
        <is>
          <t>JB-RB-A: reboiler (LP-DI01</t>
        </is>
      </c>
      <c r="H3333" s="12" t="inlineStr">
        <is>
          <t>RB-A: reboiler (LP steam from ST extraction)</t>
        </is>
      </c>
      <c r="I3333" s="12" t="inlineStr">
        <is>
          <t>Instrumentation</t>
        </is>
      </c>
      <c r="J3333" s="12" t="inlineStr">
        <is>
          <t>Instrumentation PLTC / TC-ER 300 V, #18 twisted shielded pairs, overall shield</t>
        </is>
      </c>
      <c r="K3333" s="12" t="inlineStr">
        <is>
          <t>PLTC|24 pr|18</t>
        </is>
      </c>
      <c r="L3333" s="12" t="inlineStr">
        <is>
          <t>24 pr</t>
        </is>
      </c>
      <c r="M3333" s="12" t="inlineStr">
        <is>
          <t>18</t>
        </is>
      </c>
      <c r="N3333" s="12" t="n">
        <v>1</v>
      </c>
      <c r="O3333" s="12" t="n">
        <v>1</v>
      </c>
      <c r="P3333" s="12" t="n"/>
      <c r="Q3333" s="12" t="n"/>
      <c r="R3333" s="12" t="n"/>
      <c r="S3333" s="12" t="inlineStr">
        <is>
          <t>Duct bank</t>
        </is>
      </c>
      <c r="T3333" s="16" t="n">
        <v>266</v>
      </c>
      <c r="U3333" s="16" t="n">
        <v>111</v>
      </c>
      <c r="V3333" s="16">
        <f>ROUNDUP((T3333+U3333+2*'Read Me'!$B$13)*(1+'Read Me'!$B$12),-1)</f>
        <v/>
      </c>
      <c r="W3333" s="16">
        <f>V3333*N3333*O3333</f>
        <v/>
      </c>
      <c r="X3333" s="12">
        <f>IF(LEFT(I3333,2)="MV",2*N3333*IF(L3333="1/C",O3333,1),0)</f>
        <v/>
      </c>
      <c r="Y3333" s="12">
        <f>IF(OR(LEFT(K3333,4)="LVAX",LEFT(K3333,6)="MV15AX",LEFT(K3333,4)="CTAX",LEFT(K3333,2)="W|"),2*N3333*O3333,0)</f>
        <v/>
      </c>
      <c r="Z3333" s="12" t="inlineStr"/>
      <c r="AA3333" s="12">
        <f>N3333*O3333</f>
        <v/>
      </c>
    </row>
    <row r="3334">
      <c r="A3334" s="12" t="inlineStr">
        <is>
          <t>G-I-0203</t>
        </is>
      </c>
      <c r="B3334" s="12" t="inlineStr">
        <is>
          <t>G</t>
        </is>
      </c>
      <c r="C3334" s="12" t="inlineStr">
        <is>
          <t>Carbon capture</t>
        </is>
      </c>
      <c r="D3334" s="12" t="inlineStr">
        <is>
          <t>Analog instrument to JB JB-RB-B: reboiler (LP-AI01: 15 x 1 pr (field cables)</t>
        </is>
      </c>
      <c r="E3334" s="12" t="inlineStr"/>
      <c r="F3334" s="12" t="inlineStr">
        <is>
          <t>RB-B: reboiler (LP steam from ST extraction)</t>
        </is>
      </c>
      <c r="G3334" s="12" t="inlineStr">
        <is>
          <t>JB-RB-B: reboiler (LP-AI01</t>
        </is>
      </c>
      <c r="H3334" s="12" t="inlineStr">
        <is>
          <t>RB-B: reboiler (LP steam from ST extraction)</t>
        </is>
      </c>
      <c r="I3334" s="12" t="inlineStr">
        <is>
          <t>Instrumentation</t>
        </is>
      </c>
      <c r="J3334" s="12" t="inlineStr">
        <is>
          <t>Instrumentation PLTC / TC-ER 300 V, #18 twisted shielded pairs, overall shield</t>
        </is>
      </c>
      <c r="K3334" s="12" t="inlineStr">
        <is>
          <t>PLTC|1 pr|16</t>
        </is>
      </c>
      <c r="L3334" s="12" t="inlineStr">
        <is>
          <t>1 pr</t>
        </is>
      </c>
      <c r="M3334" s="12" t="inlineStr">
        <is>
          <t>16</t>
        </is>
      </c>
      <c r="N3334" s="12" t="n">
        <v>15</v>
      </c>
      <c r="O3334" s="12" t="n">
        <v>1</v>
      </c>
      <c r="P3334" s="12" t="n"/>
      <c r="Q3334" s="12" t="n"/>
      <c r="R3334" s="12" t="n"/>
      <c r="S3334" s="12" t="inlineStr">
        <is>
          <t>Tray / conduit</t>
        </is>
      </c>
      <c r="T3334" s="16" t="n">
        <v>80</v>
      </c>
      <c r="U3334" s="16" t="n">
        <v>10</v>
      </c>
      <c r="V3334" s="16">
        <f>ROUNDUP((T3334+U3334+2*'Read Me'!$B$13)*(1+'Read Me'!$B$12),-1)</f>
        <v/>
      </c>
      <c r="W3334" s="16">
        <f>V3334*N3334*O3334</f>
        <v/>
      </c>
      <c r="X3334" s="12">
        <f>IF(LEFT(I3334,2)="MV",2*N3334*IF(L3334="1/C",O3334,1),0)</f>
        <v/>
      </c>
      <c r="Y3334" s="12">
        <f>IF(OR(LEFT(K3334,4)="LVAX",LEFT(K3334,6)="MV15AX",LEFT(K3334,4)="CTAX",LEFT(K3334,2)="W|"),2*N3334*O3334,0)</f>
        <v/>
      </c>
      <c r="Z3334" s="12" t="inlineStr">
        <is>
          <t>device-to-JB field wiring, one cable per device</t>
        </is>
      </c>
      <c r="AA3334" s="12">
        <f>N3334*O3334</f>
        <v/>
      </c>
    </row>
    <row r="3335">
      <c r="A3335" s="12" t="inlineStr">
        <is>
          <t>G-I-0204</t>
        </is>
      </c>
      <c r="B3335" s="12" t="inlineStr">
        <is>
          <t>G</t>
        </is>
      </c>
      <c r="C3335" s="12" t="inlineStr">
        <is>
          <t>Carbon capture</t>
        </is>
      </c>
      <c r="D3335" s="12" t="inlineStr">
        <is>
          <t>Home run JB-RB-B: reboiler (LP-AI01 to the control / marshalling room</t>
        </is>
      </c>
      <c r="E3335" s="12" t="inlineStr"/>
      <c r="F3335" s="12" t="inlineStr">
        <is>
          <t>CCS F&amp;G / control</t>
        </is>
      </c>
      <c r="G3335" s="12" t="inlineStr">
        <is>
          <t>JB-RB-B: reboiler (LP-AI01</t>
        </is>
      </c>
      <c r="H3335" s="12" t="inlineStr">
        <is>
          <t>RB-B: reboiler (LP steam from ST extraction)</t>
        </is>
      </c>
      <c r="I3335" s="12" t="inlineStr">
        <is>
          <t>Instrumentation</t>
        </is>
      </c>
      <c r="J3335" s="12" t="inlineStr">
        <is>
          <t>Instrumentation PLTC / TC-ER 300 V, #18 twisted shielded pairs, overall shield</t>
        </is>
      </c>
      <c r="K3335" s="12" t="inlineStr">
        <is>
          <t>PLTC|24 pr|18</t>
        </is>
      </c>
      <c r="L3335" s="12" t="inlineStr">
        <is>
          <t>24 pr</t>
        </is>
      </c>
      <c r="M3335" s="12" t="inlineStr">
        <is>
          <t>18</t>
        </is>
      </c>
      <c r="N3335" s="12" t="n">
        <v>1</v>
      </c>
      <c r="O3335" s="12" t="n">
        <v>1</v>
      </c>
      <c r="P3335" s="12" t="n"/>
      <c r="Q3335" s="12" t="n"/>
      <c r="R3335" s="12" t="n"/>
      <c r="S3335" s="12" t="inlineStr">
        <is>
          <t>Duct bank</t>
        </is>
      </c>
      <c r="T3335" s="16" t="n">
        <v>216</v>
      </c>
      <c r="U3335" s="16" t="n">
        <v>111</v>
      </c>
      <c r="V3335" s="16">
        <f>ROUNDUP((T3335+U3335+2*'Read Me'!$B$13)*(1+'Read Me'!$B$12),-1)</f>
        <v/>
      </c>
      <c r="W3335" s="16">
        <f>V3335*N3335*O3335</f>
        <v/>
      </c>
      <c r="X3335" s="12">
        <f>IF(LEFT(I3335,2)="MV",2*N3335*IF(L3335="1/C",O3335,1),0)</f>
        <v/>
      </c>
      <c r="Y3335" s="12">
        <f>IF(OR(LEFT(K3335,4)="LVAX",LEFT(K3335,6)="MV15AX",LEFT(K3335,4)="CTAX",LEFT(K3335,2)="W|"),2*N3335*O3335,0)</f>
        <v/>
      </c>
      <c r="Z3335" s="12" t="inlineStr"/>
      <c r="AA3335" s="12">
        <f>N3335*O3335</f>
        <v/>
      </c>
    </row>
    <row r="3336">
      <c r="A3336" s="12" t="inlineStr">
        <is>
          <t>G-I-0205</t>
        </is>
      </c>
      <c r="B3336" s="12" t="inlineStr">
        <is>
          <t>G</t>
        </is>
      </c>
      <c r="C3336" s="12" t="inlineStr">
        <is>
          <t>Carbon capture</t>
        </is>
      </c>
      <c r="D3336" s="12" t="inlineStr">
        <is>
          <t>Discrete device to JB JB-RB-B: reboiler (LP-DI01: 10 x 1 pr (field cables)</t>
        </is>
      </c>
      <c r="E3336" s="12" t="inlineStr"/>
      <c r="F3336" s="12" t="inlineStr">
        <is>
          <t>RB-B: reboiler (LP steam from ST extraction)</t>
        </is>
      </c>
      <c r="G3336" s="12" t="inlineStr">
        <is>
          <t>JB-RB-B: reboiler (LP-DI01</t>
        </is>
      </c>
      <c r="H3336" s="12" t="inlineStr">
        <is>
          <t>RB-B: reboiler (LP steam from ST extraction)</t>
        </is>
      </c>
      <c r="I3336" s="12" t="inlineStr">
        <is>
          <t>Instrumentation</t>
        </is>
      </c>
      <c r="J3336" s="12" t="inlineStr">
        <is>
          <t>Instrumentation PLTC / TC-ER 300 V, #18 twisted shielded pairs, overall shield</t>
        </is>
      </c>
      <c r="K3336" s="12" t="inlineStr">
        <is>
          <t>PLTC|1 pr|16</t>
        </is>
      </c>
      <c r="L3336" s="12" t="inlineStr">
        <is>
          <t>1 pr</t>
        </is>
      </c>
      <c r="M3336" s="12" t="inlineStr">
        <is>
          <t>16</t>
        </is>
      </c>
      <c r="N3336" s="12" t="n">
        <v>10</v>
      </c>
      <c r="O3336" s="12" t="n">
        <v>1</v>
      </c>
      <c r="P3336" s="12" t="n"/>
      <c r="Q3336" s="12" t="n"/>
      <c r="R3336" s="12" t="n"/>
      <c r="S3336" s="12" t="inlineStr">
        <is>
          <t>Tray / conduit</t>
        </is>
      </c>
      <c r="T3336" s="16" t="n">
        <v>80</v>
      </c>
      <c r="U3336" s="16" t="n">
        <v>10</v>
      </c>
      <c r="V3336" s="16">
        <f>ROUNDUP((T3336+U3336+2*'Read Me'!$B$13)*(1+'Read Me'!$B$12),-1)</f>
        <v/>
      </c>
      <c r="W3336" s="16">
        <f>V3336*N3336*O3336</f>
        <v/>
      </c>
      <c r="X3336" s="12">
        <f>IF(LEFT(I3336,2)="MV",2*N3336*IF(L3336="1/C",O3336,1),0)</f>
        <v/>
      </c>
      <c r="Y3336" s="12">
        <f>IF(OR(LEFT(K3336,4)="LVAX",LEFT(K3336,6)="MV15AX",LEFT(K3336,4)="CTAX",LEFT(K3336,2)="W|"),2*N3336*O3336,0)</f>
        <v/>
      </c>
      <c r="Z3336" s="12" t="inlineStr">
        <is>
          <t>device-to-JB field wiring, one cable per device</t>
        </is>
      </c>
      <c r="AA3336" s="12">
        <f>N3336*O3336</f>
        <v/>
      </c>
    </row>
    <row r="3337">
      <c r="A3337" s="12" t="inlineStr">
        <is>
          <t>G-I-0206</t>
        </is>
      </c>
      <c r="B3337" s="12" t="inlineStr">
        <is>
          <t>G</t>
        </is>
      </c>
      <c r="C3337" s="12" t="inlineStr">
        <is>
          <t>Carbon capture</t>
        </is>
      </c>
      <c r="D3337" s="12" t="inlineStr">
        <is>
          <t>Home run JB-RB-B: reboiler (LP-DI01 to the control / marshalling room</t>
        </is>
      </c>
      <c r="E3337" s="12" t="inlineStr"/>
      <c r="F3337" s="12" t="inlineStr">
        <is>
          <t>CCS F&amp;G / control</t>
        </is>
      </c>
      <c r="G3337" s="12" t="inlineStr">
        <is>
          <t>JB-RB-B: reboiler (LP-DI01</t>
        </is>
      </c>
      <c r="H3337" s="12" t="inlineStr">
        <is>
          <t>RB-B: reboiler (LP steam from ST extraction)</t>
        </is>
      </c>
      <c r="I3337" s="12" t="inlineStr">
        <is>
          <t>Instrumentation</t>
        </is>
      </c>
      <c r="J3337" s="12" t="inlineStr">
        <is>
          <t>Instrumentation PLTC / TC-ER 300 V, #18 twisted shielded pairs, overall shield</t>
        </is>
      </c>
      <c r="K3337" s="12" t="inlineStr">
        <is>
          <t>PLTC|24 pr|18</t>
        </is>
      </c>
      <c r="L3337" s="12" t="inlineStr">
        <is>
          <t>24 pr</t>
        </is>
      </c>
      <c r="M3337" s="12" t="inlineStr">
        <is>
          <t>18</t>
        </is>
      </c>
      <c r="N3337" s="12" t="n">
        <v>1</v>
      </c>
      <c r="O3337" s="12" t="n">
        <v>1</v>
      </c>
      <c r="P3337" s="12" t="n"/>
      <c r="Q3337" s="12" t="n"/>
      <c r="R3337" s="12" t="n"/>
      <c r="S3337" s="12" t="inlineStr">
        <is>
          <t>Duct bank</t>
        </is>
      </c>
      <c r="T3337" s="16" t="n">
        <v>216</v>
      </c>
      <c r="U3337" s="16" t="n">
        <v>111</v>
      </c>
      <c r="V3337" s="16">
        <f>ROUNDUP((T3337+U3337+2*'Read Me'!$B$13)*(1+'Read Me'!$B$12),-1)</f>
        <v/>
      </c>
      <c r="W3337" s="16">
        <f>V3337*N3337*O3337</f>
        <v/>
      </c>
      <c r="X3337" s="12">
        <f>IF(LEFT(I3337,2)="MV",2*N3337*IF(L3337="1/C",O3337,1),0)</f>
        <v/>
      </c>
      <c r="Y3337" s="12">
        <f>IF(OR(LEFT(K3337,4)="LVAX",LEFT(K3337,6)="MV15AX",LEFT(K3337,4)="CTAX",LEFT(K3337,2)="W|"),2*N3337*O3337,0)</f>
        <v/>
      </c>
      <c r="Z3337" s="12" t="inlineStr"/>
      <c r="AA3337" s="12">
        <f>N3337*O3337</f>
        <v/>
      </c>
    </row>
    <row r="3338">
      <c r="A3338" s="12" t="inlineStr">
        <is>
          <t>G-I-0207</t>
        </is>
      </c>
      <c r="B3338" s="12" t="inlineStr">
        <is>
          <t>G</t>
        </is>
      </c>
      <c r="C3338" s="12" t="inlineStr">
        <is>
          <t>Carbon capture</t>
        </is>
      </c>
      <c r="D3338" s="12" t="inlineStr">
        <is>
          <t>Analog instrument to JB JB-RB-C: reboiler (LP-AI01: 15 x 1 pr (field cables)</t>
        </is>
      </c>
      <c r="E3338" s="12" t="inlineStr"/>
      <c r="F3338" s="12" t="inlineStr">
        <is>
          <t>RB-C: reboiler (LP steam from ST extraction)</t>
        </is>
      </c>
      <c r="G3338" s="12" t="inlineStr">
        <is>
          <t>JB-RB-C: reboiler (LP-AI01</t>
        </is>
      </c>
      <c r="H3338" s="12" t="inlineStr">
        <is>
          <t>RB-C: reboiler (LP steam from ST extraction)</t>
        </is>
      </c>
      <c r="I3338" s="12" t="inlineStr">
        <is>
          <t>Instrumentation</t>
        </is>
      </c>
      <c r="J3338" s="12" t="inlineStr">
        <is>
          <t>Instrumentation PLTC / TC-ER 300 V, #18 twisted shielded pairs, overall shield</t>
        </is>
      </c>
      <c r="K3338" s="12" t="inlineStr">
        <is>
          <t>PLTC|1 pr|16</t>
        </is>
      </c>
      <c r="L3338" s="12" t="inlineStr">
        <is>
          <t>1 pr</t>
        </is>
      </c>
      <c r="M3338" s="12" t="inlineStr">
        <is>
          <t>16</t>
        </is>
      </c>
      <c r="N3338" s="12" t="n">
        <v>15</v>
      </c>
      <c r="O3338" s="12" t="n">
        <v>1</v>
      </c>
      <c r="P3338" s="12" t="n"/>
      <c r="Q3338" s="12" t="n"/>
      <c r="R3338" s="12" t="n"/>
      <c r="S3338" s="12" t="inlineStr">
        <is>
          <t>Tray / conduit</t>
        </is>
      </c>
      <c r="T3338" s="16" t="n">
        <v>80</v>
      </c>
      <c r="U3338" s="16" t="n">
        <v>10</v>
      </c>
      <c r="V3338" s="16">
        <f>ROUNDUP((T3338+U3338+2*'Read Me'!$B$13)*(1+'Read Me'!$B$12),-1)</f>
        <v/>
      </c>
      <c r="W3338" s="16">
        <f>V3338*N3338*O3338</f>
        <v/>
      </c>
      <c r="X3338" s="12">
        <f>IF(LEFT(I3338,2)="MV",2*N3338*IF(L3338="1/C",O3338,1),0)</f>
        <v/>
      </c>
      <c r="Y3338" s="12">
        <f>IF(OR(LEFT(K3338,4)="LVAX",LEFT(K3338,6)="MV15AX",LEFT(K3338,4)="CTAX",LEFT(K3338,2)="W|"),2*N3338*O3338,0)</f>
        <v/>
      </c>
      <c r="Z3338" s="12" t="inlineStr">
        <is>
          <t>device-to-JB field wiring, one cable per device</t>
        </is>
      </c>
      <c r="AA3338" s="12">
        <f>N3338*O3338</f>
        <v/>
      </c>
    </row>
    <row r="3339">
      <c r="A3339" s="12" t="inlineStr">
        <is>
          <t>G-I-0208</t>
        </is>
      </c>
      <c r="B3339" s="12" t="inlineStr">
        <is>
          <t>G</t>
        </is>
      </c>
      <c r="C3339" s="12" t="inlineStr">
        <is>
          <t>Carbon capture</t>
        </is>
      </c>
      <c r="D3339" s="12" t="inlineStr">
        <is>
          <t>Home run JB-RB-C: reboiler (LP-AI01 to the control / marshalling room</t>
        </is>
      </c>
      <c r="E3339" s="12" t="inlineStr"/>
      <c r="F3339" s="12" t="inlineStr">
        <is>
          <t>CCS F&amp;G / control</t>
        </is>
      </c>
      <c r="G3339" s="12" t="inlineStr">
        <is>
          <t>JB-RB-C: reboiler (LP-AI01</t>
        </is>
      </c>
      <c r="H3339" s="12" t="inlineStr">
        <is>
          <t>RB-C: reboiler (LP steam from ST extraction)</t>
        </is>
      </c>
      <c r="I3339" s="12" t="inlineStr">
        <is>
          <t>Instrumentation</t>
        </is>
      </c>
      <c r="J3339" s="12" t="inlineStr">
        <is>
          <t>Instrumentation PLTC / TC-ER 300 V, #18 twisted shielded pairs, overall shield</t>
        </is>
      </c>
      <c r="K3339" s="12" t="inlineStr">
        <is>
          <t>PLTC|24 pr|18</t>
        </is>
      </c>
      <c r="L3339" s="12" t="inlineStr">
        <is>
          <t>24 pr</t>
        </is>
      </c>
      <c r="M3339" s="12" t="inlineStr">
        <is>
          <t>18</t>
        </is>
      </c>
      <c r="N3339" s="12" t="n">
        <v>1</v>
      </c>
      <c r="O3339" s="12" t="n">
        <v>1</v>
      </c>
      <c r="P3339" s="12" t="n"/>
      <c r="Q3339" s="12" t="n"/>
      <c r="R3339" s="12" t="n"/>
      <c r="S3339" s="12" t="inlineStr">
        <is>
          <t>Duct bank</t>
        </is>
      </c>
      <c r="T3339" s="16" t="n">
        <v>161</v>
      </c>
      <c r="U3339" s="16" t="n">
        <v>116</v>
      </c>
      <c r="V3339" s="16">
        <f>ROUNDUP((T3339+U3339+2*'Read Me'!$B$13)*(1+'Read Me'!$B$12),-1)</f>
        <v/>
      </c>
      <c r="W3339" s="16">
        <f>V3339*N3339*O3339</f>
        <v/>
      </c>
      <c r="X3339" s="12">
        <f>IF(LEFT(I3339,2)="MV",2*N3339*IF(L3339="1/C",O3339,1),0)</f>
        <v/>
      </c>
      <c r="Y3339" s="12">
        <f>IF(OR(LEFT(K3339,4)="LVAX",LEFT(K3339,6)="MV15AX",LEFT(K3339,4)="CTAX",LEFT(K3339,2)="W|"),2*N3339*O3339,0)</f>
        <v/>
      </c>
      <c r="Z3339" s="12" t="inlineStr"/>
      <c r="AA3339" s="12">
        <f>N3339*O3339</f>
        <v/>
      </c>
    </row>
    <row r="3340">
      <c r="A3340" s="12" t="inlineStr">
        <is>
          <t>G-I-0209</t>
        </is>
      </c>
      <c r="B3340" s="12" t="inlineStr">
        <is>
          <t>G</t>
        </is>
      </c>
      <c r="C3340" s="12" t="inlineStr">
        <is>
          <t>Carbon capture</t>
        </is>
      </c>
      <c r="D3340" s="12" t="inlineStr">
        <is>
          <t>Discrete device to JB JB-RB-C: reboiler (LP-DI01: 10 x 1 pr (field cables)</t>
        </is>
      </c>
      <c r="E3340" s="12" t="inlineStr"/>
      <c r="F3340" s="12" t="inlineStr">
        <is>
          <t>RB-C: reboiler (LP steam from ST extraction)</t>
        </is>
      </c>
      <c r="G3340" s="12" t="inlineStr">
        <is>
          <t>JB-RB-C: reboiler (LP-DI01</t>
        </is>
      </c>
      <c r="H3340" s="12" t="inlineStr">
        <is>
          <t>RB-C: reboiler (LP steam from ST extraction)</t>
        </is>
      </c>
      <c r="I3340" s="12" t="inlineStr">
        <is>
          <t>Instrumentation</t>
        </is>
      </c>
      <c r="J3340" s="12" t="inlineStr">
        <is>
          <t>Instrumentation PLTC / TC-ER 300 V, #18 twisted shielded pairs, overall shield</t>
        </is>
      </c>
      <c r="K3340" s="12" t="inlineStr">
        <is>
          <t>PLTC|1 pr|16</t>
        </is>
      </c>
      <c r="L3340" s="12" t="inlineStr">
        <is>
          <t>1 pr</t>
        </is>
      </c>
      <c r="M3340" s="12" t="inlineStr">
        <is>
          <t>16</t>
        </is>
      </c>
      <c r="N3340" s="12" t="n">
        <v>10</v>
      </c>
      <c r="O3340" s="12" t="n">
        <v>1</v>
      </c>
      <c r="P3340" s="12" t="n"/>
      <c r="Q3340" s="12" t="n"/>
      <c r="R3340" s="12" t="n"/>
      <c r="S3340" s="12" t="inlineStr">
        <is>
          <t>Tray / conduit</t>
        </is>
      </c>
      <c r="T3340" s="16" t="n">
        <v>80</v>
      </c>
      <c r="U3340" s="16" t="n">
        <v>10</v>
      </c>
      <c r="V3340" s="16">
        <f>ROUNDUP((T3340+U3340+2*'Read Me'!$B$13)*(1+'Read Me'!$B$12),-1)</f>
        <v/>
      </c>
      <c r="W3340" s="16">
        <f>V3340*N3340*O3340</f>
        <v/>
      </c>
      <c r="X3340" s="12">
        <f>IF(LEFT(I3340,2)="MV",2*N3340*IF(L3340="1/C",O3340,1),0)</f>
        <v/>
      </c>
      <c r="Y3340" s="12">
        <f>IF(OR(LEFT(K3340,4)="LVAX",LEFT(K3340,6)="MV15AX",LEFT(K3340,4)="CTAX",LEFT(K3340,2)="W|"),2*N3340*O3340,0)</f>
        <v/>
      </c>
      <c r="Z3340" s="12" t="inlineStr">
        <is>
          <t>device-to-JB field wiring, one cable per device</t>
        </is>
      </c>
      <c r="AA3340" s="12">
        <f>N3340*O3340</f>
        <v/>
      </c>
    </row>
    <row r="3341">
      <c r="A3341" s="12" t="inlineStr">
        <is>
          <t>G-I-0210</t>
        </is>
      </c>
      <c r="B3341" s="12" t="inlineStr">
        <is>
          <t>G</t>
        </is>
      </c>
      <c r="C3341" s="12" t="inlineStr">
        <is>
          <t>Carbon capture</t>
        </is>
      </c>
      <c r="D3341" s="12" t="inlineStr">
        <is>
          <t>Home run JB-RB-C: reboiler (LP-DI01 to the control / marshalling room</t>
        </is>
      </c>
      <c r="E3341" s="12" t="inlineStr"/>
      <c r="F3341" s="12" t="inlineStr">
        <is>
          <t>CCS F&amp;G / control</t>
        </is>
      </c>
      <c r="G3341" s="12" t="inlineStr">
        <is>
          <t>JB-RB-C: reboiler (LP-DI01</t>
        </is>
      </c>
      <c r="H3341" s="12" t="inlineStr">
        <is>
          <t>RB-C: reboiler (LP steam from ST extraction)</t>
        </is>
      </c>
      <c r="I3341" s="12" t="inlineStr">
        <is>
          <t>Instrumentation</t>
        </is>
      </c>
      <c r="J3341" s="12" t="inlineStr">
        <is>
          <t>Instrumentation PLTC / TC-ER 300 V, #18 twisted shielded pairs, overall shield</t>
        </is>
      </c>
      <c r="K3341" s="12" t="inlineStr">
        <is>
          <t>PLTC|24 pr|18</t>
        </is>
      </c>
      <c r="L3341" s="12" t="inlineStr">
        <is>
          <t>24 pr</t>
        </is>
      </c>
      <c r="M3341" s="12" t="inlineStr">
        <is>
          <t>18</t>
        </is>
      </c>
      <c r="N3341" s="12" t="n">
        <v>1</v>
      </c>
      <c r="O3341" s="12" t="n">
        <v>1</v>
      </c>
      <c r="P3341" s="12" t="n"/>
      <c r="Q3341" s="12" t="n"/>
      <c r="R3341" s="12" t="n"/>
      <c r="S3341" s="12" t="inlineStr">
        <is>
          <t>Duct bank</t>
        </is>
      </c>
      <c r="T3341" s="16" t="n">
        <v>161</v>
      </c>
      <c r="U3341" s="16" t="n">
        <v>116</v>
      </c>
      <c r="V3341" s="16">
        <f>ROUNDUP((T3341+U3341+2*'Read Me'!$B$13)*(1+'Read Me'!$B$12),-1)</f>
        <v/>
      </c>
      <c r="W3341" s="16">
        <f>V3341*N3341*O3341</f>
        <v/>
      </c>
      <c r="X3341" s="12">
        <f>IF(LEFT(I3341,2)="MV",2*N3341*IF(L3341="1/C",O3341,1),0)</f>
        <v/>
      </c>
      <c r="Y3341" s="12">
        <f>IF(OR(LEFT(K3341,4)="LVAX",LEFT(K3341,6)="MV15AX",LEFT(K3341,4)="CTAX",LEFT(K3341,2)="W|"),2*N3341*O3341,0)</f>
        <v/>
      </c>
      <c r="Z3341" s="12" t="inlineStr"/>
      <c r="AA3341" s="12">
        <f>N3341*O3341</f>
        <v/>
      </c>
    </row>
    <row r="3342">
      <c r="A3342" s="12" t="inlineStr">
        <is>
          <t>G-I-0211</t>
        </is>
      </c>
      <c r="B3342" s="12" t="inlineStr">
        <is>
          <t>G</t>
        </is>
      </c>
      <c r="C3342" s="12" t="inlineStr">
        <is>
          <t>Carbon capture</t>
        </is>
      </c>
      <c r="D3342" s="12" t="inlineStr">
        <is>
          <t>Analog instrument to JB JB-Reclaimer (thermal-AI01: 15 x 1 pr (field cables)</t>
        </is>
      </c>
      <c r="E3342" s="12" t="inlineStr"/>
      <c r="F3342" s="12" t="inlineStr">
        <is>
          <t>Reclaimer (thermal, intermittent)</t>
        </is>
      </c>
      <c r="G3342" s="12" t="inlineStr">
        <is>
          <t>JB-Reclaimer (thermal-AI01</t>
        </is>
      </c>
      <c r="H3342" s="12" t="inlineStr">
        <is>
          <t>Reclaimer (thermal, intermittent)</t>
        </is>
      </c>
      <c r="I3342" s="12" t="inlineStr">
        <is>
          <t>Instrumentation</t>
        </is>
      </c>
      <c r="J3342" s="12" t="inlineStr">
        <is>
          <t>Instrumentation PLTC / TC-ER 300 V, #18 twisted shielded pairs, overall shield</t>
        </is>
      </c>
      <c r="K3342" s="12" t="inlineStr">
        <is>
          <t>PLTC|1 pr|16</t>
        </is>
      </c>
      <c r="L3342" s="12" t="inlineStr">
        <is>
          <t>1 pr</t>
        </is>
      </c>
      <c r="M3342" s="12" t="inlineStr">
        <is>
          <t>16</t>
        </is>
      </c>
      <c r="N3342" s="12" t="n">
        <v>15</v>
      </c>
      <c r="O3342" s="12" t="n">
        <v>1</v>
      </c>
      <c r="P3342" s="12" t="n"/>
      <c r="Q3342" s="12" t="n"/>
      <c r="R3342" s="12" t="n"/>
      <c r="S3342" s="12" t="inlineStr">
        <is>
          <t>Tray / conduit</t>
        </is>
      </c>
      <c r="T3342" s="16" t="n">
        <v>82</v>
      </c>
      <c r="U3342" s="16" t="n">
        <v>10</v>
      </c>
      <c r="V3342" s="16">
        <f>ROUNDUP((T3342+U3342+2*'Read Me'!$B$13)*(1+'Read Me'!$B$12),-1)</f>
        <v/>
      </c>
      <c r="W3342" s="16">
        <f>V3342*N3342*O3342</f>
        <v/>
      </c>
      <c r="X3342" s="12">
        <f>IF(LEFT(I3342,2)="MV",2*N3342*IF(L3342="1/C",O3342,1),0)</f>
        <v/>
      </c>
      <c r="Y3342" s="12">
        <f>IF(OR(LEFT(K3342,4)="LVAX",LEFT(K3342,6)="MV15AX",LEFT(K3342,4)="CTAX",LEFT(K3342,2)="W|"),2*N3342*O3342,0)</f>
        <v/>
      </c>
      <c r="Z3342" s="12" t="inlineStr">
        <is>
          <t>device-to-JB field wiring, one cable per device</t>
        </is>
      </c>
      <c r="AA3342" s="12">
        <f>N3342*O3342</f>
        <v/>
      </c>
    </row>
    <row r="3343">
      <c r="A3343" s="12" t="inlineStr">
        <is>
          <t>G-I-0212</t>
        </is>
      </c>
      <c r="B3343" s="12" t="inlineStr">
        <is>
          <t>G</t>
        </is>
      </c>
      <c r="C3343" s="12" t="inlineStr">
        <is>
          <t>Carbon capture</t>
        </is>
      </c>
      <c r="D3343" s="12" t="inlineStr">
        <is>
          <t>Home run JB-Reclaimer (thermal-AI01 to the control / marshalling room</t>
        </is>
      </c>
      <c r="E3343" s="12" t="inlineStr"/>
      <c r="F3343" s="12" t="inlineStr">
        <is>
          <t>CCS F&amp;G / control</t>
        </is>
      </c>
      <c r="G3343" s="12" t="inlineStr">
        <is>
          <t>JB-Reclaimer (thermal-AI01</t>
        </is>
      </c>
      <c r="H3343" s="12" t="inlineStr">
        <is>
          <t>Reclaimer (thermal, intermittent)</t>
        </is>
      </c>
      <c r="I3343" s="12" t="inlineStr">
        <is>
          <t>Instrumentation</t>
        </is>
      </c>
      <c r="J3343" s="12" t="inlineStr">
        <is>
          <t>Instrumentation PLTC / TC-ER 300 V, #18 twisted shielded pairs, overall shield</t>
        </is>
      </c>
      <c r="K3343" s="12" t="inlineStr">
        <is>
          <t>PLTC|24 pr|18</t>
        </is>
      </c>
      <c r="L3343" s="12" t="inlineStr">
        <is>
          <t>24 pr</t>
        </is>
      </c>
      <c r="M3343" s="12" t="inlineStr">
        <is>
          <t>18</t>
        </is>
      </c>
      <c r="N3343" s="12" t="n">
        <v>1</v>
      </c>
      <c r="O3343" s="12" t="n">
        <v>1</v>
      </c>
      <c r="P3343" s="12" t="n"/>
      <c r="Q3343" s="12" t="n"/>
      <c r="R3343" s="12" t="n"/>
      <c r="S3343" s="12" t="inlineStr">
        <is>
          <t>Duct bank</t>
        </is>
      </c>
      <c r="T3343" s="16" t="n">
        <v>130</v>
      </c>
      <c r="U3343" s="16" t="n">
        <v>102</v>
      </c>
      <c r="V3343" s="16">
        <f>ROUNDUP((T3343+U3343+2*'Read Me'!$B$13)*(1+'Read Me'!$B$12),-1)</f>
        <v/>
      </c>
      <c r="W3343" s="16">
        <f>V3343*N3343*O3343</f>
        <v/>
      </c>
      <c r="X3343" s="12">
        <f>IF(LEFT(I3343,2)="MV",2*N3343*IF(L3343="1/C",O3343,1),0)</f>
        <v/>
      </c>
      <c r="Y3343" s="12">
        <f>IF(OR(LEFT(K3343,4)="LVAX",LEFT(K3343,6)="MV15AX",LEFT(K3343,4)="CTAX",LEFT(K3343,2)="W|"),2*N3343*O3343,0)</f>
        <v/>
      </c>
      <c r="Z3343" s="12" t="inlineStr"/>
      <c r="AA3343" s="12">
        <f>N3343*O3343</f>
        <v/>
      </c>
    </row>
    <row r="3344">
      <c r="A3344" s="12" t="inlineStr">
        <is>
          <t>G-I-0213</t>
        </is>
      </c>
      <c r="B3344" s="12" t="inlineStr">
        <is>
          <t>G</t>
        </is>
      </c>
      <c r="C3344" s="12" t="inlineStr">
        <is>
          <t>Carbon capture</t>
        </is>
      </c>
      <c r="D3344" s="12" t="inlineStr">
        <is>
          <t>Discrete device to JB JB-Reclaimer (thermal-DI01: 10 x 1 pr (field cables)</t>
        </is>
      </c>
      <c r="E3344" s="12" t="inlineStr"/>
      <c r="F3344" s="12" t="inlineStr">
        <is>
          <t>Reclaimer (thermal, intermittent)</t>
        </is>
      </c>
      <c r="G3344" s="12" t="inlineStr">
        <is>
          <t>JB-Reclaimer (thermal-DI01</t>
        </is>
      </c>
      <c r="H3344" s="12" t="inlineStr">
        <is>
          <t>Reclaimer (thermal, intermittent)</t>
        </is>
      </c>
      <c r="I3344" s="12" t="inlineStr">
        <is>
          <t>Instrumentation</t>
        </is>
      </c>
      <c r="J3344" s="12" t="inlineStr">
        <is>
          <t>Instrumentation PLTC / TC-ER 300 V, #18 twisted shielded pairs, overall shield</t>
        </is>
      </c>
      <c r="K3344" s="12" t="inlineStr">
        <is>
          <t>PLTC|1 pr|16</t>
        </is>
      </c>
      <c r="L3344" s="12" t="inlineStr">
        <is>
          <t>1 pr</t>
        </is>
      </c>
      <c r="M3344" s="12" t="inlineStr">
        <is>
          <t>16</t>
        </is>
      </c>
      <c r="N3344" s="12" t="n">
        <v>10</v>
      </c>
      <c r="O3344" s="12" t="n">
        <v>1</v>
      </c>
      <c r="P3344" s="12" t="n"/>
      <c r="Q3344" s="12" t="n"/>
      <c r="R3344" s="12" t="n"/>
      <c r="S3344" s="12" t="inlineStr">
        <is>
          <t>Tray / conduit</t>
        </is>
      </c>
      <c r="T3344" s="16" t="n">
        <v>82</v>
      </c>
      <c r="U3344" s="16" t="n">
        <v>10</v>
      </c>
      <c r="V3344" s="16">
        <f>ROUNDUP((T3344+U3344+2*'Read Me'!$B$13)*(1+'Read Me'!$B$12),-1)</f>
        <v/>
      </c>
      <c r="W3344" s="16">
        <f>V3344*N3344*O3344</f>
        <v/>
      </c>
      <c r="X3344" s="12">
        <f>IF(LEFT(I3344,2)="MV",2*N3344*IF(L3344="1/C",O3344,1),0)</f>
        <v/>
      </c>
      <c r="Y3344" s="12">
        <f>IF(OR(LEFT(K3344,4)="LVAX",LEFT(K3344,6)="MV15AX",LEFT(K3344,4)="CTAX",LEFT(K3344,2)="W|"),2*N3344*O3344,0)</f>
        <v/>
      </c>
      <c r="Z3344" s="12" t="inlineStr">
        <is>
          <t>device-to-JB field wiring, one cable per device</t>
        </is>
      </c>
      <c r="AA3344" s="12">
        <f>N3344*O3344</f>
        <v/>
      </c>
    </row>
    <row r="3345">
      <c r="A3345" s="12" t="inlineStr">
        <is>
          <t>G-I-0214</t>
        </is>
      </c>
      <c r="B3345" s="12" t="inlineStr">
        <is>
          <t>G</t>
        </is>
      </c>
      <c r="C3345" s="12" t="inlineStr">
        <is>
          <t>Carbon capture</t>
        </is>
      </c>
      <c r="D3345" s="12" t="inlineStr">
        <is>
          <t>Home run JB-Reclaimer (thermal-DI01 to the control / marshalling room</t>
        </is>
      </c>
      <c r="E3345" s="12" t="inlineStr"/>
      <c r="F3345" s="12" t="inlineStr">
        <is>
          <t>CCS F&amp;G / control</t>
        </is>
      </c>
      <c r="G3345" s="12" t="inlineStr">
        <is>
          <t>JB-Reclaimer (thermal-DI01</t>
        </is>
      </c>
      <c r="H3345" s="12" t="inlineStr">
        <is>
          <t>Reclaimer (thermal, intermittent)</t>
        </is>
      </c>
      <c r="I3345" s="12" t="inlineStr">
        <is>
          <t>Instrumentation</t>
        </is>
      </c>
      <c r="J3345" s="12" t="inlineStr">
        <is>
          <t>Instrumentation PLTC / TC-ER 300 V, #18 twisted shielded pairs, overall shield</t>
        </is>
      </c>
      <c r="K3345" s="12" t="inlineStr">
        <is>
          <t>PLTC|24 pr|18</t>
        </is>
      </c>
      <c r="L3345" s="12" t="inlineStr">
        <is>
          <t>24 pr</t>
        </is>
      </c>
      <c r="M3345" s="12" t="inlineStr">
        <is>
          <t>18</t>
        </is>
      </c>
      <c r="N3345" s="12" t="n">
        <v>1</v>
      </c>
      <c r="O3345" s="12" t="n">
        <v>1</v>
      </c>
      <c r="P3345" s="12" t="n"/>
      <c r="Q3345" s="12" t="n"/>
      <c r="R3345" s="12" t="n"/>
      <c r="S3345" s="12" t="inlineStr">
        <is>
          <t>Duct bank</t>
        </is>
      </c>
      <c r="T3345" s="16" t="n">
        <v>130</v>
      </c>
      <c r="U3345" s="16" t="n">
        <v>102</v>
      </c>
      <c r="V3345" s="16">
        <f>ROUNDUP((T3345+U3345+2*'Read Me'!$B$13)*(1+'Read Me'!$B$12),-1)</f>
        <v/>
      </c>
      <c r="W3345" s="16">
        <f>V3345*N3345*O3345</f>
        <v/>
      </c>
      <c r="X3345" s="12">
        <f>IF(LEFT(I3345,2)="MV",2*N3345*IF(L3345="1/C",O3345,1),0)</f>
        <v/>
      </c>
      <c r="Y3345" s="12">
        <f>IF(OR(LEFT(K3345,4)="LVAX",LEFT(K3345,6)="MV15AX",LEFT(K3345,4)="CTAX",LEFT(K3345,2)="W|"),2*N3345*O3345,0)</f>
        <v/>
      </c>
      <c r="Z3345" s="12" t="inlineStr"/>
      <c r="AA3345" s="12">
        <f>N3345*O3345</f>
        <v/>
      </c>
    </row>
    <row r="3346">
      <c r="A3346" s="12" t="inlineStr">
        <is>
          <t>G-I-0215</t>
        </is>
      </c>
      <c r="B3346" s="12" t="inlineStr">
        <is>
          <t>G</t>
        </is>
      </c>
      <c r="C3346" s="12" t="inlineStr">
        <is>
          <t>Carbon capture</t>
        </is>
      </c>
      <c r="D3346" s="12" t="inlineStr">
        <is>
          <t>Analog instrument to JB JB-Rich/lean pumps, c-AI01: 20 x 1 pr (field cables)</t>
        </is>
      </c>
      <c r="E3346" s="12" t="inlineStr"/>
      <c r="F3346" s="12" t="inlineStr">
        <is>
          <t>Rich/lean pumps, cross exchanger, lean cooler A</t>
        </is>
      </c>
      <c r="G3346" s="12" t="inlineStr">
        <is>
          <t>JB-Rich/lean pumps, c-AI01</t>
        </is>
      </c>
      <c r="H3346" s="12" t="inlineStr">
        <is>
          <t>Rich/lean pumps, cross exchanger, lean cooler A</t>
        </is>
      </c>
      <c r="I3346" s="12" t="inlineStr">
        <is>
          <t>Instrumentation</t>
        </is>
      </c>
      <c r="J3346" s="12" t="inlineStr">
        <is>
          <t>Instrumentation PLTC / TC-ER 300 V, #18 twisted shielded pairs, overall shield</t>
        </is>
      </c>
      <c r="K3346" s="12" t="inlineStr">
        <is>
          <t>PLTC|1 pr|16</t>
        </is>
      </c>
      <c r="L3346" s="12" t="inlineStr">
        <is>
          <t>1 pr</t>
        </is>
      </c>
      <c r="M3346" s="12" t="inlineStr">
        <is>
          <t>16</t>
        </is>
      </c>
      <c r="N3346" s="12" t="n">
        <v>20</v>
      </c>
      <c r="O3346" s="12" t="n">
        <v>1</v>
      </c>
      <c r="P3346" s="12" t="n"/>
      <c r="Q3346" s="12" t="n"/>
      <c r="R3346" s="12" t="n"/>
      <c r="S3346" s="12" t="inlineStr">
        <is>
          <t>Tray / conduit</t>
        </is>
      </c>
      <c r="T3346" s="16" t="n">
        <v>84</v>
      </c>
      <c r="U3346" s="16" t="n">
        <v>10</v>
      </c>
      <c r="V3346" s="16">
        <f>ROUNDUP((T3346+U3346+2*'Read Me'!$B$13)*(1+'Read Me'!$B$12),-1)</f>
        <v/>
      </c>
      <c r="W3346" s="16">
        <f>V3346*N3346*O3346</f>
        <v/>
      </c>
      <c r="X3346" s="12">
        <f>IF(LEFT(I3346,2)="MV",2*N3346*IF(L3346="1/C",O3346,1),0)</f>
        <v/>
      </c>
      <c r="Y3346" s="12">
        <f>IF(OR(LEFT(K3346,4)="LVAX",LEFT(K3346,6)="MV15AX",LEFT(K3346,4)="CTAX",LEFT(K3346,2)="W|"),2*N3346*O3346,0)</f>
        <v/>
      </c>
      <c r="Z3346" s="12" t="inlineStr">
        <is>
          <t>device-to-JB field wiring, one cable per device</t>
        </is>
      </c>
      <c r="AA3346" s="12">
        <f>N3346*O3346</f>
        <v/>
      </c>
    </row>
    <row r="3347">
      <c r="A3347" s="12" t="inlineStr">
        <is>
          <t>G-I-0216</t>
        </is>
      </c>
      <c r="B3347" s="12" t="inlineStr">
        <is>
          <t>G</t>
        </is>
      </c>
      <c r="C3347" s="12" t="inlineStr">
        <is>
          <t>Carbon capture</t>
        </is>
      </c>
      <c r="D3347" s="12" t="inlineStr">
        <is>
          <t>Home run JB-Rich/lean pumps, c-AI01 to the control / marshalling room</t>
        </is>
      </c>
      <c r="E3347" s="12" t="inlineStr"/>
      <c r="F3347" s="12" t="inlineStr">
        <is>
          <t>CCS F&amp;G / control</t>
        </is>
      </c>
      <c r="G3347" s="12" t="inlineStr">
        <is>
          <t>JB-Rich/lean pumps, c-AI01</t>
        </is>
      </c>
      <c r="H3347" s="12" t="inlineStr">
        <is>
          <t>Rich/lean pumps, cross exchanger, lean cooler A</t>
        </is>
      </c>
      <c r="I3347" s="12" t="inlineStr">
        <is>
          <t>Instrumentation</t>
        </is>
      </c>
      <c r="J3347" s="12" t="inlineStr">
        <is>
          <t>Instrumentation PLTC / TC-ER 300 V, #18 twisted shielded pairs, overall shield</t>
        </is>
      </c>
      <c r="K3347" s="12" t="inlineStr">
        <is>
          <t>PLTC|24 pr|18</t>
        </is>
      </c>
      <c r="L3347" s="12" t="inlineStr">
        <is>
          <t>24 pr</t>
        </is>
      </c>
      <c r="M3347" s="12" t="inlineStr">
        <is>
          <t>18</t>
        </is>
      </c>
      <c r="N3347" s="12" t="n">
        <v>1</v>
      </c>
      <c r="O3347" s="12" t="n">
        <v>1</v>
      </c>
      <c r="P3347" s="12" t="n"/>
      <c r="Q3347" s="12" t="n"/>
      <c r="R3347" s="12" t="n"/>
      <c r="S3347" s="12" t="inlineStr">
        <is>
          <t>Tray</t>
        </is>
      </c>
      <c r="T3347" s="16" t="n">
        <v>834</v>
      </c>
      <c r="U3347" s="16" t="n">
        <v>181</v>
      </c>
      <c r="V3347" s="16">
        <f>ROUNDUP((T3347+U3347+2*'Read Me'!$B$13)*(1+'Read Me'!$B$12),-1)</f>
        <v/>
      </c>
      <c r="W3347" s="16">
        <f>V3347*N3347*O3347</f>
        <v/>
      </c>
      <c r="X3347" s="12">
        <f>IF(LEFT(I3347,2)="MV",2*N3347*IF(L3347="1/C",O3347,1),0)</f>
        <v/>
      </c>
      <c r="Y3347" s="12">
        <f>IF(OR(LEFT(K3347,4)="LVAX",LEFT(K3347,6)="MV15AX",LEFT(K3347,4)="CTAX",LEFT(K3347,2)="W|"),2*N3347*O3347,0)</f>
        <v/>
      </c>
      <c r="Z3347" s="12" t="inlineStr"/>
      <c r="AA3347" s="12">
        <f>N3347*O3347</f>
        <v/>
      </c>
    </row>
    <row r="3348">
      <c r="A3348" s="12" t="inlineStr">
        <is>
          <t>G-I-0217</t>
        </is>
      </c>
      <c r="B3348" s="12" t="inlineStr">
        <is>
          <t>G</t>
        </is>
      </c>
      <c r="C3348" s="12" t="inlineStr">
        <is>
          <t>Carbon capture</t>
        </is>
      </c>
      <c r="D3348" s="12" t="inlineStr">
        <is>
          <t>Discrete device to JB JB-Rich/lean pumps, c-DI01: 20 x 1 pr (field cables)</t>
        </is>
      </c>
      <c r="E3348" s="12" t="inlineStr"/>
      <c r="F3348" s="12" t="inlineStr">
        <is>
          <t>Rich/lean pumps, cross exchanger, lean cooler A</t>
        </is>
      </c>
      <c r="G3348" s="12" t="inlineStr">
        <is>
          <t>JB-Rich/lean pumps, c-DI01</t>
        </is>
      </c>
      <c r="H3348" s="12" t="inlineStr">
        <is>
          <t>Rich/lean pumps, cross exchanger, lean cooler A</t>
        </is>
      </c>
      <c r="I3348" s="12" t="inlineStr">
        <is>
          <t>Instrumentation</t>
        </is>
      </c>
      <c r="J3348" s="12" t="inlineStr">
        <is>
          <t>Instrumentation PLTC / TC-ER 300 V, #18 twisted shielded pairs, overall shield</t>
        </is>
      </c>
      <c r="K3348" s="12" t="inlineStr">
        <is>
          <t>PLTC|1 pr|16</t>
        </is>
      </c>
      <c r="L3348" s="12" t="inlineStr">
        <is>
          <t>1 pr</t>
        </is>
      </c>
      <c r="M3348" s="12" t="inlineStr">
        <is>
          <t>16</t>
        </is>
      </c>
      <c r="N3348" s="12" t="n">
        <v>20</v>
      </c>
      <c r="O3348" s="12" t="n">
        <v>1</v>
      </c>
      <c r="P3348" s="12" t="n"/>
      <c r="Q3348" s="12" t="n"/>
      <c r="R3348" s="12" t="n"/>
      <c r="S3348" s="12" t="inlineStr">
        <is>
          <t>Tray / conduit</t>
        </is>
      </c>
      <c r="T3348" s="16" t="n">
        <v>84</v>
      </c>
      <c r="U3348" s="16" t="n">
        <v>10</v>
      </c>
      <c r="V3348" s="16">
        <f>ROUNDUP((T3348+U3348+2*'Read Me'!$B$13)*(1+'Read Me'!$B$12),-1)</f>
        <v/>
      </c>
      <c r="W3348" s="16">
        <f>V3348*N3348*O3348</f>
        <v/>
      </c>
      <c r="X3348" s="12">
        <f>IF(LEFT(I3348,2)="MV",2*N3348*IF(L3348="1/C",O3348,1),0)</f>
        <v/>
      </c>
      <c r="Y3348" s="12">
        <f>IF(OR(LEFT(K3348,4)="LVAX",LEFT(K3348,6)="MV15AX",LEFT(K3348,4)="CTAX",LEFT(K3348,2)="W|"),2*N3348*O3348,0)</f>
        <v/>
      </c>
      <c r="Z3348" s="12" t="inlineStr">
        <is>
          <t>device-to-JB field wiring, one cable per device</t>
        </is>
      </c>
      <c r="AA3348" s="12">
        <f>N3348*O3348</f>
        <v/>
      </c>
    </row>
    <row r="3349">
      <c r="A3349" s="12" t="inlineStr">
        <is>
          <t>G-I-0218</t>
        </is>
      </c>
      <c r="B3349" s="12" t="inlineStr">
        <is>
          <t>G</t>
        </is>
      </c>
      <c r="C3349" s="12" t="inlineStr">
        <is>
          <t>Carbon capture</t>
        </is>
      </c>
      <c r="D3349" s="12" t="inlineStr">
        <is>
          <t>Home run JB-Rich/lean pumps, c-DI01 to the control / marshalling room</t>
        </is>
      </c>
      <c r="E3349" s="12" t="inlineStr"/>
      <c r="F3349" s="12" t="inlineStr">
        <is>
          <t>CCS F&amp;G / control</t>
        </is>
      </c>
      <c r="G3349" s="12" t="inlineStr">
        <is>
          <t>JB-Rich/lean pumps, c-DI01</t>
        </is>
      </c>
      <c r="H3349" s="12" t="inlineStr">
        <is>
          <t>Rich/lean pumps, cross exchanger, lean cooler A</t>
        </is>
      </c>
      <c r="I3349" s="12" t="inlineStr">
        <is>
          <t>Instrumentation</t>
        </is>
      </c>
      <c r="J3349" s="12" t="inlineStr">
        <is>
          <t>Instrumentation PLTC / TC-ER 300 V, #18 twisted shielded pairs, overall shield</t>
        </is>
      </c>
      <c r="K3349" s="12" t="inlineStr">
        <is>
          <t>PLTC|24 pr|18</t>
        </is>
      </c>
      <c r="L3349" s="12" t="inlineStr">
        <is>
          <t>24 pr</t>
        </is>
      </c>
      <c r="M3349" s="12" t="inlineStr">
        <is>
          <t>18</t>
        </is>
      </c>
      <c r="N3349" s="12" t="n">
        <v>1</v>
      </c>
      <c r="O3349" s="12" t="n">
        <v>1</v>
      </c>
      <c r="P3349" s="12" t="n"/>
      <c r="Q3349" s="12" t="n"/>
      <c r="R3349" s="12" t="n"/>
      <c r="S3349" s="12" t="inlineStr">
        <is>
          <t>Tray</t>
        </is>
      </c>
      <c r="T3349" s="16" t="n">
        <v>834</v>
      </c>
      <c r="U3349" s="16" t="n">
        <v>181</v>
      </c>
      <c r="V3349" s="16">
        <f>ROUNDUP((T3349+U3349+2*'Read Me'!$B$13)*(1+'Read Me'!$B$12),-1)</f>
        <v/>
      </c>
      <c r="W3349" s="16">
        <f>V3349*N3349*O3349</f>
        <v/>
      </c>
      <c r="X3349" s="12">
        <f>IF(LEFT(I3349,2)="MV",2*N3349*IF(L3349="1/C",O3349,1),0)</f>
        <v/>
      </c>
      <c r="Y3349" s="12">
        <f>IF(OR(LEFT(K3349,4)="LVAX",LEFT(K3349,6)="MV15AX",LEFT(K3349,4)="CTAX",LEFT(K3349,2)="W|"),2*N3349*O3349,0)</f>
        <v/>
      </c>
      <c r="Z3349" s="12" t="inlineStr"/>
      <c r="AA3349" s="12">
        <f>N3349*O3349</f>
        <v/>
      </c>
    </row>
    <row r="3350">
      <c r="A3350" s="12" t="inlineStr">
        <is>
          <t>G-I-0219</t>
        </is>
      </c>
      <c r="B3350" s="12" t="inlineStr">
        <is>
          <t>G</t>
        </is>
      </c>
      <c r="C3350" s="12" t="inlineStr">
        <is>
          <t>Carbon capture</t>
        </is>
      </c>
      <c r="D3350" s="12" t="inlineStr">
        <is>
          <t>RTD to JB JB-Rich/lean pumps, c-RTD01: 10 x 1 tri (field cables)</t>
        </is>
      </c>
      <c r="E3350" s="12" t="inlineStr"/>
      <c r="F3350" s="12" t="inlineStr">
        <is>
          <t>Rich/lean pumps, cross exchanger, lean cooler A</t>
        </is>
      </c>
      <c r="G3350" s="12" t="inlineStr">
        <is>
          <t>JB-Rich/lean pumps, c-RTD01</t>
        </is>
      </c>
      <c r="H3350" s="12" t="inlineStr">
        <is>
          <t>Rich/lean pumps, cross exchanger, lean cooler A</t>
        </is>
      </c>
      <c r="I3350" s="12" t="inlineStr">
        <is>
          <t>Instrumentation</t>
        </is>
      </c>
      <c r="J3350" s="12" t="inlineStr">
        <is>
          <t>RTD cable, #18 shielded triads, PLTC</t>
        </is>
      </c>
      <c r="K3350" s="12" t="inlineStr">
        <is>
          <t>RTD|1 tri|18</t>
        </is>
      </c>
      <c r="L3350" s="12" t="inlineStr">
        <is>
          <t>1 tri</t>
        </is>
      </c>
      <c r="M3350" s="12" t="inlineStr">
        <is>
          <t>18</t>
        </is>
      </c>
      <c r="N3350" s="12" t="n">
        <v>10</v>
      </c>
      <c r="O3350" s="12" t="n">
        <v>1</v>
      </c>
      <c r="P3350" s="12" t="n"/>
      <c r="Q3350" s="12" t="n"/>
      <c r="R3350" s="12" t="n"/>
      <c r="S3350" s="12" t="inlineStr">
        <is>
          <t>Tray / conduit</t>
        </is>
      </c>
      <c r="T3350" s="16" t="n">
        <v>84</v>
      </c>
      <c r="U3350" s="16" t="n">
        <v>10</v>
      </c>
      <c r="V3350" s="16">
        <f>ROUNDUP((T3350+U3350+2*'Read Me'!$B$13)*(1+'Read Me'!$B$12),-1)</f>
        <v/>
      </c>
      <c r="W3350" s="16">
        <f>V3350*N3350*O3350</f>
        <v/>
      </c>
      <c r="X3350" s="12">
        <f>IF(LEFT(I3350,2)="MV",2*N3350*IF(L3350="1/C",O3350,1),0)</f>
        <v/>
      </c>
      <c r="Y3350" s="12">
        <f>IF(OR(LEFT(K3350,4)="LVAX",LEFT(K3350,6)="MV15AX",LEFT(K3350,4)="CTAX",LEFT(K3350,2)="W|"),2*N3350*O3350,0)</f>
        <v/>
      </c>
      <c r="Z3350" s="12" t="inlineStr">
        <is>
          <t>device-to-JB field wiring, one cable per device</t>
        </is>
      </c>
      <c r="AA3350" s="12">
        <f>N3350*O3350</f>
        <v/>
      </c>
    </row>
    <row r="3351">
      <c r="A3351" s="12" t="inlineStr">
        <is>
          <t>G-I-0220</t>
        </is>
      </c>
      <c r="B3351" s="12" t="inlineStr">
        <is>
          <t>G</t>
        </is>
      </c>
      <c r="C3351" s="12" t="inlineStr">
        <is>
          <t>Carbon capture</t>
        </is>
      </c>
      <c r="D3351" s="12" t="inlineStr">
        <is>
          <t>Home run JB-Rich/lean pumps, c-RTD01 to the control / marshalling room</t>
        </is>
      </c>
      <c r="E3351" s="12" t="inlineStr"/>
      <c r="F3351" s="12" t="inlineStr">
        <is>
          <t>CCS F&amp;G / control</t>
        </is>
      </c>
      <c r="G3351" s="12" t="inlineStr">
        <is>
          <t>JB-Rich/lean pumps, c-RTD01</t>
        </is>
      </c>
      <c r="H3351" s="12" t="inlineStr">
        <is>
          <t>Rich/lean pumps, cross exchanger, lean cooler A</t>
        </is>
      </c>
      <c r="I3351" s="12" t="inlineStr">
        <is>
          <t>Instrumentation</t>
        </is>
      </c>
      <c r="J3351" s="12" t="inlineStr">
        <is>
          <t>RTD cable, #18 shielded triads, PLTC</t>
        </is>
      </c>
      <c r="K3351" s="12" t="inlineStr">
        <is>
          <t>RTD|12 tri|18</t>
        </is>
      </c>
      <c r="L3351" s="12" t="inlineStr">
        <is>
          <t>12 tri</t>
        </is>
      </c>
      <c r="M3351" s="12" t="inlineStr">
        <is>
          <t>18</t>
        </is>
      </c>
      <c r="N3351" s="12" t="n">
        <v>1</v>
      </c>
      <c r="O3351" s="12" t="n">
        <v>1</v>
      </c>
      <c r="P3351" s="12" t="n"/>
      <c r="Q3351" s="12" t="n"/>
      <c r="R3351" s="12" t="n"/>
      <c r="S3351" s="12" t="inlineStr">
        <is>
          <t>Tray</t>
        </is>
      </c>
      <c r="T3351" s="16" t="n">
        <v>834</v>
      </c>
      <c r="U3351" s="16" t="n">
        <v>181</v>
      </c>
      <c r="V3351" s="16">
        <f>ROUNDUP((T3351+U3351+2*'Read Me'!$B$13)*(1+'Read Me'!$B$12),-1)</f>
        <v/>
      </c>
      <c r="W3351" s="16">
        <f>V3351*N3351*O3351</f>
        <v/>
      </c>
      <c r="X3351" s="12">
        <f>IF(LEFT(I3351,2)="MV",2*N3351*IF(L3351="1/C",O3351,1),0)</f>
        <v/>
      </c>
      <c r="Y3351" s="12">
        <f>IF(OR(LEFT(K3351,4)="LVAX",LEFT(K3351,6)="MV15AX",LEFT(K3351,4)="CTAX",LEFT(K3351,2)="W|"),2*N3351*O3351,0)</f>
        <v/>
      </c>
      <c r="Z3351" s="12" t="inlineStr"/>
      <c r="AA3351" s="12">
        <f>N3351*O3351</f>
        <v/>
      </c>
    </row>
    <row r="3352">
      <c r="A3352" s="12" t="inlineStr">
        <is>
          <t>G-I-0221</t>
        </is>
      </c>
      <c r="B3352" s="12" t="inlineStr">
        <is>
          <t>G</t>
        </is>
      </c>
      <c r="C3352" s="12" t="inlineStr">
        <is>
          <t>Carbon capture</t>
        </is>
      </c>
      <c r="D3352" s="12" t="inlineStr">
        <is>
          <t>RTD to JB JB-Rich/lean pumps, c-RTD02: 2 x 1 tri (field cables)</t>
        </is>
      </c>
      <c r="E3352" s="12" t="inlineStr"/>
      <c r="F3352" s="12" t="inlineStr">
        <is>
          <t>Rich/lean pumps, cross exchanger, lean cooler A</t>
        </is>
      </c>
      <c r="G3352" s="12" t="inlineStr">
        <is>
          <t>JB-Rich/lean pumps, c-RTD02</t>
        </is>
      </c>
      <c r="H3352" s="12" t="inlineStr">
        <is>
          <t>Rich/lean pumps, cross exchanger, lean cooler A</t>
        </is>
      </c>
      <c r="I3352" s="12" t="inlineStr">
        <is>
          <t>Instrumentation</t>
        </is>
      </c>
      <c r="J3352" s="12" t="inlineStr">
        <is>
          <t>RTD cable, #18 shielded triads, PLTC</t>
        </is>
      </c>
      <c r="K3352" s="12" t="inlineStr">
        <is>
          <t>RTD|1 tri|18</t>
        </is>
      </c>
      <c r="L3352" s="12" t="inlineStr">
        <is>
          <t>1 tri</t>
        </is>
      </c>
      <c r="M3352" s="12" t="inlineStr">
        <is>
          <t>18</t>
        </is>
      </c>
      <c r="N3352" s="12" t="n">
        <v>2</v>
      </c>
      <c r="O3352" s="12" t="n">
        <v>1</v>
      </c>
      <c r="P3352" s="12" t="n"/>
      <c r="Q3352" s="12" t="n"/>
      <c r="R3352" s="12" t="n"/>
      <c r="S3352" s="12" t="inlineStr">
        <is>
          <t>Tray / conduit</t>
        </is>
      </c>
      <c r="T3352" s="16" t="n">
        <v>84</v>
      </c>
      <c r="U3352" s="16" t="n">
        <v>10</v>
      </c>
      <c r="V3352" s="16">
        <f>ROUNDUP((T3352+U3352+2*'Read Me'!$B$13)*(1+'Read Me'!$B$12),-1)</f>
        <v/>
      </c>
      <c r="W3352" s="16">
        <f>V3352*N3352*O3352</f>
        <v/>
      </c>
      <c r="X3352" s="12">
        <f>IF(LEFT(I3352,2)="MV",2*N3352*IF(L3352="1/C",O3352,1),0)</f>
        <v/>
      </c>
      <c r="Y3352" s="12">
        <f>IF(OR(LEFT(K3352,4)="LVAX",LEFT(K3352,6)="MV15AX",LEFT(K3352,4)="CTAX",LEFT(K3352,2)="W|"),2*N3352*O3352,0)</f>
        <v/>
      </c>
      <c r="Z3352" s="12" t="inlineStr">
        <is>
          <t>device-to-JB field wiring, one cable per device</t>
        </is>
      </c>
      <c r="AA3352" s="12">
        <f>N3352*O3352</f>
        <v/>
      </c>
    </row>
    <row r="3353">
      <c r="A3353" s="12" t="inlineStr">
        <is>
          <t>G-I-0222</t>
        </is>
      </c>
      <c r="B3353" s="12" t="inlineStr">
        <is>
          <t>G</t>
        </is>
      </c>
      <c r="C3353" s="12" t="inlineStr">
        <is>
          <t>Carbon capture</t>
        </is>
      </c>
      <c r="D3353" s="12" t="inlineStr">
        <is>
          <t>Home run JB-Rich/lean pumps, c-RTD02 to the control / marshalling room</t>
        </is>
      </c>
      <c r="E3353" s="12" t="inlineStr"/>
      <c r="F3353" s="12" t="inlineStr">
        <is>
          <t>CCS F&amp;G / control</t>
        </is>
      </c>
      <c r="G3353" s="12" t="inlineStr">
        <is>
          <t>JB-Rich/lean pumps, c-RTD02</t>
        </is>
      </c>
      <c r="H3353" s="12" t="inlineStr">
        <is>
          <t>Rich/lean pumps, cross exchanger, lean cooler A</t>
        </is>
      </c>
      <c r="I3353" s="12" t="inlineStr">
        <is>
          <t>Instrumentation</t>
        </is>
      </c>
      <c r="J3353" s="12" t="inlineStr">
        <is>
          <t>RTD cable, #18 shielded triads, PLTC</t>
        </is>
      </c>
      <c r="K3353" s="12" t="inlineStr">
        <is>
          <t>RTD|12 tri|18</t>
        </is>
      </c>
      <c r="L3353" s="12" t="inlineStr">
        <is>
          <t>12 tri</t>
        </is>
      </c>
      <c r="M3353" s="12" t="inlineStr">
        <is>
          <t>18</t>
        </is>
      </c>
      <c r="N3353" s="12" t="n">
        <v>1</v>
      </c>
      <c r="O3353" s="12" t="n">
        <v>1</v>
      </c>
      <c r="P3353" s="12" t="n"/>
      <c r="Q3353" s="12" t="n"/>
      <c r="R3353" s="12" t="n"/>
      <c r="S3353" s="12" t="inlineStr">
        <is>
          <t>Tray</t>
        </is>
      </c>
      <c r="T3353" s="16" t="n">
        <v>834</v>
      </c>
      <c r="U3353" s="16" t="n">
        <v>181</v>
      </c>
      <c r="V3353" s="16">
        <f>ROUNDUP((T3353+U3353+2*'Read Me'!$B$13)*(1+'Read Me'!$B$12),-1)</f>
        <v/>
      </c>
      <c r="W3353" s="16">
        <f>V3353*N3353*O3353</f>
        <v/>
      </c>
      <c r="X3353" s="12">
        <f>IF(LEFT(I3353,2)="MV",2*N3353*IF(L3353="1/C",O3353,1),0)</f>
        <v/>
      </c>
      <c r="Y3353" s="12">
        <f>IF(OR(LEFT(K3353,4)="LVAX",LEFT(K3353,6)="MV15AX",LEFT(K3353,4)="CTAX",LEFT(K3353,2)="W|"),2*N3353*O3353,0)</f>
        <v/>
      </c>
      <c r="Z3353" s="12" t="inlineStr"/>
      <c r="AA3353" s="12">
        <f>N3353*O3353</f>
        <v/>
      </c>
    </row>
    <row r="3354">
      <c r="A3354" s="12" t="inlineStr">
        <is>
          <t>G-I-0223</t>
        </is>
      </c>
      <c r="B3354" s="12" t="inlineStr">
        <is>
          <t>G</t>
        </is>
      </c>
      <c r="C3354" s="12" t="inlineStr">
        <is>
          <t>Carbon capture</t>
        </is>
      </c>
      <c r="D3354" s="12" t="inlineStr">
        <is>
          <t>Analog instrument to JB JB-Rich/lean pumps, c-AI01: 20 x 1 pr (field cables)</t>
        </is>
      </c>
      <c r="E3354" s="12" t="inlineStr"/>
      <c r="F3354" s="12" t="inlineStr">
        <is>
          <t>Rich/lean pumps, cross exchanger, lean cooler B</t>
        </is>
      </c>
      <c r="G3354" s="12" t="inlineStr">
        <is>
          <t>JB-Rich/lean pumps, c-AI01</t>
        </is>
      </c>
      <c r="H3354" s="12" t="inlineStr">
        <is>
          <t>Rich/lean pumps, cross exchanger, lean cooler B</t>
        </is>
      </c>
      <c r="I3354" s="12" t="inlineStr">
        <is>
          <t>Instrumentation</t>
        </is>
      </c>
      <c r="J3354" s="12" t="inlineStr">
        <is>
          <t>Instrumentation PLTC / TC-ER 300 V, #18 twisted shielded pairs, overall shield</t>
        </is>
      </c>
      <c r="K3354" s="12" t="inlineStr">
        <is>
          <t>PLTC|1 pr|16</t>
        </is>
      </c>
      <c r="L3354" s="12" t="inlineStr">
        <is>
          <t>1 pr</t>
        </is>
      </c>
      <c r="M3354" s="12" t="inlineStr">
        <is>
          <t>16</t>
        </is>
      </c>
      <c r="N3354" s="12" t="n">
        <v>20</v>
      </c>
      <c r="O3354" s="12" t="n">
        <v>1</v>
      </c>
      <c r="P3354" s="12" t="n"/>
      <c r="Q3354" s="12" t="n"/>
      <c r="R3354" s="12" t="n"/>
      <c r="S3354" s="12" t="inlineStr">
        <is>
          <t>Tray / conduit</t>
        </is>
      </c>
      <c r="T3354" s="16" t="n">
        <v>84</v>
      </c>
      <c r="U3354" s="16" t="n">
        <v>10</v>
      </c>
      <c r="V3354" s="16">
        <f>ROUNDUP((T3354+U3354+2*'Read Me'!$B$13)*(1+'Read Me'!$B$12),-1)</f>
        <v/>
      </c>
      <c r="W3354" s="16">
        <f>V3354*N3354*O3354</f>
        <v/>
      </c>
      <c r="X3354" s="12">
        <f>IF(LEFT(I3354,2)="MV",2*N3354*IF(L3354="1/C",O3354,1),0)</f>
        <v/>
      </c>
      <c r="Y3354" s="12">
        <f>IF(OR(LEFT(K3354,4)="LVAX",LEFT(K3354,6)="MV15AX",LEFT(K3354,4)="CTAX",LEFT(K3354,2)="W|"),2*N3354*O3354,0)</f>
        <v/>
      </c>
      <c r="Z3354" s="12" t="inlineStr">
        <is>
          <t>device-to-JB field wiring, one cable per device</t>
        </is>
      </c>
      <c r="AA3354" s="12">
        <f>N3354*O3354</f>
        <v/>
      </c>
    </row>
    <row r="3355">
      <c r="A3355" s="12" t="inlineStr">
        <is>
          <t>G-I-0224</t>
        </is>
      </c>
      <c r="B3355" s="12" t="inlineStr">
        <is>
          <t>G</t>
        </is>
      </c>
      <c r="C3355" s="12" t="inlineStr">
        <is>
          <t>Carbon capture</t>
        </is>
      </c>
      <c r="D3355" s="12" t="inlineStr">
        <is>
          <t>Home run JB-Rich/lean pumps, c-AI01 to the control / marshalling room</t>
        </is>
      </c>
      <c r="E3355" s="12" t="inlineStr"/>
      <c r="F3355" s="12" t="inlineStr">
        <is>
          <t>CCS F&amp;G / control</t>
        </is>
      </c>
      <c r="G3355" s="12" t="inlineStr">
        <is>
          <t>JB-Rich/lean pumps, c-AI01</t>
        </is>
      </c>
      <c r="H3355" s="12" t="inlineStr">
        <is>
          <t>Rich/lean pumps, cross exchanger, lean cooler B</t>
        </is>
      </c>
      <c r="I3355" s="12" t="inlineStr">
        <is>
          <t>Instrumentation</t>
        </is>
      </c>
      <c r="J3355" s="12" t="inlineStr">
        <is>
          <t>Instrumentation PLTC / TC-ER 300 V, #18 twisted shielded pairs, overall shield</t>
        </is>
      </c>
      <c r="K3355" s="12" t="inlineStr">
        <is>
          <t>PLTC|24 pr|18</t>
        </is>
      </c>
      <c r="L3355" s="12" t="inlineStr">
        <is>
          <t>24 pr</t>
        </is>
      </c>
      <c r="M3355" s="12" t="inlineStr">
        <is>
          <t>18</t>
        </is>
      </c>
      <c r="N3355" s="12" t="n">
        <v>1</v>
      </c>
      <c r="O3355" s="12" t="n">
        <v>1</v>
      </c>
      <c r="P3355" s="12" t="n"/>
      <c r="Q3355" s="12" t="n"/>
      <c r="R3355" s="12" t="n"/>
      <c r="S3355" s="12" t="inlineStr">
        <is>
          <t>Duct bank</t>
        </is>
      </c>
      <c r="T3355" s="16" t="n">
        <v>674</v>
      </c>
      <c r="U3355" s="16" t="n">
        <v>181</v>
      </c>
      <c r="V3355" s="16">
        <f>ROUNDUP((T3355+U3355+2*'Read Me'!$B$13)*(1+'Read Me'!$B$12),-1)</f>
        <v/>
      </c>
      <c r="W3355" s="16">
        <f>V3355*N3355*O3355</f>
        <v/>
      </c>
      <c r="X3355" s="12">
        <f>IF(LEFT(I3355,2)="MV",2*N3355*IF(L3355="1/C",O3355,1),0)</f>
        <v/>
      </c>
      <c r="Y3355" s="12">
        <f>IF(OR(LEFT(K3355,4)="LVAX",LEFT(K3355,6)="MV15AX",LEFT(K3355,4)="CTAX",LEFT(K3355,2)="W|"),2*N3355*O3355,0)</f>
        <v/>
      </c>
      <c r="Z3355" s="12" t="inlineStr"/>
      <c r="AA3355" s="12">
        <f>N3355*O3355</f>
        <v/>
      </c>
    </row>
    <row r="3356">
      <c r="A3356" s="12" t="inlineStr">
        <is>
          <t>G-I-0225</t>
        </is>
      </c>
      <c r="B3356" s="12" t="inlineStr">
        <is>
          <t>G</t>
        </is>
      </c>
      <c r="C3356" s="12" t="inlineStr">
        <is>
          <t>Carbon capture</t>
        </is>
      </c>
      <c r="D3356" s="12" t="inlineStr">
        <is>
          <t>Discrete device to JB JB-Rich/lean pumps, c-DI01: 20 x 1 pr (field cables)</t>
        </is>
      </c>
      <c r="E3356" s="12" t="inlineStr"/>
      <c r="F3356" s="12" t="inlineStr">
        <is>
          <t>Rich/lean pumps, cross exchanger, lean cooler B</t>
        </is>
      </c>
      <c r="G3356" s="12" t="inlineStr">
        <is>
          <t>JB-Rich/lean pumps, c-DI01</t>
        </is>
      </c>
      <c r="H3356" s="12" t="inlineStr">
        <is>
          <t>Rich/lean pumps, cross exchanger, lean cooler B</t>
        </is>
      </c>
      <c r="I3356" s="12" t="inlineStr">
        <is>
          <t>Instrumentation</t>
        </is>
      </c>
      <c r="J3356" s="12" t="inlineStr">
        <is>
          <t>Instrumentation PLTC / TC-ER 300 V, #18 twisted shielded pairs, overall shield</t>
        </is>
      </c>
      <c r="K3356" s="12" t="inlineStr">
        <is>
          <t>PLTC|1 pr|16</t>
        </is>
      </c>
      <c r="L3356" s="12" t="inlineStr">
        <is>
          <t>1 pr</t>
        </is>
      </c>
      <c r="M3356" s="12" t="inlineStr">
        <is>
          <t>16</t>
        </is>
      </c>
      <c r="N3356" s="12" t="n">
        <v>20</v>
      </c>
      <c r="O3356" s="12" t="n">
        <v>1</v>
      </c>
      <c r="P3356" s="12" t="n"/>
      <c r="Q3356" s="12" t="n"/>
      <c r="R3356" s="12" t="n"/>
      <c r="S3356" s="12" t="inlineStr">
        <is>
          <t>Tray / conduit</t>
        </is>
      </c>
      <c r="T3356" s="16" t="n">
        <v>84</v>
      </c>
      <c r="U3356" s="16" t="n">
        <v>10</v>
      </c>
      <c r="V3356" s="16">
        <f>ROUNDUP((T3356+U3356+2*'Read Me'!$B$13)*(1+'Read Me'!$B$12),-1)</f>
        <v/>
      </c>
      <c r="W3356" s="16">
        <f>V3356*N3356*O3356</f>
        <v/>
      </c>
      <c r="X3356" s="12">
        <f>IF(LEFT(I3356,2)="MV",2*N3356*IF(L3356="1/C",O3356,1),0)</f>
        <v/>
      </c>
      <c r="Y3356" s="12">
        <f>IF(OR(LEFT(K3356,4)="LVAX",LEFT(K3356,6)="MV15AX",LEFT(K3356,4)="CTAX",LEFT(K3356,2)="W|"),2*N3356*O3356,0)</f>
        <v/>
      </c>
      <c r="Z3356" s="12" t="inlineStr">
        <is>
          <t>device-to-JB field wiring, one cable per device</t>
        </is>
      </c>
      <c r="AA3356" s="12">
        <f>N3356*O3356</f>
        <v/>
      </c>
    </row>
    <row r="3357">
      <c r="A3357" s="12" t="inlineStr">
        <is>
          <t>G-I-0226</t>
        </is>
      </c>
      <c r="B3357" s="12" t="inlineStr">
        <is>
          <t>G</t>
        </is>
      </c>
      <c r="C3357" s="12" t="inlineStr">
        <is>
          <t>Carbon capture</t>
        </is>
      </c>
      <c r="D3357" s="12" t="inlineStr">
        <is>
          <t>Home run JB-Rich/lean pumps, c-DI01 to the control / marshalling room</t>
        </is>
      </c>
      <c r="E3357" s="12" t="inlineStr"/>
      <c r="F3357" s="12" t="inlineStr">
        <is>
          <t>CCS F&amp;G / control</t>
        </is>
      </c>
      <c r="G3357" s="12" t="inlineStr">
        <is>
          <t>JB-Rich/lean pumps, c-DI01</t>
        </is>
      </c>
      <c r="H3357" s="12" t="inlineStr">
        <is>
          <t>Rich/lean pumps, cross exchanger, lean cooler B</t>
        </is>
      </c>
      <c r="I3357" s="12" t="inlineStr">
        <is>
          <t>Instrumentation</t>
        </is>
      </c>
      <c r="J3357" s="12" t="inlineStr">
        <is>
          <t>Instrumentation PLTC / TC-ER 300 V, #18 twisted shielded pairs, overall shield</t>
        </is>
      </c>
      <c r="K3357" s="12" t="inlineStr">
        <is>
          <t>PLTC|24 pr|18</t>
        </is>
      </c>
      <c r="L3357" s="12" t="inlineStr">
        <is>
          <t>24 pr</t>
        </is>
      </c>
      <c r="M3357" s="12" t="inlineStr">
        <is>
          <t>18</t>
        </is>
      </c>
      <c r="N3357" s="12" t="n">
        <v>1</v>
      </c>
      <c r="O3357" s="12" t="n">
        <v>1</v>
      </c>
      <c r="P3357" s="12" t="n"/>
      <c r="Q3357" s="12" t="n"/>
      <c r="R3357" s="12" t="n"/>
      <c r="S3357" s="12" t="inlineStr">
        <is>
          <t>Duct bank</t>
        </is>
      </c>
      <c r="T3357" s="16" t="n">
        <v>674</v>
      </c>
      <c r="U3357" s="16" t="n">
        <v>181</v>
      </c>
      <c r="V3357" s="16">
        <f>ROUNDUP((T3357+U3357+2*'Read Me'!$B$13)*(1+'Read Me'!$B$12),-1)</f>
        <v/>
      </c>
      <c r="W3357" s="16">
        <f>V3357*N3357*O3357</f>
        <v/>
      </c>
      <c r="X3357" s="12">
        <f>IF(LEFT(I3357,2)="MV",2*N3357*IF(L3357="1/C",O3357,1),0)</f>
        <v/>
      </c>
      <c r="Y3357" s="12">
        <f>IF(OR(LEFT(K3357,4)="LVAX",LEFT(K3357,6)="MV15AX",LEFT(K3357,4)="CTAX",LEFT(K3357,2)="W|"),2*N3357*O3357,0)</f>
        <v/>
      </c>
      <c r="Z3357" s="12" t="inlineStr"/>
      <c r="AA3357" s="12">
        <f>N3357*O3357</f>
        <v/>
      </c>
    </row>
    <row r="3358">
      <c r="A3358" s="12" t="inlineStr">
        <is>
          <t>G-I-0227</t>
        </is>
      </c>
      <c r="B3358" s="12" t="inlineStr">
        <is>
          <t>G</t>
        </is>
      </c>
      <c r="C3358" s="12" t="inlineStr">
        <is>
          <t>Carbon capture</t>
        </is>
      </c>
      <c r="D3358" s="12" t="inlineStr">
        <is>
          <t>RTD to JB JB-Rich/lean pumps, c-RTD01: 10 x 1 tri (field cables)</t>
        </is>
      </c>
      <c r="E3358" s="12" t="inlineStr"/>
      <c r="F3358" s="12" t="inlineStr">
        <is>
          <t>Rich/lean pumps, cross exchanger, lean cooler B</t>
        </is>
      </c>
      <c r="G3358" s="12" t="inlineStr">
        <is>
          <t>JB-Rich/lean pumps, c-RTD01</t>
        </is>
      </c>
      <c r="H3358" s="12" t="inlineStr">
        <is>
          <t>Rich/lean pumps, cross exchanger, lean cooler B</t>
        </is>
      </c>
      <c r="I3358" s="12" t="inlineStr">
        <is>
          <t>Instrumentation</t>
        </is>
      </c>
      <c r="J3358" s="12" t="inlineStr">
        <is>
          <t>RTD cable, #18 shielded triads, PLTC</t>
        </is>
      </c>
      <c r="K3358" s="12" t="inlineStr">
        <is>
          <t>RTD|1 tri|18</t>
        </is>
      </c>
      <c r="L3358" s="12" t="inlineStr">
        <is>
          <t>1 tri</t>
        </is>
      </c>
      <c r="M3358" s="12" t="inlineStr">
        <is>
          <t>18</t>
        </is>
      </c>
      <c r="N3358" s="12" t="n">
        <v>10</v>
      </c>
      <c r="O3358" s="12" t="n">
        <v>1</v>
      </c>
      <c r="P3358" s="12" t="n"/>
      <c r="Q3358" s="12" t="n"/>
      <c r="R3358" s="12" t="n"/>
      <c r="S3358" s="12" t="inlineStr">
        <is>
          <t>Tray / conduit</t>
        </is>
      </c>
      <c r="T3358" s="16" t="n">
        <v>84</v>
      </c>
      <c r="U3358" s="16" t="n">
        <v>10</v>
      </c>
      <c r="V3358" s="16">
        <f>ROUNDUP((T3358+U3358+2*'Read Me'!$B$13)*(1+'Read Me'!$B$12),-1)</f>
        <v/>
      </c>
      <c r="W3358" s="16">
        <f>V3358*N3358*O3358</f>
        <v/>
      </c>
      <c r="X3358" s="12">
        <f>IF(LEFT(I3358,2)="MV",2*N3358*IF(L3358="1/C",O3358,1),0)</f>
        <v/>
      </c>
      <c r="Y3358" s="12">
        <f>IF(OR(LEFT(K3358,4)="LVAX",LEFT(K3358,6)="MV15AX",LEFT(K3358,4)="CTAX",LEFT(K3358,2)="W|"),2*N3358*O3358,0)</f>
        <v/>
      </c>
      <c r="Z3358" s="12" t="inlineStr">
        <is>
          <t>device-to-JB field wiring, one cable per device</t>
        </is>
      </c>
      <c r="AA3358" s="12">
        <f>N3358*O3358</f>
        <v/>
      </c>
    </row>
    <row r="3359">
      <c r="A3359" s="12" t="inlineStr">
        <is>
          <t>G-I-0228</t>
        </is>
      </c>
      <c r="B3359" s="12" t="inlineStr">
        <is>
          <t>G</t>
        </is>
      </c>
      <c r="C3359" s="12" t="inlineStr">
        <is>
          <t>Carbon capture</t>
        </is>
      </c>
      <c r="D3359" s="12" t="inlineStr">
        <is>
          <t>Home run JB-Rich/lean pumps, c-RTD01 to the control / marshalling room</t>
        </is>
      </c>
      <c r="E3359" s="12" t="inlineStr"/>
      <c r="F3359" s="12" t="inlineStr">
        <is>
          <t>CCS F&amp;G / control</t>
        </is>
      </c>
      <c r="G3359" s="12" t="inlineStr">
        <is>
          <t>JB-Rich/lean pumps, c-RTD01</t>
        </is>
      </c>
      <c r="H3359" s="12" t="inlineStr">
        <is>
          <t>Rich/lean pumps, cross exchanger, lean cooler B</t>
        </is>
      </c>
      <c r="I3359" s="12" t="inlineStr">
        <is>
          <t>Instrumentation</t>
        </is>
      </c>
      <c r="J3359" s="12" t="inlineStr">
        <is>
          <t>RTD cable, #18 shielded triads, PLTC</t>
        </is>
      </c>
      <c r="K3359" s="12" t="inlineStr">
        <is>
          <t>RTD|12 tri|18</t>
        </is>
      </c>
      <c r="L3359" s="12" t="inlineStr">
        <is>
          <t>12 tri</t>
        </is>
      </c>
      <c r="M3359" s="12" t="inlineStr">
        <is>
          <t>18</t>
        </is>
      </c>
      <c r="N3359" s="12" t="n">
        <v>1</v>
      </c>
      <c r="O3359" s="12" t="n">
        <v>1</v>
      </c>
      <c r="P3359" s="12" t="n"/>
      <c r="Q3359" s="12" t="n"/>
      <c r="R3359" s="12" t="n"/>
      <c r="S3359" s="12" t="inlineStr">
        <is>
          <t>Duct bank</t>
        </is>
      </c>
      <c r="T3359" s="16" t="n">
        <v>674</v>
      </c>
      <c r="U3359" s="16" t="n">
        <v>181</v>
      </c>
      <c r="V3359" s="16">
        <f>ROUNDUP((T3359+U3359+2*'Read Me'!$B$13)*(1+'Read Me'!$B$12),-1)</f>
        <v/>
      </c>
      <c r="W3359" s="16">
        <f>V3359*N3359*O3359</f>
        <v/>
      </c>
      <c r="X3359" s="12">
        <f>IF(LEFT(I3359,2)="MV",2*N3359*IF(L3359="1/C",O3359,1),0)</f>
        <v/>
      </c>
      <c r="Y3359" s="12">
        <f>IF(OR(LEFT(K3359,4)="LVAX",LEFT(K3359,6)="MV15AX",LEFT(K3359,4)="CTAX",LEFT(K3359,2)="W|"),2*N3359*O3359,0)</f>
        <v/>
      </c>
      <c r="Z3359" s="12" t="inlineStr"/>
      <c r="AA3359" s="12">
        <f>N3359*O3359</f>
        <v/>
      </c>
    </row>
    <row r="3360">
      <c r="A3360" s="12" t="inlineStr">
        <is>
          <t>G-I-0229</t>
        </is>
      </c>
      <c r="B3360" s="12" t="inlineStr">
        <is>
          <t>G</t>
        </is>
      </c>
      <c r="C3360" s="12" t="inlineStr">
        <is>
          <t>Carbon capture</t>
        </is>
      </c>
      <c r="D3360" s="12" t="inlineStr">
        <is>
          <t>RTD to JB JB-Rich/lean pumps, c-RTD02: 2 x 1 tri (field cables)</t>
        </is>
      </c>
      <c r="E3360" s="12" t="inlineStr"/>
      <c r="F3360" s="12" t="inlineStr">
        <is>
          <t>Rich/lean pumps, cross exchanger, lean cooler B</t>
        </is>
      </c>
      <c r="G3360" s="12" t="inlineStr">
        <is>
          <t>JB-Rich/lean pumps, c-RTD02</t>
        </is>
      </c>
      <c r="H3360" s="12" t="inlineStr">
        <is>
          <t>Rich/lean pumps, cross exchanger, lean cooler B</t>
        </is>
      </c>
      <c r="I3360" s="12" t="inlineStr">
        <is>
          <t>Instrumentation</t>
        </is>
      </c>
      <c r="J3360" s="12" t="inlineStr">
        <is>
          <t>RTD cable, #18 shielded triads, PLTC</t>
        </is>
      </c>
      <c r="K3360" s="12" t="inlineStr">
        <is>
          <t>RTD|1 tri|18</t>
        </is>
      </c>
      <c r="L3360" s="12" t="inlineStr">
        <is>
          <t>1 tri</t>
        </is>
      </c>
      <c r="M3360" s="12" t="inlineStr">
        <is>
          <t>18</t>
        </is>
      </c>
      <c r="N3360" s="12" t="n">
        <v>2</v>
      </c>
      <c r="O3360" s="12" t="n">
        <v>1</v>
      </c>
      <c r="P3360" s="12" t="n"/>
      <c r="Q3360" s="12" t="n"/>
      <c r="R3360" s="12" t="n"/>
      <c r="S3360" s="12" t="inlineStr">
        <is>
          <t>Tray / conduit</t>
        </is>
      </c>
      <c r="T3360" s="16" t="n">
        <v>84</v>
      </c>
      <c r="U3360" s="16" t="n">
        <v>10</v>
      </c>
      <c r="V3360" s="16">
        <f>ROUNDUP((T3360+U3360+2*'Read Me'!$B$13)*(1+'Read Me'!$B$12),-1)</f>
        <v/>
      </c>
      <c r="W3360" s="16">
        <f>V3360*N3360*O3360</f>
        <v/>
      </c>
      <c r="X3360" s="12">
        <f>IF(LEFT(I3360,2)="MV",2*N3360*IF(L3360="1/C",O3360,1),0)</f>
        <v/>
      </c>
      <c r="Y3360" s="12">
        <f>IF(OR(LEFT(K3360,4)="LVAX",LEFT(K3360,6)="MV15AX",LEFT(K3360,4)="CTAX",LEFT(K3360,2)="W|"),2*N3360*O3360,0)</f>
        <v/>
      </c>
      <c r="Z3360" s="12" t="inlineStr">
        <is>
          <t>device-to-JB field wiring, one cable per device</t>
        </is>
      </c>
      <c r="AA3360" s="12">
        <f>N3360*O3360</f>
        <v/>
      </c>
    </row>
    <row r="3361">
      <c r="A3361" s="12" t="inlineStr">
        <is>
          <t>G-I-0230</t>
        </is>
      </c>
      <c r="B3361" s="12" t="inlineStr">
        <is>
          <t>G</t>
        </is>
      </c>
      <c r="C3361" s="12" t="inlineStr">
        <is>
          <t>Carbon capture</t>
        </is>
      </c>
      <c r="D3361" s="12" t="inlineStr">
        <is>
          <t>Home run JB-Rich/lean pumps, c-RTD02 to the control / marshalling room</t>
        </is>
      </c>
      <c r="E3361" s="12" t="inlineStr"/>
      <c r="F3361" s="12" t="inlineStr">
        <is>
          <t>CCS F&amp;G / control</t>
        </is>
      </c>
      <c r="G3361" s="12" t="inlineStr">
        <is>
          <t>JB-Rich/lean pumps, c-RTD02</t>
        </is>
      </c>
      <c r="H3361" s="12" t="inlineStr">
        <is>
          <t>Rich/lean pumps, cross exchanger, lean cooler B</t>
        </is>
      </c>
      <c r="I3361" s="12" t="inlineStr">
        <is>
          <t>Instrumentation</t>
        </is>
      </c>
      <c r="J3361" s="12" t="inlineStr">
        <is>
          <t>RTD cable, #18 shielded triads, PLTC</t>
        </is>
      </c>
      <c r="K3361" s="12" t="inlineStr">
        <is>
          <t>RTD|12 tri|18</t>
        </is>
      </c>
      <c r="L3361" s="12" t="inlineStr">
        <is>
          <t>12 tri</t>
        </is>
      </c>
      <c r="M3361" s="12" t="inlineStr">
        <is>
          <t>18</t>
        </is>
      </c>
      <c r="N3361" s="12" t="n">
        <v>1</v>
      </c>
      <c r="O3361" s="12" t="n">
        <v>1</v>
      </c>
      <c r="P3361" s="12" t="n"/>
      <c r="Q3361" s="12" t="n"/>
      <c r="R3361" s="12" t="n"/>
      <c r="S3361" s="12" t="inlineStr">
        <is>
          <t>Duct bank</t>
        </is>
      </c>
      <c r="T3361" s="16" t="n">
        <v>674</v>
      </c>
      <c r="U3361" s="16" t="n">
        <v>181</v>
      </c>
      <c r="V3361" s="16">
        <f>ROUNDUP((T3361+U3361+2*'Read Me'!$B$13)*(1+'Read Me'!$B$12),-1)</f>
        <v/>
      </c>
      <c r="W3361" s="16">
        <f>V3361*N3361*O3361</f>
        <v/>
      </c>
      <c r="X3361" s="12">
        <f>IF(LEFT(I3361,2)="MV",2*N3361*IF(L3361="1/C",O3361,1),0)</f>
        <v/>
      </c>
      <c r="Y3361" s="12">
        <f>IF(OR(LEFT(K3361,4)="LVAX",LEFT(K3361,6)="MV15AX",LEFT(K3361,4)="CTAX",LEFT(K3361,2)="W|"),2*N3361*O3361,0)</f>
        <v/>
      </c>
      <c r="Z3361" s="12" t="inlineStr"/>
      <c r="AA3361" s="12">
        <f>N3361*O3361</f>
        <v/>
      </c>
    </row>
    <row r="3362">
      <c r="A3362" s="12" t="inlineStr">
        <is>
          <t>G-I-0231</t>
        </is>
      </c>
      <c r="B3362" s="12" t="inlineStr">
        <is>
          <t>G</t>
        </is>
      </c>
      <c r="C3362" s="12" t="inlineStr">
        <is>
          <t>Carbon capture</t>
        </is>
      </c>
      <c r="D3362" s="12" t="inlineStr">
        <is>
          <t>Analog instrument to JB JB-Rich/lean pumps, c-AI01: 20 x 1 pr (field cables)</t>
        </is>
      </c>
      <c r="E3362" s="12" t="inlineStr"/>
      <c r="F3362" s="12" t="inlineStr">
        <is>
          <t>Rich/lean pumps, cross exchanger, lean cooler C</t>
        </is>
      </c>
      <c r="G3362" s="12" t="inlineStr">
        <is>
          <t>JB-Rich/lean pumps, c-AI01</t>
        </is>
      </c>
      <c r="H3362" s="12" t="inlineStr">
        <is>
          <t>Rich/lean pumps, cross exchanger, lean cooler C</t>
        </is>
      </c>
      <c r="I3362" s="12" t="inlineStr">
        <is>
          <t>Instrumentation</t>
        </is>
      </c>
      <c r="J3362" s="12" t="inlineStr">
        <is>
          <t>Instrumentation PLTC / TC-ER 300 V, #18 twisted shielded pairs, overall shield</t>
        </is>
      </c>
      <c r="K3362" s="12" t="inlineStr">
        <is>
          <t>PLTC|1 pr|16</t>
        </is>
      </c>
      <c r="L3362" s="12" t="inlineStr">
        <is>
          <t>1 pr</t>
        </is>
      </c>
      <c r="M3362" s="12" t="inlineStr">
        <is>
          <t>16</t>
        </is>
      </c>
      <c r="N3362" s="12" t="n">
        <v>20</v>
      </c>
      <c r="O3362" s="12" t="n">
        <v>1</v>
      </c>
      <c r="P3362" s="12" t="n"/>
      <c r="Q3362" s="12" t="n"/>
      <c r="R3362" s="12" t="n"/>
      <c r="S3362" s="12" t="inlineStr">
        <is>
          <t>Tray / conduit</t>
        </is>
      </c>
      <c r="T3362" s="16" t="n">
        <v>84</v>
      </c>
      <c r="U3362" s="16" t="n">
        <v>10</v>
      </c>
      <c r="V3362" s="16">
        <f>ROUNDUP((T3362+U3362+2*'Read Me'!$B$13)*(1+'Read Me'!$B$12),-1)</f>
        <v/>
      </c>
      <c r="W3362" s="16">
        <f>V3362*N3362*O3362</f>
        <v/>
      </c>
      <c r="X3362" s="12">
        <f>IF(LEFT(I3362,2)="MV",2*N3362*IF(L3362="1/C",O3362,1),0)</f>
        <v/>
      </c>
      <c r="Y3362" s="12">
        <f>IF(OR(LEFT(K3362,4)="LVAX",LEFT(K3362,6)="MV15AX",LEFT(K3362,4)="CTAX",LEFT(K3362,2)="W|"),2*N3362*O3362,0)</f>
        <v/>
      </c>
      <c r="Z3362" s="12" t="inlineStr">
        <is>
          <t>device-to-JB field wiring, one cable per device</t>
        </is>
      </c>
      <c r="AA3362" s="12">
        <f>N3362*O3362</f>
        <v/>
      </c>
    </row>
    <row r="3363">
      <c r="A3363" s="12" t="inlineStr">
        <is>
          <t>G-I-0232</t>
        </is>
      </c>
      <c r="B3363" s="12" t="inlineStr">
        <is>
          <t>G</t>
        </is>
      </c>
      <c r="C3363" s="12" t="inlineStr">
        <is>
          <t>Carbon capture</t>
        </is>
      </c>
      <c r="D3363" s="12" t="inlineStr">
        <is>
          <t>Home run JB-Rich/lean pumps, c-AI01 to the control / marshalling room</t>
        </is>
      </c>
      <c r="E3363" s="12" t="inlineStr"/>
      <c r="F3363" s="12" t="inlineStr">
        <is>
          <t>CCS F&amp;G / control</t>
        </is>
      </c>
      <c r="G3363" s="12" t="inlineStr">
        <is>
          <t>JB-Rich/lean pumps, c-AI01</t>
        </is>
      </c>
      <c r="H3363" s="12" t="inlineStr">
        <is>
          <t>Rich/lean pumps, cross exchanger, lean cooler C</t>
        </is>
      </c>
      <c r="I3363" s="12" t="inlineStr">
        <is>
          <t>Instrumentation</t>
        </is>
      </c>
      <c r="J3363" s="12" t="inlineStr">
        <is>
          <t>Instrumentation PLTC / TC-ER 300 V, #18 twisted shielded pairs, overall shield</t>
        </is>
      </c>
      <c r="K3363" s="12" t="inlineStr">
        <is>
          <t>PLTC|24 pr|18</t>
        </is>
      </c>
      <c r="L3363" s="12" t="inlineStr">
        <is>
          <t>24 pr</t>
        </is>
      </c>
      <c r="M3363" s="12" t="inlineStr">
        <is>
          <t>18</t>
        </is>
      </c>
      <c r="N3363" s="12" t="n">
        <v>1</v>
      </c>
      <c r="O3363" s="12" t="n">
        <v>1</v>
      </c>
      <c r="P3363" s="12" t="n"/>
      <c r="Q3363" s="12" t="n"/>
      <c r="R3363" s="12" t="n"/>
      <c r="S3363" s="12" t="inlineStr">
        <is>
          <t>Duct bank</t>
        </is>
      </c>
      <c r="T3363" s="16" t="n">
        <v>299</v>
      </c>
      <c r="U3363" s="16" t="n">
        <v>138</v>
      </c>
      <c r="V3363" s="16">
        <f>ROUNDUP((T3363+U3363+2*'Read Me'!$B$13)*(1+'Read Me'!$B$12),-1)</f>
        <v/>
      </c>
      <c r="W3363" s="16">
        <f>V3363*N3363*O3363</f>
        <v/>
      </c>
      <c r="X3363" s="12">
        <f>IF(LEFT(I3363,2)="MV",2*N3363*IF(L3363="1/C",O3363,1),0)</f>
        <v/>
      </c>
      <c r="Y3363" s="12">
        <f>IF(OR(LEFT(K3363,4)="LVAX",LEFT(K3363,6)="MV15AX",LEFT(K3363,4)="CTAX",LEFT(K3363,2)="W|"),2*N3363*O3363,0)</f>
        <v/>
      </c>
      <c r="Z3363" s="12" t="inlineStr"/>
      <c r="AA3363" s="12">
        <f>N3363*O3363</f>
        <v/>
      </c>
    </row>
    <row r="3364">
      <c r="A3364" s="12" t="inlineStr">
        <is>
          <t>G-I-0233</t>
        </is>
      </c>
      <c r="B3364" s="12" t="inlineStr">
        <is>
          <t>G</t>
        </is>
      </c>
      <c r="C3364" s="12" t="inlineStr">
        <is>
          <t>Carbon capture</t>
        </is>
      </c>
      <c r="D3364" s="12" t="inlineStr">
        <is>
          <t>Discrete device to JB JB-Rich/lean pumps, c-DI01: 20 x 1 pr (field cables)</t>
        </is>
      </c>
      <c r="E3364" s="12" t="inlineStr"/>
      <c r="F3364" s="12" t="inlineStr">
        <is>
          <t>Rich/lean pumps, cross exchanger, lean cooler C</t>
        </is>
      </c>
      <c r="G3364" s="12" t="inlineStr">
        <is>
          <t>JB-Rich/lean pumps, c-DI01</t>
        </is>
      </c>
      <c r="H3364" s="12" t="inlineStr">
        <is>
          <t>Rich/lean pumps, cross exchanger, lean cooler C</t>
        </is>
      </c>
      <c r="I3364" s="12" t="inlineStr">
        <is>
          <t>Instrumentation</t>
        </is>
      </c>
      <c r="J3364" s="12" t="inlineStr">
        <is>
          <t>Instrumentation PLTC / TC-ER 300 V, #18 twisted shielded pairs, overall shield</t>
        </is>
      </c>
      <c r="K3364" s="12" t="inlineStr">
        <is>
          <t>PLTC|1 pr|16</t>
        </is>
      </c>
      <c r="L3364" s="12" t="inlineStr">
        <is>
          <t>1 pr</t>
        </is>
      </c>
      <c r="M3364" s="12" t="inlineStr">
        <is>
          <t>16</t>
        </is>
      </c>
      <c r="N3364" s="12" t="n">
        <v>20</v>
      </c>
      <c r="O3364" s="12" t="n">
        <v>1</v>
      </c>
      <c r="P3364" s="12" t="n"/>
      <c r="Q3364" s="12" t="n"/>
      <c r="R3364" s="12" t="n"/>
      <c r="S3364" s="12" t="inlineStr">
        <is>
          <t>Tray / conduit</t>
        </is>
      </c>
      <c r="T3364" s="16" t="n">
        <v>84</v>
      </c>
      <c r="U3364" s="16" t="n">
        <v>10</v>
      </c>
      <c r="V3364" s="16">
        <f>ROUNDUP((T3364+U3364+2*'Read Me'!$B$13)*(1+'Read Me'!$B$12),-1)</f>
        <v/>
      </c>
      <c r="W3364" s="16">
        <f>V3364*N3364*O3364</f>
        <v/>
      </c>
      <c r="X3364" s="12">
        <f>IF(LEFT(I3364,2)="MV",2*N3364*IF(L3364="1/C",O3364,1),0)</f>
        <v/>
      </c>
      <c r="Y3364" s="12">
        <f>IF(OR(LEFT(K3364,4)="LVAX",LEFT(K3364,6)="MV15AX",LEFT(K3364,4)="CTAX",LEFT(K3364,2)="W|"),2*N3364*O3364,0)</f>
        <v/>
      </c>
      <c r="Z3364" s="12" t="inlineStr">
        <is>
          <t>device-to-JB field wiring, one cable per device</t>
        </is>
      </c>
      <c r="AA3364" s="12">
        <f>N3364*O3364</f>
        <v/>
      </c>
    </row>
    <row r="3365">
      <c r="A3365" s="12" t="inlineStr">
        <is>
          <t>G-I-0234</t>
        </is>
      </c>
      <c r="B3365" s="12" t="inlineStr">
        <is>
          <t>G</t>
        </is>
      </c>
      <c r="C3365" s="12" t="inlineStr">
        <is>
          <t>Carbon capture</t>
        </is>
      </c>
      <c r="D3365" s="12" t="inlineStr">
        <is>
          <t>Home run JB-Rich/lean pumps, c-DI01 to the control / marshalling room</t>
        </is>
      </c>
      <c r="E3365" s="12" t="inlineStr"/>
      <c r="F3365" s="12" t="inlineStr">
        <is>
          <t>CCS F&amp;G / control</t>
        </is>
      </c>
      <c r="G3365" s="12" t="inlineStr">
        <is>
          <t>JB-Rich/lean pumps, c-DI01</t>
        </is>
      </c>
      <c r="H3365" s="12" t="inlineStr">
        <is>
          <t>Rich/lean pumps, cross exchanger, lean cooler C</t>
        </is>
      </c>
      <c r="I3365" s="12" t="inlineStr">
        <is>
          <t>Instrumentation</t>
        </is>
      </c>
      <c r="J3365" s="12" t="inlineStr">
        <is>
          <t>Instrumentation PLTC / TC-ER 300 V, #18 twisted shielded pairs, overall shield</t>
        </is>
      </c>
      <c r="K3365" s="12" t="inlineStr">
        <is>
          <t>PLTC|24 pr|18</t>
        </is>
      </c>
      <c r="L3365" s="12" t="inlineStr">
        <is>
          <t>24 pr</t>
        </is>
      </c>
      <c r="M3365" s="12" t="inlineStr">
        <is>
          <t>18</t>
        </is>
      </c>
      <c r="N3365" s="12" t="n">
        <v>1</v>
      </c>
      <c r="O3365" s="12" t="n">
        <v>1</v>
      </c>
      <c r="P3365" s="12" t="n"/>
      <c r="Q3365" s="12" t="n"/>
      <c r="R3365" s="12" t="n"/>
      <c r="S3365" s="12" t="inlineStr">
        <is>
          <t>Duct bank</t>
        </is>
      </c>
      <c r="T3365" s="16" t="n">
        <v>299</v>
      </c>
      <c r="U3365" s="16" t="n">
        <v>138</v>
      </c>
      <c r="V3365" s="16">
        <f>ROUNDUP((T3365+U3365+2*'Read Me'!$B$13)*(1+'Read Me'!$B$12),-1)</f>
        <v/>
      </c>
      <c r="W3365" s="16">
        <f>V3365*N3365*O3365</f>
        <v/>
      </c>
      <c r="X3365" s="12">
        <f>IF(LEFT(I3365,2)="MV",2*N3365*IF(L3365="1/C",O3365,1),0)</f>
        <v/>
      </c>
      <c r="Y3365" s="12">
        <f>IF(OR(LEFT(K3365,4)="LVAX",LEFT(K3365,6)="MV15AX",LEFT(K3365,4)="CTAX",LEFT(K3365,2)="W|"),2*N3365*O3365,0)</f>
        <v/>
      </c>
      <c r="Z3365" s="12" t="inlineStr"/>
      <c r="AA3365" s="12">
        <f>N3365*O3365</f>
        <v/>
      </c>
    </row>
    <row r="3366">
      <c r="A3366" s="12" t="inlineStr">
        <is>
          <t>G-I-0235</t>
        </is>
      </c>
      <c r="B3366" s="12" t="inlineStr">
        <is>
          <t>G</t>
        </is>
      </c>
      <c r="C3366" s="12" t="inlineStr">
        <is>
          <t>Carbon capture</t>
        </is>
      </c>
      <c r="D3366" s="12" t="inlineStr">
        <is>
          <t>RTD to JB JB-Rich/lean pumps, c-RTD01: 10 x 1 tri (field cables)</t>
        </is>
      </c>
      <c r="E3366" s="12" t="inlineStr"/>
      <c r="F3366" s="12" t="inlineStr">
        <is>
          <t>Rich/lean pumps, cross exchanger, lean cooler C</t>
        </is>
      </c>
      <c r="G3366" s="12" t="inlineStr">
        <is>
          <t>JB-Rich/lean pumps, c-RTD01</t>
        </is>
      </c>
      <c r="H3366" s="12" t="inlineStr">
        <is>
          <t>Rich/lean pumps, cross exchanger, lean cooler C</t>
        </is>
      </c>
      <c r="I3366" s="12" t="inlineStr">
        <is>
          <t>Instrumentation</t>
        </is>
      </c>
      <c r="J3366" s="12" t="inlineStr">
        <is>
          <t>RTD cable, #18 shielded triads, PLTC</t>
        </is>
      </c>
      <c r="K3366" s="12" t="inlineStr">
        <is>
          <t>RTD|1 tri|18</t>
        </is>
      </c>
      <c r="L3366" s="12" t="inlineStr">
        <is>
          <t>1 tri</t>
        </is>
      </c>
      <c r="M3366" s="12" t="inlineStr">
        <is>
          <t>18</t>
        </is>
      </c>
      <c r="N3366" s="12" t="n">
        <v>10</v>
      </c>
      <c r="O3366" s="12" t="n">
        <v>1</v>
      </c>
      <c r="P3366" s="12" t="n"/>
      <c r="Q3366" s="12" t="n"/>
      <c r="R3366" s="12" t="n"/>
      <c r="S3366" s="12" t="inlineStr">
        <is>
          <t>Tray / conduit</t>
        </is>
      </c>
      <c r="T3366" s="16" t="n">
        <v>84</v>
      </c>
      <c r="U3366" s="16" t="n">
        <v>10</v>
      </c>
      <c r="V3366" s="16">
        <f>ROUNDUP((T3366+U3366+2*'Read Me'!$B$13)*(1+'Read Me'!$B$12),-1)</f>
        <v/>
      </c>
      <c r="W3366" s="16">
        <f>V3366*N3366*O3366</f>
        <v/>
      </c>
      <c r="X3366" s="12">
        <f>IF(LEFT(I3366,2)="MV",2*N3366*IF(L3366="1/C",O3366,1),0)</f>
        <v/>
      </c>
      <c r="Y3366" s="12">
        <f>IF(OR(LEFT(K3366,4)="LVAX",LEFT(K3366,6)="MV15AX",LEFT(K3366,4)="CTAX",LEFT(K3366,2)="W|"),2*N3366*O3366,0)</f>
        <v/>
      </c>
      <c r="Z3366" s="12" t="inlineStr">
        <is>
          <t>device-to-JB field wiring, one cable per device</t>
        </is>
      </c>
      <c r="AA3366" s="12">
        <f>N3366*O3366</f>
        <v/>
      </c>
    </row>
    <row r="3367">
      <c r="A3367" s="12" t="inlineStr">
        <is>
          <t>G-I-0236</t>
        </is>
      </c>
      <c r="B3367" s="12" t="inlineStr">
        <is>
          <t>G</t>
        </is>
      </c>
      <c r="C3367" s="12" t="inlineStr">
        <is>
          <t>Carbon capture</t>
        </is>
      </c>
      <c r="D3367" s="12" t="inlineStr">
        <is>
          <t>Home run JB-Rich/lean pumps, c-RTD01 to the control / marshalling room</t>
        </is>
      </c>
      <c r="E3367" s="12" t="inlineStr"/>
      <c r="F3367" s="12" t="inlineStr">
        <is>
          <t>CCS F&amp;G / control</t>
        </is>
      </c>
      <c r="G3367" s="12" t="inlineStr">
        <is>
          <t>JB-Rich/lean pumps, c-RTD01</t>
        </is>
      </c>
      <c r="H3367" s="12" t="inlineStr">
        <is>
          <t>Rich/lean pumps, cross exchanger, lean cooler C</t>
        </is>
      </c>
      <c r="I3367" s="12" t="inlineStr">
        <is>
          <t>Instrumentation</t>
        </is>
      </c>
      <c r="J3367" s="12" t="inlineStr">
        <is>
          <t>RTD cable, #18 shielded triads, PLTC</t>
        </is>
      </c>
      <c r="K3367" s="12" t="inlineStr">
        <is>
          <t>RTD|12 tri|18</t>
        </is>
      </c>
      <c r="L3367" s="12" t="inlineStr">
        <is>
          <t>12 tri</t>
        </is>
      </c>
      <c r="M3367" s="12" t="inlineStr">
        <is>
          <t>18</t>
        </is>
      </c>
      <c r="N3367" s="12" t="n">
        <v>1</v>
      </c>
      <c r="O3367" s="12" t="n">
        <v>1</v>
      </c>
      <c r="P3367" s="12" t="n"/>
      <c r="Q3367" s="12" t="n"/>
      <c r="R3367" s="12" t="n"/>
      <c r="S3367" s="12" t="inlineStr">
        <is>
          <t>Duct bank</t>
        </is>
      </c>
      <c r="T3367" s="16" t="n">
        <v>299</v>
      </c>
      <c r="U3367" s="16" t="n">
        <v>138</v>
      </c>
      <c r="V3367" s="16">
        <f>ROUNDUP((T3367+U3367+2*'Read Me'!$B$13)*(1+'Read Me'!$B$12),-1)</f>
        <v/>
      </c>
      <c r="W3367" s="16">
        <f>V3367*N3367*O3367</f>
        <v/>
      </c>
      <c r="X3367" s="12">
        <f>IF(LEFT(I3367,2)="MV",2*N3367*IF(L3367="1/C",O3367,1),0)</f>
        <v/>
      </c>
      <c r="Y3367" s="12">
        <f>IF(OR(LEFT(K3367,4)="LVAX",LEFT(K3367,6)="MV15AX",LEFT(K3367,4)="CTAX",LEFT(K3367,2)="W|"),2*N3367*O3367,0)</f>
        <v/>
      </c>
      <c r="Z3367" s="12" t="inlineStr"/>
      <c r="AA3367" s="12">
        <f>N3367*O3367</f>
        <v/>
      </c>
    </row>
    <row r="3368">
      <c r="A3368" s="12" t="inlineStr">
        <is>
          <t>G-I-0237</t>
        </is>
      </c>
      <c r="B3368" s="12" t="inlineStr">
        <is>
          <t>G</t>
        </is>
      </c>
      <c r="C3368" s="12" t="inlineStr">
        <is>
          <t>Carbon capture</t>
        </is>
      </c>
      <c r="D3368" s="12" t="inlineStr">
        <is>
          <t>RTD to JB JB-Rich/lean pumps, c-RTD02: 2 x 1 tri (field cables)</t>
        </is>
      </c>
      <c r="E3368" s="12" t="inlineStr"/>
      <c r="F3368" s="12" t="inlineStr">
        <is>
          <t>Rich/lean pumps, cross exchanger, lean cooler C</t>
        </is>
      </c>
      <c r="G3368" s="12" t="inlineStr">
        <is>
          <t>JB-Rich/lean pumps, c-RTD02</t>
        </is>
      </c>
      <c r="H3368" s="12" t="inlineStr">
        <is>
          <t>Rich/lean pumps, cross exchanger, lean cooler C</t>
        </is>
      </c>
      <c r="I3368" s="12" t="inlineStr">
        <is>
          <t>Instrumentation</t>
        </is>
      </c>
      <c r="J3368" s="12" t="inlineStr">
        <is>
          <t>RTD cable, #18 shielded triads, PLTC</t>
        </is>
      </c>
      <c r="K3368" s="12" t="inlineStr">
        <is>
          <t>RTD|1 tri|18</t>
        </is>
      </c>
      <c r="L3368" s="12" t="inlineStr">
        <is>
          <t>1 tri</t>
        </is>
      </c>
      <c r="M3368" s="12" t="inlineStr">
        <is>
          <t>18</t>
        </is>
      </c>
      <c r="N3368" s="12" t="n">
        <v>2</v>
      </c>
      <c r="O3368" s="12" t="n">
        <v>1</v>
      </c>
      <c r="P3368" s="12" t="n"/>
      <c r="Q3368" s="12" t="n"/>
      <c r="R3368" s="12" t="n"/>
      <c r="S3368" s="12" t="inlineStr">
        <is>
          <t>Tray / conduit</t>
        </is>
      </c>
      <c r="T3368" s="16" t="n">
        <v>84</v>
      </c>
      <c r="U3368" s="16" t="n">
        <v>10</v>
      </c>
      <c r="V3368" s="16">
        <f>ROUNDUP((T3368+U3368+2*'Read Me'!$B$13)*(1+'Read Me'!$B$12),-1)</f>
        <v/>
      </c>
      <c r="W3368" s="16">
        <f>V3368*N3368*O3368</f>
        <v/>
      </c>
      <c r="X3368" s="12">
        <f>IF(LEFT(I3368,2)="MV",2*N3368*IF(L3368="1/C",O3368,1),0)</f>
        <v/>
      </c>
      <c r="Y3368" s="12">
        <f>IF(OR(LEFT(K3368,4)="LVAX",LEFT(K3368,6)="MV15AX",LEFT(K3368,4)="CTAX",LEFT(K3368,2)="W|"),2*N3368*O3368,0)</f>
        <v/>
      </c>
      <c r="Z3368" s="12" t="inlineStr">
        <is>
          <t>device-to-JB field wiring, one cable per device</t>
        </is>
      </c>
      <c r="AA3368" s="12">
        <f>N3368*O3368</f>
        <v/>
      </c>
    </row>
    <row r="3369">
      <c r="A3369" s="12" t="inlineStr">
        <is>
          <t>G-I-0238</t>
        </is>
      </c>
      <c r="B3369" s="12" t="inlineStr">
        <is>
          <t>G</t>
        </is>
      </c>
      <c r="C3369" s="12" t="inlineStr">
        <is>
          <t>Carbon capture</t>
        </is>
      </c>
      <c r="D3369" s="12" t="inlineStr">
        <is>
          <t>Home run JB-Rich/lean pumps, c-RTD02 to the control / marshalling room</t>
        </is>
      </c>
      <c r="E3369" s="12" t="inlineStr"/>
      <c r="F3369" s="12" t="inlineStr">
        <is>
          <t>CCS F&amp;G / control</t>
        </is>
      </c>
      <c r="G3369" s="12" t="inlineStr">
        <is>
          <t>JB-Rich/lean pumps, c-RTD02</t>
        </is>
      </c>
      <c r="H3369" s="12" t="inlineStr">
        <is>
          <t>Rich/lean pumps, cross exchanger, lean cooler C</t>
        </is>
      </c>
      <c r="I3369" s="12" t="inlineStr">
        <is>
          <t>Instrumentation</t>
        </is>
      </c>
      <c r="J3369" s="12" t="inlineStr">
        <is>
          <t>RTD cable, #18 shielded triads, PLTC</t>
        </is>
      </c>
      <c r="K3369" s="12" t="inlineStr">
        <is>
          <t>RTD|12 tri|18</t>
        </is>
      </c>
      <c r="L3369" s="12" t="inlineStr">
        <is>
          <t>12 tri</t>
        </is>
      </c>
      <c r="M3369" s="12" t="inlineStr">
        <is>
          <t>18</t>
        </is>
      </c>
      <c r="N3369" s="12" t="n">
        <v>1</v>
      </c>
      <c r="O3369" s="12" t="n">
        <v>1</v>
      </c>
      <c r="P3369" s="12" t="n"/>
      <c r="Q3369" s="12" t="n"/>
      <c r="R3369" s="12" t="n"/>
      <c r="S3369" s="12" t="inlineStr">
        <is>
          <t>Duct bank</t>
        </is>
      </c>
      <c r="T3369" s="16" t="n">
        <v>299</v>
      </c>
      <c r="U3369" s="16" t="n">
        <v>138</v>
      </c>
      <c r="V3369" s="16">
        <f>ROUNDUP((T3369+U3369+2*'Read Me'!$B$13)*(1+'Read Me'!$B$12),-1)</f>
        <v/>
      </c>
      <c r="W3369" s="16">
        <f>V3369*N3369*O3369</f>
        <v/>
      </c>
      <c r="X3369" s="12">
        <f>IF(LEFT(I3369,2)="MV",2*N3369*IF(L3369="1/C",O3369,1),0)</f>
        <v/>
      </c>
      <c r="Y3369" s="12">
        <f>IF(OR(LEFT(K3369,4)="LVAX",LEFT(K3369,6)="MV15AX",LEFT(K3369,4)="CTAX",LEFT(K3369,2)="W|"),2*N3369*O3369,0)</f>
        <v/>
      </c>
      <c r="Z3369" s="12" t="inlineStr"/>
      <c r="AA3369" s="12">
        <f>N3369*O3369</f>
        <v/>
      </c>
    </row>
    <row r="3370">
      <c r="A3370" s="12" t="inlineStr">
        <is>
          <t>G-I-0239</t>
        </is>
      </c>
      <c r="B3370" s="12" t="inlineStr">
        <is>
          <t>G</t>
        </is>
      </c>
      <c r="C3370" s="12" t="inlineStr">
        <is>
          <t>Carbon capture</t>
        </is>
      </c>
      <c r="D3370" s="12" t="inlineStr">
        <is>
          <t>Analog instrument to JB JB-STR-A-AI01: 20 x 1 pr (field cables)</t>
        </is>
      </c>
      <c r="E3370" s="12" t="inlineStr">
        <is>
          <t>STR-A</t>
        </is>
      </c>
      <c r="F3370" s="12" t="inlineStr">
        <is>
          <t>STR-A: stripper / regenerator (45 ft dia x 207 ft)</t>
        </is>
      </c>
      <c r="G3370" s="12" t="inlineStr">
        <is>
          <t>JB-STR-A-AI01</t>
        </is>
      </c>
      <c r="H3370" s="12" t="inlineStr">
        <is>
          <t>STR-A: stripper / regenerator (45 ft dia x 207 ft)</t>
        </is>
      </c>
      <c r="I3370" s="12" t="inlineStr">
        <is>
          <t>Instrumentation</t>
        </is>
      </c>
      <c r="J3370" s="12" t="inlineStr">
        <is>
          <t>Instrumentation PLTC / TC-ER 300 V, #18 twisted shielded pairs, overall shield</t>
        </is>
      </c>
      <c r="K3370" s="12" t="inlineStr">
        <is>
          <t>PLTC|1 pr|16</t>
        </is>
      </c>
      <c r="L3370" s="12" t="inlineStr">
        <is>
          <t>1 pr</t>
        </is>
      </c>
      <c r="M3370" s="12" t="inlineStr">
        <is>
          <t>16</t>
        </is>
      </c>
      <c r="N3370" s="12" t="n">
        <v>20</v>
      </c>
      <c r="O3370" s="12" t="n">
        <v>1</v>
      </c>
      <c r="P3370" s="12" t="n"/>
      <c r="Q3370" s="12" t="n"/>
      <c r="R3370" s="12" t="n"/>
      <c r="S3370" s="12" t="inlineStr">
        <is>
          <t>Tray / conduit</t>
        </is>
      </c>
      <c r="T3370" s="16" t="n">
        <v>153</v>
      </c>
      <c r="U3370" s="16" t="n">
        <v>10</v>
      </c>
      <c r="V3370" s="16">
        <f>ROUNDUP((T3370+U3370+2*'Read Me'!$B$13)*(1+'Read Me'!$B$12),-1)</f>
        <v/>
      </c>
      <c r="W3370" s="16">
        <f>V3370*N3370*O3370</f>
        <v/>
      </c>
      <c r="X3370" s="12">
        <f>IF(LEFT(I3370,2)="MV",2*N3370*IF(L3370="1/C",O3370,1),0)</f>
        <v/>
      </c>
      <c r="Y3370" s="12">
        <f>IF(OR(LEFT(K3370,4)="LVAX",LEFT(K3370,6)="MV15AX",LEFT(K3370,4)="CTAX",LEFT(K3370,2)="W|"),2*N3370*O3370,0)</f>
        <v/>
      </c>
      <c r="Z3370" s="12" t="inlineStr">
        <is>
          <t>device-to-JB field wiring, one cable per device</t>
        </is>
      </c>
      <c r="AA3370" s="12">
        <f>N3370*O3370</f>
        <v/>
      </c>
    </row>
    <row r="3371">
      <c r="A3371" s="12" t="inlineStr">
        <is>
          <t>G-I-0240</t>
        </is>
      </c>
      <c r="B3371" s="12" t="inlineStr">
        <is>
          <t>G</t>
        </is>
      </c>
      <c r="C3371" s="12" t="inlineStr">
        <is>
          <t>Carbon capture</t>
        </is>
      </c>
      <c r="D3371" s="12" t="inlineStr">
        <is>
          <t>Home run JB-STR-A-AI01 to the control / marshalling room</t>
        </is>
      </c>
      <c r="E3371" s="12" t="inlineStr"/>
      <c r="F3371" s="12" t="inlineStr">
        <is>
          <t>CCS F&amp;G / control</t>
        </is>
      </c>
      <c r="G3371" s="12" t="inlineStr">
        <is>
          <t>JB-STR-A-AI01</t>
        </is>
      </c>
      <c r="H3371" s="12" t="inlineStr">
        <is>
          <t>STR-A: stripper / regenerator (45 ft dia x 207 ft)</t>
        </is>
      </c>
      <c r="I3371" s="12" t="inlineStr">
        <is>
          <t>Instrumentation</t>
        </is>
      </c>
      <c r="J3371" s="12" t="inlineStr">
        <is>
          <t>Instrumentation PLTC / TC-ER 300 V, #18 twisted shielded pairs, overall shield</t>
        </is>
      </c>
      <c r="K3371" s="12" t="inlineStr">
        <is>
          <t>PLTC|24 pr|18</t>
        </is>
      </c>
      <c r="L3371" s="12" t="inlineStr">
        <is>
          <t>24 pr</t>
        </is>
      </c>
      <c r="M3371" s="12" t="inlineStr">
        <is>
          <t>18</t>
        </is>
      </c>
      <c r="N3371" s="12" t="n">
        <v>1</v>
      </c>
      <c r="O3371" s="12" t="n">
        <v>1</v>
      </c>
      <c r="P3371" s="12" t="n"/>
      <c r="Q3371" s="12" t="n"/>
      <c r="R3371" s="12" t="n"/>
      <c r="S3371" s="12" t="inlineStr">
        <is>
          <t>Duct bank</t>
        </is>
      </c>
      <c r="T3371" s="16" t="n">
        <v>329</v>
      </c>
      <c r="U3371" s="16" t="n">
        <v>106</v>
      </c>
      <c r="V3371" s="16">
        <f>ROUNDUP((T3371+U3371+2*'Read Me'!$B$13)*(1+'Read Me'!$B$12),-1)</f>
        <v/>
      </c>
      <c r="W3371" s="16">
        <f>V3371*N3371*O3371</f>
        <v/>
      </c>
      <c r="X3371" s="12">
        <f>IF(LEFT(I3371,2)="MV",2*N3371*IF(L3371="1/C",O3371,1),0)</f>
        <v/>
      </c>
      <c r="Y3371" s="12">
        <f>IF(OR(LEFT(K3371,4)="LVAX",LEFT(K3371,6)="MV15AX",LEFT(K3371,4)="CTAX",LEFT(K3371,2)="W|"),2*N3371*O3371,0)</f>
        <v/>
      </c>
      <c r="Z3371" s="12" t="inlineStr"/>
      <c r="AA3371" s="12">
        <f>N3371*O3371</f>
        <v/>
      </c>
    </row>
    <row r="3372">
      <c r="A3372" s="12" t="inlineStr">
        <is>
          <t>G-I-0241</t>
        </is>
      </c>
      <c r="B3372" s="12" t="inlineStr">
        <is>
          <t>G</t>
        </is>
      </c>
      <c r="C3372" s="12" t="inlineStr">
        <is>
          <t>Carbon capture</t>
        </is>
      </c>
      <c r="D3372" s="12" t="inlineStr">
        <is>
          <t>Analog instrument to JB JB-STR-A-AI02: 20 x 1 pr (field cables)</t>
        </is>
      </c>
      <c r="E3372" s="12" t="inlineStr">
        <is>
          <t>STR-A</t>
        </is>
      </c>
      <c r="F3372" s="12" t="inlineStr">
        <is>
          <t>STR-A: stripper / regenerator (45 ft dia x 207 ft)</t>
        </is>
      </c>
      <c r="G3372" s="12" t="inlineStr">
        <is>
          <t>JB-STR-A-AI02</t>
        </is>
      </c>
      <c r="H3372" s="12" t="inlineStr">
        <is>
          <t>STR-A: stripper / regenerator (45 ft dia x 207 ft)</t>
        </is>
      </c>
      <c r="I3372" s="12" t="inlineStr">
        <is>
          <t>Instrumentation</t>
        </is>
      </c>
      <c r="J3372" s="12" t="inlineStr">
        <is>
          <t>Instrumentation PLTC / TC-ER 300 V, #18 twisted shielded pairs, overall shield</t>
        </is>
      </c>
      <c r="K3372" s="12" t="inlineStr">
        <is>
          <t>PLTC|1 pr|16</t>
        </is>
      </c>
      <c r="L3372" s="12" t="inlineStr">
        <is>
          <t>1 pr</t>
        </is>
      </c>
      <c r="M3372" s="12" t="inlineStr">
        <is>
          <t>16</t>
        </is>
      </c>
      <c r="N3372" s="12" t="n">
        <v>20</v>
      </c>
      <c r="O3372" s="12" t="n">
        <v>1</v>
      </c>
      <c r="P3372" s="12" t="n"/>
      <c r="Q3372" s="12" t="n"/>
      <c r="R3372" s="12" t="n"/>
      <c r="S3372" s="12" t="inlineStr">
        <is>
          <t>Tray / conduit</t>
        </is>
      </c>
      <c r="T3372" s="16" t="n">
        <v>153</v>
      </c>
      <c r="U3372" s="16" t="n">
        <v>10</v>
      </c>
      <c r="V3372" s="16">
        <f>ROUNDUP((T3372+U3372+2*'Read Me'!$B$13)*(1+'Read Me'!$B$12),-1)</f>
        <v/>
      </c>
      <c r="W3372" s="16">
        <f>V3372*N3372*O3372</f>
        <v/>
      </c>
      <c r="X3372" s="12">
        <f>IF(LEFT(I3372,2)="MV",2*N3372*IF(L3372="1/C",O3372,1),0)</f>
        <v/>
      </c>
      <c r="Y3372" s="12">
        <f>IF(OR(LEFT(K3372,4)="LVAX",LEFT(K3372,6)="MV15AX",LEFT(K3372,4)="CTAX",LEFT(K3372,2)="W|"),2*N3372*O3372,0)</f>
        <v/>
      </c>
      <c r="Z3372" s="12" t="inlineStr">
        <is>
          <t>device-to-JB field wiring, one cable per device</t>
        </is>
      </c>
      <c r="AA3372" s="12">
        <f>N3372*O3372</f>
        <v/>
      </c>
    </row>
    <row r="3373">
      <c r="A3373" s="12" t="inlineStr">
        <is>
          <t>G-I-0242</t>
        </is>
      </c>
      <c r="B3373" s="12" t="inlineStr">
        <is>
          <t>G</t>
        </is>
      </c>
      <c r="C3373" s="12" t="inlineStr">
        <is>
          <t>Carbon capture</t>
        </is>
      </c>
      <c r="D3373" s="12" t="inlineStr">
        <is>
          <t>Home run JB-STR-A-AI02 to the control / marshalling room</t>
        </is>
      </c>
      <c r="E3373" s="12" t="inlineStr"/>
      <c r="F3373" s="12" t="inlineStr">
        <is>
          <t>CCS F&amp;G / control</t>
        </is>
      </c>
      <c r="G3373" s="12" t="inlineStr">
        <is>
          <t>JB-STR-A-AI02</t>
        </is>
      </c>
      <c r="H3373" s="12" t="inlineStr">
        <is>
          <t>STR-A: stripper / regenerator (45 ft dia x 207 ft)</t>
        </is>
      </c>
      <c r="I3373" s="12" t="inlineStr">
        <is>
          <t>Instrumentation</t>
        </is>
      </c>
      <c r="J3373" s="12" t="inlineStr">
        <is>
          <t>Instrumentation PLTC / TC-ER 300 V, #18 twisted shielded pairs, overall shield</t>
        </is>
      </c>
      <c r="K3373" s="12" t="inlineStr">
        <is>
          <t>PLTC|24 pr|18</t>
        </is>
      </c>
      <c r="L3373" s="12" t="inlineStr">
        <is>
          <t>24 pr</t>
        </is>
      </c>
      <c r="M3373" s="12" t="inlineStr">
        <is>
          <t>18</t>
        </is>
      </c>
      <c r="N3373" s="12" t="n">
        <v>1</v>
      </c>
      <c r="O3373" s="12" t="n">
        <v>1</v>
      </c>
      <c r="P3373" s="12" t="n"/>
      <c r="Q3373" s="12" t="n"/>
      <c r="R3373" s="12" t="n"/>
      <c r="S3373" s="12" t="inlineStr">
        <is>
          <t>Duct bank</t>
        </is>
      </c>
      <c r="T3373" s="16" t="n">
        <v>329</v>
      </c>
      <c r="U3373" s="16" t="n">
        <v>106</v>
      </c>
      <c r="V3373" s="16">
        <f>ROUNDUP((T3373+U3373+2*'Read Me'!$B$13)*(1+'Read Me'!$B$12),-1)</f>
        <v/>
      </c>
      <c r="W3373" s="16">
        <f>V3373*N3373*O3373</f>
        <v/>
      </c>
      <c r="X3373" s="12">
        <f>IF(LEFT(I3373,2)="MV",2*N3373*IF(L3373="1/C",O3373,1),0)</f>
        <v/>
      </c>
      <c r="Y3373" s="12">
        <f>IF(OR(LEFT(K3373,4)="LVAX",LEFT(K3373,6)="MV15AX",LEFT(K3373,4)="CTAX",LEFT(K3373,2)="W|"),2*N3373*O3373,0)</f>
        <v/>
      </c>
      <c r="Z3373" s="12" t="inlineStr"/>
      <c r="AA3373" s="12">
        <f>N3373*O3373</f>
        <v/>
      </c>
    </row>
    <row r="3374">
      <c r="A3374" s="12" t="inlineStr">
        <is>
          <t>G-I-0243</t>
        </is>
      </c>
      <c r="B3374" s="12" t="inlineStr">
        <is>
          <t>G</t>
        </is>
      </c>
      <c r="C3374" s="12" t="inlineStr">
        <is>
          <t>Carbon capture</t>
        </is>
      </c>
      <c r="D3374" s="12" t="inlineStr">
        <is>
          <t>Analog instrument to JB JB-STR-A-AI03: 10 x 1 pr (field cables)</t>
        </is>
      </c>
      <c r="E3374" s="12" t="inlineStr">
        <is>
          <t>STR-A</t>
        </is>
      </c>
      <c r="F3374" s="12" t="inlineStr">
        <is>
          <t>STR-A: stripper / regenerator (45 ft dia x 207 ft)</t>
        </is>
      </c>
      <c r="G3374" s="12" t="inlineStr">
        <is>
          <t>JB-STR-A-AI03</t>
        </is>
      </c>
      <c r="H3374" s="12" t="inlineStr">
        <is>
          <t>STR-A: stripper / regenerator (45 ft dia x 207 ft)</t>
        </is>
      </c>
      <c r="I3374" s="12" t="inlineStr">
        <is>
          <t>Instrumentation</t>
        </is>
      </c>
      <c r="J3374" s="12" t="inlineStr">
        <is>
          <t>Instrumentation PLTC / TC-ER 300 V, #18 twisted shielded pairs, overall shield</t>
        </is>
      </c>
      <c r="K3374" s="12" t="inlineStr">
        <is>
          <t>PLTC|1 pr|16</t>
        </is>
      </c>
      <c r="L3374" s="12" t="inlineStr">
        <is>
          <t>1 pr</t>
        </is>
      </c>
      <c r="M3374" s="12" t="inlineStr">
        <is>
          <t>16</t>
        </is>
      </c>
      <c r="N3374" s="12" t="n">
        <v>10</v>
      </c>
      <c r="O3374" s="12" t="n">
        <v>1</v>
      </c>
      <c r="P3374" s="12" t="n"/>
      <c r="Q3374" s="12" t="n"/>
      <c r="R3374" s="12" t="n"/>
      <c r="S3374" s="12" t="inlineStr">
        <is>
          <t>Tray / conduit</t>
        </is>
      </c>
      <c r="T3374" s="16" t="n">
        <v>153</v>
      </c>
      <c r="U3374" s="16" t="n">
        <v>10</v>
      </c>
      <c r="V3374" s="16">
        <f>ROUNDUP((T3374+U3374+2*'Read Me'!$B$13)*(1+'Read Me'!$B$12),-1)</f>
        <v/>
      </c>
      <c r="W3374" s="16">
        <f>V3374*N3374*O3374</f>
        <v/>
      </c>
      <c r="X3374" s="12">
        <f>IF(LEFT(I3374,2)="MV",2*N3374*IF(L3374="1/C",O3374,1),0)</f>
        <v/>
      </c>
      <c r="Y3374" s="12">
        <f>IF(OR(LEFT(K3374,4)="LVAX",LEFT(K3374,6)="MV15AX",LEFT(K3374,4)="CTAX",LEFT(K3374,2)="W|"),2*N3374*O3374,0)</f>
        <v/>
      </c>
      <c r="Z3374" s="12" t="inlineStr">
        <is>
          <t>device-to-JB field wiring, one cable per device</t>
        </is>
      </c>
      <c r="AA3374" s="12">
        <f>N3374*O3374</f>
        <v/>
      </c>
    </row>
    <row r="3375">
      <c r="A3375" s="12" t="inlineStr">
        <is>
          <t>G-I-0244</t>
        </is>
      </c>
      <c r="B3375" s="12" t="inlineStr">
        <is>
          <t>G</t>
        </is>
      </c>
      <c r="C3375" s="12" t="inlineStr">
        <is>
          <t>Carbon capture</t>
        </is>
      </c>
      <c r="D3375" s="12" t="inlineStr">
        <is>
          <t>Home run JB-STR-A-AI03 to the control / marshalling room</t>
        </is>
      </c>
      <c r="E3375" s="12" t="inlineStr"/>
      <c r="F3375" s="12" t="inlineStr">
        <is>
          <t>CCS F&amp;G / control</t>
        </is>
      </c>
      <c r="G3375" s="12" t="inlineStr">
        <is>
          <t>JB-STR-A-AI03</t>
        </is>
      </c>
      <c r="H3375" s="12" t="inlineStr">
        <is>
          <t>STR-A: stripper / regenerator (45 ft dia x 207 ft)</t>
        </is>
      </c>
      <c r="I3375" s="12" t="inlineStr">
        <is>
          <t>Instrumentation</t>
        </is>
      </c>
      <c r="J3375" s="12" t="inlineStr">
        <is>
          <t>Instrumentation PLTC / TC-ER 300 V, #18 twisted shielded pairs, overall shield</t>
        </is>
      </c>
      <c r="K3375" s="12" t="inlineStr">
        <is>
          <t>PLTC|24 pr|18</t>
        </is>
      </c>
      <c r="L3375" s="12" t="inlineStr">
        <is>
          <t>24 pr</t>
        </is>
      </c>
      <c r="M3375" s="12" t="inlineStr">
        <is>
          <t>18</t>
        </is>
      </c>
      <c r="N3375" s="12" t="n">
        <v>1</v>
      </c>
      <c r="O3375" s="12" t="n">
        <v>1</v>
      </c>
      <c r="P3375" s="12" t="n"/>
      <c r="Q3375" s="12" t="n"/>
      <c r="R3375" s="12" t="n"/>
      <c r="S3375" s="12" t="inlineStr">
        <is>
          <t>Duct bank</t>
        </is>
      </c>
      <c r="T3375" s="16" t="n">
        <v>329</v>
      </c>
      <c r="U3375" s="16" t="n">
        <v>106</v>
      </c>
      <c r="V3375" s="16">
        <f>ROUNDUP((T3375+U3375+2*'Read Me'!$B$13)*(1+'Read Me'!$B$12),-1)</f>
        <v/>
      </c>
      <c r="W3375" s="16">
        <f>V3375*N3375*O3375</f>
        <v/>
      </c>
      <c r="X3375" s="12">
        <f>IF(LEFT(I3375,2)="MV",2*N3375*IF(L3375="1/C",O3375,1),0)</f>
        <v/>
      </c>
      <c r="Y3375" s="12">
        <f>IF(OR(LEFT(K3375,4)="LVAX",LEFT(K3375,6)="MV15AX",LEFT(K3375,4)="CTAX",LEFT(K3375,2)="W|"),2*N3375*O3375,0)</f>
        <v/>
      </c>
      <c r="Z3375" s="12" t="inlineStr"/>
      <c r="AA3375" s="12">
        <f>N3375*O3375</f>
        <v/>
      </c>
    </row>
    <row r="3376">
      <c r="A3376" s="12" t="inlineStr">
        <is>
          <t>G-I-0245</t>
        </is>
      </c>
      <c r="B3376" s="12" t="inlineStr">
        <is>
          <t>G</t>
        </is>
      </c>
      <c r="C3376" s="12" t="inlineStr">
        <is>
          <t>Carbon capture</t>
        </is>
      </c>
      <c r="D3376" s="12" t="inlineStr">
        <is>
          <t>Discrete device to JB JB-STR-A-DI01: 20 x 1 pr (field cables)</t>
        </is>
      </c>
      <c r="E3376" s="12" t="inlineStr">
        <is>
          <t>STR-A</t>
        </is>
      </c>
      <c r="F3376" s="12" t="inlineStr">
        <is>
          <t>STR-A: stripper / regenerator (45 ft dia x 207 ft)</t>
        </is>
      </c>
      <c r="G3376" s="12" t="inlineStr">
        <is>
          <t>JB-STR-A-DI01</t>
        </is>
      </c>
      <c r="H3376" s="12" t="inlineStr">
        <is>
          <t>STR-A: stripper / regenerator (45 ft dia x 207 ft)</t>
        </is>
      </c>
      <c r="I3376" s="12" t="inlineStr">
        <is>
          <t>Instrumentation</t>
        </is>
      </c>
      <c r="J3376" s="12" t="inlineStr">
        <is>
          <t>Instrumentation PLTC / TC-ER 300 V, #18 twisted shielded pairs, overall shield</t>
        </is>
      </c>
      <c r="K3376" s="12" t="inlineStr">
        <is>
          <t>PLTC|1 pr|16</t>
        </is>
      </c>
      <c r="L3376" s="12" t="inlineStr">
        <is>
          <t>1 pr</t>
        </is>
      </c>
      <c r="M3376" s="12" t="inlineStr">
        <is>
          <t>16</t>
        </is>
      </c>
      <c r="N3376" s="12" t="n">
        <v>20</v>
      </c>
      <c r="O3376" s="12" t="n">
        <v>1</v>
      </c>
      <c r="P3376" s="12" t="n"/>
      <c r="Q3376" s="12" t="n"/>
      <c r="R3376" s="12" t="n"/>
      <c r="S3376" s="12" t="inlineStr">
        <is>
          <t>Tray / conduit</t>
        </is>
      </c>
      <c r="T3376" s="16" t="n">
        <v>153</v>
      </c>
      <c r="U3376" s="16" t="n">
        <v>10</v>
      </c>
      <c r="V3376" s="16">
        <f>ROUNDUP((T3376+U3376+2*'Read Me'!$B$13)*(1+'Read Me'!$B$12),-1)</f>
        <v/>
      </c>
      <c r="W3376" s="16">
        <f>V3376*N3376*O3376</f>
        <v/>
      </c>
      <c r="X3376" s="12">
        <f>IF(LEFT(I3376,2)="MV",2*N3376*IF(L3376="1/C",O3376,1),0)</f>
        <v/>
      </c>
      <c r="Y3376" s="12">
        <f>IF(OR(LEFT(K3376,4)="LVAX",LEFT(K3376,6)="MV15AX",LEFT(K3376,4)="CTAX",LEFT(K3376,2)="W|"),2*N3376*O3376,0)</f>
        <v/>
      </c>
      <c r="Z3376" s="12" t="inlineStr">
        <is>
          <t>device-to-JB field wiring, one cable per device</t>
        </is>
      </c>
      <c r="AA3376" s="12">
        <f>N3376*O3376</f>
        <v/>
      </c>
    </row>
    <row r="3377">
      <c r="A3377" s="12" t="inlineStr">
        <is>
          <t>G-I-0246</t>
        </is>
      </c>
      <c r="B3377" s="12" t="inlineStr">
        <is>
          <t>G</t>
        </is>
      </c>
      <c r="C3377" s="12" t="inlineStr">
        <is>
          <t>Carbon capture</t>
        </is>
      </c>
      <c r="D3377" s="12" t="inlineStr">
        <is>
          <t>Home run JB-STR-A-DI01 to the control / marshalling room</t>
        </is>
      </c>
      <c r="E3377" s="12" t="inlineStr"/>
      <c r="F3377" s="12" t="inlineStr">
        <is>
          <t>CCS F&amp;G / control</t>
        </is>
      </c>
      <c r="G3377" s="12" t="inlineStr">
        <is>
          <t>JB-STR-A-DI01</t>
        </is>
      </c>
      <c r="H3377" s="12" t="inlineStr">
        <is>
          <t>STR-A: stripper / regenerator (45 ft dia x 207 ft)</t>
        </is>
      </c>
      <c r="I3377" s="12" t="inlineStr">
        <is>
          <t>Instrumentation</t>
        </is>
      </c>
      <c r="J3377" s="12" t="inlineStr">
        <is>
          <t>Instrumentation PLTC / TC-ER 300 V, #18 twisted shielded pairs, overall shield</t>
        </is>
      </c>
      <c r="K3377" s="12" t="inlineStr">
        <is>
          <t>PLTC|24 pr|18</t>
        </is>
      </c>
      <c r="L3377" s="12" t="inlineStr">
        <is>
          <t>24 pr</t>
        </is>
      </c>
      <c r="M3377" s="12" t="inlineStr">
        <is>
          <t>18</t>
        </is>
      </c>
      <c r="N3377" s="12" t="n">
        <v>1</v>
      </c>
      <c r="O3377" s="12" t="n">
        <v>1</v>
      </c>
      <c r="P3377" s="12" t="n"/>
      <c r="Q3377" s="12" t="n"/>
      <c r="R3377" s="12" t="n"/>
      <c r="S3377" s="12" t="inlineStr">
        <is>
          <t>Duct bank</t>
        </is>
      </c>
      <c r="T3377" s="16" t="n">
        <v>329</v>
      </c>
      <c r="U3377" s="16" t="n">
        <v>106</v>
      </c>
      <c r="V3377" s="16">
        <f>ROUNDUP((T3377+U3377+2*'Read Me'!$B$13)*(1+'Read Me'!$B$12),-1)</f>
        <v/>
      </c>
      <c r="W3377" s="16">
        <f>V3377*N3377*O3377</f>
        <v/>
      </c>
      <c r="X3377" s="12">
        <f>IF(LEFT(I3377,2)="MV",2*N3377*IF(L3377="1/C",O3377,1),0)</f>
        <v/>
      </c>
      <c r="Y3377" s="12">
        <f>IF(OR(LEFT(K3377,4)="LVAX",LEFT(K3377,6)="MV15AX",LEFT(K3377,4)="CTAX",LEFT(K3377,2)="W|"),2*N3377*O3377,0)</f>
        <v/>
      </c>
      <c r="Z3377" s="12" t="inlineStr"/>
      <c r="AA3377" s="12">
        <f>N3377*O3377</f>
        <v/>
      </c>
    </row>
    <row r="3378">
      <c r="A3378" s="12" t="inlineStr">
        <is>
          <t>G-I-0247</t>
        </is>
      </c>
      <c r="B3378" s="12" t="inlineStr">
        <is>
          <t>G</t>
        </is>
      </c>
      <c r="C3378" s="12" t="inlineStr">
        <is>
          <t>Carbon capture</t>
        </is>
      </c>
      <c r="D3378" s="12" t="inlineStr">
        <is>
          <t>Discrete device to JB JB-STR-A-DI02: 10 x 1 pr (field cables)</t>
        </is>
      </c>
      <c r="E3378" s="12" t="inlineStr">
        <is>
          <t>STR-A</t>
        </is>
      </c>
      <c r="F3378" s="12" t="inlineStr">
        <is>
          <t>STR-A: stripper / regenerator (45 ft dia x 207 ft)</t>
        </is>
      </c>
      <c r="G3378" s="12" t="inlineStr">
        <is>
          <t>JB-STR-A-DI02</t>
        </is>
      </c>
      <c r="H3378" s="12" t="inlineStr">
        <is>
          <t>STR-A: stripper / regenerator (45 ft dia x 207 ft)</t>
        </is>
      </c>
      <c r="I3378" s="12" t="inlineStr">
        <is>
          <t>Instrumentation</t>
        </is>
      </c>
      <c r="J3378" s="12" t="inlineStr">
        <is>
          <t>Instrumentation PLTC / TC-ER 300 V, #18 twisted shielded pairs, overall shield</t>
        </is>
      </c>
      <c r="K3378" s="12" t="inlineStr">
        <is>
          <t>PLTC|1 pr|16</t>
        </is>
      </c>
      <c r="L3378" s="12" t="inlineStr">
        <is>
          <t>1 pr</t>
        </is>
      </c>
      <c r="M3378" s="12" t="inlineStr">
        <is>
          <t>16</t>
        </is>
      </c>
      <c r="N3378" s="12" t="n">
        <v>10</v>
      </c>
      <c r="O3378" s="12" t="n">
        <v>1</v>
      </c>
      <c r="P3378" s="12" t="n"/>
      <c r="Q3378" s="12" t="n"/>
      <c r="R3378" s="12" t="n"/>
      <c r="S3378" s="12" t="inlineStr">
        <is>
          <t>Tray / conduit</t>
        </is>
      </c>
      <c r="T3378" s="16" t="n">
        <v>153</v>
      </c>
      <c r="U3378" s="16" t="n">
        <v>10</v>
      </c>
      <c r="V3378" s="16">
        <f>ROUNDUP((T3378+U3378+2*'Read Me'!$B$13)*(1+'Read Me'!$B$12),-1)</f>
        <v/>
      </c>
      <c r="W3378" s="16">
        <f>V3378*N3378*O3378</f>
        <v/>
      </c>
      <c r="X3378" s="12">
        <f>IF(LEFT(I3378,2)="MV",2*N3378*IF(L3378="1/C",O3378,1),0)</f>
        <v/>
      </c>
      <c r="Y3378" s="12">
        <f>IF(OR(LEFT(K3378,4)="LVAX",LEFT(K3378,6)="MV15AX",LEFT(K3378,4)="CTAX",LEFT(K3378,2)="W|"),2*N3378*O3378,0)</f>
        <v/>
      </c>
      <c r="Z3378" s="12" t="inlineStr">
        <is>
          <t>device-to-JB field wiring, one cable per device</t>
        </is>
      </c>
      <c r="AA3378" s="12">
        <f>N3378*O3378</f>
        <v/>
      </c>
    </row>
    <row r="3379">
      <c r="A3379" s="12" t="inlineStr">
        <is>
          <t>G-I-0248</t>
        </is>
      </c>
      <c r="B3379" s="12" t="inlineStr">
        <is>
          <t>G</t>
        </is>
      </c>
      <c r="C3379" s="12" t="inlineStr">
        <is>
          <t>Carbon capture</t>
        </is>
      </c>
      <c r="D3379" s="12" t="inlineStr">
        <is>
          <t>Home run JB-STR-A-DI02 to the control / marshalling room</t>
        </is>
      </c>
      <c r="E3379" s="12" t="inlineStr"/>
      <c r="F3379" s="12" t="inlineStr">
        <is>
          <t>CCS F&amp;G / control</t>
        </is>
      </c>
      <c r="G3379" s="12" t="inlineStr">
        <is>
          <t>JB-STR-A-DI02</t>
        </is>
      </c>
      <c r="H3379" s="12" t="inlineStr">
        <is>
          <t>STR-A: stripper / regenerator (45 ft dia x 207 ft)</t>
        </is>
      </c>
      <c r="I3379" s="12" t="inlineStr">
        <is>
          <t>Instrumentation</t>
        </is>
      </c>
      <c r="J3379" s="12" t="inlineStr">
        <is>
          <t>Instrumentation PLTC / TC-ER 300 V, #18 twisted shielded pairs, overall shield</t>
        </is>
      </c>
      <c r="K3379" s="12" t="inlineStr">
        <is>
          <t>PLTC|24 pr|18</t>
        </is>
      </c>
      <c r="L3379" s="12" t="inlineStr">
        <is>
          <t>24 pr</t>
        </is>
      </c>
      <c r="M3379" s="12" t="inlineStr">
        <is>
          <t>18</t>
        </is>
      </c>
      <c r="N3379" s="12" t="n">
        <v>1</v>
      </c>
      <c r="O3379" s="12" t="n">
        <v>1</v>
      </c>
      <c r="P3379" s="12" t="n"/>
      <c r="Q3379" s="12" t="n"/>
      <c r="R3379" s="12" t="n"/>
      <c r="S3379" s="12" t="inlineStr">
        <is>
          <t>Duct bank</t>
        </is>
      </c>
      <c r="T3379" s="16" t="n">
        <v>329</v>
      </c>
      <c r="U3379" s="16" t="n">
        <v>106</v>
      </c>
      <c r="V3379" s="16">
        <f>ROUNDUP((T3379+U3379+2*'Read Me'!$B$13)*(1+'Read Me'!$B$12),-1)</f>
        <v/>
      </c>
      <c r="W3379" s="16">
        <f>V3379*N3379*O3379</f>
        <v/>
      </c>
      <c r="X3379" s="12">
        <f>IF(LEFT(I3379,2)="MV",2*N3379*IF(L3379="1/C",O3379,1),0)</f>
        <v/>
      </c>
      <c r="Y3379" s="12">
        <f>IF(OR(LEFT(K3379,4)="LVAX",LEFT(K3379,6)="MV15AX",LEFT(K3379,4)="CTAX",LEFT(K3379,2)="W|"),2*N3379*O3379,0)</f>
        <v/>
      </c>
      <c r="Z3379" s="12" t="inlineStr"/>
      <c r="AA3379" s="12">
        <f>N3379*O3379</f>
        <v/>
      </c>
    </row>
    <row r="3380">
      <c r="A3380" s="12" t="inlineStr">
        <is>
          <t>G-I-0249</t>
        </is>
      </c>
      <c r="B3380" s="12" t="inlineStr">
        <is>
          <t>G</t>
        </is>
      </c>
      <c r="C3380" s="12" t="inlineStr">
        <is>
          <t>Carbon capture</t>
        </is>
      </c>
      <c r="D3380" s="12" t="inlineStr">
        <is>
          <t>Analog instrument to JB JB-STR-B-AI01: 20 x 1 pr (field cables)</t>
        </is>
      </c>
      <c r="E3380" s="12" t="inlineStr">
        <is>
          <t>STR-B</t>
        </is>
      </c>
      <c r="F3380" s="12" t="inlineStr">
        <is>
          <t>STR-B: stripper / regenerator (45 ft dia x 207 ft)</t>
        </is>
      </c>
      <c r="G3380" s="12" t="inlineStr">
        <is>
          <t>JB-STR-B-AI01</t>
        </is>
      </c>
      <c r="H3380" s="12" t="inlineStr">
        <is>
          <t>STR-B: stripper / regenerator (45 ft dia x 207 ft)</t>
        </is>
      </c>
      <c r="I3380" s="12" t="inlineStr">
        <is>
          <t>Instrumentation</t>
        </is>
      </c>
      <c r="J3380" s="12" t="inlineStr">
        <is>
          <t>Instrumentation PLTC / TC-ER 300 V, #18 twisted shielded pairs, overall shield</t>
        </is>
      </c>
      <c r="K3380" s="12" t="inlineStr">
        <is>
          <t>PLTC|1 pr|16</t>
        </is>
      </c>
      <c r="L3380" s="12" t="inlineStr">
        <is>
          <t>1 pr</t>
        </is>
      </c>
      <c r="M3380" s="12" t="inlineStr">
        <is>
          <t>16</t>
        </is>
      </c>
      <c r="N3380" s="12" t="n">
        <v>20</v>
      </c>
      <c r="O3380" s="12" t="n">
        <v>1</v>
      </c>
      <c r="P3380" s="12" t="n"/>
      <c r="Q3380" s="12" t="n"/>
      <c r="R3380" s="12" t="n"/>
      <c r="S3380" s="12" t="inlineStr">
        <is>
          <t>Tray / conduit</t>
        </is>
      </c>
      <c r="T3380" s="16" t="n">
        <v>153</v>
      </c>
      <c r="U3380" s="16" t="n">
        <v>10</v>
      </c>
      <c r="V3380" s="16">
        <f>ROUNDUP((T3380+U3380+2*'Read Me'!$B$13)*(1+'Read Me'!$B$12),-1)</f>
        <v/>
      </c>
      <c r="W3380" s="16">
        <f>V3380*N3380*O3380</f>
        <v/>
      </c>
      <c r="X3380" s="12">
        <f>IF(LEFT(I3380,2)="MV",2*N3380*IF(L3380="1/C",O3380,1),0)</f>
        <v/>
      </c>
      <c r="Y3380" s="12">
        <f>IF(OR(LEFT(K3380,4)="LVAX",LEFT(K3380,6)="MV15AX",LEFT(K3380,4)="CTAX",LEFT(K3380,2)="W|"),2*N3380*O3380,0)</f>
        <v/>
      </c>
      <c r="Z3380" s="12" t="inlineStr">
        <is>
          <t>device-to-JB field wiring, one cable per device</t>
        </is>
      </c>
      <c r="AA3380" s="12">
        <f>N3380*O3380</f>
        <v/>
      </c>
    </row>
    <row r="3381">
      <c r="A3381" s="12" t="inlineStr">
        <is>
          <t>G-I-0250</t>
        </is>
      </c>
      <c r="B3381" s="12" t="inlineStr">
        <is>
          <t>G</t>
        </is>
      </c>
      <c r="C3381" s="12" t="inlineStr">
        <is>
          <t>Carbon capture</t>
        </is>
      </c>
      <c r="D3381" s="12" t="inlineStr">
        <is>
          <t>Home run JB-STR-B-AI01 to the control / marshalling room</t>
        </is>
      </c>
      <c r="E3381" s="12" t="inlineStr"/>
      <c r="F3381" s="12" t="inlineStr">
        <is>
          <t>CCS F&amp;G / control</t>
        </is>
      </c>
      <c r="G3381" s="12" t="inlineStr">
        <is>
          <t>JB-STR-B-AI01</t>
        </is>
      </c>
      <c r="H3381" s="12" t="inlineStr">
        <is>
          <t>STR-B: stripper / regenerator (45 ft dia x 207 ft)</t>
        </is>
      </c>
      <c r="I3381" s="12" t="inlineStr">
        <is>
          <t>Instrumentation</t>
        </is>
      </c>
      <c r="J3381" s="12" t="inlineStr">
        <is>
          <t>Instrumentation PLTC / TC-ER 300 V, #18 twisted shielded pairs, overall shield</t>
        </is>
      </c>
      <c r="K3381" s="12" t="inlineStr">
        <is>
          <t>PLTC|24 pr|18</t>
        </is>
      </c>
      <c r="L3381" s="12" t="inlineStr">
        <is>
          <t>24 pr</t>
        </is>
      </c>
      <c r="M3381" s="12" t="inlineStr">
        <is>
          <t>18</t>
        </is>
      </c>
      <c r="N3381" s="12" t="n">
        <v>1</v>
      </c>
      <c r="O3381" s="12" t="n">
        <v>1</v>
      </c>
      <c r="P3381" s="12" t="n"/>
      <c r="Q3381" s="12" t="n"/>
      <c r="R3381" s="12" t="n"/>
      <c r="S3381" s="12" t="inlineStr">
        <is>
          <t>Duct bank</t>
        </is>
      </c>
      <c r="T3381" s="16" t="n">
        <v>279</v>
      </c>
      <c r="U3381" s="16" t="n">
        <v>106</v>
      </c>
      <c r="V3381" s="16">
        <f>ROUNDUP((T3381+U3381+2*'Read Me'!$B$13)*(1+'Read Me'!$B$12),-1)</f>
        <v/>
      </c>
      <c r="W3381" s="16">
        <f>V3381*N3381*O3381</f>
        <v/>
      </c>
      <c r="X3381" s="12">
        <f>IF(LEFT(I3381,2)="MV",2*N3381*IF(L3381="1/C",O3381,1),0)</f>
        <v/>
      </c>
      <c r="Y3381" s="12">
        <f>IF(OR(LEFT(K3381,4)="LVAX",LEFT(K3381,6)="MV15AX",LEFT(K3381,4)="CTAX",LEFT(K3381,2)="W|"),2*N3381*O3381,0)</f>
        <v/>
      </c>
      <c r="Z3381" s="12" t="inlineStr"/>
      <c r="AA3381" s="12">
        <f>N3381*O3381</f>
        <v/>
      </c>
    </row>
    <row r="3382">
      <c r="A3382" s="12" t="inlineStr">
        <is>
          <t>G-I-0251</t>
        </is>
      </c>
      <c r="B3382" s="12" t="inlineStr">
        <is>
          <t>G</t>
        </is>
      </c>
      <c r="C3382" s="12" t="inlineStr">
        <is>
          <t>Carbon capture</t>
        </is>
      </c>
      <c r="D3382" s="12" t="inlineStr">
        <is>
          <t>Analog instrument to JB JB-STR-B-AI02: 20 x 1 pr (field cables)</t>
        </is>
      </c>
      <c r="E3382" s="12" t="inlineStr">
        <is>
          <t>STR-B</t>
        </is>
      </c>
      <c r="F3382" s="12" t="inlineStr">
        <is>
          <t>STR-B: stripper / regenerator (45 ft dia x 207 ft)</t>
        </is>
      </c>
      <c r="G3382" s="12" t="inlineStr">
        <is>
          <t>JB-STR-B-AI02</t>
        </is>
      </c>
      <c r="H3382" s="12" t="inlineStr">
        <is>
          <t>STR-B: stripper / regenerator (45 ft dia x 207 ft)</t>
        </is>
      </c>
      <c r="I3382" s="12" t="inlineStr">
        <is>
          <t>Instrumentation</t>
        </is>
      </c>
      <c r="J3382" s="12" t="inlineStr">
        <is>
          <t>Instrumentation PLTC / TC-ER 300 V, #18 twisted shielded pairs, overall shield</t>
        </is>
      </c>
      <c r="K3382" s="12" t="inlineStr">
        <is>
          <t>PLTC|1 pr|16</t>
        </is>
      </c>
      <c r="L3382" s="12" t="inlineStr">
        <is>
          <t>1 pr</t>
        </is>
      </c>
      <c r="M3382" s="12" t="inlineStr">
        <is>
          <t>16</t>
        </is>
      </c>
      <c r="N3382" s="12" t="n">
        <v>20</v>
      </c>
      <c r="O3382" s="12" t="n">
        <v>1</v>
      </c>
      <c r="P3382" s="12" t="n"/>
      <c r="Q3382" s="12" t="n"/>
      <c r="R3382" s="12" t="n"/>
      <c r="S3382" s="12" t="inlineStr">
        <is>
          <t>Tray / conduit</t>
        </is>
      </c>
      <c r="T3382" s="16" t="n">
        <v>153</v>
      </c>
      <c r="U3382" s="16" t="n">
        <v>10</v>
      </c>
      <c r="V3382" s="16">
        <f>ROUNDUP((T3382+U3382+2*'Read Me'!$B$13)*(1+'Read Me'!$B$12),-1)</f>
        <v/>
      </c>
      <c r="W3382" s="16">
        <f>V3382*N3382*O3382</f>
        <v/>
      </c>
      <c r="X3382" s="12">
        <f>IF(LEFT(I3382,2)="MV",2*N3382*IF(L3382="1/C",O3382,1),0)</f>
        <v/>
      </c>
      <c r="Y3382" s="12">
        <f>IF(OR(LEFT(K3382,4)="LVAX",LEFT(K3382,6)="MV15AX",LEFT(K3382,4)="CTAX",LEFT(K3382,2)="W|"),2*N3382*O3382,0)</f>
        <v/>
      </c>
      <c r="Z3382" s="12" t="inlineStr">
        <is>
          <t>device-to-JB field wiring, one cable per device</t>
        </is>
      </c>
      <c r="AA3382" s="12">
        <f>N3382*O3382</f>
        <v/>
      </c>
    </row>
    <row r="3383">
      <c r="A3383" s="12" t="inlineStr">
        <is>
          <t>G-I-0252</t>
        </is>
      </c>
      <c r="B3383" s="12" t="inlineStr">
        <is>
          <t>G</t>
        </is>
      </c>
      <c r="C3383" s="12" t="inlineStr">
        <is>
          <t>Carbon capture</t>
        </is>
      </c>
      <c r="D3383" s="12" t="inlineStr">
        <is>
          <t>Home run JB-STR-B-AI02 to the control / marshalling room</t>
        </is>
      </c>
      <c r="E3383" s="12" t="inlineStr"/>
      <c r="F3383" s="12" t="inlineStr">
        <is>
          <t>CCS F&amp;G / control</t>
        </is>
      </c>
      <c r="G3383" s="12" t="inlineStr">
        <is>
          <t>JB-STR-B-AI02</t>
        </is>
      </c>
      <c r="H3383" s="12" t="inlineStr">
        <is>
          <t>STR-B: stripper / regenerator (45 ft dia x 207 ft)</t>
        </is>
      </c>
      <c r="I3383" s="12" t="inlineStr">
        <is>
          <t>Instrumentation</t>
        </is>
      </c>
      <c r="J3383" s="12" t="inlineStr">
        <is>
          <t>Instrumentation PLTC / TC-ER 300 V, #18 twisted shielded pairs, overall shield</t>
        </is>
      </c>
      <c r="K3383" s="12" t="inlineStr">
        <is>
          <t>PLTC|24 pr|18</t>
        </is>
      </c>
      <c r="L3383" s="12" t="inlineStr">
        <is>
          <t>24 pr</t>
        </is>
      </c>
      <c r="M3383" s="12" t="inlineStr">
        <is>
          <t>18</t>
        </is>
      </c>
      <c r="N3383" s="12" t="n">
        <v>1</v>
      </c>
      <c r="O3383" s="12" t="n">
        <v>1</v>
      </c>
      <c r="P3383" s="12" t="n"/>
      <c r="Q3383" s="12" t="n"/>
      <c r="R3383" s="12" t="n"/>
      <c r="S3383" s="12" t="inlineStr">
        <is>
          <t>Duct bank</t>
        </is>
      </c>
      <c r="T3383" s="16" t="n">
        <v>279</v>
      </c>
      <c r="U3383" s="16" t="n">
        <v>106</v>
      </c>
      <c r="V3383" s="16">
        <f>ROUNDUP((T3383+U3383+2*'Read Me'!$B$13)*(1+'Read Me'!$B$12),-1)</f>
        <v/>
      </c>
      <c r="W3383" s="16">
        <f>V3383*N3383*O3383</f>
        <v/>
      </c>
      <c r="X3383" s="12">
        <f>IF(LEFT(I3383,2)="MV",2*N3383*IF(L3383="1/C",O3383,1),0)</f>
        <v/>
      </c>
      <c r="Y3383" s="12">
        <f>IF(OR(LEFT(K3383,4)="LVAX",LEFT(K3383,6)="MV15AX",LEFT(K3383,4)="CTAX",LEFT(K3383,2)="W|"),2*N3383*O3383,0)</f>
        <v/>
      </c>
      <c r="Z3383" s="12" t="inlineStr"/>
      <c r="AA3383" s="12">
        <f>N3383*O3383</f>
        <v/>
      </c>
    </row>
    <row r="3384">
      <c r="A3384" s="12" t="inlineStr">
        <is>
          <t>G-I-0253</t>
        </is>
      </c>
      <c r="B3384" s="12" t="inlineStr">
        <is>
          <t>G</t>
        </is>
      </c>
      <c r="C3384" s="12" t="inlineStr">
        <is>
          <t>Carbon capture</t>
        </is>
      </c>
      <c r="D3384" s="12" t="inlineStr">
        <is>
          <t>Analog instrument to JB JB-STR-B-AI03: 10 x 1 pr (field cables)</t>
        </is>
      </c>
      <c r="E3384" s="12" t="inlineStr">
        <is>
          <t>STR-B</t>
        </is>
      </c>
      <c r="F3384" s="12" t="inlineStr">
        <is>
          <t>STR-B: stripper / regenerator (45 ft dia x 207 ft)</t>
        </is>
      </c>
      <c r="G3384" s="12" t="inlineStr">
        <is>
          <t>JB-STR-B-AI03</t>
        </is>
      </c>
      <c r="H3384" s="12" t="inlineStr">
        <is>
          <t>STR-B: stripper / regenerator (45 ft dia x 207 ft)</t>
        </is>
      </c>
      <c r="I3384" s="12" t="inlineStr">
        <is>
          <t>Instrumentation</t>
        </is>
      </c>
      <c r="J3384" s="12" t="inlineStr">
        <is>
          <t>Instrumentation PLTC / TC-ER 300 V, #18 twisted shielded pairs, overall shield</t>
        </is>
      </c>
      <c r="K3384" s="12" t="inlineStr">
        <is>
          <t>PLTC|1 pr|16</t>
        </is>
      </c>
      <c r="L3384" s="12" t="inlineStr">
        <is>
          <t>1 pr</t>
        </is>
      </c>
      <c r="M3384" s="12" t="inlineStr">
        <is>
          <t>16</t>
        </is>
      </c>
      <c r="N3384" s="12" t="n">
        <v>10</v>
      </c>
      <c r="O3384" s="12" t="n">
        <v>1</v>
      </c>
      <c r="P3384" s="12" t="n"/>
      <c r="Q3384" s="12" t="n"/>
      <c r="R3384" s="12" t="n"/>
      <c r="S3384" s="12" t="inlineStr">
        <is>
          <t>Tray / conduit</t>
        </is>
      </c>
      <c r="T3384" s="16" t="n">
        <v>153</v>
      </c>
      <c r="U3384" s="16" t="n">
        <v>10</v>
      </c>
      <c r="V3384" s="16">
        <f>ROUNDUP((T3384+U3384+2*'Read Me'!$B$13)*(1+'Read Me'!$B$12),-1)</f>
        <v/>
      </c>
      <c r="W3384" s="16">
        <f>V3384*N3384*O3384</f>
        <v/>
      </c>
      <c r="X3384" s="12">
        <f>IF(LEFT(I3384,2)="MV",2*N3384*IF(L3384="1/C",O3384,1),0)</f>
        <v/>
      </c>
      <c r="Y3384" s="12">
        <f>IF(OR(LEFT(K3384,4)="LVAX",LEFT(K3384,6)="MV15AX",LEFT(K3384,4)="CTAX",LEFT(K3384,2)="W|"),2*N3384*O3384,0)</f>
        <v/>
      </c>
      <c r="Z3384" s="12" t="inlineStr">
        <is>
          <t>device-to-JB field wiring, one cable per device</t>
        </is>
      </c>
      <c r="AA3384" s="12">
        <f>N3384*O3384</f>
        <v/>
      </c>
    </row>
    <row r="3385">
      <c r="A3385" s="12" t="inlineStr">
        <is>
          <t>G-I-0254</t>
        </is>
      </c>
      <c r="B3385" s="12" t="inlineStr">
        <is>
          <t>G</t>
        </is>
      </c>
      <c r="C3385" s="12" t="inlineStr">
        <is>
          <t>Carbon capture</t>
        </is>
      </c>
      <c r="D3385" s="12" t="inlineStr">
        <is>
          <t>Home run JB-STR-B-AI03 to the control / marshalling room</t>
        </is>
      </c>
      <c r="E3385" s="12" t="inlineStr"/>
      <c r="F3385" s="12" t="inlineStr">
        <is>
          <t>CCS F&amp;G / control</t>
        </is>
      </c>
      <c r="G3385" s="12" t="inlineStr">
        <is>
          <t>JB-STR-B-AI03</t>
        </is>
      </c>
      <c r="H3385" s="12" t="inlineStr">
        <is>
          <t>STR-B: stripper / regenerator (45 ft dia x 207 ft)</t>
        </is>
      </c>
      <c r="I3385" s="12" t="inlineStr">
        <is>
          <t>Instrumentation</t>
        </is>
      </c>
      <c r="J3385" s="12" t="inlineStr">
        <is>
          <t>Instrumentation PLTC / TC-ER 300 V, #18 twisted shielded pairs, overall shield</t>
        </is>
      </c>
      <c r="K3385" s="12" t="inlineStr">
        <is>
          <t>PLTC|24 pr|18</t>
        </is>
      </c>
      <c r="L3385" s="12" t="inlineStr">
        <is>
          <t>24 pr</t>
        </is>
      </c>
      <c r="M3385" s="12" t="inlineStr">
        <is>
          <t>18</t>
        </is>
      </c>
      <c r="N3385" s="12" t="n">
        <v>1</v>
      </c>
      <c r="O3385" s="12" t="n">
        <v>1</v>
      </c>
      <c r="P3385" s="12" t="n"/>
      <c r="Q3385" s="12" t="n"/>
      <c r="R3385" s="12" t="n"/>
      <c r="S3385" s="12" t="inlineStr">
        <is>
          <t>Duct bank</t>
        </is>
      </c>
      <c r="T3385" s="16" t="n">
        <v>279</v>
      </c>
      <c r="U3385" s="16" t="n">
        <v>106</v>
      </c>
      <c r="V3385" s="16">
        <f>ROUNDUP((T3385+U3385+2*'Read Me'!$B$13)*(1+'Read Me'!$B$12),-1)</f>
        <v/>
      </c>
      <c r="W3385" s="16">
        <f>V3385*N3385*O3385</f>
        <v/>
      </c>
      <c r="X3385" s="12">
        <f>IF(LEFT(I3385,2)="MV",2*N3385*IF(L3385="1/C",O3385,1),0)</f>
        <v/>
      </c>
      <c r="Y3385" s="12">
        <f>IF(OR(LEFT(K3385,4)="LVAX",LEFT(K3385,6)="MV15AX",LEFT(K3385,4)="CTAX",LEFT(K3385,2)="W|"),2*N3385*O3385,0)</f>
        <v/>
      </c>
      <c r="Z3385" s="12" t="inlineStr"/>
      <c r="AA3385" s="12">
        <f>N3385*O3385</f>
        <v/>
      </c>
    </row>
    <row r="3386">
      <c r="A3386" s="12" t="inlineStr">
        <is>
          <t>G-I-0255</t>
        </is>
      </c>
      <c r="B3386" s="12" t="inlineStr">
        <is>
          <t>G</t>
        </is>
      </c>
      <c r="C3386" s="12" t="inlineStr">
        <is>
          <t>Carbon capture</t>
        </is>
      </c>
      <c r="D3386" s="12" t="inlineStr">
        <is>
          <t>Discrete device to JB JB-STR-B-DI01: 20 x 1 pr (field cables)</t>
        </is>
      </c>
      <c r="E3386" s="12" t="inlineStr">
        <is>
          <t>STR-B</t>
        </is>
      </c>
      <c r="F3386" s="12" t="inlineStr">
        <is>
          <t>STR-B: stripper / regenerator (45 ft dia x 207 ft)</t>
        </is>
      </c>
      <c r="G3386" s="12" t="inlineStr">
        <is>
          <t>JB-STR-B-DI01</t>
        </is>
      </c>
      <c r="H3386" s="12" t="inlineStr">
        <is>
          <t>STR-B: stripper / regenerator (45 ft dia x 207 ft)</t>
        </is>
      </c>
      <c r="I3386" s="12" t="inlineStr">
        <is>
          <t>Instrumentation</t>
        </is>
      </c>
      <c r="J3386" s="12" t="inlineStr">
        <is>
          <t>Instrumentation PLTC / TC-ER 300 V, #18 twisted shielded pairs, overall shield</t>
        </is>
      </c>
      <c r="K3386" s="12" t="inlineStr">
        <is>
          <t>PLTC|1 pr|16</t>
        </is>
      </c>
      <c r="L3386" s="12" t="inlineStr">
        <is>
          <t>1 pr</t>
        </is>
      </c>
      <c r="M3386" s="12" t="inlineStr">
        <is>
          <t>16</t>
        </is>
      </c>
      <c r="N3386" s="12" t="n">
        <v>20</v>
      </c>
      <c r="O3386" s="12" t="n">
        <v>1</v>
      </c>
      <c r="P3386" s="12" t="n"/>
      <c r="Q3386" s="12" t="n"/>
      <c r="R3386" s="12" t="n"/>
      <c r="S3386" s="12" t="inlineStr">
        <is>
          <t>Tray / conduit</t>
        </is>
      </c>
      <c r="T3386" s="16" t="n">
        <v>153</v>
      </c>
      <c r="U3386" s="16" t="n">
        <v>10</v>
      </c>
      <c r="V3386" s="16">
        <f>ROUNDUP((T3386+U3386+2*'Read Me'!$B$13)*(1+'Read Me'!$B$12),-1)</f>
        <v/>
      </c>
      <c r="W3386" s="16">
        <f>V3386*N3386*O3386</f>
        <v/>
      </c>
      <c r="X3386" s="12">
        <f>IF(LEFT(I3386,2)="MV",2*N3386*IF(L3386="1/C",O3386,1),0)</f>
        <v/>
      </c>
      <c r="Y3386" s="12">
        <f>IF(OR(LEFT(K3386,4)="LVAX",LEFT(K3386,6)="MV15AX",LEFT(K3386,4)="CTAX",LEFT(K3386,2)="W|"),2*N3386*O3386,0)</f>
        <v/>
      </c>
      <c r="Z3386" s="12" t="inlineStr">
        <is>
          <t>device-to-JB field wiring, one cable per device</t>
        </is>
      </c>
      <c r="AA3386" s="12">
        <f>N3386*O3386</f>
        <v/>
      </c>
    </row>
    <row r="3387">
      <c r="A3387" s="12" t="inlineStr">
        <is>
          <t>G-I-0256</t>
        </is>
      </c>
      <c r="B3387" s="12" t="inlineStr">
        <is>
          <t>G</t>
        </is>
      </c>
      <c r="C3387" s="12" t="inlineStr">
        <is>
          <t>Carbon capture</t>
        </is>
      </c>
      <c r="D3387" s="12" t="inlineStr">
        <is>
          <t>Home run JB-STR-B-DI01 to the control / marshalling room</t>
        </is>
      </c>
      <c r="E3387" s="12" t="inlineStr"/>
      <c r="F3387" s="12" t="inlineStr">
        <is>
          <t>CCS F&amp;G / control</t>
        </is>
      </c>
      <c r="G3387" s="12" t="inlineStr">
        <is>
          <t>JB-STR-B-DI01</t>
        </is>
      </c>
      <c r="H3387" s="12" t="inlineStr">
        <is>
          <t>STR-B: stripper / regenerator (45 ft dia x 207 ft)</t>
        </is>
      </c>
      <c r="I3387" s="12" t="inlineStr">
        <is>
          <t>Instrumentation</t>
        </is>
      </c>
      <c r="J3387" s="12" t="inlineStr">
        <is>
          <t>Instrumentation PLTC / TC-ER 300 V, #18 twisted shielded pairs, overall shield</t>
        </is>
      </c>
      <c r="K3387" s="12" t="inlineStr">
        <is>
          <t>PLTC|24 pr|18</t>
        </is>
      </c>
      <c r="L3387" s="12" t="inlineStr">
        <is>
          <t>24 pr</t>
        </is>
      </c>
      <c r="M3387" s="12" t="inlineStr">
        <is>
          <t>18</t>
        </is>
      </c>
      <c r="N3387" s="12" t="n">
        <v>1</v>
      </c>
      <c r="O3387" s="12" t="n">
        <v>1</v>
      </c>
      <c r="P3387" s="12" t="n"/>
      <c r="Q3387" s="12" t="n"/>
      <c r="R3387" s="12" t="n"/>
      <c r="S3387" s="12" t="inlineStr">
        <is>
          <t>Duct bank</t>
        </is>
      </c>
      <c r="T3387" s="16" t="n">
        <v>279</v>
      </c>
      <c r="U3387" s="16" t="n">
        <v>106</v>
      </c>
      <c r="V3387" s="16">
        <f>ROUNDUP((T3387+U3387+2*'Read Me'!$B$13)*(1+'Read Me'!$B$12),-1)</f>
        <v/>
      </c>
      <c r="W3387" s="16">
        <f>V3387*N3387*O3387</f>
        <v/>
      </c>
      <c r="X3387" s="12">
        <f>IF(LEFT(I3387,2)="MV",2*N3387*IF(L3387="1/C",O3387,1),0)</f>
        <v/>
      </c>
      <c r="Y3387" s="12">
        <f>IF(OR(LEFT(K3387,4)="LVAX",LEFT(K3387,6)="MV15AX",LEFT(K3387,4)="CTAX",LEFT(K3387,2)="W|"),2*N3387*O3387,0)</f>
        <v/>
      </c>
      <c r="Z3387" s="12" t="inlineStr"/>
      <c r="AA3387" s="12">
        <f>N3387*O3387</f>
        <v/>
      </c>
    </row>
    <row r="3388">
      <c r="A3388" s="12" t="inlineStr">
        <is>
          <t>G-I-0257</t>
        </is>
      </c>
      <c r="B3388" s="12" t="inlineStr">
        <is>
          <t>G</t>
        </is>
      </c>
      <c r="C3388" s="12" t="inlineStr">
        <is>
          <t>Carbon capture</t>
        </is>
      </c>
      <c r="D3388" s="12" t="inlineStr">
        <is>
          <t>Discrete device to JB JB-STR-B-DI02: 10 x 1 pr (field cables)</t>
        </is>
      </c>
      <c r="E3388" s="12" t="inlineStr">
        <is>
          <t>STR-B</t>
        </is>
      </c>
      <c r="F3388" s="12" t="inlineStr">
        <is>
          <t>STR-B: stripper / regenerator (45 ft dia x 207 ft)</t>
        </is>
      </c>
      <c r="G3388" s="12" t="inlineStr">
        <is>
          <t>JB-STR-B-DI02</t>
        </is>
      </c>
      <c r="H3388" s="12" t="inlineStr">
        <is>
          <t>STR-B: stripper / regenerator (45 ft dia x 207 ft)</t>
        </is>
      </c>
      <c r="I3388" s="12" t="inlineStr">
        <is>
          <t>Instrumentation</t>
        </is>
      </c>
      <c r="J3388" s="12" t="inlineStr">
        <is>
          <t>Instrumentation PLTC / TC-ER 300 V, #18 twisted shielded pairs, overall shield</t>
        </is>
      </c>
      <c r="K3388" s="12" t="inlineStr">
        <is>
          <t>PLTC|1 pr|16</t>
        </is>
      </c>
      <c r="L3388" s="12" t="inlineStr">
        <is>
          <t>1 pr</t>
        </is>
      </c>
      <c r="M3388" s="12" t="inlineStr">
        <is>
          <t>16</t>
        </is>
      </c>
      <c r="N3388" s="12" t="n">
        <v>10</v>
      </c>
      <c r="O3388" s="12" t="n">
        <v>1</v>
      </c>
      <c r="P3388" s="12" t="n"/>
      <c r="Q3388" s="12" t="n"/>
      <c r="R3388" s="12" t="n"/>
      <c r="S3388" s="12" t="inlineStr">
        <is>
          <t>Tray / conduit</t>
        </is>
      </c>
      <c r="T3388" s="16" t="n">
        <v>153</v>
      </c>
      <c r="U3388" s="16" t="n">
        <v>10</v>
      </c>
      <c r="V3388" s="16">
        <f>ROUNDUP((T3388+U3388+2*'Read Me'!$B$13)*(1+'Read Me'!$B$12),-1)</f>
        <v/>
      </c>
      <c r="W3388" s="16">
        <f>V3388*N3388*O3388</f>
        <v/>
      </c>
      <c r="X3388" s="12">
        <f>IF(LEFT(I3388,2)="MV",2*N3388*IF(L3388="1/C",O3388,1),0)</f>
        <v/>
      </c>
      <c r="Y3388" s="12">
        <f>IF(OR(LEFT(K3388,4)="LVAX",LEFT(K3388,6)="MV15AX",LEFT(K3388,4)="CTAX",LEFT(K3388,2)="W|"),2*N3388*O3388,0)</f>
        <v/>
      </c>
      <c r="Z3388" s="12" t="inlineStr">
        <is>
          <t>device-to-JB field wiring, one cable per device</t>
        </is>
      </c>
      <c r="AA3388" s="12">
        <f>N3388*O3388</f>
        <v/>
      </c>
    </row>
    <row r="3389">
      <c r="A3389" s="12" t="inlineStr">
        <is>
          <t>G-I-0258</t>
        </is>
      </c>
      <c r="B3389" s="12" t="inlineStr">
        <is>
          <t>G</t>
        </is>
      </c>
      <c r="C3389" s="12" t="inlineStr">
        <is>
          <t>Carbon capture</t>
        </is>
      </c>
      <c r="D3389" s="12" t="inlineStr">
        <is>
          <t>Home run JB-STR-B-DI02 to the control / marshalling room</t>
        </is>
      </c>
      <c r="E3389" s="12" t="inlineStr"/>
      <c r="F3389" s="12" t="inlineStr">
        <is>
          <t>CCS F&amp;G / control</t>
        </is>
      </c>
      <c r="G3389" s="12" t="inlineStr">
        <is>
          <t>JB-STR-B-DI02</t>
        </is>
      </c>
      <c r="H3389" s="12" t="inlineStr">
        <is>
          <t>STR-B: stripper / regenerator (45 ft dia x 207 ft)</t>
        </is>
      </c>
      <c r="I3389" s="12" t="inlineStr">
        <is>
          <t>Instrumentation</t>
        </is>
      </c>
      <c r="J3389" s="12" t="inlineStr">
        <is>
          <t>Instrumentation PLTC / TC-ER 300 V, #18 twisted shielded pairs, overall shield</t>
        </is>
      </c>
      <c r="K3389" s="12" t="inlineStr">
        <is>
          <t>PLTC|24 pr|18</t>
        </is>
      </c>
      <c r="L3389" s="12" t="inlineStr">
        <is>
          <t>24 pr</t>
        </is>
      </c>
      <c r="M3389" s="12" t="inlineStr">
        <is>
          <t>18</t>
        </is>
      </c>
      <c r="N3389" s="12" t="n">
        <v>1</v>
      </c>
      <c r="O3389" s="12" t="n">
        <v>1</v>
      </c>
      <c r="P3389" s="12" t="n"/>
      <c r="Q3389" s="12" t="n"/>
      <c r="R3389" s="12" t="n"/>
      <c r="S3389" s="12" t="inlineStr">
        <is>
          <t>Duct bank</t>
        </is>
      </c>
      <c r="T3389" s="16" t="n">
        <v>279</v>
      </c>
      <c r="U3389" s="16" t="n">
        <v>106</v>
      </c>
      <c r="V3389" s="16">
        <f>ROUNDUP((T3389+U3389+2*'Read Me'!$B$13)*(1+'Read Me'!$B$12),-1)</f>
        <v/>
      </c>
      <c r="W3389" s="16">
        <f>V3389*N3389*O3389</f>
        <v/>
      </c>
      <c r="X3389" s="12">
        <f>IF(LEFT(I3389,2)="MV",2*N3389*IF(L3389="1/C",O3389,1),0)</f>
        <v/>
      </c>
      <c r="Y3389" s="12">
        <f>IF(OR(LEFT(K3389,4)="LVAX",LEFT(K3389,6)="MV15AX",LEFT(K3389,4)="CTAX",LEFT(K3389,2)="W|"),2*N3389*O3389,0)</f>
        <v/>
      </c>
      <c r="Z3389" s="12" t="inlineStr"/>
      <c r="AA3389" s="12">
        <f>N3389*O3389</f>
        <v/>
      </c>
    </row>
    <row r="3390">
      <c r="A3390" s="12" t="inlineStr">
        <is>
          <t>G-I-0259</t>
        </is>
      </c>
      <c r="B3390" s="12" t="inlineStr">
        <is>
          <t>G</t>
        </is>
      </c>
      <c r="C3390" s="12" t="inlineStr">
        <is>
          <t>Carbon capture</t>
        </is>
      </c>
      <c r="D3390" s="12" t="inlineStr">
        <is>
          <t>Analog instrument to JB JB-STR-C-AI01: 20 x 1 pr (field cables)</t>
        </is>
      </c>
      <c r="E3390" s="12" t="inlineStr">
        <is>
          <t>STR-C</t>
        </is>
      </c>
      <c r="F3390" s="12" t="inlineStr">
        <is>
          <t>STR-C: stripper / regenerator (45 ft dia x 207 ft)</t>
        </is>
      </c>
      <c r="G3390" s="12" t="inlineStr">
        <is>
          <t>JB-STR-C-AI01</t>
        </is>
      </c>
      <c r="H3390" s="12" t="inlineStr">
        <is>
          <t>STR-C: stripper / regenerator (45 ft dia x 207 ft)</t>
        </is>
      </c>
      <c r="I3390" s="12" t="inlineStr">
        <is>
          <t>Instrumentation</t>
        </is>
      </c>
      <c r="J3390" s="12" t="inlineStr">
        <is>
          <t>Instrumentation PLTC / TC-ER 300 V, #18 twisted shielded pairs, overall shield</t>
        </is>
      </c>
      <c r="K3390" s="12" t="inlineStr">
        <is>
          <t>PLTC|1 pr|16</t>
        </is>
      </c>
      <c r="L3390" s="12" t="inlineStr">
        <is>
          <t>1 pr</t>
        </is>
      </c>
      <c r="M3390" s="12" t="inlineStr">
        <is>
          <t>16</t>
        </is>
      </c>
      <c r="N3390" s="12" t="n">
        <v>20</v>
      </c>
      <c r="O3390" s="12" t="n">
        <v>1</v>
      </c>
      <c r="P3390" s="12" t="n"/>
      <c r="Q3390" s="12" t="n"/>
      <c r="R3390" s="12" t="n"/>
      <c r="S3390" s="12" t="inlineStr">
        <is>
          <t>Tray / conduit</t>
        </is>
      </c>
      <c r="T3390" s="16" t="n">
        <v>153</v>
      </c>
      <c r="U3390" s="16" t="n">
        <v>10</v>
      </c>
      <c r="V3390" s="16">
        <f>ROUNDUP((T3390+U3390+2*'Read Me'!$B$13)*(1+'Read Me'!$B$12),-1)</f>
        <v/>
      </c>
      <c r="W3390" s="16">
        <f>V3390*N3390*O3390</f>
        <v/>
      </c>
      <c r="X3390" s="12">
        <f>IF(LEFT(I3390,2)="MV",2*N3390*IF(L3390="1/C",O3390,1),0)</f>
        <v/>
      </c>
      <c r="Y3390" s="12">
        <f>IF(OR(LEFT(K3390,4)="LVAX",LEFT(K3390,6)="MV15AX",LEFT(K3390,4)="CTAX",LEFT(K3390,2)="W|"),2*N3390*O3390,0)</f>
        <v/>
      </c>
      <c r="Z3390" s="12" t="inlineStr">
        <is>
          <t>device-to-JB field wiring, one cable per device</t>
        </is>
      </c>
      <c r="AA3390" s="12">
        <f>N3390*O3390</f>
        <v/>
      </c>
    </row>
    <row r="3391">
      <c r="A3391" s="12" t="inlineStr">
        <is>
          <t>G-I-0260</t>
        </is>
      </c>
      <c r="B3391" s="12" t="inlineStr">
        <is>
          <t>G</t>
        </is>
      </c>
      <c r="C3391" s="12" t="inlineStr">
        <is>
          <t>Carbon capture</t>
        </is>
      </c>
      <c r="D3391" s="12" t="inlineStr">
        <is>
          <t>Home run JB-STR-C-AI01 to the control / marshalling room</t>
        </is>
      </c>
      <c r="E3391" s="12" t="inlineStr"/>
      <c r="F3391" s="12" t="inlineStr">
        <is>
          <t>CCS F&amp;G / control</t>
        </is>
      </c>
      <c r="G3391" s="12" t="inlineStr">
        <is>
          <t>JB-STR-C-AI01</t>
        </is>
      </c>
      <c r="H3391" s="12" t="inlineStr">
        <is>
          <t>STR-C: stripper / regenerator (45 ft dia x 207 ft)</t>
        </is>
      </c>
      <c r="I3391" s="12" t="inlineStr">
        <is>
          <t>Instrumentation</t>
        </is>
      </c>
      <c r="J3391" s="12" t="inlineStr">
        <is>
          <t>Instrumentation PLTC / TC-ER 300 V, #18 twisted shielded pairs, overall shield</t>
        </is>
      </c>
      <c r="K3391" s="12" t="inlineStr">
        <is>
          <t>PLTC|24 pr|18</t>
        </is>
      </c>
      <c r="L3391" s="12" t="inlineStr">
        <is>
          <t>24 pr</t>
        </is>
      </c>
      <c r="M3391" s="12" t="inlineStr">
        <is>
          <t>18</t>
        </is>
      </c>
      <c r="N3391" s="12" t="n">
        <v>1</v>
      </c>
      <c r="O3391" s="12" t="n">
        <v>1</v>
      </c>
      <c r="P3391" s="12" t="n"/>
      <c r="Q3391" s="12" t="n"/>
      <c r="R3391" s="12" t="n"/>
      <c r="S3391" s="12" t="inlineStr">
        <is>
          <t>Duct bank</t>
        </is>
      </c>
      <c r="T3391" s="16" t="n">
        <v>195</v>
      </c>
      <c r="U3391" s="16" t="n">
        <v>162</v>
      </c>
      <c r="V3391" s="16">
        <f>ROUNDUP((T3391+U3391+2*'Read Me'!$B$13)*(1+'Read Me'!$B$12),-1)</f>
        <v/>
      </c>
      <c r="W3391" s="16">
        <f>V3391*N3391*O3391</f>
        <v/>
      </c>
      <c r="X3391" s="12">
        <f>IF(LEFT(I3391,2)="MV",2*N3391*IF(L3391="1/C",O3391,1),0)</f>
        <v/>
      </c>
      <c r="Y3391" s="12">
        <f>IF(OR(LEFT(K3391,4)="LVAX",LEFT(K3391,6)="MV15AX",LEFT(K3391,4)="CTAX",LEFT(K3391,2)="W|"),2*N3391*O3391,0)</f>
        <v/>
      </c>
      <c r="Z3391" s="12" t="inlineStr"/>
      <c r="AA3391" s="12">
        <f>N3391*O3391</f>
        <v/>
      </c>
    </row>
    <row r="3392">
      <c r="A3392" s="12" t="inlineStr">
        <is>
          <t>G-I-0261</t>
        </is>
      </c>
      <c r="B3392" s="12" t="inlineStr">
        <is>
          <t>G</t>
        </is>
      </c>
      <c r="C3392" s="12" t="inlineStr">
        <is>
          <t>Carbon capture</t>
        </is>
      </c>
      <c r="D3392" s="12" t="inlineStr">
        <is>
          <t>Analog instrument to JB JB-STR-C-AI02: 20 x 1 pr (field cables)</t>
        </is>
      </c>
      <c r="E3392" s="12" t="inlineStr">
        <is>
          <t>STR-C</t>
        </is>
      </c>
      <c r="F3392" s="12" t="inlineStr">
        <is>
          <t>STR-C: stripper / regenerator (45 ft dia x 207 ft)</t>
        </is>
      </c>
      <c r="G3392" s="12" t="inlineStr">
        <is>
          <t>JB-STR-C-AI02</t>
        </is>
      </c>
      <c r="H3392" s="12" t="inlineStr">
        <is>
          <t>STR-C: stripper / regenerator (45 ft dia x 207 ft)</t>
        </is>
      </c>
      <c r="I3392" s="12" t="inlineStr">
        <is>
          <t>Instrumentation</t>
        </is>
      </c>
      <c r="J3392" s="12" t="inlineStr">
        <is>
          <t>Instrumentation PLTC / TC-ER 300 V, #18 twisted shielded pairs, overall shield</t>
        </is>
      </c>
      <c r="K3392" s="12" t="inlineStr">
        <is>
          <t>PLTC|1 pr|16</t>
        </is>
      </c>
      <c r="L3392" s="12" t="inlineStr">
        <is>
          <t>1 pr</t>
        </is>
      </c>
      <c r="M3392" s="12" t="inlineStr">
        <is>
          <t>16</t>
        </is>
      </c>
      <c r="N3392" s="12" t="n">
        <v>20</v>
      </c>
      <c r="O3392" s="12" t="n">
        <v>1</v>
      </c>
      <c r="P3392" s="12" t="n"/>
      <c r="Q3392" s="12" t="n"/>
      <c r="R3392" s="12" t="n"/>
      <c r="S3392" s="12" t="inlineStr">
        <is>
          <t>Tray / conduit</t>
        </is>
      </c>
      <c r="T3392" s="16" t="n">
        <v>153</v>
      </c>
      <c r="U3392" s="16" t="n">
        <v>10</v>
      </c>
      <c r="V3392" s="16">
        <f>ROUNDUP((T3392+U3392+2*'Read Me'!$B$13)*(1+'Read Me'!$B$12),-1)</f>
        <v/>
      </c>
      <c r="W3392" s="16">
        <f>V3392*N3392*O3392</f>
        <v/>
      </c>
      <c r="X3392" s="12">
        <f>IF(LEFT(I3392,2)="MV",2*N3392*IF(L3392="1/C",O3392,1),0)</f>
        <v/>
      </c>
      <c r="Y3392" s="12">
        <f>IF(OR(LEFT(K3392,4)="LVAX",LEFT(K3392,6)="MV15AX",LEFT(K3392,4)="CTAX",LEFT(K3392,2)="W|"),2*N3392*O3392,0)</f>
        <v/>
      </c>
      <c r="Z3392" s="12" t="inlineStr">
        <is>
          <t>device-to-JB field wiring, one cable per device</t>
        </is>
      </c>
      <c r="AA3392" s="12">
        <f>N3392*O3392</f>
        <v/>
      </c>
    </row>
    <row r="3393">
      <c r="A3393" s="12" t="inlineStr">
        <is>
          <t>G-I-0262</t>
        </is>
      </c>
      <c r="B3393" s="12" t="inlineStr">
        <is>
          <t>G</t>
        </is>
      </c>
      <c r="C3393" s="12" t="inlineStr">
        <is>
          <t>Carbon capture</t>
        </is>
      </c>
      <c r="D3393" s="12" t="inlineStr">
        <is>
          <t>Home run JB-STR-C-AI02 to the control / marshalling room</t>
        </is>
      </c>
      <c r="E3393" s="12" t="inlineStr"/>
      <c r="F3393" s="12" t="inlineStr">
        <is>
          <t>CCS F&amp;G / control</t>
        </is>
      </c>
      <c r="G3393" s="12" t="inlineStr">
        <is>
          <t>JB-STR-C-AI02</t>
        </is>
      </c>
      <c r="H3393" s="12" t="inlineStr">
        <is>
          <t>STR-C: stripper / regenerator (45 ft dia x 207 ft)</t>
        </is>
      </c>
      <c r="I3393" s="12" t="inlineStr">
        <is>
          <t>Instrumentation</t>
        </is>
      </c>
      <c r="J3393" s="12" t="inlineStr">
        <is>
          <t>Instrumentation PLTC / TC-ER 300 V, #18 twisted shielded pairs, overall shield</t>
        </is>
      </c>
      <c r="K3393" s="12" t="inlineStr">
        <is>
          <t>PLTC|24 pr|18</t>
        </is>
      </c>
      <c r="L3393" s="12" t="inlineStr">
        <is>
          <t>24 pr</t>
        </is>
      </c>
      <c r="M3393" s="12" t="inlineStr">
        <is>
          <t>18</t>
        </is>
      </c>
      <c r="N3393" s="12" t="n">
        <v>1</v>
      </c>
      <c r="O3393" s="12" t="n">
        <v>1</v>
      </c>
      <c r="P3393" s="12" t="n"/>
      <c r="Q3393" s="12" t="n"/>
      <c r="R3393" s="12" t="n"/>
      <c r="S3393" s="12" t="inlineStr">
        <is>
          <t>Duct bank</t>
        </is>
      </c>
      <c r="T3393" s="16" t="n">
        <v>195</v>
      </c>
      <c r="U3393" s="16" t="n">
        <v>162</v>
      </c>
      <c r="V3393" s="16">
        <f>ROUNDUP((T3393+U3393+2*'Read Me'!$B$13)*(1+'Read Me'!$B$12),-1)</f>
        <v/>
      </c>
      <c r="W3393" s="16">
        <f>V3393*N3393*O3393</f>
        <v/>
      </c>
      <c r="X3393" s="12">
        <f>IF(LEFT(I3393,2)="MV",2*N3393*IF(L3393="1/C",O3393,1),0)</f>
        <v/>
      </c>
      <c r="Y3393" s="12">
        <f>IF(OR(LEFT(K3393,4)="LVAX",LEFT(K3393,6)="MV15AX",LEFT(K3393,4)="CTAX",LEFT(K3393,2)="W|"),2*N3393*O3393,0)</f>
        <v/>
      </c>
      <c r="Z3393" s="12" t="inlineStr"/>
      <c r="AA3393" s="12">
        <f>N3393*O3393</f>
        <v/>
      </c>
    </row>
    <row r="3394">
      <c r="A3394" s="12" t="inlineStr">
        <is>
          <t>G-I-0263</t>
        </is>
      </c>
      <c r="B3394" s="12" t="inlineStr">
        <is>
          <t>G</t>
        </is>
      </c>
      <c r="C3394" s="12" t="inlineStr">
        <is>
          <t>Carbon capture</t>
        </is>
      </c>
      <c r="D3394" s="12" t="inlineStr">
        <is>
          <t>Analog instrument to JB JB-STR-C-AI03: 10 x 1 pr (field cables)</t>
        </is>
      </c>
      <c r="E3394" s="12" t="inlineStr">
        <is>
          <t>STR-C</t>
        </is>
      </c>
      <c r="F3394" s="12" t="inlineStr">
        <is>
          <t>STR-C: stripper / regenerator (45 ft dia x 207 ft)</t>
        </is>
      </c>
      <c r="G3394" s="12" t="inlineStr">
        <is>
          <t>JB-STR-C-AI03</t>
        </is>
      </c>
      <c r="H3394" s="12" t="inlineStr">
        <is>
          <t>STR-C: stripper / regenerator (45 ft dia x 207 ft)</t>
        </is>
      </c>
      <c r="I3394" s="12" t="inlineStr">
        <is>
          <t>Instrumentation</t>
        </is>
      </c>
      <c r="J3394" s="12" t="inlineStr">
        <is>
          <t>Instrumentation PLTC / TC-ER 300 V, #18 twisted shielded pairs, overall shield</t>
        </is>
      </c>
      <c r="K3394" s="12" t="inlineStr">
        <is>
          <t>PLTC|1 pr|16</t>
        </is>
      </c>
      <c r="L3394" s="12" t="inlineStr">
        <is>
          <t>1 pr</t>
        </is>
      </c>
      <c r="M3394" s="12" t="inlineStr">
        <is>
          <t>16</t>
        </is>
      </c>
      <c r="N3394" s="12" t="n">
        <v>10</v>
      </c>
      <c r="O3394" s="12" t="n">
        <v>1</v>
      </c>
      <c r="P3394" s="12" t="n"/>
      <c r="Q3394" s="12" t="n"/>
      <c r="R3394" s="12" t="n"/>
      <c r="S3394" s="12" t="inlineStr">
        <is>
          <t>Tray / conduit</t>
        </is>
      </c>
      <c r="T3394" s="16" t="n">
        <v>153</v>
      </c>
      <c r="U3394" s="16" t="n">
        <v>10</v>
      </c>
      <c r="V3394" s="16">
        <f>ROUNDUP((T3394+U3394+2*'Read Me'!$B$13)*(1+'Read Me'!$B$12),-1)</f>
        <v/>
      </c>
      <c r="W3394" s="16">
        <f>V3394*N3394*O3394</f>
        <v/>
      </c>
      <c r="X3394" s="12">
        <f>IF(LEFT(I3394,2)="MV",2*N3394*IF(L3394="1/C",O3394,1),0)</f>
        <v/>
      </c>
      <c r="Y3394" s="12">
        <f>IF(OR(LEFT(K3394,4)="LVAX",LEFT(K3394,6)="MV15AX",LEFT(K3394,4)="CTAX",LEFT(K3394,2)="W|"),2*N3394*O3394,0)</f>
        <v/>
      </c>
      <c r="Z3394" s="12" t="inlineStr">
        <is>
          <t>device-to-JB field wiring, one cable per device</t>
        </is>
      </c>
      <c r="AA3394" s="12">
        <f>N3394*O3394</f>
        <v/>
      </c>
    </row>
    <row r="3395">
      <c r="A3395" s="12" t="inlineStr">
        <is>
          <t>G-I-0264</t>
        </is>
      </c>
      <c r="B3395" s="12" t="inlineStr">
        <is>
          <t>G</t>
        </is>
      </c>
      <c r="C3395" s="12" t="inlineStr">
        <is>
          <t>Carbon capture</t>
        </is>
      </c>
      <c r="D3395" s="12" t="inlineStr">
        <is>
          <t>Home run JB-STR-C-AI03 to the control / marshalling room</t>
        </is>
      </c>
      <c r="E3395" s="12" t="inlineStr"/>
      <c r="F3395" s="12" t="inlineStr">
        <is>
          <t>CCS F&amp;G / control</t>
        </is>
      </c>
      <c r="G3395" s="12" t="inlineStr">
        <is>
          <t>JB-STR-C-AI03</t>
        </is>
      </c>
      <c r="H3395" s="12" t="inlineStr">
        <is>
          <t>STR-C: stripper / regenerator (45 ft dia x 207 ft)</t>
        </is>
      </c>
      <c r="I3395" s="12" t="inlineStr">
        <is>
          <t>Instrumentation</t>
        </is>
      </c>
      <c r="J3395" s="12" t="inlineStr">
        <is>
          <t>Instrumentation PLTC / TC-ER 300 V, #18 twisted shielded pairs, overall shield</t>
        </is>
      </c>
      <c r="K3395" s="12" t="inlineStr">
        <is>
          <t>PLTC|24 pr|18</t>
        </is>
      </c>
      <c r="L3395" s="12" t="inlineStr">
        <is>
          <t>24 pr</t>
        </is>
      </c>
      <c r="M3395" s="12" t="inlineStr">
        <is>
          <t>18</t>
        </is>
      </c>
      <c r="N3395" s="12" t="n">
        <v>1</v>
      </c>
      <c r="O3395" s="12" t="n">
        <v>1</v>
      </c>
      <c r="P3395" s="12" t="n"/>
      <c r="Q3395" s="12" t="n"/>
      <c r="R3395" s="12" t="n"/>
      <c r="S3395" s="12" t="inlineStr">
        <is>
          <t>Duct bank</t>
        </is>
      </c>
      <c r="T3395" s="16" t="n">
        <v>195</v>
      </c>
      <c r="U3395" s="16" t="n">
        <v>162</v>
      </c>
      <c r="V3395" s="16">
        <f>ROUNDUP((T3395+U3395+2*'Read Me'!$B$13)*(1+'Read Me'!$B$12),-1)</f>
        <v/>
      </c>
      <c r="W3395" s="16">
        <f>V3395*N3395*O3395</f>
        <v/>
      </c>
      <c r="X3395" s="12">
        <f>IF(LEFT(I3395,2)="MV",2*N3395*IF(L3395="1/C",O3395,1),0)</f>
        <v/>
      </c>
      <c r="Y3395" s="12">
        <f>IF(OR(LEFT(K3395,4)="LVAX",LEFT(K3395,6)="MV15AX",LEFT(K3395,4)="CTAX",LEFT(K3395,2)="W|"),2*N3395*O3395,0)</f>
        <v/>
      </c>
      <c r="Z3395" s="12" t="inlineStr"/>
      <c r="AA3395" s="12">
        <f>N3395*O3395</f>
        <v/>
      </c>
    </row>
    <row r="3396">
      <c r="A3396" s="12" t="inlineStr">
        <is>
          <t>G-I-0265</t>
        </is>
      </c>
      <c r="B3396" s="12" t="inlineStr">
        <is>
          <t>G</t>
        </is>
      </c>
      <c r="C3396" s="12" t="inlineStr">
        <is>
          <t>Carbon capture</t>
        </is>
      </c>
      <c r="D3396" s="12" t="inlineStr">
        <is>
          <t>Discrete device to JB JB-STR-C-DI01: 20 x 1 pr (field cables)</t>
        </is>
      </c>
      <c r="E3396" s="12" t="inlineStr">
        <is>
          <t>STR-C</t>
        </is>
      </c>
      <c r="F3396" s="12" t="inlineStr">
        <is>
          <t>STR-C: stripper / regenerator (45 ft dia x 207 ft)</t>
        </is>
      </c>
      <c r="G3396" s="12" t="inlineStr">
        <is>
          <t>JB-STR-C-DI01</t>
        </is>
      </c>
      <c r="H3396" s="12" t="inlineStr">
        <is>
          <t>STR-C: stripper / regenerator (45 ft dia x 207 ft)</t>
        </is>
      </c>
      <c r="I3396" s="12" t="inlineStr">
        <is>
          <t>Instrumentation</t>
        </is>
      </c>
      <c r="J3396" s="12" t="inlineStr">
        <is>
          <t>Instrumentation PLTC / TC-ER 300 V, #18 twisted shielded pairs, overall shield</t>
        </is>
      </c>
      <c r="K3396" s="12" t="inlineStr">
        <is>
          <t>PLTC|1 pr|16</t>
        </is>
      </c>
      <c r="L3396" s="12" t="inlineStr">
        <is>
          <t>1 pr</t>
        </is>
      </c>
      <c r="M3396" s="12" t="inlineStr">
        <is>
          <t>16</t>
        </is>
      </c>
      <c r="N3396" s="12" t="n">
        <v>20</v>
      </c>
      <c r="O3396" s="12" t="n">
        <v>1</v>
      </c>
      <c r="P3396" s="12" t="n"/>
      <c r="Q3396" s="12" t="n"/>
      <c r="R3396" s="12" t="n"/>
      <c r="S3396" s="12" t="inlineStr">
        <is>
          <t>Tray / conduit</t>
        </is>
      </c>
      <c r="T3396" s="16" t="n">
        <v>153</v>
      </c>
      <c r="U3396" s="16" t="n">
        <v>10</v>
      </c>
      <c r="V3396" s="16">
        <f>ROUNDUP((T3396+U3396+2*'Read Me'!$B$13)*(1+'Read Me'!$B$12),-1)</f>
        <v/>
      </c>
      <c r="W3396" s="16">
        <f>V3396*N3396*O3396</f>
        <v/>
      </c>
      <c r="X3396" s="12">
        <f>IF(LEFT(I3396,2)="MV",2*N3396*IF(L3396="1/C",O3396,1),0)</f>
        <v/>
      </c>
      <c r="Y3396" s="12">
        <f>IF(OR(LEFT(K3396,4)="LVAX",LEFT(K3396,6)="MV15AX",LEFT(K3396,4)="CTAX",LEFT(K3396,2)="W|"),2*N3396*O3396,0)</f>
        <v/>
      </c>
      <c r="Z3396" s="12" t="inlineStr">
        <is>
          <t>device-to-JB field wiring, one cable per device</t>
        </is>
      </c>
      <c r="AA3396" s="12">
        <f>N3396*O3396</f>
        <v/>
      </c>
    </row>
    <row r="3397">
      <c r="A3397" s="12" t="inlineStr">
        <is>
          <t>G-I-0266</t>
        </is>
      </c>
      <c r="B3397" s="12" t="inlineStr">
        <is>
          <t>G</t>
        </is>
      </c>
      <c r="C3397" s="12" t="inlineStr">
        <is>
          <t>Carbon capture</t>
        </is>
      </c>
      <c r="D3397" s="12" t="inlineStr">
        <is>
          <t>Home run JB-STR-C-DI01 to the control / marshalling room</t>
        </is>
      </c>
      <c r="E3397" s="12" t="inlineStr"/>
      <c r="F3397" s="12" t="inlineStr">
        <is>
          <t>CCS F&amp;G / control</t>
        </is>
      </c>
      <c r="G3397" s="12" t="inlineStr">
        <is>
          <t>JB-STR-C-DI01</t>
        </is>
      </c>
      <c r="H3397" s="12" t="inlineStr">
        <is>
          <t>STR-C: stripper / regenerator (45 ft dia x 207 ft)</t>
        </is>
      </c>
      <c r="I3397" s="12" t="inlineStr">
        <is>
          <t>Instrumentation</t>
        </is>
      </c>
      <c r="J3397" s="12" t="inlineStr">
        <is>
          <t>Instrumentation PLTC / TC-ER 300 V, #18 twisted shielded pairs, overall shield</t>
        </is>
      </c>
      <c r="K3397" s="12" t="inlineStr">
        <is>
          <t>PLTC|24 pr|18</t>
        </is>
      </c>
      <c r="L3397" s="12" t="inlineStr">
        <is>
          <t>24 pr</t>
        </is>
      </c>
      <c r="M3397" s="12" t="inlineStr">
        <is>
          <t>18</t>
        </is>
      </c>
      <c r="N3397" s="12" t="n">
        <v>1</v>
      </c>
      <c r="O3397" s="12" t="n">
        <v>1</v>
      </c>
      <c r="P3397" s="12" t="n"/>
      <c r="Q3397" s="12" t="n"/>
      <c r="R3397" s="12" t="n"/>
      <c r="S3397" s="12" t="inlineStr">
        <is>
          <t>Duct bank</t>
        </is>
      </c>
      <c r="T3397" s="16" t="n">
        <v>195</v>
      </c>
      <c r="U3397" s="16" t="n">
        <v>162</v>
      </c>
      <c r="V3397" s="16">
        <f>ROUNDUP((T3397+U3397+2*'Read Me'!$B$13)*(1+'Read Me'!$B$12),-1)</f>
        <v/>
      </c>
      <c r="W3397" s="16">
        <f>V3397*N3397*O3397</f>
        <v/>
      </c>
      <c r="X3397" s="12">
        <f>IF(LEFT(I3397,2)="MV",2*N3397*IF(L3397="1/C",O3397,1),0)</f>
        <v/>
      </c>
      <c r="Y3397" s="12">
        <f>IF(OR(LEFT(K3397,4)="LVAX",LEFT(K3397,6)="MV15AX",LEFT(K3397,4)="CTAX",LEFT(K3397,2)="W|"),2*N3397*O3397,0)</f>
        <v/>
      </c>
      <c r="Z3397" s="12" t="inlineStr"/>
      <c r="AA3397" s="12">
        <f>N3397*O3397</f>
        <v/>
      </c>
    </row>
    <row r="3398">
      <c r="A3398" s="12" t="inlineStr">
        <is>
          <t>G-I-0267</t>
        </is>
      </c>
      <c r="B3398" s="12" t="inlineStr">
        <is>
          <t>G</t>
        </is>
      </c>
      <c r="C3398" s="12" t="inlineStr">
        <is>
          <t>Carbon capture</t>
        </is>
      </c>
      <c r="D3398" s="12" t="inlineStr">
        <is>
          <t>Discrete device to JB JB-STR-C-DI02: 10 x 1 pr (field cables)</t>
        </is>
      </c>
      <c r="E3398" s="12" t="inlineStr">
        <is>
          <t>STR-C</t>
        </is>
      </c>
      <c r="F3398" s="12" t="inlineStr">
        <is>
          <t>STR-C: stripper / regenerator (45 ft dia x 207 ft)</t>
        </is>
      </c>
      <c r="G3398" s="12" t="inlineStr">
        <is>
          <t>JB-STR-C-DI02</t>
        </is>
      </c>
      <c r="H3398" s="12" t="inlineStr">
        <is>
          <t>STR-C: stripper / regenerator (45 ft dia x 207 ft)</t>
        </is>
      </c>
      <c r="I3398" s="12" t="inlineStr">
        <is>
          <t>Instrumentation</t>
        </is>
      </c>
      <c r="J3398" s="12" t="inlineStr">
        <is>
          <t>Instrumentation PLTC / TC-ER 300 V, #18 twisted shielded pairs, overall shield</t>
        </is>
      </c>
      <c r="K3398" s="12" t="inlineStr">
        <is>
          <t>PLTC|1 pr|16</t>
        </is>
      </c>
      <c r="L3398" s="12" t="inlineStr">
        <is>
          <t>1 pr</t>
        </is>
      </c>
      <c r="M3398" s="12" t="inlineStr">
        <is>
          <t>16</t>
        </is>
      </c>
      <c r="N3398" s="12" t="n">
        <v>10</v>
      </c>
      <c r="O3398" s="12" t="n">
        <v>1</v>
      </c>
      <c r="P3398" s="12" t="n"/>
      <c r="Q3398" s="12" t="n"/>
      <c r="R3398" s="12" t="n"/>
      <c r="S3398" s="12" t="inlineStr">
        <is>
          <t>Tray / conduit</t>
        </is>
      </c>
      <c r="T3398" s="16" t="n">
        <v>153</v>
      </c>
      <c r="U3398" s="16" t="n">
        <v>10</v>
      </c>
      <c r="V3398" s="16">
        <f>ROUNDUP((T3398+U3398+2*'Read Me'!$B$13)*(1+'Read Me'!$B$12),-1)</f>
        <v/>
      </c>
      <c r="W3398" s="16">
        <f>V3398*N3398*O3398</f>
        <v/>
      </c>
      <c r="X3398" s="12">
        <f>IF(LEFT(I3398,2)="MV",2*N3398*IF(L3398="1/C",O3398,1),0)</f>
        <v/>
      </c>
      <c r="Y3398" s="12">
        <f>IF(OR(LEFT(K3398,4)="LVAX",LEFT(K3398,6)="MV15AX",LEFT(K3398,4)="CTAX",LEFT(K3398,2)="W|"),2*N3398*O3398,0)</f>
        <v/>
      </c>
      <c r="Z3398" s="12" t="inlineStr">
        <is>
          <t>device-to-JB field wiring, one cable per device</t>
        </is>
      </c>
      <c r="AA3398" s="12">
        <f>N3398*O3398</f>
        <v/>
      </c>
    </row>
    <row r="3399">
      <c r="A3399" s="12" t="inlineStr">
        <is>
          <t>G-I-0268</t>
        </is>
      </c>
      <c r="B3399" s="12" t="inlineStr">
        <is>
          <t>G</t>
        </is>
      </c>
      <c r="C3399" s="12" t="inlineStr">
        <is>
          <t>Carbon capture</t>
        </is>
      </c>
      <c r="D3399" s="12" t="inlineStr">
        <is>
          <t>Home run JB-STR-C-DI02 to the control / marshalling room</t>
        </is>
      </c>
      <c r="E3399" s="12" t="inlineStr"/>
      <c r="F3399" s="12" t="inlineStr">
        <is>
          <t>CCS F&amp;G / control</t>
        </is>
      </c>
      <c r="G3399" s="12" t="inlineStr">
        <is>
          <t>JB-STR-C-DI02</t>
        </is>
      </c>
      <c r="H3399" s="12" t="inlineStr">
        <is>
          <t>STR-C: stripper / regenerator (45 ft dia x 207 ft)</t>
        </is>
      </c>
      <c r="I3399" s="12" t="inlineStr">
        <is>
          <t>Instrumentation</t>
        </is>
      </c>
      <c r="J3399" s="12" t="inlineStr">
        <is>
          <t>Instrumentation PLTC / TC-ER 300 V, #18 twisted shielded pairs, overall shield</t>
        </is>
      </c>
      <c r="K3399" s="12" t="inlineStr">
        <is>
          <t>PLTC|24 pr|18</t>
        </is>
      </c>
      <c r="L3399" s="12" t="inlineStr">
        <is>
          <t>24 pr</t>
        </is>
      </c>
      <c r="M3399" s="12" t="inlineStr">
        <is>
          <t>18</t>
        </is>
      </c>
      <c r="N3399" s="12" t="n">
        <v>1</v>
      </c>
      <c r="O3399" s="12" t="n">
        <v>1</v>
      </c>
      <c r="P3399" s="12" t="n"/>
      <c r="Q3399" s="12" t="n"/>
      <c r="R3399" s="12" t="n"/>
      <c r="S3399" s="12" t="inlineStr">
        <is>
          <t>Duct bank</t>
        </is>
      </c>
      <c r="T3399" s="16" t="n">
        <v>195</v>
      </c>
      <c r="U3399" s="16" t="n">
        <v>162</v>
      </c>
      <c r="V3399" s="16">
        <f>ROUNDUP((T3399+U3399+2*'Read Me'!$B$13)*(1+'Read Me'!$B$12),-1)</f>
        <v/>
      </c>
      <c r="W3399" s="16">
        <f>V3399*N3399*O3399</f>
        <v/>
      </c>
      <c r="X3399" s="12">
        <f>IF(LEFT(I3399,2)="MV",2*N3399*IF(L3399="1/C",O3399,1),0)</f>
        <v/>
      </c>
      <c r="Y3399" s="12">
        <f>IF(OR(LEFT(K3399,4)="LVAX",LEFT(K3399,6)="MV15AX",LEFT(K3399,4)="CTAX",LEFT(K3399,2)="W|"),2*N3399*O3399,0)</f>
        <v/>
      </c>
      <c r="Z3399" s="12" t="inlineStr"/>
      <c r="AA3399" s="12">
        <f>N3399*O3399</f>
        <v/>
      </c>
    </row>
    <row r="3400">
      <c r="A3400" s="12" t="inlineStr">
        <is>
          <t>G-I-0269</t>
        </is>
      </c>
      <c r="B3400" s="12" t="inlineStr">
        <is>
          <t>G</t>
        </is>
      </c>
      <c r="C3400" s="12" t="inlineStr">
        <is>
          <t>Carbon capture</t>
        </is>
      </c>
      <c r="D3400" s="12" t="inlineStr">
        <is>
          <t>Analog instrument to JB JB-Solvent + NaOH sto-AI01: 10 x 1 pr (field cables)</t>
        </is>
      </c>
      <c r="E3400" s="12" t="inlineStr"/>
      <c r="F3400" s="12" t="inlineStr">
        <is>
          <t>Solvent + NaOH storage</t>
        </is>
      </c>
      <c r="G3400" s="12" t="inlineStr">
        <is>
          <t>JB-Solvent + NaOH sto-AI01</t>
        </is>
      </c>
      <c r="H3400" s="12" t="inlineStr">
        <is>
          <t>Solvent + NaOH storage</t>
        </is>
      </c>
      <c r="I3400" s="12" t="inlineStr">
        <is>
          <t>Instrumentation</t>
        </is>
      </c>
      <c r="J3400" s="12" t="inlineStr">
        <is>
          <t>Instrumentation PLTC / TC-ER 300 V, #18 twisted shielded pairs, overall shield</t>
        </is>
      </c>
      <c r="K3400" s="12" t="inlineStr">
        <is>
          <t>PLTC|1 pr|16</t>
        </is>
      </c>
      <c r="L3400" s="12" t="inlineStr">
        <is>
          <t>1 pr</t>
        </is>
      </c>
      <c r="M3400" s="12" t="inlineStr">
        <is>
          <t>16</t>
        </is>
      </c>
      <c r="N3400" s="12" t="n">
        <v>10</v>
      </c>
      <c r="O3400" s="12" t="n">
        <v>1</v>
      </c>
      <c r="P3400" s="12" t="n"/>
      <c r="Q3400" s="12" t="n"/>
      <c r="R3400" s="12" t="n"/>
      <c r="S3400" s="12" t="inlineStr">
        <is>
          <t>Tray / conduit</t>
        </is>
      </c>
      <c r="T3400" s="16" t="n">
        <v>113</v>
      </c>
      <c r="U3400" s="16" t="n">
        <v>10</v>
      </c>
      <c r="V3400" s="16">
        <f>ROUNDUP((T3400+U3400+2*'Read Me'!$B$13)*(1+'Read Me'!$B$12),-1)</f>
        <v/>
      </c>
      <c r="W3400" s="16">
        <f>V3400*N3400*O3400</f>
        <v/>
      </c>
      <c r="X3400" s="12">
        <f>IF(LEFT(I3400,2)="MV",2*N3400*IF(L3400="1/C",O3400,1),0)</f>
        <v/>
      </c>
      <c r="Y3400" s="12">
        <f>IF(OR(LEFT(K3400,4)="LVAX",LEFT(K3400,6)="MV15AX",LEFT(K3400,4)="CTAX",LEFT(K3400,2)="W|"),2*N3400*O3400,0)</f>
        <v/>
      </c>
      <c r="Z3400" s="12" t="inlineStr">
        <is>
          <t>device-to-JB field wiring, one cable per device</t>
        </is>
      </c>
      <c r="AA3400" s="12">
        <f>N3400*O3400</f>
        <v/>
      </c>
    </row>
    <row r="3401">
      <c r="A3401" s="12" t="inlineStr">
        <is>
          <t>G-I-0270</t>
        </is>
      </c>
      <c r="B3401" s="12" t="inlineStr">
        <is>
          <t>G</t>
        </is>
      </c>
      <c r="C3401" s="12" t="inlineStr">
        <is>
          <t>Carbon capture</t>
        </is>
      </c>
      <c r="D3401" s="12" t="inlineStr">
        <is>
          <t>Home run JB-Solvent + NaOH sto-AI01 to the control / marshalling room</t>
        </is>
      </c>
      <c r="E3401" s="12" t="inlineStr"/>
      <c r="F3401" s="12" t="inlineStr">
        <is>
          <t>CCS F&amp;G / control</t>
        </is>
      </c>
      <c r="G3401" s="12" t="inlineStr">
        <is>
          <t>JB-Solvent + NaOH sto-AI01</t>
        </is>
      </c>
      <c r="H3401" s="12" t="inlineStr">
        <is>
          <t>Solvent + NaOH storage</t>
        </is>
      </c>
      <c r="I3401" s="12" t="inlineStr">
        <is>
          <t>Instrumentation</t>
        </is>
      </c>
      <c r="J3401" s="12" t="inlineStr">
        <is>
          <t>Instrumentation PLTC / TC-ER 300 V, #18 twisted shielded pairs, overall shield</t>
        </is>
      </c>
      <c r="K3401" s="12" t="inlineStr">
        <is>
          <t>PLTC|24 pr|18</t>
        </is>
      </c>
      <c r="L3401" s="12" t="inlineStr">
        <is>
          <t>24 pr</t>
        </is>
      </c>
      <c r="M3401" s="12" t="inlineStr">
        <is>
          <t>18</t>
        </is>
      </c>
      <c r="N3401" s="12" t="n">
        <v>1</v>
      </c>
      <c r="O3401" s="12" t="n">
        <v>1</v>
      </c>
      <c r="P3401" s="12" t="n"/>
      <c r="Q3401" s="12" t="n"/>
      <c r="R3401" s="12" t="n"/>
      <c r="S3401" s="12" t="inlineStr">
        <is>
          <t>Duct bank</t>
        </is>
      </c>
      <c r="T3401" s="16" t="n">
        <v>146</v>
      </c>
      <c r="U3401" s="16" t="n">
        <v>106</v>
      </c>
      <c r="V3401" s="16">
        <f>ROUNDUP((T3401+U3401+2*'Read Me'!$B$13)*(1+'Read Me'!$B$12),-1)</f>
        <v/>
      </c>
      <c r="W3401" s="16">
        <f>V3401*N3401*O3401</f>
        <v/>
      </c>
      <c r="X3401" s="12">
        <f>IF(LEFT(I3401,2)="MV",2*N3401*IF(L3401="1/C",O3401,1),0)</f>
        <v/>
      </c>
      <c r="Y3401" s="12">
        <f>IF(OR(LEFT(K3401,4)="LVAX",LEFT(K3401,6)="MV15AX",LEFT(K3401,4)="CTAX",LEFT(K3401,2)="W|"),2*N3401*O3401,0)</f>
        <v/>
      </c>
      <c r="Z3401" s="12" t="inlineStr"/>
      <c r="AA3401" s="12">
        <f>N3401*O3401</f>
        <v/>
      </c>
    </row>
    <row r="3402">
      <c r="A3402" s="12" t="inlineStr">
        <is>
          <t>G-I-0271</t>
        </is>
      </c>
      <c r="B3402" s="12" t="inlineStr">
        <is>
          <t>G</t>
        </is>
      </c>
      <c r="C3402" s="12" t="inlineStr">
        <is>
          <t>Carbon capture</t>
        </is>
      </c>
      <c r="D3402" s="12" t="inlineStr">
        <is>
          <t>Discrete device to JB JB-Solvent + NaOH sto-DI01: 10 x 1 pr (field cables)</t>
        </is>
      </c>
      <c r="E3402" s="12" t="inlineStr"/>
      <c r="F3402" s="12" t="inlineStr">
        <is>
          <t>Solvent + NaOH storage</t>
        </is>
      </c>
      <c r="G3402" s="12" t="inlineStr">
        <is>
          <t>JB-Solvent + NaOH sto-DI01</t>
        </is>
      </c>
      <c r="H3402" s="12" t="inlineStr">
        <is>
          <t>Solvent + NaOH storage</t>
        </is>
      </c>
      <c r="I3402" s="12" t="inlineStr">
        <is>
          <t>Instrumentation</t>
        </is>
      </c>
      <c r="J3402" s="12" t="inlineStr">
        <is>
          <t>Instrumentation PLTC / TC-ER 300 V, #18 twisted shielded pairs, overall shield</t>
        </is>
      </c>
      <c r="K3402" s="12" t="inlineStr">
        <is>
          <t>PLTC|1 pr|16</t>
        </is>
      </c>
      <c r="L3402" s="12" t="inlineStr">
        <is>
          <t>1 pr</t>
        </is>
      </c>
      <c r="M3402" s="12" t="inlineStr">
        <is>
          <t>16</t>
        </is>
      </c>
      <c r="N3402" s="12" t="n">
        <v>10</v>
      </c>
      <c r="O3402" s="12" t="n">
        <v>1</v>
      </c>
      <c r="P3402" s="12" t="n"/>
      <c r="Q3402" s="12" t="n"/>
      <c r="R3402" s="12" t="n"/>
      <c r="S3402" s="12" t="inlineStr">
        <is>
          <t>Tray / conduit</t>
        </is>
      </c>
      <c r="T3402" s="16" t="n">
        <v>113</v>
      </c>
      <c r="U3402" s="16" t="n">
        <v>10</v>
      </c>
      <c r="V3402" s="16">
        <f>ROUNDUP((T3402+U3402+2*'Read Me'!$B$13)*(1+'Read Me'!$B$12),-1)</f>
        <v/>
      </c>
      <c r="W3402" s="16">
        <f>V3402*N3402*O3402</f>
        <v/>
      </c>
      <c r="X3402" s="12">
        <f>IF(LEFT(I3402,2)="MV",2*N3402*IF(L3402="1/C",O3402,1),0)</f>
        <v/>
      </c>
      <c r="Y3402" s="12">
        <f>IF(OR(LEFT(K3402,4)="LVAX",LEFT(K3402,6)="MV15AX",LEFT(K3402,4)="CTAX",LEFT(K3402,2)="W|"),2*N3402*O3402,0)</f>
        <v/>
      </c>
      <c r="Z3402" s="12" t="inlineStr">
        <is>
          <t>device-to-JB field wiring, one cable per device</t>
        </is>
      </c>
      <c r="AA3402" s="12">
        <f>N3402*O3402</f>
        <v/>
      </c>
    </row>
    <row r="3403">
      <c r="A3403" s="12" t="inlineStr">
        <is>
          <t>G-I-0272</t>
        </is>
      </c>
      <c r="B3403" s="12" t="inlineStr">
        <is>
          <t>G</t>
        </is>
      </c>
      <c r="C3403" s="12" t="inlineStr">
        <is>
          <t>Carbon capture</t>
        </is>
      </c>
      <c r="D3403" s="12" t="inlineStr">
        <is>
          <t>Home run JB-Solvent + NaOH sto-DI01 to the control / marshalling room</t>
        </is>
      </c>
      <c r="E3403" s="12" t="inlineStr"/>
      <c r="F3403" s="12" t="inlineStr">
        <is>
          <t>CCS F&amp;G / control</t>
        </is>
      </c>
      <c r="G3403" s="12" t="inlineStr">
        <is>
          <t>JB-Solvent + NaOH sto-DI01</t>
        </is>
      </c>
      <c r="H3403" s="12" t="inlineStr">
        <is>
          <t>Solvent + NaOH storage</t>
        </is>
      </c>
      <c r="I3403" s="12" t="inlineStr">
        <is>
          <t>Instrumentation</t>
        </is>
      </c>
      <c r="J3403" s="12" t="inlineStr">
        <is>
          <t>Instrumentation PLTC / TC-ER 300 V, #18 twisted shielded pairs, overall shield</t>
        </is>
      </c>
      <c r="K3403" s="12" t="inlineStr">
        <is>
          <t>PLTC|24 pr|18</t>
        </is>
      </c>
      <c r="L3403" s="12" t="inlineStr">
        <is>
          <t>24 pr</t>
        </is>
      </c>
      <c r="M3403" s="12" t="inlineStr">
        <is>
          <t>18</t>
        </is>
      </c>
      <c r="N3403" s="12" t="n">
        <v>1</v>
      </c>
      <c r="O3403" s="12" t="n">
        <v>1</v>
      </c>
      <c r="P3403" s="12" t="n"/>
      <c r="Q3403" s="12" t="n"/>
      <c r="R3403" s="12" t="n"/>
      <c r="S3403" s="12" t="inlineStr">
        <is>
          <t>Duct bank</t>
        </is>
      </c>
      <c r="T3403" s="16" t="n">
        <v>146</v>
      </c>
      <c r="U3403" s="16" t="n">
        <v>106</v>
      </c>
      <c r="V3403" s="16">
        <f>ROUNDUP((T3403+U3403+2*'Read Me'!$B$13)*(1+'Read Me'!$B$12),-1)</f>
        <v/>
      </c>
      <c r="W3403" s="16">
        <f>V3403*N3403*O3403</f>
        <v/>
      </c>
      <c r="X3403" s="12">
        <f>IF(LEFT(I3403,2)="MV",2*N3403*IF(L3403="1/C",O3403,1),0)</f>
        <v/>
      </c>
      <c r="Y3403" s="12">
        <f>IF(OR(LEFT(K3403,4)="LVAX",LEFT(K3403,6)="MV15AX",LEFT(K3403,4)="CTAX",LEFT(K3403,2)="W|"),2*N3403*O3403,0)</f>
        <v/>
      </c>
      <c r="Z3403" s="12" t="inlineStr"/>
      <c r="AA3403" s="12">
        <f>N3403*O3403</f>
        <v/>
      </c>
    </row>
    <row r="3404">
      <c r="A3404" s="12" t="inlineStr">
        <is>
          <t>G-I-0273</t>
        </is>
      </c>
      <c r="B3404" s="12" t="inlineStr">
        <is>
          <t>G</t>
        </is>
      </c>
      <c r="C3404" s="12" t="inlineStr">
        <is>
          <t>Carbon capture</t>
        </is>
      </c>
      <c r="D3404" s="12" t="inlineStr">
        <is>
          <t>Analog instrument to JB JB-Water-wash pumps A-AI01: 8 x 1 pr (field cables)</t>
        </is>
      </c>
      <c r="E3404" s="12" t="inlineStr"/>
      <c r="F3404" s="12" t="inlineStr">
        <is>
          <t>Water-wash pumps A</t>
        </is>
      </c>
      <c r="G3404" s="12" t="inlineStr">
        <is>
          <t>JB-Water-wash pumps A-AI01</t>
        </is>
      </c>
      <c r="H3404" s="12" t="inlineStr">
        <is>
          <t>Water-wash pumps A</t>
        </is>
      </c>
      <c r="I3404" s="12" t="inlineStr">
        <is>
          <t>Instrumentation</t>
        </is>
      </c>
      <c r="J3404" s="12" t="inlineStr">
        <is>
          <t>Instrumentation PLTC / TC-ER 300 V, #18 twisted shielded pairs, overall shield</t>
        </is>
      </c>
      <c r="K3404" s="12" t="inlineStr">
        <is>
          <t>PLTC|1 pr|16</t>
        </is>
      </c>
      <c r="L3404" s="12" t="inlineStr">
        <is>
          <t>1 pr</t>
        </is>
      </c>
      <c r="M3404" s="12" t="inlineStr">
        <is>
          <t>16</t>
        </is>
      </c>
      <c r="N3404" s="12" t="n">
        <v>8</v>
      </c>
      <c r="O3404" s="12" t="n">
        <v>1</v>
      </c>
      <c r="P3404" s="12" t="n"/>
      <c r="Q3404" s="12" t="n"/>
      <c r="R3404" s="12" t="n"/>
      <c r="S3404" s="12" t="inlineStr">
        <is>
          <t>Tray / conduit</t>
        </is>
      </c>
      <c r="T3404" s="16" t="n">
        <v>66</v>
      </c>
      <c r="U3404" s="16" t="n">
        <v>10</v>
      </c>
      <c r="V3404" s="16">
        <f>ROUNDUP((T3404+U3404+2*'Read Me'!$B$13)*(1+'Read Me'!$B$12),-1)</f>
        <v/>
      </c>
      <c r="W3404" s="16">
        <f>V3404*N3404*O3404</f>
        <v/>
      </c>
      <c r="X3404" s="12">
        <f>IF(LEFT(I3404,2)="MV",2*N3404*IF(L3404="1/C",O3404,1),0)</f>
        <v/>
      </c>
      <c r="Y3404" s="12">
        <f>IF(OR(LEFT(K3404,4)="LVAX",LEFT(K3404,6)="MV15AX",LEFT(K3404,4)="CTAX",LEFT(K3404,2)="W|"),2*N3404*O3404,0)</f>
        <v/>
      </c>
      <c r="Z3404" s="12" t="inlineStr">
        <is>
          <t>device-to-JB field wiring, one cable per device</t>
        </is>
      </c>
      <c r="AA3404" s="12">
        <f>N3404*O3404</f>
        <v/>
      </c>
    </row>
    <row r="3405">
      <c r="A3405" s="12" t="inlineStr">
        <is>
          <t>G-I-0274</t>
        </is>
      </c>
      <c r="B3405" s="12" t="inlineStr">
        <is>
          <t>G</t>
        </is>
      </c>
      <c r="C3405" s="12" t="inlineStr">
        <is>
          <t>Carbon capture</t>
        </is>
      </c>
      <c r="D3405" s="12" t="inlineStr">
        <is>
          <t>Home run JB-Water-wash pumps A-AI01 to the control / marshalling room</t>
        </is>
      </c>
      <c r="E3405" s="12" t="inlineStr"/>
      <c r="F3405" s="12" t="inlineStr">
        <is>
          <t>CCS F&amp;G / control</t>
        </is>
      </c>
      <c r="G3405" s="12" t="inlineStr">
        <is>
          <t>JB-Water-wash pumps A-AI01</t>
        </is>
      </c>
      <c r="H3405" s="12" t="inlineStr">
        <is>
          <t>Water-wash pumps A</t>
        </is>
      </c>
      <c r="I3405" s="12" t="inlineStr">
        <is>
          <t>Instrumentation</t>
        </is>
      </c>
      <c r="J3405" s="12" t="inlineStr">
        <is>
          <t>Instrumentation PLTC / TC-ER 300 V, #18 twisted shielded pairs, overall shield</t>
        </is>
      </c>
      <c r="K3405" s="12" t="inlineStr">
        <is>
          <t>PLTC|24 pr|18</t>
        </is>
      </c>
      <c r="L3405" s="12" t="inlineStr">
        <is>
          <t>24 pr</t>
        </is>
      </c>
      <c r="M3405" s="12" t="inlineStr">
        <is>
          <t>18</t>
        </is>
      </c>
      <c r="N3405" s="12" t="n">
        <v>1</v>
      </c>
      <c r="O3405" s="12" t="n">
        <v>1</v>
      </c>
      <c r="P3405" s="12" t="n"/>
      <c r="Q3405" s="12" t="n"/>
      <c r="R3405" s="12" t="n"/>
      <c r="S3405" s="12" t="inlineStr">
        <is>
          <t>Tray</t>
        </is>
      </c>
      <c r="T3405" s="16" t="n">
        <v>834</v>
      </c>
      <c r="U3405" s="16" t="n">
        <v>165</v>
      </c>
      <c r="V3405" s="16">
        <f>ROUNDUP((T3405+U3405+2*'Read Me'!$B$13)*(1+'Read Me'!$B$12),-1)</f>
        <v/>
      </c>
      <c r="W3405" s="16">
        <f>V3405*N3405*O3405</f>
        <v/>
      </c>
      <c r="X3405" s="12">
        <f>IF(LEFT(I3405,2)="MV",2*N3405*IF(L3405="1/C",O3405,1),0)</f>
        <v/>
      </c>
      <c r="Y3405" s="12">
        <f>IF(OR(LEFT(K3405,4)="LVAX",LEFT(K3405,6)="MV15AX",LEFT(K3405,4)="CTAX",LEFT(K3405,2)="W|"),2*N3405*O3405,0)</f>
        <v/>
      </c>
      <c r="Z3405" s="12" t="inlineStr"/>
      <c r="AA3405" s="12">
        <f>N3405*O3405</f>
        <v/>
      </c>
    </row>
    <row r="3406">
      <c r="A3406" s="12" t="inlineStr">
        <is>
          <t>G-I-0275</t>
        </is>
      </c>
      <c r="B3406" s="12" t="inlineStr">
        <is>
          <t>G</t>
        </is>
      </c>
      <c r="C3406" s="12" t="inlineStr">
        <is>
          <t>Carbon capture</t>
        </is>
      </c>
      <c r="D3406" s="12" t="inlineStr">
        <is>
          <t>Discrete device to JB JB-Water-wash pumps A-DI01: 8 x 1 pr (field cables)</t>
        </is>
      </c>
      <c r="E3406" s="12" t="inlineStr"/>
      <c r="F3406" s="12" t="inlineStr">
        <is>
          <t>Water-wash pumps A</t>
        </is>
      </c>
      <c r="G3406" s="12" t="inlineStr">
        <is>
          <t>JB-Water-wash pumps A-DI01</t>
        </is>
      </c>
      <c r="H3406" s="12" t="inlineStr">
        <is>
          <t>Water-wash pumps A</t>
        </is>
      </c>
      <c r="I3406" s="12" t="inlineStr">
        <is>
          <t>Instrumentation</t>
        </is>
      </c>
      <c r="J3406" s="12" t="inlineStr">
        <is>
          <t>Instrumentation PLTC / TC-ER 300 V, #18 twisted shielded pairs, overall shield</t>
        </is>
      </c>
      <c r="K3406" s="12" t="inlineStr">
        <is>
          <t>PLTC|1 pr|16</t>
        </is>
      </c>
      <c r="L3406" s="12" t="inlineStr">
        <is>
          <t>1 pr</t>
        </is>
      </c>
      <c r="M3406" s="12" t="inlineStr">
        <is>
          <t>16</t>
        </is>
      </c>
      <c r="N3406" s="12" t="n">
        <v>8</v>
      </c>
      <c r="O3406" s="12" t="n">
        <v>1</v>
      </c>
      <c r="P3406" s="12" t="n"/>
      <c r="Q3406" s="12" t="n"/>
      <c r="R3406" s="12" t="n"/>
      <c r="S3406" s="12" t="inlineStr">
        <is>
          <t>Tray / conduit</t>
        </is>
      </c>
      <c r="T3406" s="16" t="n">
        <v>66</v>
      </c>
      <c r="U3406" s="16" t="n">
        <v>10</v>
      </c>
      <c r="V3406" s="16">
        <f>ROUNDUP((T3406+U3406+2*'Read Me'!$B$13)*(1+'Read Me'!$B$12),-1)</f>
        <v/>
      </c>
      <c r="W3406" s="16">
        <f>V3406*N3406*O3406</f>
        <v/>
      </c>
      <c r="X3406" s="12">
        <f>IF(LEFT(I3406,2)="MV",2*N3406*IF(L3406="1/C",O3406,1),0)</f>
        <v/>
      </c>
      <c r="Y3406" s="12">
        <f>IF(OR(LEFT(K3406,4)="LVAX",LEFT(K3406,6)="MV15AX",LEFT(K3406,4)="CTAX",LEFT(K3406,2)="W|"),2*N3406*O3406,0)</f>
        <v/>
      </c>
      <c r="Z3406" s="12" t="inlineStr">
        <is>
          <t>device-to-JB field wiring, one cable per device</t>
        </is>
      </c>
      <c r="AA3406" s="12">
        <f>N3406*O3406</f>
        <v/>
      </c>
    </row>
    <row r="3407">
      <c r="A3407" s="12" t="inlineStr">
        <is>
          <t>G-I-0276</t>
        </is>
      </c>
      <c r="B3407" s="12" t="inlineStr">
        <is>
          <t>G</t>
        </is>
      </c>
      <c r="C3407" s="12" t="inlineStr">
        <is>
          <t>Carbon capture</t>
        </is>
      </c>
      <c r="D3407" s="12" t="inlineStr">
        <is>
          <t>Home run JB-Water-wash pumps A-DI01 to the control / marshalling room</t>
        </is>
      </c>
      <c r="E3407" s="12" t="inlineStr"/>
      <c r="F3407" s="12" t="inlineStr">
        <is>
          <t>CCS F&amp;G / control</t>
        </is>
      </c>
      <c r="G3407" s="12" t="inlineStr">
        <is>
          <t>JB-Water-wash pumps A-DI01</t>
        </is>
      </c>
      <c r="H3407" s="12" t="inlineStr">
        <is>
          <t>Water-wash pumps A</t>
        </is>
      </c>
      <c r="I3407" s="12" t="inlineStr">
        <is>
          <t>Instrumentation</t>
        </is>
      </c>
      <c r="J3407" s="12" t="inlineStr">
        <is>
          <t>Instrumentation PLTC / TC-ER 300 V, #18 twisted shielded pairs, overall shield</t>
        </is>
      </c>
      <c r="K3407" s="12" t="inlineStr">
        <is>
          <t>PLTC|24 pr|18</t>
        </is>
      </c>
      <c r="L3407" s="12" t="inlineStr">
        <is>
          <t>24 pr</t>
        </is>
      </c>
      <c r="M3407" s="12" t="inlineStr">
        <is>
          <t>18</t>
        </is>
      </c>
      <c r="N3407" s="12" t="n">
        <v>1</v>
      </c>
      <c r="O3407" s="12" t="n">
        <v>1</v>
      </c>
      <c r="P3407" s="12" t="n"/>
      <c r="Q3407" s="12" t="n"/>
      <c r="R3407" s="12" t="n"/>
      <c r="S3407" s="12" t="inlineStr">
        <is>
          <t>Tray</t>
        </is>
      </c>
      <c r="T3407" s="16" t="n">
        <v>834</v>
      </c>
      <c r="U3407" s="16" t="n">
        <v>165</v>
      </c>
      <c r="V3407" s="16">
        <f>ROUNDUP((T3407+U3407+2*'Read Me'!$B$13)*(1+'Read Me'!$B$12),-1)</f>
        <v/>
      </c>
      <c r="W3407" s="16">
        <f>V3407*N3407*O3407</f>
        <v/>
      </c>
      <c r="X3407" s="12">
        <f>IF(LEFT(I3407,2)="MV",2*N3407*IF(L3407="1/C",O3407,1),0)</f>
        <v/>
      </c>
      <c r="Y3407" s="12">
        <f>IF(OR(LEFT(K3407,4)="LVAX",LEFT(K3407,6)="MV15AX",LEFT(K3407,4)="CTAX",LEFT(K3407,2)="W|"),2*N3407*O3407,0)</f>
        <v/>
      </c>
      <c r="Z3407" s="12" t="inlineStr"/>
      <c r="AA3407" s="12">
        <f>N3407*O3407</f>
        <v/>
      </c>
    </row>
    <row r="3408">
      <c r="A3408" s="12" t="inlineStr">
        <is>
          <t>G-I-0277</t>
        </is>
      </c>
      <c r="B3408" s="12" t="inlineStr">
        <is>
          <t>G</t>
        </is>
      </c>
      <c r="C3408" s="12" t="inlineStr">
        <is>
          <t>Carbon capture</t>
        </is>
      </c>
      <c r="D3408" s="12" t="inlineStr">
        <is>
          <t>Analog instrument to JB JB-Water-wash pumps B-AI01: 8 x 1 pr (field cables)</t>
        </is>
      </c>
      <c r="E3408" s="12" t="inlineStr"/>
      <c r="F3408" s="12" t="inlineStr">
        <is>
          <t>Water-wash pumps B</t>
        </is>
      </c>
      <c r="G3408" s="12" t="inlineStr">
        <is>
          <t>JB-Water-wash pumps B-AI01</t>
        </is>
      </c>
      <c r="H3408" s="12" t="inlineStr">
        <is>
          <t>Water-wash pumps B</t>
        </is>
      </c>
      <c r="I3408" s="12" t="inlineStr">
        <is>
          <t>Instrumentation</t>
        </is>
      </c>
      <c r="J3408" s="12" t="inlineStr">
        <is>
          <t>Instrumentation PLTC / TC-ER 300 V, #18 twisted shielded pairs, overall shield</t>
        </is>
      </c>
      <c r="K3408" s="12" t="inlineStr">
        <is>
          <t>PLTC|1 pr|16</t>
        </is>
      </c>
      <c r="L3408" s="12" t="inlineStr">
        <is>
          <t>1 pr</t>
        </is>
      </c>
      <c r="M3408" s="12" t="inlineStr">
        <is>
          <t>16</t>
        </is>
      </c>
      <c r="N3408" s="12" t="n">
        <v>8</v>
      </c>
      <c r="O3408" s="12" t="n">
        <v>1</v>
      </c>
      <c r="P3408" s="12" t="n"/>
      <c r="Q3408" s="12" t="n"/>
      <c r="R3408" s="12" t="n"/>
      <c r="S3408" s="12" t="inlineStr">
        <is>
          <t>Tray / conduit</t>
        </is>
      </c>
      <c r="T3408" s="16" t="n">
        <v>66</v>
      </c>
      <c r="U3408" s="16" t="n">
        <v>10</v>
      </c>
      <c r="V3408" s="16">
        <f>ROUNDUP((T3408+U3408+2*'Read Me'!$B$13)*(1+'Read Me'!$B$12),-1)</f>
        <v/>
      </c>
      <c r="W3408" s="16">
        <f>V3408*N3408*O3408</f>
        <v/>
      </c>
      <c r="X3408" s="12">
        <f>IF(LEFT(I3408,2)="MV",2*N3408*IF(L3408="1/C",O3408,1),0)</f>
        <v/>
      </c>
      <c r="Y3408" s="12">
        <f>IF(OR(LEFT(K3408,4)="LVAX",LEFT(K3408,6)="MV15AX",LEFT(K3408,4)="CTAX",LEFT(K3408,2)="W|"),2*N3408*O3408,0)</f>
        <v/>
      </c>
      <c r="Z3408" s="12" t="inlineStr">
        <is>
          <t>device-to-JB field wiring, one cable per device</t>
        </is>
      </c>
      <c r="AA3408" s="12">
        <f>N3408*O3408</f>
        <v/>
      </c>
    </row>
    <row r="3409">
      <c r="A3409" s="12" t="inlineStr">
        <is>
          <t>G-I-0278</t>
        </is>
      </c>
      <c r="B3409" s="12" t="inlineStr">
        <is>
          <t>G</t>
        </is>
      </c>
      <c r="C3409" s="12" t="inlineStr">
        <is>
          <t>Carbon capture</t>
        </is>
      </c>
      <c r="D3409" s="12" t="inlineStr">
        <is>
          <t>Home run JB-Water-wash pumps B-AI01 to the control / marshalling room</t>
        </is>
      </c>
      <c r="E3409" s="12" t="inlineStr"/>
      <c r="F3409" s="12" t="inlineStr">
        <is>
          <t>CCS F&amp;G / control</t>
        </is>
      </c>
      <c r="G3409" s="12" t="inlineStr">
        <is>
          <t>JB-Water-wash pumps B-AI01</t>
        </is>
      </c>
      <c r="H3409" s="12" t="inlineStr">
        <is>
          <t>Water-wash pumps B</t>
        </is>
      </c>
      <c r="I3409" s="12" t="inlineStr">
        <is>
          <t>Instrumentation</t>
        </is>
      </c>
      <c r="J3409" s="12" t="inlineStr">
        <is>
          <t>Instrumentation PLTC / TC-ER 300 V, #18 twisted shielded pairs, overall shield</t>
        </is>
      </c>
      <c r="K3409" s="12" t="inlineStr">
        <is>
          <t>PLTC|24 pr|18</t>
        </is>
      </c>
      <c r="L3409" s="12" t="inlineStr">
        <is>
          <t>24 pr</t>
        </is>
      </c>
      <c r="M3409" s="12" t="inlineStr">
        <is>
          <t>18</t>
        </is>
      </c>
      <c r="N3409" s="12" t="n">
        <v>1</v>
      </c>
      <c r="O3409" s="12" t="n">
        <v>1</v>
      </c>
      <c r="P3409" s="12" t="n"/>
      <c r="Q3409" s="12" t="n"/>
      <c r="R3409" s="12" t="n"/>
      <c r="S3409" s="12" t="inlineStr">
        <is>
          <t>Duct bank</t>
        </is>
      </c>
      <c r="T3409" s="16" t="n">
        <v>674</v>
      </c>
      <c r="U3409" s="16" t="n">
        <v>165</v>
      </c>
      <c r="V3409" s="16">
        <f>ROUNDUP((T3409+U3409+2*'Read Me'!$B$13)*(1+'Read Me'!$B$12),-1)</f>
        <v/>
      </c>
      <c r="W3409" s="16">
        <f>V3409*N3409*O3409</f>
        <v/>
      </c>
      <c r="X3409" s="12">
        <f>IF(LEFT(I3409,2)="MV",2*N3409*IF(L3409="1/C",O3409,1),0)</f>
        <v/>
      </c>
      <c r="Y3409" s="12">
        <f>IF(OR(LEFT(K3409,4)="LVAX",LEFT(K3409,6)="MV15AX",LEFT(K3409,4)="CTAX",LEFT(K3409,2)="W|"),2*N3409*O3409,0)</f>
        <v/>
      </c>
      <c r="Z3409" s="12" t="inlineStr"/>
      <c r="AA3409" s="12">
        <f>N3409*O3409</f>
        <v/>
      </c>
    </row>
    <row r="3410">
      <c r="A3410" s="12" t="inlineStr">
        <is>
          <t>G-I-0279</t>
        </is>
      </c>
      <c r="B3410" s="12" t="inlineStr">
        <is>
          <t>G</t>
        </is>
      </c>
      <c r="C3410" s="12" t="inlineStr">
        <is>
          <t>Carbon capture</t>
        </is>
      </c>
      <c r="D3410" s="12" t="inlineStr">
        <is>
          <t>Discrete device to JB JB-Water-wash pumps B-DI01: 8 x 1 pr (field cables)</t>
        </is>
      </c>
      <c r="E3410" s="12" t="inlineStr"/>
      <c r="F3410" s="12" t="inlineStr">
        <is>
          <t>Water-wash pumps B</t>
        </is>
      </c>
      <c r="G3410" s="12" t="inlineStr">
        <is>
          <t>JB-Water-wash pumps B-DI01</t>
        </is>
      </c>
      <c r="H3410" s="12" t="inlineStr">
        <is>
          <t>Water-wash pumps B</t>
        </is>
      </c>
      <c r="I3410" s="12" t="inlineStr">
        <is>
          <t>Instrumentation</t>
        </is>
      </c>
      <c r="J3410" s="12" t="inlineStr">
        <is>
          <t>Instrumentation PLTC / TC-ER 300 V, #18 twisted shielded pairs, overall shield</t>
        </is>
      </c>
      <c r="K3410" s="12" t="inlineStr">
        <is>
          <t>PLTC|1 pr|16</t>
        </is>
      </c>
      <c r="L3410" s="12" t="inlineStr">
        <is>
          <t>1 pr</t>
        </is>
      </c>
      <c r="M3410" s="12" t="inlineStr">
        <is>
          <t>16</t>
        </is>
      </c>
      <c r="N3410" s="12" t="n">
        <v>8</v>
      </c>
      <c r="O3410" s="12" t="n">
        <v>1</v>
      </c>
      <c r="P3410" s="12" t="n"/>
      <c r="Q3410" s="12" t="n"/>
      <c r="R3410" s="12" t="n"/>
      <c r="S3410" s="12" t="inlineStr">
        <is>
          <t>Tray / conduit</t>
        </is>
      </c>
      <c r="T3410" s="16" t="n">
        <v>66</v>
      </c>
      <c r="U3410" s="16" t="n">
        <v>10</v>
      </c>
      <c r="V3410" s="16">
        <f>ROUNDUP((T3410+U3410+2*'Read Me'!$B$13)*(1+'Read Me'!$B$12),-1)</f>
        <v/>
      </c>
      <c r="W3410" s="16">
        <f>V3410*N3410*O3410</f>
        <v/>
      </c>
      <c r="X3410" s="12">
        <f>IF(LEFT(I3410,2)="MV",2*N3410*IF(L3410="1/C",O3410,1),0)</f>
        <v/>
      </c>
      <c r="Y3410" s="12">
        <f>IF(OR(LEFT(K3410,4)="LVAX",LEFT(K3410,6)="MV15AX",LEFT(K3410,4)="CTAX",LEFT(K3410,2)="W|"),2*N3410*O3410,0)</f>
        <v/>
      </c>
      <c r="Z3410" s="12" t="inlineStr">
        <is>
          <t>device-to-JB field wiring, one cable per device</t>
        </is>
      </c>
      <c r="AA3410" s="12">
        <f>N3410*O3410</f>
        <v/>
      </c>
    </row>
    <row r="3411">
      <c r="A3411" s="12" t="inlineStr">
        <is>
          <t>G-I-0280</t>
        </is>
      </c>
      <c r="B3411" s="12" t="inlineStr">
        <is>
          <t>G</t>
        </is>
      </c>
      <c r="C3411" s="12" t="inlineStr">
        <is>
          <t>Carbon capture</t>
        </is>
      </c>
      <c r="D3411" s="12" t="inlineStr">
        <is>
          <t>Home run JB-Water-wash pumps B-DI01 to the control / marshalling room</t>
        </is>
      </c>
      <c r="E3411" s="12" t="inlineStr"/>
      <c r="F3411" s="12" t="inlineStr">
        <is>
          <t>CCS F&amp;G / control</t>
        </is>
      </c>
      <c r="G3411" s="12" t="inlineStr">
        <is>
          <t>JB-Water-wash pumps B-DI01</t>
        </is>
      </c>
      <c r="H3411" s="12" t="inlineStr">
        <is>
          <t>Water-wash pumps B</t>
        </is>
      </c>
      <c r="I3411" s="12" t="inlineStr">
        <is>
          <t>Instrumentation</t>
        </is>
      </c>
      <c r="J3411" s="12" t="inlineStr">
        <is>
          <t>Instrumentation PLTC / TC-ER 300 V, #18 twisted shielded pairs, overall shield</t>
        </is>
      </c>
      <c r="K3411" s="12" t="inlineStr">
        <is>
          <t>PLTC|24 pr|18</t>
        </is>
      </c>
      <c r="L3411" s="12" t="inlineStr">
        <is>
          <t>24 pr</t>
        </is>
      </c>
      <c r="M3411" s="12" t="inlineStr">
        <is>
          <t>18</t>
        </is>
      </c>
      <c r="N3411" s="12" t="n">
        <v>1</v>
      </c>
      <c r="O3411" s="12" t="n">
        <v>1</v>
      </c>
      <c r="P3411" s="12" t="n"/>
      <c r="Q3411" s="12" t="n"/>
      <c r="R3411" s="12" t="n"/>
      <c r="S3411" s="12" t="inlineStr">
        <is>
          <t>Duct bank</t>
        </is>
      </c>
      <c r="T3411" s="16" t="n">
        <v>674</v>
      </c>
      <c r="U3411" s="16" t="n">
        <v>165</v>
      </c>
      <c r="V3411" s="16">
        <f>ROUNDUP((T3411+U3411+2*'Read Me'!$B$13)*(1+'Read Me'!$B$12),-1)</f>
        <v/>
      </c>
      <c r="W3411" s="16">
        <f>V3411*N3411*O3411</f>
        <v/>
      </c>
      <c r="X3411" s="12">
        <f>IF(LEFT(I3411,2)="MV",2*N3411*IF(L3411="1/C",O3411,1),0)</f>
        <v/>
      </c>
      <c r="Y3411" s="12">
        <f>IF(OR(LEFT(K3411,4)="LVAX",LEFT(K3411,6)="MV15AX",LEFT(K3411,4)="CTAX",LEFT(K3411,2)="W|"),2*N3411*O3411,0)</f>
        <v/>
      </c>
      <c r="Z3411" s="12" t="inlineStr"/>
      <c r="AA3411" s="12">
        <f>N3411*O3411</f>
        <v/>
      </c>
    </row>
    <row r="3412">
      <c r="A3412" s="12" t="inlineStr">
        <is>
          <t>G-I-0281</t>
        </is>
      </c>
      <c r="B3412" s="12" t="inlineStr">
        <is>
          <t>G</t>
        </is>
      </c>
      <c r="C3412" s="12" t="inlineStr">
        <is>
          <t>Carbon capture</t>
        </is>
      </c>
      <c r="D3412" s="12" t="inlineStr">
        <is>
          <t>Analog instrument to JB JB-Water-wash pumps C-AI01: 8 x 1 pr (field cables)</t>
        </is>
      </c>
      <c r="E3412" s="12" t="inlineStr"/>
      <c r="F3412" s="12" t="inlineStr">
        <is>
          <t>Water-wash pumps C</t>
        </is>
      </c>
      <c r="G3412" s="12" t="inlineStr">
        <is>
          <t>JB-Water-wash pumps C-AI01</t>
        </is>
      </c>
      <c r="H3412" s="12" t="inlineStr">
        <is>
          <t>Water-wash pumps C</t>
        </is>
      </c>
      <c r="I3412" s="12" t="inlineStr">
        <is>
          <t>Instrumentation</t>
        </is>
      </c>
      <c r="J3412" s="12" t="inlineStr">
        <is>
          <t>Instrumentation PLTC / TC-ER 300 V, #18 twisted shielded pairs, overall shield</t>
        </is>
      </c>
      <c r="K3412" s="12" t="inlineStr">
        <is>
          <t>PLTC|1 pr|16</t>
        </is>
      </c>
      <c r="L3412" s="12" t="inlineStr">
        <is>
          <t>1 pr</t>
        </is>
      </c>
      <c r="M3412" s="12" t="inlineStr">
        <is>
          <t>16</t>
        </is>
      </c>
      <c r="N3412" s="12" t="n">
        <v>8</v>
      </c>
      <c r="O3412" s="12" t="n">
        <v>1</v>
      </c>
      <c r="P3412" s="12" t="n"/>
      <c r="Q3412" s="12" t="n"/>
      <c r="R3412" s="12" t="n"/>
      <c r="S3412" s="12" t="inlineStr">
        <is>
          <t>Tray / conduit</t>
        </is>
      </c>
      <c r="T3412" s="16" t="n">
        <v>66</v>
      </c>
      <c r="U3412" s="16" t="n">
        <v>10</v>
      </c>
      <c r="V3412" s="16">
        <f>ROUNDUP((T3412+U3412+2*'Read Me'!$B$13)*(1+'Read Me'!$B$12),-1)</f>
        <v/>
      </c>
      <c r="W3412" s="16">
        <f>V3412*N3412*O3412</f>
        <v/>
      </c>
      <c r="X3412" s="12">
        <f>IF(LEFT(I3412,2)="MV",2*N3412*IF(L3412="1/C",O3412,1),0)</f>
        <v/>
      </c>
      <c r="Y3412" s="12">
        <f>IF(OR(LEFT(K3412,4)="LVAX",LEFT(K3412,6)="MV15AX",LEFT(K3412,4)="CTAX",LEFT(K3412,2)="W|"),2*N3412*O3412,0)</f>
        <v/>
      </c>
      <c r="Z3412" s="12" t="inlineStr">
        <is>
          <t>device-to-JB field wiring, one cable per device</t>
        </is>
      </c>
      <c r="AA3412" s="12">
        <f>N3412*O3412</f>
        <v/>
      </c>
    </row>
    <row r="3413">
      <c r="A3413" s="12" t="inlineStr">
        <is>
          <t>G-I-0282</t>
        </is>
      </c>
      <c r="B3413" s="12" t="inlineStr">
        <is>
          <t>G</t>
        </is>
      </c>
      <c r="C3413" s="12" t="inlineStr">
        <is>
          <t>Carbon capture</t>
        </is>
      </c>
      <c r="D3413" s="12" t="inlineStr">
        <is>
          <t>Home run JB-Water-wash pumps C-AI01 to the control / marshalling room</t>
        </is>
      </c>
      <c r="E3413" s="12" t="inlineStr"/>
      <c r="F3413" s="12" t="inlineStr">
        <is>
          <t>CCS F&amp;G / control</t>
        </is>
      </c>
      <c r="G3413" s="12" t="inlineStr">
        <is>
          <t>JB-Water-wash pumps C-AI01</t>
        </is>
      </c>
      <c r="H3413" s="12" t="inlineStr">
        <is>
          <t>Water-wash pumps C</t>
        </is>
      </c>
      <c r="I3413" s="12" t="inlineStr">
        <is>
          <t>Instrumentation</t>
        </is>
      </c>
      <c r="J3413" s="12" t="inlineStr">
        <is>
          <t>Instrumentation PLTC / TC-ER 300 V, #18 twisted shielded pairs, overall shield</t>
        </is>
      </c>
      <c r="K3413" s="12" t="inlineStr">
        <is>
          <t>PLTC|24 pr|18</t>
        </is>
      </c>
      <c r="L3413" s="12" t="inlineStr">
        <is>
          <t>24 pr</t>
        </is>
      </c>
      <c r="M3413" s="12" t="inlineStr">
        <is>
          <t>18</t>
        </is>
      </c>
      <c r="N3413" s="12" t="n">
        <v>1</v>
      </c>
      <c r="O3413" s="12" t="n">
        <v>1</v>
      </c>
      <c r="P3413" s="12" t="n"/>
      <c r="Q3413" s="12" t="n"/>
      <c r="R3413" s="12" t="n"/>
      <c r="S3413" s="12" t="inlineStr">
        <is>
          <t>Duct bank</t>
        </is>
      </c>
      <c r="T3413" s="16" t="n">
        <v>514</v>
      </c>
      <c r="U3413" s="16" t="n">
        <v>165</v>
      </c>
      <c r="V3413" s="16">
        <f>ROUNDUP((T3413+U3413+2*'Read Me'!$B$13)*(1+'Read Me'!$B$12),-1)</f>
        <v/>
      </c>
      <c r="W3413" s="16">
        <f>V3413*N3413*O3413</f>
        <v/>
      </c>
      <c r="X3413" s="12">
        <f>IF(LEFT(I3413,2)="MV",2*N3413*IF(L3413="1/C",O3413,1),0)</f>
        <v/>
      </c>
      <c r="Y3413" s="12">
        <f>IF(OR(LEFT(K3413,4)="LVAX",LEFT(K3413,6)="MV15AX",LEFT(K3413,4)="CTAX",LEFT(K3413,2)="W|"),2*N3413*O3413,0)</f>
        <v/>
      </c>
      <c r="Z3413" s="12" t="inlineStr"/>
      <c r="AA3413" s="12">
        <f>N3413*O3413</f>
        <v/>
      </c>
    </row>
    <row r="3414">
      <c r="A3414" s="12" t="inlineStr">
        <is>
          <t>G-I-0283</t>
        </is>
      </c>
      <c r="B3414" s="12" t="inlineStr">
        <is>
          <t>G</t>
        </is>
      </c>
      <c r="C3414" s="12" t="inlineStr">
        <is>
          <t>Carbon capture</t>
        </is>
      </c>
      <c r="D3414" s="12" t="inlineStr">
        <is>
          <t>Discrete device to JB JB-Water-wash pumps C-DI01: 8 x 1 pr (field cables)</t>
        </is>
      </c>
      <c r="E3414" s="12" t="inlineStr"/>
      <c r="F3414" s="12" t="inlineStr">
        <is>
          <t>Water-wash pumps C</t>
        </is>
      </c>
      <c r="G3414" s="12" t="inlineStr">
        <is>
          <t>JB-Water-wash pumps C-DI01</t>
        </is>
      </c>
      <c r="H3414" s="12" t="inlineStr">
        <is>
          <t>Water-wash pumps C</t>
        </is>
      </c>
      <c r="I3414" s="12" t="inlineStr">
        <is>
          <t>Instrumentation</t>
        </is>
      </c>
      <c r="J3414" s="12" t="inlineStr">
        <is>
          <t>Instrumentation PLTC / TC-ER 300 V, #18 twisted shielded pairs, overall shield</t>
        </is>
      </c>
      <c r="K3414" s="12" t="inlineStr">
        <is>
          <t>PLTC|1 pr|16</t>
        </is>
      </c>
      <c r="L3414" s="12" t="inlineStr">
        <is>
          <t>1 pr</t>
        </is>
      </c>
      <c r="M3414" s="12" t="inlineStr">
        <is>
          <t>16</t>
        </is>
      </c>
      <c r="N3414" s="12" t="n">
        <v>8</v>
      </c>
      <c r="O3414" s="12" t="n">
        <v>1</v>
      </c>
      <c r="P3414" s="12" t="n"/>
      <c r="Q3414" s="12" t="n"/>
      <c r="R3414" s="12" t="n"/>
      <c r="S3414" s="12" t="inlineStr">
        <is>
          <t>Tray / conduit</t>
        </is>
      </c>
      <c r="T3414" s="16" t="n">
        <v>66</v>
      </c>
      <c r="U3414" s="16" t="n">
        <v>10</v>
      </c>
      <c r="V3414" s="16">
        <f>ROUNDUP((T3414+U3414+2*'Read Me'!$B$13)*(1+'Read Me'!$B$12),-1)</f>
        <v/>
      </c>
      <c r="W3414" s="16">
        <f>V3414*N3414*O3414</f>
        <v/>
      </c>
      <c r="X3414" s="12">
        <f>IF(LEFT(I3414,2)="MV",2*N3414*IF(L3414="1/C",O3414,1),0)</f>
        <v/>
      </c>
      <c r="Y3414" s="12">
        <f>IF(OR(LEFT(K3414,4)="LVAX",LEFT(K3414,6)="MV15AX",LEFT(K3414,4)="CTAX",LEFT(K3414,2)="W|"),2*N3414*O3414,0)</f>
        <v/>
      </c>
      <c r="Z3414" s="12" t="inlineStr">
        <is>
          <t>device-to-JB field wiring, one cable per device</t>
        </is>
      </c>
      <c r="AA3414" s="12">
        <f>N3414*O3414</f>
        <v/>
      </c>
    </row>
    <row r="3415">
      <c r="A3415" s="12" t="inlineStr">
        <is>
          <t>G-I-0284</t>
        </is>
      </c>
      <c r="B3415" s="12" t="inlineStr">
        <is>
          <t>G</t>
        </is>
      </c>
      <c r="C3415" s="12" t="inlineStr">
        <is>
          <t>Carbon capture</t>
        </is>
      </c>
      <c r="D3415" s="12" t="inlineStr">
        <is>
          <t>Home run JB-Water-wash pumps C-DI01 to the control / marshalling room</t>
        </is>
      </c>
      <c r="E3415" s="12" t="inlineStr"/>
      <c r="F3415" s="12" t="inlineStr">
        <is>
          <t>CCS F&amp;G / control</t>
        </is>
      </c>
      <c r="G3415" s="12" t="inlineStr">
        <is>
          <t>JB-Water-wash pumps C-DI01</t>
        </is>
      </c>
      <c r="H3415" s="12" t="inlineStr">
        <is>
          <t>Water-wash pumps C</t>
        </is>
      </c>
      <c r="I3415" s="12" t="inlineStr">
        <is>
          <t>Instrumentation</t>
        </is>
      </c>
      <c r="J3415" s="12" t="inlineStr">
        <is>
          <t>Instrumentation PLTC / TC-ER 300 V, #18 twisted shielded pairs, overall shield</t>
        </is>
      </c>
      <c r="K3415" s="12" t="inlineStr">
        <is>
          <t>PLTC|24 pr|18</t>
        </is>
      </c>
      <c r="L3415" s="12" t="inlineStr">
        <is>
          <t>24 pr</t>
        </is>
      </c>
      <c r="M3415" s="12" t="inlineStr">
        <is>
          <t>18</t>
        </is>
      </c>
      <c r="N3415" s="12" t="n">
        <v>1</v>
      </c>
      <c r="O3415" s="12" t="n">
        <v>1</v>
      </c>
      <c r="P3415" s="12" t="n"/>
      <c r="Q3415" s="12" t="n"/>
      <c r="R3415" s="12" t="n"/>
      <c r="S3415" s="12" t="inlineStr">
        <is>
          <t>Duct bank</t>
        </is>
      </c>
      <c r="T3415" s="16" t="n">
        <v>514</v>
      </c>
      <c r="U3415" s="16" t="n">
        <v>165</v>
      </c>
      <c r="V3415" s="16">
        <f>ROUNDUP((T3415+U3415+2*'Read Me'!$B$13)*(1+'Read Me'!$B$12),-1)</f>
        <v/>
      </c>
      <c r="W3415" s="16">
        <f>V3415*N3415*O3415</f>
        <v/>
      </c>
      <c r="X3415" s="12">
        <f>IF(LEFT(I3415,2)="MV",2*N3415*IF(L3415="1/C",O3415,1),0)</f>
        <v/>
      </c>
      <c r="Y3415" s="12">
        <f>IF(OR(LEFT(K3415,4)="LVAX",LEFT(K3415,6)="MV15AX",LEFT(K3415,4)="CTAX",LEFT(K3415,2)="W|"),2*N3415*O3415,0)</f>
        <v/>
      </c>
      <c r="Z3415" s="12" t="inlineStr"/>
      <c r="AA3415" s="12">
        <f>N3415*O3415</f>
        <v/>
      </c>
    </row>
    <row r="3416">
      <c r="A3416" s="12" t="inlineStr">
        <is>
          <t>G-P-0001</t>
        </is>
      </c>
      <c r="B3416" s="12" t="inlineStr">
        <is>
          <t>G</t>
        </is>
      </c>
      <c r="C3416" s="12" t="inlineStr">
        <is>
          <t>Carbon capture</t>
        </is>
      </c>
      <c r="D3416" s="12" t="inlineStr">
        <is>
          <t>MOV 1: power</t>
        </is>
      </c>
      <c r="E3416" s="12" t="inlineStr"/>
      <c r="F3416" s="12" t="inlineStr">
        <is>
          <t>CCS MV switchgear building (VFDs)</t>
        </is>
      </c>
      <c r="G3416" s="12" t="inlineStr">
        <is>
          <t>ABS-A</t>
        </is>
      </c>
      <c r="H3416" s="12" t="inlineStr">
        <is>
          <t>Absorber A (62 ft dia x 262 ft, stack to 313 ft)</t>
        </is>
      </c>
      <c r="I3416" s="12" t="inlineStr">
        <is>
          <t>LV 600 V</t>
        </is>
      </c>
      <c r="J3416" s="12" t="inlineStr">
        <is>
          <t>Type TC-ER 600 V 3/C Cu XHHW-2 + ground, PVC jacket</t>
        </is>
      </c>
      <c r="K3416" s="12" t="inlineStr">
        <is>
          <t>LV|3/C+G|10</t>
        </is>
      </c>
      <c r="L3416" s="12" t="inlineStr">
        <is>
          <t>3/C+G</t>
        </is>
      </c>
      <c r="M3416" s="12" t="inlineStr">
        <is>
          <t>10</t>
        </is>
      </c>
      <c r="N3416" s="12" t="n">
        <v>1</v>
      </c>
      <c r="O3416" s="12" t="n">
        <v>1</v>
      </c>
      <c r="P3416" s="12" t="n">
        <v>480</v>
      </c>
      <c r="Q3416" s="12" t="n">
        <v>2.5</v>
      </c>
      <c r="R3416" s="12" t="n">
        <v>3.5</v>
      </c>
      <c r="S3416" s="12" t="inlineStr">
        <is>
          <t>Tray</t>
        </is>
      </c>
      <c r="T3416" s="16" t="n">
        <v>570</v>
      </c>
      <c r="U3416" s="16" t="n">
        <v>80</v>
      </c>
      <c r="V3416" s="16">
        <f>ROUNDUP((T3416+U3416+2*'Read Me'!$B$13)*(1+'Read Me'!$B$12),-1)</f>
        <v/>
      </c>
      <c r="W3416" s="16">
        <f>V3416*N3416*O3416</f>
        <v/>
      </c>
      <c r="X3416" s="12">
        <f>IF(LEFT(I3416,2)="MV",2*N3416*IF(L3416="1/C",O3416,1),0)</f>
        <v/>
      </c>
      <c r="Y3416" s="12">
        <f>IF(OR(LEFT(K3416,4)="LVAX",LEFT(K3416,6)="MV15AX",LEFT(K3416,4)="CTAX",LEFT(K3416,2)="W|"),2*N3416*O3416,0)</f>
        <v/>
      </c>
      <c r="Z3416" s="12" t="inlineStr">
        <is>
          <t>VD 1.1 %</t>
        </is>
      </c>
      <c r="AA3416" s="12">
        <f>N3416*O3416</f>
        <v/>
      </c>
    </row>
    <row r="3417">
      <c r="A3417" s="12" t="inlineStr">
        <is>
          <t>G-P-0002</t>
        </is>
      </c>
      <c r="B3417" s="12" t="inlineStr">
        <is>
          <t>G</t>
        </is>
      </c>
      <c r="C3417" s="12" t="inlineStr">
        <is>
          <t>Carbon capture</t>
        </is>
      </c>
      <c r="D3417" s="12" t="inlineStr">
        <is>
          <t>MOV 2: power</t>
        </is>
      </c>
      <c r="E3417" s="12" t="inlineStr"/>
      <c r="F3417" s="12" t="inlineStr">
        <is>
          <t>CCS MV switchgear building (VFDs)</t>
        </is>
      </c>
      <c r="G3417" s="12" t="inlineStr">
        <is>
          <t>ABS-A</t>
        </is>
      </c>
      <c r="H3417" s="12" t="inlineStr">
        <is>
          <t>Absorber A (62 ft dia x 262 ft, stack to 313 ft)</t>
        </is>
      </c>
      <c r="I3417" s="12" t="inlineStr">
        <is>
          <t>LV 600 V</t>
        </is>
      </c>
      <c r="J3417" s="12" t="inlineStr">
        <is>
          <t>Type TC-ER 600 V 3/C Cu XHHW-2 + ground, PVC jacket</t>
        </is>
      </c>
      <c r="K3417" s="12" t="inlineStr">
        <is>
          <t>LV|3/C+G|10</t>
        </is>
      </c>
      <c r="L3417" s="12" t="inlineStr">
        <is>
          <t>3/C+G</t>
        </is>
      </c>
      <c r="M3417" s="12" t="inlineStr">
        <is>
          <t>10</t>
        </is>
      </c>
      <c r="N3417" s="12" t="n">
        <v>1</v>
      </c>
      <c r="O3417" s="12" t="n">
        <v>1</v>
      </c>
      <c r="P3417" s="12" t="n">
        <v>480</v>
      </c>
      <c r="Q3417" s="12" t="n">
        <v>2.5</v>
      </c>
      <c r="R3417" s="12" t="n">
        <v>3.5</v>
      </c>
      <c r="S3417" s="12" t="inlineStr">
        <is>
          <t>Tray</t>
        </is>
      </c>
      <c r="T3417" s="16" t="n">
        <v>570</v>
      </c>
      <c r="U3417" s="16" t="n">
        <v>80</v>
      </c>
      <c r="V3417" s="16">
        <f>ROUNDUP((T3417+U3417+2*'Read Me'!$B$13)*(1+'Read Me'!$B$12),-1)</f>
        <v/>
      </c>
      <c r="W3417" s="16">
        <f>V3417*N3417*O3417</f>
        <v/>
      </c>
      <c r="X3417" s="12">
        <f>IF(LEFT(I3417,2)="MV",2*N3417*IF(L3417="1/C",O3417,1),0)</f>
        <v/>
      </c>
      <c r="Y3417" s="12">
        <f>IF(OR(LEFT(K3417,4)="LVAX",LEFT(K3417,6)="MV15AX",LEFT(K3417,4)="CTAX",LEFT(K3417,2)="W|"),2*N3417*O3417,0)</f>
        <v/>
      </c>
      <c r="Z3417" s="12" t="inlineStr">
        <is>
          <t>VD 1.1 %</t>
        </is>
      </c>
      <c r="AA3417" s="12">
        <f>N3417*O3417</f>
        <v/>
      </c>
    </row>
    <row r="3418">
      <c r="A3418" s="12" t="inlineStr">
        <is>
          <t>G-P-0003</t>
        </is>
      </c>
      <c r="B3418" s="12" t="inlineStr">
        <is>
          <t>G</t>
        </is>
      </c>
      <c r="C3418" s="12" t="inlineStr">
        <is>
          <t>Carbon capture</t>
        </is>
      </c>
      <c r="D3418" s="12" t="inlineStr">
        <is>
          <t>MOV 3: power</t>
        </is>
      </c>
      <c r="E3418" s="12" t="inlineStr"/>
      <c r="F3418" s="12" t="inlineStr">
        <is>
          <t>CCS MV switchgear building (VFDs)</t>
        </is>
      </c>
      <c r="G3418" s="12" t="inlineStr">
        <is>
          <t>ABS-A</t>
        </is>
      </c>
      <c r="H3418" s="12" t="inlineStr">
        <is>
          <t>Absorber A (62 ft dia x 262 ft, stack to 313 ft)</t>
        </is>
      </c>
      <c r="I3418" s="12" t="inlineStr">
        <is>
          <t>LV 600 V</t>
        </is>
      </c>
      <c r="J3418" s="12" t="inlineStr">
        <is>
          <t>Type TC-ER 600 V 3/C Cu XHHW-2 + ground, PVC jacket</t>
        </is>
      </c>
      <c r="K3418" s="12" t="inlineStr">
        <is>
          <t>LV|3/C+G|10</t>
        </is>
      </c>
      <c r="L3418" s="12" t="inlineStr">
        <is>
          <t>3/C+G</t>
        </is>
      </c>
      <c r="M3418" s="12" t="inlineStr">
        <is>
          <t>10</t>
        </is>
      </c>
      <c r="N3418" s="12" t="n">
        <v>1</v>
      </c>
      <c r="O3418" s="12" t="n">
        <v>1</v>
      </c>
      <c r="P3418" s="12" t="n">
        <v>480</v>
      </c>
      <c r="Q3418" s="12" t="n">
        <v>2.5</v>
      </c>
      <c r="R3418" s="12" t="n">
        <v>3.5</v>
      </c>
      <c r="S3418" s="12" t="inlineStr">
        <is>
          <t>Tray</t>
        </is>
      </c>
      <c r="T3418" s="16" t="n">
        <v>570</v>
      </c>
      <c r="U3418" s="16" t="n">
        <v>80</v>
      </c>
      <c r="V3418" s="16">
        <f>ROUNDUP((T3418+U3418+2*'Read Me'!$B$13)*(1+'Read Me'!$B$12),-1)</f>
        <v/>
      </c>
      <c r="W3418" s="16">
        <f>V3418*N3418*O3418</f>
        <v/>
      </c>
      <c r="X3418" s="12">
        <f>IF(LEFT(I3418,2)="MV",2*N3418*IF(L3418="1/C",O3418,1),0)</f>
        <v/>
      </c>
      <c r="Y3418" s="12">
        <f>IF(OR(LEFT(K3418,4)="LVAX",LEFT(K3418,6)="MV15AX",LEFT(K3418,4)="CTAX",LEFT(K3418,2)="W|"),2*N3418*O3418,0)</f>
        <v/>
      </c>
      <c r="Z3418" s="12" t="inlineStr">
        <is>
          <t>VD 1.1 %</t>
        </is>
      </c>
      <c r="AA3418" s="12">
        <f>N3418*O3418</f>
        <v/>
      </c>
    </row>
    <row r="3419">
      <c r="A3419" s="12" t="inlineStr">
        <is>
          <t>G-P-0004</t>
        </is>
      </c>
      <c r="B3419" s="12" t="inlineStr">
        <is>
          <t>G</t>
        </is>
      </c>
      <c r="C3419" s="12" t="inlineStr">
        <is>
          <t>Carbon capture</t>
        </is>
      </c>
      <c r="D3419" s="12" t="inlineStr">
        <is>
          <t>MOV 4: power</t>
        </is>
      </c>
      <c r="E3419" s="12" t="inlineStr"/>
      <c r="F3419" s="12" t="inlineStr">
        <is>
          <t>CCS MV switchgear building (VFDs)</t>
        </is>
      </c>
      <c r="G3419" s="12" t="inlineStr">
        <is>
          <t>ABS-A</t>
        </is>
      </c>
      <c r="H3419" s="12" t="inlineStr">
        <is>
          <t>Absorber A (62 ft dia x 262 ft, stack to 313 ft)</t>
        </is>
      </c>
      <c r="I3419" s="12" t="inlineStr">
        <is>
          <t>LV 600 V</t>
        </is>
      </c>
      <c r="J3419" s="12" t="inlineStr">
        <is>
          <t>Type TC-ER 600 V 3/C Cu XHHW-2 + ground, PVC jacket</t>
        </is>
      </c>
      <c r="K3419" s="12" t="inlineStr">
        <is>
          <t>LV|3/C+G|10</t>
        </is>
      </c>
      <c r="L3419" s="12" t="inlineStr">
        <is>
          <t>3/C+G</t>
        </is>
      </c>
      <c r="M3419" s="12" t="inlineStr">
        <is>
          <t>10</t>
        </is>
      </c>
      <c r="N3419" s="12" t="n">
        <v>1</v>
      </c>
      <c r="O3419" s="12" t="n">
        <v>1</v>
      </c>
      <c r="P3419" s="12" t="n">
        <v>480</v>
      </c>
      <c r="Q3419" s="12" t="n">
        <v>2.5</v>
      </c>
      <c r="R3419" s="12" t="n">
        <v>3.5</v>
      </c>
      <c r="S3419" s="12" t="inlineStr">
        <is>
          <t>Tray</t>
        </is>
      </c>
      <c r="T3419" s="16" t="n">
        <v>570</v>
      </c>
      <c r="U3419" s="16" t="n">
        <v>80</v>
      </c>
      <c r="V3419" s="16">
        <f>ROUNDUP((T3419+U3419+2*'Read Me'!$B$13)*(1+'Read Me'!$B$12),-1)</f>
        <v/>
      </c>
      <c r="W3419" s="16">
        <f>V3419*N3419*O3419</f>
        <v/>
      </c>
      <c r="X3419" s="12">
        <f>IF(LEFT(I3419,2)="MV",2*N3419*IF(L3419="1/C",O3419,1),0)</f>
        <v/>
      </c>
      <c r="Y3419" s="12">
        <f>IF(OR(LEFT(K3419,4)="LVAX",LEFT(K3419,6)="MV15AX",LEFT(K3419,4)="CTAX",LEFT(K3419,2)="W|"),2*N3419*O3419,0)</f>
        <v/>
      </c>
      <c r="Z3419" s="12" t="inlineStr">
        <is>
          <t>VD 1.1 %</t>
        </is>
      </c>
      <c r="AA3419" s="12">
        <f>N3419*O3419</f>
        <v/>
      </c>
    </row>
    <row r="3420">
      <c r="A3420" s="12" t="inlineStr">
        <is>
          <t>G-P-0005</t>
        </is>
      </c>
      <c r="B3420" s="12" t="inlineStr">
        <is>
          <t>G</t>
        </is>
      </c>
      <c r="C3420" s="12" t="inlineStr">
        <is>
          <t>Carbon capture</t>
        </is>
      </c>
      <c r="D3420" s="12" t="inlineStr">
        <is>
          <t>MOV 5: power</t>
        </is>
      </c>
      <c r="E3420" s="12" t="inlineStr"/>
      <c r="F3420" s="12" t="inlineStr">
        <is>
          <t>CCS MV switchgear building (VFDs)</t>
        </is>
      </c>
      <c r="G3420" s="12" t="inlineStr">
        <is>
          <t>ABS-A</t>
        </is>
      </c>
      <c r="H3420" s="12" t="inlineStr">
        <is>
          <t>Absorber A (62 ft dia x 262 ft, stack to 313 ft)</t>
        </is>
      </c>
      <c r="I3420" s="12" t="inlineStr">
        <is>
          <t>LV 600 V</t>
        </is>
      </c>
      <c r="J3420" s="12" t="inlineStr">
        <is>
          <t>Type TC-ER 600 V 3/C Cu XHHW-2 + ground, PVC jacket</t>
        </is>
      </c>
      <c r="K3420" s="12" t="inlineStr">
        <is>
          <t>LV|3/C+G|10</t>
        </is>
      </c>
      <c r="L3420" s="12" t="inlineStr">
        <is>
          <t>3/C+G</t>
        </is>
      </c>
      <c r="M3420" s="12" t="inlineStr">
        <is>
          <t>10</t>
        </is>
      </c>
      <c r="N3420" s="12" t="n">
        <v>1</v>
      </c>
      <c r="O3420" s="12" t="n">
        <v>1</v>
      </c>
      <c r="P3420" s="12" t="n">
        <v>480</v>
      </c>
      <c r="Q3420" s="12" t="n">
        <v>2.5</v>
      </c>
      <c r="R3420" s="12" t="n">
        <v>3.5</v>
      </c>
      <c r="S3420" s="12" t="inlineStr">
        <is>
          <t>Tray</t>
        </is>
      </c>
      <c r="T3420" s="16" t="n">
        <v>570</v>
      </c>
      <c r="U3420" s="16" t="n">
        <v>80</v>
      </c>
      <c r="V3420" s="16">
        <f>ROUNDUP((T3420+U3420+2*'Read Me'!$B$13)*(1+'Read Me'!$B$12),-1)</f>
        <v/>
      </c>
      <c r="W3420" s="16">
        <f>V3420*N3420*O3420</f>
        <v/>
      </c>
      <c r="X3420" s="12">
        <f>IF(LEFT(I3420,2)="MV",2*N3420*IF(L3420="1/C",O3420,1),0)</f>
        <v/>
      </c>
      <c r="Y3420" s="12">
        <f>IF(OR(LEFT(K3420,4)="LVAX",LEFT(K3420,6)="MV15AX",LEFT(K3420,4)="CTAX",LEFT(K3420,2)="W|"),2*N3420*O3420,0)</f>
        <v/>
      </c>
      <c r="Z3420" s="12" t="inlineStr">
        <is>
          <t>VD 1.1 %</t>
        </is>
      </c>
      <c r="AA3420" s="12">
        <f>N3420*O3420</f>
        <v/>
      </c>
    </row>
    <row r="3421">
      <c r="A3421" s="12" t="inlineStr">
        <is>
          <t>G-P-0006</t>
        </is>
      </c>
      <c r="B3421" s="12" t="inlineStr">
        <is>
          <t>G</t>
        </is>
      </c>
      <c r="C3421" s="12" t="inlineStr">
        <is>
          <t>Carbon capture</t>
        </is>
      </c>
      <c r="D3421" s="12" t="inlineStr">
        <is>
          <t>MOV 6: power</t>
        </is>
      </c>
      <c r="E3421" s="12" t="inlineStr"/>
      <c r="F3421" s="12" t="inlineStr">
        <is>
          <t>CCS MV switchgear building (VFDs)</t>
        </is>
      </c>
      <c r="G3421" s="12" t="inlineStr">
        <is>
          <t>ABS-A</t>
        </is>
      </c>
      <c r="H3421" s="12" t="inlineStr">
        <is>
          <t>Absorber A (62 ft dia x 262 ft, stack to 313 ft)</t>
        </is>
      </c>
      <c r="I3421" s="12" t="inlineStr">
        <is>
          <t>LV 600 V</t>
        </is>
      </c>
      <c r="J3421" s="12" t="inlineStr">
        <is>
          <t>Type TC-ER 600 V 3/C Cu XHHW-2 + ground, PVC jacket</t>
        </is>
      </c>
      <c r="K3421" s="12" t="inlineStr">
        <is>
          <t>LV|3/C+G|10</t>
        </is>
      </c>
      <c r="L3421" s="12" t="inlineStr">
        <is>
          <t>3/C+G</t>
        </is>
      </c>
      <c r="M3421" s="12" t="inlineStr">
        <is>
          <t>10</t>
        </is>
      </c>
      <c r="N3421" s="12" t="n">
        <v>1</v>
      </c>
      <c r="O3421" s="12" t="n">
        <v>1</v>
      </c>
      <c r="P3421" s="12" t="n">
        <v>480</v>
      </c>
      <c r="Q3421" s="12" t="n">
        <v>2.5</v>
      </c>
      <c r="R3421" s="12" t="n">
        <v>3.5</v>
      </c>
      <c r="S3421" s="12" t="inlineStr">
        <is>
          <t>Tray</t>
        </is>
      </c>
      <c r="T3421" s="16" t="n">
        <v>570</v>
      </c>
      <c r="U3421" s="16" t="n">
        <v>80</v>
      </c>
      <c r="V3421" s="16">
        <f>ROUNDUP((T3421+U3421+2*'Read Me'!$B$13)*(1+'Read Me'!$B$12),-1)</f>
        <v/>
      </c>
      <c r="W3421" s="16">
        <f>V3421*N3421*O3421</f>
        <v/>
      </c>
      <c r="X3421" s="12">
        <f>IF(LEFT(I3421,2)="MV",2*N3421*IF(L3421="1/C",O3421,1),0)</f>
        <v/>
      </c>
      <c r="Y3421" s="12">
        <f>IF(OR(LEFT(K3421,4)="LVAX",LEFT(K3421,6)="MV15AX",LEFT(K3421,4)="CTAX",LEFT(K3421,2)="W|"),2*N3421*O3421,0)</f>
        <v/>
      </c>
      <c r="Z3421" s="12" t="inlineStr">
        <is>
          <t>VD 1.1 %</t>
        </is>
      </c>
      <c r="AA3421" s="12">
        <f>N3421*O3421</f>
        <v/>
      </c>
    </row>
    <row r="3422">
      <c r="A3422" s="12" t="inlineStr">
        <is>
          <t>G-P-0007</t>
        </is>
      </c>
      <c r="B3422" s="12" t="inlineStr">
        <is>
          <t>G</t>
        </is>
      </c>
      <c r="C3422" s="12" t="inlineStr">
        <is>
          <t>Carbon capture</t>
        </is>
      </c>
      <c r="D3422" s="12" t="inlineStr">
        <is>
          <t>MOV 7: power</t>
        </is>
      </c>
      <c r="E3422" s="12" t="inlineStr"/>
      <c r="F3422" s="12" t="inlineStr">
        <is>
          <t>CCS MV switchgear building (VFDs)</t>
        </is>
      </c>
      <c r="G3422" s="12" t="inlineStr">
        <is>
          <t>ABS-A</t>
        </is>
      </c>
      <c r="H3422" s="12" t="inlineStr">
        <is>
          <t>Absorber A (62 ft dia x 262 ft, stack to 313 ft)</t>
        </is>
      </c>
      <c r="I3422" s="12" t="inlineStr">
        <is>
          <t>LV 600 V</t>
        </is>
      </c>
      <c r="J3422" s="12" t="inlineStr">
        <is>
          <t>Type TC-ER 600 V 3/C Cu XHHW-2 + ground, PVC jacket</t>
        </is>
      </c>
      <c r="K3422" s="12" t="inlineStr">
        <is>
          <t>LV|3/C+G|10</t>
        </is>
      </c>
      <c r="L3422" s="12" t="inlineStr">
        <is>
          <t>3/C+G</t>
        </is>
      </c>
      <c r="M3422" s="12" t="inlineStr">
        <is>
          <t>10</t>
        </is>
      </c>
      <c r="N3422" s="12" t="n">
        <v>1</v>
      </c>
      <c r="O3422" s="12" t="n">
        <v>1</v>
      </c>
      <c r="P3422" s="12" t="n">
        <v>480</v>
      </c>
      <c r="Q3422" s="12" t="n">
        <v>2.5</v>
      </c>
      <c r="R3422" s="12" t="n">
        <v>3.5</v>
      </c>
      <c r="S3422" s="12" t="inlineStr">
        <is>
          <t>Tray</t>
        </is>
      </c>
      <c r="T3422" s="16" t="n">
        <v>570</v>
      </c>
      <c r="U3422" s="16" t="n">
        <v>80</v>
      </c>
      <c r="V3422" s="16">
        <f>ROUNDUP((T3422+U3422+2*'Read Me'!$B$13)*(1+'Read Me'!$B$12),-1)</f>
        <v/>
      </c>
      <c r="W3422" s="16">
        <f>V3422*N3422*O3422</f>
        <v/>
      </c>
      <c r="X3422" s="12">
        <f>IF(LEFT(I3422,2)="MV",2*N3422*IF(L3422="1/C",O3422,1),0)</f>
        <v/>
      </c>
      <c r="Y3422" s="12">
        <f>IF(OR(LEFT(K3422,4)="LVAX",LEFT(K3422,6)="MV15AX",LEFT(K3422,4)="CTAX",LEFT(K3422,2)="W|"),2*N3422*O3422,0)</f>
        <v/>
      </c>
      <c r="Z3422" s="12" t="inlineStr">
        <is>
          <t>VD 1.1 %</t>
        </is>
      </c>
      <c r="AA3422" s="12">
        <f>N3422*O3422</f>
        <v/>
      </c>
    </row>
    <row r="3423">
      <c r="A3423" s="12" t="inlineStr">
        <is>
          <t>G-P-0008</t>
        </is>
      </c>
      <c r="B3423" s="12" t="inlineStr">
        <is>
          <t>G</t>
        </is>
      </c>
      <c r="C3423" s="12" t="inlineStr">
        <is>
          <t>Carbon capture</t>
        </is>
      </c>
      <c r="D3423" s="12" t="inlineStr">
        <is>
          <t>MOV 8: power</t>
        </is>
      </c>
      <c r="E3423" s="12" t="inlineStr"/>
      <c r="F3423" s="12" t="inlineStr">
        <is>
          <t>CCS MV switchgear building (VFDs)</t>
        </is>
      </c>
      <c r="G3423" s="12" t="inlineStr">
        <is>
          <t>ABS-A</t>
        </is>
      </c>
      <c r="H3423" s="12" t="inlineStr">
        <is>
          <t>Absorber A (62 ft dia x 262 ft, stack to 313 ft)</t>
        </is>
      </c>
      <c r="I3423" s="12" t="inlineStr">
        <is>
          <t>LV 600 V</t>
        </is>
      </c>
      <c r="J3423" s="12" t="inlineStr">
        <is>
          <t>Type TC-ER 600 V 3/C Cu XHHW-2 + ground, PVC jacket</t>
        </is>
      </c>
      <c r="K3423" s="12" t="inlineStr">
        <is>
          <t>LV|3/C+G|10</t>
        </is>
      </c>
      <c r="L3423" s="12" t="inlineStr">
        <is>
          <t>3/C+G</t>
        </is>
      </c>
      <c r="M3423" s="12" t="inlineStr">
        <is>
          <t>10</t>
        </is>
      </c>
      <c r="N3423" s="12" t="n">
        <v>1</v>
      </c>
      <c r="O3423" s="12" t="n">
        <v>1</v>
      </c>
      <c r="P3423" s="12" t="n">
        <v>480</v>
      </c>
      <c r="Q3423" s="12" t="n">
        <v>2.5</v>
      </c>
      <c r="R3423" s="12" t="n">
        <v>3.5</v>
      </c>
      <c r="S3423" s="12" t="inlineStr">
        <is>
          <t>Tray</t>
        </is>
      </c>
      <c r="T3423" s="16" t="n">
        <v>570</v>
      </c>
      <c r="U3423" s="16" t="n">
        <v>80</v>
      </c>
      <c r="V3423" s="16">
        <f>ROUNDUP((T3423+U3423+2*'Read Me'!$B$13)*(1+'Read Me'!$B$12),-1)</f>
        <v/>
      </c>
      <c r="W3423" s="16">
        <f>V3423*N3423*O3423</f>
        <v/>
      </c>
      <c r="X3423" s="12">
        <f>IF(LEFT(I3423,2)="MV",2*N3423*IF(L3423="1/C",O3423,1),0)</f>
        <v/>
      </c>
      <c r="Y3423" s="12">
        <f>IF(OR(LEFT(K3423,4)="LVAX",LEFT(K3423,6)="MV15AX",LEFT(K3423,4)="CTAX",LEFT(K3423,2)="W|"),2*N3423*O3423,0)</f>
        <v/>
      </c>
      <c r="Z3423" s="12" t="inlineStr">
        <is>
          <t>VD 1.1 %</t>
        </is>
      </c>
      <c r="AA3423" s="12">
        <f>N3423*O3423</f>
        <v/>
      </c>
    </row>
    <row r="3424">
      <c r="A3424" s="12" t="inlineStr">
        <is>
          <t>G-P-0009</t>
        </is>
      </c>
      <c r="B3424" s="12" t="inlineStr">
        <is>
          <t>G</t>
        </is>
      </c>
      <c r="C3424" s="12" t="inlineStr">
        <is>
          <t>Carbon capture</t>
        </is>
      </c>
      <c r="D3424" s="12" t="inlineStr">
        <is>
          <t>MOV 9: power</t>
        </is>
      </c>
      <c r="E3424" s="12" t="inlineStr"/>
      <c r="F3424" s="12" t="inlineStr">
        <is>
          <t>CCS MV switchgear building (VFDs)</t>
        </is>
      </c>
      <c r="G3424" s="12" t="inlineStr">
        <is>
          <t>ABS-A</t>
        </is>
      </c>
      <c r="H3424" s="12" t="inlineStr">
        <is>
          <t>Absorber A (62 ft dia x 262 ft, stack to 313 ft)</t>
        </is>
      </c>
      <c r="I3424" s="12" t="inlineStr">
        <is>
          <t>LV 600 V</t>
        </is>
      </c>
      <c r="J3424" s="12" t="inlineStr">
        <is>
          <t>Type TC-ER 600 V 3/C Cu XHHW-2 + ground, PVC jacket</t>
        </is>
      </c>
      <c r="K3424" s="12" t="inlineStr">
        <is>
          <t>LV|3/C+G|10</t>
        </is>
      </c>
      <c r="L3424" s="12" t="inlineStr">
        <is>
          <t>3/C+G</t>
        </is>
      </c>
      <c r="M3424" s="12" t="inlineStr">
        <is>
          <t>10</t>
        </is>
      </c>
      <c r="N3424" s="12" t="n">
        <v>1</v>
      </c>
      <c r="O3424" s="12" t="n">
        <v>1</v>
      </c>
      <c r="P3424" s="12" t="n">
        <v>480</v>
      </c>
      <c r="Q3424" s="12" t="n">
        <v>2.5</v>
      </c>
      <c r="R3424" s="12" t="n">
        <v>3.5</v>
      </c>
      <c r="S3424" s="12" t="inlineStr">
        <is>
          <t>Tray</t>
        </is>
      </c>
      <c r="T3424" s="16" t="n">
        <v>570</v>
      </c>
      <c r="U3424" s="16" t="n">
        <v>80</v>
      </c>
      <c r="V3424" s="16">
        <f>ROUNDUP((T3424+U3424+2*'Read Me'!$B$13)*(1+'Read Me'!$B$12),-1)</f>
        <v/>
      </c>
      <c r="W3424" s="16">
        <f>V3424*N3424*O3424</f>
        <v/>
      </c>
      <c r="X3424" s="12">
        <f>IF(LEFT(I3424,2)="MV",2*N3424*IF(L3424="1/C",O3424,1),0)</f>
        <v/>
      </c>
      <c r="Y3424" s="12">
        <f>IF(OR(LEFT(K3424,4)="LVAX",LEFT(K3424,6)="MV15AX",LEFT(K3424,4)="CTAX",LEFT(K3424,2)="W|"),2*N3424*O3424,0)</f>
        <v/>
      </c>
      <c r="Z3424" s="12" t="inlineStr">
        <is>
          <t>VD 1.1 %</t>
        </is>
      </c>
      <c r="AA3424" s="12">
        <f>N3424*O3424</f>
        <v/>
      </c>
    </row>
    <row r="3425">
      <c r="A3425" s="12" t="inlineStr">
        <is>
          <t>G-P-0010</t>
        </is>
      </c>
      <c r="B3425" s="12" t="inlineStr">
        <is>
          <t>G</t>
        </is>
      </c>
      <c r="C3425" s="12" t="inlineStr">
        <is>
          <t>Carbon capture</t>
        </is>
      </c>
      <c r="D3425" s="12" t="inlineStr">
        <is>
          <t>MOV 10: power</t>
        </is>
      </c>
      <c r="E3425" s="12" t="inlineStr"/>
      <c r="F3425" s="12" t="inlineStr">
        <is>
          <t>CCS MV switchgear building (VFDs)</t>
        </is>
      </c>
      <c r="G3425" s="12" t="inlineStr">
        <is>
          <t>ABS-A</t>
        </is>
      </c>
      <c r="H3425" s="12" t="inlineStr">
        <is>
          <t>Absorber A (62 ft dia x 262 ft, stack to 313 ft)</t>
        </is>
      </c>
      <c r="I3425" s="12" t="inlineStr">
        <is>
          <t>LV 600 V</t>
        </is>
      </c>
      <c r="J3425" s="12" t="inlineStr">
        <is>
          <t>Type TC-ER 600 V 3/C Cu XHHW-2 + ground, PVC jacket</t>
        </is>
      </c>
      <c r="K3425" s="12" t="inlineStr">
        <is>
          <t>LV|3/C+G|10</t>
        </is>
      </c>
      <c r="L3425" s="12" t="inlineStr">
        <is>
          <t>3/C+G</t>
        </is>
      </c>
      <c r="M3425" s="12" t="inlineStr">
        <is>
          <t>10</t>
        </is>
      </c>
      <c r="N3425" s="12" t="n">
        <v>1</v>
      </c>
      <c r="O3425" s="12" t="n">
        <v>1</v>
      </c>
      <c r="P3425" s="12" t="n">
        <v>480</v>
      </c>
      <c r="Q3425" s="12" t="n">
        <v>2.5</v>
      </c>
      <c r="R3425" s="12" t="n">
        <v>3.5</v>
      </c>
      <c r="S3425" s="12" t="inlineStr">
        <is>
          <t>Tray</t>
        </is>
      </c>
      <c r="T3425" s="16" t="n">
        <v>570</v>
      </c>
      <c r="U3425" s="16" t="n">
        <v>80</v>
      </c>
      <c r="V3425" s="16">
        <f>ROUNDUP((T3425+U3425+2*'Read Me'!$B$13)*(1+'Read Me'!$B$12),-1)</f>
        <v/>
      </c>
      <c r="W3425" s="16">
        <f>V3425*N3425*O3425</f>
        <v/>
      </c>
      <c r="X3425" s="12">
        <f>IF(LEFT(I3425,2)="MV",2*N3425*IF(L3425="1/C",O3425,1),0)</f>
        <v/>
      </c>
      <c r="Y3425" s="12">
        <f>IF(OR(LEFT(K3425,4)="LVAX",LEFT(K3425,6)="MV15AX",LEFT(K3425,4)="CTAX",LEFT(K3425,2)="W|"),2*N3425*O3425,0)</f>
        <v/>
      </c>
      <c r="Z3425" s="12" t="inlineStr">
        <is>
          <t>VD 1.1 %</t>
        </is>
      </c>
      <c r="AA3425" s="12">
        <f>N3425*O3425</f>
        <v/>
      </c>
    </row>
    <row r="3426">
      <c r="A3426" s="12" t="inlineStr">
        <is>
          <t>G-P-0011</t>
        </is>
      </c>
      <c r="B3426" s="12" t="inlineStr">
        <is>
          <t>G</t>
        </is>
      </c>
      <c r="C3426" s="12" t="inlineStr">
        <is>
          <t>Carbon capture</t>
        </is>
      </c>
      <c r="D3426" s="12" t="inlineStr">
        <is>
          <t>LV power feeder</t>
        </is>
      </c>
      <c r="E3426" s="12" t="inlineStr"/>
      <c r="F3426" s="12" t="inlineStr">
        <is>
          <t>CCS MV switchgear building (VFDs)</t>
        </is>
      </c>
      <c r="G3426" s="12" t="inlineStr">
        <is>
          <t>ABS-A</t>
        </is>
      </c>
      <c r="H3426" s="12" t="inlineStr">
        <is>
          <t>Absorber A (62 ft dia x 262 ft, stack to 313 ft)</t>
        </is>
      </c>
      <c r="I3426" s="12" t="inlineStr">
        <is>
          <t>LV 600 V</t>
        </is>
      </c>
      <c r="J3426" s="12" t="inlineStr">
        <is>
          <t>Type TC-ER 600 V 3/C Cu XHHW-2 + ground, PVC jacket</t>
        </is>
      </c>
      <c r="K3426" s="12" t="inlineStr">
        <is>
          <t>LV|3/C+G|2</t>
        </is>
      </c>
      <c r="L3426" s="12" t="inlineStr">
        <is>
          <t>3/C+G</t>
        </is>
      </c>
      <c r="M3426" s="12" t="inlineStr">
        <is>
          <t>2</t>
        </is>
      </c>
      <c r="N3426" s="12" t="n">
        <v>1</v>
      </c>
      <c r="O3426" s="12" t="n">
        <v>1</v>
      </c>
      <c r="P3426" s="12" t="n">
        <v>480</v>
      </c>
      <c r="Q3426" s="12" t="n">
        <v>40</v>
      </c>
      <c r="R3426" s="12" t="n">
        <v>56.6</v>
      </c>
      <c r="S3426" s="12" t="inlineStr">
        <is>
          <t>Tray</t>
        </is>
      </c>
      <c r="T3426" s="16" t="n">
        <v>570</v>
      </c>
      <c r="U3426" s="16" t="n">
        <v>80</v>
      </c>
      <c r="V3426" s="16">
        <f>ROUNDUP((T3426+U3426+2*'Read Me'!$B$13)*(1+'Read Me'!$B$12),-1)</f>
        <v/>
      </c>
      <c r="W3426" s="16">
        <f>V3426*N3426*O3426</f>
        <v/>
      </c>
      <c r="X3426" s="12">
        <f>IF(LEFT(I3426,2)="MV",2*N3426*IF(L3426="1/C",O3426,1),0)</f>
        <v/>
      </c>
      <c r="Y3426" s="12">
        <f>IF(OR(LEFT(K3426,4)="LVAX",LEFT(K3426,6)="MV15AX",LEFT(K3426,4)="CTAX",LEFT(K3426,2)="W|"),2*N3426*O3426,0)</f>
        <v/>
      </c>
      <c r="Z3426" s="12" t="inlineStr">
        <is>
          <t>VD 2.8 %</t>
        </is>
      </c>
      <c r="AA3426" s="12">
        <f>N3426*O3426</f>
        <v/>
      </c>
    </row>
    <row r="3427">
      <c r="A3427" s="12" t="inlineStr">
        <is>
          <t>G-P-0012</t>
        </is>
      </c>
      <c r="B3427" s="12" t="inlineStr">
        <is>
          <t>G</t>
        </is>
      </c>
      <c r="C3427" s="12" t="inlineStr">
        <is>
          <t>Carbon capture</t>
        </is>
      </c>
      <c r="D3427" s="12" t="inlineStr">
        <is>
          <t>Area / platform lighting circuit 1 (12 fixtures)</t>
        </is>
      </c>
      <c r="E3427" s="12" t="inlineStr"/>
      <c r="F3427" s="12" t="inlineStr">
        <is>
          <t>CCS MV switchgear building (VFDs)</t>
        </is>
      </c>
      <c r="G3427" s="12" t="inlineStr">
        <is>
          <t>ABS-A</t>
        </is>
      </c>
      <c r="H3427" s="12" t="inlineStr">
        <is>
          <t>Absorber A (62 ft dia x 262 ft, stack to 313 ft)</t>
        </is>
      </c>
      <c r="I3427" s="12" t="inlineStr">
        <is>
          <t>LV 600 V</t>
        </is>
      </c>
      <c r="J3427" s="12" t="inlineStr">
        <is>
          <t>Type TC-ER 600 V 3/C Cu XHHW-2 + ground, PVC jacket</t>
        </is>
      </c>
      <c r="K3427" s="12" t="inlineStr">
        <is>
          <t>LV|3/C+G|10</t>
        </is>
      </c>
      <c r="L3427" s="12" t="inlineStr">
        <is>
          <t>3/C+G</t>
        </is>
      </c>
      <c r="M3427" s="12" t="inlineStr">
        <is>
          <t>10</t>
        </is>
      </c>
      <c r="N3427" s="12" t="n">
        <v>1</v>
      </c>
      <c r="O3427" s="12" t="n">
        <v>1</v>
      </c>
      <c r="P3427" s="12" t="n">
        <v>480</v>
      </c>
      <c r="Q3427" s="12" t="n">
        <v>3</v>
      </c>
      <c r="R3427" s="12" t="n">
        <v>5</v>
      </c>
      <c r="S3427" s="12" t="inlineStr">
        <is>
          <t>Tray</t>
        </is>
      </c>
      <c r="T3427" s="16" t="n">
        <v>870</v>
      </c>
      <c r="U3427" s="16" t="n">
        <v>80</v>
      </c>
      <c r="V3427" s="16">
        <f>ROUNDUP((T3427+U3427+2*'Read Me'!$B$13)*(1+'Read Me'!$B$12),-1)</f>
        <v/>
      </c>
      <c r="W3427" s="16">
        <f>V3427*N3427*O3427</f>
        <v/>
      </c>
      <c r="X3427" s="12">
        <f>IF(LEFT(I3427,2)="MV",2*N3427*IF(L3427="1/C",O3427,1),0)</f>
        <v/>
      </c>
      <c r="Y3427" s="12">
        <f>IF(OR(LEFT(K3427,4)="LVAX",LEFT(K3427,6)="MV15AX",LEFT(K3427,4)="CTAX",LEFT(K3427,2)="W|"),2*N3427*O3427,0)</f>
        <v/>
      </c>
      <c r="Z3427" s="12" t="inlineStr">
        <is>
          <t>fixture-to-fixture run included</t>
        </is>
      </c>
      <c r="AA3427" s="12">
        <f>N3427*O3427</f>
        <v/>
      </c>
    </row>
    <row r="3428">
      <c r="A3428" s="12" t="inlineStr">
        <is>
          <t>G-P-0013</t>
        </is>
      </c>
      <c r="B3428" s="12" t="inlineStr">
        <is>
          <t>G</t>
        </is>
      </c>
      <c r="C3428" s="12" t="inlineStr">
        <is>
          <t>Carbon capture</t>
        </is>
      </c>
      <c r="D3428" s="12" t="inlineStr">
        <is>
          <t>Area / platform lighting circuit 2 (12 fixtures)</t>
        </is>
      </c>
      <c r="E3428" s="12" t="inlineStr"/>
      <c r="F3428" s="12" t="inlineStr">
        <is>
          <t>CCS MV switchgear building (VFDs)</t>
        </is>
      </c>
      <c r="G3428" s="12" t="inlineStr">
        <is>
          <t>ABS-A</t>
        </is>
      </c>
      <c r="H3428" s="12" t="inlineStr">
        <is>
          <t>Absorber A (62 ft dia x 262 ft, stack to 313 ft)</t>
        </is>
      </c>
      <c r="I3428" s="12" t="inlineStr">
        <is>
          <t>LV 600 V</t>
        </is>
      </c>
      <c r="J3428" s="12" t="inlineStr">
        <is>
          <t>Type TC-ER 600 V 3/C Cu XHHW-2 + ground, PVC jacket</t>
        </is>
      </c>
      <c r="K3428" s="12" t="inlineStr">
        <is>
          <t>LV|3/C+G|10</t>
        </is>
      </c>
      <c r="L3428" s="12" t="inlineStr">
        <is>
          <t>3/C+G</t>
        </is>
      </c>
      <c r="M3428" s="12" t="inlineStr">
        <is>
          <t>10</t>
        </is>
      </c>
      <c r="N3428" s="12" t="n">
        <v>1</v>
      </c>
      <c r="O3428" s="12" t="n">
        <v>1</v>
      </c>
      <c r="P3428" s="12" t="n">
        <v>480</v>
      </c>
      <c r="Q3428" s="12" t="n">
        <v>3</v>
      </c>
      <c r="R3428" s="12" t="n">
        <v>5</v>
      </c>
      <c r="S3428" s="12" t="inlineStr">
        <is>
          <t>Tray</t>
        </is>
      </c>
      <c r="T3428" s="16" t="n">
        <v>870</v>
      </c>
      <c r="U3428" s="16" t="n">
        <v>80</v>
      </c>
      <c r="V3428" s="16">
        <f>ROUNDUP((T3428+U3428+2*'Read Me'!$B$13)*(1+'Read Me'!$B$12),-1)</f>
        <v/>
      </c>
      <c r="W3428" s="16">
        <f>V3428*N3428*O3428</f>
        <v/>
      </c>
      <c r="X3428" s="12">
        <f>IF(LEFT(I3428,2)="MV",2*N3428*IF(L3428="1/C",O3428,1),0)</f>
        <v/>
      </c>
      <c r="Y3428" s="12">
        <f>IF(OR(LEFT(K3428,4)="LVAX",LEFT(K3428,6)="MV15AX",LEFT(K3428,4)="CTAX",LEFT(K3428,2)="W|"),2*N3428*O3428,0)</f>
        <v/>
      </c>
      <c r="Z3428" s="12" t="inlineStr">
        <is>
          <t>fixture-to-fixture run included</t>
        </is>
      </c>
      <c r="AA3428" s="12">
        <f>N3428*O3428</f>
        <v/>
      </c>
    </row>
    <row r="3429">
      <c r="A3429" s="12" t="inlineStr">
        <is>
          <t>G-P-0014</t>
        </is>
      </c>
      <c r="B3429" s="12" t="inlineStr">
        <is>
          <t>G</t>
        </is>
      </c>
      <c r="C3429" s="12" t="inlineStr">
        <is>
          <t>Carbon capture</t>
        </is>
      </c>
      <c r="D3429" s="12" t="inlineStr">
        <is>
          <t>Area / platform lighting circuit 3 (6 fixtures)</t>
        </is>
      </c>
      <c r="E3429" s="12" t="inlineStr"/>
      <c r="F3429" s="12" t="inlineStr">
        <is>
          <t>CCS MV switchgear building (VFDs)</t>
        </is>
      </c>
      <c r="G3429" s="12" t="inlineStr">
        <is>
          <t>ABS-A</t>
        </is>
      </c>
      <c r="H3429" s="12" t="inlineStr">
        <is>
          <t>Absorber A (62 ft dia x 262 ft, stack to 313 ft)</t>
        </is>
      </c>
      <c r="I3429" s="12" t="inlineStr">
        <is>
          <t>LV 600 V</t>
        </is>
      </c>
      <c r="J3429" s="12" t="inlineStr">
        <is>
          <t>Type TC-ER 600 V 3/C Cu XHHW-2 + ground, PVC jacket</t>
        </is>
      </c>
      <c r="K3429" s="12" t="inlineStr">
        <is>
          <t>LV|3/C+G|10</t>
        </is>
      </c>
      <c r="L3429" s="12" t="inlineStr">
        <is>
          <t>3/C+G</t>
        </is>
      </c>
      <c r="M3429" s="12" t="inlineStr">
        <is>
          <t>10</t>
        </is>
      </c>
      <c r="N3429" s="12" t="n">
        <v>1</v>
      </c>
      <c r="O3429" s="12" t="n">
        <v>1</v>
      </c>
      <c r="P3429" s="12" t="n">
        <v>480</v>
      </c>
      <c r="Q3429" s="12" t="n">
        <v>3</v>
      </c>
      <c r="R3429" s="12" t="n">
        <v>5</v>
      </c>
      <c r="S3429" s="12" t="inlineStr">
        <is>
          <t>Tray</t>
        </is>
      </c>
      <c r="T3429" s="16" t="n">
        <v>870</v>
      </c>
      <c r="U3429" s="16" t="n">
        <v>80</v>
      </c>
      <c r="V3429" s="16">
        <f>ROUNDUP((T3429+U3429+2*'Read Me'!$B$13)*(1+'Read Me'!$B$12),-1)</f>
        <v/>
      </c>
      <c r="W3429" s="16">
        <f>V3429*N3429*O3429</f>
        <v/>
      </c>
      <c r="X3429" s="12">
        <f>IF(LEFT(I3429,2)="MV",2*N3429*IF(L3429="1/C",O3429,1),0)</f>
        <v/>
      </c>
      <c r="Y3429" s="12">
        <f>IF(OR(LEFT(K3429,4)="LVAX",LEFT(K3429,6)="MV15AX",LEFT(K3429,4)="CTAX",LEFT(K3429,2)="W|"),2*N3429*O3429,0)</f>
        <v/>
      </c>
      <c r="Z3429" s="12" t="inlineStr">
        <is>
          <t>fixture-to-fixture run included</t>
        </is>
      </c>
      <c r="AA3429" s="12">
        <f>N3429*O3429</f>
        <v/>
      </c>
    </row>
    <row r="3430">
      <c r="A3430" s="12" t="inlineStr">
        <is>
          <t>G-P-0015</t>
        </is>
      </c>
      <c r="B3430" s="12" t="inlineStr">
        <is>
          <t>G</t>
        </is>
      </c>
      <c r="C3430" s="12" t="inlineStr">
        <is>
          <t>Carbon capture</t>
        </is>
      </c>
      <c r="D3430" s="12" t="inlineStr">
        <is>
          <t>480 V welding receptacle 1</t>
        </is>
      </c>
      <c r="E3430" s="12" t="inlineStr"/>
      <c r="F3430" s="12" t="inlineStr">
        <is>
          <t>CCS MV switchgear building (VFDs)</t>
        </is>
      </c>
      <c r="G3430" s="12" t="inlineStr">
        <is>
          <t>ABS-A</t>
        </is>
      </c>
      <c r="H3430" s="12" t="inlineStr">
        <is>
          <t>Absorber A (62 ft dia x 262 ft, stack to 313 ft)</t>
        </is>
      </c>
      <c r="I3430" s="12" t="inlineStr">
        <is>
          <t>LV 600 V</t>
        </is>
      </c>
      <c r="J3430" s="12" t="inlineStr">
        <is>
          <t>Type TC-ER 600 V 3/C Cu XHHW-2 + ground, PVC jacket</t>
        </is>
      </c>
      <c r="K3430" s="12" t="inlineStr">
        <is>
          <t>LV|3/C+G|1/0</t>
        </is>
      </c>
      <c r="L3430" s="12" t="inlineStr">
        <is>
          <t>3/C+G</t>
        </is>
      </c>
      <c r="M3430" s="12" t="inlineStr">
        <is>
          <t>1/0</t>
        </is>
      </c>
      <c r="N3430" s="12" t="n">
        <v>1</v>
      </c>
      <c r="O3430" s="12" t="n">
        <v>1</v>
      </c>
      <c r="P3430" s="12" t="n">
        <v>480</v>
      </c>
      <c r="Q3430" s="12" t="n">
        <v>60</v>
      </c>
      <c r="R3430" s="12" t="n">
        <v>76</v>
      </c>
      <c r="S3430" s="12" t="inlineStr">
        <is>
          <t>Tray</t>
        </is>
      </c>
      <c r="T3430" s="16" t="n">
        <v>570</v>
      </c>
      <c r="U3430" s="16" t="n">
        <v>80</v>
      </c>
      <c r="V3430" s="16">
        <f>ROUNDUP((T3430+U3430+2*'Read Me'!$B$13)*(1+'Read Me'!$B$12),-1)</f>
        <v/>
      </c>
      <c r="W3430" s="16">
        <f>V3430*N3430*O3430</f>
        <v/>
      </c>
      <c r="X3430" s="12">
        <f>IF(LEFT(I3430,2)="MV",2*N3430*IF(L3430="1/C",O3430,1),0)</f>
        <v/>
      </c>
      <c r="Y3430" s="12">
        <f>IF(OR(LEFT(K3430,4)="LVAX",LEFT(K3430,6)="MV15AX",LEFT(K3430,4)="CTAX",LEFT(K3430,2)="W|"),2*N3430*O3430,0)</f>
        <v/>
      </c>
      <c r="Z3430" s="12" t="inlineStr">
        <is>
          <t>VD 2.4 %</t>
        </is>
      </c>
      <c r="AA3430" s="12">
        <f>N3430*O3430</f>
        <v/>
      </c>
    </row>
    <row r="3431">
      <c r="A3431" s="12" t="inlineStr">
        <is>
          <t>G-P-0016</t>
        </is>
      </c>
      <c r="B3431" s="12" t="inlineStr">
        <is>
          <t>G</t>
        </is>
      </c>
      <c r="C3431" s="12" t="inlineStr">
        <is>
          <t>Carbon capture</t>
        </is>
      </c>
      <c r="D3431" s="12" t="inlineStr">
        <is>
          <t>480 V welding receptacle 2</t>
        </is>
      </c>
      <c r="E3431" s="12" t="inlineStr"/>
      <c r="F3431" s="12" t="inlineStr">
        <is>
          <t>CCS MV switchgear building (VFDs)</t>
        </is>
      </c>
      <c r="G3431" s="12" t="inlineStr">
        <is>
          <t>ABS-A</t>
        </is>
      </c>
      <c r="H3431" s="12" t="inlineStr">
        <is>
          <t>Absorber A (62 ft dia x 262 ft, stack to 313 ft)</t>
        </is>
      </c>
      <c r="I3431" s="12" t="inlineStr">
        <is>
          <t>LV 600 V</t>
        </is>
      </c>
      <c r="J3431" s="12" t="inlineStr">
        <is>
          <t>Type TC-ER 600 V 3/C Cu XHHW-2 + ground, PVC jacket</t>
        </is>
      </c>
      <c r="K3431" s="12" t="inlineStr">
        <is>
          <t>LV|3/C+G|1/0</t>
        </is>
      </c>
      <c r="L3431" s="12" t="inlineStr">
        <is>
          <t>3/C+G</t>
        </is>
      </c>
      <c r="M3431" s="12" t="inlineStr">
        <is>
          <t>1/0</t>
        </is>
      </c>
      <c r="N3431" s="12" t="n">
        <v>1</v>
      </c>
      <c r="O3431" s="12" t="n">
        <v>1</v>
      </c>
      <c r="P3431" s="12" t="n">
        <v>480</v>
      </c>
      <c r="Q3431" s="12" t="n">
        <v>60</v>
      </c>
      <c r="R3431" s="12" t="n">
        <v>76</v>
      </c>
      <c r="S3431" s="12" t="inlineStr">
        <is>
          <t>Tray</t>
        </is>
      </c>
      <c r="T3431" s="16" t="n">
        <v>570</v>
      </c>
      <c r="U3431" s="16" t="n">
        <v>80</v>
      </c>
      <c r="V3431" s="16">
        <f>ROUNDUP((T3431+U3431+2*'Read Me'!$B$13)*(1+'Read Me'!$B$12),-1)</f>
        <v/>
      </c>
      <c r="W3431" s="16">
        <f>V3431*N3431*O3431</f>
        <v/>
      </c>
      <c r="X3431" s="12">
        <f>IF(LEFT(I3431,2)="MV",2*N3431*IF(L3431="1/C",O3431,1),0)</f>
        <v/>
      </c>
      <c r="Y3431" s="12">
        <f>IF(OR(LEFT(K3431,4)="LVAX",LEFT(K3431,6)="MV15AX",LEFT(K3431,4)="CTAX",LEFT(K3431,2)="W|"),2*N3431*O3431,0)</f>
        <v/>
      </c>
      <c r="Z3431" s="12" t="inlineStr">
        <is>
          <t>VD 2.4 %</t>
        </is>
      </c>
      <c r="AA3431" s="12">
        <f>N3431*O3431</f>
        <v/>
      </c>
    </row>
    <row r="3432">
      <c r="A3432" s="12" t="inlineStr">
        <is>
          <t>G-P-0017</t>
        </is>
      </c>
      <c r="B3432" s="12" t="inlineStr">
        <is>
          <t>G</t>
        </is>
      </c>
      <c r="C3432" s="12" t="inlineStr">
        <is>
          <t>Carbon capture</t>
        </is>
      </c>
      <c r="D3432" s="12" t="inlineStr">
        <is>
          <t>480 V welding receptacle 3</t>
        </is>
      </c>
      <c r="E3432" s="12" t="inlineStr"/>
      <c r="F3432" s="12" t="inlineStr">
        <is>
          <t>CCS MV switchgear building (VFDs)</t>
        </is>
      </c>
      <c r="G3432" s="12" t="inlineStr">
        <is>
          <t>ABS-A</t>
        </is>
      </c>
      <c r="H3432" s="12" t="inlineStr">
        <is>
          <t>Absorber A (62 ft dia x 262 ft, stack to 313 ft)</t>
        </is>
      </c>
      <c r="I3432" s="12" t="inlineStr">
        <is>
          <t>LV 600 V</t>
        </is>
      </c>
      <c r="J3432" s="12" t="inlineStr">
        <is>
          <t>Type TC-ER 600 V 3/C Cu XHHW-2 + ground, PVC jacket</t>
        </is>
      </c>
      <c r="K3432" s="12" t="inlineStr">
        <is>
          <t>LV|3/C+G|1/0</t>
        </is>
      </c>
      <c r="L3432" s="12" t="inlineStr">
        <is>
          <t>3/C+G</t>
        </is>
      </c>
      <c r="M3432" s="12" t="inlineStr">
        <is>
          <t>1/0</t>
        </is>
      </c>
      <c r="N3432" s="12" t="n">
        <v>1</v>
      </c>
      <c r="O3432" s="12" t="n">
        <v>1</v>
      </c>
      <c r="P3432" s="12" t="n">
        <v>480</v>
      </c>
      <c r="Q3432" s="12" t="n">
        <v>60</v>
      </c>
      <c r="R3432" s="12" t="n">
        <v>76</v>
      </c>
      <c r="S3432" s="12" t="inlineStr">
        <is>
          <t>Tray</t>
        </is>
      </c>
      <c r="T3432" s="16" t="n">
        <v>570</v>
      </c>
      <c r="U3432" s="16" t="n">
        <v>80</v>
      </c>
      <c r="V3432" s="16">
        <f>ROUNDUP((T3432+U3432+2*'Read Me'!$B$13)*(1+'Read Me'!$B$12),-1)</f>
        <v/>
      </c>
      <c r="W3432" s="16">
        <f>V3432*N3432*O3432</f>
        <v/>
      </c>
      <c r="X3432" s="12">
        <f>IF(LEFT(I3432,2)="MV",2*N3432*IF(L3432="1/C",O3432,1),0)</f>
        <v/>
      </c>
      <c r="Y3432" s="12">
        <f>IF(OR(LEFT(K3432,4)="LVAX",LEFT(K3432,6)="MV15AX",LEFT(K3432,4)="CTAX",LEFT(K3432,2)="W|"),2*N3432*O3432,0)</f>
        <v/>
      </c>
      <c r="Z3432" s="12" t="inlineStr">
        <is>
          <t>VD 2.4 %</t>
        </is>
      </c>
      <c r="AA3432" s="12">
        <f>N3432*O3432</f>
        <v/>
      </c>
    </row>
    <row r="3433">
      <c r="A3433" s="12" t="inlineStr">
        <is>
          <t>G-P-0018</t>
        </is>
      </c>
      <c r="B3433" s="12" t="inlineStr">
        <is>
          <t>G</t>
        </is>
      </c>
      <c r="C3433" s="12" t="inlineStr">
        <is>
          <t>Carbon capture</t>
        </is>
      </c>
      <c r="D3433" s="12" t="inlineStr">
        <is>
          <t>480 V welding receptacle 4</t>
        </is>
      </c>
      <c r="E3433" s="12" t="inlineStr"/>
      <c r="F3433" s="12" t="inlineStr">
        <is>
          <t>CCS MV switchgear building (VFDs)</t>
        </is>
      </c>
      <c r="G3433" s="12" t="inlineStr">
        <is>
          <t>ABS-A</t>
        </is>
      </c>
      <c r="H3433" s="12" t="inlineStr">
        <is>
          <t>Absorber A (62 ft dia x 262 ft, stack to 313 ft)</t>
        </is>
      </c>
      <c r="I3433" s="12" t="inlineStr">
        <is>
          <t>LV 600 V</t>
        </is>
      </c>
      <c r="J3433" s="12" t="inlineStr">
        <is>
          <t>Type TC-ER 600 V 3/C Cu XHHW-2 + ground, PVC jacket</t>
        </is>
      </c>
      <c r="K3433" s="12" t="inlineStr">
        <is>
          <t>LV|3/C+G|1/0</t>
        </is>
      </c>
      <c r="L3433" s="12" t="inlineStr">
        <is>
          <t>3/C+G</t>
        </is>
      </c>
      <c r="M3433" s="12" t="inlineStr">
        <is>
          <t>1/0</t>
        </is>
      </c>
      <c r="N3433" s="12" t="n">
        <v>1</v>
      </c>
      <c r="O3433" s="12" t="n">
        <v>1</v>
      </c>
      <c r="P3433" s="12" t="n">
        <v>480</v>
      </c>
      <c r="Q3433" s="12" t="n">
        <v>60</v>
      </c>
      <c r="R3433" s="12" t="n">
        <v>76</v>
      </c>
      <c r="S3433" s="12" t="inlineStr">
        <is>
          <t>Tray</t>
        </is>
      </c>
      <c r="T3433" s="16" t="n">
        <v>570</v>
      </c>
      <c r="U3433" s="16" t="n">
        <v>80</v>
      </c>
      <c r="V3433" s="16">
        <f>ROUNDUP((T3433+U3433+2*'Read Me'!$B$13)*(1+'Read Me'!$B$12),-1)</f>
        <v/>
      </c>
      <c r="W3433" s="16">
        <f>V3433*N3433*O3433</f>
        <v/>
      </c>
      <c r="X3433" s="12">
        <f>IF(LEFT(I3433,2)="MV",2*N3433*IF(L3433="1/C",O3433,1),0)</f>
        <v/>
      </c>
      <c r="Y3433" s="12">
        <f>IF(OR(LEFT(K3433,4)="LVAX",LEFT(K3433,6)="MV15AX",LEFT(K3433,4)="CTAX",LEFT(K3433,2)="W|"),2*N3433*O3433,0)</f>
        <v/>
      </c>
      <c r="Z3433" s="12" t="inlineStr">
        <is>
          <t>VD 2.4 %</t>
        </is>
      </c>
      <c r="AA3433" s="12">
        <f>N3433*O3433</f>
        <v/>
      </c>
    </row>
    <row r="3434">
      <c r="A3434" s="12" t="inlineStr">
        <is>
          <t>G-P-0019</t>
        </is>
      </c>
      <c r="B3434" s="12" t="inlineStr">
        <is>
          <t>G</t>
        </is>
      </c>
      <c r="C3434" s="12" t="inlineStr">
        <is>
          <t>Carbon capture</t>
        </is>
      </c>
      <c r="D3434" s="12" t="inlineStr">
        <is>
          <t>Motor 1 of 2, 150 kW</t>
        </is>
      </c>
      <c r="E3434" s="12" t="inlineStr"/>
      <c r="F3434" s="12" t="inlineStr">
        <is>
          <t>CCS MV switchgear building (VFDs)</t>
        </is>
      </c>
      <c r="G3434" s="12" t="inlineStr"/>
      <c r="H3434" s="12" t="inlineStr">
        <is>
          <t>Absorber A intercooler (pumps + plate exchanger)</t>
        </is>
      </c>
      <c r="I3434" s="12" t="inlineStr">
        <is>
          <t>LV 600 V</t>
        </is>
      </c>
      <c r="J3434" s="12" t="inlineStr">
        <is>
          <t>Type TC-ER 600 V 3/C Cu XHHW-2 + ground, PVC jacket</t>
        </is>
      </c>
      <c r="K3434" s="12" t="inlineStr">
        <is>
          <t>LV|3/C+G|350</t>
        </is>
      </c>
      <c r="L3434" s="12" t="inlineStr">
        <is>
          <t>3/C+G</t>
        </is>
      </c>
      <c r="M3434" s="12" t="inlineStr">
        <is>
          <t>350 kcmil</t>
        </is>
      </c>
      <c r="N3434" s="12" t="n">
        <v>1</v>
      </c>
      <c r="O3434" s="12" t="n">
        <v>1</v>
      </c>
      <c r="P3434" s="12" t="n">
        <v>480</v>
      </c>
      <c r="Q3434" s="12" t="n">
        <v>150</v>
      </c>
      <c r="R3434" s="12" t="n">
        <v>212.3</v>
      </c>
      <c r="S3434" s="12" t="inlineStr">
        <is>
          <t>Tray</t>
        </is>
      </c>
      <c r="T3434" s="16" t="n">
        <v>552</v>
      </c>
      <c r="U3434" s="16" t="n">
        <v>81</v>
      </c>
      <c r="V3434" s="16">
        <f>ROUNDUP((T3434+U3434+2*'Read Me'!$B$13)*(1+'Read Me'!$B$12),-1)</f>
        <v/>
      </c>
      <c r="W3434" s="16">
        <f>V3434*N3434*O3434</f>
        <v/>
      </c>
      <c r="X3434" s="12">
        <f>IF(LEFT(I3434,2)="MV",2*N3434*IF(L3434="1/C",O3434,1),0)</f>
        <v/>
      </c>
      <c r="Y3434" s="12">
        <f>IF(OR(LEFT(K3434,4)="LVAX",LEFT(K3434,6)="MV15AX",LEFT(K3434,4)="CTAX",LEFT(K3434,2)="W|"),2*N3434*O3434,0)</f>
        <v/>
      </c>
      <c r="Z3434" s="12" t="inlineStr">
        <is>
          <t>VD 2.0 %</t>
        </is>
      </c>
      <c r="AA3434" s="12">
        <f>N3434*O3434</f>
        <v/>
      </c>
    </row>
    <row r="3435">
      <c r="A3435" s="12" t="inlineStr">
        <is>
          <t>G-P-0020</t>
        </is>
      </c>
      <c r="B3435" s="12" t="inlineStr">
        <is>
          <t>G</t>
        </is>
      </c>
      <c r="C3435" s="12" t="inlineStr">
        <is>
          <t>Carbon capture</t>
        </is>
      </c>
      <c r="D3435" s="12" t="inlineStr">
        <is>
          <t>Motor 2 of 2, 150 kW</t>
        </is>
      </c>
      <c r="E3435" s="12" t="inlineStr"/>
      <c r="F3435" s="12" t="inlineStr">
        <is>
          <t>CCS MV switchgear building (VFDs)</t>
        </is>
      </c>
      <c r="G3435" s="12" t="inlineStr"/>
      <c r="H3435" s="12" t="inlineStr">
        <is>
          <t>Absorber A intercooler (pumps + plate exchanger)</t>
        </is>
      </c>
      <c r="I3435" s="12" t="inlineStr">
        <is>
          <t>LV 600 V</t>
        </is>
      </c>
      <c r="J3435" s="12" t="inlineStr">
        <is>
          <t>Type TC-ER 600 V 3/C Cu XHHW-2 + ground, PVC jacket</t>
        </is>
      </c>
      <c r="K3435" s="12" t="inlineStr">
        <is>
          <t>LV|3/C+G|350</t>
        </is>
      </c>
      <c r="L3435" s="12" t="inlineStr">
        <is>
          <t>3/C+G</t>
        </is>
      </c>
      <c r="M3435" s="12" t="inlineStr">
        <is>
          <t>350 kcmil</t>
        </is>
      </c>
      <c r="N3435" s="12" t="n">
        <v>1</v>
      </c>
      <c r="O3435" s="12" t="n">
        <v>1</v>
      </c>
      <c r="P3435" s="12" t="n">
        <v>480</v>
      </c>
      <c r="Q3435" s="12" t="n">
        <v>150</v>
      </c>
      <c r="R3435" s="12" t="n">
        <v>212.3</v>
      </c>
      <c r="S3435" s="12" t="inlineStr">
        <is>
          <t>Tray</t>
        </is>
      </c>
      <c r="T3435" s="16" t="n">
        <v>552</v>
      </c>
      <c r="U3435" s="16" t="n">
        <v>81</v>
      </c>
      <c r="V3435" s="16">
        <f>ROUNDUP((T3435+U3435+2*'Read Me'!$B$13)*(1+'Read Me'!$B$12),-1)</f>
        <v/>
      </c>
      <c r="W3435" s="16">
        <f>V3435*N3435*O3435</f>
        <v/>
      </c>
      <c r="X3435" s="12">
        <f>IF(LEFT(I3435,2)="MV",2*N3435*IF(L3435="1/C",O3435,1),0)</f>
        <v/>
      </c>
      <c r="Y3435" s="12">
        <f>IF(OR(LEFT(K3435,4)="LVAX",LEFT(K3435,6)="MV15AX",LEFT(K3435,4)="CTAX",LEFT(K3435,2)="W|"),2*N3435*O3435,0)</f>
        <v/>
      </c>
      <c r="Z3435" s="12" t="inlineStr">
        <is>
          <t>VD 2.0 %</t>
        </is>
      </c>
      <c r="AA3435" s="12">
        <f>N3435*O3435</f>
        <v/>
      </c>
    </row>
    <row r="3436">
      <c r="A3436" s="12" t="inlineStr">
        <is>
          <t>G-P-0021</t>
        </is>
      </c>
      <c r="B3436" s="12" t="inlineStr">
        <is>
          <t>G</t>
        </is>
      </c>
      <c r="C3436" s="12" t="inlineStr">
        <is>
          <t>Carbon capture</t>
        </is>
      </c>
      <c r="D3436" s="12" t="inlineStr">
        <is>
          <t>MOV 1: power</t>
        </is>
      </c>
      <c r="E3436" s="12" t="inlineStr"/>
      <c r="F3436" s="12" t="inlineStr">
        <is>
          <t>CCS MV switchgear building (VFDs)</t>
        </is>
      </c>
      <c r="G3436" s="12" t="inlineStr">
        <is>
          <t>ABS-B</t>
        </is>
      </c>
      <c r="H3436" s="12" t="inlineStr">
        <is>
          <t>Absorber B (62 ft dia x 262 ft, stack to 313 ft)</t>
        </is>
      </c>
      <c r="I3436" s="12" t="inlineStr">
        <is>
          <t>LV 600 V</t>
        </is>
      </c>
      <c r="J3436" s="12" t="inlineStr">
        <is>
          <t>Type TC-ER 600 V 3/C Cu XHHW-2 + ground, PVC jacket</t>
        </is>
      </c>
      <c r="K3436" s="12" t="inlineStr">
        <is>
          <t>LV|3/C+G|10</t>
        </is>
      </c>
      <c r="L3436" s="12" t="inlineStr">
        <is>
          <t>3/C+G</t>
        </is>
      </c>
      <c r="M3436" s="12" t="inlineStr">
        <is>
          <t>10</t>
        </is>
      </c>
      <c r="N3436" s="12" t="n">
        <v>1</v>
      </c>
      <c r="O3436" s="12" t="n">
        <v>1</v>
      </c>
      <c r="P3436" s="12" t="n">
        <v>480</v>
      </c>
      <c r="Q3436" s="12" t="n">
        <v>2.5</v>
      </c>
      <c r="R3436" s="12" t="n">
        <v>3.5</v>
      </c>
      <c r="S3436" s="12" t="inlineStr">
        <is>
          <t>Tray</t>
        </is>
      </c>
      <c r="T3436" s="16" t="n">
        <v>410</v>
      </c>
      <c r="U3436" s="16" t="n">
        <v>80</v>
      </c>
      <c r="V3436" s="16">
        <f>ROUNDUP((T3436+U3436+2*'Read Me'!$B$13)*(1+'Read Me'!$B$12),-1)</f>
        <v/>
      </c>
      <c r="W3436" s="16">
        <f>V3436*N3436*O3436</f>
        <v/>
      </c>
      <c r="X3436" s="12">
        <f>IF(LEFT(I3436,2)="MV",2*N3436*IF(L3436="1/C",O3436,1),0)</f>
        <v/>
      </c>
      <c r="Y3436" s="12">
        <f>IF(OR(LEFT(K3436,4)="LVAX",LEFT(K3436,6)="MV15AX",LEFT(K3436,4)="CTAX",LEFT(K3436,2)="W|"),2*N3436*O3436,0)</f>
        <v/>
      </c>
      <c r="Z3436" s="12" t="inlineStr">
        <is>
          <t>VD 0.8 %</t>
        </is>
      </c>
      <c r="AA3436" s="12">
        <f>N3436*O3436</f>
        <v/>
      </c>
    </row>
    <row r="3437">
      <c r="A3437" s="12" t="inlineStr">
        <is>
          <t>G-P-0022</t>
        </is>
      </c>
      <c r="B3437" s="12" t="inlineStr">
        <is>
          <t>G</t>
        </is>
      </c>
      <c r="C3437" s="12" t="inlineStr">
        <is>
          <t>Carbon capture</t>
        </is>
      </c>
      <c r="D3437" s="12" t="inlineStr">
        <is>
          <t>MOV 2: power</t>
        </is>
      </c>
      <c r="E3437" s="12" t="inlineStr"/>
      <c r="F3437" s="12" t="inlineStr">
        <is>
          <t>CCS MV switchgear building (VFDs)</t>
        </is>
      </c>
      <c r="G3437" s="12" t="inlineStr">
        <is>
          <t>ABS-B</t>
        </is>
      </c>
      <c r="H3437" s="12" t="inlineStr">
        <is>
          <t>Absorber B (62 ft dia x 262 ft, stack to 313 ft)</t>
        </is>
      </c>
      <c r="I3437" s="12" t="inlineStr">
        <is>
          <t>LV 600 V</t>
        </is>
      </c>
      <c r="J3437" s="12" t="inlineStr">
        <is>
          <t>Type TC-ER 600 V 3/C Cu XHHW-2 + ground, PVC jacket</t>
        </is>
      </c>
      <c r="K3437" s="12" t="inlineStr">
        <is>
          <t>LV|3/C+G|10</t>
        </is>
      </c>
      <c r="L3437" s="12" t="inlineStr">
        <is>
          <t>3/C+G</t>
        </is>
      </c>
      <c r="M3437" s="12" t="inlineStr">
        <is>
          <t>10</t>
        </is>
      </c>
      <c r="N3437" s="12" t="n">
        <v>1</v>
      </c>
      <c r="O3437" s="12" t="n">
        <v>1</v>
      </c>
      <c r="P3437" s="12" t="n">
        <v>480</v>
      </c>
      <c r="Q3437" s="12" t="n">
        <v>2.5</v>
      </c>
      <c r="R3437" s="12" t="n">
        <v>3.5</v>
      </c>
      <c r="S3437" s="12" t="inlineStr">
        <is>
          <t>Tray</t>
        </is>
      </c>
      <c r="T3437" s="16" t="n">
        <v>410</v>
      </c>
      <c r="U3437" s="16" t="n">
        <v>80</v>
      </c>
      <c r="V3437" s="16">
        <f>ROUNDUP((T3437+U3437+2*'Read Me'!$B$13)*(1+'Read Me'!$B$12),-1)</f>
        <v/>
      </c>
      <c r="W3437" s="16">
        <f>V3437*N3437*O3437</f>
        <v/>
      </c>
      <c r="X3437" s="12">
        <f>IF(LEFT(I3437,2)="MV",2*N3437*IF(L3437="1/C",O3437,1),0)</f>
        <v/>
      </c>
      <c r="Y3437" s="12">
        <f>IF(OR(LEFT(K3437,4)="LVAX",LEFT(K3437,6)="MV15AX",LEFT(K3437,4)="CTAX",LEFT(K3437,2)="W|"),2*N3437*O3437,0)</f>
        <v/>
      </c>
      <c r="Z3437" s="12" t="inlineStr">
        <is>
          <t>VD 0.8 %</t>
        </is>
      </c>
      <c r="AA3437" s="12">
        <f>N3437*O3437</f>
        <v/>
      </c>
    </row>
    <row r="3438">
      <c r="A3438" s="12" t="inlineStr">
        <is>
          <t>G-P-0023</t>
        </is>
      </c>
      <c r="B3438" s="12" t="inlineStr">
        <is>
          <t>G</t>
        </is>
      </c>
      <c r="C3438" s="12" t="inlineStr">
        <is>
          <t>Carbon capture</t>
        </is>
      </c>
      <c r="D3438" s="12" t="inlineStr">
        <is>
          <t>MOV 3: power</t>
        </is>
      </c>
      <c r="E3438" s="12" t="inlineStr"/>
      <c r="F3438" s="12" t="inlineStr">
        <is>
          <t>CCS MV switchgear building (VFDs)</t>
        </is>
      </c>
      <c r="G3438" s="12" t="inlineStr">
        <is>
          <t>ABS-B</t>
        </is>
      </c>
      <c r="H3438" s="12" t="inlineStr">
        <is>
          <t>Absorber B (62 ft dia x 262 ft, stack to 313 ft)</t>
        </is>
      </c>
      <c r="I3438" s="12" t="inlineStr">
        <is>
          <t>LV 600 V</t>
        </is>
      </c>
      <c r="J3438" s="12" t="inlineStr">
        <is>
          <t>Type TC-ER 600 V 3/C Cu XHHW-2 + ground, PVC jacket</t>
        </is>
      </c>
      <c r="K3438" s="12" t="inlineStr">
        <is>
          <t>LV|3/C+G|10</t>
        </is>
      </c>
      <c r="L3438" s="12" t="inlineStr">
        <is>
          <t>3/C+G</t>
        </is>
      </c>
      <c r="M3438" s="12" t="inlineStr">
        <is>
          <t>10</t>
        </is>
      </c>
      <c r="N3438" s="12" t="n">
        <v>1</v>
      </c>
      <c r="O3438" s="12" t="n">
        <v>1</v>
      </c>
      <c r="P3438" s="12" t="n">
        <v>480</v>
      </c>
      <c r="Q3438" s="12" t="n">
        <v>2.5</v>
      </c>
      <c r="R3438" s="12" t="n">
        <v>3.5</v>
      </c>
      <c r="S3438" s="12" t="inlineStr">
        <is>
          <t>Tray</t>
        </is>
      </c>
      <c r="T3438" s="16" t="n">
        <v>410</v>
      </c>
      <c r="U3438" s="16" t="n">
        <v>80</v>
      </c>
      <c r="V3438" s="16">
        <f>ROUNDUP((T3438+U3438+2*'Read Me'!$B$13)*(1+'Read Me'!$B$12),-1)</f>
        <v/>
      </c>
      <c r="W3438" s="16">
        <f>V3438*N3438*O3438</f>
        <v/>
      </c>
      <c r="X3438" s="12">
        <f>IF(LEFT(I3438,2)="MV",2*N3438*IF(L3438="1/C",O3438,1),0)</f>
        <v/>
      </c>
      <c r="Y3438" s="12">
        <f>IF(OR(LEFT(K3438,4)="LVAX",LEFT(K3438,6)="MV15AX",LEFT(K3438,4)="CTAX",LEFT(K3438,2)="W|"),2*N3438*O3438,0)</f>
        <v/>
      </c>
      <c r="Z3438" s="12" t="inlineStr">
        <is>
          <t>VD 0.8 %</t>
        </is>
      </c>
      <c r="AA3438" s="12">
        <f>N3438*O3438</f>
        <v/>
      </c>
    </row>
    <row r="3439">
      <c r="A3439" s="12" t="inlineStr">
        <is>
          <t>G-P-0024</t>
        </is>
      </c>
      <c r="B3439" s="12" t="inlineStr">
        <is>
          <t>G</t>
        </is>
      </c>
      <c r="C3439" s="12" t="inlineStr">
        <is>
          <t>Carbon capture</t>
        </is>
      </c>
      <c r="D3439" s="12" t="inlineStr">
        <is>
          <t>MOV 4: power</t>
        </is>
      </c>
      <c r="E3439" s="12" t="inlineStr"/>
      <c r="F3439" s="12" t="inlineStr">
        <is>
          <t>CCS MV switchgear building (VFDs)</t>
        </is>
      </c>
      <c r="G3439" s="12" t="inlineStr">
        <is>
          <t>ABS-B</t>
        </is>
      </c>
      <c r="H3439" s="12" t="inlineStr">
        <is>
          <t>Absorber B (62 ft dia x 262 ft, stack to 313 ft)</t>
        </is>
      </c>
      <c r="I3439" s="12" t="inlineStr">
        <is>
          <t>LV 600 V</t>
        </is>
      </c>
      <c r="J3439" s="12" t="inlineStr">
        <is>
          <t>Type TC-ER 600 V 3/C Cu XHHW-2 + ground, PVC jacket</t>
        </is>
      </c>
      <c r="K3439" s="12" t="inlineStr">
        <is>
          <t>LV|3/C+G|10</t>
        </is>
      </c>
      <c r="L3439" s="12" t="inlineStr">
        <is>
          <t>3/C+G</t>
        </is>
      </c>
      <c r="M3439" s="12" t="inlineStr">
        <is>
          <t>10</t>
        </is>
      </c>
      <c r="N3439" s="12" t="n">
        <v>1</v>
      </c>
      <c r="O3439" s="12" t="n">
        <v>1</v>
      </c>
      <c r="P3439" s="12" t="n">
        <v>480</v>
      </c>
      <c r="Q3439" s="12" t="n">
        <v>2.5</v>
      </c>
      <c r="R3439" s="12" t="n">
        <v>3.5</v>
      </c>
      <c r="S3439" s="12" t="inlineStr">
        <is>
          <t>Tray</t>
        </is>
      </c>
      <c r="T3439" s="16" t="n">
        <v>410</v>
      </c>
      <c r="U3439" s="16" t="n">
        <v>80</v>
      </c>
      <c r="V3439" s="16">
        <f>ROUNDUP((T3439+U3439+2*'Read Me'!$B$13)*(1+'Read Me'!$B$12),-1)</f>
        <v/>
      </c>
      <c r="W3439" s="16">
        <f>V3439*N3439*O3439</f>
        <v/>
      </c>
      <c r="X3439" s="12">
        <f>IF(LEFT(I3439,2)="MV",2*N3439*IF(L3439="1/C",O3439,1),0)</f>
        <v/>
      </c>
      <c r="Y3439" s="12">
        <f>IF(OR(LEFT(K3439,4)="LVAX",LEFT(K3439,6)="MV15AX",LEFT(K3439,4)="CTAX",LEFT(K3439,2)="W|"),2*N3439*O3439,0)</f>
        <v/>
      </c>
      <c r="Z3439" s="12" t="inlineStr">
        <is>
          <t>VD 0.8 %</t>
        </is>
      </c>
      <c r="AA3439" s="12">
        <f>N3439*O3439</f>
        <v/>
      </c>
    </row>
    <row r="3440">
      <c r="A3440" s="12" t="inlineStr">
        <is>
          <t>G-P-0025</t>
        </is>
      </c>
      <c r="B3440" s="12" t="inlineStr">
        <is>
          <t>G</t>
        </is>
      </c>
      <c r="C3440" s="12" t="inlineStr">
        <is>
          <t>Carbon capture</t>
        </is>
      </c>
      <c r="D3440" s="12" t="inlineStr">
        <is>
          <t>MOV 5: power</t>
        </is>
      </c>
      <c r="E3440" s="12" t="inlineStr"/>
      <c r="F3440" s="12" t="inlineStr">
        <is>
          <t>CCS MV switchgear building (VFDs)</t>
        </is>
      </c>
      <c r="G3440" s="12" t="inlineStr">
        <is>
          <t>ABS-B</t>
        </is>
      </c>
      <c r="H3440" s="12" t="inlineStr">
        <is>
          <t>Absorber B (62 ft dia x 262 ft, stack to 313 ft)</t>
        </is>
      </c>
      <c r="I3440" s="12" t="inlineStr">
        <is>
          <t>LV 600 V</t>
        </is>
      </c>
      <c r="J3440" s="12" t="inlineStr">
        <is>
          <t>Type TC-ER 600 V 3/C Cu XHHW-2 + ground, PVC jacket</t>
        </is>
      </c>
      <c r="K3440" s="12" t="inlineStr">
        <is>
          <t>LV|3/C+G|10</t>
        </is>
      </c>
      <c r="L3440" s="12" t="inlineStr">
        <is>
          <t>3/C+G</t>
        </is>
      </c>
      <c r="M3440" s="12" t="inlineStr">
        <is>
          <t>10</t>
        </is>
      </c>
      <c r="N3440" s="12" t="n">
        <v>1</v>
      </c>
      <c r="O3440" s="12" t="n">
        <v>1</v>
      </c>
      <c r="P3440" s="12" t="n">
        <v>480</v>
      </c>
      <c r="Q3440" s="12" t="n">
        <v>2.5</v>
      </c>
      <c r="R3440" s="12" t="n">
        <v>3.5</v>
      </c>
      <c r="S3440" s="12" t="inlineStr">
        <is>
          <t>Tray</t>
        </is>
      </c>
      <c r="T3440" s="16" t="n">
        <v>410</v>
      </c>
      <c r="U3440" s="16" t="n">
        <v>80</v>
      </c>
      <c r="V3440" s="16">
        <f>ROUNDUP((T3440+U3440+2*'Read Me'!$B$13)*(1+'Read Me'!$B$12),-1)</f>
        <v/>
      </c>
      <c r="W3440" s="16">
        <f>V3440*N3440*O3440</f>
        <v/>
      </c>
      <c r="X3440" s="12">
        <f>IF(LEFT(I3440,2)="MV",2*N3440*IF(L3440="1/C",O3440,1),0)</f>
        <v/>
      </c>
      <c r="Y3440" s="12">
        <f>IF(OR(LEFT(K3440,4)="LVAX",LEFT(K3440,6)="MV15AX",LEFT(K3440,4)="CTAX",LEFT(K3440,2)="W|"),2*N3440*O3440,0)</f>
        <v/>
      </c>
      <c r="Z3440" s="12" t="inlineStr">
        <is>
          <t>VD 0.8 %</t>
        </is>
      </c>
      <c r="AA3440" s="12">
        <f>N3440*O3440</f>
        <v/>
      </c>
    </row>
    <row r="3441">
      <c r="A3441" s="12" t="inlineStr">
        <is>
          <t>G-P-0026</t>
        </is>
      </c>
      <c r="B3441" s="12" t="inlineStr">
        <is>
          <t>G</t>
        </is>
      </c>
      <c r="C3441" s="12" t="inlineStr">
        <is>
          <t>Carbon capture</t>
        </is>
      </c>
      <c r="D3441" s="12" t="inlineStr">
        <is>
          <t>MOV 6: power</t>
        </is>
      </c>
      <c r="E3441" s="12" t="inlineStr"/>
      <c r="F3441" s="12" t="inlineStr">
        <is>
          <t>CCS MV switchgear building (VFDs)</t>
        </is>
      </c>
      <c r="G3441" s="12" t="inlineStr">
        <is>
          <t>ABS-B</t>
        </is>
      </c>
      <c r="H3441" s="12" t="inlineStr">
        <is>
          <t>Absorber B (62 ft dia x 262 ft, stack to 313 ft)</t>
        </is>
      </c>
      <c r="I3441" s="12" t="inlineStr">
        <is>
          <t>LV 600 V</t>
        </is>
      </c>
      <c r="J3441" s="12" t="inlineStr">
        <is>
          <t>Type TC-ER 600 V 3/C Cu XHHW-2 + ground, PVC jacket</t>
        </is>
      </c>
      <c r="K3441" s="12" t="inlineStr">
        <is>
          <t>LV|3/C+G|10</t>
        </is>
      </c>
      <c r="L3441" s="12" t="inlineStr">
        <is>
          <t>3/C+G</t>
        </is>
      </c>
      <c r="M3441" s="12" t="inlineStr">
        <is>
          <t>10</t>
        </is>
      </c>
      <c r="N3441" s="12" t="n">
        <v>1</v>
      </c>
      <c r="O3441" s="12" t="n">
        <v>1</v>
      </c>
      <c r="P3441" s="12" t="n">
        <v>480</v>
      </c>
      <c r="Q3441" s="12" t="n">
        <v>2.5</v>
      </c>
      <c r="R3441" s="12" t="n">
        <v>3.5</v>
      </c>
      <c r="S3441" s="12" t="inlineStr">
        <is>
          <t>Tray</t>
        </is>
      </c>
      <c r="T3441" s="16" t="n">
        <v>410</v>
      </c>
      <c r="U3441" s="16" t="n">
        <v>80</v>
      </c>
      <c r="V3441" s="16">
        <f>ROUNDUP((T3441+U3441+2*'Read Me'!$B$13)*(1+'Read Me'!$B$12),-1)</f>
        <v/>
      </c>
      <c r="W3441" s="16">
        <f>V3441*N3441*O3441</f>
        <v/>
      </c>
      <c r="X3441" s="12">
        <f>IF(LEFT(I3441,2)="MV",2*N3441*IF(L3441="1/C",O3441,1),0)</f>
        <v/>
      </c>
      <c r="Y3441" s="12">
        <f>IF(OR(LEFT(K3441,4)="LVAX",LEFT(K3441,6)="MV15AX",LEFT(K3441,4)="CTAX",LEFT(K3441,2)="W|"),2*N3441*O3441,0)</f>
        <v/>
      </c>
      <c r="Z3441" s="12" t="inlineStr">
        <is>
          <t>VD 0.8 %</t>
        </is>
      </c>
      <c r="AA3441" s="12">
        <f>N3441*O3441</f>
        <v/>
      </c>
    </row>
    <row r="3442">
      <c r="A3442" s="12" t="inlineStr">
        <is>
          <t>G-P-0027</t>
        </is>
      </c>
      <c r="B3442" s="12" t="inlineStr">
        <is>
          <t>G</t>
        </is>
      </c>
      <c r="C3442" s="12" t="inlineStr">
        <is>
          <t>Carbon capture</t>
        </is>
      </c>
      <c r="D3442" s="12" t="inlineStr">
        <is>
          <t>MOV 7: power</t>
        </is>
      </c>
      <c r="E3442" s="12" t="inlineStr"/>
      <c r="F3442" s="12" t="inlineStr">
        <is>
          <t>CCS MV switchgear building (VFDs)</t>
        </is>
      </c>
      <c r="G3442" s="12" t="inlineStr">
        <is>
          <t>ABS-B</t>
        </is>
      </c>
      <c r="H3442" s="12" t="inlineStr">
        <is>
          <t>Absorber B (62 ft dia x 262 ft, stack to 313 ft)</t>
        </is>
      </c>
      <c r="I3442" s="12" t="inlineStr">
        <is>
          <t>LV 600 V</t>
        </is>
      </c>
      <c r="J3442" s="12" t="inlineStr">
        <is>
          <t>Type TC-ER 600 V 3/C Cu XHHW-2 + ground, PVC jacket</t>
        </is>
      </c>
      <c r="K3442" s="12" t="inlineStr">
        <is>
          <t>LV|3/C+G|10</t>
        </is>
      </c>
      <c r="L3442" s="12" t="inlineStr">
        <is>
          <t>3/C+G</t>
        </is>
      </c>
      <c r="M3442" s="12" t="inlineStr">
        <is>
          <t>10</t>
        </is>
      </c>
      <c r="N3442" s="12" t="n">
        <v>1</v>
      </c>
      <c r="O3442" s="12" t="n">
        <v>1</v>
      </c>
      <c r="P3442" s="12" t="n">
        <v>480</v>
      </c>
      <c r="Q3442" s="12" t="n">
        <v>2.5</v>
      </c>
      <c r="R3442" s="12" t="n">
        <v>3.5</v>
      </c>
      <c r="S3442" s="12" t="inlineStr">
        <is>
          <t>Tray</t>
        </is>
      </c>
      <c r="T3442" s="16" t="n">
        <v>410</v>
      </c>
      <c r="U3442" s="16" t="n">
        <v>80</v>
      </c>
      <c r="V3442" s="16">
        <f>ROUNDUP((T3442+U3442+2*'Read Me'!$B$13)*(1+'Read Me'!$B$12),-1)</f>
        <v/>
      </c>
      <c r="W3442" s="16">
        <f>V3442*N3442*O3442</f>
        <v/>
      </c>
      <c r="X3442" s="12">
        <f>IF(LEFT(I3442,2)="MV",2*N3442*IF(L3442="1/C",O3442,1),0)</f>
        <v/>
      </c>
      <c r="Y3442" s="12">
        <f>IF(OR(LEFT(K3442,4)="LVAX",LEFT(K3442,6)="MV15AX",LEFT(K3442,4)="CTAX",LEFT(K3442,2)="W|"),2*N3442*O3442,0)</f>
        <v/>
      </c>
      <c r="Z3442" s="12" t="inlineStr">
        <is>
          <t>VD 0.8 %</t>
        </is>
      </c>
      <c r="AA3442" s="12">
        <f>N3442*O3442</f>
        <v/>
      </c>
    </row>
    <row r="3443">
      <c r="A3443" s="12" t="inlineStr">
        <is>
          <t>G-P-0028</t>
        </is>
      </c>
      <c r="B3443" s="12" t="inlineStr">
        <is>
          <t>G</t>
        </is>
      </c>
      <c r="C3443" s="12" t="inlineStr">
        <is>
          <t>Carbon capture</t>
        </is>
      </c>
      <c r="D3443" s="12" t="inlineStr">
        <is>
          <t>MOV 8: power</t>
        </is>
      </c>
      <c r="E3443" s="12" t="inlineStr"/>
      <c r="F3443" s="12" t="inlineStr">
        <is>
          <t>CCS MV switchgear building (VFDs)</t>
        </is>
      </c>
      <c r="G3443" s="12" t="inlineStr">
        <is>
          <t>ABS-B</t>
        </is>
      </c>
      <c r="H3443" s="12" t="inlineStr">
        <is>
          <t>Absorber B (62 ft dia x 262 ft, stack to 313 ft)</t>
        </is>
      </c>
      <c r="I3443" s="12" t="inlineStr">
        <is>
          <t>LV 600 V</t>
        </is>
      </c>
      <c r="J3443" s="12" t="inlineStr">
        <is>
          <t>Type TC-ER 600 V 3/C Cu XHHW-2 + ground, PVC jacket</t>
        </is>
      </c>
      <c r="K3443" s="12" t="inlineStr">
        <is>
          <t>LV|3/C+G|10</t>
        </is>
      </c>
      <c r="L3443" s="12" t="inlineStr">
        <is>
          <t>3/C+G</t>
        </is>
      </c>
      <c r="M3443" s="12" t="inlineStr">
        <is>
          <t>10</t>
        </is>
      </c>
      <c r="N3443" s="12" t="n">
        <v>1</v>
      </c>
      <c r="O3443" s="12" t="n">
        <v>1</v>
      </c>
      <c r="P3443" s="12" t="n">
        <v>480</v>
      </c>
      <c r="Q3443" s="12" t="n">
        <v>2.5</v>
      </c>
      <c r="R3443" s="12" t="n">
        <v>3.5</v>
      </c>
      <c r="S3443" s="12" t="inlineStr">
        <is>
          <t>Tray</t>
        </is>
      </c>
      <c r="T3443" s="16" t="n">
        <v>410</v>
      </c>
      <c r="U3443" s="16" t="n">
        <v>80</v>
      </c>
      <c r="V3443" s="16">
        <f>ROUNDUP((T3443+U3443+2*'Read Me'!$B$13)*(1+'Read Me'!$B$12),-1)</f>
        <v/>
      </c>
      <c r="W3443" s="16">
        <f>V3443*N3443*O3443</f>
        <v/>
      </c>
      <c r="X3443" s="12">
        <f>IF(LEFT(I3443,2)="MV",2*N3443*IF(L3443="1/C",O3443,1),0)</f>
        <v/>
      </c>
      <c r="Y3443" s="12">
        <f>IF(OR(LEFT(K3443,4)="LVAX",LEFT(K3443,6)="MV15AX",LEFT(K3443,4)="CTAX",LEFT(K3443,2)="W|"),2*N3443*O3443,0)</f>
        <v/>
      </c>
      <c r="Z3443" s="12" t="inlineStr">
        <is>
          <t>VD 0.8 %</t>
        </is>
      </c>
      <c r="AA3443" s="12">
        <f>N3443*O3443</f>
        <v/>
      </c>
    </row>
    <row r="3444">
      <c r="A3444" s="12" t="inlineStr">
        <is>
          <t>G-P-0029</t>
        </is>
      </c>
      <c r="B3444" s="12" t="inlineStr">
        <is>
          <t>G</t>
        </is>
      </c>
      <c r="C3444" s="12" t="inlineStr">
        <is>
          <t>Carbon capture</t>
        </is>
      </c>
      <c r="D3444" s="12" t="inlineStr">
        <is>
          <t>MOV 9: power</t>
        </is>
      </c>
      <c r="E3444" s="12" t="inlineStr"/>
      <c r="F3444" s="12" t="inlineStr">
        <is>
          <t>CCS MV switchgear building (VFDs)</t>
        </is>
      </c>
      <c r="G3444" s="12" t="inlineStr">
        <is>
          <t>ABS-B</t>
        </is>
      </c>
      <c r="H3444" s="12" t="inlineStr">
        <is>
          <t>Absorber B (62 ft dia x 262 ft, stack to 313 ft)</t>
        </is>
      </c>
      <c r="I3444" s="12" t="inlineStr">
        <is>
          <t>LV 600 V</t>
        </is>
      </c>
      <c r="J3444" s="12" t="inlineStr">
        <is>
          <t>Type TC-ER 600 V 3/C Cu XHHW-2 + ground, PVC jacket</t>
        </is>
      </c>
      <c r="K3444" s="12" t="inlineStr">
        <is>
          <t>LV|3/C+G|10</t>
        </is>
      </c>
      <c r="L3444" s="12" t="inlineStr">
        <is>
          <t>3/C+G</t>
        </is>
      </c>
      <c r="M3444" s="12" t="inlineStr">
        <is>
          <t>10</t>
        </is>
      </c>
      <c r="N3444" s="12" t="n">
        <v>1</v>
      </c>
      <c r="O3444" s="12" t="n">
        <v>1</v>
      </c>
      <c r="P3444" s="12" t="n">
        <v>480</v>
      </c>
      <c r="Q3444" s="12" t="n">
        <v>2.5</v>
      </c>
      <c r="R3444" s="12" t="n">
        <v>3.5</v>
      </c>
      <c r="S3444" s="12" t="inlineStr">
        <is>
          <t>Tray</t>
        </is>
      </c>
      <c r="T3444" s="16" t="n">
        <v>410</v>
      </c>
      <c r="U3444" s="16" t="n">
        <v>80</v>
      </c>
      <c r="V3444" s="16">
        <f>ROUNDUP((T3444+U3444+2*'Read Me'!$B$13)*(1+'Read Me'!$B$12),-1)</f>
        <v/>
      </c>
      <c r="W3444" s="16">
        <f>V3444*N3444*O3444</f>
        <v/>
      </c>
      <c r="X3444" s="12">
        <f>IF(LEFT(I3444,2)="MV",2*N3444*IF(L3444="1/C",O3444,1),0)</f>
        <v/>
      </c>
      <c r="Y3444" s="12">
        <f>IF(OR(LEFT(K3444,4)="LVAX",LEFT(K3444,6)="MV15AX",LEFT(K3444,4)="CTAX",LEFT(K3444,2)="W|"),2*N3444*O3444,0)</f>
        <v/>
      </c>
      <c r="Z3444" s="12" t="inlineStr">
        <is>
          <t>VD 0.8 %</t>
        </is>
      </c>
      <c r="AA3444" s="12">
        <f>N3444*O3444</f>
        <v/>
      </c>
    </row>
    <row r="3445">
      <c r="A3445" s="12" t="inlineStr">
        <is>
          <t>G-P-0030</t>
        </is>
      </c>
      <c r="B3445" s="12" t="inlineStr">
        <is>
          <t>G</t>
        </is>
      </c>
      <c r="C3445" s="12" t="inlineStr">
        <is>
          <t>Carbon capture</t>
        </is>
      </c>
      <c r="D3445" s="12" t="inlineStr">
        <is>
          <t>MOV 10: power</t>
        </is>
      </c>
      <c r="E3445" s="12" t="inlineStr"/>
      <c r="F3445" s="12" t="inlineStr">
        <is>
          <t>CCS MV switchgear building (VFDs)</t>
        </is>
      </c>
      <c r="G3445" s="12" t="inlineStr">
        <is>
          <t>ABS-B</t>
        </is>
      </c>
      <c r="H3445" s="12" t="inlineStr">
        <is>
          <t>Absorber B (62 ft dia x 262 ft, stack to 313 ft)</t>
        </is>
      </c>
      <c r="I3445" s="12" t="inlineStr">
        <is>
          <t>LV 600 V</t>
        </is>
      </c>
      <c r="J3445" s="12" t="inlineStr">
        <is>
          <t>Type TC-ER 600 V 3/C Cu XHHW-2 + ground, PVC jacket</t>
        </is>
      </c>
      <c r="K3445" s="12" t="inlineStr">
        <is>
          <t>LV|3/C+G|10</t>
        </is>
      </c>
      <c r="L3445" s="12" t="inlineStr">
        <is>
          <t>3/C+G</t>
        </is>
      </c>
      <c r="M3445" s="12" t="inlineStr">
        <is>
          <t>10</t>
        </is>
      </c>
      <c r="N3445" s="12" t="n">
        <v>1</v>
      </c>
      <c r="O3445" s="12" t="n">
        <v>1</v>
      </c>
      <c r="P3445" s="12" t="n">
        <v>480</v>
      </c>
      <c r="Q3445" s="12" t="n">
        <v>2.5</v>
      </c>
      <c r="R3445" s="12" t="n">
        <v>3.5</v>
      </c>
      <c r="S3445" s="12" t="inlineStr">
        <is>
          <t>Tray</t>
        </is>
      </c>
      <c r="T3445" s="16" t="n">
        <v>410</v>
      </c>
      <c r="U3445" s="16" t="n">
        <v>80</v>
      </c>
      <c r="V3445" s="16">
        <f>ROUNDUP((T3445+U3445+2*'Read Me'!$B$13)*(1+'Read Me'!$B$12),-1)</f>
        <v/>
      </c>
      <c r="W3445" s="16">
        <f>V3445*N3445*O3445</f>
        <v/>
      </c>
      <c r="X3445" s="12">
        <f>IF(LEFT(I3445,2)="MV",2*N3445*IF(L3445="1/C",O3445,1),0)</f>
        <v/>
      </c>
      <c r="Y3445" s="12">
        <f>IF(OR(LEFT(K3445,4)="LVAX",LEFT(K3445,6)="MV15AX",LEFT(K3445,4)="CTAX",LEFT(K3445,2)="W|"),2*N3445*O3445,0)</f>
        <v/>
      </c>
      <c r="Z3445" s="12" t="inlineStr">
        <is>
          <t>VD 0.8 %</t>
        </is>
      </c>
      <c r="AA3445" s="12">
        <f>N3445*O3445</f>
        <v/>
      </c>
    </row>
    <row r="3446">
      <c r="A3446" s="12" t="inlineStr">
        <is>
          <t>G-P-0031</t>
        </is>
      </c>
      <c r="B3446" s="12" t="inlineStr">
        <is>
          <t>G</t>
        </is>
      </c>
      <c r="C3446" s="12" t="inlineStr">
        <is>
          <t>Carbon capture</t>
        </is>
      </c>
      <c r="D3446" s="12" t="inlineStr">
        <is>
          <t>LV power feeder</t>
        </is>
      </c>
      <c r="E3446" s="12" t="inlineStr"/>
      <c r="F3446" s="12" t="inlineStr">
        <is>
          <t>CCS MV switchgear building (VFDs)</t>
        </is>
      </c>
      <c r="G3446" s="12" t="inlineStr">
        <is>
          <t>ABS-B</t>
        </is>
      </c>
      <c r="H3446" s="12" t="inlineStr">
        <is>
          <t>Absorber B (62 ft dia x 262 ft, stack to 313 ft)</t>
        </is>
      </c>
      <c r="I3446" s="12" t="inlineStr">
        <is>
          <t>LV 600 V</t>
        </is>
      </c>
      <c r="J3446" s="12" t="inlineStr">
        <is>
          <t>Type TC-ER 600 V 3/C Cu XHHW-2 + ground, PVC jacket</t>
        </is>
      </c>
      <c r="K3446" s="12" t="inlineStr">
        <is>
          <t>LV|3/C+G|2</t>
        </is>
      </c>
      <c r="L3446" s="12" t="inlineStr">
        <is>
          <t>3/C+G</t>
        </is>
      </c>
      <c r="M3446" s="12" t="inlineStr">
        <is>
          <t>2</t>
        </is>
      </c>
      <c r="N3446" s="12" t="n">
        <v>1</v>
      </c>
      <c r="O3446" s="12" t="n">
        <v>1</v>
      </c>
      <c r="P3446" s="12" t="n">
        <v>480</v>
      </c>
      <c r="Q3446" s="12" t="n">
        <v>40</v>
      </c>
      <c r="R3446" s="12" t="n">
        <v>56.6</v>
      </c>
      <c r="S3446" s="12" t="inlineStr">
        <is>
          <t>Tray</t>
        </is>
      </c>
      <c r="T3446" s="16" t="n">
        <v>410</v>
      </c>
      <c r="U3446" s="16" t="n">
        <v>80</v>
      </c>
      <c r="V3446" s="16">
        <f>ROUNDUP((T3446+U3446+2*'Read Me'!$B$13)*(1+'Read Me'!$B$12),-1)</f>
        <v/>
      </c>
      <c r="W3446" s="16">
        <f>V3446*N3446*O3446</f>
        <v/>
      </c>
      <c r="X3446" s="12">
        <f>IF(LEFT(I3446,2)="MV",2*N3446*IF(L3446="1/C",O3446,1),0)</f>
        <v/>
      </c>
      <c r="Y3446" s="12">
        <f>IF(OR(LEFT(K3446,4)="LVAX",LEFT(K3446,6)="MV15AX",LEFT(K3446,4)="CTAX",LEFT(K3446,2)="W|"),2*N3446*O3446,0)</f>
        <v/>
      </c>
      <c r="Z3446" s="12" t="inlineStr">
        <is>
          <t>VD 2.1 %</t>
        </is>
      </c>
      <c r="AA3446" s="12">
        <f>N3446*O3446</f>
        <v/>
      </c>
    </row>
    <row r="3447">
      <c r="A3447" s="12" t="inlineStr">
        <is>
          <t>G-P-0032</t>
        </is>
      </c>
      <c r="B3447" s="12" t="inlineStr">
        <is>
          <t>G</t>
        </is>
      </c>
      <c r="C3447" s="12" t="inlineStr">
        <is>
          <t>Carbon capture</t>
        </is>
      </c>
      <c r="D3447" s="12" t="inlineStr">
        <is>
          <t>Area / platform lighting circuit 1 (12 fixtures)</t>
        </is>
      </c>
      <c r="E3447" s="12" t="inlineStr"/>
      <c r="F3447" s="12" t="inlineStr">
        <is>
          <t>CCS MV switchgear building (VFDs)</t>
        </is>
      </c>
      <c r="G3447" s="12" t="inlineStr">
        <is>
          <t>ABS-B</t>
        </is>
      </c>
      <c r="H3447" s="12" t="inlineStr">
        <is>
          <t>Absorber B (62 ft dia x 262 ft, stack to 313 ft)</t>
        </is>
      </c>
      <c r="I3447" s="12" t="inlineStr">
        <is>
          <t>LV 600 V</t>
        </is>
      </c>
      <c r="J3447" s="12" t="inlineStr">
        <is>
          <t>Type TC-ER 600 V 3/C Cu XHHW-2 + ground, PVC jacket</t>
        </is>
      </c>
      <c r="K3447" s="12" t="inlineStr">
        <is>
          <t>LV|3/C+G|10</t>
        </is>
      </c>
      <c r="L3447" s="12" t="inlineStr">
        <is>
          <t>3/C+G</t>
        </is>
      </c>
      <c r="M3447" s="12" t="inlineStr">
        <is>
          <t>10</t>
        </is>
      </c>
      <c r="N3447" s="12" t="n">
        <v>1</v>
      </c>
      <c r="O3447" s="12" t="n">
        <v>1</v>
      </c>
      <c r="P3447" s="12" t="n">
        <v>480</v>
      </c>
      <c r="Q3447" s="12" t="n">
        <v>3</v>
      </c>
      <c r="R3447" s="12" t="n">
        <v>5</v>
      </c>
      <c r="S3447" s="12" t="inlineStr">
        <is>
          <t>Tray</t>
        </is>
      </c>
      <c r="T3447" s="16" t="n">
        <v>710</v>
      </c>
      <c r="U3447" s="16" t="n">
        <v>80</v>
      </c>
      <c r="V3447" s="16">
        <f>ROUNDUP((T3447+U3447+2*'Read Me'!$B$13)*(1+'Read Me'!$B$12),-1)</f>
        <v/>
      </c>
      <c r="W3447" s="16">
        <f>V3447*N3447*O3447</f>
        <v/>
      </c>
      <c r="X3447" s="12">
        <f>IF(LEFT(I3447,2)="MV",2*N3447*IF(L3447="1/C",O3447,1),0)</f>
        <v/>
      </c>
      <c r="Y3447" s="12">
        <f>IF(OR(LEFT(K3447,4)="LVAX",LEFT(K3447,6)="MV15AX",LEFT(K3447,4)="CTAX",LEFT(K3447,2)="W|"),2*N3447*O3447,0)</f>
        <v/>
      </c>
      <c r="Z3447" s="12" t="inlineStr">
        <is>
          <t>fixture-to-fixture run included</t>
        </is>
      </c>
      <c r="AA3447" s="12">
        <f>N3447*O3447</f>
        <v/>
      </c>
    </row>
    <row r="3448">
      <c r="A3448" s="12" t="inlineStr">
        <is>
          <t>G-P-0033</t>
        </is>
      </c>
      <c r="B3448" s="12" t="inlineStr">
        <is>
          <t>G</t>
        </is>
      </c>
      <c r="C3448" s="12" t="inlineStr">
        <is>
          <t>Carbon capture</t>
        </is>
      </c>
      <c r="D3448" s="12" t="inlineStr">
        <is>
          <t>Area / platform lighting circuit 2 (12 fixtures)</t>
        </is>
      </c>
      <c r="E3448" s="12" t="inlineStr"/>
      <c r="F3448" s="12" t="inlineStr">
        <is>
          <t>CCS MV switchgear building (VFDs)</t>
        </is>
      </c>
      <c r="G3448" s="12" t="inlineStr">
        <is>
          <t>ABS-B</t>
        </is>
      </c>
      <c r="H3448" s="12" t="inlineStr">
        <is>
          <t>Absorber B (62 ft dia x 262 ft, stack to 313 ft)</t>
        </is>
      </c>
      <c r="I3448" s="12" t="inlineStr">
        <is>
          <t>LV 600 V</t>
        </is>
      </c>
      <c r="J3448" s="12" t="inlineStr">
        <is>
          <t>Type TC-ER 600 V 3/C Cu XHHW-2 + ground, PVC jacket</t>
        </is>
      </c>
      <c r="K3448" s="12" t="inlineStr">
        <is>
          <t>LV|3/C+G|10</t>
        </is>
      </c>
      <c r="L3448" s="12" t="inlineStr">
        <is>
          <t>3/C+G</t>
        </is>
      </c>
      <c r="M3448" s="12" t="inlineStr">
        <is>
          <t>10</t>
        </is>
      </c>
      <c r="N3448" s="12" t="n">
        <v>1</v>
      </c>
      <c r="O3448" s="12" t="n">
        <v>1</v>
      </c>
      <c r="P3448" s="12" t="n">
        <v>480</v>
      </c>
      <c r="Q3448" s="12" t="n">
        <v>3</v>
      </c>
      <c r="R3448" s="12" t="n">
        <v>5</v>
      </c>
      <c r="S3448" s="12" t="inlineStr">
        <is>
          <t>Tray</t>
        </is>
      </c>
      <c r="T3448" s="16" t="n">
        <v>710</v>
      </c>
      <c r="U3448" s="16" t="n">
        <v>80</v>
      </c>
      <c r="V3448" s="16">
        <f>ROUNDUP((T3448+U3448+2*'Read Me'!$B$13)*(1+'Read Me'!$B$12),-1)</f>
        <v/>
      </c>
      <c r="W3448" s="16">
        <f>V3448*N3448*O3448</f>
        <v/>
      </c>
      <c r="X3448" s="12">
        <f>IF(LEFT(I3448,2)="MV",2*N3448*IF(L3448="1/C",O3448,1),0)</f>
        <v/>
      </c>
      <c r="Y3448" s="12">
        <f>IF(OR(LEFT(K3448,4)="LVAX",LEFT(K3448,6)="MV15AX",LEFT(K3448,4)="CTAX",LEFT(K3448,2)="W|"),2*N3448*O3448,0)</f>
        <v/>
      </c>
      <c r="Z3448" s="12" t="inlineStr">
        <is>
          <t>fixture-to-fixture run included</t>
        </is>
      </c>
      <c r="AA3448" s="12">
        <f>N3448*O3448</f>
        <v/>
      </c>
    </row>
    <row r="3449">
      <c r="A3449" s="12" t="inlineStr">
        <is>
          <t>G-P-0034</t>
        </is>
      </c>
      <c r="B3449" s="12" t="inlineStr">
        <is>
          <t>G</t>
        </is>
      </c>
      <c r="C3449" s="12" t="inlineStr">
        <is>
          <t>Carbon capture</t>
        </is>
      </c>
      <c r="D3449" s="12" t="inlineStr">
        <is>
          <t>Area / platform lighting circuit 3 (6 fixtures)</t>
        </is>
      </c>
      <c r="E3449" s="12" t="inlineStr"/>
      <c r="F3449" s="12" t="inlineStr">
        <is>
          <t>CCS MV switchgear building (VFDs)</t>
        </is>
      </c>
      <c r="G3449" s="12" t="inlineStr">
        <is>
          <t>ABS-B</t>
        </is>
      </c>
      <c r="H3449" s="12" t="inlineStr">
        <is>
          <t>Absorber B (62 ft dia x 262 ft, stack to 313 ft)</t>
        </is>
      </c>
      <c r="I3449" s="12" t="inlineStr">
        <is>
          <t>LV 600 V</t>
        </is>
      </c>
      <c r="J3449" s="12" t="inlineStr">
        <is>
          <t>Type TC-ER 600 V 3/C Cu XHHW-2 + ground, PVC jacket</t>
        </is>
      </c>
      <c r="K3449" s="12" t="inlineStr">
        <is>
          <t>LV|3/C+G|10</t>
        </is>
      </c>
      <c r="L3449" s="12" t="inlineStr">
        <is>
          <t>3/C+G</t>
        </is>
      </c>
      <c r="M3449" s="12" t="inlineStr">
        <is>
          <t>10</t>
        </is>
      </c>
      <c r="N3449" s="12" t="n">
        <v>1</v>
      </c>
      <c r="O3449" s="12" t="n">
        <v>1</v>
      </c>
      <c r="P3449" s="12" t="n">
        <v>480</v>
      </c>
      <c r="Q3449" s="12" t="n">
        <v>3</v>
      </c>
      <c r="R3449" s="12" t="n">
        <v>5</v>
      </c>
      <c r="S3449" s="12" t="inlineStr">
        <is>
          <t>Tray</t>
        </is>
      </c>
      <c r="T3449" s="16" t="n">
        <v>710</v>
      </c>
      <c r="U3449" s="16" t="n">
        <v>80</v>
      </c>
      <c r="V3449" s="16">
        <f>ROUNDUP((T3449+U3449+2*'Read Me'!$B$13)*(1+'Read Me'!$B$12),-1)</f>
        <v/>
      </c>
      <c r="W3449" s="16">
        <f>V3449*N3449*O3449</f>
        <v/>
      </c>
      <c r="X3449" s="12">
        <f>IF(LEFT(I3449,2)="MV",2*N3449*IF(L3449="1/C",O3449,1),0)</f>
        <v/>
      </c>
      <c r="Y3449" s="12">
        <f>IF(OR(LEFT(K3449,4)="LVAX",LEFT(K3449,6)="MV15AX",LEFT(K3449,4)="CTAX",LEFT(K3449,2)="W|"),2*N3449*O3449,0)</f>
        <v/>
      </c>
      <c r="Z3449" s="12" t="inlineStr">
        <is>
          <t>fixture-to-fixture run included</t>
        </is>
      </c>
      <c r="AA3449" s="12">
        <f>N3449*O3449</f>
        <v/>
      </c>
    </row>
    <row r="3450">
      <c r="A3450" s="12" t="inlineStr">
        <is>
          <t>G-P-0035</t>
        </is>
      </c>
      <c r="B3450" s="12" t="inlineStr">
        <is>
          <t>G</t>
        </is>
      </c>
      <c r="C3450" s="12" t="inlineStr">
        <is>
          <t>Carbon capture</t>
        </is>
      </c>
      <c r="D3450" s="12" t="inlineStr">
        <is>
          <t>480 V welding receptacle 1</t>
        </is>
      </c>
      <c r="E3450" s="12" t="inlineStr"/>
      <c r="F3450" s="12" t="inlineStr">
        <is>
          <t>CCS MV switchgear building (VFDs)</t>
        </is>
      </c>
      <c r="G3450" s="12" t="inlineStr">
        <is>
          <t>ABS-B</t>
        </is>
      </c>
      <c r="H3450" s="12" t="inlineStr">
        <is>
          <t>Absorber B (62 ft dia x 262 ft, stack to 313 ft)</t>
        </is>
      </c>
      <c r="I3450" s="12" t="inlineStr">
        <is>
          <t>LV 600 V</t>
        </is>
      </c>
      <c r="J3450" s="12" t="inlineStr">
        <is>
          <t>Type TC-ER 600 V 3/C Cu XHHW-2 + ground, PVC jacket</t>
        </is>
      </c>
      <c r="K3450" s="12" t="inlineStr">
        <is>
          <t>LV|3/C+G|2</t>
        </is>
      </c>
      <c r="L3450" s="12" t="inlineStr">
        <is>
          <t>3/C+G</t>
        </is>
      </c>
      <c r="M3450" s="12" t="inlineStr">
        <is>
          <t>2</t>
        </is>
      </c>
      <c r="N3450" s="12" t="n">
        <v>1</v>
      </c>
      <c r="O3450" s="12" t="n">
        <v>1</v>
      </c>
      <c r="P3450" s="12" t="n">
        <v>480</v>
      </c>
      <c r="Q3450" s="12" t="n">
        <v>60</v>
      </c>
      <c r="R3450" s="12" t="n">
        <v>76</v>
      </c>
      <c r="S3450" s="12" t="inlineStr">
        <is>
          <t>Tray</t>
        </is>
      </c>
      <c r="T3450" s="16" t="n">
        <v>410</v>
      </c>
      <c r="U3450" s="16" t="n">
        <v>80</v>
      </c>
      <c r="V3450" s="16">
        <f>ROUNDUP((T3450+U3450+2*'Read Me'!$B$13)*(1+'Read Me'!$B$12),-1)</f>
        <v/>
      </c>
      <c r="W3450" s="16">
        <f>V3450*N3450*O3450</f>
        <v/>
      </c>
      <c r="X3450" s="12">
        <f>IF(LEFT(I3450,2)="MV",2*N3450*IF(L3450="1/C",O3450,1),0)</f>
        <v/>
      </c>
      <c r="Y3450" s="12">
        <f>IF(OR(LEFT(K3450,4)="LVAX",LEFT(K3450,6)="MV15AX",LEFT(K3450,4)="CTAX",LEFT(K3450,2)="W|"),2*N3450*O3450,0)</f>
        <v/>
      </c>
      <c r="Z3450" s="12" t="inlineStr">
        <is>
          <t>VD 2.9 %</t>
        </is>
      </c>
      <c r="AA3450" s="12">
        <f>N3450*O3450</f>
        <v/>
      </c>
    </row>
    <row r="3451">
      <c r="A3451" s="12" t="inlineStr">
        <is>
          <t>G-P-0036</t>
        </is>
      </c>
      <c r="B3451" s="12" t="inlineStr">
        <is>
          <t>G</t>
        </is>
      </c>
      <c r="C3451" s="12" t="inlineStr">
        <is>
          <t>Carbon capture</t>
        </is>
      </c>
      <c r="D3451" s="12" t="inlineStr">
        <is>
          <t>480 V welding receptacle 2</t>
        </is>
      </c>
      <c r="E3451" s="12" t="inlineStr"/>
      <c r="F3451" s="12" t="inlineStr">
        <is>
          <t>CCS MV switchgear building (VFDs)</t>
        </is>
      </c>
      <c r="G3451" s="12" t="inlineStr">
        <is>
          <t>ABS-B</t>
        </is>
      </c>
      <c r="H3451" s="12" t="inlineStr">
        <is>
          <t>Absorber B (62 ft dia x 262 ft, stack to 313 ft)</t>
        </is>
      </c>
      <c r="I3451" s="12" t="inlineStr">
        <is>
          <t>LV 600 V</t>
        </is>
      </c>
      <c r="J3451" s="12" t="inlineStr">
        <is>
          <t>Type TC-ER 600 V 3/C Cu XHHW-2 + ground, PVC jacket</t>
        </is>
      </c>
      <c r="K3451" s="12" t="inlineStr">
        <is>
          <t>LV|3/C+G|2</t>
        </is>
      </c>
      <c r="L3451" s="12" t="inlineStr">
        <is>
          <t>3/C+G</t>
        </is>
      </c>
      <c r="M3451" s="12" t="inlineStr">
        <is>
          <t>2</t>
        </is>
      </c>
      <c r="N3451" s="12" t="n">
        <v>1</v>
      </c>
      <c r="O3451" s="12" t="n">
        <v>1</v>
      </c>
      <c r="P3451" s="12" t="n">
        <v>480</v>
      </c>
      <c r="Q3451" s="12" t="n">
        <v>60</v>
      </c>
      <c r="R3451" s="12" t="n">
        <v>76</v>
      </c>
      <c r="S3451" s="12" t="inlineStr">
        <is>
          <t>Tray</t>
        </is>
      </c>
      <c r="T3451" s="16" t="n">
        <v>410</v>
      </c>
      <c r="U3451" s="16" t="n">
        <v>80</v>
      </c>
      <c r="V3451" s="16">
        <f>ROUNDUP((T3451+U3451+2*'Read Me'!$B$13)*(1+'Read Me'!$B$12),-1)</f>
        <v/>
      </c>
      <c r="W3451" s="16">
        <f>V3451*N3451*O3451</f>
        <v/>
      </c>
      <c r="X3451" s="12">
        <f>IF(LEFT(I3451,2)="MV",2*N3451*IF(L3451="1/C",O3451,1),0)</f>
        <v/>
      </c>
      <c r="Y3451" s="12">
        <f>IF(OR(LEFT(K3451,4)="LVAX",LEFT(K3451,6)="MV15AX",LEFT(K3451,4)="CTAX",LEFT(K3451,2)="W|"),2*N3451*O3451,0)</f>
        <v/>
      </c>
      <c r="Z3451" s="12" t="inlineStr">
        <is>
          <t>VD 2.9 %</t>
        </is>
      </c>
      <c r="AA3451" s="12">
        <f>N3451*O3451</f>
        <v/>
      </c>
    </row>
    <row r="3452">
      <c r="A3452" s="12" t="inlineStr">
        <is>
          <t>G-P-0037</t>
        </is>
      </c>
      <c r="B3452" s="12" t="inlineStr">
        <is>
          <t>G</t>
        </is>
      </c>
      <c r="C3452" s="12" t="inlineStr">
        <is>
          <t>Carbon capture</t>
        </is>
      </c>
      <c r="D3452" s="12" t="inlineStr">
        <is>
          <t>480 V welding receptacle 3</t>
        </is>
      </c>
      <c r="E3452" s="12" t="inlineStr"/>
      <c r="F3452" s="12" t="inlineStr">
        <is>
          <t>CCS MV switchgear building (VFDs)</t>
        </is>
      </c>
      <c r="G3452" s="12" t="inlineStr">
        <is>
          <t>ABS-B</t>
        </is>
      </c>
      <c r="H3452" s="12" t="inlineStr">
        <is>
          <t>Absorber B (62 ft dia x 262 ft, stack to 313 ft)</t>
        </is>
      </c>
      <c r="I3452" s="12" t="inlineStr">
        <is>
          <t>LV 600 V</t>
        </is>
      </c>
      <c r="J3452" s="12" t="inlineStr">
        <is>
          <t>Type TC-ER 600 V 3/C Cu XHHW-2 + ground, PVC jacket</t>
        </is>
      </c>
      <c r="K3452" s="12" t="inlineStr">
        <is>
          <t>LV|3/C+G|2</t>
        </is>
      </c>
      <c r="L3452" s="12" t="inlineStr">
        <is>
          <t>3/C+G</t>
        </is>
      </c>
      <c r="M3452" s="12" t="inlineStr">
        <is>
          <t>2</t>
        </is>
      </c>
      <c r="N3452" s="12" t="n">
        <v>1</v>
      </c>
      <c r="O3452" s="12" t="n">
        <v>1</v>
      </c>
      <c r="P3452" s="12" t="n">
        <v>480</v>
      </c>
      <c r="Q3452" s="12" t="n">
        <v>60</v>
      </c>
      <c r="R3452" s="12" t="n">
        <v>76</v>
      </c>
      <c r="S3452" s="12" t="inlineStr">
        <is>
          <t>Tray</t>
        </is>
      </c>
      <c r="T3452" s="16" t="n">
        <v>410</v>
      </c>
      <c r="U3452" s="16" t="n">
        <v>80</v>
      </c>
      <c r="V3452" s="16">
        <f>ROUNDUP((T3452+U3452+2*'Read Me'!$B$13)*(1+'Read Me'!$B$12),-1)</f>
        <v/>
      </c>
      <c r="W3452" s="16">
        <f>V3452*N3452*O3452</f>
        <v/>
      </c>
      <c r="X3452" s="12">
        <f>IF(LEFT(I3452,2)="MV",2*N3452*IF(L3452="1/C",O3452,1),0)</f>
        <v/>
      </c>
      <c r="Y3452" s="12">
        <f>IF(OR(LEFT(K3452,4)="LVAX",LEFT(K3452,6)="MV15AX",LEFT(K3452,4)="CTAX",LEFT(K3452,2)="W|"),2*N3452*O3452,0)</f>
        <v/>
      </c>
      <c r="Z3452" s="12" t="inlineStr">
        <is>
          <t>VD 2.9 %</t>
        </is>
      </c>
      <c r="AA3452" s="12">
        <f>N3452*O3452</f>
        <v/>
      </c>
    </row>
    <row r="3453">
      <c r="A3453" s="12" t="inlineStr">
        <is>
          <t>G-P-0038</t>
        </is>
      </c>
      <c r="B3453" s="12" t="inlineStr">
        <is>
          <t>G</t>
        </is>
      </c>
      <c r="C3453" s="12" t="inlineStr">
        <is>
          <t>Carbon capture</t>
        </is>
      </c>
      <c r="D3453" s="12" t="inlineStr">
        <is>
          <t>480 V welding receptacle 4</t>
        </is>
      </c>
      <c r="E3453" s="12" t="inlineStr"/>
      <c r="F3453" s="12" t="inlineStr">
        <is>
          <t>CCS MV switchgear building (VFDs)</t>
        </is>
      </c>
      <c r="G3453" s="12" t="inlineStr">
        <is>
          <t>ABS-B</t>
        </is>
      </c>
      <c r="H3453" s="12" t="inlineStr">
        <is>
          <t>Absorber B (62 ft dia x 262 ft, stack to 313 ft)</t>
        </is>
      </c>
      <c r="I3453" s="12" t="inlineStr">
        <is>
          <t>LV 600 V</t>
        </is>
      </c>
      <c r="J3453" s="12" t="inlineStr">
        <is>
          <t>Type TC-ER 600 V 3/C Cu XHHW-2 + ground, PVC jacket</t>
        </is>
      </c>
      <c r="K3453" s="12" t="inlineStr">
        <is>
          <t>LV|3/C+G|2</t>
        </is>
      </c>
      <c r="L3453" s="12" t="inlineStr">
        <is>
          <t>3/C+G</t>
        </is>
      </c>
      <c r="M3453" s="12" t="inlineStr">
        <is>
          <t>2</t>
        </is>
      </c>
      <c r="N3453" s="12" t="n">
        <v>1</v>
      </c>
      <c r="O3453" s="12" t="n">
        <v>1</v>
      </c>
      <c r="P3453" s="12" t="n">
        <v>480</v>
      </c>
      <c r="Q3453" s="12" t="n">
        <v>60</v>
      </c>
      <c r="R3453" s="12" t="n">
        <v>76</v>
      </c>
      <c r="S3453" s="12" t="inlineStr">
        <is>
          <t>Tray</t>
        </is>
      </c>
      <c r="T3453" s="16" t="n">
        <v>410</v>
      </c>
      <c r="U3453" s="16" t="n">
        <v>80</v>
      </c>
      <c r="V3453" s="16">
        <f>ROUNDUP((T3453+U3453+2*'Read Me'!$B$13)*(1+'Read Me'!$B$12),-1)</f>
        <v/>
      </c>
      <c r="W3453" s="16">
        <f>V3453*N3453*O3453</f>
        <v/>
      </c>
      <c r="X3453" s="12">
        <f>IF(LEFT(I3453,2)="MV",2*N3453*IF(L3453="1/C",O3453,1),0)</f>
        <v/>
      </c>
      <c r="Y3453" s="12">
        <f>IF(OR(LEFT(K3453,4)="LVAX",LEFT(K3453,6)="MV15AX",LEFT(K3453,4)="CTAX",LEFT(K3453,2)="W|"),2*N3453*O3453,0)</f>
        <v/>
      </c>
      <c r="Z3453" s="12" t="inlineStr">
        <is>
          <t>VD 2.9 %</t>
        </is>
      </c>
      <c r="AA3453" s="12">
        <f>N3453*O3453</f>
        <v/>
      </c>
    </row>
    <row r="3454">
      <c r="A3454" s="12" t="inlineStr">
        <is>
          <t>G-P-0039</t>
        </is>
      </c>
      <c r="B3454" s="12" t="inlineStr">
        <is>
          <t>G</t>
        </is>
      </c>
      <c r="C3454" s="12" t="inlineStr">
        <is>
          <t>Carbon capture</t>
        </is>
      </c>
      <c r="D3454" s="12" t="inlineStr">
        <is>
          <t>Motor 1 of 2, 150 kW</t>
        </is>
      </c>
      <c r="E3454" s="12" t="inlineStr"/>
      <c r="F3454" s="12" t="inlineStr">
        <is>
          <t>CCS MV switchgear building (VFDs)</t>
        </is>
      </c>
      <c r="G3454" s="12" t="inlineStr"/>
      <c r="H3454" s="12" t="inlineStr">
        <is>
          <t>Absorber B intercooler (pumps + plate exchanger)</t>
        </is>
      </c>
      <c r="I3454" s="12" t="inlineStr">
        <is>
          <t>LV 600 V</t>
        </is>
      </c>
      <c r="J3454" s="12" t="inlineStr">
        <is>
          <t>Type TC-ER 600 V 3/C Cu XHHW-2 + ground, PVC jacket</t>
        </is>
      </c>
      <c r="K3454" s="12" t="inlineStr">
        <is>
          <t>LV|3/C+G|350</t>
        </is>
      </c>
      <c r="L3454" s="12" t="inlineStr">
        <is>
          <t>3/C+G</t>
        </is>
      </c>
      <c r="M3454" s="12" t="inlineStr">
        <is>
          <t>350 kcmil</t>
        </is>
      </c>
      <c r="N3454" s="12" t="n">
        <v>1</v>
      </c>
      <c r="O3454" s="12" t="n">
        <v>1</v>
      </c>
      <c r="P3454" s="12" t="n">
        <v>480</v>
      </c>
      <c r="Q3454" s="12" t="n">
        <v>150</v>
      </c>
      <c r="R3454" s="12" t="n">
        <v>212.3</v>
      </c>
      <c r="S3454" s="12" t="inlineStr">
        <is>
          <t>Tray</t>
        </is>
      </c>
      <c r="T3454" s="16" t="n">
        <v>392</v>
      </c>
      <c r="U3454" s="16" t="n">
        <v>81</v>
      </c>
      <c r="V3454" s="16">
        <f>ROUNDUP((T3454+U3454+2*'Read Me'!$B$13)*(1+'Read Me'!$B$12),-1)</f>
        <v/>
      </c>
      <c r="W3454" s="16">
        <f>V3454*N3454*O3454</f>
        <v/>
      </c>
      <c r="X3454" s="12">
        <f>IF(LEFT(I3454,2)="MV",2*N3454*IF(L3454="1/C",O3454,1),0)</f>
        <v/>
      </c>
      <c r="Y3454" s="12">
        <f>IF(OR(LEFT(K3454,4)="LVAX",LEFT(K3454,6)="MV15AX",LEFT(K3454,4)="CTAX",LEFT(K3454,2)="W|"),2*N3454*O3454,0)</f>
        <v/>
      </c>
      <c r="Z3454" s="12" t="inlineStr">
        <is>
          <t>VD 1.5 %</t>
        </is>
      </c>
      <c r="AA3454" s="12">
        <f>N3454*O3454</f>
        <v/>
      </c>
    </row>
    <row r="3455">
      <c r="A3455" s="12" t="inlineStr">
        <is>
          <t>G-P-0040</t>
        </is>
      </c>
      <c r="B3455" s="12" t="inlineStr">
        <is>
          <t>G</t>
        </is>
      </c>
      <c r="C3455" s="12" t="inlineStr">
        <is>
          <t>Carbon capture</t>
        </is>
      </c>
      <c r="D3455" s="12" t="inlineStr">
        <is>
          <t>Motor 2 of 2, 150 kW</t>
        </is>
      </c>
      <c r="E3455" s="12" t="inlineStr"/>
      <c r="F3455" s="12" t="inlineStr">
        <is>
          <t>CCS MV switchgear building (VFDs)</t>
        </is>
      </c>
      <c r="G3455" s="12" t="inlineStr"/>
      <c r="H3455" s="12" t="inlineStr">
        <is>
          <t>Absorber B intercooler (pumps + plate exchanger)</t>
        </is>
      </c>
      <c r="I3455" s="12" t="inlineStr">
        <is>
          <t>LV 600 V</t>
        </is>
      </c>
      <c r="J3455" s="12" t="inlineStr">
        <is>
          <t>Type TC-ER 600 V 3/C Cu XHHW-2 + ground, PVC jacket</t>
        </is>
      </c>
      <c r="K3455" s="12" t="inlineStr">
        <is>
          <t>LV|3/C+G|350</t>
        </is>
      </c>
      <c r="L3455" s="12" t="inlineStr">
        <is>
          <t>3/C+G</t>
        </is>
      </c>
      <c r="M3455" s="12" t="inlineStr">
        <is>
          <t>350 kcmil</t>
        </is>
      </c>
      <c r="N3455" s="12" t="n">
        <v>1</v>
      </c>
      <c r="O3455" s="12" t="n">
        <v>1</v>
      </c>
      <c r="P3455" s="12" t="n">
        <v>480</v>
      </c>
      <c r="Q3455" s="12" t="n">
        <v>150</v>
      </c>
      <c r="R3455" s="12" t="n">
        <v>212.3</v>
      </c>
      <c r="S3455" s="12" t="inlineStr">
        <is>
          <t>Tray</t>
        </is>
      </c>
      <c r="T3455" s="16" t="n">
        <v>392</v>
      </c>
      <c r="U3455" s="16" t="n">
        <v>81</v>
      </c>
      <c r="V3455" s="16">
        <f>ROUNDUP((T3455+U3455+2*'Read Me'!$B$13)*(1+'Read Me'!$B$12),-1)</f>
        <v/>
      </c>
      <c r="W3455" s="16">
        <f>V3455*N3455*O3455</f>
        <v/>
      </c>
      <c r="X3455" s="12">
        <f>IF(LEFT(I3455,2)="MV",2*N3455*IF(L3455="1/C",O3455,1),0)</f>
        <v/>
      </c>
      <c r="Y3455" s="12">
        <f>IF(OR(LEFT(K3455,4)="LVAX",LEFT(K3455,6)="MV15AX",LEFT(K3455,4)="CTAX",LEFT(K3455,2)="W|"),2*N3455*O3455,0)</f>
        <v/>
      </c>
      <c r="Z3455" s="12" t="inlineStr">
        <is>
          <t>VD 1.5 %</t>
        </is>
      </c>
      <c r="AA3455" s="12">
        <f>N3455*O3455</f>
        <v/>
      </c>
    </row>
    <row r="3456">
      <c r="A3456" s="12" t="inlineStr">
        <is>
          <t>G-P-0041</t>
        </is>
      </c>
      <c r="B3456" s="12" t="inlineStr">
        <is>
          <t>G</t>
        </is>
      </c>
      <c r="C3456" s="12" t="inlineStr">
        <is>
          <t>Carbon capture</t>
        </is>
      </c>
      <c r="D3456" s="12" t="inlineStr">
        <is>
          <t>MOV 1: power</t>
        </is>
      </c>
      <c r="E3456" s="12" t="inlineStr"/>
      <c r="F3456" s="12" t="inlineStr">
        <is>
          <t>CCS MV switchgear building (VFDs)</t>
        </is>
      </c>
      <c r="G3456" s="12" t="inlineStr">
        <is>
          <t>ABS-C</t>
        </is>
      </c>
      <c r="H3456" s="12" t="inlineStr">
        <is>
          <t>Absorber C (62 ft dia x 262 ft, stack to 313 ft)</t>
        </is>
      </c>
      <c r="I3456" s="12" t="inlineStr">
        <is>
          <t>LV 600 V</t>
        </is>
      </c>
      <c r="J3456" s="12" t="inlineStr">
        <is>
          <t>Type TC-ER 600 V 3/C Cu XHHW-2 + ground, PVC jacket</t>
        </is>
      </c>
      <c r="K3456" s="12" t="inlineStr">
        <is>
          <t>LV|3/C+G|10</t>
        </is>
      </c>
      <c r="L3456" s="12" t="inlineStr">
        <is>
          <t>3/C+G</t>
        </is>
      </c>
      <c r="M3456" s="12" t="inlineStr">
        <is>
          <t>10</t>
        </is>
      </c>
      <c r="N3456" s="12" t="n">
        <v>1</v>
      </c>
      <c r="O3456" s="12" t="n">
        <v>1</v>
      </c>
      <c r="P3456" s="12" t="n">
        <v>480</v>
      </c>
      <c r="Q3456" s="12" t="n">
        <v>2.5</v>
      </c>
      <c r="R3456" s="12" t="n">
        <v>3.5</v>
      </c>
      <c r="S3456" s="12" t="inlineStr">
        <is>
          <t>Tray</t>
        </is>
      </c>
      <c r="T3456" s="16" t="n">
        <v>250</v>
      </c>
      <c r="U3456" s="16" t="n">
        <v>80</v>
      </c>
      <c r="V3456" s="16">
        <f>ROUNDUP((T3456+U3456+2*'Read Me'!$B$13)*(1+'Read Me'!$B$12),-1)</f>
        <v/>
      </c>
      <c r="W3456" s="16">
        <f>V3456*N3456*O3456</f>
        <v/>
      </c>
      <c r="X3456" s="12">
        <f>IF(LEFT(I3456,2)="MV",2*N3456*IF(L3456="1/C",O3456,1),0)</f>
        <v/>
      </c>
      <c r="Y3456" s="12">
        <f>IF(OR(LEFT(K3456,4)="LVAX",LEFT(K3456,6)="MV15AX",LEFT(K3456,4)="CTAX",LEFT(K3456,2)="W|"),2*N3456*O3456,0)</f>
        <v/>
      </c>
      <c r="Z3456" s="12" t="inlineStr">
        <is>
          <t>VD 0.6 %</t>
        </is>
      </c>
      <c r="AA3456" s="12">
        <f>N3456*O3456</f>
        <v/>
      </c>
    </row>
    <row r="3457">
      <c r="A3457" s="12" t="inlineStr">
        <is>
          <t>G-P-0042</t>
        </is>
      </c>
      <c r="B3457" s="12" t="inlineStr">
        <is>
          <t>G</t>
        </is>
      </c>
      <c r="C3457" s="12" t="inlineStr">
        <is>
          <t>Carbon capture</t>
        </is>
      </c>
      <c r="D3457" s="12" t="inlineStr">
        <is>
          <t>MOV 2: power</t>
        </is>
      </c>
      <c r="E3457" s="12" t="inlineStr"/>
      <c r="F3457" s="12" t="inlineStr">
        <is>
          <t>CCS MV switchgear building (VFDs)</t>
        </is>
      </c>
      <c r="G3457" s="12" t="inlineStr">
        <is>
          <t>ABS-C</t>
        </is>
      </c>
      <c r="H3457" s="12" t="inlineStr">
        <is>
          <t>Absorber C (62 ft dia x 262 ft, stack to 313 ft)</t>
        </is>
      </c>
      <c r="I3457" s="12" t="inlineStr">
        <is>
          <t>LV 600 V</t>
        </is>
      </c>
      <c r="J3457" s="12" t="inlineStr">
        <is>
          <t>Type TC-ER 600 V 3/C Cu XHHW-2 + ground, PVC jacket</t>
        </is>
      </c>
      <c r="K3457" s="12" t="inlineStr">
        <is>
          <t>LV|3/C+G|10</t>
        </is>
      </c>
      <c r="L3457" s="12" t="inlineStr">
        <is>
          <t>3/C+G</t>
        </is>
      </c>
      <c r="M3457" s="12" t="inlineStr">
        <is>
          <t>10</t>
        </is>
      </c>
      <c r="N3457" s="12" t="n">
        <v>1</v>
      </c>
      <c r="O3457" s="12" t="n">
        <v>1</v>
      </c>
      <c r="P3457" s="12" t="n">
        <v>480</v>
      </c>
      <c r="Q3457" s="12" t="n">
        <v>2.5</v>
      </c>
      <c r="R3457" s="12" t="n">
        <v>3.5</v>
      </c>
      <c r="S3457" s="12" t="inlineStr">
        <is>
          <t>Tray</t>
        </is>
      </c>
      <c r="T3457" s="16" t="n">
        <v>250</v>
      </c>
      <c r="U3457" s="16" t="n">
        <v>80</v>
      </c>
      <c r="V3457" s="16">
        <f>ROUNDUP((T3457+U3457+2*'Read Me'!$B$13)*(1+'Read Me'!$B$12),-1)</f>
        <v/>
      </c>
      <c r="W3457" s="16">
        <f>V3457*N3457*O3457</f>
        <v/>
      </c>
      <c r="X3457" s="12">
        <f>IF(LEFT(I3457,2)="MV",2*N3457*IF(L3457="1/C",O3457,1),0)</f>
        <v/>
      </c>
      <c r="Y3457" s="12">
        <f>IF(OR(LEFT(K3457,4)="LVAX",LEFT(K3457,6)="MV15AX",LEFT(K3457,4)="CTAX",LEFT(K3457,2)="W|"),2*N3457*O3457,0)</f>
        <v/>
      </c>
      <c r="Z3457" s="12" t="inlineStr">
        <is>
          <t>VD 0.6 %</t>
        </is>
      </c>
      <c r="AA3457" s="12">
        <f>N3457*O3457</f>
        <v/>
      </c>
    </row>
    <row r="3458">
      <c r="A3458" s="12" t="inlineStr">
        <is>
          <t>G-P-0043</t>
        </is>
      </c>
      <c r="B3458" s="12" t="inlineStr">
        <is>
          <t>G</t>
        </is>
      </c>
      <c r="C3458" s="12" t="inlineStr">
        <is>
          <t>Carbon capture</t>
        </is>
      </c>
      <c r="D3458" s="12" t="inlineStr">
        <is>
          <t>MOV 3: power</t>
        </is>
      </c>
      <c r="E3458" s="12" t="inlineStr"/>
      <c r="F3458" s="12" t="inlineStr">
        <is>
          <t>CCS MV switchgear building (VFDs)</t>
        </is>
      </c>
      <c r="G3458" s="12" t="inlineStr">
        <is>
          <t>ABS-C</t>
        </is>
      </c>
      <c r="H3458" s="12" t="inlineStr">
        <is>
          <t>Absorber C (62 ft dia x 262 ft, stack to 313 ft)</t>
        </is>
      </c>
      <c r="I3458" s="12" t="inlineStr">
        <is>
          <t>LV 600 V</t>
        </is>
      </c>
      <c r="J3458" s="12" t="inlineStr">
        <is>
          <t>Type TC-ER 600 V 3/C Cu XHHW-2 + ground, PVC jacket</t>
        </is>
      </c>
      <c r="K3458" s="12" t="inlineStr">
        <is>
          <t>LV|3/C+G|10</t>
        </is>
      </c>
      <c r="L3458" s="12" t="inlineStr">
        <is>
          <t>3/C+G</t>
        </is>
      </c>
      <c r="M3458" s="12" t="inlineStr">
        <is>
          <t>10</t>
        </is>
      </c>
      <c r="N3458" s="12" t="n">
        <v>1</v>
      </c>
      <c r="O3458" s="12" t="n">
        <v>1</v>
      </c>
      <c r="P3458" s="12" t="n">
        <v>480</v>
      </c>
      <c r="Q3458" s="12" t="n">
        <v>2.5</v>
      </c>
      <c r="R3458" s="12" t="n">
        <v>3.5</v>
      </c>
      <c r="S3458" s="12" t="inlineStr">
        <is>
          <t>Tray</t>
        </is>
      </c>
      <c r="T3458" s="16" t="n">
        <v>250</v>
      </c>
      <c r="U3458" s="16" t="n">
        <v>80</v>
      </c>
      <c r="V3458" s="16">
        <f>ROUNDUP((T3458+U3458+2*'Read Me'!$B$13)*(1+'Read Me'!$B$12),-1)</f>
        <v/>
      </c>
      <c r="W3458" s="16">
        <f>V3458*N3458*O3458</f>
        <v/>
      </c>
      <c r="X3458" s="12">
        <f>IF(LEFT(I3458,2)="MV",2*N3458*IF(L3458="1/C",O3458,1),0)</f>
        <v/>
      </c>
      <c r="Y3458" s="12">
        <f>IF(OR(LEFT(K3458,4)="LVAX",LEFT(K3458,6)="MV15AX",LEFT(K3458,4)="CTAX",LEFT(K3458,2)="W|"),2*N3458*O3458,0)</f>
        <v/>
      </c>
      <c r="Z3458" s="12" t="inlineStr">
        <is>
          <t>VD 0.6 %</t>
        </is>
      </c>
      <c r="AA3458" s="12">
        <f>N3458*O3458</f>
        <v/>
      </c>
    </row>
    <row r="3459">
      <c r="A3459" s="12" t="inlineStr">
        <is>
          <t>G-P-0044</t>
        </is>
      </c>
      <c r="B3459" s="12" t="inlineStr">
        <is>
          <t>G</t>
        </is>
      </c>
      <c r="C3459" s="12" t="inlineStr">
        <is>
          <t>Carbon capture</t>
        </is>
      </c>
      <c r="D3459" s="12" t="inlineStr">
        <is>
          <t>MOV 4: power</t>
        </is>
      </c>
      <c r="E3459" s="12" t="inlineStr"/>
      <c r="F3459" s="12" t="inlineStr">
        <is>
          <t>CCS MV switchgear building (VFDs)</t>
        </is>
      </c>
      <c r="G3459" s="12" t="inlineStr">
        <is>
          <t>ABS-C</t>
        </is>
      </c>
      <c r="H3459" s="12" t="inlineStr">
        <is>
          <t>Absorber C (62 ft dia x 262 ft, stack to 313 ft)</t>
        </is>
      </c>
      <c r="I3459" s="12" t="inlineStr">
        <is>
          <t>LV 600 V</t>
        </is>
      </c>
      <c r="J3459" s="12" t="inlineStr">
        <is>
          <t>Type TC-ER 600 V 3/C Cu XHHW-2 + ground, PVC jacket</t>
        </is>
      </c>
      <c r="K3459" s="12" t="inlineStr">
        <is>
          <t>LV|3/C+G|10</t>
        </is>
      </c>
      <c r="L3459" s="12" t="inlineStr">
        <is>
          <t>3/C+G</t>
        </is>
      </c>
      <c r="M3459" s="12" t="inlineStr">
        <is>
          <t>10</t>
        </is>
      </c>
      <c r="N3459" s="12" t="n">
        <v>1</v>
      </c>
      <c r="O3459" s="12" t="n">
        <v>1</v>
      </c>
      <c r="P3459" s="12" t="n">
        <v>480</v>
      </c>
      <c r="Q3459" s="12" t="n">
        <v>2.5</v>
      </c>
      <c r="R3459" s="12" t="n">
        <v>3.5</v>
      </c>
      <c r="S3459" s="12" t="inlineStr">
        <is>
          <t>Tray</t>
        </is>
      </c>
      <c r="T3459" s="16" t="n">
        <v>250</v>
      </c>
      <c r="U3459" s="16" t="n">
        <v>80</v>
      </c>
      <c r="V3459" s="16">
        <f>ROUNDUP((T3459+U3459+2*'Read Me'!$B$13)*(1+'Read Me'!$B$12),-1)</f>
        <v/>
      </c>
      <c r="W3459" s="16">
        <f>V3459*N3459*O3459</f>
        <v/>
      </c>
      <c r="X3459" s="12">
        <f>IF(LEFT(I3459,2)="MV",2*N3459*IF(L3459="1/C",O3459,1),0)</f>
        <v/>
      </c>
      <c r="Y3459" s="12">
        <f>IF(OR(LEFT(K3459,4)="LVAX",LEFT(K3459,6)="MV15AX",LEFT(K3459,4)="CTAX",LEFT(K3459,2)="W|"),2*N3459*O3459,0)</f>
        <v/>
      </c>
      <c r="Z3459" s="12" t="inlineStr">
        <is>
          <t>VD 0.6 %</t>
        </is>
      </c>
      <c r="AA3459" s="12">
        <f>N3459*O3459</f>
        <v/>
      </c>
    </row>
    <row r="3460">
      <c r="A3460" s="12" t="inlineStr">
        <is>
          <t>G-P-0045</t>
        </is>
      </c>
      <c r="B3460" s="12" t="inlineStr">
        <is>
          <t>G</t>
        </is>
      </c>
      <c r="C3460" s="12" t="inlineStr">
        <is>
          <t>Carbon capture</t>
        </is>
      </c>
      <c r="D3460" s="12" t="inlineStr">
        <is>
          <t>MOV 5: power</t>
        </is>
      </c>
      <c r="E3460" s="12" t="inlineStr"/>
      <c r="F3460" s="12" t="inlineStr">
        <is>
          <t>CCS MV switchgear building (VFDs)</t>
        </is>
      </c>
      <c r="G3460" s="12" t="inlineStr">
        <is>
          <t>ABS-C</t>
        </is>
      </c>
      <c r="H3460" s="12" t="inlineStr">
        <is>
          <t>Absorber C (62 ft dia x 262 ft, stack to 313 ft)</t>
        </is>
      </c>
      <c r="I3460" s="12" t="inlineStr">
        <is>
          <t>LV 600 V</t>
        </is>
      </c>
      <c r="J3460" s="12" t="inlineStr">
        <is>
          <t>Type TC-ER 600 V 3/C Cu XHHW-2 + ground, PVC jacket</t>
        </is>
      </c>
      <c r="K3460" s="12" t="inlineStr">
        <is>
          <t>LV|3/C+G|10</t>
        </is>
      </c>
      <c r="L3460" s="12" t="inlineStr">
        <is>
          <t>3/C+G</t>
        </is>
      </c>
      <c r="M3460" s="12" t="inlineStr">
        <is>
          <t>10</t>
        </is>
      </c>
      <c r="N3460" s="12" t="n">
        <v>1</v>
      </c>
      <c r="O3460" s="12" t="n">
        <v>1</v>
      </c>
      <c r="P3460" s="12" t="n">
        <v>480</v>
      </c>
      <c r="Q3460" s="12" t="n">
        <v>2.5</v>
      </c>
      <c r="R3460" s="12" t="n">
        <v>3.5</v>
      </c>
      <c r="S3460" s="12" t="inlineStr">
        <is>
          <t>Tray</t>
        </is>
      </c>
      <c r="T3460" s="16" t="n">
        <v>250</v>
      </c>
      <c r="U3460" s="16" t="n">
        <v>80</v>
      </c>
      <c r="V3460" s="16">
        <f>ROUNDUP((T3460+U3460+2*'Read Me'!$B$13)*(1+'Read Me'!$B$12),-1)</f>
        <v/>
      </c>
      <c r="W3460" s="16">
        <f>V3460*N3460*O3460</f>
        <v/>
      </c>
      <c r="X3460" s="12">
        <f>IF(LEFT(I3460,2)="MV",2*N3460*IF(L3460="1/C",O3460,1),0)</f>
        <v/>
      </c>
      <c r="Y3460" s="12">
        <f>IF(OR(LEFT(K3460,4)="LVAX",LEFT(K3460,6)="MV15AX",LEFT(K3460,4)="CTAX",LEFT(K3460,2)="W|"),2*N3460*O3460,0)</f>
        <v/>
      </c>
      <c r="Z3460" s="12" t="inlineStr">
        <is>
          <t>VD 0.6 %</t>
        </is>
      </c>
      <c r="AA3460" s="12">
        <f>N3460*O3460</f>
        <v/>
      </c>
    </row>
    <row r="3461">
      <c r="A3461" s="12" t="inlineStr">
        <is>
          <t>G-P-0046</t>
        </is>
      </c>
      <c r="B3461" s="12" t="inlineStr">
        <is>
          <t>G</t>
        </is>
      </c>
      <c r="C3461" s="12" t="inlineStr">
        <is>
          <t>Carbon capture</t>
        </is>
      </c>
      <c r="D3461" s="12" t="inlineStr">
        <is>
          <t>MOV 6: power</t>
        </is>
      </c>
      <c r="E3461" s="12" t="inlineStr"/>
      <c r="F3461" s="12" t="inlineStr">
        <is>
          <t>CCS MV switchgear building (VFDs)</t>
        </is>
      </c>
      <c r="G3461" s="12" t="inlineStr">
        <is>
          <t>ABS-C</t>
        </is>
      </c>
      <c r="H3461" s="12" t="inlineStr">
        <is>
          <t>Absorber C (62 ft dia x 262 ft, stack to 313 ft)</t>
        </is>
      </c>
      <c r="I3461" s="12" t="inlineStr">
        <is>
          <t>LV 600 V</t>
        </is>
      </c>
      <c r="J3461" s="12" t="inlineStr">
        <is>
          <t>Type TC-ER 600 V 3/C Cu XHHW-2 + ground, PVC jacket</t>
        </is>
      </c>
      <c r="K3461" s="12" t="inlineStr">
        <is>
          <t>LV|3/C+G|10</t>
        </is>
      </c>
      <c r="L3461" s="12" t="inlineStr">
        <is>
          <t>3/C+G</t>
        </is>
      </c>
      <c r="M3461" s="12" t="inlineStr">
        <is>
          <t>10</t>
        </is>
      </c>
      <c r="N3461" s="12" t="n">
        <v>1</v>
      </c>
      <c r="O3461" s="12" t="n">
        <v>1</v>
      </c>
      <c r="P3461" s="12" t="n">
        <v>480</v>
      </c>
      <c r="Q3461" s="12" t="n">
        <v>2.5</v>
      </c>
      <c r="R3461" s="12" t="n">
        <v>3.5</v>
      </c>
      <c r="S3461" s="12" t="inlineStr">
        <is>
          <t>Tray</t>
        </is>
      </c>
      <c r="T3461" s="16" t="n">
        <v>250</v>
      </c>
      <c r="U3461" s="16" t="n">
        <v>80</v>
      </c>
      <c r="V3461" s="16">
        <f>ROUNDUP((T3461+U3461+2*'Read Me'!$B$13)*(1+'Read Me'!$B$12),-1)</f>
        <v/>
      </c>
      <c r="W3461" s="16">
        <f>V3461*N3461*O3461</f>
        <v/>
      </c>
      <c r="X3461" s="12">
        <f>IF(LEFT(I3461,2)="MV",2*N3461*IF(L3461="1/C",O3461,1),0)</f>
        <v/>
      </c>
      <c r="Y3461" s="12">
        <f>IF(OR(LEFT(K3461,4)="LVAX",LEFT(K3461,6)="MV15AX",LEFT(K3461,4)="CTAX",LEFT(K3461,2)="W|"),2*N3461*O3461,0)</f>
        <v/>
      </c>
      <c r="Z3461" s="12" t="inlineStr">
        <is>
          <t>VD 0.6 %</t>
        </is>
      </c>
      <c r="AA3461" s="12">
        <f>N3461*O3461</f>
        <v/>
      </c>
    </row>
    <row r="3462">
      <c r="A3462" s="12" t="inlineStr">
        <is>
          <t>G-P-0047</t>
        </is>
      </c>
      <c r="B3462" s="12" t="inlineStr">
        <is>
          <t>G</t>
        </is>
      </c>
      <c r="C3462" s="12" t="inlineStr">
        <is>
          <t>Carbon capture</t>
        </is>
      </c>
      <c r="D3462" s="12" t="inlineStr">
        <is>
          <t>MOV 7: power</t>
        </is>
      </c>
      <c r="E3462" s="12" t="inlineStr"/>
      <c r="F3462" s="12" t="inlineStr">
        <is>
          <t>CCS MV switchgear building (VFDs)</t>
        </is>
      </c>
      <c r="G3462" s="12" t="inlineStr">
        <is>
          <t>ABS-C</t>
        </is>
      </c>
      <c r="H3462" s="12" t="inlineStr">
        <is>
          <t>Absorber C (62 ft dia x 262 ft, stack to 313 ft)</t>
        </is>
      </c>
      <c r="I3462" s="12" t="inlineStr">
        <is>
          <t>LV 600 V</t>
        </is>
      </c>
      <c r="J3462" s="12" t="inlineStr">
        <is>
          <t>Type TC-ER 600 V 3/C Cu XHHW-2 + ground, PVC jacket</t>
        </is>
      </c>
      <c r="K3462" s="12" t="inlineStr">
        <is>
          <t>LV|3/C+G|10</t>
        </is>
      </c>
      <c r="L3462" s="12" t="inlineStr">
        <is>
          <t>3/C+G</t>
        </is>
      </c>
      <c r="M3462" s="12" t="inlineStr">
        <is>
          <t>10</t>
        </is>
      </c>
      <c r="N3462" s="12" t="n">
        <v>1</v>
      </c>
      <c r="O3462" s="12" t="n">
        <v>1</v>
      </c>
      <c r="P3462" s="12" t="n">
        <v>480</v>
      </c>
      <c r="Q3462" s="12" t="n">
        <v>2.5</v>
      </c>
      <c r="R3462" s="12" t="n">
        <v>3.5</v>
      </c>
      <c r="S3462" s="12" t="inlineStr">
        <is>
          <t>Tray</t>
        </is>
      </c>
      <c r="T3462" s="16" t="n">
        <v>250</v>
      </c>
      <c r="U3462" s="16" t="n">
        <v>80</v>
      </c>
      <c r="V3462" s="16">
        <f>ROUNDUP((T3462+U3462+2*'Read Me'!$B$13)*(1+'Read Me'!$B$12),-1)</f>
        <v/>
      </c>
      <c r="W3462" s="16">
        <f>V3462*N3462*O3462</f>
        <v/>
      </c>
      <c r="X3462" s="12">
        <f>IF(LEFT(I3462,2)="MV",2*N3462*IF(L3462="1/C",O3462,1),0)</f>
        <v/>
      </c>
      <c r="Y3462" s="12">
        <f>IF(OR(LEFT(K3462,4)="LVAX",LEFT(K3462,6)="MV15AX",LEFT(K3462,4)="CTAX",LEFT(K3462,2)="W|"),2*N3462*O3462,0)</f>
        <v/>
      </c>
      <c r="Z3462" s="12" t="inlineStr">
        <is>
          <t>VD 0.6 %</t>
        </is>
      </c>
      <c r="AA3462" s="12">
        <f>N3462*O3462</f>
        <v/>
      </c>
    </row>
    <row r="3463">
      <c r="A3463" s="12" t="inlineStr">
        <is>
          <t>G-P-0048</t>
        </is>
      </c>
      <c r="B3463" s="12" t="inlineStr">
        <is>
          <t>G</t>
        </is>
      </c>
      <c r="C3463" s="12" t="inlineStr">
        <is>
          <t>Carbon capture</t>
        </is>
      </c>
      <c r="D3463" s="12" t="inlineStr">
        <is>
          <t>MOV 8: power</t>
        </is>
      </c>
      <c r="E3463" s="12" t="inlineStr"/>
      <c r="F3463" s="12" t="inlineStr">
        <is>
          <t>CCS MV switchgear building (VFDs)</t>
        </is>
      </c>
      <c r="G3463" s="12" t="inlineStr">
        <is>
          <t>ABS-C</t>
        </is>
      </c>
      <c r="H3463" s="12" t="inlineStr">
        <is>
          <t>Absorber C (62 ft dia x 262 ft, stack to 313 ft)</t>
        </is>
      </c>
      <c r="I3463" s="12" t="inlineStr">
        <is>
          <t>LV 600 V</t>
        </is>
      </c>
      <c r="J3463" s="12" t="inlineStr">
        <is>
          <t>Type TC-ER 600 V 3/C Cu XHHW-2 + ground, PVC jacket</t>
        </is>
      </c>
      <c r="K3463" s="12" t="inlineStr">
        <is>
          <t>LV|3/C+G|10</t>
        </is>
      </c>
      <c r="L3463" s="12" t="inlineStr">
        <is>
          <t>3/C+G</t>
        </is>
      </c>
      <c r="M3463" s="12" t="inlineStr">
        <is>
          <t>10</t>
        </is>
      </c>
      <c r="N3463" s="12" t="n">
        <v>1</v>
      </c>
      <c r="O3463" s="12" t="n">
        <v>1</v>
      </c>
      <c r="P3463" s="12" t="n">
        <v>480</v>
      </c>
      <c r="Q3463" s="12" t="n">
        <v>2.5</v>
      </c>
      <c r="R3463" s="12" t="n">
        <v>3.5</v>
      </c>
      <c r="S3463" s="12" t="inlineStr">
        <is>
          <t>Tray</t>
        </is>
      </c>
      <c r="T3463" s="16" t="n">
        <v>250</v>
      </c>
      <c r="U3463" s="16" t="n">
        <v>80</v>
      </c>
      <c r="V3463" s="16">
        <f>ROUNDUP((T3463+U3463+2*'Read Me'!$B$13)*(1+'Read Me'!$B$12),-1)</f>
        <v/>
      </c>
      <c r="W3463" s="16">
        <f>V3463*N3463*O3463</f>
        <v/>
      </c>
      <c r="X3463" s="12">
        <f>IF(LEFT(I3463,2)="MV",2*N3463*IF(L3463="1/C",O3463,1),0)</f>
        <v/>
      </c>
      <c r="Y3463" s="12">
        <f>IF(OR(LEFT(K3463,4)="LVAX",LEFT(K3463,6)="MV15AX",LEFT(K3463,4)="CTAX",LEFT(K3463,2)="W|"),2*N3463*O3463,0)</f>
        <v/>
      </c>
      <c r="Z3463" s="12" t="inlineStr">
        <is>
          <t>VD 0.6 %</t>
        </is>
      </c>
      <c r="AA3463" s="12">
        <f>N3463*O3463</f>
        <v/>
      </c>
    </row>
    <row r="3464">
      <c r="A3464" s="12" t="inlineStr">
        <is>
          <t>G-P-0049</t>
        </is>
      </c>
      <c r="B3464" s="12" t="inlineStr">
        <is>
          <t>G</t>
        </is>
      </c>
      <c r="C3464" s="12" t="inlineStr">
        <is>
          <t>Carbon capture</t>
        </is>
      </c>
      <c r="D3464" s="12" t="inlineStr">
        <is>
          <t>MOV 9: power</t>
        </is>
      </c>
      <c r="E3464" s="12" t="inlineStr"/>
      <c r="F3464" s="12" t="inlineStr">
        <is>
          <t>CCS MV switchgear building (VFDs)</t>
        </is>
      </c>
      <c r="G3464" s="12" t="inlineStr">
        <is>
          <t>ABS-C</t>
        </is>
      </c>
      <c r="H3464" s="12" t="inlineStr">
        <is>
          <t>Absorber C (62 ft dia x 262 ft, stack to 313 ft)</t>
        </is>
      </c>
      <c r="I3464" s="12" t="inlineStr">
        <is>
          <t>LV 600 V</t>
        </is>
      </c>
      <c r="J3464" s="12" t="inlineStr">
        <is>
          <t>Type TC-ER 600 V 3/C Cu XHHW-2 + ground, PVC jacket</t>
        </is>
      </c>
      <c r="K3464" s="12" t="inlineStr">
        <is>
          <t>LV|3/C+G|10</t>
        </is>
      </c>
      <c r="L3464" s="12" t="inlineStr">
        <is>
          <t>3/C+G</t>
        </is>
      </c>
      <c r="M3464" s="12" t="inlineStr">
        <is>
          <t>10</t>
        </is>
      </c>
      <c r="N3464" s="12" t="n">
        <v>1</v>
      </c>
      <c r="O3464" s="12" t="n">
        <v>1</v>
      </c>
      <c r="P3464" s="12" t="n">
        <v>480</v>
      </c>
      <c r="Q3464" s="12" t="n">
        <v>2.5</v>
      </c>
      <c r="R3464" s="12" t="n">
        <v>3.5</v>
      </c>
      <c r="S3464" s="12" t="inlineStr">
        <is>
          <t>Tray</t>
        </is>
      </c>
      <c r="T3464" s="16" t="n">
        <v>250</v>
      </c>
      <c r="U3464" s="16" t="n">
        <v>80</v>
      </c>
      <c r="V3464" s="16">
        <f>ROUNDUP((T3464+U3464+2*'Read Me'!$B$13)*(1+'Read Me'!$B$12),-1)</f>
        <v/>
      </c>
      <c r="W3464" s="16">
        <f>V3464*N3464*O3464</f>
        <v/>
      </c>
      <c r="X3464" s="12">
        <f>IF(LEFT(I3464,2)="MV",2*N3464*IF(L3464="1/C",O3464,1),0)</f>
        <v/>
      </c>
      <c r="Y3464" s="12">
        <f>IF(OR(LEFT(K3464,4)="LVAX",LEFT(K3464,6)="MV15AX",LEFT(K3464,4)="CTAX",LEFT(K3464,2)="W|"),2*N3464*O3464,0)</f>
        <v/>
      </c>
      <c r="Z3464" s="12" t="inlineStr">
        <is>
          <t>VD 0.6 %</t>
        </is>
      </c>
      <c r="AA3464" s="12">
        <f>N3464*O3464</f>
        <v/>
      </c>
    </row>
    <row r="3465">
      <c r="A3465" s="12" t="inlineStr">
        <is>
          <t>G-P-0050</t>
        </is>
      </c>
      <c r="B3465" s="12" t="inlineStr">
        <is>
          <t>G</t>
        </is>
      </c>
      <c r="C3465" s="12" t="inlineStr">
        <is>
          <t>Carbon capture</t>
        </is>
      </c>
      <c r="D3465" s="12" t="inlineStr">
        <is>
          <t>MOV 10: power</t>
        </is>
      </c>
      <c r="E3465" s="12" t="inlineStr"/>
      <c r="F3465" s="12" t="inlineStr">
        <is>
          <t>CCS MV switchgear building (VFDs)</t>
        </is>
      </c>
      <c r="G3465" s="12" t="inlineStr">
        <is>
          <t>ABS-C</t>
        </is>
      </c>
      <c r="H3465" s="12" t="inlineStr">
        <is>
          <t>Absorber C (62 ft dia x 262 ft, stack to 313 ft)</t>
        </is>
      </c>
      <c r="I3465" s="12" t="inlineStr">
        <is>
          <t>LV 600 V</t>
        </is>
      </c>
      <c r="J3465" s="12" t="inlineStr">
        <is>
          <t>Type TC-ER 600 V 3/C Cu XHHW-2 + ground, PVC jacket</t>
        </is>
      </c>
      <c r="K3465" s="12" t="inlineStr">
        <is>
          <t>LV|3/C+G|10</t>
        </is>
      </c>
      <c r="L3465" s="12" t="inlineStr">
        <is>
          <t>3/C+G</t>
        </is>
      </c>
      <c r="M3465" s="12" t="inlineStr">
        <is>
          <t>10</t>
        </is>
      </c>
      <c r="N3465" s="12" t="n">
        <v>1</v>
      </c>
      <c r="O3465" s="12" t="n">
        <v>1</v>
      </c>
      <c r="P3465" s="12" t="n">
        <v>480</v>
      </c>
      <c r="Q3465" s="12" t="n">
        <v>2.5</v>
      </c>
      <c r="R3465" s="12" t="n">
        <v>3.5</v>
      </c>
      <c r="S3465" s="12" t="inlineStr">
        <is>
          <t>Tray</t>
        </is>
      </c>
      <c r="T3465" s="16" t="n">
        <v>250</v>
      </c>
      <c r="U3465" s="16" t="n">
        <v>80</v>
      </c>
      <c r="V3465" s="16">
        <f>ROUNDUP((T3465+U3465+2*'Read Me'!$B$13)*(1+'Read Me'!$B$12),-1)</f>
        <v/>
      </c>
      <c r="W3465" s="16">
        <f>V3465*N3465*O3465</f>
        <v/>
      </c>
      <c r="X3465" s="12">
        <f>IF(LEFT(I3465,2)="MV",2*N3465*IF(L3465="1/C",O3465,1),0)</f>
        <v/>
      </c>
      <c r="Y3465" s="12">
        <f>IF(OR(LEFT(K3465,4)="LVAX",LEFT(K3465,6)="MV15AX",LEFT(K3465,4)="CTAX",LEFT(K3465,2)="W|"),2*N3465*O3465,0)</f>
        <v/>
      </c>
      <c r="Z3465" s="12" t="inlineStr">
        <is>
          <t>VD 0.6 %</t>
        </is>
      </c>
      <c r="AA3465" s="12">
        <f>N3465*O3465</f>
        <v/>
      </c>
    </row>
    <row r="3466">
      <c r="A3466" s="12" t="inlineStr">
        <is>
          <t>G-P-0051</t>
        </is>
      </c>
      <c r="B3466" s="12" t="inlineStr">
        <is>
          <t>G</t>
        </is>
      </c>
      <c r="C3466" s="12" t="inlineStr">
        <is>
          <t>Carbon capture</t>
        </is>
      </c>
      <c r="D3466" s="12" t="inlineStr">
        <is>
          <t>LV power feeder</t>
        </is>
      </c>
      <c r="E3466" s="12" t="inlineStr"/>
      <c r="F3466" s="12" t="inlineStr">
        <is>
          <t>CCS MV switchgear building (VFDs)</t>
        </is>
      </c>
      <c r="G3466" s="12" t="inlineStr">
        <is>
          <t>ABS-C</t>
        </is>
      </c>
      <c r="H3466" s="12" t="inlineStr">
        <is>
          <t>Absorber C (62 ft dia x 262 ft, stack to 313 ft)</t>
        </is>
      </c>
      <c r="I3466" s="12" t="inlineStr">
        <is>
          <t>LV 600 V</t>
        </is>
      </c>
      <c r="J3466" s="12" t="inlineStr">
        <is>
          <t>Type TC-ER 600 V 3/C Cu XHHW-2 + ground, PVC jacket</t>
        </is>
      </c>
      <c r="K3466" s="12" t="inlineStr">
        <is>
          <t>LV|3/C+G|4</t>
        </is>
      </c>
      <c r="L3466" s="12" t="inlineStr">
        <is>
          <t>3/C+G</t>
        </is>
      </c>
      <c r="M3466" s="12" t="inlineStr">
        <is>
          <t>4</t>
        </is>
      </c>
      <c r="N3466" s="12" t="n">
        <v>1</v>
      </c>
      <c r="O3466" s="12" t="n">
        <v>1</v>
      </c>
      <c r="P3466" s="12" t="n">
        <v>480</v>
      </c>
      <c r="Q3466" s="12" t="n">
        <v>40</v>
      </c>
      <c r="R3466" s="12" t="n">
        <v>56.6</v>
      </c>
      <c r="S3466" s="12" t="inlineStr">
        <is>
          <t>Tray</t>
        </is>
      </c>
      <c r="T3466" s="16" t="n">
        <v>250</v>
      </c>
      <c r="U3466" s="16" t="n">
        <v>80</v>
      </c>
      <c r="V3466" s="16">
        <f>ROUNDUP((T3466+U3466+2*'Read Me'!$B$13)*(1+'Read Me'!$B$12),-1)</f>
        <v/>
      </c>
      <c r="W3466" s="16">
        <f>V3466*N3466*O3466</f>
        <v/>
      </c>
      <c r="X3466" s="12">
        <f>IF(LEFT(I3466,2)="MV",2*N3466*IF(L3466="1/C",O3466,1),0)</f>
        <v/>
      </c>
      <c r="Y3466" s="12">
        <f>IF(OR(LEFT(K3466,4)="LVAX",LEFT(K3466,6)="MV15AX",LEFT(K3466,4)="CTAX",LEFT(K3466,2)="W|"),2*N3466*O3466,0)</f>
        <v/>
      </c>
      <c r="Z3466" s="12" t="inlineStr">
        <is>
          <t>VD 2.3 %</t>
        </is>
      </c>
      <c r="AA3466" s="12">
        <f>N3466*O3466</f>
        <v/>
      </c>
    </row>
    <row r="3467">
      <c r="A3467" s="12" t="inlineStr">
        <is>
          <t>G-P-0052</t>
        </is>
      </c>
      <c r="B3467" s="12" t="inlineStr">
        <is>
          <t>G</t>
        </is>
      </c>
      <c r="C3467" s="12" t="inlineStr">
        <is>
          <t>Carbon capture</t>
        </is>
      </c>
      <c r="D3467" s="12" t="inlineStr">
        <is>
          <t>Area / platform lighting circuit 1 (12 fixtures)</t>
        </is>
      </c>
      <c r="E3467" s="12" t="inlineStr"/>
      <c r="F3467" s="12" t="inlineStr">
        <is>
          <t>CCS MV switchgear building (VFDs)</t>
        </is>
      </c>
      <c r="G3467" s="12" t="inlineStr">
        <is>
          <t>ABS-C</t>
        </is>
      </c>
      <c r="H3467" s="12" t="inlineStr">
        <is>
          <t>Absorber C (62 ft dia x 262 ft, stack to 313 ft)</t>
        </is>
      </c>
      <c r="I3467" s="12" t="inlineStr">
        <is>
          <t>LV 600 V</t>
        </is>
      </c>
      <c r="J3467" s="12" t="inlineStr">
        <is>
          <t>Type TC-ER 600 V 3/C Cu XHHW-2 + ground, PVC jacket</t>
        </is>
      </c>
      <c r="K3467" s="12" t="inlineStr">
        <is>
          <t>LV|3/C+G|10</t>
        </is>
      </c>
      <c r="L3467" s="12" t="inlineStr">
        <is>
          <t>3/C+G</t>
        </is>
      </c>
      <c r="M3467" s="12" t="inlineStr">
        <is>
          <t>10</t>
        </is>
      </c>
      <c r="N3467" s="12" t="n">
        <v>1</v>
      </c>
      <c r="O3467" s="12" t="n">
        <v>1</v>
      </c>
      <c r="P3467" s="12" t="n">
        <v>480</v>
      </c>
      <c r="Q3467" s="12" t="n">
        <v>3</v>
      </c>
      <c r="R3467" s="12" t="n">
        <v>5</v>
      </c>
      <c r="S3467" s="12" t="inlineStr">
        <is>
          <t>Tray</t>
        </is>
      </c>
      <c r="T3467" s="16" t="n">
        <v>550</v>
      </c>
      <c r="U3467" s="16" t="n">
        <v>80</v>
      </c>
      <c r="V3467" s="16">
        <f>ROUNDUP((T3467+U3467+2*'Read Me'!$B$13)*(1+'Read Me'!$B$12),-1)</f>
        <v/>
      </c>
      <c r="W3467" s="16">
        <f>V3467*N3467*O3467</f>
        <v/>
      </c>
      <c r="X3467" s="12">
        <f>IF(LEFT(I3467,2)="MV",2*N3467*IF(L3467="1/C",O3467,1),0)</f>
        <v/>
      </c>
      <c r="Y3467" s="12">
        <f>IF(OR(LEFT(K3467,4)="LVAX",LEFT(K3467,6)="MV15AX",LEFT(K3467,4)="CTAX",LEFT(K3467,2)="W|"),2*N3467*O3467,0)</f>
        <v/>
      </c>
      <c r="Z3467" s="12" t="inlineStr">
        <is>
          <t>fixture-to-fixture run included</t>
        </is>
      </c>
      <c r="AA3467" s="12">
        <f>N3467*O3467</f>
        <v/>
      </c>
    </row>
    <row r="3468">
      <c r="A3468" s="12" t="inlineStr">
        <is>
          <t>G-P-0053</t>
        </is>
      </c>
      <c r="B3468" s="12" t="inlineStr">
        <is>
          <t>G</t>
        </is>
      </c>
      <c r="C3468" s="12" t="inlineStr">
        <is>
          <t>Carbon capture</t>
        </is>
      </c>
      <c r="D3468" s="12" t="inlineStr">
        <is>
          <t>Area / platform lighting circuit 2 (12 fixtures)</t>
        </is>
      </c>
      <c r="E3468" s="12" t="inlineStr"/>
      <c r="F3468" s="12" t="inlineStr">
        <is>
          <t>CCS MV switchgear building (VFDs)</t>
        </is>
      </c>
      <c r="G3468" s="12" t="inlineStr">
        <is>
          <t>ABS-C</t>
        </is>
      </c>
      <c r="H3468" s="12" t="inlineStr">
        <is>
          <t>Absorber C (62 ft dia x 262 ft, stack to 313 ft)</t>
        </is>
      </c>
      <c r="I3468" s="12" t="inlineStr">
        <is>
          <t>LV 600 V</t>
        </is>
      </c>
      <c r="J3468" s="12" t="inlineStr">
        <is>
          <t>Type TC-ER 600 V 3/C Cu XHHW-2 + ground, PVC jacket</t>
        </is>
      </c>
      <c r="K3468" s="12" t="inlineStr">
        <is>
          <t>LV|3/C+G|10</t>
        </is>
      </c>
      <c r="L3468" s="12" t="inlineStr">
        <is>
          <t>3/C+G</t>
        </is>
      </c>
      <c r="M3468" s="12" t="inlineStr">
        <is>
          <t>10</t>
        </is>
      </c>
      <c r="N3468" s="12" t="n">
        <v>1</v>
      </c>
      <c r="O3468" s="12" t="n">
        <v>1</v>
      </c>
      <c r="P3468" s="12" t="n">
        <v>480</v>
      </c>
      <c r="Q3468" s="12" t="n">
        <v>3</v>
      </c>
      <c r="R3468" s="12" t="n">
        <v>5</v>
      </c>
      <c r="S3468" s="12" t="inlineStr">
        <is>
          <t>Tray</t>
        </is>
      </c>
      <c r="T3468" s="16" t="n">
        <v>550</v>
      </c>
      <c r="U3468" s="16" t="n">
        <v>80</v>
      </c>
      <c r="V3468" s="16">
        <f>ROUNDUP((T3468+U3468+2*'Read Me'!$B$13)*(1+'Read Me'!$B$12),-1)</f>
        <v/>
      </c>
      <c r="W3468" s="16">
        <f>V3468*N3468*O3468</f>
        <v/>
      </c>
      <c r="X3468" s="12">
        <f>IF(LEFT(I3468,2)="MV",2*N3468*IF(L3468="1/C",O3468,1),0)</f>
        <v/>
      </c>
      <c r="Y3468" s="12">
        <f>IF(OR(LEFT(K3468,4)="LVAX",LEFT(K3468,6)="MV15AX",LEFT(K3468,4)="CTAX",LEFT(K3468,2)="W|"),2*N3468*O3468,0)</f>
        <v/>
      </c>
      <c r="Z3468" s="12" t="inlineStr">
        <is>
          <t>fixture-to-fixture run included</t>
        </is>
      </c>
      <c r="AA3468" s="12">
        <f>N3468*O3468</f>
        <v/>
      </c>
    </row>
    <row r="3469">
      <c r="A3469" s="12" t="inlineStr">
        <is>
          <t>G-P-0054</t>
        </is>
      </c>
      <c r="B3469" s="12" t="inlineStr">
        <is>
          <t>G</t>
        </is>
      </c>
      <c r="C3469" s="12" t="inlineStr">
        <is>
          <t>Carbon capture</t>
        </is>
      </c>
      <c r="D3469" s="12" t="inlineStr">
        <is>
          <t>Area / platform lighting circuit 3 (6 fixtures)</t>
        </is>
      </c>
      <c r="E3469" s="12" t="inlineStr"/>
      <c r="F3469" s="12" t="inlineStr">
        <is>
          <t>CCS MV switchgear building (VFDs)</t>
        </is>
      </c>
      <c r="G3469" s="12" t="inlineStr">
        <is>
          <t>ABS-C</t>
        </is>
      </c>
      <c r="H3469" s="12" t="inlineStr">
        <is>
          <t>Absorber C (62 ft dia x 262 ft, stack to 313 ft)</t>
        </is>
      </c>
      <c r="I3469" s="12" t="inlineStr">
        <is>
          <t>LV 600 V</t>
        </is>
      </c>
      <c r="J3469" s="12" t="inlineStr">
        <is>
          <t>Type TC-ER 600 V 3/C Cu XHHW-2 + ground, PVC jacket</t>
        </is>
      </c>
      <c r="K3469" s="12" t="inlineStr">
        <is>
          <t>LV|3/C+G|10</t>
        </is>
      </c>
      <c r="L3469" s="12" t="inlineStr">
        <is>
          <t>3/C+G</t>
        </is>
      </c>
      <c r="M3469" s="12" t="inlineStr">
        <is>
          <t>10</t>
        </is>
      </c>
      <c r="N3469" s="12" t="n">
        <v>1</v>
      </c>
      <c r="O3469" s="12" t="n">
        <v>1</v>
      </c>
      <c r="P3469" s="12" t="n">
        <v>480</v>
      </c>
      <c r="Q3469" s="12" t="n">
        <v>3</v>
      </c>
      <c r="R3469" s="12" t="n">
        <v>5</v>
      </c>
      <c r="S3469" s="12" t="inlineStr">
        <is>
          <t>Tray</t>
        </is>
      </c>
      <c r="T3469" s="16" t="n">
        <v>550</v>
      </c>
      <c r="U3469" s="16" t="n">
        <v>80</v>
      </c>
      <c r="V3469" s="16">
        <f>ROUNDUP((T3469+U3469+2*'Read Me'!$B$13)*(1+'Read Me'!$B$12),-1)</f>
        <v/>
      </c>
      <c r="W3469" s="16">
        <f>V3469*N3469*O3469</f>
        <v/>
      </c>
      <c r="X3469" s="12">
        <f>IF(LEFT(I3469,2)="MV",2*N3469*IF(L3469="1/C",O3469,1),0)</f>
        <v/>
      </c>
      <c r="Y3469" s="12">
        <f>IF(OR(LEFT(K3469,4)="LVAX",LEFT(K3469,6)="MV15AX",LEFT(K3469,4)="CTAX",LEFT(K3469,2)="W|"),2*N3469*O3469,0)</f>
        <v/>
      </c>
      <c r="Z3469" s="12" t="inlineStr">
        <is>
          <t>fixture-to-fixture run included</t>
        </is>
      </c>
      <c r="AA3469" s="12">
        <f>N3469*O3469</f>
        <v/>
      </c>
    </row>
    <row r="3470">
      <c r="A3470" s="12" t="inlineStr">
        <is>
          <t>G-P-0055</t>
        </is>
      </c>
      <c r="B3470" s="12" t="inlineStr">
        <is>
          <t>G</t>
        </is>
      </c>
      <c r="C3470" s="12" t="inlineStr">
        <is>
          <t>Carbon capture</t>
        </is>
      </c>
      <c r="D3470" s="12" t="inlineStr">
        <is>
          <t>480 V welding receptacle 1</t>
        </is>
      </c>
      <c r="E3470" s="12" t="inlineStr"/>
      <c r="F3470" s="12" t="inlineStr">
        <is>
          <t>CCS MV switchgear building (VFDs)</t>
        </is>
      </c>
      <c r="G3470" s="12" t="inlineStr">
        <is>
          <t>ABS-C</t>
        </is>
      </c>
      <c r="H3470" s="12" t="inlineStr">
        <is>
          <t>Absorber C (62 ft dia x 262 ft, stack to 313 ft)</t>
        </is>
      </c>
      <c r="I3470" s="12" t="inlineStr">
        <is>
          <t>LV 600 V</t>
        </is>
      </c>
      <c r="J3470" s="12" t="inlineStr">
        <is>
          <t>Type TC-ER 600 V 3/C Cu XHHW-2 + ground, PVC jacket</t>
        </is>
      </c>
      <c r="K3470" s="12" t="inlineStr">
        <is>
          <t>LV|3/C+G|2</t>
        </is>
      </c>
      <c r="L3470" s="12" t="inlineStr">
        <is>
          <t>3/C+G</t>
        </is>
      </c>
      <c r="M3470" s="12" t="inlineStr">
        <is>
          <t>2</t>
        </is>
      </c>
      <c r="N3470" s="12" t="n">
        <v>1</v>
      </c>
      <c r="O3470" s="12" t="n">
        <v>1</v>
      </c>
      <c r="P3470" s="12" t="n">
        <v>480</v>
      </c>
      <c r="Q3470" s="12" t="n">
        <v>60</v>
      </c>
      <c r="R3470" s="12" t="n">
        <v>76</v>
      </c>
      <c r="S3470" s="12" t="inlineStr">
        <is>
          <t>Tray</t>
        </is>
      </c>
      <c r="T3470" s="16" t="n">
        <v>250</v>
      </c>
      <c r="U3470" s="16" t="n">
        <v>80</v>
      </c>
      <c r="V3470" s="16">
        <f>ROUNDUP((T3470+U3470+2*'Read Me'!$B$13)*(1+'Read Me'!$B$12),-1)</f>
        <v/>
      </c>
      <c r="W3470" s="16">
        <f>V3470*N3470*O3470</f>
        <v/>
      </c>
      <c r="X3470" s="12">
        <f>IF(LEFT(I3470,2)="MV",2*N3470*IF(L3470="1/C",O3470,1),0)</f>
        <v/>
      </c>
      <c r="Y3470" s="12">
        <f>IF(OR(LEFT(K3470,4)="LVAX",LEFT(K3470,6)="MV15AX",LEFT(K3470,4)="CTAX",LEFT(K3470,2)="W|"),2*N3470*O3470,0)</f>
        <v/>
      </c>
      <c r="Z3470" s="12" t="inlineStr">
        <is>
          <t>VD 1.9 %</t>
        </is>
      </c>
      <c r="AA3470" s="12">
        <f>N3470*O3470</f>
        <v/>
      </c>
    </row>
    <row r="3471">
      <c r="A3471" s="12" t="inlineStr">
        <is>
          <t>G-P-0056</t>
        </is>
      </c>
      <c r="B3471" s="12" t="inlineStr">
        <is>
          <t>G</t>
        </is>
      </c>
      <c r="C3471" s="12" t="inlineStr">
        <is>
          <t>Carbon capture</t>
        </is>
      </c>
      <c r="D3471" s="12" t="inlineStr">
        <is>
          <t>480 V welding receptacle 2</t>
        </is>
      </c>
      <c r="E3471" s="12" t="inlineStr"/>
      <c r="F3471" s="12" t="inlineStr">
        <is>
          <t>CCS MV switchgear building (VFDs)</t>
        </is>
      </c>
      <c r="G3471" s="12" t="inlineStr">
        <is>
          <t>ABS-C</t>
        </is>
      </c>
      <c r="H3471" s="12" t="inlineStr">
        <is>
          <t>Absorber C (62 ft dia x 262 ft, stack to 313 ft)</t>
        </is>
      </c>
      <c r="I3471" s="12" t="inlineStr">
        <is>
          <t>LV 600 V</t>
        </is>
      </c>
      <c r="J3471" s="12" t="inlineStr">
        <is>
          <t>Type TC-ER 600 V 3/C Cu XHHW-2 + ground, PVC jacket</t>
        </is>
      </c>
      <c r="K3471" s="12" t="inlineStr">
        <is>
          <t>LV|3/C+G|2</t>
        </is>
      </c>
      <c r="L3471" s="12" t="inlineStr">
        <is>
          <t>3/C+G</t>
        </is>
      </c>
      <c r="M3471" s="12" t="inlineStr">
        <is>
          <t>2</t>
        </is>
      </c>
      <c r="N3471" s="12" t="n">
        <v>1</v>
      </c>
      <c r="O3471" s="12" t="n">
        <v>1</v>
      </c>
      <c r="P3471" s="12" t="n">
        <v>480</v>
      </c>
      <c r="Q3471" s="12" t="n">
        <v>60</v>
      </c>
      <c r="R3471" s="12" t="n">
        <v>76</v>
      </c>
      <c r="S3471" s="12" t="inlineStr">
        <is>
          <t>Tray</t>
        </is>
      </c>
      <c r="T3471" s="16" t="n">
        <v>250</v>
      </c>
      <c r="U3471" s="16" t="n">
        <v>80</v>
      </c>
      <c r="V3471" s="16">
        <f>ROUNDUP((T3471+U3471+2*'Read Me'!$B$13)*(1+'Read Me'!$B$12),-1)</f>
        <v/>
      </c>
      <c r="W3471" s="16">
        <f>V3471*N3471*O3471</f>
        <v/>
      </c>
      <c r="X3471" s="12">
        <f>IF(LEFT(I3471,2)="MV",2*N3471*IF(L3471="1/C",O3471,1),0)</f>
        <v/>
      </c>
      <c r="Y3471" s="12">
        <f>IF(OR(LEFT(K3471,4)="LVAX",LEFT(K3471,6)="MV15AX",LEFT(K3471,4)="CTAX",LEFT(K3471,2)="W|"),2*N3471*O3471,0)</f>
        <v/>
      </c>
      <c r="Z3471" s="12" t="inlineStr">
        <is>
          <t>VD 1.9 %</t>
        </is>
      </c>
      <c r="AA3471" s="12">
        <f>N3471*O3471</f>
        <v/>
      </c>
    </row>
    <row r="3472">
      <c r="A3472" s="12" t="inlineStr">
        <is>
          <t>G-P-0057</t>
        </is>
      </c>
      <c r="B3472" s="12" t="inlineStr">
        <is>
          <t>G</t>
        </is>
      </c>
      <c r="C3472" s="12" t="inlineStr">
        <is>
          <t>Carbon capture</t>
        </is>
      </c>
      <c r="D3472" s="12" t="inlineStr">
        <is>
          <t>480 V welding receptacle 3</t>
        </is>
      </c>
      <c r="E3472" s="12" t="inlineStr"/>
      <c r="F3472" s="12" t="inlineStr">
        <is>
          <t>CCS MV switchgear building (VFDs)</t>
        </is>
      </c>
      <c r="G3472" s="12" t="inlineStr">
        <is>
          <t>ABS-C</t>
        </is>
      </c>
      <c r="H3472" s="12" t="inlineStr">
        <is>
          <t>Absorber C (62 ft dia x 262 ft, stack to 313 ft)</t>
        </is>
      </c>
      <c r="I3472" s="12" t="inlineStr">
        <is>
          <t>LV 600 V</t>
        </is>
      </c>
      <c r="J3472" s="12" t="inlineStr">
        <is>
          <t>Type TC-ER 600 V 3/C Cu XHHW-2 + ground, PVC jacket</t>
        </is>
      </c>
      <c r="K3472" s="12" t="inlineStr">
        <is>
          <t>LV|3/C+G|2</t>
        </is>
      </c>
      <c r="L3472" s="12" t="inlineStr">
        <is>
          <t>3/C+G</t>
        </is>
      </c>
      <c r="M3472" s="12" t="inlineStr">
        <is>
          <t>2</t>
        </is>
      </c>
      <c r="N3472" s="12" t="n">
        <v>1</v>
      </c>
      <c r="O3472" s="12" t="n">
        <v>1</v>
      </c>
      <c r="P3472" s="12" t="n">
        <v>480</v>
      </c>
      <c r="Q3472" s="12" t="n">
        <v>60</v>
      </c>
      <c r="R3472" s="12" t="n">
        <v>76</v>
      </c>
      <c r="S3472" s="12" t="inlineStr">
        <is>
          <t>Tray</t>
        </is>
      </c>
      <c r="T3472" s="16" t="n">
        <v>250</v>
      </c>
      <c r="U3472" s="16" t="n">
        <v>80</v>
      </c>
      <c r="V3472" s="16">
        <f>ROUNDUP((T3472+U3472+2*'Read Me'!$B$13)*(1+'Read Me'!$B$12),-1)</f>
        <v/>
      </c>
      <c r="W3472" s="16">
        <f>V3472*N3472*O3472</f>
        <v/>
      </c>
      <c r="X3472" s="12">
        <f>IF(LEFT(I3472,2)="MV",2*N3472*IF(L3472="1/C",O3472,1),0)</f>
        <v/>
      </c>
      <c r="Y3472" s="12">
        <f>IF(OR(LEFT(K3472,4)="LVAX",LEFT(K3472,6)="MV15AX",LEFT(K3472,4)="CTAX",LEFT(K3472,2)="W|"),2*N3472*O3472,0)</f>
        <v/>
      </c>
      <c r="Z3472" s="12" t="inlineStr">
        <is>
          <t>VD 1.9 %</t>
        </is>
      </c>
      <c r="AA3472" s="12">
        <f>N3472*O3472</f>
        <v/>
      </c>
    </row>
    <row r="3473">
      <c r="A3473" s="12" t="inlineStr">
        <is>
          <t>G-P-0058</t>
        </is>
      </c>
      <c r="B3473" s="12" t="inlineStr">
        <is>
          <t>G</t>
        </is>
      </c>
      <c r="C3473" s="12" t="inlineStr">
        <is>
          <t>Carbon capture</t>
        </is>
      </c>
      <c r="D3473" s="12" t="inlineStr">
        <is>
          <t>480 V welding receptacle 4</t>
        </is>
      </c>
      <c r="E3473" s="12" t="inlineStr"/>
      <c r="F3473" s="12" t="inlineStr">
        <is>
          <t>CCS MV switchgear building (VFDs)</t>
        </is>
      </c>
      <c r="G3473" s="12" t="inlineStr">
        <is>
          <t>ABS-C</t>
        </is>
      </c>
      <c r="H3473" s="12" t="inlineStr">
        <is>
          <t>Absorber C (62 ft dia x 262 ft, stack to 313 ft)</t>
        </is>
      </c>
      <c r="I3473" s="12" t="inlineStr">
        <is>
          <t>LV 600 V</t>
        </is>
      </c>
      <c r="J3473" s="12" t="inlineStr">
        <is>
          <t>Type TC-ER 600 V 3/C Cu XHHW-2 + ground, PVC jacket</t>
        </is>
      </c>
      <c r="K3473" s="12" t="inlineStr">
        <is>
          <t>LV|3/C+G|2</t>
        </is>
      </c>
      <c r="L3473" s="12" t="inlineStr">
        <is>
          <t>3/C+G</t>
        </is>
      </c>
      <c r="M3473" s="12" t="inlineStr">
        <is>
          <t>2</t>
        </is>
      </c>
      <c r="N3473" s="12" t="n">
        <v>1</v>
      </c>
      <c r="O3473" s="12" t="n">
        <v>1</v>
      </c>
      <c r="P3473" s="12" t="n">
        <v>480</v>
      </c>
      <c r="Q3473" s="12" t="n">
        <v>60</v>
      </c>
      <c r="R3473" s="12" t="n">
        <v>76</v>
      </c>
      <c r="S3473" s="12" t="inlineStr">
        <is>
          <t>Tray</t>
        </is>
      </c>
      <c r="T3473" s="16" t="n">
        <v>250</v>
      </c>
      <c r="U3473" s="16" t="n">
        <v>80</v>
      </c>
      <c r="V3473" s="16">
        <f>ROUNDUP((T3473+U3473+2*'Read Me'!$B$13)*(1+'Read Me'!$B$12),-1)</f>
        <v/>
      </c>
      <c r="W3473" s="16">
        <f>V3473*N3473*O3473</f>
        <v/>
      </c>
      <c r="X3473" s="12">
        <f>IF(LEFT(I3473,2)="MV",2*N3473*IF(L3473="1/C",O3473,1),0)</f>
        <v/>
      </c>
      <c r="Y3473" s="12">
        <f>IF(OR(LEFT(K3473,4)="LVAX",LEFT(K3473,6)="MV15AX",LEFT(K3473,4)="CTAX",LEFT(K3473,2)="W|"),2*N3473*O3473,0)</f>
        <v/>
      </c>
      <c r="Z3473" s="12" t="inlineStr">
        <is>
          <t>VD 1.9 %</t>
        </is>
      </c>
      <c r="AA3473" s="12">
        <f>N3473*O3473</f>
        <v/>
      </c>
    </row>
    <row r="3474">
      <c r="A3474" s="12" t="inlineStr">
        <is>
          <t>G-P-0059</t>
        </is>
      </c>
      <c r="B3474" s="12" t="inlineStr">
        <is>
          <t>G</t>
        </is>
      </c>
      <c r="C3474" s="12" t="inlineStr">
        <is>
          <t>Carbon capture</t>
        </is>
      </c>
      <c r="D3474" s="12" t="inlineStr">
        <is>
          <t>Motor 1 of 2, 150 kW</t>
        </is>
      </c>
      <c r="E3474" s="12" t="inlineStr"/>
      <c r="F3474" s="12" t="inlineStr">
        <is>
          <t>CCS MV switchgear building (VFDs)</t>
        </is>
      </c>
      <c r="G3474" s="12" t="inlineStr"/>
      <c r="H3474" s="12" t="inlineStr">
        <is>
          <t>Absorber C intercooler (pumps + plate exchanger)</t>
        </is>
      </c>
      <c r="I3474" s="12" t="inlineStr">
        <is>
          <t>LV 600 V</t>
        </is>
      </c>
      <c r="J3474" s="12" t="inlineStr">
        <is>
          <t>Type TC-ER 600 V 3/C Cu XHHW-2 + ground, PVC jacket</t>
        </is>
      </c>
      <c r="K3474" s="12" t="inlineStr">
        <is>
          <t>LV|3/C+G|350</t>
        </is>
      </c>
      <c r="L3474" s="12" t="inlineStr">
        <is>
          <t>3/C+G</t>
        </is>
      </c>
      <c r="M3474" s="12" t="inlineStr">
        <is>
          <t>350 kcmil</t>
        </is>
      </c>
      <c r="N3474" s="12" t="n">
        <v>1</v>
      </c>
      <c r="O3474" s="12" t="n">
        <v>1</v>
      </c>
      <c r="P3474" s="12" t="n">
        <v>480</v>
      </c>
      <c r="Q3474" s="12" t="n">
        <v>150</v>
      </c>
      <c r="R3474" s="12" t="n">
        <v>212.3</v>
      </c>
      <c r="S3474" s="12" t="inlineStr">
        <is>
          <t>Tray</t>
        </is>
      </c>
      <c r="T3474" s="16" t="n">
        <v>232</v>
      </c>
      <c r="U3474" s="16" t="n">
        <v>81</v>
      </c>
      <c r="V3474" s="16">
        <f>ROUNDUP((T3474+U3474+2*'Read Me'!$B$13)*(1+'Read Me'!$B$12),-1)</f>
        <v/>
      </c>
      <c r="W3474" s="16">
        <f>V3474*N3474*O3474</f>
        <v/>
      </c>
      <c r="X3474" s="12">
        <f>IF(LEFT(I3474,2)="MV",2*N3474*IF(L3474="1/C",O3474,1),0)</f>
        <v/>
      </c>
      <c r="Y3474" s="12">
        <f>IF(OR(LEFT(K3474,4)="LVAX",LEFT(K3474,6)="MV15AX",LEFT(K3474,4)="CTAX",LEFT(K3474,2)="W|"),2*N3474*O3474,0)</f>
        <v/>
      </c>
      <c r="Z3474" s="12" t="inlineStr">
        <is>
          <t>VD 1.0 %</t>
        </is>
      </c>
      <c r="AA3474" s="12">
        <f>N3474*O3474</f>
        <v/>
      </c>
    </row>
    <row r="3475">
      <c r="A3475" s="12" t="inlineStr">
        <is>
          <t>G-P-0060</t>
        </is>
      </c>
      <c r="B3475" s="12" t="inlineStr">
        <is>
          <t>G</t>
        </is>
      </c>
      <c r="C3475" s="12" t="inlineStr">
        <is>
          <t>Carbon capture</t>
        </is>
      </c>
      <c r="D3475" s="12" t="inlineStr">
        <is>
          <t>Motor 2 of 2, 150 kW</t>
        </is>
      </c>
      <c r="E3475" s="12" t="inlineStr"/>
      <c r="F3475" s="12" t="inlineStr">
        <is>
          <t>CCS MV switchgear building (VFDs)</t>
        </is>
      </c>
      <c r="G3475" s="12" t="inlineStr"/>
      <c r="H3475" s="12" t="inlineStr">
        <is>
          <t>Absorber C intercooler (pumps + plate exchanger)</t>
        </is>
      </c>
      <c r="I3475" s="12" t="inlineStr">
        <is>
          <t>LV 600 V</t>
        </is>
      </c>
      <c r="J3475" s="12" t="inlineStr">
        <is>
          <t>Type TC-ER 600 V 3/C Cu XHHW-2 + ground, PVC jacket</t>
        </is>
      </c>
      <c r="K3475" s="12" t="inlineStr">
        <is>
          <t>LV|3/C+G|350</t>
        </is>
      </c>
      <c r="L3475" s="12" t="inlineStr">
        <is>
          <t>3/C+G</t>
        </is>
      </c>
      <c r="M3475" s="12" t="inlineStr">
        <is>
          <t>350 kcmil</t>
        </is>
      </c>
      <c r="N3475" s="12" t="n">
        <v>1</v>
      </c>
      <c r="O3475" s="12" t="n">
        <v>1</v>
      </c>
      <c r="P3475" s="12" t="n">
        <v>480</v>
      </c>
      <c r="Q3475" s="12" t="n">
        <v>150</v>
      </c>
      <c r="R3475" s="12" t="n">
        <v>212.3</v>
      </c>
      <c r="S3475" s="12" t="inlineStr">
        <is>
          <t>Tray</t>
        </is>
      </c>
      <c r="T3475" s="16" t="n">
        <v>232</v>
      </c>
      <c r="U3475" s="16" t="n">
        <v>81</v>
      </c>
      <c r="V3475" s="16">
        <f>ROUNDUP((T3475+U3475+2*'Read Me'!$B$13)*(1+'Read Me'!$B$12),-1)</f>
        <v/>
      </c>
      <c r="W3475" s="16">
        <f>V3475*N3475*O3475</f>
        <v/>
      </c>
      <c r="X3475" s="12">
        <f>IF(LEFT(I3475,2)="MV",2*N3475*IF(L3475="1/C",O3475,1),0)</f>
        <v/>
      </c>
      <c r="Y3475" s="12">
        <f>IF(OR(LEFT(K3475,4)="LVAX",LEFT(K3475,6)="MV15AX",LEFT(K3475,4)="CTAX",LEFT(K3475,2)="W|"),2*N3475*O3475,0)</f>
        <v/>
      </c>
      <c r="Z3475" s="12" t="inlineStr">
        <is>
          <t>VD 1.0 %</t>
        </is>
      </c>
      <c r="AA3475" s="12">
        <f>N3475*O3475</f>
        <v/>
      </c>
    </row>
    <row r="3476">
      <c r="A3476" s="12" t="inlineStr">
        <is>
          <t>G-P-0061</t>
        </is>
      </c>
      <c r="B3476" s="12" t="inlineStr">
        <is>
          <t>G</t>
        </is>
      </c>
      <c r="C3476" s="12" t="inlineStr">
        <is>
          <t>Carbon capture</t>
        </is>
      </c>
      <c r="D3476" s="12" t="inlineStr">
        <is>
          <t>LV power feeder</t>
        </is>
      </c>
      <c r="E3476" s="12" t="inlineStr"/>
      <c r="F3476" s="12" t="inlineStr">
        <is>
          <t>CCS MV switchgear building (VFDs)</t>
        </is>
      </c>
      <c r="G3476" s="12" t="inlineStr"/>
      <c r="H3476" s="12" t="inlineStr">
        <is>
          <t>Activated-carbon filter</t>
        </is>
      </c>
      <c r="I3476" s="12" t="inlineStr">
        <is>
          <t>LV 600 V</t>
        </is>
      </c>
      <c r="J3476" s="12" t="inlineStr">
        <is>
          <t>Type TC-ER 600 V 3/C Cu XHHW-2 + ground, PVC jacket</t>
        </is>
      </c>
      <c r="K3476" s="12" t="inlineStr">
        <is>
          <t>LV|3/C+G|8</t>
        </is>
      </c>
      <c r="L3476" s="12" t="inlineStr">
        <is>
          <t>3/C+G</t>
        </is>
      </c>
      <c r="M3476" s="12" t="inlineStr">
        <is>
          <t>8</t>
        </is>
      </c>
      <c r="N3476" s="12" t="n">
        <v>1</v>
      </c>
      <c r="O3476" s="12" t="n">
        <v>1</v>
      </c>
      <c r="P3476" s="12" t="n">
        <v>480</v>
      </c>
      <c r="Q3476" s="12" t="n">
        <v>15</v>
      </c>
      <c r="R3476" s="12" t="n">
        <v>21.2</v>
      </c>
      <c r="S3476" s="12" t="inlineStr">
        <is>
          <t>Duct bank</t>
        </is>
      </c>
      <c r="T3476" s="16" t="n">
        <v>289</v>
      </c>
      <c r="U3476" s="16" t="n">
        <v>43</v>
      </c>
      <c r="V3476" s="16">
        <f>ROUNDUP((T3476+U3476+2*'Read Me'!$B$13)*(1+'Read Me'!$B$12),-1)</f>
        <v/>
      </c>
      <c r="W3476" s="16">
        <f>V3476*N3476*O3476</f>
        <v/>
      </c>
      <c r="X3476" s="12">
        <f>IF(LEFT(I3476,2)="MV",2*N3476*IF(L3476="1/C",O3476,1),0)</f>
        <v/>
      </c>
      <c r="Y3476" s="12">
        <f>IF(OR(LEFT(K3476,4)="LVAX",LEFT(K3476,6)="MV15AX",LEFT(K3476,4)="CTAX",LEFT(K3476,2)="W|"),2*N3476*O3476,0)</f>
        <v/>
      </c>
      <c r="Z3476" s="12" t="inlineStr">
        <is>
          <t>VD 2.1 %</t>
        </is>
      </c>
      <c r="AA3476" s="12">
        <f>N3476*O3476</f>
        <v/>
      </c>
    </row>
    <row r="3477">
      <c r="A3477" s="12" t="inlineStr">
        <is>
          <t>G-P-0062</t>
        </is>
      </c>
      <c r="B3477" s="12" t="inlineStr">
        <is>
          <t>G</t>
        </is>
      </c>
      <c r="C3477" s="12" t="inlineStr">
        <is>
          <t>Carbon capture</t>
        </is>
      </c>
      <c r="D3477" s="12" t="inlineStr">
        <is>
          <t>Motor 1 of 4, 15 kW</t>
        </is>
      </c>
      <c r="E3477" s="12" t="inlineStr"/>
      <c r="F3477" s="12" t="inlineStr">
        <is>
          <t>CCS MV switchgear building (VFDs)</t>
        </is>
      </c>
      <c r="G3477" s="12" t="inlineStr">
        <is>
          <t>BF-A</t>
        </is>
      </c>
      <c r="H3477" s="12" t="inlineStr">
        <is>
          <t>BF-A: booster fan (~16 MW)</t>
        </is>
      </c>
      <c r="I3477" s="12" t="inlineStr">
        <is>
          <t>LV 600 V</t>
        </is>
      </c>
      <c r="J3477" s="12" t="inlineStr">
        <is>
          <t>Type TC-ER 600 V 3/C Cu XHHW-2 + ground, PVC jacket</t>
        </is>
      </c>
      <c r="K3477" s="12" t="inlineStr">
        <is>
          <t>LV|3/C+G|6</t>
        </is>
      </c>
      <c r="L3477" s="12" t="inlineStr">
        <is>
          <t>3/C+G</t>
        </is>
      </c>
      <c r="M3477" s="12" t="inlineStr">
        <is>
          <t>6</t>
        </is>
      </c>
      <c r="N3477" s="12" t="n">
        <v>1</v>
      </c>
      <c r="O3477" s="12" t="n">
        <v>1</v>
      </c>
      <c r="P3477" s="12" t="n">
        <v>480</v>
      </c>
      <c r="Q3477" s="12" t="n">
        <v>15</v>
      </c>
      <c r="R3477" s="12" t="n">
        <v>21.2</v>
      </c>
      <c r="S3477" s="12" t="inlineStr">
        <is>
          <t>Duct bank</t>
        </is>
      </c>
      <c r="T3477" s="16" t="n">
        <v>460</v>
      </c>
      <c r="U3477" s="16" t="n">
        <v>32</v>
      </c>
      <c r="V3477" s="16">
        <f>ROUNDUP((T3477+U3477+2*'Read Me'!$B$13)*(1+'Read Me'!$B$12),-1)</f>
        <v/>
      </c>
      <c r="W3477" s="16">
        <f>V3477*N3477*O3477</f>
        <v/>
      </c>
      <c r="X3477" s="12">
        <f>IF(LEFT(I3477,2)="MV",2*N3477*IF(L3477="1/C",O3477,1),0)</f>
        <v/>
      </c>
      <c r="Y3477" s="12">
        <f>IF(OR(LEFT(K3477,4)="LVAX",LEFT(K3477,6)="MV15AX",LEFT(K3477,4)="CTAX",LEFT(K3477,2)="W|"),2*N3477*O3477,0)</f>
        <v/>
      </c>
      <c r="Z3477" s="12" t="inlineStr">
        <is>
          <t>VD 2.0 %</t>
        </is>
      </c>
      <c r="AA3477" s="12">
        <f>N3477*O3477</f>
        <v/>
      </c>
    </row>
    <row r="3478">
      <c r="A3478" s="12" t="inlineStr">
        <is>
          <t>G-P-0063</t>
        </is>
      </c>
      <c r="B3478" s="12" t="inlineStr">
        <is>
          <t>G</t>
        </is>
      </c>
      <c r="C3478" s="12" t="inlineStr">
        <is>
          <t>Carbon capture</t>
        </is>
      </c>
      <c r="D3478" s="12" t="inlineStr">
        <is>
          <t>Motor 2 of 4, 15 kW</t>
        </is>
      </c>
      <c r="E3478" s="12" t="inlineStr"/>
      <c r="F3478" s="12" t="inlineStr">
        <is>
          <t>CCS MV switchgear building (VFDs)</t>
        </is>
      </c>
      <c r="G3478" s="12" t="inlineStr">
        <is>
          <t>BF-A</t>
        </is>
      </c>
      <c r="H3478" s="12" t="inlineStr">
        <is>
          <t>BF-A: booster fan (~16 MW)</t>
        </is>
      </c>
      <c r="I3478" s="12" t="inlineStr">
        <is>
          <t>LV 600 V</t>
        </is>
      </c>
      <c r="J3478" s="12" t="inlineStr">
        <is>
          <t>Type TC-ER 600 V 3/C Cu XHHW-2 + ground, PVC jacket</t>
        </is>
      </c>
      <c r="K3478" s="12" t="inlineStr">
        <is>
          <t>LV|3/C+G|6</t>
        </is>
      </c>
      <c r="L3478" s="12" t="inlineStr">
        <is>
          <t>3/C+G</t>
        </is>
      </c>
      <c r="M3478" s="12" t="inlineStr">
        <is>
          <t>6</t>
        </is>
      </c>
      <c r="N3478" s="12" t="n">
        <v>1</v>
      </c>
      <c r="O3478" s="12" t="n">
        <v>1</v>
      </c>
      <c r="P3478" s="12" t="n">
        <v>480</v>
      </c>
      <c r="Q3478" s="12" t="n">
        <v>15</v>
      </c>
      <c r="R3478" s="12" t="n">
        <v>21.2</v>
      </c>
      <c r="S3478" s="12" t="inlineStr">
        <is>
          <t>Duct bank</t>
        </is>
      </c>
      <c r="T3478" s="16" t="n">
        <v>460</v>
      </c>
      <c r="U3478" s="16" t="n">
        <v>32</v>
      </c>
      <c r="V3478" s="16">
        <f>ROUNDUP((T3478+U3478+2*'Read Me'!$B$13)*(1+'Read Me'!$B$12),-1)</f>
        <v/>
      </c>
      <c r="W3478" s="16">
        <f>V3478*N3478*O3478</f>
        <v/>
      </c>
      <c r="X3478" s="12">
        <f>IF(LEFT(I3478,2)="MV",2*N3478*IF(L3478="1/C",O3478,1),0)</f>
        <v/>
      </c>
      <c r="Y3478" s="12">
        <f>IF(OR(LEFT(K3478,4)="LVAX",LEFT(K3478,6)="MV15AX",LEFT(K3478,4)="CTAX",LEFT(K3478,2)="W|"),2*N3478*O3478,0)</f>
        <v/>
      </c>
      <c r="Z3478" s="12" t="inlineStr">
        <is>
          <t>VD 2.0 %</t>
        </is>
      </c>
      <c r="AA3478" s="12">
        <f>N3478*O3478</f>
        <v/>
      </c>
    </row>
    <row r="3479">
      <c r="A3479" s="12" t="inlineStr">
        <is>
          <t>G-P-0064</t>
        </is>
      </c>
      <c r="B3479" s="12" t="inlineStr">
        <is>
          <t>G</t>
        </is>
      </c>
      <c r="C3479" s="12" t="inlineStr">
        <is>
          <t>Carbon capture</t>
        </is>
      </c>
      <c r="D3479" s="12" t="inlineStr">
        <is>
          <t>Motor 3 of 4, 15 kW</t>
        </is>
      </c>
      <c r="E3479" s="12" t="inlineStr"/>
      <c r="F3479" s="12" t="inlineStr">
        <is>
          <t>CCS MV switchgear building (VFDs)</t>
        </is>
      </c>
      <c r="G3479" s="12" t="inlineStr">
        <is>
          <t>BF-A</t>
        </is>
      </c>
      <c r="H3479" s="12" t="inlineStr">
        <is>
          <t>BF-A: booster fan (~16 MW)</t>
        </is>
      </c>
      <c r="I3479" s="12" t="inlineStr">
        <is>
          <t>LV 600 V</t>
        </is>
      </c>
      <c r="J3479" s="12" t="inlineStr">
        <is>
          <t>Type TC-ER 600 V 3/C Cu XHHW-2 + ground, PVC jacket</t>
        </is>
      </c>
      <c r="K3479" s="12" t="inlineStr">
        <is>
          <t>LV|3/C+G|6</t>
        </is>
      </c>
      <c r="L3479" s="12" t="inlineStr">
        <is>
          <t>3/C+G</t>
        </is>
      </c>
      <c r="M3479" s="12" t="inlineStr">
        <is>
          <t>6</t>
        </is>
      </c>
      <c r="N3479" s="12" t="n">
        <v>1</v>
      </c>
      <c r="O3479" s="12" t="n">
        <v>1</v>
      </c>
      <c r="P3479" s="12" t="n">
        <v>480</v>
      </c>
      <c r="Q3479" s="12" t="n">
        <v>15</v>
      </c>
      <c r="R3479" s="12" t="n">
        <v>21.2</v>
      </c>
      <c r="S3479" s="12" t="inlineStr">
        <is>
          <t>Duct bank</t>
        </is>
      </c>
      <c r="T3479" s="16" t="n">
        <v>460</v>
      </c>
      <c r="U3479" s="16" t="n">
        <v>32</v>
      </c>
      <c r="V3479" s="16">
        <f>ROUNDUP((T3479+U3479+2*'Read Me'!$B$13)*(1+'Read Me'!$B$12),-1)</f>
        <v/>
      </c>
      <c r="W3479" s="16">
        <f>V3479*N3479*O3479</f>
        <v/>
      </c>
      <c r="X3479" s="12">
        <f>IF(LEFT(I3479,2)="MV",2*N3479*IF(L3479="1/C",O3479,1),0)</f>
        <v/>
      </c>
      <c r="Y3479" s="12">
        <f>IF(OR(LEFT(K3479,4)="LVAX",LEFT(K3479,6)="MV15AX",LEFT(K3479,4)="CTAX",LEFT(K3479,2)="W|"),2*N3479*O3479,0)</f>
        <v/>
      </c>
      <c r="Z3479" s="12" t="inlineStr">
        <is>
          <t>VD 2.0 %</t>
        </is>
      </c>
      <c r="AA3479" s="12">
        <f>N3479*O3479</f>
        <v/>
      </c>
    </row>
    <row r="3480">
      <c r="A3480" s="12" t="inlineStr">
        <is>
          <t>G-P-0065</t>
        </is>
      </c>
      <c r="B3480" s="12" t="inlineStr">
        <is>
          <t>G</t>
        </is>
      </c>
      <c r="C3480" s="12" t="inlineStr">
        <is>
          <t>Carbon capture</t>
        </is>
      </c>
      <c r="D3480" s="12" t="inlineStr">
        <is>
          <t>Motor 4 of 4, 15 kW</t>
        </is>
      </c>
      <c r="E3480" s="12" t="inlineStr"/>
      <c r="F3480" s="12" t="inlineStr">
        <is>
          <t>CCS MV switchgear building (VFDs)</t>
        </is>
      </c>
      <c r="G3480" s="12" t="inlineStr">
        <is>
          <t>BF-A</t>
        </is>
      </c>
      <c r="H3480" s="12" t="inlineStr">
        <is>
          <t>BF-A: booster fan (~16 MW)</t>
        </is>
      </c>
      <c r="I3480" s="12" t="inlineStr">
        <is>
          <t>LV 600 V</t>
        </is>
      </c>
      <c r="J3480" s="12" t="inlineStr">
        <is>
          <t>Type TC-ER 600 V 3/C Cu XHHW-2 + ground, PVC jacket</t>
        </is>
      </c>
      <c r="K3480" s="12" t="inlineStr">
        <is>
          <t>LV|3/C+G|6</t>
        </is>
      </c>
      <c r="L3480" s="12" t="inlineStr">
        <is>
          <t>3/C+G</t>
        </is>
      </c>
      <c r="M3480" s="12" t="inlineStr">
        <is>
          <t>6</t>
        </is>
      </c>
      <c r="N3480" s="12" t="n">
        <v>1</v>
      </c>
      <c r="O3480" s="12" t="n">
        <v>1</v>
      </c>
      <c r="P3480" s="12" t="n">
        <v>480</v>
      </c>
      <c r="Q3480" s="12" t="n">
        <v>15</v>
      </c>
      <c r="R3480" s="12" t="n">
        <v>21.2</v>
      </c>
      <c r="S3480" s="12" t="inlineStr">
        <is>
          <t>Duct bank</t>
        </is>
      </c>
      <c r="T3480" s="16" t="n">
        <v>460</v>
      </c>
      <c r="U3480" s="16" t="n">
        <v>32</v>
      </c>
      <c r="V3480" s="16">
        <f>ROUNDUP((T3480+U3480+2*'Read Me'!$B$13)*(1+'Read Me'!$B$12),-1)</f>
        <v/>
      </c>
      <c r="W3480" s="16">
        <f>V3480*N3480*O3480</f>
        <v/>
      </c>
      <c r="X3480" s="12">
        <f>IF(LEFT(I3480,2)="MV",2*N3480*IF(L3480="1/C",O3480,1),0)</f>
        <v/>
      </c>
      <c r="Y3480" s="12">
        <f>IF(OR(LEFT(K3480,4)="LVAX",LEFT(K3480,6)="MV15AX",LEFT(K3480,4)="CTAX",LEFT(K3480,2)="W|"),2*N3480*O3480,0)</f>
        <v/>
      </c>
      <c r="Z3480" s="12" t="inlineStr">
        <is>
          <t>VD 2.0 %</t>
        </is>
      </c>
      <c r="AA3480" s="12">
        <f>N3480*O3480</f>
        <v/>
      </c>
    </row>
    <row r="3481">
      <c r="A3481" s="12" t="inlineStr">
        <is>
          <t>G-P-0066</t>
        </is>
      </c>
      <c r="B3481" s="12" t="inlineStr">
        <is>
          <t>G</t>
        </is>
      </c>
      <c r="C3481" s="12" t="inlineStr">
        <is>
          <t>Carbon capture</t>
        </is>
      </c>
      <c r="D3481" s="12" t="inlineStr">
        <is>
          <t>480 V welding receptacle 1</t>
        </is>
      </c>
      <c r="E3481" s="12" t="inlineStr"/>
      <c r="F3481" s="12" t="inlineStr">
        <is>
          <t>CCS MV switchgear building (VFDs)</t>
        </is>
      </c>
      <c r="G3481" s="12" t="inlineStr">
        <is>
          <t>BF-A</t>
        </is>
      </c>
      <c r="H3481" s="12" t="inlineStr">
        <is>
          <t>BF-A: booster fan (~16 MW)</t>
        </is>
      </c>
      <c r="I3481" s="12" t="inlineStr">
        <is>
          <t>LV 600 V</t>
        </is>
      </c>
      <c r="J3481" s="12" t="inlineStr">
        <is>
          <t>Type TC-ER 600 V 3/C Cu XHHW-2 + ground, PVC jacket</t>
        </is>
      </c>
      <c r="K3481" s="12" t="inlineStr">
        <is>
          <t>LV|3/C+G|2</t>
        </is>
      </c>
      <c r="L3481" s="12" t="inlineStr">
        <is>
          <t>3/C+G</t>
        </is>
      </c>
      <c r="M3481" s="12" t="inlineStr">
        <is>
          <t>2</t>
        </is>
      </c>
      <c r="N3481" s="12" t="n">
        <v>1</v>
      </c>
      <c r="O3481" s="12" t="n">
        <v>1</v>
      </c>
      <c r="P3481" s="12" t="n">
        <v>480</v>
      </c>
      <c r="Q3481" s="12" t="n">
        <v>60</v>
      </c>
      <c r="R3481" s="12" t="n">
        <v>76</v>
      </c>
      <c r="S3481" s="12" t="inlineStr">
        <is>
          <t>Duct bank</t>
        </is>
      </c>
      <c r="T3481" s="16" t="n">
        <v>460</v>
      </c>
      <c r="U3481" s="16" t="n">
        <v>32</v>
      </c>
      <c r="V3481" s="16">
        <f>ROUNDUP((T3481+U3481+2*'Read Me'!$B$13)*(1+'Read Me'!$B$12),-1)</f>
        <v/>
      </c>
      <c r="W3481" s="16">
        <f>V3481*N3481*O3481</f>
        <v/>
      </c>
      <c r="X3481" s="12">
        <f>IF(LEFT(I3481,2)="MV",2*N3481*IF(L3481="1/C",O3481,1),0)</f>
        <v/>
      </c>
      <c r="Y3481" s="12">
        <f>IF(OR(LEFT(K3481,4)="LVAX",LEFT(K3481,6)="MV15AX",LEFT(K3481,4)="CTAX",LEFT(K3481,2)="W|"),2*N3481*O3481,0)</f>
        <v/>
      </c>
      <c r="Z3481" s="12" t="inlineStr">
        <is>
          <t>VD 2.9 %</t>
        </is>
      </c>
      <c r="AA3481" s="12">
        <f>N3481*O3481</f>
        <v/>
      </c>
    </row>
    <row r="3482">
      <c r="A3482" s="12" t="inlineStr">
        <is>
          <t>G-P-0067</t>
        </is>
      </c>
      <c r="B3482" s="12" t="inlineStr">
        <is>
          <t>G</t>
        </is>
      </c>
      <c r="C3482" s="12" t="inlineStr">
        <is>
          <t>Carbon capture</t>
        </is>
      </c>
      <c r="D3482" s="12" t="inlineStr">
        <is>
          <t>480 V welding receptacle 2</t>
        </is>
      </c>
      <c r="E3482" s="12" t="inlineStr"/>
      <c r="F3482" s="12" t="inlineStr">
        <is>
          <t>CCS MV switchgear building (VFDs)</t>
        </is>
      </c>
      <c r="G3482" s="12" t="inlineStr">
        <is>
          <t>BF-A</t>
        </is>
      </c>
      <c r="H3482" s="12" t="inlineStr">
        <is>
          <t>BF-A: booster fan (~16 MW)</t>
        </is>
      </c>
      <c r="I3482" s="12" t="inlineStr">
        <is>
          <t>LV 600 V</t>
        </is>
      </c>
      <c r="J3482" s="12" t="inlineStr">
        <is>
          <t>Type TC-ER 600 V 3/C Cu XHHW-2 + ground, PVC jacket</t>
        </is>
      </c>
      <c r="K3482" s="12" t="inlineStr">
        <is>
          <t>LV|3/C+G|2</t>
        </is>
      </c>
      <c r="L3482" s="12" t="inlineStr">
        <is>
          <t>3/C+G</t>
        </is>
      </c>
      <c r="M3482" s="12" t="inlineStr">
        <is>
          <t>2</t>
        </is>
      </c>
      <c r="N3482" s="12" t="n">
        <v>1</v>
      </c>
      <c r="O3482" s="12" t="n">
        <v>1</v>
      </c>
      <c r="P3482" s="12" t="n">
        <v>480</v>
      </c>
      <c r="Q3482" s="12" t="n">
        <v>60</v>
      </c>
      <c r="R3482" s="12" t="n">
        <v>76</v>
      </c>
      <c r="S3482" s="12" t="inlineStr">
        <is>
          <t>Duct bank</t>
        </is>
      </c>
      <c r="T3482" s="16" t="n">
        <v>460</v>
      </c>
      <c r="U3482" s="16" t="n">
        <v>32</v>
      </c>
      <c r="V3482" s="16">
        <f>ROUNDUP((T3482+U3482+2*'Read Me'!$B$13)*(1+'Read Me'!$B$12),-1)</f>
        <v/>
      </c>
      <c r="W3482" s="16">
        <f>V3482*N3482*O3482</f>
        <v/>
      </c>
      <c r="X3482" s="12">
        <f>IF(LEFT(I3482,2)="MV",2*N3482*IF(L3482="1/C",O3482,1),0)</f>
        <v/>
      </c>
      <c r="Y3482" s="12">
        <f>IF(OR(LEFT(K3482,4)="LVAX",LEFT(K3482,6)="MV15AX",LEFT(K3482,4)="CTAX",LEFT(K3482,2)="W|"),2*N3482*O3482,0)</f>
        <v/>
      </c>
      <c r="Z3482" s="12" t="inlineStr">
        <is>
          <t>VD 2.9 %</t>
        </is>
      </c>
      <c r="AA3482" s="12">
        <f>N3482*O3482</f>
        <v/>
      </c>
    </row>
    <row r="3483">
      <c r="A3483" s="12" t="inlineStr">
        <is>
          <t>G-P-0068</t>
        </is>
      </c>
      <c r="B3483" s="12" t="inlineStr">
        <is>
          <t>G</t>
        </is>
      </c>
      <c r="C3483" s="12" t="inlineStr">
        <is>
          <t>Carbon capture</t>
        </is>
      </c>
      <c r="D3483" s="12" t="inlineStr">
        <is>
          <t>480 V welding receptacle 3</t>
        </is>
      </c>
      <c r="E3483" s="12" t="inlineStr"/>
      <c r="F3483" s="12" t="inlineStr">
        <is>
          <t>CCS MV switchgear building (VFDs)</t>
        </is>
      </c>
      <c r="G3483" s="12" t="inlineStr">
        <is>
          <t>BF-A</t>
        </is>
      </c>
      <c r="H3483" s="12" t="inlineStr">
        <is>
          <t>BF-A: booster fan (~16 MW)</t>
        </is>
      </c>
      <c r="I3483" s="12" t="inlineStr">
        <is>
          <t>LV 600 V</t>
        </is>
      </c>
      <c r="J3483" s="12" t="inlineStr">
        <is>
          <t>Type TC-ER 600 V 3/C Cu XHHW-2 + ground, PVC jacket</t>
        </is>
      </c>
      <c r="K3483" s="12" t="inlineStr">
        <is>
          <t>LV|3/C+G|2</t>
        </is>
      </c>
      <c r="L3483" s="12" t="inlineStr">
        <is>
          <t>3/C+G</t>
        </is>
      </c>
      <c r="M3483" s="12" t="inlineStr">
        <is>
          <t>2</t>
        </is>
      </c>
      <c r="N3483" s="12" t="n">
        <v>1</v>
      </c>
      <c r="O3483" s="12" t="n">
        <v>1</v>
      </c>
      <c r="P3483" s="12" t="n">
        <v>480</v>
      </c>
      <c r="Q3483" s="12" t="n">
        <v>60</v>
      </c>
      <c r="R3483" s="12" t="n">
        <v>76</v>
      </c>
      <c r="S3483" s="12" t="inlineStr">
        <is>
          <t>Duct bank</t>
        </is>
      </c>
      <c r="T3483" s="16" t="n">
        <v>460</v>
      </c>
      <c r="U3483" s="16" t="n">
        <v>32</v>
      </c>
      <c r="V3483" s="16">
        <f>ROUNDUP((T3483+U3483+2*'Read Me'!$B$13)*(1+'Read Me'!$B$12),-1)</f>
        <v/>
      </c>
      <c r="W3483" s="16">
        <f>V3483*N3483*O3483</f>
        <v/>
      </c>
      <c r="X3483" s="12">
        <f>IF(LEFT(I3483,2)="MV",2*N3483*IF(L3483="1/C",O3483,1),0)</f>
        <v/>
      </c>
      <c r="Y3483" s="12">
        <f>IF(OR(LEFT(K3483,4)="LVAX",LEFT(K3483,6)="MV15AX",LEFT(K3483,4)="CTAX",LEFT(K3483,2)="W|"),2*N3483*O3483,0)</f>
        <v/>
      </c>
      <c r="Z3483" s="12" t="inlineStr">
        <is>
          <t>VD 2.9 %</t>
        </is>
      </c>
      <c r="AA3483" s="12">
        <f>N3483*O3483</f>
        <v/>
      </c>
    </row>
    <row r="3484">
      <c r="A3484" s="12" t="inlineStr">
        <is>
          <t>G-P-0069</t>
        </is>
      </c>
      <c r="B3484" s="12" t="inlineStr">
        <is>
          <t>G</t>
        </is>
      </c>
      <c r="C3484" s="12" t="inlineStr">
        <is>
          <t>Carbon capture</t>
        </is>
      </c>
      <c r="D3484" s="12" t="inlineStr">
        <is>
          <t>480 V welding receptacle 4</t>
        </is>
      </c>
      <c r="E3484" s="12" t="inlineStr"/>
      <c r="F3484" s="12" t="inlineStr">
        <is>
          <t>CCS MV switchgear building (VFDs)</t>
        </is>
      </c>
      <c r="G3484" s="12" t="inlineStr">
        <is>
          <t>BF-A</t>
        </is>
      </c>
      <c r="H3484" s="12" t="inlineStr">
        <is>
          <t>BF-A: booster fan (~16 MW)</t>
        </is>
      </c>
      <c r="I3484" s="12" t="inlineStr">
        <is>
          <t>LV 600 V</t>
        </is>
      </c>
      <c r="J3484" s="12" t="inlineStr">
        <is>
          <t>Type TC-ER 600 V 3/C Cu XHHW-2 + ground, PVC jacket</t>
        </is>
      </c>
      <c r="K3484" s="12" t="inlineStr">
        <is>
          <t>LV|3/C+G|2</t>
        </is>
      </c>
      <c r="L3484" s="12" t="inlineStr">
        <is>
          <t>3/C+G</t>
        </is>
      </c>
      <c r="M3484" s="12" t="inlineStr">
        <is>
          <t>2</t>
        </is>
      </c>
      <c r="N3484" s="12" t="n">
        <v>1</v>
      </c>
      <c r="O3484" s="12" t="n">
        <v>1</v>
      </c>
      <c r="P3484" s="12" t="n">
        <v>480</v>
      </c>
      <c r="Q3484" s="12" t="n">
        <v>60</v>
      </c>
      <c r="R3484" s="12" t="n">
        <v>76</v>
      </c>
      <c r="S3484" s="12" t="inlineStr">
        <is>
          <t>Duct bank</t>
        </is>
      </c>
      <c r="T3484" s="16" t="n">
        <v>460</v>
      </c>
      <c r="U3484" s="16" t="n">
        <v>32</v>
      </c>
      <c r="V3484" s="16">
        <f>ROUNDUP((T3484+U3484+2*'Read Me'!$B$13)*(1+'Read Me'!$B$12),-1)</f>
        <v/>
      </c>
      <c r="W3484" s="16">
        <f>V3484*N3484*O3484</f>
        <v/>
      </c>
      <c r="X3484" s="12">
        <f>IF(LEFT(I3484,2)="MV",2*N3484*IF(L3484="1/C",O3484,1),0)</f>
        <v/>
      </c>
      <c r="Y3484" s="12">
        <f>IF(OR(LEFT(K3484,4)="LVAX",LEFT(K3484,6)="MV15AX",LEFT(K3484,4)="CTAX",LEFT(K3484,2)="W|"),2*N3484*O3484,0)</f>
        <v/>
      </c>
      <c r="Z3484" s="12" t="inlineStr">
        <is>
          <t>VD 2.9 %</t>
        </is>
      </c>
      <c r="AA3484" s="12">
        <f>N3484*O3484</f>
        <v/>
      </c>
    </row>
    <row r="3485">
      <c r="A3485" s="12" t="inlineStr">
        <is>
          <t>G-P-0070</t>
        </is>
      </c>
      <c r="B3485" s="12" t="inlineStr">
        <is>
          <t>G</t>
        </is>
      </c>
      <c r="C3485" s="12" t="inlineStr">
        <is>
          <t>Carbon capture</t>
        </is>
      </c>
      <c r="D3485" s="12" t="inlineStr">
        <is>
          <t>Motor 1 of 4, 15 kW</t>
        </is>
      </c>
      <c r="E3485" s="12" t="inlineStr"/>
      <c r="F3485" s="12" t="inlineStr">
        <is>
          <t>CCS MV switchgear building (VFDs)</t>
        </is>
      </c>
      <c r="G3485" s="12" t="inlineStr">
        <is>
          <t>BF-B</t>
        </is>
      </c>
      <c r="H3485" s="12" t="inlineStr">
        <is>
          <t>BF-B: booster fan (~16 MW)</t>
        </is>
      </c>
      <c r="I3485" s="12" t="inlineStr">
        <is>
          <t>LV 600 V</t>
        </is>
      </c>
      <c r="J3485" s="12" t="inlineStr">
        <is>
          <t>Type TC-ER 600 V 3/C Cu XHHW-2 + ground, PVC jacket</t>
        </is>
      </c>
      <c r="K3485" s="12" t="inlineStr">
        <is>
          <t>LV|3/C+G|8</t>
        </is>
      </c>
      <c r="L3485" s="12" t="inlineStr">
        <is>
          <t>3/C+G</t>
        </is>
      </c>
      <c r="M3485" s="12" t="inlineStr">
        <is>
          <t>8</t>
        </is>
      </c>
      <c r="N3485" s="12" t="n">
        <v>1</v>
      </c>
      <c r="O3485" s="12" t="n">
        <v>1</v>
      </c>
      <c r="P3485" s="12" t="n">
        <v>480</v>
      </c>
      <c r="Q3485" s="12" t="n">
        <v>15</v>
      </c>
      <c r="R3485" s="12" t="n">
        <v>21.2</v>
      </c>
      <c r="S3485" s="12" t="inlineStr">
        <is>
          <t>Duct bank</t>
        </is>
      </c>
      <c r="T3485" s="16" t="n">
        <v>300</v>
      </c>
      <c r="U3485" s="16" t="n">
        <v>32</v>
      </c>
      <c r="V3485" s="16">
        <f>ROUNDUP((T3485+U3485+2*'Read Me'!$B$13)*(1+'Read Me'!$B$12),-1)</f>
        <v/>
      </c>
      <c r="W3485" s="16">
        <f>V3485*N3485*O3485</f>
        <v/>
      </c>
      <c r="X3485" s="12">
        <f>IF(LEFT(I3485,2)="MV",2*N3485*IF(L3485="1/C",O3485,1),0)</f>
        <v/>
      </c>
      <c r="Y3485" s="12">
        <f>IF(OR(LEFT(K3485,4)="LVAX",LEFT(K3485,6)="MV15AX",LEFT(K3485,4)="CTAX",LEFT(K3485,2)="W|"),2*N3485*O3485,0)</f>
        <v/>
      </c>
      <c r="Z3485" s="12" t="inlineStr">
        <is>
          <t>VD 2.1 %</t>
        </is>
      </c>
      <c r="AA3485" s="12">
        <f>N3485*O3485</f>
        <v/>
      </c>
    </row>
    <row r="3486">
      <c r="A3486" s="12" t="inlineStr">
        <is>
          <t>G-P-0071</t>
        </is>
      </c>
      <c r="B3486" s="12" t="inlineStr">
        <is>
          <t>G</t>
        </is>
      </c>
      <c r="C3486" s="12" t="inlineStr">
        <is>
          <t>Carbon capture</t>
        </is>
      </c>
      <c r="D3486" s="12" t="inlineStr">
        <is>
          <t>Motor 2 of 4, 15 kW</t>
        </is>
      </c>
      <c r="E3486" s="12" t="inlineStr"/>
      <c r="F3486" s="12" t="inlineStr">
        <is>
          <t>CCS MV switchgear building (VFDs)</t>
        </is>
      </c>
      <c r="G3486" s="12" t="inlineStr">
        <is>
          <t>BF-B</t>
        </is>
      </c>
      <c r="H3486" s="12" t="inlineStr">
        <is>
          <t>BF-B: booster fan (~16 MW)</t>
        </is>
      </c>
      <c r="I3486" s="12" t="inlineStr">
        <is>
          <t>LV 600 V</t>
        </is>
      </c>
      <c r="J3486" s="12" t="inlineStr">
        <is>
          <t>Type TC-ER 600 V 3/C Cu XHHW-2 + ground, PVC jacket</t>
        </is>
      </c>
      <c r="K3486" s="12" t="inlineStr">
        <is>
          <t>LV|3/C+G|8</t>
        </is>
      </c>
      <c r="L3486" s="12" t="inlineStr">
        <is>
          <t>3/C+G</t>
        </is>
      </c>
      <c r="M3486" s="12" t="inlineStr">
        <is>
          <t>8</t>
        </is>
      </c>
      <c r="N3486" s="12" t="n">
        <v>1</v>
      </c>
      <c r="O3486" s="12" t="n">
        <v>1</v>
      </c>
      <c r="P3486" s="12" t="n">
        <v>480</v>
      </c>
      <c r="Q3486" s="12" t="n">
        <v>15</v>
      </c>
      <c r="R3486" s="12" t="n">
        <v>21.2</v>
      </c>
      <c r="S3486" s="12" t="inlineStr">
        <is>
          <t>Duct bank</t>
        </is>
      </c>
      <c r="T3486" s="16" t="n">
        <v>300</v>
      </c>
      <c r="U3486" s="16" t="n">
        <v>32</v>
      </c>
      <c r="V3486" s="16">
        <f>ROUNDUP((T3486+U3486+2*'Read Me'!$B$13)*(1+'Read Me'!$B$12),-1)</f>
        <v/>
      </c>
      <c r="W3486" s="16">
        <f>V3486*N3486*O3486</f>
        <v/>
      </c>
      <c r="X3486" s="12">
        <f>IF(LEFT(I3486,2)="MV",2*N3486*IF(L3486="1/C",O3486,1),0)</f>
        <v/>
      </c>
      <c r="Y3486" s="12">
        <f>IF(OR(LEFT(K3486,4)="LVAX",LEFT(K3486,6)="MV15AX",LEFT(K3486,4)="CTAX",LEFT(K3486,2)="W|"),2*N3486*O3486,0)</f>
        <v/>
      </c>
      <c r="Z3486" s="12" t="inlineStr">
        <is>
          <t>VD 2.1 %</t>
        </is>
      </c>
      <c r="AA3486" s="12">
        <f>N3486*O3486</f>
        <v/>
      </c>
    </row>
    <row r="3487">
      <c r="A3487" s="12" t="inlineStr">
        <is>
          <t>G-P-0072</t>
        </is>
      </c>
      <c r="B3487" s="12" t="inlineStr">
        <is>
          <t>G</t>
        </is>
      </c>
      <c r="C3487" s="12" t="inlineStr">
        <is>
          <t>Carbon capture</t>
        </is>
      </c>
      <c r="D3487" s="12" t="inlineStr">
        <is>
          <t>Motor 3 of 4, 15 kW</t>
        </is>
      </c>
      <c r="E3487" s="12" t="inlineStr"/>
      <c r="F3487" s="12" t="inlineStr">
        <is>
          <t>CCS MV switchgear building (VFDs)</t>
        </is>
      </c>
      <c r="G3487" s="12" t="inlineStr">
        <is>
          <t>BF-B</t>
        </is>
      </c>
      <c r="H3487" s="12" t="inlineStr">
        <is>
          <t>BF-B: booster fan (~16 MW)</t>
        </is>
      </c>
      <c r="I3487" s="12" t="inlineStr">
        <is>
          <t>LV 600 V</t>
        </is>
      </c>
      <c r="J3487" s="12" t="inlineStr">
        <is>
          <t>Type TC-ER 600 V 3/C Cu XHHW-2 + ground, PVC jacket</t>
        </is>
      </c>
      <c r="K3487" s="12" t="inlineStr">
        <is>
          <t>LV|3/C+G|8</t>
        </is>
      </c>
      <c r="L3487" s="12" t="inlineStr">
        <is>
          <t>3/C+G</t>
        </is>
      </c>
      <c r="M3487" s="12" t="inlineStr">
        <is>
          <t>8</t>
        </is>
      </c>
      <c r="N3487" s="12" t="n">
        <v>1</v>
      </c>
      <c r="O3487" s="12" t="n">
        <v>1</v>
      </c>
      <c r="P3487" s="12" t="n">
        <v>480</v>
      </c>
      <c r="Q3487" s="12" t="n">
        <v>15</v>
      </c>
      <c r="R3487" s="12" t="n">
        <v>21.2</v>
      </c>
      <c r="S3487" s="12" t="inlineStr">
        <is>
          <t>Duct bank</t>
        </is>
      </c>
      <c r="T3487" s="16" t="n">
        <v>300</v>
      </c>
      <c r="U3487" s="16" t="n">
        <v>32</v>
      </c>
      <c r="V3487" s="16">
        <f>ROUNDUP((T3487+U3487+2*'Read Me'!$B$13)*(1+'Read Me'!$B$12),-1)</f>
        <v/>
      </c>
      <c r="W3487" s="16">
        <f>V3487*N3487*O3487</f>
        <v/>
      </c>
      <c r="X3487" s="12">
        <f>IF(LEFT(I3487,2)="MV",2*N3487*IF(L3487="1/C",O3487,1),0)</f>
        <v/>
      </c>
      <c r="Y3487" s="12">
        <f>IF(OR(LEFT(K3487,4)="LVAX",LEFT(K3487,6)="MV15AX",LEFT(K3487,4)="CTAX",LEFT(K3487,2)="W|"),2*N3487*O3487,0)</f>
        <v/>
      </c>
      <c r="Z3487" s="12" t="inlineStr">
        <is>
          <t>VD 2.1 %</t>
        </is>
      </c>
      <c r="AA3487" s="12">
        <f>N3487*O3487</f>
        <v/>
      </c>
    </row>
    <row r="3488">
      <c r="A3488" s="12" t="inlineStr">
        <is>
          <t>G-P-0073</t>
        </is>
      </c>
      <c r="B3488" s="12" t="inlineStr">
        <is>
          <t>G</t>
        </is>
      </c>
      <c r="C3488" s="12" t="inlineStr">
        <is>
          <t>Carbon capture</t>
        </is>
      </c>
      <c r="D3488" s="12" t="inlineStr">
        <is>
          <t>Motor 4 of 4, 15 kW</t>
        </is>
      </c>
      <c r="E3488" s="12" t="inlineStr"/>
      <c r="F3488" s="12" t="inlineStr">
        <is>
          <t>CCS MV switchgear building (VFDs)</t>
        </is>
      </c>
      <c r="G3488" s="12" t="inlineStr">
        <is>
          <t>BF-B</t>
        </is>
      </c>
      <c r="H3488" s="12" t="inlineStr">
        <is>
          <t>BF-B: booster fan (~16 MW)</t>
        </is>
      </c>
      <c r="I3488" s="12" t="inlineStr">
        <is>
          <t>LV 600 V</t>
        </is>
      </c>
      <c r="J3488" s="12" t="inlineStr">
        <is>
          <t>Type TC-ER 600 V 3/C Cu XHHW-2 + ground, PVC jacket</t>
        </is>
      </c>
      <c r="K3488" s="12" t="inlineStr">
        <is>
          <t>LV|3/C+G|8</t>
        </is>
      </c>
      <c r="L3488" s="12" t="inlineStr">
        <is>
          <t>3/C+G</t>
        </is>
      </c>
      <c r="M3488" s="12" t="inlineStr">
        <is>
          <t>8</t>
        </is>
      </c>
      <c r="N3488" s="12" t="n">
        <v>1</v>
      </c>
      <c r="O3488" s="12" t="n">
        <v>1</v>
      </c>
      <c r="P3488" s="12" t="n">
        <v>480</v>
      </c>
      <c r="Q3488" s="12" t="n">
        <v>15</v>
      </c>
      <c r="R3488" s="12" t="n">
        <v>21.2</v>
      </c>
      <c r="S3488" s="12" t="inlineStr">
        <is>
          <t>Duct bank</t>
        </is>
      </c>
      <c r="T3488" s="16" t="n">
        <v>300</v>
      </c>
      <c r="U3488" s="16" t="n">
        <v>32</v>
      </c>
      <c r="V3488" s="16">
        <f>ROUNDUP((T3488+U3488+2*'Read Me'!$B$13)*(1+'Read Me'!$B$12),-1)</f>
        <v/>
      </c>
      <c r="W3488" s="16">
        <f>V3488*N3488*O3488</f>
        <v/>
      </c>
      <c r="X3488" s="12">
        <f>IF(LEFT(I3488,2)="MV",2*N3488*IF(L3488="1/C",O3488,1),0)</f>
        <v/>
      </c>
      <c r="Y3488" s="12">
        <f>IF(OR(LEFT(K3488,4)="LVAX",LEFT(K3488,6)="MV15AX",LEFT(K3488,4)="CTAX",LEFT(K3488,2)="W|"),2*N3488*O3488,0)</f>
        <v/>
      </c>
      <c r="Z3488" s="12" t="inlineStr">
        <is>
          <t>VD 2.1 %</t>
        </is>
      </c>
      <c r="AA3488" s="12">
        <f>N3488*O3488</f>
        <v/>
      </c>
    </row>
    <row r="3489">
      <c r="A3489" s="12" t="inlineStr">
        <is>
          <t>G-P-0074</t>
        </is>
      </c>
      <c r="B3489" s="12" t="inlineStr">
        <is>
          <t>G</t>
        </is>
      </c>
      <c r="C3489" s="12" t="inlineStr">
        <is>
          <t>Carbon capture</t>
        </is>
      </c>
      <c r="D3489" s="12" t="inlineStr">
        <is>
          <t>480 V welding receptacle 1</t>
        </is>
      </c>
      <c r="E3489" s="12" t="inlineStr"/>
      <c r="F3489" s="12" t="inlineStr">
        <is>
          <t>CCS MV switchgear building (VFDs)</t>
        </is>
      </c>
      <c r="G3489" s="12" t="inlineStr">
        <is>
          <t>BF-B</t>
        </is>
      </c>
      <c r="H3489" s="12" t="inlineStr">
        <is>
          <t>BF-B: booster fan (~16 MW)</t>
        </is>
      </c>
      <c r="I3489" s="12" t="inlineStr">
        <is>
          <t>LV 600 V</t>
        </is>
      </c>
      <c r="J3489" s="12" t="inlineStr">
        <is>
          <t>Type TC-ER 600 V 3/C Cu XHHW-2 + ground, PVC jacket</t>
        </is>
      </c>
      <c r="K3489" s="12" t="inlineStr">
        <is>
          <t>LV|3/C+G|2</t>
        </is>
      </c>
      <c r="L3489" s="12" t="inlineStr">
        <is>
          <t>3/C+G</t>
        </is>
      </c>
      <c r="M3489" s="12" t="inlineStr">
        <is>
          <t>2</t>
        </is>
      </c>
      <c r="N3489" s="12" t="n">
        <v>1</v>
      </c>
      <c r="O3489" s="12" t="n">
        <v>1</v>
      </c>
      <c r="P3489" s="12" t="n">
        <v>480</v>
      </c>
      <c r="Q3489" s="12" t="n">
        <v>60</v>
      </c>
      <c r="R3489" s="12" t="n">
        <v>76</v>
      </c>
      <c r="S3489" s="12" t="inlineStr">
        <is>
          <t>Duct bank</t>
        </is>
      </c>
      <c r="T3489" s="16" t="n">
        <v>300</v>
      </c>
      <c r="U3489" s="16" t="n">
        <v>32</v>
      </c>
      <c r="V3489" s="16">
        <f>ROUNDUP((T3489+U3489+2*'Read Me'!$B$13)*(1+'Read Me'!$B$12),-1)</f>
        <v/>
      </c>
      <c r="W3489" s="16">
        <f>V3489*N3489*O3489</f>
        <v/>
      </c>
      <c r="X3489" s="12">
        <f>IF(LEFT(I3489,2)="MV",2*N3489*IF(L3489="1/C",O3489,1),0)</f>
        <v/>
      </c>
      <c r="Y3489" s="12">
        <f>IF(OR(LEFT(K3489,4)="LVAX",LEFT(K3489,6)="MV15AX",LEFT(K3489,4)="CTAX",LEFT(K3489,2)="W|"),2*N3489*O3489,0)</f>
        <v/>
      </c>
      <c r="Z3489" s="12" t="inlineStr">
        <is>
          <t>VD 1.9 %</t>
        </is>
      </c>
      <c r="AA3489" s="12">
        <f>N3489*O3489</f>
        <v/>
      </c>
    </row>
    <row r="3490">
      <c r="A3490" s="12" t="inlineStr">
        <is>
          <t>G-P-0075</t>
        </is>
      </c>
      <c r="B3490" s="12" t="inlineStr">
        <is>
          <t>G</t>
        </is>
      </c>
      <c r="C3490" s="12" t="inlineStr">
        <is>
          <t>Carbon capture</t>
        </is>
      </c>
      <c r="D3490" s="12" t="inlineStr">
        <is>
          <t>480 V welding receptacle 2</t>
        </is>
      </c>
      <c r="E3490" s="12" t="inlineStr"/>
      <c r="F3490" s="12" t="inlineStr">
        <is>
          <t>CCS MV switchgear building (VFDs)</t>
        </is>
      </c>
      <c r="G3490" s="12" t="inlineStr">
        <is>
          <t>BF-B</t>
        </is>
      </c>
      <c r="H3490" s="12" t="inlineStr">
        <is>
          <t>BF-B: booster fan (~16 MW)</t>
        </is>
      </c>
      <c r="I3490" s="12" t="inlineStr">
        <is>
          <t>LV 600 V</t>
        </is>
      </c>
      <c r="J3490" s="12" t="inlineStr">
        <is>
          <t>Type TC-ER 600 V 3/C Cu XHHW-2 + ground, PVC jacket</t>
        </is>
      </c>
      <c r="K3490" s="12" t="inlineStr">
        <is>
          <t>LV|3/C+G|2</t>
        </is>
      </c>
      <c r="L3490" s="12" t="inlineStr">
        <is>
          <t>3/C+G</t>
        </is>
      </c>
      <c r="M3490" s="12" t="inlineStr">
        <is>
          <t>2</t>
        </is>
      </c>
      <c r="N3490" s="12" t="n">
        <v>1</v>
      </c>
      <c r="O3490" s="12" t="n">
        <v>1</v>
      </c>
      <c r="P3490" s="12" t="n">
        <v>480</v>
      </c>
      <c r="Q3490" s="12" t="n">
        <v>60</v>
      </c>
      <c r="R3490" s="12" t="n">
        <v>76</v>
      </c>
      <c r="S3490" s="12" t="inlineStr">
        <is>
          <t>Duct bank</t>
        </is>
      </c>
      <c r="T3490" s="16" t="n">
        <v>300</v>
      </c>
      <c r="U3490" s="16" t="n">
        <v>32</v>
      </c>
      <c r="V3490" s="16">
        <f>ROUNDUP((T3490+U3490+2*'Read Me'!$B$13)*(1+'Read Me'!$B$12),-1)</f>
        <v/>
      </c>
      <c r="W3490" s="16">
        <f>V3490*N3490*O3490</f>
        <v/>
      </c>
      <c r="X3490" s="12">
        <f>IF(LEFT(I3490,2)="MV",2*N3490*IF(L3490="1/C",O3490,1),0)</f>
        <v/>
      </c>
      <c r="Y3490" s="12">
        <f>IF(OR(LEFT(K3490,4)="LVAX",LEFT(K3490,6)="MV15AX",LEFT(K3490,4)="CTAX",LEFT(K3490,2)="W|"),2*N3490*O3490,0)</f>
        <v/>
      </c>
      <c r="Z3490" s="12" t="inlineStr">
        <is>
          <t>VD 1.9 %</t>
        </is>
      </c>
      <c r="AA3490" s="12">
        <f>N3490*O3490</f>
        <v/>
      </c>
    </row>
    <row r="3491">
      <c r="A3491" s="12" t="inlineStr">
        <is>
          <t>G-P-0076</t>
        </is>
      </c>
      <c r="B3491" s="12" t="inlineStr">
        <is>
          <t>G</t>
        </is>
      </c>
      <c r="C3491" s="12" t="inlineStr">
        <is>
          <t>Carbon capture</t>
        </is>
      </c>
      <c r="D3491" s="12" t="inlineStr">
        <is>
          <t>480 V welding receptacle 3</t>
        </is>
      </c>
      <c r="E3491" s="12" t="inlineStr"/>
      <c r="F3491" s="12" t="inlineStr">
        <is>
          <t>CCS MV switchgear building (VFDs)</t>
        </is>
      </c>
      <c r="G3491" s="12" t="inlineStr">
        <is>
          <t>BF-B</t>
        </is>
      </c>
      <c r="H3491" s="12" t="inlineStr">
        <is>
          <t>BF-B: booster fan (~16 MW)</t>
        </is>
      </c>
      <c r="I3491" s="12" t="inlineStr">
        <is>
          <t>LV 600 V</t>
        </is>
      </c>
      <c r="J3491" s="12" t="inlineStr">
        <is>
          <t>Type TC-ER 600 V 3/C Cu XHHW-2 + ground, PVC jacket</t>
        </is>
      </c>
      <c r="K3491" s="12" t="inlineStr">
        <is>
          <t>LV|3/C+G|2</t>
        </is>
      </c>
      <c r="L3491" s="12" t="inlineStr">
        <is>
          <t>3/C+G</t>
        </is>
      </c>
      <c r="M3491" s="12" t="inlineStr">
        <is>
          <t>2</t>
        </is>
      </c>
      <c r="N3491" s="12" t="n">
        <v>1</v>
      </c>
      <c r="O3491" s="12" t="n">
        <v>1</v>
      </c>
      <c r="P3491" s="12" t="n">
        <v>480</v>
      </c>
      <c r="Q3491" s="12" t="n">
        <v>60</v>
      </c>
      <c r="R3491" s="12" t="n">
        <v>76</v>
      </c>
      <c r="S3491" s="12" t="inlineStr">
        <is>
          <t>Duct bank</t>
        </is>
      </c>
      <c r="T3491" s="16" t="n">
        <v>300</v>
      </c>
      <c r="U3491" s="16" t="n">
        <v>32</v>
      </c>
      <c r="V3491" s="16">
        <f>ROUNDUP((T3491+U3491+2*'Read Me'!$B$13)*(1+'Read Me'!$B$12),-1)</f>
        <v/>
      </c>
      <c r="W3491" s="16">
        <f>V3491*N3491*O3491</f>
        <v/>
      </c>
      <c r="X3491" s="12">
        <f>IF(LEFT(I3491,2)="MV",2*N3491*IF(L3491="1/C",O3491,1),0)</f>
        <v/>
      </c>
      <c r="Y3491" s="12">
        <f>IF(OR(LEFT(K3491,4)="LVAX",LEFT(K3491,6)="MV15AX",LEFT(K3491,4)="CTAX",LEFT(K3491,2)="W|"),2*N3491*O3491,0)</f>
        <v/>
      </c>
      <c r="Z3491" s="12" t="inlineStr">
        <is>
          <t>VD 1.9 %</t>
        </is>
      </c>
      <c r="AA3491" s="12">
        <f>N3491*O3491</f>
        <v/>
      </c>
    </row>
    <row r="3492">
      <c r="A3492" s="12" t="inlineStr">
        <is>
          <t>G-P-0077</t>
        </is>
      </c>
      <c r="B3492" s="12" t="inlineStr">
        <is>
          <t>G</t>
        </is>
      </c>
      <c r="C3492" s="12" t="inlineStr">
        <is>
          <t>Carbon capture</t>
        </is>
      </c>
      <c r="D3492" s="12" t="inlineStr">
        <is>
          <t>480 V welding receptacle 4</t>
        </is>
      </c>
      <c r="E3492" s="12" t="inlineStr"/>
      <c r="F3492" s="12" t="inlineStr">
        <is>
          <t>CCS MV switchgear building (VFDs)</t>
        </is>
      </c>
      <c r="G3492" s="12" t="inlineStr">
        <is>
          <t>BF-B</t>
        </is>
      </c>
      <c r="H3492" s="12" t="inlineStr">
        <is>
          <t>BF-B: booster fan (~16 MW)</t>
        </is>
      </c>
      <c r="I3492" s="12" t="inlineStr">
        <is>
          <t>LV 600 V</t>
        </is>
      </c>
      <c r="J3492" s="12" t="inlineStr">
        <is>
          <t>Type TC-ER 600 V 3/C Cu XHHW-2 + ground, PVC jacket</t>
        </is>
      </c>
      <c r="K3492" s="12" t="inlineStr">
        <is>
          <t>LV|3/C+G|2</t>
        </is>
      </c>
      <c r="L3492" s="12" t="inlineStr">
        <is>
          <t>3/C+G</t>
        </is>
      </c>
      <c r="M3492" s="12" t="inlineStr">
        <is>
          <t>2</t>
        </is>
      </c>
      <c r="N3492" s="12" t="n">
        <v>1</v>
      </c>
      <c r="O3492" s="12" t="n">
        <v>1</v>
      </c>
      <c r="P3492" s="12" t="n">
        <v>480</v>
      </c>
      <c r="Q3492" s="12" t="n">
        <v>60</v>
      </c>
      <c r="R3492" s="12" t="n">
        <v>76</v>
      </c>
      <c r="S3492" s="12" t="inlineStr">
        <is>
          <t>Duct bank</t>
        </is>
      </c>
      <c r="T3492" s="16" t="n">
        <v>300</v>
      </c>
      <c r="U3492" s="16" t="n">
        <v>32</v>
      </c>
      <c r="V3492" s="16">
        <f>ROUNDUP((T3492+U3492+2*'Read Me'!$B$13)*(1+'Read Me'!$B$12),-1)</f>
        <v/>
      </c>
      <c r="W3492" s="16">
        <f>V3492*N3492*O3492</f>
        <v/>
      </c>
      <c r="X3492" s="12">
        <f>IF(LEFT(I3492,2)="MV",2*N3492*IF(L3492="1/C",O3492,1),0)</f>
        <v/>
      </c>
      <c r="Y3492" s="12">
        <f>IF(OR(LEFT(K3492,4)="LVAX",LEFT(K3492,6)="MV15AX",LEFT(K3492,4)="CTAX",LEFT(K3492,2)="W|"),2*N3492*O3492,0)</f>
        <v/>
      </c>
      <c r="Z3492" s="12" t="inlineStr">
        <is>
          <t>VD 1.9 %</t>
        </is>
      </c>
      <c r="AA3492" s="12">
        <f>N3492*O3492</f>
        <v/>
      </c>
    </row>
    <row r="3493">
      <c r="A3493" s="12" t="inlineStr">
        <is>
          <t>G-P-0078</t>
        </is>
      </c>
      <c r="B3493" s="12" t="inlineStr">
        <is>
          <t>G</t>
        </is>
      </c>
      <c r="C3493" s="12" t="inlineStr">
        <is>
          <t>Carbon capture</t>
        </is>
      </c>
      <c r="D3493" s="12" t="inlineStr">
        <is>
          <t>Motor 1 of 4, 15 kW</t>
        </is>
      </c>
      <c r="E3493" s="12" t="inlineStr"/>
      <c r="F3493" s="12" t="inlineStr">
        <is>
          <t>CCS MV switchgear building (VFDs)</t>
        </is>
      </c>
      <c r="G3493" s="12" t="inlineStr">
        <is>
          <t>BF-C</t>
        </is>
      </c>
      <c r="H3493" s="12" t="inlineStr">
        <is>
          <t>BF-C: booster fan (~16 MW)</t>
        </is>
      </c>
      <c r="I3493" s="12" t="inlineStr">
        <is>
          <t>LV 600 V</t>
        </is>
      </c>
      <c r="J3493" s="12" t="inlineStr">
        <is>
          <t>Type TC-ER 600 V 3/C Cu XHHW-2 + ground, PVC jacket</t>
        </is>
      </c>
      <c r="K3493" s="12" t="inlineStr">
        <is>
          <t>LV|3/C+G|10</t>
        </is>
      </c>
      <c r="L3493" s="12" t="inlineStr">
        <is>
          <t>3/C+G</t>
        </is>
      </c>
      <c r="M3493" s="12" t="inlineStr">
        <is>
          <t>10</t>
        </is>
      </c>
      <c r="N3493" s="12" t="n">
        <v>1</v>
      </c>
      <c r="O3493" s="12" t="n">
        <v>1</v>
      </c>
      <c r="P3493" s="12" t="n">
        <v>480</v>
      </c>
      <c r="Q3493" s="12" t="n">
        <v>15</v>
      </c>
      <c r="R3493" s="12" t="n">
        <v>21.2</v>
      </c>
      <c r="S3493" s="12" t="inlineStr">
        <is>
          <t>Tray</t>
        </is>
      </c>
      <c r="T3493" s="16" t="n">
        <v>16</v>
      </c>
      <c r="U3493" s="16" t="n">
        <v>150</v>
      </c>
      <c r="V3493" s="16">
        <f>ROUNDUP((T3493+U3493+2*'Read Me'!$B$13)*(1+'Read Me'!$B$12),-1)</f>
        <v/>
      </c>
      <c r="W3493" s="16">
        <f>V3493*N3493*O3493</f>
        <v/>
      </c>
      <c r="X3493" s="12">
        <f>IF(LEFT(I3493,2)="MV",2*N3493*IF(L3493="1/C",O3493,1),0)</f>
        <v/>
      </c>
      <c r="Y3493" s="12">
        <f>IF(OR(LEFT(K3493,4)="LVAX",LEFT(K3493,6)="MV15AX",LEFT(K3493,4)="CTAX",LEFT(K3493,2)="W|"),2*N3493*O3493,0)</f>
        <v/>
      </c>
      <c r="Z3493" s="12" t="inlineStr">
        <is>
          <t>VD 1.7 %</t>
        </is>
      </c>
      <c r="AA3493" s="12">
        <f>N3493*O3493</f>
        <v/>
      </c>
    </row>
    <row r="3494">
      <c r="A3494" s="12" t="inlineStr">
        <is>
          <t>G-P-0079</t>
        </is>
      </c>
      <c r="B3494" s="12" t="inlineStr">
        <is>
          <t>G</t>
        </is>
      </c>
      <c r="C3494" s="12" t="inlineStr">
        <is>
          <t>Carbon capture</t>
        </is>
      </c>
      <c r="D3494" s="12" t="inlineStr">
        <is>
          <t>Motor 2 of 4, 15 kW</t>
        </is>
      </c>
      <c r="E3494" s="12" t="inlineStr"/>
      <c r="F3494" s="12" t="inlineStr">
        <is>
          <t>CCS MV switchgear building (VFDs)</t>
        </is>
      </c>
      <c r="G3494" s="12" t="inlineStr">
        <is>
          <t>BF-C</t>
        </is>
      </c>
      <c r="H3494" s="12" t="inlineStr">
        <is>
          <t>BF-C: booster fan (~16 MW)</t>
        </is>
      </c>
      <c r="I3494" s="12" t="inlineStr">
        <is>
          <t>LV 600 V</t>
        </is>
      </c>
      <c r="J3494" s="12" t="inlineStr">
        <is>
          <t>Type TC-ER 600 V 3/C Cu XHHW-2 + ground, PVC jacket</t>
        </is>
      </c>
      <c r="K3494" s="12" t="inlineStr">
        <is>
          <t>LV|3/C+G|10</t>
        </is>
      </c>
      <c r="L3494" s="12" t="inlineStr">
        <is>
          <t>3/C+G</t>
        </is>
      </c>
      <c r="M3494" s="12" t="inlineStr">
        <is>
          <t>10</t>
        </is>
      </c>
      <c r="N3494" s="12" t="n">
        <v>1</v>
      </c>
      <c r="O3494" s="12" t="n">
        <v>1</v>
      </c>
      <c r="P3494" s="12" t="n">
        <v>480</v>
      </c>
      <c r="Q3494" s="12" t="n">
        <v>15</v>
      </c>
      <c r="R3494" s="12" t="n">
        <v>21.2</v>
      </c>
      <c r="S3494" s="12" t="inlineStr">
        <is>
          <t>Tray</t>
        </is>
      </c>
      <c r="T3494" s="16" t="n">
        <v>16</v>
      </c>
      <c r="U3494" s="16" t="n">
        <v>150</v>
      </c>
      <c r="V3494" s="16">
        <f>ROUNDUP((T3494+U3494+2*'Read Me'!$B$13)*(1+'Read Me'!$B$12),-1)</f>
        <v/>
      </c>
      <c r="W3494" s="16">
        <f>V3494*N3494*O3494</f>
        <v/>
      </c>
      <c r="X3494" s="12">
        <f>IF(LEFT(I3494,2)="MV",2*N3494*IF(L3494="1/C",O3494,1),0)</f>
        <v/>
      </c>
      <c r="Y3494" s="12">
        <f>IF(OR(LEFT(K3494,4)="LVAX",LEFT(K3494,6)="MV15AX",LEFT(K3494,4)="CTAX",LEFT(K3494,2)="W|"),2*N3494*O3494,0)</f>
        <v/>
      </c>
      <c r="Z3494" s="12" t="inlineStr">
        <is>
          <t>VD 1.7 %</t>
        </is>
      </c>
      <c r="AA3494" s="12">
        <f>N3494*O3494</f>
        <v/>
      </c>
    </row>
    <row r="3495">
      <c r="A3495" s="12" t="inlineStr">
        <is>
          <t>G-P-0080</t>
        </is>
      </c>
      <c r="B3495" s="12" t="inlineStr">
        <is>
          <t>G</t>
        </is>
      </c>
      <c r="C3495" s="12" t="inlineStr">
        <is>
          <t>Carbon capture</t>
        </is>
      </c>
      <c r="D3495" s="12" t="inlineStr">
        <is>
          <t>Motor 3 of 4, 15 kW</t>
        </is>
      </c>
      <c r="E3495" s="12" t="inlineStr"/>
      <c r="F3495" s="12" t="inlineStr">
        <is>
          <t>CCS MV switchgear building (VFDs)</t>
        </is>
      </c>
      <c r="G3495" s="12" t="inlineStr">
        <is>
          <t>BF-C</t>
        </is>
      </c>
      <c r="H3495" s="12" t="inlineStr">
        <is>
          <t>BF-C: booster fan (~16 MW)</t>
        </is>
      </c>
      <c r="I3495" s="12" t="inlineStr">
        <is>
          <t>LV 600 V</t>
        </is>
      </c>
      <c r="J3495" s="12" t="inlineStr">
        <is>
          <t>Type TC-ER 600 V 3/C Cu XHHW-2 + ground, PVC jacket</t>
        </is>
      </c>
      <c r="K3495" s="12" t="inlineStr">
        <is>
          <t>LV|3/C+G|10</t>
        </is>
      </c>
      <c r="L3495" s="12" t="inlineStr">
        <is>
          <t>3/C+G</t>
        </is>
      </c>
      <c r="M3495" s="12" t="inlineStr">
        <is>
          <t>10</t>
        </is>
      </c>
      <c r="N3495" s="12" t="n">
        <v>1</v>
      </c>
      <c r="O3495" s="12" t="n">
        <v>1</v>
      </c>
      <c r="P3495" s="12" t="n">
        <v>480</v>
      </c>
      <c r="Q3495" s="12" t="n">
        <v>15</v>
      </c>
      <c r="R3495" s="12" t="n">
        <v>21.2</v>
      </c>
      <c r="S3495" s="12" t="inlineStr">
        <is>
          <t>Tray</t>
        </is>
      </c>
      <c r="T3495" s="16" t="n">
        <v>16</v>
      </c>
      <c r="U3495" s="16" t="n">
        <v>150</v>
      </c>
      <c r="V3495" s="16">
        <f>ROUNDUP((T3495+U3495+2*'Read Me'!$B$13)*(1+'Read Me'!$B$12),-1)</f>
        <v/>
      </c>
      <c r="W3495" s="16">
        <f>V3495*N3495*O3495</f>
        <v/>
      </c>
      <c r="X3495" s="12">
        <f>IF(LEFT(I3495,2)="MV",2*N3495*IF(L3495="1/C",O3495,1),0)</f>
        <v/>
      </c>
      <c r="Y3495" s="12">
        <f>IF(OR(LEFT(K3495,4)="LVAX",LEFT(K3495,6)="MV15AX",LEFT(K3495,4)="CTAX",LEFT(K3495,2)="W|"),2*N3495*O3495,0)</f>
        <v/>
      </c>
      <c r="Z3495" s="12" t="inlineStr">
        <is>
          <t>VD 1.7 %</t>
        </is>
      </c>
      <c r="AA3495" s="12">
        <f>N3495*O3495</f>
        <v/>
      </c>
    </row>
    <row r="3496">
      <c r="A3496" s="12" t="inlineStr">
        <is>
          <t>G-P-0081</t>
        </is>
      </c>
      <c r="B3496" s="12" t="inlineStr">
        <is>
          <t>G</t>
        </is>
      </c>
      <c r="C3496" s="12" t="inlineStr">
        <is>
          <t>Carbon capture</t>
        </is>
      </c>
      <c r="D3496" s="12" t="inlineStr">
        <is>
          <t>Motor 4 of 4, 15 kW</t>
        </is>
      </c>
      <c r="E3496" s="12" t="inlineStr"/>
      <c r="F3496" s="12" t="inlineStr">
        <is>
          <t>CCS MV switchgear building (VFDs)</t>
        </is>
      </c>
      <c r="G3496" s="12" t="inlineStr">
        <is>
          <t>BF-C</t>
        </is>
      </c>
      <c r="H3496" s="12" t="inlineStr">
        <is>
          <t>BF-C: booster fan (~16 MW)</t>
        </is>
      </c>
      <c r="I3496" s="12" t="inlineStr">
        <is>
          <t>LV 600 V</t>
        </is>
      </c>
      <c r="J3496" s="12" t="inlineStr">
        <is>
          <t>Type TC-ER 600 V 3/C Cu XHHW-2 + ground, PVC jacket</t>
        </is>
      </c>
      <c r="K3496" s="12" t="inlineStr">
        <is>
          <t>LV|3/C+G|10</t>
        </is>
      </c>
      <c r="L3496" s="12" t="inlineStr">
        <is>
          <t>3/C+G</t>
        </is>
      </c>
      <c r="M3496" s="12" t="inlineStr">
        <is>
          <t>10</t>
        </is>
      </c>
      <c r="N3496" s="12" t="n">
        <v>1</v>
      </c>
      <c r="O3496" s="12" t="n">
        <v>1</v>
      </c>
      <c r="P3496" s="12" t="n">
        <v>480</v>
      </c>
      <c r="Q3496" s="12" t="n">
        <v>15</v>
      </c>
      <c r="R3496" s="12" t="n">
        <v>21.2</v>
      </c>
      <c r="S3496" s="12" t="inlineStr">
        <is>
          <t>Tray</t>
        </is>
      </c>
      <c r="T3496" s="16" t="n">
        <v>16</v>
      </c>
      <c r="U3496" s="16" t="n">
        <v>150</v>
      </c>
      <c r="V3496" s="16">
        <f>ROUNDUP((T3496+U3496+2*'Read Me'!$B$13)*(1+'Read Me'!$B$12),-1)</f>
        <v/>
      </c>
      <c r="W3496" s="16">
        <f>V3496*N3496*O3496</f>
        <v/>
      </c>
      <c r="X3496" s="12">
        <f>IF(LEFT(I3496,2)="MV",2*N3496*IF(L3496="1/C",O3496,1),0)</f>
        <v/>
      </c>
      <c r="Y3496" s="12">
        <f>IF(OR(LEFT(K3496,4)="LVAX",LEFT(K3496,6)="MV15AX",LEFT(K3496,4)="CTAX",LEFT(K3496,2)="W|"),2*N3496*O3496,0)</f>
        <v/>
      </c>
      <c r="Z3496" s="12" t="inlineStr">
        <is>
          <t>VD 1.7 %</t>
        </is>
      </c>
      <c r="AA3496" s="12">
        <f>N3496*O3496</f>
        <v/>
      </c>
    </row>
    <row r="3497">
      <c r="A3497" s="12" t="inlineStr">
        <is>
          <t>G-P-0082</t>
        </is>
      </c>
      <c r="B3497" s="12" t="inlineStr">
        <is>
          <t>G</t>
        </is>
      </c>
      <c r="C3497" s="12" t="inlineStr">
        <is>
          <t>Carbon capture</t>
        </is>
      </c>
      <c r="D3497" s="12" t="inlineStr">
        <is>
          <t>480 V welding receptacle 1</t>
        </is>
      </c>
      <c r="E3497" s="12" t="inlineStr"/>
      <c r="F3497" s="12" t="inlineStr">
        <is>
          <t>CCS MV switchgear building (VFDs)</t>
        </is>
      </c>
      <c r="G3497" s="12" t="inlineStr">
        <is>
          <t>BF-C</t>
        </is>
      </c>
      <c r="H3497" s="12" t="inlineStr">
        <is>
          <t>BF-C: booster fan (~16 MW)</t>
        </is>
      </c>
      <c r="I3497" s="12" t="inlineStr">
        <is>
          <t>LV 600 V</t>
        </is>
      </c>
      <c r="J3497" s="12" t="inlineStr">
        <is>
          <t>Type TC-ER 600 V 3/C Cu XHHW-2 + ground, PVC jacket</t>
        </is>
      </c>
      <c r="K3497" s="12" t="inlineStr">
        <is>
          <t>LV|3/C+G|2</t>
        </is>
      </c>
      <c r="L3497" s="12" t="inlineStr">
        <is>
          <t>3/C+G</t>
        </is>
      </c>
      <c r="M3497" s="12" t="inlineStr">
        <is>
          <t>2</t>
        </is>
      </c>
      <c r="N3497" s="12" t="n">
        <v>1</v>
      </c>
      <c r="O3497" s="12" t="n">
        <v>1</v>
      </c>
      <c r="P3497" s="12" t="n">
        <v>480</v>
      </c>
      <c r="Q3497" s="12" t="n">
        <v>60</v>
      </c>
      <c r="R3497" s="12" t="n">
        <v>76</v>
      </c>
      <c r="S3497" s="12" t="inlineStr">
        <is>
          <t>Tray</t>
        </is>
      </c>
      <c r="T3497" s="16" t="n">
        <v>16</v>
      </c>
      <c r="U3497" s="16" t="n">
        <v>150</v>
      </c>
      <c r="V3497" s="16">
        <f>ROUNDUP((T3497+U3497+2*'Read Me'!$B$13)*(1+'Read Me'!$B$12),-1)</f>
        <v/>
      </c>
      <c r="W3497" s="16">
        <f>V3497*N3497*O3497</f>
        <v/>
      </c>
      <c r="X3497" s="12">
        <f>IF(LEFT(I3497,2)="MV",2*N3497*IF(L3497="1/C",O3497,1),0)</f>
        <v/>
      </c>
      <c r="Y3497" s="12">
        <f>IF(OR(LEFT(K3497,4)="LVAX",LEFT(K3497,6)="MV15AX",LEFT(K3497,4)="CTAX",LEFT(K3497,2)="W|"),2*N3497*O3497,0)</f>
        <v/>
      </c>
      <c r="Z3497" s="12" t="inlineStr">
        <is>
          <t>VD 1.0 %</t>
        </is>
      </c>
      <c r="AA3497" s="12">
        <f>N3497*O3497</f>
        <v/>
      </c>
    </row>
    <row r="3498">
      <c r="A3498" s="12" t="inlineStr">
        <is>
          <t>G-P-0083</t>
        </is>
      </c>
      <c r="B3498" s="12" t="inlineStr">
        <is>
          <t>G</t>
        </is>
      </c>
      <c r="C3498" s="12" t="inlineStr">
        <is>
          <t>Carbon capture</t>
        </is>
      </c>
      <c r="D3498" s="12" t="inlineStr">
        <is>
          <t>480 V welding receptacle 2</t>
        </is>
      </c>
      <c r="E3498" s="12" t="inlineStr"/>
      <c r="F3498" s="12" t="inlineStr">
        <is>
          <t>CCS MV switchgear building (VFDs)</t>
        </is>
      </c>
      <c r="G3498" s="12" t="inlineStr">
        <is>
          <t>BF-C</t>
        </is>
      </c>
      <c r="H3498" s="12" t="inlineStr">
        <is>
          <t>BF-C: booster fan (~16 MW)</t>
        </is>
      </c>
      <c r="I3498" s="12" t="inlineStr">
        <is>
          <t>LV 600 V</t>
        </is>
      </c>
      <c r="J3498" s="12" t="inlineStr">
        <is>
          <t>Type TC-ER 600 V 3/C Cu XHHW-2 + ground, PVC jacket</t>
        </is>
      </c>
      <c r="K3498" s="12" t="inlineStr">
        <is>
          <t>LV|3/C+G|2</t>
        </is>
      </c>
      <c r="L3498" s="12" t="inlineStr">
        <is>
          <t>3/C+G</t>
        </is>
      </c>
      <c r="M3498" s="12" t="inlineStr">
        <is>
          <t>2</t>
        </is>
      </c>
      <c r="N3498" s="12" t="n">
        <v>1</v>
      </c>
      <c r="O3498" s="12" t="n">
        <v>1</v>
      </c>
      <c r="P3498" s="12" t="n">
        <v>480</v>
      </c>
      <c r="Q3498" s="12" t="n">
        <v>60</v>
      </c>
      <c r="R3498" s="12" t="n">
        <v>76</v>
      </c>
      <c r="S3498" s="12" t="inlineStr">
        <is>
          <t>Tray</t>
        </is>
      </c>
      <c r="T3498" s="16" t="n">
        <v>16</v>
      </c>
      <c r="U3498" s="16" t="n">
        <v>150</v>
      </c>
      <c r="V3498" s="16">
        <f>ROUNDUP((T3498+U3498+2*'Read Me'!$B$13)*(1+'Read Me'!$B$12),-1)</f>
        <v/>
      </c>
      <c r="W3498" s="16">
        <f>V3498*N3498*O3498</f>
        <v/>
      </c>
      <c r="X3498" s="12">
        <f>IF(LEFT(I3498,2)="MV",2*N3498*IF(L3498="1/C",O3498,1),0)</f>
        <v/>
      </c>
      <c r="Y3498" s="12">
        <f>IF(OR(LEFT(K3498,4)="LVAX",LEFT(K3498,6)="MV15AX",LEFT(K3498,4)="CTAX",LEFT(K3498,2)="W|"),2*N3498*O3498,0)</f>
        <v/>
      </c>
      <c r="Z3498" s="12" t="inlineStr">
        <is>
          <t>VD 1.0 %</t>
        </is>
      </c>
      <c r="AA3498" s="12">
        <f>N3498*O3498</f>
        <v/>
      </c>
    </row>
    <row r="3499">
      <c r="A3499" s="12" t="inlineStr">
        <is>
          <t>G-P-0084</t>
        </is>
      </c>
      <c r="B3499" s="12" t="inlineStr">
        <is>
          <t>G</t>
        </is>
      </c>
      <c r="C3499" s="12" t="inlineStr">
        <is>
          <t>Carbon capture</t>
        </is>
      </c>
      <c r="D3499" s="12" t="inlineStr">
        <is>
          <t>480 V welding receptacle 3</t>
        </is>
      </c>
      <c r="E3499" s="12" t="inlineStr"/>
      <c r="F3499" s="12" t="inlineStr">
        <is>
          <t>CCS MV switchgear building (VFDs)</t>
        </is>
      </c>
      <c r="G3499" s="12" t="inlineStr">
        <is>
          <t>BF-C</t>
        </is>
      </c>
      <c r="H3499" s="12" t="inlineStr">
        <is>
          <t>BF-C: booster fan (~16 MW)</t>
        </is>
      </c>
      <c r="I3499" s="12" t="inlineStr">
        <is>
          <t>LV 600 V</t>
        </is>
      </c>
      <c r="J3499" s="12" t="inlineStr">
        <is>
          <t>Type TC-ER 600 V 3/C Cu XHHW-2 + ground, PVC jacket</t>
        </is>
      </c>
      <c r="K3499" s="12" t="inlineStr">
        <is>
          <t>LV|3/C+G|2</t>
        </is>
      </c>
      <c r="L3499" s="12" t="inlineStr">
        <is>
          <t>3/C+G</t>
        </is>
      </c>
      <c r="M3499" s="12" t="inlineStr">
        <is>
          <t>2</t>
        </is>
      </c>
      <c r="N3499" s="12" t="n">
        <v>1</v>
      </c>
      <c r="O3499" s="12" t="n">
        <v>1</v>
      </c>
      <c r="P3499" s="12" t="n">
        <v>480</v>
      </c>
      <c r="Q3499" s="12" t="n">
        <v>60</v>
      </c>
      <c r="R3499" s="12" t="n">
        <v>76</v>
      </c>
      <c r="S3499" s="12" t="inlineStr">
        <is>
          <t>Tray</t>
        </is>
      </c>
      <c r="T3499" s="16" t="n">
        <v>16</v>
      </c>
      <c r="U3499" s="16" t="n">
        <v>150</v>
      </c>
      <c r="V3499" s="16">
        <f>ROUNDUP((T3499+U3499+2*'Read Me'!$B$13)*(1+'Read Me'!$B$12),-1)</f>
        <v/>
      </c>
      <c r="W3499" s="16">
        <f>V3499*N3499*O3499</f>
        <v/>
      </c>
      <c r="X3499" s="12">
        <f>IF(LEFT(I3499,2)="MV",2*N3499*IF(L3499="1/C",O3499,1),0)</f>
        <v/>
      </c>
      <c r="Y3499" s="12">
        <f>IF(OR(LEFT(K3499,4)="LVAX",LEFT(K3499,6)="MV15AX",LEFT(K3499,4)="CTAX",LEFT(K3499,2)="W|"),2*N3499*O3499,0)</f>
        <v/>
      </c>
      <c r="Z3499" s="12" t="inlineStr">
        <is>
          <t>VD 1.0 %</t>
        </is>
      </c>
      <c r="AA3499" s="12">
        <f>N3499*O3499</f>
        <v/>
      </c>
    </row>
    <row r="3500">
      <c r="A3500" s="12" t="inlineStr">
        <is>
          <t>G-P-0085</t>
        </is>
      </c>
      <c r="B3500" s="12" t="inlineStr">
        <is>
          <t>G</t>
        </is>
      </c>
      <c r="C3500" s="12" t="inlineStr">
        <is>
          <t>Carbon capture</t>
        </is>
      </c>
      <c r="D3500" s="12" t="inlineStr">
        <is>
          <t>480 V welding receptacle 4</t>
        </is>
      </c>
      <c r="E3500" s="12" t="inlineStr"/>
      <c r="F3500" s="12" t="inlineStr">
        <is>
          <t>CCS MV switchgear building (VFDs)</t>
        </is>
      </c>
      <c r="G3500" s="12" t="inlineStr">
        <is>
          <t>BF-C</t>
        </is>
      </c>
      <c r="H3500" s="12" t="inlineStr">
        <is>
          <t>BF-C: booster fan (~16 MW)</t>
        </is>
      </c>
      <c r="I3500" s="12" t="inlineStr">
        <is>
          <t>LV 600 V</t>
        </is>
      </c>
      <c r="J3500" s="12" t="inlineStr">
        <is>
          <t>Type TC-ER 600 V 3/C Cu XHHW-2 + ground, PVC jacket</t>
        </is>
      </c>
      <c r="K3500" s="12" t="inlineStr">
        <is>
          <t>LV|3/C+G|2</t>
        </is>
      </c>
      <c r="L3500" s="12" t="inlineStr">
        <is>
          <t>3/C+G</t>
        </is>
      </c>
      <c r="M3500" s="12" t="inlineStr">
        <is>
          <t>2</t>
        </is>
      </c>
      <c r="N3500" s="12" t="n">
        <v>1</v>
      </c>
      <c r="O3500" s="12" t="n">
        <v>1</v>
      </c>
      <c r="P3500" s="12" t="n">
        <v>480</v>
      </c>
      <c r="Q3500" s="12" t="n">
        <v>60</v>
      </c>
      <c r="R3500" s="12" t="n">
        <v>76</v>
      </c>
      <c r="S3500" s="12" t="inlineStr">
        <is>
          <t>Tray</t>
        </is>
      </c>
      <c r="T3500" s="16" t="n">
        <v>16</v>
      </c>
      <c r="U3500" s="16" t="n">
        <v>150</v>
      </c>
      <c r="V3500" s="16">
        <f>ROUNDUP((T3500+U3500+2*'Read Me'!$B$13)*(1+'Read Me'!$B$12),-1)</f>
        <v/>
      </c>
      <c r="W3500" s="16">
        <f>V3500*N3500*O3500</f>
        <v/>
      </c>
      <c r="X3500" s="12">
        <f>IF(LEFT(I3500,2)="MV",2*N3500*IF(L3500="1/C",O3500,1),0)</f>
        <v/>
      </c>
      <c r="Y3500" s="12">
        <f>IF(OR(LEFT(K3500,4)="LVAX",LEFT(K3500,6)="MV15AX",LEFT(K3500,4)="CTAX",LEFT(K3500,2)="W|"),2*N3500*O3500,0)</f>
        <v/>
      </c>
      <c r="Z3500" s="12" t="inlineStr">
        <is>
          <t>VD 1.0 %</t>
        </is>
      </c>
      <c r="AA3500" s="12">
        <f>N3500*O3500</f>
        <v/>
      </c>
    </row>
    <row r="3501">
      <c r="A3501" s="12" t="inlineStr">
        <is>
          <t>G-P-0086</t>
        </is>
      </c>
      <c r="B3501" s="12" t="inlineStr">
        <is>
          <t>G</t>
        </is>
      </c>
      <c r="C3501" s="12" t="inlineStr">
        <is>
          <t>Carbon capture</t>
        </is>
      </c>
      <c r="D3501" s="12" t="inlineStr">
        <is>
          <t>LV panel / distribution feeder</t>
        </is>
      </c>
      <c r="E3501" s="12" t="inlineStr"/>
      <c r="F3501" s="12" t="inlineStr">
        <is>
          <t>CCS MV switchgear building (VFDs)</t>
        </is>
      </c>
      <c r="G3501" s="12" t="inlineStr"/>
      <c r="H3501" s="12" t="inlineStr">
        <is>
          <t>CCS F&amp;G / control</t>
        </is>
      </c>
      <c r="I3501" s="12" t="inlineStr">
        <is>
          <t>LV 600 V</t>
        </is>
      </c>
      <c r="J3501" s="12" t="inlineStr">
        <is>
          <t>Type TC-ER 600 V 3/C Cu XHHW-2 + ground, PVC jacket</t>
        </is>
      </c>
      <c r="K3501" s="12" t="inlineStr">
        <is>
          <t>LV|3/C+G|4</t>
        </is>
      </c>
      <c r="L3501" s="12" t="inlineStr">
        <is>
          <t>3/C+G</t>
        </is>
      </c>
      <c r="M3501" s="12" t="inlineStr">
        <is>
          <t>4</t>
        </is>
      </c>
      <c r="N3501" s="12" t="n">
        <v>1</v>
      </c>
      <c r="O3501" s="12" t="n">
        <v>1</v>
      </c>
      <c r="P3501" s="12" t="n">
        <v>480</v>
      </c>
      <c r="Q3501" s="12" t="n">
        <v>40</v>
      </c>
      <c r="R3501" s="12" t="n">
        <v>56.6</v>
      </c>
      <c r="S3501" s="12" t="inlineStr">
        <is>
          <t>Duct bank</t>
        </is>
      </c>
      <c r="T3501" s="16" t="n">
        <v>206</v>
      </c>
      <c r="U3501" s="16" t="n">
        <v>101</v>
      </c>
      <c r="V3501" s="16">
        <f>ROUNDUP((T3501+U3501+2*'Read Me'!$B$13)*(1+'Read Me'!$B$12),-1)</f>
        <v/>
      </c>
      <c r="W3501" s="16">
        <f>V3501*N3501*O3501</f>
        <v/>
      </c>
      <c r="X3501" s="12">
        <f>IF(LEFT(I3501,2)="MV",2*N3501*IF(L3501="1/C",O3501,1),0)</f>
        <v/>
      </c>
      <c r="Y3501" s="12">
        <f>IF(OR(LEFT(K3501,4)="LVAX",LEFT(K3501,6)="MV15AX",LEFT(K3501,4)="CTAX",LEFT(K3501,2)="W|"),2*N3501*O3501,0)</f>
        <v/>
      </c>
      <c r="Z3501" s="12" t="inlineStr">
        <is>
          <t>VD 2.1 %</t>
        </is>
      </c>
      <c r="AA3501" s="12">
        <f>N3501*O3501</f>
        <v/>
      </c>
    </row>
    <row r="3502">
      <c r="A3502" s="12" t="inlineStr">
        <is>
          <t>G-P-0087</t>
        </is>
      </c>
      <c r="B3502" s="12" t="inlineStr">
        <is>
          <t>G</t>
        </is>
      </c>
      <c r="C3502" s="12" t="inlineStr">
        <is>
          <t>Carbon capture</t>
        </is>
      </c>
      <c r="D3502" s="12" t="inlineStr">
        <is>
          <t>LV panel / distribution feeder</t>
        </is>
      </c>
      <c r="E3502" s="12" t="inlineStr"/>
      <c r="F3502" s="12" t="inlineStr">
        <is>
          <t>CCS MV switchgear building (VFDs)</t>
        </is>
      </c>
      <c r="G3502" s="12" t="inlineStr"/>
      <c r="H3502" s="12" t="inlineStr">
        <is>
          <t>CCS MV switchgear building (VFDs)</t>
        </is>
      </c>
      <c r="I3502" s="12" t="inlineStr">
        <is>
          <t>LV 600 V</t>
        </is>
      </c>
      <c r="J3502" s="12" t="inlineStr">
        <is>
          <t>Type TC-ER 600 V 3/C Cu XHHW-2 + ground, PVC jacket</t>
        </is>
      </c>
      <c r="K3502" s="12" t="inlineStr">
        <is>
          <t>LV|3/C+G|3/0</t>
        </is>
      </c>
      <c r="L3502" s="12" t="inlineStr">
        <is>
          <t>3/C+G</t>
        </is>
      </c>
      <c r="M3502" s="12" t="inlineStr">
        <is>
          <t>3/0</t>
        </is>
      </c>
      <c r="N3502" s="12" t="n">
        <v>1</v>
      </c>
      <c r="O3502" s="12" t="n">
        <v>1</v>
      </c>
      <c r="P3502" s="12" t="n">
        <v>480</v>
      </c>
      <c r="Q3502" s="12" t="n">
        <v>109</v>
      </c>
      <c r="R3502" s="12" t="n">
        <v>154.2</v>
      </c>
      <c r="S3502" s="12" t="inlineStr">
        <is>
          <t>Tray</t>
        </is>
      </c>
      <c r="T3502" s="16" t="n">
        <v>0</v>
      </c>
      <c r="U3502" s="16" t="n">
        <v>32</v>
      </c>
      <c r="V3502" s="16">
        <f>ROUNDUP((T3502+U3502+2*'Read Me'!$B$13)*(1+'Read Me'!$B$12),-1)</f>
        <v/>
      </c>
      <c r="W3502" s="16">
        <f>V3502*N3502*O3502</f>
        <v/>
      </c>
      <c r="X3502" s="12">
        <f>IF(LEFT(I3502,2)="MV",2*N3502*IF(L3502="1/C",O3502,1),0)</f>
        <v/>
      </c>
      <c r="Y3502" s="12">
        <f>IF(OR(LEFT(K3502,4)="LVAX",LEFT(K3502,6)="MV15AX",LEFT(K3502,4)="CTAX",LEFT(K3502,2)="W|"),2*N3502*O3502,0)</f>
        <v/>
      </c>
      <c r="Z3502" s="12" t="inlineStr">
        <is>
          <t>VD 0.2 %</t>
        </is>
      </c>
      <c r="AA3502" s="12">
        <f>N3502*O3502</f>
        <v/>
      </c>
    </row>
    <row r="3503">
      <c r="A3503" s="12" t="inlineStr">
        <is>
          <t>G-P-0088</t>
        </is>
      </c>
      <c r="B3503" s="12" t="inlineStr">
        <is>
          <t>G</t>
        </is>
      </c>
      <c r="C3503" s="12" t="inlineStr">
        <is>
          <t>Carbon capture</t>
        </is>
      </c>
      <c r="D3503" s="12" t="inlineStr">
        <is>
          <t>Motor 1 of 6, 2 kW</t>
        </is>
      </c>
      <c r="E3503" s="12" t="inlineStr"/>
      <c r="F3503" s="12" t="inlineStr">
        <is>
          <t>CCS MV switchgear building (VFDs)</t>
        </is>
      </c>
      <c r="G3503" s="12" t="inlineStr">
        <is>
          <t>CCS T-1</t>
        </is>
      </c>
      <c r="H3503" s="12" t="inlineStr">
        <is>
          <t>CCS T-1: 230/13.8 kV</t>
        </is>
      </c>
      <c r="I3503" s="12" t="inlineStr">
        <is>
          <t>LV 600 V</t>
        </is>
      </c>
      <c r="J3503" s="12" t="inlineStr">
        <is>
          <t>Type TC-ER 600 V 3/C Cu XHHW-2 + ground, PVC jacket</t>
        </is>
      </c>
      <c r="K3503" s="12" t="inlineStr">
        <is>
          <t>LV|3/C+G|10</t>
        </is>
      </c>
      <c r="L3503" s="12" t="inlineStr">
        <is>
          <t>3/C+G</t>
        </is>
      </c>
      <c r="M3503" s="12" t="inlineStr">
        <is>
          <t>10</t>
        </is>
      </c>
      <c r="N3503" s="12" t="n">
        <v>1</v>
      </c>
      <c r="O3503" s="12" t="n">
        <v>1</v>
      </c>
      <c r="P3503" s="12" t="n">
        <v>480</v>
      </c>
      <c r="Q3503" s="12" t="n">
        <v>2</v>
      </c>
      <c r="R3503" s="12" t="n">
        <v>2.8</v>
      </c>
      <c r="S3503" s="12" t="inlineStr">
        <is>
          <t>Duct bank</t>
        </is>
      </c>
      <c r="T3503" s="16" t="n">
        <v>361</v>
      </c>
      <c r="U3503" s="16" t="n">
        <v>32</v>
      </c>
      <c r="V3503" s="16">
        <f>ROUNDUP((T3503+U3503+2*'Read Me'!$B$13)*(1+'Read Me'!$B$12),-1)</f>
        <v/>
      </c>
      <c r="W3503" s="16">
        <f>V3503*N3503*O3503</f>
        <v/>
      </c>
      <c r="X3503" s="12">
        <f>IF(LEFT(I3503,2)="MV",2*N3503*IF(L3503="1/C",O3503,1),0)</f>
        <v/>
      </c>
      <c r="Y3503" s="12">
        <f>IF(OR(LEFT(K3503,4)="LVAX",LEFT(K3503,6)="MV15AX",LEFT(K3503,4)="CTAX",LEFT(K3503,2)="W|"),2*N3503*O3503,0)</f>
        <v/>
      </c>
      <c r="Z3503" s="12" t="inlineStr">
        <is>
          <t>VD 0.5 %</t>
        </is>
      </c>
      <c r="AA3503" s="12">
        <f>N3503*O3503</f>
        <v/>
      </c>
    </row>
    <row r="3504">
      <c r="A3504" s="12" t="inlineStr">
        <is>
          <t>G-P-0089</t>
        </is>
      </c>
      <c r="B3504" s="12" t="inlineStr">
        <is>
          <t>G</t>
        </is>
      </c>
      <c r="C3504" s="12" t="inlineStr">
        <is>
          <t>Carbon capture</t>
        </is>
      </c>
      <c r="D3504" s="12" t="inlineStr">
        <is>
          <t>Motor 2 of 6, 2 kW</t>
        </is>
      </c>
      <c r="E3504" s="12" t="inlineStr"/>
      <c r="F3504" s="12" t="inlineStr">
        <is>
          <t>CCS MV switchgear building (VFDs)</t>
        </is>
      </c>
      <c r="G3504" s="12" t="inlineStr">
        <is>
          <t>CCS T-1</t>
        </is>
      </c>
      <c r="H3504" s="12" t="inlineStr">
        <is>
          <t>CCS T-1: 230/13.8 kV</t>
        </is>
      </c>
      <c r="I3504" s="12" t="inlineStr">
        <is>
          <t>LV 600 V</t>
        </is>
      </c>
      <c r="J3504" s="12" t="inlineStr">
        <is>
          <t>Type TC-ER 600 V 3/C Cu XHHW-2 + ground, PVC jacket</t>
        </is>
      </c>
      <c r="K3504" s="12" t="inlineStr">
        <is>
          <t>LV|3/C+G|10</t>
        </is>
      </c>
      <c r="L3504" s="12" t="inlineStr">
        <is>
          <t>3/C+G</t>
        </is>
      </c>
      <c r="M3504" s="12" t="inlineStr">
        <is>
          <t>10</t>
        </is>
      </c>
      <c r="N3504" s="12" t="n">
        <v>1</v>
      </c>
      <c r="O3504" s="12" t="n">
        <v>1</v>
      </c>
      <c r="P3504" s="12" t="n">
        <v>480</v>
      </c>
      <c r="Q3504" s="12" t="n">
        <v>2</v>
      </c>
      <c r="R3504" s="12" t="n">
        <v>2.8</v>
      </c>
      <c r="S3504" s="12" t="inlineStr">
        <is>
          <t>Duct bank</t>
        </is>
      </c>
      <c r="T3504" s="16" t="n">
        <v>361</v>
      </c>
      <c r="U3504" s="16" t="n">
        <v>32</v>
      </c>
      <c r="V3504" s="16">
        <f>ROUNDUP((T3504+U3504+2*'Read Me'!$B$13)*(1+'Read Me'!$B$12),-1)</f>
        <v/>
      </c>
      <c r="W3504" s="16">
        <f>V3504*N3504*O3504</f>
        <v/>
      </c>
      <c r="X3504" s="12">
        <f>IF(LEFT(I3504,2)="MV",2*N3504*IF(L3504="1/C",O3504,1),0)</f>
        <v/>
      </c>
      <c r="Y3504" s="12">
        <f>IF(OR(LEFT(K3504,4)="LVAX",LEFT(K3504,6)="MV15AX",LEFT(K3504,4)="CTAX",LEFT(K3504,2)="W|"),2*N3504*O3504,0)</f>
        <v/>
      </c>
      <c r="Z3504" s="12" t="inlineStr">
        <is>
          <t>VD 0.5 %</t>
        </is>
      </c>
      <c r="AA3504" s="12">
        <f>N3504*O3504</f>
        <v/>
      </c>
    </row>
    <row r="3505">
      <c r="A3505" s="12" t="inlineStr">
        <is>
          <t>G-P-0090</t>
        </is>
      </c>
      <c r="B3505" s="12" t="inlineStr">
        <is>
          <t>G</t>
        </is>
      </c>
      <c r="C3505" s="12" t="inlineStr">
        <is>
          <t>Carbon capture</t>
        </is>
      </c>
      <c r="D3505" s="12" t="inlineStr">
        <is>
          <t>Motor 3 of 6, 2 kW</t>
        </is>
      </c>
      <c r="E3505" s="12" t="inlineStr"/>
      <c r="F3505" s="12" t="inlineStr">
        <is>
          <t>CCS MV switchgear building (VFDs)</t>
        </is>
      </c>
      <c r="G3505" s="12" t="inlineStr">
        <is>
          <t>CCS T-1</t>
        </is>
      </c>
      <c r="H3505" s="12" t="inlineStr">
        <is>
          <t>CCS T-1: 230/13.8 kV</t>
        </is>
      </c>
      <c r="I3505" s="12" t="inlineStr">
        <is>
          <t>LV 600 V</t>
        </is>
      </c>
      <c r="J3505" s="12" t="inlineStr">
        <is>
          <t>Type TC-ER 600 V 3/C Cu XHHW-2 + ground, PVC jacket</t>
        </is>
      </c>
      <c r="K3505" s="12" t="inlineStr">
        <is>
          <t>LV|3/C+G|10</t>
        </is>
      </c>
      <c r="L3505" s="12" t="inlineStr">
        <is>
          <t>3/C+G</t>
        </is>
      </c>
      <c r="M3505" s="12" t="inlineStr">
        <is>
          <t>10</t>
        </is>
      </c>
      <c r="N3505" s="12" t="n">
        <v>1</v>
      </c>
      <c r="O3505" s="12" t="n">
        <v>1</v>
      </c>
      <c r="P3505" s="12" t="n">
        <v>480</v>
      </c>
      <c r="Q3505" s="12" t="n">
        <v>2</v>
      </c>
      <c r="R3505" s="12" t="n">
        <v>2.8</v>
      </c>
      <c r="S3505" s="12" t="inlineStr">
        <is>
          <t>Duct bank</t>
        </is>
      </c>
      <c r="T3505" s="16" t="n">
        <v>361</v>
      </c>
      <c r="U3505" s="16" t="n">
        <v>32</v>
      </c>
      <c r="V3505" s="16">
        <f>ROUNDUP((T3505+U3505+2*'Read Me'!$B$13)*(1+'Read Me'!$B$12),-1)</f>
        <v/>
      </c>
      <c r="W3505" s="16">
        <f>V3505*N3505*O3505</f>
        <v/>
      </c>
      <c r="X3505" s="12">
        <f>IF(LEFT(I3505,2)="MV",2*N3505*IF(L3505="1/C",O3505,1),0)</f>
        <v/>
      </c>
      <c r="Y3505" s="12">
        <f>IF(OR(LEFT(K3505,4)="LVAX",LEFT(K3505,6)="MV15AX",LEFT(K3505,4)="CTAX",LEFT(K3505,2)="W|"),2*N3505*O3505,0)</f>
        <v/>
      </c>
      <c r="Z3505" s="12" t="inlineStr">
        <is>
          <t>VD 0.5 %</t>
        </is>
      </c>
      <c r="AA3505" s="12">
        <f>N3505*O3505</f>
        <v/>
      </c>
    </row>
    <row r="3506">
      <c r="A3506" s="12" t="inlineStr">
        <is>
          <t>G-P-0091</t>
        </is>
      </c>
      <c r="B3506" s="12" t="inlineStr">
        <is>
          <t>G</t>
        </is>
      </c>
      <c r="C3506" s="12" t="inlineStr">
        <is>
          <t>Carbon capture</t>
        </is>
      </c>
      <c r="D3506" s="12" t="inlineStr">
        <is>
          <t>Motor 4 of 6, 2 kW</t>
        </is>
      </c>
      <c r="E3506" s="12" t="inlineStr"/>
      <c r="F3506" s="12" t="inlineStr">
        <is>
          <t>CCS MV switchgear building (VFDs)</t>
        </is>
      </c>
      <c r="G3506" s="12" t="inlineStr">
        <is>
          <t>CCS T-1</t>
        </is>
      </c>
      <c r="H3506" s="12" t="inlineStr">
        <is>
          <t>CCS T-1: 230/13.8 kV</t>
        </is>
      </c>
      <c r="I3506" s="12" t="inlineStr">
        <is>
          <t>LV 600 V</t>
        </is>
      </c>
      <c r="J3506" s="12" t="inlineStr">
        <is>
          <t>Type TC-ER 600 V 3/C Cu XHHW-2 + ground, PVC jacket</t>
        </is>
      </c>
      <c r="K3506" s="12" t="inlineStr">
        <is>
          <t>LV|3/C+G|10</t>
        </is>
      </c>
      <c r="L3506" s="12" t="inlineStr">
        <is>
          <t>3/C+G</t>
        </is>
      </c>
      <c r="M3506" s="12" t="inlineStr">
        <is>
          <t>10</t>
        </is>
      </c>
      <c r="N3506" s="12" t="n">
        <v>1</v>
      </c>
      <c r="O3506" s="12" t="n">
        <v>1</v>
      </c>
      <c r="P3506" s="12" t="n">
        <v>480</v>
      </c>
      <c r="Q3506" s="12" t="n">
        <v>2</v>
      </c>
      <c r="R3506" s="12" t="n">
        <v>2.8</v>
      </c>
      <c r="S3506" s="12" t="inlineStr">
        <is>
          <t>Duct bank</t>
        </is>
      </c>
      <c r="T3506" s="16" t="n">
        <v>361</v>
      </c>
      <c r="U3506" s="16" t="n">
        <v>32</v>
      </c>
      <c r="V3506" s="16">
        <f>ROUNDUP((T3506+U3506+2*'Read Me'!$B$13)*(1+'Read Me'!$B$12),-1)</f>
        <v/>
      </c>
      <c r="W3506" s="16">
        <f>V3506*N3506*O3506</f>
        <v/>
      </c>
      <c r="X3506" s="12">
        <f>IF(LEFT(I3506,2)="MV",2*N3506*IF(L3506="1/C",O3506,1),0)</f>
        <v/>
      </c>
      <c r="Y3506" s="12">
        <f>IF(OR(LEFT(K3506,4)="LVAX",LEFT(K3506,6)="MV15AX",LEFT(K3506,4)="CTAX",LEFT(K3506,2)="W|"),2*N3506*O3506,0)</f>
        <v/>
      </c>
      <c r="Z3506" s="12" t="inlineStr">
        <is>
          <t>VD 0.5 %</t>
        </is>
      </c>
      <c r="AA3506" s="12">
        <f>N3506*O3506</f>
        <v/>
      </c>
    </row>
    <row r="3507">
      <c r="A3507" s="12" t="inlineStr">
        <is>
          <t>G-P-0092</t>
        </is>
      </c>
      <c r="B3507" s="12" t="inlineStr">
        <is>
          <t>G</t>
        </is>
      </c>
      <c r="C3507" s="12" t="inlineStr">
        <is>
          <t>Carbon capture</t>
        </is>
      </c>
      <c r="D3507" s="12" t="inlineStr">
        <is>
          <t>Motor 5 of 6, 2 kW</t>
        </is>
      </c>
      <c r="E3507" s="12" t="inlineStr"/>
      <c r="F3507" s="12" t="inlineStr">
        <is>
          <t>CCS MV switchgear building (VFDs)</t>
        </is>
      </c>
      <c r="G3507" s="12" t="inlineStr">
        <is>
          <t>CCS T-1</t>
        </is>
      </c>
      <c r="H3507" s="12" t="inlineStr">
        <is>
          <t>CCS T-1: 230/13.8 kV</t>
        </is>
      </c>
      <c r="I3507" s="12" t="inlineStr">
        <is>
          <t>LV 600 V</t>
        </is>
      </c>
      <c r="J3507" s="12" t="inlineStr">
        <is>
          <t>Type TC-ER 600 V 3/C Cu XHHW-2 + ground, PVC jacket</t>
        </is>
      </c>
      <c r="K3507" s="12" t="inlineStr">
        <is>
          <t>LV|3/C+G|10</t>
        </is>
      </c>
      <c r="L3507" s="12" t="inlineStr">
        <is>
          <t>3/C+G</t>
        </is>
      </c>
      <c r="M3507" s="12" t="inlineStr">
        <is>
          <t>10</t>
        </is>
      </c>
      <c r="N3507" s="12" t="n">
        <v>1</v>
      </c>
      <c r="O3507" s="12" t="n">
        <v>1</v>
      </c>
      <c r="P3507" s="12" t="n">
        <v>480</v>
      </c>
      <c r="Q3507" s="12" t="n">
        <v>2</v>
      </c>
      <c r="R3507" s="12" t="n">
        <v>2.8</v>
      </c>
      <c r="S3507" s="12" t="inlineStr">
        <is>
          <t>Duct bank</t>
        </is>
      </c>
      <c r="T3507" s="16" t="n">
        <v>361</v>
      </c>
      <c r="U3507" s="16" t="n">
        <v>32</v>
      </c>
      <c r="V3507" s="16">
        <f>ROUNDUP((T3507+U3507+2*'Read Me'!$B$13)*(1+'Read Me'!$B$12),-1)</f>
        <v/>
      </c>
      <c r="W3507" s="16">
        <f>V3507*N3507*O3507</f>
        <v/>
      </c>
      <c r="X3507" s="12">
        <f>IF(LEFT(I3507,2)="MV",2*N3507*IF(L3507="1/C",O3507,1),0)</f>
        <v/>
      </c>
      <c r="Y3507" s="12">
        <f>IF(OR(LEFT(K3507,4)="LVAX",LEFT(K3507,6)="MV15AX",LEFT(K3507,4)="CTAX",LEFT(K3507,2)="W|"),2*N3507*O3507,0)</f>
        <v/>
      </c>
      <c r="Z3507" s="12" t="inlineStr">
        <is>
          <t>VD 0.5 %</t>
        </is>
      </c>
      <c r="AA3507" s="12">
        <f>N3507*O3507</f>
        <v/>
      </c>
    </row>
    <row r="3508">
      <c r="A3508" s="12" t="inlineStr">
        <is>
          <t>G-P-0093</t>
        </is>
      </c>
      <c r="B3508" s="12" t="inlineStr">
        <is>
          <t>G</t>
        </is>
      </c>
      <c r="C3508" s="12" t="inlineStr">
        <is>
          <t>Carbon capture</t>
        </is>
      </c>
      <c r="D3508" s="12" t="inlineStr">
        <is>
          <t>Motor 6 of 6, 2 kW</t>
        </is>
      </c>
      <c r="E3508" s="12" t="inlineStr"/>
      <c r="F3508" s="12" t="inlineStr">
        <is>
          <t>CCS MV switchgear building (VFDs)</t>
        </is>
      </c>
      <c r="G3508" s="12" t="inlineStr">
        <is>
          <t>CCS T-1</t>
        </is>
      </c>
      <c r="H3508" s="12" t="inlineStr">
        <is>
          <t>CCS T-1: 230/13.8 kV</t>
        </is>
      </c>
      <c r="I3508" s="12" t="inlineStr">
        <is>
          <t>LV 600 V</t>
        </is>
      </c>
      <c r="J3508" s="12" t="inlineStr">
        <is>
          <t>Type TC-ER 600 V 3/C Cu XHHW-2 + ground, PVC jacket</t>
        </is>
      </c>
      <c r="K3508" s="12" t="inlineStr">
        <is>
          <t>LV|3/C+G|10</t>
        </is>
      </c>
      <c r="L3508" s="12" t="inlineStr">
        <is>
          <t>3/C+G</t>
        </is>
      </c>
      <c r="M3508" s="12" t="inlineStr">
        <is>
          <t>10</t>
        </is>
      </c>
      <c r="N3508" s="12" t="n">
        <v>1</v>
      </c>
      <c r="O3508" s="12" t="n">
        <v>1</v>
      </c>
      <c r="P3508" s="12" t="n">
        <v>480</v>
      </c>
      <c r="Q3508" s="12" t="n">
        <v>2</v>
      </c>
      <c r="R3508" s="12" t="n">
        <v>2.8</v>
      </c>
      <c r="S3508" s="12" t="inlineStr">
        <is>
          <t>Duct bank</t>
        </is>
      </c>
      <c r="T3508" s="16" t="n">
        <v>361</v>
      </c>
      <c r="U3508" s="16" t="n">
        <v>32</v>
      </c>
      <c r="V3508" s="16">
        <f>ROUNDUP((T3508+U3508+2*'Read Me'!$B$13)*(1+'Read Me'!$B$12),-1)</f>
        <v/>
      </c>
      <c r="W3508" s="16">
        <f>V3508*N3508*O3508</f>
        <v/>
      </c>
      <c r="X3508" s="12">
        <f>IF(LEFT(I3508,2)="MV",2*N3508*IF(L3508="1/C",O3508,1),0)</f>
        <v/>
      </c>
      <c r="Y3508" s="12">
        <f>IF(OR(LEFT(K3508,4)="LVAX",LEFT(K3508,6)="MV15AX",LEFT(K3508,4)="CTAX",LEFT(K3508,2)="W|"),2*N3508*O3508,0)</f>
        <v/>
      </c>
      <c r="Z3508" s="12" t="inlineStr">
        <is>
          <t>VD 0.5 %</t>
        </is>
      </c>
      <c r="AA3508" s="12">
        <f>N3508*O3508</f>
        <v/>
      </c>
    </row>
    <row r="3509">
      <c r="A3509" s="12" t="inlineStr">
        <is>
          <t>G-P-0094</t>
        </is>
      </c>
      <c r="B3509" s="12" t="inlineStr">
        <is>
          <t>G</t>
        </is>
      </c>
      <c r="C3509" s="12" t="inlineStr">
        <is>
          <t>Carbon capture</t>
        </is>
      </c>
      <c r="D3509" s="12" t="inlineStr">
        <is>
          <t>Motor 1 of 6, 2 kW</t>
        </is>
      </c>
      <c r="E3509" s="12" t="inlineStr"/>
      <c r="F3509" s="12" t="inlineStr">
        <is>
          <t>CCS MV switchgear building (VFDs)</t>
        </is>
      </c>
      <c r="G3509" s="12" t="inlineStr">
        <is>
          <t>CCS T-2</t>
        </is>
      </c>
      <c r="H3509" s="12" t="inlineStr">
        <is>
          <t>CCS T-2: 230/13.8 kV</t>
        </is>
      </c>
      <c r="I3509" s="12" t="inlineStr">
        <is>
          <t>LV 600 V</t>
        </is>
      </c>
      <c r="J3509" s="12" t="inlineStr">
        <is>
          <t>Type TC-ER 600 V 3/C Cu XHHW-2 + ground, PVC jacket</t>
        </is>
      </c>
      <c r="K3509" s="12" t="inlineStr">
        <is>
          <t>LV|3/C+G|10</t>
        </is>
      </c>
      <c r="L3509" s="12" t="inlineStr">
        <is>
          <t>3/C+G</t>
        </is>
      </c>
      <c r="M3509" s="12" t="inlineStr">
        <is>
          <t>10</t>
        </is>
      </c>
      <c r="N3509" s="12" t="n">
        <v>1</v>
      </c>
      <c r="O3509" s="12" t="n">
        <v>1</v>
      </c>
      <c r="P3509" s="12" t="n">
        <v>480</v>
      </c>
      <c r="Q3509" s="12" t="n">
        <v>2</v>
      </c>
      <c r="R3509" s="12" t="n">
        <v>2.8</v>
      </c>
      <c r="S3509" s="12" t="inlineStr">
        <is>
          <t>Duct bank</t>
        </is>
      </c>
      <c r="T3509" s="16" t="n">
        <v>409</v>
      </c>
      <c r="U3509" s="16" t="n">
        <v>32</v>
      </c>
      <c r="V3509" s="16">
        <f>ROUNDUP((T3509+U3509+2*'Read Me'!$B$13)*(1+'Read Me'!$B$12),-1)</f>
        <v/>
      </c>
      <c r="W3509" s="16">
        <f>V3509*N3509*O3509</f>
        <v/>
      </c>
      <c r="X3509" s="12">
        <f>IF(LEFT(I3509,2)="MV",2*N3509*IF(L3509="1/C",O3509,1),0)</f>
        <v/>
      </c>
      <c r="Y3509" s="12">
        <f>IF(OR(LEFT(K3509,4)="LVAX",LEFT(K3509,6)="MV15AX",LEFT(K3509,4)="CTAX",LEFT(K3509,2)="W|"),2*N3509*O3509,0)</f>
        <v/>
      </c>
      <c r="Z3509" s="12" t="inlineStr">
        <is>
          <t>VD 0.6 %</t>
        </is>
      </c>
      <c r="AA3509" s="12">
        <f>N3509*O3509</f>
        <v/>
      </c>
    </row>
    <row r="3510">
      <c r="A3510" s="12" t="inlineStr">
        <is>
          <t>G-P-0095</t>
        </is>
      </c>
      <c r="B3510" s="12" t="inlineStr">
        <is>
          <t>G</t>
        </is>
      </c>
      <c r="C3510" s="12" t="inlineStr">
        <is>
          <t>Carbon capture</t>
        </is>
      </c>
      <c r="D3510" s="12" t="inlineStr">
        <is>
          <t>Motor 2 of 6, 2 kW</t>
        </is>
      </c>
      <c r="E3510" s="12" t="inlineStr"/>
      <c r="F3510" s="12" t="inlineStr">
        <is>
          <t>CCS MV switchgear building (VFDs)</t>
        </is>
      </c>
      <c r="G3510" s="12" t="inlineStr">
        <is>
          <t>CCS T-2</t>
        </is>
      </c>
      <c r="H3510" s="12" t="inlineStr">
        <is>
          <t>CCS T-2: 230/13.8 kV</t>
        </is>
      </c>
      <c r="I3510" s="12" t="inlineStr">
        <is>
          <t>LV 600 V</t>
        </is>
      </c>
      <c r="J3510" s="12" t="inlineStr">
        <is>
          <t>Type TC-ER 600 V 3/C Cu XHHW-2 + ground, PVC jacket</t>
        </is>
      </c>
      <c r="K3510" s="12" t="inlineStr">
        <is>
          <t>LV|3/C+G|10</t>
        </is>
      </c>
      <c r="L3510" s="12" t="inlineStr">
        <is>
          <t>3/C+G</t>
        </is>
      </c>
      <c r="M3510" s="12" t="inlineStr">
        <is>
          <t>10</t>
        </is>
      </c>
      <c r="N3510" s="12" t="n">
        <v>1</v>
      </c>
      <c r="O3510" s="12" t="n">
        <v>1</v>
      </c>
      <c r="P3510" s="12" t="n">
        <v>480</v>
      </c>
      <c r="Q3510" s="12" t="n">
        <v>2</v>
      </c>
      <c r="R3510" s="12" t="n">
        <v>2.8</v>
      </c>
      <c r="S3510" s="12" t="inlineStr">
        <is>
          <t>Duct bank</t>
        </is>
      </c>
      <c r="T3510" s="16" t="n">
        <v>409</v>
      </c>
      <c r="U3510" s="16" t="n">
        <v>32</v>
      </c>
      <c r="V3510" s="16">
        <f>ROUNDUP((T3510+U3510+2*'Read Me'!$B$13)*(1+'Read Me'!$B$12),-1)</f>
        <v/>
      </c>
      <c r="W3510" s="16">
        <f>V3510*N3510*O3510</f>
        <v/>
      </c>
      <c r="X3510" s="12">
        <f>IF(LEFT(I3510,2)="MV",2*N3510*IF(L3510="1/C",O3510,1),0)</f>
        <v/>
      </c>
      <c r="Y3510" s="12">
        <f>IF(OR(LEFT(K3510,4)="LVAX",LEFT(K3510,6)="MV15AX",LEFT(K3510,4)="CTAX",LEFT(K3510,2)="W|"),2*N3510*O3510,0)</f>
        <v/>
      </c>
      <c r="Z3510" s="12" t="inlineStr">
        <is>
          <t>VD 0.6 %</t>
        </is>
      </c>
      <c r="AA3510" s="12">
        <f>N3510*O3510</f>
        <v/>
      </c>
    </row>
    <row r="3511">
      <c r="A3511" s="12" t="inlineStr">
        <is>
          <t>G-P-0096</t>
        </is>
      </c>
      <c r="B3511" s="12" t="inlineStr">
        <is>
          <t>G</t>
        </is>
      </c>
      <c r="C3511" s="12" t="inlineStr">
        <is>
          <t>Carbon capture</t>
        </is>
      </c>
      <c r="D3511" s="12" t="inlineStr">
        <is>
          <t>Motor 3 of 6, 2 kW</t>
        </is>
      </c>
      <c r="E3511" s="12" t="inlineStr"/>
      <c r="F3511" s="12" t="inlineStr">
        <is>
          <t>CCS MV switchgear building (VFDs)</t>
        </is>
      </c>
      <c r="G3511" s="12" t="inlineStr">
        <is>
          <t>CCS T-2</t>
        </is>
      </c>
      <c r="H3511" s="12" t="inlineStr">
        <is>
          <t>CCS T-2: 230/13.8 kV</t>
        </is>
      </c>
      <c r="I3511" s="12" t="inlineStr">
        <is>
          <t>LV 600 V</t>
        </is>
      </c>
      <c r="J3511" s="12" t="inlineStr">
        <is>
          <t>Type TC-ER 600 V 3/C Cu XHHW-2 + ground, PVC jacket</t>
        </is>
      </c>
      <c r="K3511" s="12" t="inlineStr">
        <is>
          <t>LV|3/C+G|10</t>
        </is>
      </c>
      <c r="L3511" s="12" t="inlineStr">
        <is>
          <t>3/C+G</t>
        </is>
      </c>
      <c r="M3511" s="12" t="inlineStr">
        <is>
          <t>10</t>
        </is>
      </c>
      <c r="N3511" s="12" t="n">
        <v>1</v>
      </c>
      <c r="O3511" s="12" t="n">
        <v>1</v>
      </c>
      <c r="P3511" s="12" t="n">
        <v>480</v>
      </c>
      <c r="Q3511" s="12" t="n">
        <v>2</v>
      </c>
      <c r="R3511" s="12" t="n">
        <v>2.8</v>
      </c>
      <c r="S3511" s="12" t="inlineStr">
        <is>
          <t>Duct bank</t>
        </is>
      </c>
      <c r="T3511" s="16" t="n">
        <v>409</v>
      </c>
      <c r="U3511" s="16" t="n">
        <v>32</v>
      </c>
      <c r="V3511" s="16">
        <f>ROUNDUP((T3511+U3511+2*'Read Me'!$B$13)*(1+'Read Me'!$B$12),-1)</f>
        <v/>
      </c>
      <c r="W3511" s="16">
        <f>V3511*N3511*O3511</f>
        <v/>
      </c>
      <c r="X3511" s="12">
        <f>IF(LEFT(I3511,2)="MV",2*N3511*IF(L3511="1/C",O3511,1),0)</f>
        <v/>
      </c>
      <c r="Y3511" s="12">
        <f>IF(OR(LEFT(K3511,4)="LVAX",LEFT(K3511,6)="MV15AX",LEFT(K3511,4)="CTAX",LEFT(K3511,2)="W|"),2*N3511*O3511,0)</f>
        <v/>
      </c>
      <c r="Z3511" s="12" t="inlineStr">
        <is>
          <t>VD 0.6 %</t>
        </is>
      </c>
      <c r="AA3511" s="12">
        <f>N3511*O3511</f>
        <v/>
      </c>
    </row>
    <row r="3512">
      <c r="A3512" s="12" t="inlineStr">
        <is>
          <t>G-P-0097</t>
        </is>
      </c>
      <c r="B3512" s="12" t="inlineStr">
        <is>
          <t>G</t>
        </is>
      </c>
      <c r="C3512" s="12" t="inlineStr">
        <is>
          <t>Carbon capture</t>
        </is>
      </c>
      <c r="D3512" s="12" t="inlineStr">
        <is>
          <t>Motor 4 of 6, 2 kW</t>
        </is>
      </c>
      <c r="E3512" s="12" t="inlineStr"/>
      <c r="F3512" s="12" t="inlineStr">
        <is>
          <t>CCS MV switchgear building (VFDs)</t>
        </is>
      </c>
      <c r="G3512" s="12" t="inlineStr">
        <is>
          <t>CCS T-2</t>
        </is>
      </c>
      <c r="H3512" s="12" t="inlineStr">
        <is>
          <t>CCS T-2: 230/13.8 kV</t>
        </is>
      </c>
      <c r="I3512" s="12" t="inlineStr">
        <is>
          <t>LV 600 V</t>
        </is>
      </c>
      <c r="J3512" s="12" t="inlineStr">
        <is>
          <t>Type TC-ER 600 V 3/C Cu XHHW-2 + ground, PVC jacket</t>
        </is>
      </c>
      <c r="K3512" s="12" t="inlineStr">
        <is>
          <t>LV|3/C+G|10</t>
        </is>
      </c>
      <c r="L3512" s="12" t="inlineStr">
        <is>
          <t>3/C+G</t>
        </is>
      </c>
      <c r="M3512" s="12" t="inlineStr">
        <is>
          <t>10</t>
        </is>
      </c>
      <c r="N3512" s="12" t="n">
        <v>1</v>
      </c>
      <c r="O3512" s="12" t="n">
        <v>1</v>
      </c>
      <c r="P3512" s="12" t="n">
        <v>480</v>
      </c>
      <c r="Q3512" s="12" t="n">
        <v>2</v>
      </c>
      <c r="R3512" s="12" t="n">
        <v>2.8</v>
      </c>
      <c r="S3512" s="12" t="inlineStr">
        <is>
          <t>Duct bank</t>
        </is>
      </c>
      <c r="T3512" s="16" t="n">
        <v>409</v>
      </c>
      <c r="U3512" s="16" t="n">
        <v>32</v>
      </c>
      <c r="V3512" s="16">
        <f>ROUNDUP((T3512+U3512+2*'Read Me'!$B$13)*(1+'Read Me'!$B$12),-1)</f>
        <v/>
      </c>
      <c r="W3512" s="16">
        <f>V3512*N3512*O3512</f>
        <v/>
      </c>
      <c r="X3512" s="12">
        <f>IF(LEFT(I3512,2)="MV",2*N3512*IF(L3512="1/C",O3512,1),0)</f>
        <v/>
      </c>
      <c r="Y3512" s="12">
        <f>IF(OR(LEFT(K3512,4)="LVAX",LEFT(K3512,6)="MV15AX",LEFT(K3512,4)="CTAX",LEFT(K3512,2)="W|"),2*N3512*O3512,0)</f>
        <v/>
      </c>
      <c r="Z3512" s="12" t="inlineStr">
        <is>
          <t>VD 0.6 %</t>
        </is>
      </c>
      <c r="AA3512" s="12">
        <f>N3512*O3512</f>
        <v/>
      </c>
    </row>
    <row r="3513">
      <c r="A3513" s="12" t="inlineStr">
        <is>
          <t>G-P-0098</t>
        </is>
      </c>
      <c r="B3513" s="12" t="inlineStr">
        <is>
          <t>G</t>
        </is>
      </c>
      <c r="C3513" s="12" t="inlineStr">
        <is>
          <t>Carbon capture</t>
        </is>
      </c>
      <c r="D3513" s="12" t="inlineStr">
        <is>
          <t>Motor 5 of 6, 2 kW</t>
        </is>
      </c>
      <c r="E3513" s="12" t="inlineStr"/>
      <c r="F3513" s="12" t="inlineStr">
        <is>
          <t>CCS MV switchgear building (VFDs)</t>
        </is>
      </c>
      <c r="G3513" s="12" t="inlineStr">
        <is>
          <t>CCS T-2</t>
        </is>
      </c>
      <c r="H3513" s="12" t="inlineStr">
        <is>
          <t>CCS T-2: 230/13.8 kV</t>
        </is>
      </c>
      <c r="I3513" s="12" t="inlineStr">
        <is>
          <t>LV 600 V</t>
        </is>
      </c>
      <c r="J3513" s="12" t="inlineStr">
        <is>
          <t>Type TC-ER 600 V 3/C Cu XHHW-2 + ground, PVC jacket</t>
        </is>
      </c>
      <c r="K3513" s="12" t="inlineStr">
        <is>
          <t>LV|3/C+G|10</t>
        </is>
      </c>
      <c r="L3513" s="12" t="inlineStr">
        <is>
          <t>3/C+G</t>
        </is>
      </c>
      <c r="M3513" s="12" t="inlineStr">
        <is>
          <t>10</t>
        </is>
      </c>
      <c r="N3513" s="12" t="n">
        <v>1</v>
      </c>
      <c r="O3513" s="12" t="n">
        <v>1</v>
      </c>
      <c r="P3513" s="12" t="n">
        <v>480</v>
      </c>
      <c r="Q3513" s="12" t="n">
        <v>2</v>
      </c>
      <c r="R3513" s="12" t="n">
        <v>2.8</v>
      </c>
      <c r="S3513" s="12" t="inlineStr">
        <is>
          <t>Duct bank</t>
        </is>
      </c>
      <c r="T3513" s="16" t="n">
        <v>409</v>
      </c>
      <c r="U3513" s="16" t="n">
        <v>32</v>
      </c>
      <c r="V3513" s="16">
        <f>ROUNDUP((T3513+U3513+2*'Read Me'!$B$13)*(1+'Read Me'!$B$12),-1)</f>
        <v/>
      </c>
      <c r="W3513" s="16">
        <f>V3513*N3513*O3513</f>
        <v/>
      </c>
      <c r="X3513" s="12">
        <f>IF(LEFT(I3513,2)="MV",2*N3513*IF(L3513="1/C",O3513,1),0)</f>
        <v/>
      </c>
      <c r="Y3513" s="12">
        <f>IF(OR(LEFT(K3513,4)="LVAX",LEFT(K3513,6)="MV15AX",LEFT(K3513,4)="CTAX",LEFT(K3513,2)="W|"),2*N3513*O3513,0)</f>
        <v/>
      </c>
      <c r="Z3513" s="12" t="inlineStr">
        <is>
          <t>VD 0.6 %</t>
        </is>
      </c>
      <c r="AA3513" s="12">
        <f>N3513*O3513</f>
        <v/>
      </c>
    </row>
    <row r="3514">
      <c r="A3514" s="12" t="inlineStr">
        <is>
          <t>G-P-0099</t>
        </is>
      </c>
      <c r="B3514" s="12" t="inlineStr">
        <is>
          <t>G</t>
        </is>
      </c>
      <c r="C3514" s="12" t="inlineStr">
        <is>
          <t>Carbon capture</t>
        </is>
      </c>
      <c r="D3514" s="12" t="inlineStr">
        <is>
          <t>Motor 6 of 6, 2 kW</t>
        </is>
      </c>
      <c r="E3514" s="12" t="inlineStr"/>
      <c r="F3514" s="12" t="inlineStr">
        <is>
          <t>CCS MV switchgear building (VFDs)</t>
        </is>
      </c>
      <c r="G3514" s="12" t="inlineStr">
        <is>
          <t>CCS T-2</t>
        </is>
      </c>
      <c r="H3514" s="12" t="inlineStr">
        <is>
          <t>CCS T-2: 230/13.8 kV</t>
        </is>
      </c>
      <c r="I3514" s="12" t="inlineStr">
        <is>
          <t>LV 600 V</t>
        </is>
      </c>
      <c r="J3514" s="12" t="inlineStr">
        <is>
          <t>Type TC-ER 600 V 3/C Cu XHHW-2 + ground, PVC jacket</t>
        </is>
      </c>
      <c r="K3514" s="12" t="inlineStr">
        <is>
          <t>LV|3/C+G|10</t>
        </is>
      </c>
      <c r="L3514" s="12" t="inlineStr">
        <is>
          <t>3/C+G</t>
        </is>
      </c>
      <c r="M3514" s="12" t="inlineStr">
        <is>
          <t>10</t>
        </is>
      </c>
      <c r="N3514" s="12" t="n">
        <v>1</v>
      </c>
      <c r="O3514" s="12" t="n">
        <v>1</v>
      </c>
      <c r="P3514" s="12" t="n">
        <v>480</v>
      </c>
      <c r="Q3514" s="12" t="n">
        <v>2</v>
      </c>
      <c r="R3514" s="12" t="n">
        <v>2.8</v>
      </c>
      <c r="S3514" s="12" t="inlineStr">
        <is>
          <t>Duct bank</t>
        </is>
      </c>
      <c r="T3514" s="16" t="n">
        <v>409</v>
      </c>
      <c r="U3514" s="16" t="n">
        <v>32</v>
      </c>
      <c r="V3514" s="16">
        <f>ROUNDUP((T3514+U3514+2*'Read Me'!$B$13)*(1+'Read Me'!$B$12),-1)</f>
        <v/>
      </c>
      <c r="W3514" s="16">
        <f>V3514*N3514*O3514</f>
        <v/>
      </c>
      <c r="X3514" s="12">
        <f>IF(LEFT(I3514,2)="MV",2*N3514*IF(L3514="1/C",O3514,1),0)</f>
        <v/>
      </c>
      <c r="Y3514" s="12">
        <f>IF(OR(LEFT(K3514,4)="LVAX",LEFT(K3514,6)="MV15AX",LEFT(K3514,4)="CTAX",LEFT(K3514,2)="W|"),2*N3514*O3514,0)</f>
        <v/>
      </c>
      <c r="Z3514" s="12" t="inlineStr">
        <is>
          <t>VD 0.6 %</t>
        </is>
      </c>
      <c r="AA3514" s="12">
        <f>N3514*O3514</f>
        <v/>
      </c>
    </row>
    <row r="3515">
      <c r="A3515" s="12" t="inlineStr">
        <is>
          <t>G-P-0100</t>
        </is>
      </c>
      <c r="B3515" s="12" t="inlineStr">
        <is>
          <t>G</t>
        </is>
      </c>
      <c r="C3515" s="12" t="inlineStr">
        <is>
          <t>Carbon capture</t>
        </is>
      </c>
      <c r="D3515" s="12" t="inlineStr">
        <is>
          <t>Motor 1 of 30, 110 kW (VFD output)</t>
        </is>
      </c>
      <c r="E3515" s="12" t="inlineStr"/>
      <c r="F3515" s="12" t="inlineStr">
        <is>
          <t>CT MCC / VFD e-house</t>
        </is>
      </c>
      <c r="G3515" s="12" t="inlineStr">
        <is>
          <t>CCS-CT</t>
        </is>
      </c>
      <c r="H3515" s="12" t="inlineStr">
        <is>
          <t>CCS cooling tower (~30 cells): CCS process cooling only</t>
        </is>
      </c>
      <c r="I3515" s="12" t="inlineStr">
        <is>
          <t>LV 600 V</t>
        </is>
      </c>
      <c r="J3515" s="12" t="inlineStr">
        <is>
          <t>VFD cable 600 V 3/C Cu XHHW-2, 3 symmetrical grounds, overall Cu tape shield, TC-ER</t>
        </is>
      </c>
      <c r="K3515" s="12" t="inlineStr">
        <is>
          <t>VFD|3/C+3G|3/0</t>
        </is>
      </c>
      <c r="L3515" s="12" t="inlineStr">
        <is>
          <t>3/C+3G</t>
        </is>
      </c>
      <c r="M3515" s="12" t="inlineStr">
        <is>
          <t>3/0</t>
        </is>
      </c>
      <c r="N3515" s="12" t="n">
        <v>1</v>
      </c>
      <c r="O3515" s="12" t="n">
        <v>1</v>
      </c>
      <c r="P3515" s="12" t="n">
        <v>480</v>
      </c>
      <c r="Q3515" s="12" t="n">
        <v>110</v>
      </c>
      <c r="R3515" s="12" t="n">
        <v>156</v>
      </c>
      <c r="S3515" s="12" t="inlineStr">
        <is>
          <t>Tray</t>
        </is>
      </c>
      <c r="T3515" s="16" t="n">
        <v>250</v>
      </c>
      <c r="U3515" s="16" t="n">
        <v>42</v>
      </c>
      <c r="V3515" s="16">
        <f>ROUNDUP((T3515+U3515+2*'Read Me'!$B$13)*(1+'Read Me'!$B$12),-1)</f>
        <v/>
      </c>
      <c r="W3515" s="16">
        <f>V3515*N3515*O3515</f>
        <v/>
      </c>
      <c r="X3515" s="12">
        <f>IF(LEFT(I3515,2)="MV",2*N3515*IF(L3515="1/C",O3515,1),0)</f>
        <v/>
      </c>
      <c r="Y3515" s="12">
        <f>IF(OR(LEFT(K3515,4)="LVAX",LEFT(K3515,6)="MV15AX",LEFT(K3515,4)="CTAX",LEFT(K3515,2)="W|"),2*N3515*O3515,0)</f>
        <v/>
      </c>
      <c r="Z3515" s="12" t="inlineStr">
        <is>
          <t>VD 1.4 %</t>
        </is>
      </c>
      <c r="AA3515" s="12">
        <f>N3515*O3515</f>
        <v/>
      </c>
    </row>
    <row r="3516">
      <c r="A3516" s="12" t="inlineStr">
        <is>
          <t>G-P-0101</t>
        </is>
      </c>
      <c r="B3516" s="12" t="inlineStr">
        <is>
          <t>G</t>
        </is>
      </c>
      <c r="C3516" s="12" t="inlineStr">
        <is>
          <t>Carbon capture</t>
        </is>
      </c>
      <c r="D3516" s="12" t="inlineStr">
        <is>
          <t>Motor 2 of 30, 110 kW (VFD output)</t>
        </is>
      </c>
      <c r="E3516" s="12" t="inlineStr"/>
      <c r="F3516" s="12" t="inlineStr">
        <is>
          <t>CT MCC / VFD e-house</t>
        </is>
      </c>
      <c r="G3516" s="12" t="inlineStr">
        <is>
          <t>CCS-CT</t>
        </is>
      </c>
      <c r="H3516" s="12" t="inlineStr">
        <is>
          <t>CCS cooling tower (~30 cells): CCS process cooling only</t>
        </is>
      </c>
      <c r="I3516" s="12" t="inlineStr">
        <is>
          <t>LV 600 V</t>
        </is>
      </c>
      <c r="J3516" s="12" t="inlineStr">
        <is>
          <t>VFD cable 600 V 3/C Cu XHHW-2, 3 symmetrical grounds, overall Cu tape shield, TC-ER</t>
        </is>
      </c>
      <c r="K3516" s="12" t="inlineStr">
        <is>
          <t>VFD|3/C+3G|3/0</t>
        </is>
      </c>
      <c r="L3516" s="12" t="inlineStr">
        <is>
          <t>3/C+3G</t>
        </is>
      </c>
      <c r="M3516" s="12" t="inlineStr">
        <is>
          <t>3/0</t>
        </is>
      </c>
      <c r="N3516" s="12" t="n">
        <v>1</v>
      </c>
      <c r="O3516" s="12" t="n">
        <v>1</v>
      </c>
      <c r="P3516" s="12" t="n">
        <v>480</v>
      </c>
      <c r="Q3516" s="12" t="n">
        <v>110</v>
      </c>
      <c r="R3516" s="12" t="n">
        <v>156</v>
      </c>
      <c r="S3516" s="12" t="inlineStr">
        <is>
          <t>Tray</t>
        </is>
      </c>
      <c r="T3516" s="16" t="n">
        <v>250</v>
      </c>
      <c r="U3516" s="16" t="n">
        <v>42</v>
      </c>
      <c r="V3516" s="16">
        <f>ROUNDUP((T3516+U3516+2*'Read Me'!$B$13)*(1+'Read Me'!$B$12),-1)</f>
        <v/>
      </c>
      <c r="W3516" s="16">
        <f>V3516*N3516*O3516</f>
        <v/>
      </c>
      <c r="X3516" s="12">
        <f>IF(LEFT(I3516,2)="MV",2*N3516*IF(L3516="1/C",O3516,1),0)</f>
        <v/>
      </c>
      <c r="Y3516" s="12">
        <f>IF(OR(LEFT(K3516,4)="LVAX",LEFT(K3516,6)="MV15AX",LEFT(K3516,4)="CTAX",LEFT(K3516,2)="W|"),2*N3516*O3516,0)</f>
        <v/>
      </c>
      <c r="Z3516" s="12" t="inlineStr">
        <is>
          <t>VD 1.4 %</t>
        </is>
      </c>
      <c r="AA3516" s="12">
        <f>N3516*O3516</f>
        <v/>
      </c>
    </row>
    <row r="3517">
      <c r="A3517" s="12" t="inlineStr">
        <is>
          <t>G-P-0102</t>
        </is>
      </c>
      <c r="B3517" s="12" t="inlineStr">
        <is>
          <t>G</t>
        </is>
      </c>
      <c r="C3517" s="12" t="inlineStr">
        <is>
          <t>Carbon capture</t>
        </is>
      </c>
      <c r="D3517" s="12" t="inlineStr">
        <is>
          <t>Motor 3 of 30, 110 kW (VFD output)</t>
        </is>
      </c>
      <c r="E3517" s="12" t="inlineStr"/>
      <c r="F3517" s="12" t="inlineStr">
        <is>
          <t>CT MCC / VFD e-house</t>
        </is>
      </c>
      <c r="G3517" s="12" t="inlineStr">
        <is>
          <t>CCS-CT</t>
        </is>
      </c>
      <c r="H3517" s="12" t="inlineStr">
        <is>
          <t>CCS cooling tower (~30 cells): CCS process cooling only</t>
        </is>
      </c>
      <c r="I3517" s="12" t="inlineStr">
        <is>
          <t>LV 600 V</t>
        </is>
      </c>
      <c r="J3517" s="12" t="inlineStr">
        <is>
          <t>VFD cable 600 V 3/C Cu XHHW-2, 3 symmetrical grounds, overall Cu tape shield, TC-ER</t>
        </is>
      </c>
      <c r="K3517" s="12" t="inlineStr">
        <is>
          <t>VFD|3/C+3G|3/0</t>
        </is>
      </c>
      <c r="L3517" s="12" t="inlineStr">
        <is>
          <t>3/C+3G</t>
        </is>
      </c>
      <c r="M3517" s="12" t="inlineStr">
        <is>
          <t>3/0</t>
        </is>
      </c>
      <c r="N3517" s="12" t="n">
        <v>1</v>
      </c>
      <c r="O3517" s="12" t="n">
        <v>1</v>
      </c>
      <c r="P3517" s="12" t="n">
        <v>480</v>
      </c>
      <c r="Q3517" s="12" t="n">
        <v>110</v>
      </c>
      <c r="R3517" s="12" t="n">
        <v>156</v>
      </c>
      <c r="S3517" s="12" t="inlineStr">
        <is>
          <t>Tray</t>
        </is>
      </c>
      <c r="T3517" s="16" t="n">
        <v>250</v>
      </c>
      <c r="U3517" s="16" t="n">
        <v>42</v>
      </c>
      <c r="V3517" s="16">
        <f>ROUNDUP((T3517+U3517+2*'Read Me'!$B$13)*(1+'Read Me'!$B$12),-1)</f>
        <v/>
      </c>
      <c r="W3517" s="16">
        <f>V3517*N3517*O3517</f>
        <v/>
      </c>
      <c r="X3517" s="12">
        <f>IF(LEFT(I3517,2)="MV",2*N3517*IF(L3517="1/C",O3517,1),0)</f>
        <v/>
      </c>
      <c r="Y3517" s="12">
        <f>IF(OR(LEFT(K3517,4)="LVAX",LEFT(K3517,6)="MV15AX",LEFT(K3517,4)="CTAX",LEFT(K3517,2)="W|"),2*N3517*O3517,0)</f>
        <v/>
      </c>
      <c r="Z3517" s="12" t="inlineStr">
        <is>
          <t>VD 1.4 %</t>
        </is>
      </c>
      <c r="AA3517" s="12">
        <f>N3517*O3517</f>
        <v/>
      </c>
    </row>
    <row r="3518">
      <c r="A3518" s="12" t="inlineStr">
        <is>
          <t>G-P-0103</t>
        </is>
      </c>
      <c r="B3518" s="12" t="inlineStr">
        <is>
          <t>G</t>
        </is>
      </c>
      <c r="C3518" s="12" t="inlineStr">
        <is>
          <t>Carbon capture</t>
        </is>
      </c>
      <c r="D3518" s="12" t="inlineStr">
        <is>
          <t>Motor 4 of 30, 110 kW (VFD output)</t>
        </is>
      </c>
      <c r="E3518" s="12" t="inlineStr"/>
      <c r="F3518" s="12" t="inlineStr">
        <is>
          <t>CT MCC / VFD e-house</t>
        </is>
      </c>
      <c r="G3518" s="12" t="inlineStr">
        <is>
          <t>CCS-CT</t>
        </is>
      </c>
      <c r="H3518" s="12" t="inlineStr">
        <is>
          <t>CCS cooling tower (~30 cells): CCS process cooling only</t>
        </is>
      </c>
      <c r="I3518" s="12" t="inlineStr">
        <is>
          <t>LV 600 V</t>
        </is>
      </c>
      <c r="J3518" s="12" t="inlineStr">
        <is>
          <t>VFD cable 600 V 3/C Cu XHHW-2, 3 symmetrical grounds, overall Cu tape shield, TC-ER</t>
        </is>
      </c>
      <c r="K3518" s="12" t="inlineStr">
        <is>
          <t>VFD|3/C+3G|3/0</t>
        </is>
      </c>
      <c r="L3518" s="12" t="inlineStr">
        <is>
          <t>3/C+3G</t>
        </is>
      </c>
      <c r="M3518" s="12" t="inlineStr">
        <is>
          <t>3/0</t>
        </is>
      </c>
      <c r="N3518" s="12" t="n">
        <v>1</v>
      </c>
      <c r="O3518" s="12" t="n">
        <v>1</v>
      </c>
      <c r="P3518" s="12" t="n">
        <v>480</v>
      </c>
      <c r="Q3518" s="12" t="n">
        <v>110</v>
      </c>
      <c r="R3518" s="12" t="n">
        <v>156</v>
      </c>
      <c r="S3518" s="12" t="inlineStr">
        <is>
          <t>Tray</t>
        </is>
      </c>
      <c r="T3518" s="16" t="n">
        <v>250</v>
      </c>
      <c r="U3518" s="16" t="n">
        <v>42</v>
      </c>
      <c r="V3518" s="16">
        <f>ROUNDUP((T3518+U3518+2*'Read Me'!$B$13)*(1+'Read Me'!$B$12),-1)</f>
        <v/>
      </c>
      <c r="W3518" s="16">
        <f>V3518*N3518*O3518</f>
        <v/>
      </c>
      <c r="X3518" s="12">
        <f>IF(LEFT(I3518,2)="MV",2*N3518*IF(L3518="1/C",O3518,1),0)</f>
        <v/>
      </c>
      <c r="Y3518" s="12">
        <f>IF(OR(LEFT(K3518,4)="LVAX",LEFT(K3518,6)="MV15AX",LEFT(K3518,4)="CTAX",LEFT(K3518,2)="W|"),2*N3518*O3518,0)</f>
        <v/>
      </c>
      <c r="Z3518" s="12" t="inlineStr">
        <is>
          <t>VD 1.4 %</t>
        </is>
      </c>
      <c r="AA3518" s="12">
        <f>N3518*O3518</f>
        <v/>
      </c>
    </row>
    <row r="3519">
      <c r="A3519" s="12" t="inlineStr">
        <is>
          <t>G-P-0104</t>
        </is>
      </c>
      <c r="B3519" s="12" t="inlineStr">
        <is>
          <t>G</t>
        </is>
      </c>
      <c r="C3519" s="12" t="inlineStr">
        <is>
          <t>Carbon capture</t>
        </is>
      </c>
      <c r="D3519" s="12" t="inlineStr">
        <is>
          <t>Motor 5 of 30, 110 kW (VFD output)</t>
        </is>
      </c>
      <c r="E3519" s="12" t="inlineStr"/>
      <c r="F3519" s="12" t="inlineStr">
        <is>
          <t>CT MCC / VFD e-house</t>
        </is>
      </c>
      <c r="G3519" s="12" t="inlineStr">
        <is>
          <t>CCS-CT</t>
        </is>
      </c>
      <c r="H3519" s="12" t="inlineStr">
        <is>
          <t>CCS cooling tower (~30 cells): CCS process cooling only</t>
        </is>
      </c>
      <c r="I3519" s="12" t="inlineStr">
        <is>
          <t>LV 600 V</t>
        </is>
      </c>
      <c r="J3519" s="12" t="inlineStr">
        <is>
          <t>VFD cable 600 V 3/C Cu XHHW-2, 3 symmetrical grounds, overall Cu tape shield, TC-ER</t>
        </is>
      </c>
      <c r="K3519" s="12" t="inlineStr">
        <is>
          <t>VFD|3/C+3G|3/0</t>
        </is>
      </c>
      <c r="L3519" s="12" t="inlineStr">
        <is>
          <t>3/C+3G</t>
        </is>
      </c>
      <c r="M3519" s="12" t="inlineStr">
        <is>
          <t>3/0</t>
        </is>
      </c>
      <c r="N3519" s="12" t="n">
        <v>1</v>
      </c>
      <c r="O3519" s="12" t="n">
        <v>1</v>
      </c>
      <c r="P3519" s="12" t="n">
        <v>480</v>
      </c>
      <c r="Q3519" s="12" t="n">
        <v>110</v>
      </c>
      <c r="R3519" s="12" t="n">
        <v>156</v>
      </c>
      <c r="S3519" s="12" t="inlineStr">
        <is>
          <t>Tray</t>
        </is>
      </c>
      <c r="T3519" s="16" t="n">
        <v>250</v>
      </c>
      <c r="U3519" s="16" t="n">
        <v>42</v>
      </c>
      <c r="V3519" s="16">
        <f>ROUNDUP((T3519+U3519+2*'Read Me'!$B$13)*(1+'Read Me'!$B$12),-1)</f>
        <v/>
      </c>
      <c r="W3519" s="16">
        <f>V3519*N3519*O3519</f>
        <v/>
      </c>
      <c r="X3519" s="12">
        <f>IF(LEFT(I3519,2)="MV",2*N3519*IF(L3519="1/C",O3519,1),0)</f>
        <v/>
      </c>
      <c r="Y3519" s="12">
        <f>IF(OR(LEFT(K3519,4)="LVAX",LEFT(K3519,6)="MV15AX",LEFT(K3519,4)="CTAX",LEFT(K3519,2)="W|"),2*N3519*O3519,0)</f>
        <v/>
      </c>
      <c r="Z3519" s="12" t="inlineStr">
        <is>
          <t>VD 1.4 %</t>
        </is>
      </c>
      <c r="AA3519" s="12">
        <f>N3519*O3519</f>
        <v/>
      </c>
    </row>
    <row r="3520">
      <c r="A3520" s="12" t="inlineStr">
        <is>
          <t>G-P-0105</t>
        </is>
      </c>
      <c r="B3520" s="12" t="inlineStr">
        <is>
          <t>G</t>
        </is>
      </c>
      <c r="C3520" s="12" t="inlineStr">
        <is>
          <t>Carbon capture</t>
        </is>
      </c>
      <c r="D3520" s="12" t="inlineStr">
        <is>
          <t>Motor 6 of 30, 110 kW (VFD output)</t>
        </is>
      </c>
      <c r="E3520" s="12" t="inlineStr"/>
      <c r="F3520" s="12" t="inlineStr">
        <is>
          <t>CT MCC / VFD e-house</t>
        </is>
      </c>
      <c r="G3520" s="12" t="inlineStr">
        <is>
          <t>CCS-CT</t>
        </is>
      </c>
      <c r="H3520" s="12" t="inlineStr">
        <is>
          <t>CCS cooling tower (~30 cells): CCS process cooling only</t>
        </is>
      </c>
      <c r="I3520" s="12" t="inlineStr">
        <is>
          <t>LV 600 V</t>
        </is>
      </c>
      <c r="J3520" s="12" t="inlineStr">
        <is>
          <t>VFD cable 600 V 3/C Cu XHHW-2, 3 symmetrical grounds, overall Cu tape shield, TC-ER</t>
        </is>
      </c>
      <c r="K3520" s="12" t="inlineStr">
        <is>
          <t>VFD|3/C+3G|3/0</t>
        </is>
      </c>
      <c r="L3520" s="12" t="inlineStr">
        <is>
          <t>3/C+3G</t>
        </is>
      </c>
      <c r="M3520" s="12" t="inlineStr">
        <is>
          <t>3/0</t>
        </is>
      </c>
      <c r="N3520" s="12" t="n">
        <v>1</v>
      </c>
      <c r="O3520" s="12" t="n">
        <v>1</v>
      </c>
      <c r="P3520" s="12" t="n">
        <v>480</v>
      </c>
      <c r="Q3520" s="12" t="n">
        <v>110</v>
      </c>
      <c r="R3520" s="12" t="n">
        <v>156</v>
      </c>
      <c r="S3520" s="12" t="inlineStr">
        <is>
          <t>Tray</t>
        </is>
      </c>
      <c r="T3520" s="16" t="n">
        <v>250</v>
      </c>
      <c r="U3520" s="16" t="n">
        <v>42</v>
      </c>
      <c r="V3520" s="16">
        <f>ROUNDUP((T3520+U3520+2*'Read Me'!$B$13)*(1+'Read Me'!$B$12),-1)</f>
        <v/>
      </c>
      <c r="W3520" s="16">
        <f>V3520*N3520*O3520</f>
        <v/>
      </c>
      <c r="X3520" s="12">
        <f>IF(LEFT(I3520,2)="MV",2*N3520*IF(L3520="1/C",O3520,1),0)</f>
        <v/>
      </c>
      <c r="Y3520" s="12">
        <f>IF(OR(LEFT(K3520,4)="LVAX",LEFT(K3520,6)="MV15AX",LEFT(K3520,4)="CTAX",LEFT(K3520,2)="W|"),2*N3520*O3520,0)</f>
        <v/>
      </c>
      <c r="Z3520" s="12" t="inlineStr">
        <is>
          <t>VD 1.4 %</t>
        </is>
      </c>
      <c r="AA3520" s="12">
        <f>N3520*O3520</f>
        <v/>
      </c>
    </row>
    <row r="3521">
      <c r="A3521" s="12" t="inlineStr">
        <is>
          <t>G-P-0106</t>
        </is>
      </c>
      <c r="B3521" s="12" t="inlineStr">
        <is>
          <t>G</t>
        </is>
      </c>
      <c r="C3521" s="12" t="inlineStr">
        <is>
          <t>Carbon capture</t>
        </is>
      </c>
      <c r="D3521" s="12" t="inlineStr">
        <is>
          <t>Motor 7 of 30, 110 kW (VFD output)</t>
        </is>
      </c>
      <c r="E3521" s="12" t="inlineStr"/>
      <c r="F3521" s="12" t="inlineStr">
        <is>
          <t>CT MCC / VFD e-house</t>
        </is>
      </c>
      <c r="G3521" s="12" t="inlineStr">
        <is>
          <t>CCS-CT</t>
        </is>
      </c>
      <c r="H3521" s="12" t="inlineStr">
        <is>
          <t>CCS cooling tower (~30 cells): CCS process cooling only</t>
        </is>
      </c>
      <c r="I3521" s="12" t="inlineStr">
        <is>
          <t>LV 600 V</t>
        </is>
      </c>
      <c r="J3521" s="12" t="inlineStr">
        <is>
          <t>VFD cable 600 V 3/C Cu XHHW-2, 3 symmetrical grounds, overall Cu tape shield, TC-ER</t>
        </is>
      </c>
      <c r="K3521" s="12" t="inlineStr">
        <is>
          <t>VFD|3/C+3G|3/0</t>
        </is>
      </c>
      <c r="L3521" s="12" t="inlineStr">
        <is>
          <t>3/C+3G</t>
        </is>
      </c>
      <c r="M3521" s="12" t="inlineStr">
        <is>
          <t>3/0</t>
        </is>
      </c>
      <c r="N3521" s="12" t="n">
        <v>1</v>
      </c>
      <c r="O3521" s="12" t="n">
        <v>1</v>
      </c>
      <c r="P3521" s="12" t="n">
        <v>480</v>
      </c>
      <c r="Q3521" s="12" t="n">
        <v>110</v>
      </c>
      <c r="R3521" s="12" t="n">
        <v>156</v>
      </c>
      <c r="S3521" s="12" t="inlineStr">
        <is>
          <t>Tray</t>
        </is>
      </c>
      <c r="T3521" s="16" t="n">
        <v>250</v>
      </c>
      <c r="U3521" s="16" t="n">
        <v>42</v>
      </c>
      <c r="V3521" s="16">
        <f>ROUNDUP((T3521+U3521+2*'Read Me'!$B$13)*(1+'Read Me'!$B$12),-1)</f>
        <v/>
      </c>
      <c r="W3521" s="16">
        <f>V3521*N3521*O3521</f>
        <v/>
      </c>
      <c r="X3521" s="12">
        <f>IF(LEFT(I3521,2)="MV",2*N3521*IF(L3521="1/C",O3521,1),0)</f>
        <v/>
      </c>
      <c r="Y3521" s="12">
        <f>IF(OR(LEFT(K3521,4)="LVAX",LEFT(K3521,6)="MV15AX",LEFT(K3521,4)="CTAX",LEFT(K3521,2)="W|"),2*N3521*O3521,0)</f>
        <v/>
      </c>
      <c r="Z3521" s="12" t="inlineStr">
        <is>
          <t>VD 1.4 %</t>
        </is>
      </c>
      <c r="AA3521" s="12">
        <f>N3521*O3521</f>
        <v/>
      </c>
    </row>
    <row r="3522">
      <c r="A3522" s="12" t="inlineStr">
        <is>
          <t>G-P-0107</t>
        </is>
      </c>
      <c r="B3522" s="12" t="inlineStr">
        <is>
          <t>G</t>
        </is>
      </c>
      <c r="C3522" s="12" t="inlineStr">
        <is>
          <t>Carbon capture</t>
        </is>
      </c>
      <c r="D3522" s="12" t="inlineStr">
        <is>
          <t>Motor 8 of 30, 110 kW (VFD output)</t>
        </is>
      </c>
      <c r="E3522" s="12" t="inlineStr"/>
      <c r="F3522" s="12" t="inlineStr">
        <is>
          <t>CT MCC / VFD e-house</t>
        </is>
      </c>
      <c r="G3522" s="12" t="inlineStr">
        <is>
          <t>CCS-CT</t>
        </is>
      </c>
      <c r="H3522" s="12" t="inlineStr">
        <is>
          <t>CCS cooling tower (~30 cells): CCS process cooling only</t>
        </is>
      </c>
      <c r="I3522" s="12" t="inlineStr">
        <is>
          <t>LV 600 V</t>
        </is>
      </c>
      <c r="J3522" s="12" t="inlineStr">
        <is>
          <t>VFD cable 600 V 3/C Cu XHHW-2, 3 symmetrical grounds, overall Cu tape shield, TC-ER</t>
        </is>
      </c>
      <c r="K3522" s="12" t="inlineStr">
        <is>
          <t>VFD|3/C+3G|3/0</t>
        </is>
      </c>
      <c r="L3522" s="12" t="inlineStr">
        <is>
          <t>3/C+3G</t>
        </is>
      </c>
      <c r="M3522" s="12" t="inlineStr">
        <is>
          <t>3/0</t>
        </is>
      </c>
      <c r="N3522" s="12" t="n">
        <v>1</v>
      </c>
      <c r="O3522" s="12" t="n">
        <v>1</v>
      </c>
      <c r="P3522" s="12" t="n">
        <v>480</v>
      </c>
      <c r="Q3522" s="12" t="n">
        <v>110</v>
      </c>
      <c r="R3522" s="12" t="n">
        <v>156</v>
      </c>
      <c r="S3522" s="12" t="inlineStr">
        <is>
          <t>Tray</t>
        </is>
      </c>
      <c r="T3522" s="16" t="n">
        <v>250</v>
      </c>
      <c r="U3522" s="16" t="n">
        <v>42</v>
      </c>
      <c r="V3522" s="16">
        <f>ROUNDUP((T3522+U3522+2*'Read Me'!$B$13)*(1+'Read Me'!$B$12),-1)</f>
        <v/>
      </c>
      <c r="W3522" s="16">
        <f>V3522*N3522*O3522</f>
        <v/>
      </c>
      <c r="X3522" s="12">
        <f>IF(LEFT(I3522,2)="MV",2*N3522*IF(L3522="1/C",O3522,1),0)</f>
        <v/>
      </c>
      <c r="Y3522" s="12">
        <f>IF(OR(LEFT(K3522,4)="LVAX",LEFT(K3522,6)="MV15AX",LEFT(K3522,4)="CTAX",LEFT(K3522,2)="W|"),2*N3522*O3522,0)</f>
        <v/>
      </c>
      <c r="Z3522" s="12" t="inlineStr">
        <is>
          <t>VD 1.4 %</t>
        </is>
      </c>
      <c r="AA3522" s="12">
        <f>N3522*O3522</f>
        <v/>
      </c>
    </row>
    <row r="3523">
      <c r="A3523" s="12" t="inlineStr">
        <is>
          <t>G-P-0108</t>
        </is>
      </c>
      <c r="B3523" s="12" t="inlineStr">
        <is>
          <t>G</t>
        </is>
      </c>
      <c r="C3523" s="12" t="inlineStr">
        <is>
          <t>Carbon capture</t>
        </is>
      </c>
      <c r="D3523" s="12" t="inlineStr">
        <is>
          <t>Motor 9 of 30, 110 kW (VFD output)</t>
        </is>
      </c>
      <c r="E3523" s="12" t="inlineStr"/>
      <c r="F3523" s="12" t="inlineStr">
        <is>
          <t>CT MCC / VFD e-house</t>
        </is>
      </c>
      <c r="G3523" s="12" t="inlineStr">
        <is>
          <t>CCS-CT</t>
        </is>
      </c>
      <c r="H3523" s="12" t="inlineStr">
        <is>
          <t>CCS cooling tower (~30 cells): CCS process cooling only</t>
        </is>
      </c>
      <c r="I3523" s="12" t="inlineStr">
        <is>
          <t>LV 600 V</t>
        </is>
      </c>
      <c r="J3523" s="12" t="inlineStr">
        <is>
          <t>VFD cable 600 V 3/C Cu XHHW-2, 3 symmetrical grounds, overall Cu tape shield, TC-ER</t>
        </is>
      </c>
      <c r="K3523" s="12" t="inlineStr">
        <is>
          <t>VFD|3/C+3G|3/0</t>
        </is>
      </c>
      <c r="L3523" s="12" t="inlineStr">
        <is>
          <t>3/C+3G</t>
        </is>
      </c>
      <c r="M3523" s="12" t="inlineStr">
        <is>
          <t>3/0</t>
        </is>
      </c>
      <c r="N3523" s="12" t="n">
        <v>1</v>
      </c>
      <c r="O3523" s="12" t="n">
        <v>1</v>
      </c>
      <c r="P3523" s="12" t="n">
        <v>480</v>
      </c>
      <c r="Q3523" s="12" t="n">
        <v>110</v>
      </c>
      <c r="R3523" s="12" t="n">
        <v>156</v>
      </c>
      <c r="S3523" s="12" t="inlineStr">
        <is>
          <t>Tray</t>
        </is>
      </c>
      <c r="T3523" s="16" t="n">
        <v>250</v>
      </c>
      <c r="U3523" s="16" t="n">
        <v>42</v>
      </c>
      <c r="V3523" s="16">
        <f>ROUNDUP((T3523+U3523+2*'Read Me'!$B$13)*(1+'Read Me'!$B$12),-1)</f>
        <v/>
      </c>
      <c r="W3523" s="16">
        <f>V3523*N3523*O3523</f>
        <v/>
      </c>
      <c r="X3523" s="12">
        <f>IF(LEFT(I3523,2)="MV",2*N3523*IF(L3523="1/C",O3523,1),0)</f>
        <v/>
      </c>
      <c r="Y3523" s="12">
        <f>IF(OR(LEFT(K3523,4)="LVAX",LEFT(K3523,6)="MV15AX",LEFT(K3523,4)="CTAX",LEFT(K3523,2)="W|"),2*N3523*O3523,0)</f>
        <v/>
      </c>
      <c r="Z3523" s="12" t="inlineStr">
        <is>
          <t>VD 1.4 %</t>
        </is>
      </c>
      <c r="AA3523" s="12">
        <f>N3523*O3523</f>
        <v/>
      </c>
    </row>
    <row r="3524">
      <c r="A3524" s="12" t="inlineStr">
        <is>
          <t>G-P-0109</t>
        </is>
      </c>
      <c r="B3524" s="12" t="inlineStr">
        <is>
          <t>G</t>
        </is>
      </c>
      <c r="C3524" s="12" t="inlineStr">
        <is>
          <t>Carbon capture</t>
        </is>
      </c>
      <c r="D3524" s="12" t="inlineStr">
        <is>
          <t>Motor 10 of 30, 110 kW (VFD output)</t>
        </is>
      </c>
      <c r="E3524" s="12" t="inlineStr"/>
      <c r="F3524" s="12" t="inlineStr">
        <is>
          <t>CT MCC / VFD e-house</t>
        </is>
      </c>
      <c r="G3524" s="12" t="inlineStr">
        <is>
          <t>CCS-CT</t>
        </is>
      </c>
      <c r="H3524" s="12" t="inlineStr">
        <is>
          <t>CCS cooling tower (~30 cells): CCS process cooling only</t>
        </is>
      </c>
      <c r="I3524" s="12" t="inlineStr">
        <is>
          <t>LV 600 V</t>
        </is>
      </c>
      <c r="J3524" s="12" t="inlineStr">
        <is>
          <t>VFD cable 600 V 3/C Cu XHHW-2, 3 symmetrical grounds, overall Cu tape shield, TC-ER</t>
        </is>
      </c>
      <c r="K3524" s="12" t="inlineStr">
        <is>
          <t>VFD|3/C+3G|3/0</t>
        </is>
      </c>
      <c r="L3524" s="12" t="inlineStr">
        <is>
          <t>3/C+3G</t>
        </is>
      </c>
      <c r="M3524" s="12" t="inlineStr">
        <is>
          <t>3/0</t>
        </is>
      </c>
      <c r="N3524" s="12" t="n">
        <v>1</v>
      </c>
      <c r="O3524" s="12" t="n">
        <v>1</v>
      </c>
      <c r="P3524" s="12" t="n">
        <v>480</v>
      </c>
      <c r="Q3524" s="12" t="n">
        <v>110</v>
      </c>
      <c r="R3524" s="12" t="n">
        <v>156</v>
      </c>
      <c r="S3524" s="12" t="inlineStr">
        <is>
          <t>Tray</t>
        </is>
      </c>
      <c r="T3524" s="16" t="n">
        <v>250</v>
      </c>
      <c r="U3524" s="16" t="n">
        <v>42</v>
      </c>
      <c r="V3524" s="16">
        <f>ROUNDUP((T3524+U3524+2*'Read Me'!$B$13)*(1+'Read Me'!$B$12),-1)</f>
        <v/>
      </c>
      <c r="W3524" s="16">
        <f>V3524*N3524*O3524</f>
        <v/>
      </c>
      <c r="X3524" s="12">
        <f>IF(LEFT(I3524,2)="MV",2*N3524*IF(L3524="1/C",O3524,1),0)</f>
        <v/>
      </c>
      <c r="Y3524" s="12">
        <f>IF(OR(LEFT(K3524,4)="LVAX",LEFT(K3524,6)="MV15AX",LEFT(K3524,4)="CTAX",LEFT(K3524,2)="W|"),2*N3524*O3524,0)</f>
        <v/>
      </c>
      <c r="Z3524" s="12" t="inlineStr">
        <is>
          <t>VD 1.4 %</t>
        </is>
      </c>
      <c r="AA3524" s="12">
        <f>N3524*O3524</f>
        <v/>
      </c>
    </row>
    <row r="3525">
      <c r="A3525" s="12" t="inlineStr">
        <is>
          <t>G-P-0110</t>
        </is>
      </c>
      <c r="B3525" s="12" t="inlineStr">
        <is>
          <t>G</t>
        </is>
      </c>
      <c r="C3525" s="12" t="inlineStr">
        <is>
          <t>Carbon capture</t>
        </is>
      </c>
      <c r="D3525" s="12" t="inlineStr">
        <is>
          <t>Motor 11 of 30, 110 kW (VFD output)</t>
        </is>
      </c>
      <c r="E3525" s="12" t="inlineStr"/>
      <c r="F3525" s="12" t="inlineStr">
        <is>
          <t>CT MCC / VFD e-house</t>
        </is>
      </c>
      <c r="G3525" s="12" t="inlineStr">
        <is>
          <t>CCS-CT</t>
        </is>
      </c>
      <c r="H3525" s="12" t="inlineStr">
        <is>
          <t>CCS cooling tower (~30 cells): CCS process cooling only</t>
        </is>
      </c>
      <c r="I3525" s="12" t="inlineStr">
        <is>
          <t>LV 600 V</t>
        </is>
      </c>
      <c r="J3525" s="12" t="inlineStr">
        <is>
          <t>VFD cable 600 V 3/C Cu XHHW-2, 3 symmetrical grounds, overall Cu tape shield, TC-ER</t>
        </is>
      </c>
      <c r="K3525" s="12" t="inlineStr">
        <is>
          <t>VFD|3/C+3G|3/0</t>
        </is>
      </c>
      <c r="L3525" s="12" t="inlineStr">
        <is>
          <t>3/C+3G</t>
        </is>
      </c>
      <c r="M3525" s="12" t="inlineStr">
        <is>
          <t>3/0</t>
        </is>
      </c>
      <c r="N3525" s="12" t="n">
        <v>1</v>
      </c>
      <c r="O3525" s="12" t="n">
        <v>1</v>
      </c>
      <c r="P3525" s="12" t="n">
        <v>480</v>
      </c>
      <c r="Q3525" s="12" t="n">
        <v>110</v>
      </c>
      <c r="R3525" s="12" t="n">
        <v>156</v>
      </c>
      <c r="S3525" s="12" t="inlineStr">
        <is>
          <t>Tray</t>
        </is>
      </c>
      <c r="T3525" s="16" t="n">
        <v>250</v>
      </c>
      <c r="U3525" s="16" t="n">
        <v>42</v>
      </c>
      <c r="V3525" s="16">
        <f>ROUNDUP((T3525+U3525+2*'Read Me'!$B$13)*(1+'Read Me'!$B$12),-1)</f>
        <v/>
      </c>
      <c r="W3525" s="16">
        <f>V3525*N3525*O3525</f>
        <v/>
      </c>
      <c r="X3525" s="12">
        <f>IF(LEFT(I3525,2)="MV",2*N3525*IF(L3525="1/C",O3525,1),0)</f>
        <v/>
      </c>
      <c r="Y3525" s="12">
        <f>IF(OR(LEFT(K3525,4)="LVAX",LEFT(K3525,6)="MV15AX",LEFT(K3525,4)="CTAX",LEFT(K3525,2)="W|"),2*N3525*O3525,0)</f>
        <v/>
      </c>
      <c r="Z3525" s="12" t="inlineStr">
        <is>
          <t>VD 1.4 %</t>
        </is>
      </c>
      <c r="AA3525" s="12">
        <f>N3525*O3525</f>
        <v/>
      </c>
    </row>
    <row r="3526">
      <c r="A3526" s="12" t="inlineStr">
        <is>
          <t>G-P-0111</t>
        </is>
      </c>
      <c r="B3526" s="12" t="inlineStr">
        <is>
          <t>G</t>
        </is>
      </c>
      <c r="C3526" s="12" t="inlineStr">
        <is>
          <t>Carbon capture</t>
        </is>
      </c>
      <c r="D3526" s="12" t="inlineStr">
        <is>
          <t>Motor 12 of 30, 110 kW (VFD output)</t>
        </is>
      </c>
      <c r="E3526" s="12" t="inlineStr"/>
      <c r="F3526" s="12" t="inlineStr">
        <is>
          <t>CT MCC / VFD e-house</t>
        </is>
      </c>
      <c r="G3526" s="12" t="inlineStr">
        <is>
          <t>CCS-CT</t>
        </is>
      </c>
      <c r="H3526" s="12" t="inlineStr">
        <is>
          <t>CCS cooling tower (~30 cells): CCS process cooling only</t>
        </is>
      </c>
      <c r="I3526" s="12" t="inlineStr">
        <is>
          <t>LV 600 V</t>
        </is>
      </c>
      <c r="J3526" s="12" t="inlineStr">
        <is>
          <t>VFD cable 600 V 3/C Cu XHHW-2, 3 symmetrical grounds, overall Cu tape shield, TC-ER</t>
        </is>
      </c>
      <c r="K3526" s="12" t="inlineStr">
        <is>
          <t>VFD|3/C+3G|3/0</t>
        </is>
      </c>
      <c r="L3526" s="12" t="inlineStr">
        <is>
          <t>3/C+3G</t>
        </is>
      </c>
      <c r="M3526" s="12" t="inlineStr">
        <is>
          <t>3/0</t>
        </is>
      </c>
      <c r="N3526" s="12" t="n">
        <v>1</v>
      </c>
      <c r="O3526" s="12" t="n">
        <v>1</v>
      </c>
      <c r="P3526" s="12" t="n">
        <v>480</v>
      </c>
      <c r="Q3526" s="12" t="n">
        <v>110</v>
      </c>
      <c r="R3526" s="12" t="n">
        <v>156</v>
      </c>
      <c r="S3526" s="12" t="inlineStr">
        <is>
          <t>Tray</t>
        </is>
      </c>
      <c r="T3526" s="16" t="n">
        <v>250</v>
      </c>
      <c r="U3526" s="16" t="n">
        <v>42</v>
      </c>
      <c r="V3526" s="16">
        <f>ROUNDUP((T3526+U3526+2*'Read Me'!$B$13)*(1+'Read Me'!$B$12),-1)</f>
        <v/>
      </c>
      <c r="W3526" s="16">
        <f>V3526*N3526*O3526</f>
        <v/>
      </c>
      <c r="X3526" s="12">
        <f>IF(LEFT(I3526,2)="MV",2*N3526*IF(L3526="1/C",O3526,1),0)</f>
        <v/>
      </c>
      <c r="Y3526" s="12">
        <f>IF(OR(LEFT(K3526,4)="LVAX",LEFT(K3526,6)="MV15AX",LEFT(K3526,4)="CTAX",LEFT(K3526,2)="W|"),2*N3526*O3526,0)</f>
        <v/>
      </c>
      <c r="Z3526" s="12" t="inlineStr">
        <is>
          <t>VD 1.4 %</t>
        </is>
      </c>
      <c r="AA3526" s="12">
        <f>N3526*O3526</f>
        <v/>
      </c>
    </row>
    <row r="3527">
      <c r="A3527" s="12" t="inlineStr">
        <is>
          <t>G-P-0112</t>
        </is>
      </c>
      <c r="B3527" s="12" t="inlineStr">
        <is>
          <t>G</t>
        </is>
      </c>
      <c r="C3527" s="12" t="inlineStr">
        <is>
          <t>Carbon capture</t>
        </is>
      </c>
      <c r="D3527" s="12" t="inlineStr">
        <is>
          <t>Motor 13 of 30, 110 kW (VFD output)</t>
        </is>
      </c>
      <c r="E3527" s="12" t="inlineStr"/>
      <c r="F3527" s="12" t="inlineStr">
        <is>
          <t>CT MCC / VFD e-house</t>
        </is>
      </c>
      <c r="G3527" s="12" t="inlineStr">
        <is>
          <t>CCS-CT</t>
        </is>
      </c>
      <c r="H3527" s="12" t="inlineStr">
        <is>
          <t>CCS cooling tower (~30 cells): CCS process cooling only</t>
        </is>
      </c>
      <c r="I3527" s="12" t="inlineStr">
        <is>
          <t>LV 600 V</t>
        </is>
      </c>
      <c r="J3527" s="12" t="inlineStr">
        <is>
          <t>VFD cable 600 V 3/C Cu XHHW-2, 3 symmetrical grounds, overall Cu tape shield, TC-ER</t>
        </is>
      </c>
      <c r="K3527" s="12" t="inlineStr">
        <is>
          <t>VFD|3/C+3G|3/0</t>
        </is>
      </c>
      <c r="L3527" s="12" t="inlineStr">
        <is>
          <t>3/C+3G</t>
        </is>
      </c>
      <c r="M3527" s="12" t="inlineStr">
        <is>
          <t>3/0</t>
        </is>
      </c>
      <c r="N3527" s="12" t="n">
        <v>1</v>
      </c>
      <c r="O3527" s="12" t="n">
        <v>1</v>
      </c>
      <c r="P3527" s="12" t="n">
        <v>480</v>
      </c>
      <c r="Q3527" s="12" t="n">
        <v>110</v>
      </c>
      <c r="R3527" s="12" t="n">
        <v>156</v>
      </c>
      <c r="S3527" s="12" t="inlineStr">
        <is>
          <t>Tray</t>
        </is>
      </c>
      <c r="T3527" s="16" t="n">
        <v>250</v>
      </c>
      <c r="U3527" s="16" t="n">
        <v>42</v>
      </c>
      <c r="V3527" s="16">
        <f>ROUNDUP((T3527+U3527+2*'Read Me'!$B$13)*(1+'Read Me'!$B$12),-1)</f>
        <v/>
      </c>
      <c r="W3527" s="16">
        <f>V3527*N3527*O3527</f>
        <v/>
      </c>
      <c r="X3527" s="12">
        <f>IF(LEFT(I3527,2)="MV",2*N3527*IF(L3527="1/C",O3527,1),0)</f>
        <v/>
      </c>
      <c r="Y3527" s="12">
        <f>IF(OR(LEFT(K3527,4)="LVAX",LEFT(K3527,6)="MV15AX",LEFT(K3527,4)="CTAX",LEFT(K3527,2)="W|"),2*N3527*O3527,0)</f>
        <v/>
      </c>
      <c r="Z3527" s="12" t="inlineStr">
        <is>
          <t>VD 1.4 %</t>
        </is>
      </c>
      <c r="AA3527" s="12">
        <f>N3527*O3527</f>
        <v/>
      </c>
    </row>
    <row r="3528">
      <c r="A3528" s="12" t="inlineStr">
        <is>
          <t>G-P-0113</t>
        </is>
      </c>
      <c r="B3528" s="12" t="inlineStr">
        <is>
          <t>G</t>
        </is>
      </c>
      <c r="C3528" s="12" t="inlineStr">
        <is>
          <t>Carbon capture</t>
        </is>
      </c>
      <c r="D3528" s="12" t="inlineStr">
        <is>
          <t>Motor 14 of 30, 110 kW (VFD output)</t>
        </is>
      </c>
      <c r="E3528" s="12" t="inlineStr"/>
      <c r="F3528" s="12" t="inlineStr">
        <is>
          <t>CT MCC / VFD e-house</t>
        </is>
      </c>
      <c r="G3528" s="12" t="inlineStr">
        <is>
          <t>CCS-CT</t>
        </is>
      </c>
      <c r="H3528" s="12" t="inlineStr">
        <is>
          <t>CCS cooling tower (~30 cells): CCS process cooling only</t>
        </is>
      </c>
      <c r="I3528" s="12" t="inlineStr">
        <is>
          <t>LV 600 V</t>
        </is>
      </c>
      <c r="J3528" s="12" t="inlineStr">
        <is>
          <t>VFD cable 600 V 3/C Cu XHHW-2, 3 symmetrical grounds, overall Cu tape shield, TC-ER</t>
        </is>
      </c>
      <c r="K3528" s="12" t="inlineStr">
        <is>
          <t>VFD|3/C+3G|3/0</t>
        </is>
      </c>
      <c r="L3528" s="12" t="inlineStr">
        <is>
          <t>3/C+3G</t>
        </is>
      </c>
      <c r="M3528" s="12" t="inlineStr">
        <is>
          <t>3/0</t>
        </is>
      </c>
      <c r="N3528" s="12" t="n">
        <v>1</v>
      </c>
      <c r="O3528" s="12" t="n">
        <v>1</v>
      </c>
      <c r="P3528" s="12" t="n">
        <v>480</v>
      </c>
      <c r="Q3528" s="12" t="n">
        <v>110</v>
      </c>
      <c r="R3528" s="12" t="n">
        <v>156</v>
      </c>
      <c r="S3528" s="12" t="inlineStr">
        <is>
          <t>Tray</t>
        </is>
      </c>
      <c r="T3528" s="16" t="n">
        <v>250</v>
      </c>
      <c r="U3528" s="16" t="n">
        <v>42</v>
      </c>
      <c r="V3528" s="16">
        <f>ROUNDUP((T3528+U3528+2*'Read Me'!$B$13)*(1+'Read Me'!$B$12),-1)</f>
        <v/>
      </c>
      <c r="W3528" s="16">
        <f>V3528*N3528*O3528</f>
        <v/>
      </c>
      <c r="X3528" s="12">
        <f>IF(LEFT(I3528,2)="MV",2*N3528*IF(L3528="1/C",O3528,1),0)</f>
        <v/>
      </c>
      <c r="Y3528" s="12">
        <f>IF(OR(LEFT(K3528,4)="LVAX",LEFT(K3528,6)="MV15AX",LEFT(K3528,4)="CTAX",LEFT(K3528,2)="W|"),2*N3528*O3528,0)</f>
        <v/>
      </c>
      <c r="Z3528" s="12" t="inlineStr">
        <is>
          <t>VD 1.4 %</t>
        </is>
      </c>
      <c r="AA3528" s="12">
        <f>N3528*O3528</f>
        <v/>
      </c>
    </row>
    <row r="3529">
      <c r="A3529" s="12" t="inlineStr">
        <is>
          <t>G-P-0114</t>
        </is>
      </c>
      <c r="B3529" s="12" t="inlineStr">
        <is>
          <t>G</t>
        </is>
      </c>
      <c r="C3529" s="12" t="inlineStr">
        <is>
          <t>Carbon capture</t>
        </is>
      </c>
      <c r="D3529" s="12" t="inlineStr">
        <is>
          <t>Motor 15 of 30, 110 kW (VFD output)</t>
        </is>
      </c>
      <c r="E3529" s="12" t="inlineStr"/>
      <c r="F3529" s="12" t="inlineStr">
        <is>
          <t>CT MCC / VFD e-house</t>
        </is>
      </c>
      <c r="G3529" s="12" t="inlineStr">
        <is>
          <t>CCS-CT</t>
        </is>
      </c>
      <c r="H3529" s="12" t="inlineStr">
        <is>
          <t>CCS cooling tower (~30 cells): CCS process cooling only</t>
        </is>
      </c>
      <c r="I3529" s="12" t="inlineStr">
        <is>
          <t>LV 600 V</t>
        </is>
      </c>
      <c r="J3529" s="12" t="inlineStr">
        <is>
          <t>VFD cable 600 V 3/C Cu XHHW-2, 3 symmetrical grounds, overall Cu tape shield, TC-ER</t>
        </is>
      </c>
      <c r="K3529" s="12" t="inlineStr">
        <is>
          <t>VFD|3/C+3G|3/0</t>
        </is>
      </c>
      <c r="L3529" s="12" t="inlineStr">
        <is>
          <t>3/C+3G</t>
        </is>
      </c>
      <c r="M3529" s="12" t="inlineStr">
        <is>
          <t>3/0</t>
        </is>
      </c>
      <c r="N3529" s="12" t="n">
        <v>1</v>
      </c>
      <c r="O3529" s="12" t="n">
        <v>1</v>
      </c>
      <c r="P3529" s="12" t="n">
        <v>480</v>
      </c>
      <c r="Q3529" s="12" t="n">
        <v>110</v>
      </c>
      <c r="R3529" s="12" t="n">
        <v>156</v>
      </c>
      <c r="S3529" s="12" t="inlineStr">
        <is>
          <t>Tray</t>
        </is>
      </c>
      <c r="T3529" s="16" t="n">
        <v>250</v>
      </c>
      <c r="U3529" s="16" t="n">
        <v>42</v>
      </c>
      <c r="V3529" s="16">
        <f>ROUNDUP((T3529+U3529+2*'Read Me'!$B$13)*(1+'Read Me'!$B$12),-1)</f>
        <v/>
      </c>
      <c r="W3529" s="16">
        <f>V3529*N3529*O3529</f>
        <v/>
      </c>
      <c r="X3529" s="12">
        <f>IF(LEFT(I3529,2)="MV",2*N3529*IF(L3529="1/C",O3529,1),0)</f>
        <v/>
      </c>
      <c r="Y3529" s="12">
        <f>IF(OR(LEFT(K3529,4)="LVAX",LEFT(K3529,6)="MV15AX",LEFT(K3529,4)="CTAX",LEFT(K3529,2)="W|"),2*N3529*O3529,0)</f>
        <v/>
      </c>
      <c r="Z3529" s="12" t="inlineStr">
        <is>
          <t>VD 1.4 %</t>
        </is>
      </c>
      <c r="AA3529" s="12">
        <f>N3529*O3529</f>
        <v/>
      </c>
    </row>
    <row r="3530">
      <c r="A3530" s="12" t="inlineStr">
        <is>
          <t>G-P-0115</t>
        </is>
      </c>
      <c r="B3530" s="12" t="inlineStr">
        <is>
          <t>G</t>
        </is>
      </c>
      <c r="C3530" s="12" t="inlineStr">
        <is>
          <t>Carbon capture</t>
        </is>
      </c>
      <c r="D3530" s="12" t="inlineStr">
        <is>
          <t>Motor 16 of 30, 110 kW (VFD output)</t>
        </is>
      </c>
      <c r="E3530" s="12" t="inlineStr"/>
      <c r="F3530" s="12" t="inlineStr">
        <is>
          <t>CT MCC / VFD e-house</t>
        </is>
      </c>
      <c r="G3530" s="12" t="inlineStr">
        <is>
          <t>CCS-CT</t>
        </is>
      </c>
      <c r="H3530" s="12" t="inlineStr">
        <is>
          <t>CCS cooling tower (~30 cells): CCS process cooling only</t>
        </is>
      </c>
      <c r="I3530" s="12" t="inlineStr">
        <is>
          <t>LV 600 V</t>
        </is>
      </c>
      <c r="J3530" s="12" t="inlineStr">
        <is>
          <t>VFD cable 600 V 3/C Cu XHHW-2, 3 symmetrical grounds, overall Cu tape shield, TC-ER</t>
        </is>
      </c>
      <c r="K3530" s="12" t="inlineStr">
        <is>
          <t>VFD|3/C+3G|3/0</t>
        </is>
      </c>
      <c r="L3530" s="12" t="inlineStr">
        <is>
          <t>3/C+3G</t>
        </is>
      </c>
      <c r="M3530" s="12" t="inlineStr">
        <is>
          <t>3/0</t>
        </is>
      </c>
      <c r="N3530" s="12" t="n">
        <v>1</v>
      </c>
      <c r="O3530" s="12" t="n">
        <v>1</v>
      </c>
      <c r="P3530" s="12" t="n">
        <v>480</v>
      </c>
      <c r="Q3530" s="12" t="n">
        <v>110</v>
      </c>
      <c r="R3530" s="12" t="n">
        <v>156</v>
      </c>
      <c r="S3530" s="12" t="inlineStr">
        <is>
          <t>Tray</t>
        </is>
      </c>
      <c r="T3530" s="16" t="n">
        <v>250</v>
      </c>
      <c r="U3530" s="16" t="n">
        <v>42</v>
      </c>
      <c r="V3530" s="16">
        <f>ROUNDUP((T3530+U3530+2*'Read Me'!$B$13)*(1+'Read Me'!$B$12),-1)</f>
        <v/>
      </c>
      <c r="W3530" s="16">
        <f>V3530*N3530*O3530</f>
        <v/>
      </c>
      <c r="X3530" s="12">
        <f>IF(LEFT(I3530,2)="MV",2*N3530*IF(L3530="1/C",O3530,1),0)</f>
        <v/>
      </c>
      <c r="Y3530" s="12">
        <f>IF(OR(LEFT(K3530,4)="LVAX",LEFT(K3530,6)="MV15AX",LEFT(K3530,4)="CTAX",LEFT(K3530,2)="W|"),2*N3530*O3530,0)</f>
        <v/>
      </c>
      <c r="Z3530" s="12" t="inlineStr">
        <is>
          <t>VD 1.4 %</t>
        </is>
      </c>
      <c r="AA3530" s="12">
        <f>N3530*O3530</f>
        <v/>
      </c>
    </row>
    <row r="3531">
      <c r="A3531" s="12" t="inlineStr">
        <is>
          <t>G-P-0116</t>
        </is>
      </c>
      <c r="B3531" s="12" t="inlineStr">
        <is>
          <t>G</t>
        </is>
      </c>
      <c r="C3531" s="12" t="inlineStr">
        <is>
          <t>Carbon capture</t>
        </is>
      </c>
      <c r="D3531" s="12" t="inlineStr">
        <is>
          <t>Motor 17 of 30, 110 kW (VFD output)</t>
        </is>
      </c>
      <c r="E3531" s="12" t="inlineStr"/>
      <c r="F3531" s="12" t="inlineStr">
        <is>
          <t>CT MCC / VFD e-house</t>
        </is>
      </c>
      <c r="G3531" s="12" t="inlineStr">
        <is>
          <t>CCS-CT</t>
        </is>
      </c>
      <c r="H3531" s="12" t="inlineStr">
        <is>
          <t>CCS cooling tower (~30 cells): CCS process cooling only</t>
        </is>
      </c>
      <c r="I3531" s="12" t="inlineStr">
        <is>
          <t>LV 600 V</t>
        </is>
      </c>
      <c r="J3531" s="12" t="inlineStr">
        <is>
          <t>VFD cable 600 V 3/C Cu XHHW-2, 3 symmetrical grounds, overall Cu tape shield, TC-ER</t>
        </is>
      </c>
      <c r="K3531" s="12" t="inlineStr">
        <is>
          <t>VFD|3/C+3G|3/0</t>
        </is>
      </c>
      <c r="L3531" s="12" t="inlineStr">
        <is>
          <t>3/C+3G</t>
        </is>
      </c>
      <c r="M3531" s="12" t="inlineStr">
        <is>
          <t>3/0</t>
        </is>
      </c>
      <c r="N3531" s="12" t="n">
        <v>1</v>
      </c>
      <c r="O3531" s="12" t="n">
        <v>1</v>
      </c>
      <c r="P3531" s="12" t="n">
        <v>480</v>
      </c>
      <c r="Q3531" s="12" t="n">
        <v>110</v>
      </c>
      <c r="R3531" s="12" t="n">
        <v>156</v>
      </c>
      <c r="S3531" s="12" t="inlineStr">
        <is>
          <t>Tray</t>
        </is>
      </c>
      <c r="T3531" s="16" t="n">
        <v>250</v>
      </c>
      <c r="U3531" s="16" t="n">
        <v>42</v>
      </c>
      <c r="V3531" s="16">
        <f>ROUNDUP((T3531+U3531+2*'Read Me'!$B$13)*(1+'Read Me'!$B$12),-1)</f>
        <v/>
      </c>
      <c r="W3531" s="16">
        <f>V3531*N3531*O3531</f>
        <v/>
      </c>
      <c r="X3531" s="12">
        <f>IF(LEFT(I3531,2)="MV",2*N3531*IF(L3531="1/C",O3531,1),0)</f>
        <v/>
      </c>
      <c r="Y3531" s="12">
        <f>IF(OR(LEFT(K3531,4)="LVAX",LEFT(K3531,6)="MV15AX",LEFT(K3531,4)="CTAX",LEFT(K3531,2)="W|"),2*N3531*O3531,0)</f>
        <v/>
      </c>
      <c r="Z3531" s="12" t="inlineStr">
        <is>
          <t>VD 1.4 %</t>
        </is>
      </c>
      <c r="AA3531" s="12">
        <f>N3531*O3531</f>
        <v/>
      </c>
    </row>
    <row r="3532">
      <c r="A3532" s="12" t="inlineStr">
        <is>
          <t>G-P-0117</t>
        </is>
      </c>
      <c r="B3532" s="12" t="inlineStr">
        <is>
          <t>G</t>
        </is>
      </c>
      <c r="C3532" s="12" t="inlineStr">
        <is>
          <t>Carbon capture</t>
        </is>
      </c>
      <c r="D3532" s="12" t="inlineStr">
        <is>
          <t>Motor 18 of 30, 110 kW (VFD output)</t>
        </is>
      </c>
      <c r="E3532" s="12" t="inlineStr"/>
      <c r="F3532" s="12" t="inlineStr">
        <is>
          <t>CT MCC / VFD e-house</t>
        </is>
      </c>
      <c r="G3532" s="12" t="inlineStr">
        <is>
          <t>CCS-CT</t>
        </is>
      </c>
      <c r="H3532" s="12" t="inlineStr">
        <is>
          <t>CCS cooling tower (~30 cells): CCS process cooling only</t>
        </is>
      </c>
      <c r="I3532" s="12" t="inlineStr">
        <is>
          <t>LV 600 V</t>
        </is>
      </c>
      <c r="J3532" s="12" t="inlineStr">
        <is>
          <t>VFD cable 600 V 3/C Cu XHHW-2, 3 symmetrical grounds, overall Cu tape shield, TC-ER</t>
        </is>
      </c>
      <c r="K3532" s="12" t="inlineStr">
        <is>
          <t>VFD|3/C+3G|3/0</t>
        </is>
      </c>
      <c r="L3532" s="12" t="inlineStr">
        <is>
          <t>3/C+3G</t>
        </is>
      </c>
      <c r="M3532" s="12" t="inlineStr">
        <is>
          <t>3/0</t>
        </is>
      </c>
      <c r="N3532" s="12" t="n">
        <v>1</v>
      </c>
      <c r="O3532" s="12" t="n">
        <v>1</v>
      </c>
      <c r="P3532" s="12" t="n">
        <v>480</v>
      </c>
      <c r="Q3532" s="12" t="n">
        <v>110</v>
      </c>
      <c r="R3532" s="12" t="n">
        <v>156</v>
      </c>
      <c r="S3532" s="12" t="inlineStr">
        <is>
          <t>Tray</t>
        </is>
      </c>
      <c r="T3532" s="16" t="n">
        <v>250</v>
      </c>
      <c r="U3532" s="16" t="n">
        <v>42</v>
      </c>
      <c r="V3532" s="16">
        <f>ROUNDUP((T3532+U3532+2*'Read Me'!$B$13)*(1+'Read Me'!$B$12),-1)</f>
        <v/>
      </c>
      <c r="W3532" s="16">
        <f>V3532*N3532*O3532</f>
        <v/>
      </c>
      <c r="X3532" s="12">
        <f>IF(LEFT(I3532,2)="MV",2*N3532*IF(L3532="1/C",O3532,1),0)</f>
        <v/>
      </c>
      <c r="Y3532" s="12">
        <f>IF(OR(LEFT(K3532,4)="LVAX",LEFT(K3532,6)="MV15AX",LEFT(K3532,4)="CTAX",LEFT(K3532,2)="W|"),2*N3532*O3532,0)</f>
        <v/>
      </c>
      <c r="Z3532" s="12" t="inlineStr">
        <is>
          <t>VD 1.4 %</t>
        </is>
      </c>
      <c r="AA3532" s="12">
        <f>N3532*O3532</f>
        <v/>
      </c>
    </row>
    <row r="3533">
      <c r="A3533" s="12" t="inlineStr">
        <is>
          <t>G-P-0118</t>
        </is>
      </c>
      <c r="B3533" s="12" t="inlineStr">
        <is>
          <t>G</t>
        </is>
      </c>
      <c r="C3533" s="12" t="inlineStr">
        <is>
          <t>Carbon capture</t>
        </is>
      </c>
      <c r="D3533" s="12" t="inlineStr">
        <is>
          <t>Motor 19 of 30, 110 kW (VFD output)</t>
        </is>
      </c>
      <c r="E3533" s="12" t="inlineStr"/>
      <c r="F3533" s="12" t="inlineStr">
        <is>
          <t>CT MCC / VFD e-house</t>
        </is>
      </c>
      <c r="G3533" s="12" t="inlineStr">
        <is>
          <t>CCS-CT</t>
        </is>
      </c>
      <c r="H3533" s="12" t="inlineStr">
        <is>
          <t>CCS cooling tower (~30 cells): CCS process cooling only</t>
        </is>
      </c>
      <c r="I3533" s="12" t="inlineStr">
        <is>
          <t>LV 600 V</t>
        </is>
      </c>
      <c r="J3533" s="12" t="inlineStr">
        <is>
          <t>VFD cable 600 V 3/C Cu XHHW-2, 3 symmetrical grounds, overall Cu tape shield, TC-ER</t>
        </is>
      </c>
      <c r="K3533" s="12" t="inlineStr">
        <is>
          <t>VFD|3/C+3G|3/0</t>
        </is>
      </c>
      <c r="L3533" s="12" t="inlineStr">
        <is>
          <t>3/C+3G</t>
        </is>
      </c>
      <c r="M3533" s="12" t="inlineStr">
        <is>
          <t>3/0</t>
        </is>
      </c>
      <c r="N3533" s="12" t="n">
        <v>1</v>
      </c>
      <c r="O3533" s="12" t="n">
        <v>1</v>
      </c>
      <c r="P3533" s="12" t="n">
        <v>480</v>
      </c>
      <c r="Q3533" s="12" t="n">
        <v>110</v>
      </c>
      <c r="R3533" s="12" t="n">
        <v>156</v>
      </c>
      <c r="S3533" s="12" t="inlineStr">
        <is>
          <t>Tray</t>
        </is>
      </c>
      <c r="T3533" s="16" t="n">
        <v>250</v>
      </c>
      <c r="U3533" s="16" t="n">
        <v>42</v>
      </c>
      <c r="V3533" s="16">
        <f>ROUNDUP((T3533+U3533+2*'Read Me'!$B$13)*(1+'Read Me'!$B$12),-1)</f>
        <v/>
      </c>
      <c r="W3533" s="16">
        <f>V3533*N3533*O3533</f>
        <v/>
      </c>
      <c r="X3533" s="12">
        <f>IF(LEFT(I3533,2)="MV",2*N3533*IF(L3533="1/C",O3533,1),0)</f>
        <v/>
      </c>
      <c r="Y3533" s="12">
        <f>IF(OR(LEFT(K3533,4)="LVAX",LEFT(K3533,6)="MV15AX",LEFT(K3533,4)="CTAX",LEFT(K3533,2)="W|"),2*N3533*O3533,0)</f>
        <v/>
      </c>
      <c r="Z3533" s="12" t="inlineStr">
        <is>
          <t>VD 1.4 %</t>
        </is>
      </c>
      <c r="AA3533" s="12">
        <f>N3533*O3533</f>
        <v/>
      </c>
    </row>
    <row r="3534">
      <c r="A3534" s="12" t="inlineStr">
        <is>
          <t>G-P-0119</t>
        </is>
      </c>
      <c r="B3534" s="12" t="inlineStr">
        <is>
          <t>G</t>
        </is>
      </c>
      <c r="C3534" s="12" t="inlineStr">
        <is>
          <t>Carbon capture</t>
        </is>
      </c>
      <c r="D3534" s="12" t="inlineStr">
        <is>
          <t>Motor 20 of 30, 110 kW (VFD output)</t>
        </is>
      </c>
      <c r="E3534" s="12" t="inlineStr"/>
      <c r="F3534" s="12" t="inlineStr">
        <is>
          <t>CT MCC / VFD e-house</t>
        </is>
      </c>
      <c r="G3534" s="12" t="inlineStr">
        <is>
          <t>CCS-CT</t>
        </is>
      </c>
      <c r="H3534" s="12" t="inlineStr">
        <is>
          <t>CCS cooling tower (~30 cells): CCS process cooling only</t>
        </is>
      </c>
      <c r="I3534" s="12" t="inlineStr">
        <is>
          <t>LV 600 V</t>
        </is>
      </c>
      <c r="J3534" s="12" t="inlineStr">
        <is>
          <t>VFD cable 600 V 3/C Cu XHHW-2, 3 symmetrical grounds, overall Cu tape shield, TC-ER</t>
        </is>
      </c>
      <c r="K3534" s="12" t="inlineStr">
        <is>
          <t>VFD|3/C+3G|3/0</t>
        </is>
      </c>
      <c r="L3534" s="12" t="inlineStr">
        <is>
          <t>3/C+3G</t>
        </is>
      </c>
      <c r="M3534" s="12" t="inlineStr">
        <is>
          <t>3/0</t>
        </is>
      </c>
      <c r="N3534" s="12" t="n">
        <v>1</v>
      </c>
      <c r="O3534" s="12" t="n">
        <v>1</v>
      </c>
      <c r="P3534" s="12" t="n">
        <v>480</v>
      </c>
      <c r="Q3534" s="12" t="n">
        <v>110</v>
      </c>
      <c r="R3534" s="12" t="n">
        <v>156</v>
      </c>
      <c r="S3534" s="12" t="inlineStr">
        <is>
          <t>Tray</t>
        </is>
      </c>
      <c r="T3534" s="16" t="n">
        <v>250</v>
      </c>
      <c r="U3534" s="16" t="n">
        <v>42</v>
      </c>
      <c r="V3534" s="16">
        <f>ROUNDUP((T3534+U3534+2*'Read Me'!$B$13)*(1+'Read Me'!$B$12),-1)</f>
        <v/>
      </c>
      <c r="W3534" s="16">
        <f>V3534*N3534*O3534</f>
        <v/>
      </c>
      <c r="X3534" s="12">
        <f>IF(LEFT(I3534,2)="MV",2*N3534*IF(L3534="1/C",O3534,1),0)</f>
        <v/>
      </c>
      <c r="Y3534" s="12">
        <f>IF(OR(LEFT(K3534,4)="LVAX",LEFT(K3534,6)="MV15AX",LEFT(K3534,4)="CTAX",LEFT(K3534,2)="W|"),2*N3534*O3534,0)</f>
        <v/>
      </c>
      <c r="Z3534" s="12" t="inlineStr">
        <is>
          <t>VD 1.4 %</t>
        </is>
      </c>
      <c r="AA3534" s="12">
        <f>N3534*O3534</f>
        <v/>
      </c>
    </row>
    <row r="3535">
      <c r="A3535" s="12" t="inlineStr">
        <is>
          <t>G-P-0120</t>
        </is>
      </c>
      <c r="B3535" s="12" t="inlineStr">
        <is>
          <t>G</t>
        </is>
      </c>
      <c r="C3535" s="12" t="inlineStr">
        <is>
          <t>Carbon capture</t>
        </is>
      </c>
      <c r="D3535" s="12" t="inlineStr">
        <is>
          <t>Motor 21 of 30, 110 kW (VFD output)</t>
        </is>
      </c>
      <c r="E3535" s="12" t="inlineStr"/>
      <c r="F3535" s="12" t="inlineStr">
        <is>
          <t>CT MCC / VFD e-house</t>
        </is>
      </c>
      <c r="G3535" s="12" t="inlineStr">
        <is>
          <t>CCS-CT</t>
        </is>
      </c>
      <c r="H3535" s="12" t="inlineStr">
        <is>
          <t>CCS cooling tower (~30 cells): CCS process cooling only</t>
        </is>
      </c>
      <c r="I3535" s="12" t="inlineStr">
        <is>
          <t>LV 600 V</t>
        </is>
      </c>
      <c r="J3535" s="12" t="inlineStr">
        <is>
          <t>VFD cable 600 V 3/C Cu XHHW-2, 3 symmetrical grounds, overall Cu tape shield, TC-ER</t>
        </is>
      </c>
      <c r="K3535" s="12" t="inlineStr">
        <is>
          <t>VFD|3/C+3G|3/0</t>
        </is>
      </c>
      <c r="L3535" s="12" t="inlineStr">
        <is>
          <t>3/C+3G</t>
        </is>
      </c>
      <c r="M3535" s="12" t="inlineStr">
        <is>
          <t>3/0</t>
        </is>
      </c>
      <c r="N3535" s="12" t="n">
        <v>1</v>
      </c>
      <c r="O3535" s="12" t="n">
        <v>1</v>
      </c>
      <c r="P3535" s="12" t="n">
        <v>480</v>
      </c>
      <c r="Q3535" s="12" t="n">
        <v>110</v>
      </c>
      <c r="R3535" s="12" t="n">
        <v>156</v>
      </c>
      <c r="S3535" s="12" t="inlineStr">
        <is>
          <t>Tray</t>
        </is>
      </c>
      <c r="T3535" s="16" t="n">
        <v>250</v>
      </c>
      <c r="U3535" s="16" t="n">
        <v>42</v>
      </c>
      <c r="V3535" s="16">
        <f>ROUNDUP((T3535+U3535+2*'Read Me'!$B$13)*(1+'Read Me'!$B$12),-1)</f>
        <v/>
      </c>
      <c r="W3535" s="16">
        <f>V3535*N3535*O3535</f>
        <v/>
      </c>
      <c r="X3535" s="12">
        <f>IF(LEFT(I3535,2)="MV",2*N3535*IF(L3535="1/C",O3535,1),0)</f>
        <v/>
      </c>
      <c r="Y3535" s="12">
        <f>IF(OR(LEFT(K3535,4)="LVAX",LEFT(K3535,6)="MV15AX",LEFT(K3535,4)="CTAX",LEFT(K3535,2)="W|"),2*N3535*O3535,0)</f>
        <v/>
      </c>
      <c r="Z3535" s="12" t="inlineStr">
        <is>
          <t>VD 1.4 %</t>
        </is>
      </c>
      <c r="AA3535" s="12">
        <f>N3535*O3535</f>
        <v/>
      </c>
    </row>
    <row r="3536">
      <c r="A3536" s="12" t="inlineStr">
        <is>
          <t>G-P-0121</t>
        </is>
      </c>
      <c r="B3536" s="12" t="inlineStr">
        <is>
          <t>G</t>
        </is>
      </c>
      <c r="C3536" s="12" t="inlineStr">
        <is>
          <t>Carbon capture</t>
        </is>
      </c>
      <c r="D3536" s="12" t="inlineStr">
        <is>
          <t>Motor 22 of 30, 110 kW (VFD output)</t>
        </is>
      </c>
      <c r="E3536" s="12" t="inlineStr"/>
      <c r="F3536" s="12" t="inlineStr">
        <is>
          <t>CT MCC / VFD e-house</t>
        </is>
      </c>
      <c r="G3536" s="12" t="inlineStr">
        <is>
          <t>CCS-CT</t>
        </is>
      </c>
      <c r="H3536" s="12" t="inlineStr">
        <is>
          <t>CCS cooling tower (~30 cells): CCS process cooling only</t>
        </is>
      </c>
      <c r="I3536" s="12" t="inlineStr">
        <is>
          <t>LV 600 V</t>
        </is>
      </c>
      <c r="J3536" s="12" t="inlineStr">
        <is>
          <t>VFD cable 600 V 3/C Cu XHHW-2, 3 symmetrical grounds, overall Cu tape shield, TC-ER</t>
        </is>
      </c>
      <c r="K3536" s="12" t="inlineStr">
        <is>
          <t>VFD|3/C+3G|3/0</t>
        </is>
      </c>
      <c r="L3536" s="12" t="inlineStr">
        <is>
          <t>3/C+3G</t>
        </is>
      </c>
      <c r="M3536" s="12" t="inlineStr">
        <is>
          <t>3/0</t>
        </is>
      </c>
      <c r="N3536" s="12" t="n">
        <v>1</v>
      </c>
      <c r="O3536" s="12" t="n">
        <v>1</v>
      </c>
      <c r="P3536" s="12" t="n">
        <v>480</v>
      </c>
      <c r="Q3536" s="12" t="n">
        <v>110</v>
      </c>
      <c r="R3536" s="12" t="n">
        <v>156</v>
      </c>
      <c r="S3536" s="12" t="inlineStr">
        <is>
          <t>Tray</t>
        </is>
      </c>
      <c r="T3536" s="16" t="n">
        <v>250</v>
      </c>
      <c r="U3536" s="16" t="n">
        <v>42</v>
      </c>
      <c r="V3536" s="16">
        <f>ROUNDUP((T3536+U3536+2*'Read Me'!$B$13)*(1+'Read Me'!$B$12),-1)</f>
        <v/>
      </c>
      <c r="W3536" s="16">
        <f>V3536*N3536*O3536</f>
        <v/>
      </c>
      <c r="X3536" s="12">
        <f>IF(LEFT(I3536,2)="MV",2*N3536*IF(L3536="1/C",O3536,1),0)</f>
        <v/>
      </c>
      <c r="Y3536" s="12">
        <f>IF(OR(LEFT(K3536,4)="LVAX",LEFT(K3536,6)="MV15AX",LEFT(K3536,4)="CTAX",LEFT(K3536,2)="W|"),2*N3536*O3536,0)</f>
        <v/>
      </c>
      <c r="Z3536" s="12" t="inlineStr">
        <is>
          <t>VD 1.4 %</t>
        </is>
      </c>
      <c r="AA3536" s="12">
        <f>N3536*O3536</f>
        <v/>
      </c>
    </row>
    <row r="3537">
      <c r="A3537" s="12" t="inlineStr">
        <is>
          <t>G-P-0122</t>
        </is>
      </c>
      <c r="B3537" s="12" t="inlineStr">
        <is>
          <t>G</t>
        </is>
      </c>
      <c r="C3537" s="12" t="inlineStr">
        <is>
          <t>Carbon capture</t>
        </is>
      </c>
      <c r="D3537" s="12" t="inlineStr">
        <is>
          <t>Motor 23 of 30, 110 kW (VFD output)</t>
        </is>
      </c>
      <c r="E3537" s="12" t="inlineStr"/>
      <c r="F3537" s="12" t="inlineStr">
        <is>
          <t>CT MCC / VFD e-house</t>
        </is>
      </c>
      <c r="G3537" s="12" t="inlineStr">
        <is>
          <t>CCS-CT</t>
        </is>
      </c>
      <c r="H3537" s="12" t="inlineStr">
        <is>
          <t>CCS cooling tower (~30 cells): CCS process cooling only</t>
        </is>
      </c>
      <c r="I3537" s="12" t="inlineStr">
        <is>
          <t>LV 600 V</t>
        </is>
      </c>
      <c r="J3537" s="12" t="inlineStr">
        <is>
          <t>VFD cable 600 V 3/C Cu XHHW-2, 3 symmetrical grounds, overall Cu tape shield, TC-ER</t>
        </is>
      </c>
      <c r="K3537" s="12" t="inlineStr">
        <is>
          <t>VFD|3/C+3G|3/0</t>
        </is>
      </c>
      <c r="L3537" s="12" t="inlineStr">
        <is>
          <t>3/C+3G</t>
        </is>
      </c>
      <c r="M3537" s="12" t="inlineStr">
        <is>
          <t>3/0</t>
        </is>
      </c>
      <c r="N3537" s="12" t="n">
        <v>1</v>
      </c>
      <c r="O3537" s="12" t="n">
        <v>1</v>
      </c>
      <c r="P3537" s="12" t="n">
        <v>480</v>
      </c>
      <c r="Q3537" s="12" t="n">
        <v>110</v>
      </c>
      <c r="R3537" s="12" t="n">
        <v>156</v>
      </c>
      <c r="S3537" s="12" t="inlineStr">
        <is>
          <t>Tray</t>
        </is>
      </c>
      <c r="T3537" s="16" t="n">
        <v>250</v>
      </c>
      <c r="U3537" s="16" t="n">
        <v>42</v>
      </c>
      <c r="V3537" s="16">
        <f>ROUNDUP((T3537+U3537+2*'Read Me'!$B$13)*(1+'Read Me'!$B$12),-1)</f>
        <v/>
      </c>
      <c r="W3537" s="16">
        <f>V3537*N3537*O3537</f>
        <v/>
      </c>
      <c r="X3537" s="12">
        <f>IF(LEFT(I3537,2)="MV",2*N3537*IF(L3537="1/C",O3537,1),0)</f>
        <v/>
      </c>
      <c r="Y3537" s="12">
        <f>IF(OR(LEFT(K3537,4)="LVAX",LEFT(K3537,6)="MV15AX",LEFT(K3537,4)="CTAX",LEFT(K3537,2)="W|"),2*N3537*O3537,0)</f>
        <v/>
      </c>
      <c r="Z3537" s="12" t="inlineStr">
        <is>
          <t>VD 1.4 %</t>
        </is>
      </c>
      <c r="AA3537" s="12">
        <f>N3537*O3537</f>
        <v/>
      </c>
    </row>
    <row r="3538">
      <c r="A3538" s="12" t="inlineStr">
        <is>
          <t>G-P-0123</t>
        </is>
      </c>
      <c r="B3538" s="12" t="inlineStr">
        <is>
          <t>G</t>
        </is>
      </c>
      <c r="C3538" s="12" t="inlineStr">
        <is>
          <t>Carbon capture</t>
        </is>
      </c>
      <c r="D3538" s="12" t="inlineStr">
        <is>
          <t>Motor 24 of 30, 110 kW (VFD output)</t>
        </is>
      </c>
      <c r="E3538" s="12" t="inlineStr"/>
      <c r="F3538" s="12" t="inlineStr">
        <is>
          <t>CT MCC / VFD e-house</t>
        </is>
      </c>
      <c r="G3538" s="12" t="inlineStr">
        <is>
          <t>CCS-CT</t>
        </is>
      </c>
      <c r="H3538" s="12" t="inlineStr">
        <is>
          <t>CCS cooling tower (~30 cells): CCS process cooling only</t>
        </is>
      </c>
      <c r="I3538" s="12" t="inlineStr">
        <is>
          <t>LV 600 V</t>
        </is>
      </c>
      <c r="J3538" s="12" t="inlineStr">
        <is>
          <t>VFD cable 600 V 3/C Cu XHHW-2, 3 symmetrical grounds, overall Cu tape shield, TC-ER</t>
        </is>
      </c>
      <c r="K3538" s="12" t="inlineStr">
        <is>
          <t>VFD|3/C+3G|3/0</t>
        </is>
      </c>
      <c r="L3538" s="12" t="inlineStr">
        <is>
          <t>3/C+3G</t>
        </is>
      </c>
      <c r="M3538" s="12" t="inlineStr">
        <is>
          <t>3/0</t>
        </is>
      </c>
      <c r="N3538" s="12" t="n">
        <v>1</v>
      </c>
      <c r="O3538" s="12" t="n">
        <v>1</v>
      </c>
      <c r="P3538" s="12" t="n">
        <v>480</v>
      </c>
      <c r="Q3538" s="12" t="n">
        <v>110</v>
      </c>
      <c r="R3538" s="12" t="n">
        <v>156</v>
      </c>
      <c r="S3538" s="12" t="inlineStr">
        <is>
          <t>Tray</t>
        </is>
      </c>
      <c r="T3538" s="16" t="n">
        <v>250</v>
      </c>
      <c r="U3538" s="16" t="n">
        <v>42</v>
      </c>
      <c r="V3538" s="16">
        <f>ROUNDUP((T3538+U3538+2*'Read Me'!$B$13)*(1+'Read Me'!$B$12),-1)</f>
        <v/>
      </c>
      <c r="W3538" s="16">
        <f>V3538*N3538*O3538</f>
        <v/>
      </c>
      <c r="X3538" s="12">
        <f>IF(LEFT(I3538,2)="MV",2*N3538*IF(L3538="1/C",O3538,1),0)</f>
        <v/>
      </c>
      <c r="Y3538" s="12">
        <f>IF(OR(LEFT(K3538,4)="LVAX",LEFT(K3538,6)="MV15AX",LEFT(K3538,4)="CTAX",LEFT(K3538,2)="W|"),2*N3538*O3538,0)</f>
        <v/>
      </c>
      <c r="Z3538" s="12" t="inlineStr">
        <is>
          <t>VD 1.4 %</t>
        </is>
      </c>
      <c r="AA3538" s="12">
        <f>N3538*O3538</f>
        <v/>
      </c>
    </row>
    <row r="3539">
      <c r="A3539" s="12" t="inlineStr">
        <is>
          <t>G-P-0124</t>
        </is>
      </c>
      <c r="B3539" s="12" t="inlineStr">
        <is>
          <t>G</t>
        </is>
      </c>
      <c r="C3539" s="12" t="inlineStr">
        <is>
          <t>Carbon capture</t>
        </is>
      </c>
      <c r="D3539" s="12" t="inlineStr">
        <is>
          <t>Motor 25 of 30, 110 kW (VFD output)</t>
        </is>
      </c>
      <c r="E3539" s="12" t="inlineStr"/>
      <c r="F3539" s="12" t="inlineStr">
        <is>
          <t>CT MCC / VFD e-house</t>
        </is>
      </c>
      <c r="G3539" s="12" t="inlineStr">
        <is>
          <t>CCS-CT</t>
        </is>
      </c>
      <c r="H3539" s="12" t="inlineStr">
        <is>
          <t>CCS cooling tower (~30 cells): CCS process cooling only</t>
        </is>
      </c>
      <c r="I3539" s="12" t="inlineStr">
        <is>
          <t>LV 600 V</t>
        </is>
      </c>
      <c r="J3539" s="12" t="inlineStr">
        <is>
          <t>VFD cable 600 V 3/C Cu XHHW-2, 3 symmetrical grounds, overall Cu tape shield, TC-ER</t>
        </is>
      </c>
      <c r="K3539" s="12" t="inlineStr">
        <is>
          <t>VFD|3/C+3G|3/0</t>
        </is>
      </c>
      <c r="L3539" s="12" t="inlineStr">
        <is>
          <t>3/C+3G</t>
        </is>
      </c>
      <c r="M3539" s="12" t="inlineStr">
        <is>
          <t>3/0</t>
        </is>
      </c>
      <c r="N3539" s="12" t="n">
        <v>1</v>
      </c>
      <c r="O3539" s="12" t="n">
        <v>1</v>
      </c>
      <c r="P3539" s="12" t="n">
        <v>480</v>
      </c>
      <c r="Q3539" s="12" t="n">
        <v>110</v>
      </c>
      <c r="R3539" s="12" t="n">
        <v>156</v>
      </c>
      <c r="S3539" s="12" t="inlineStr">
        <is>
          <t>Tray</t>
        </is>
      </c>
      <c r="T3539" s="16" t="n">
        <v>250</v>
      </c>
      <c r="U3539" s="16" t="n">
        <v>42</v>
      </c>
      <c r="V3539" s="16">
        <f>ROUNDUP((T3539+U3539+2*'Read Me'!$B$13)*(1+'Read Me'!$B$12),-1)</f>
        <v/>
      </c>
      <c r="W3539" s="16">
        <f>V3539*N3539*O3539</f>
        <v/>
      </c>
      <c r="X3539" s="12">
        <f>IF(LEFT(I3539,2)="MV",2*N3539*IF(L3539="1/C",O3539,1),0)</f>
        <v/>
      </c>
      <c r="Y3539" s="12">
        <f>IF(OR(LEFT(K3539,4)="LVAX",LEFT(K3539,6)="MV15AX",LEFT(K3539,4)="CTAX",LEFT(K3539,2)="W|"),2*N3539*O3539,0)</f>
        <v/>
      </c>
      <c r="Z3539" s="12" t="inlineStr">
        <is>
          <t>VD 1.4 %</t>
        </is>
      </c>
      <c r="AA3539" s="12">
        <f>N3539*O3539</f>
        <v/>
      </c>
    </row>
    <row r="3540">
      <c r="A3540" s="12" t="inlineStr">
        <is>
          <t>G-P-0125</t>
        </is>
      </c>
      <c r="B3540" s="12" t="inlineStr">
        <is>
          <t>G</t>
        </is>
      </c>
      <c r="C3540" s="12" t="inlineStr">
        <is>
          <t>Carbon capture</t>
        </is>
      </c>
      <c r="D3540" s="12" t="inlineStr">
        <is>
          <t>Motor 26 of 30, 110 kW (VFD output)</t>
        </is>
      </c>
      <c r="E3540" s="12" t="inlineStr"/>
      <c r="F3540" s="12" t="inlineStr">
        <is>
          <t>CT MCC / VFD e-house</t>
        </is>
      </c>
      <c r="G3540" s="12" t="inlineStr">
        <is>
          <t>CCS-CT</t>
        </is>
      </c>
      <c r="H3540" s="12" t="inlineStr">
        <is>
          <t>CCS cooling tower (~30 cells): CCS process cooling only</t>
        </is>
      </c>
      <c r="I3540" s="12" t="inlineStr">
        <is>
          <t>LV 600 V</t>
        </is>
      </c>
      <c r="J3540" s="12" t="inlineStr">
        <is>
          <t>VFD cable 600 V 3/C Cu XHHW-2, 3 symmetrical grounds, overall Cu tape shield, TC-ER</t>
        </is>
      </c>
      <c r="K3540" s="12" t="inlineStr">
        <is>
          <t>VFD|3/C+3G|3/0</t>
        </is>
      </c>
      <c r="L3540" s="12" t="inlineStr">
        <is>
          <t>3/C+3G</t>
        </is>
      </c>
      <c r="M3540" s="12" t="inlineStr">
        <is>
          <t>3/0</t>
        </is>
      </c>
      <c r="N3540" s="12" t="n">
        <v>1</v>
      </c>
      <c r="O3540" s="12" t="n">
        <v>1</v>
      </c>
      <c r="P3540" s="12" t="n">
        <v>480</v>
      </c>
      <c r="Q3540" s="12" t="n">
        <v>110</v>
      </c>
      <c r="R3540" s="12" t="n">
        <v>156</v>
      </c>
      <c r="S3540" s="12" t="inlineStr">
        <is>
          <t>Tray</t>
        </is>
      </c>
      <c r="T3540" s="16" t="n">
        <v>250</v>
      </c>
      <c r="U3540" s="16" t="n">
        <v>42</v>
      </c>
      <c r="V3540" s="16">
        <f>ROUNDUP((T3540+U3540+2*'Read Me'!$B$13)*(1+'Read Me'!$B$12),-1)</f>
        <v/>
      </c>
      <c r="W3540" s="16">
        <f>V3540*N3540*O3540</f>
        <v/>
      </c>
      <c r="X3540" s="12">
        <f>IF(LEFT(I3540,2)="MV",2*N3540*IF(L3540="1/C",O3540,1),0)</f>
        <v/>
      </c>
      <c r="Y3540" s="12">
        <f>IF(OR(LEFT(K3540,4)="LVAX",LEFT(K3540,6)="MV15AX",LEFT(K3540,4)="CTAX",LEFT(K3540,2)="W|"),2*N3540*O3540,0)</f>
        <v/>
      </c>
      <c r="Z3540" s="12" t="inlineStr">
        <is>
          <t>VD 1.4 %</t>
        </is>
      </c>
      <c r="AA3540" s="12">
        <f>N3540*O3540</f>
        <v/>
      </c>
    </row>
    <row r="3541">
      <c r="A3541" s="12" t="inlineStr">
        <is>
          <t>G-P-0126</t>
        </is>
      </c>
      <c r="B3541" s="12" t="inlineStr">
        <is>
          <t>G</t>
        </is>
      </c>
      <c r="C3541" s="12" t="inlineStr">
        <is>
          <t>Carbon capture</t>
        </is>
      </c>
      <c r="D3541" s="12" t="inlineStr">
        <is>
          <t>Motor 27 of 30, 110 kW (VFD output)</t>
        </is>
      </c>
      <c r="E3541" s="12" t="inlineStr"/>
      <c r="F3541" s="12" t="inlineStr">
        <is>
          <t>CT MCC / VFD e-house</t>
        </is>
      </c>
      <c r="G3541" s="12" t="inlineStr">
        <is>
          <t>CCS-CT</t>
        </is>
      </c>
      <c r="H3541" s="12" t="inlineStr">
        <is>
          <t>CCS cooling tower (~30 cells): CCS process cooling only</t>
        </is>
      </c>
      <c r="I3541" s="12" t="inlineStr">
        <is>
          <t>LV 600 V</t>
        </is>
      </c>
      <c r="J3541" s="12" t="inlineStr">
        <is>
          <t>VFD cable 600 V 3/C Cu XHHW-2, 3 symmetrical grounds, overall Cu tape shield, TC-ER</t>
        </is>
      </c>
      <c r="K3541" s="12" t="inlineStr">
        <is>
          <t>VFD|3/C+3G|3/0</t>
        </is>
      </c>
      <c r="L3541" s="12" t="inlineStr">
        <is>
          <t>3/C+3G</t>
        </is>
      </c>
      <c r="M3541" s="12" t="inlineStr">
        <is>
          <t>3/0</t>
        </is>
      </c>
      <c r="N3541" s="12" t="n">
        <v>1</v>
      </c>
      <c r="O3541" s="12" t="n">
        <v>1</v>
      </c>
      <c r="P3541" s="12" t="n">
        <v>480</v>
      </c>
      <c r="Q3541" s="12" t="n">
        <v>110</v>
      </c>
      <c r="R3541" s="12" t="n">
        <v>156</v>
      </c>
      <c r="S3541" s="12" t="inlineStr">
        <is>
          <t>Tray</t>
        </is>
      </c>
      <c r="T3541" s="16" t="n">
        <v>250</v>
      </c>
      <c r="U3541" s="16" t="n">
        <v>42</v>
      </c>
      <c r="V3541" s="16">
        <f>ROUNDUP((T3541+U3541+2*'Read Me'!$B$13)*(1+'Read Me'!$B$12),-1)</f>
        <v/>
      </c>
      <c r="W3541" s="16">
        <f>V3541*N3541*O3541</f>
        <v/>
      </c>
      <c r="X3541" s="12">
        <f>IF(LEFT(I3541,2)="MV",2*N3541*IF(L3541="1/C",O3541,1),0)</f>
        <v/>
      </c>
      <c r="Y3541" s="12">
        <f>IF(OR(LEFT(K3541,4)="LVAX",LEFT(K3541,6)="MV15AX",LEFT(K3541,4)="CTAX",LEFT(K3541,2)="W|"),2*N3541*O3541,0)</f>
        <v/>
      </c>
      <c r="Z3541" s="12" t="inlineStr">
        <is>
          <t>VD 1.4 %</t>
        </is>
      </c>
      <c r="AA3541" s="12">
        <f>N3541*O3541</f>
        <v/>
      </c>
    </row>
    <row r="3542">
      <c r="A3542" s="12" t="inlineStr">
        <is>
          <t>G-P-0127</t>
        </is>
      </c>
      <c r="B3542" s="12" t="inlineStr">
        <is>
          <t>G</t>
        </is>
      </c>
      <c r="C3542" s="12" t="inlineStr">
        <is>
          <t>Carbon capture</t>
        </is>
      </c>
      <c r="D3542" s="12" t="inlineStr">
        <is>
          <t>Motor 28 of 30, 110 kW (VFD output)</t>
        </is>
      </c>
      <c r="E3542" s="12" t="inlineStr"/>
      <c r="F3542" s="12" t="inlineStr">
        <is>
          <t>CT MCC / VFD e-house</t>
        </is>
      </c>
      <c r="G3542" s="12" t="inlineStr">
        <is>
          <t>CCS-CT</t>
        </is>
      </c>
      <c r="H3542" s="12" t="inlineStr">
        <is>
          <t>CCS cooling tower (~30 cells): CCS process cooling only</t>
        </is>
      </c>
      <c r="I3542" s="12" t="inlineStr">
        <is>
          <t>LV 600 V</t>
        </is>
      </c>
      <c r="J3542" s="12" t="inlineStr">
        <is>
          <t>VFD cable 600 V 3/C Cu XHHW-2, 3 symmetrical grounds, overall Cu tape shield, TC-ER</t>
        </is>
      </c>
      <c r="K3542" s="12" t="inlineStr">
        <is>
          <t>VFD|3/C+3G|3/0</t>
        </is>
      </c>
      <c r="L3542" s="12" t="inlineStr">
        <is>
          <t>3/C+3G</t>
        </is>
      </c>
      <c r="M3542" s="12" t="inlineStr">
        <is>
          <t>3/0</t>
        </is>
      </c>
      <c r="N3542" s="12" t="n">
        <v>1</v>
      </c>
      <c r="O3542" s="12" t="n">
        <v>1</v>
      </c>
      <c r="P3542" s="12" t="n">
        <v>480</v>
      </c>
      <c r="Q3542" s="12" t="n">
        <v>110</v>
      </c>
      <c r="R3542" s="12" t="n">
        <v>156</v>
      </c>
      <c r="S3542" s="12" t="inlineStr">
        <is>
          <t>Tray</t>
        </is>
      </c>
      <c r="T3542" s="16" t="n">
        <v>250</v>
      </c>
      <c r="U3542" s="16" t="n">
        <v>42</v>
      </c>
      <c r="V3542" s="16">
        <f>ROUNDUP((T3542+U3542+2*'Read Me'!$B$13)*(1+'Read Me'!$B$12),-1)</f>
        <v/>
      </c>
      <c r="W3542" s="16">
        <f>V3542*N3542*O3542</f>
        <v/>
      </c>
      <c r="X3542" s="12">
        <f>IF(LEFT(I3542,2)="MV",2*N3542*IF(L3542="1/C",O3542,1),0)</f>
        <v/>
      </c>
      <c r="Y3542" s="12">
        <f>IF(OR(LEFT(K3542,4)="LVAX",LEFT(K3542,6)="MV15AX",LEFT(K3542,4)="CTAX",LEFT(K3542,2)="W|"),2*N3542*O3542,0)</f>
        <v/>
      </c>
      <c r="Z3542" s="12" t="inlineStr">
        <is>
          <t>VD 1.4 %</t>
        </is>
      </c>
      <c r="AA3542" s="12">
        <f>N3542*O3542</f>
        <v/>
      </c>
    </row>
    <row r="3543">
      <c r="A3543" s="12" t="inlineStr">
        <is>
          <t>G-P-0128</t>
        </is>
      </c>
      <c r="B3543" s="12" t="inlineStr">
        <is>
          <t>G</t>
        </is>
      </c>
      <c r="C3543" s="12" t="inlineStr">
        <is>
          <t>Carbon capture</t>
        </is>
      </c>
      <c r="D3543" s="12" t="inlineStr">
        <is>
          <t>Motor 29 of 30, 110 kW (VFD output)</t>
        </is>
      </c>
      <c r="E3543" s="12" t="inlineStr"/>
      <c r="F3543" s="12" t="inlineStr">
        <is>
          <t>CT MCC / VFD e-house</t>
        </is>
      </c>
      <c r="G3543" s="12" t="inlineStr">
        <is>
          <t>CCS-CT</t>
        </is>
      </c>
      <c r="H3543" s="12" t="inlineStr">
        <is>
          <t>CCS cooling tower (~30 cells): CCS process cooling only</t>
        </is>
      </c>
      <c r="I3543" s="12" t="inlineStr">
        <is>
          <t>LV 600 V</t>
        </is>
      </c>
      <c r="J3543" s="12" t="inlineStr">
        <is>
          <t>VFD cable 600 V 3/C Cu XHHW-2, 3 symmetrical grounds, overall Cu tape shield, TC-ER</t>
        </is>
      </c>
      <c r="K3543" s="12" t="inlineStr">
        <is>
          <t>VFD|3/C+3G|3/0</t>
        </is>
      </c>
      <c r="L3543" s="12" t="inlineStr">
        <is>
          <t>3/C+3G</t>
        </is>
      </c>
      <c r="M3543" s="12" t="inlineStr">
        <is>
          <t>3/0</t>
        </is>
      </c>
      <c r="N3543" s="12" t="n">
        <v>1</v>
      </c>
      <c r="O3543" s="12" t="n">
        <v>1</v>
      </c>
      <c r="P3543" s="12" t="n">
        <v>480</v>
      </c>
      <c r="Q3543" s="12" t="n">
        <v>110</v>
      </c>
      <c r="R3543" s="12" t="n">
        <v>156</v>
      </c>
      <c r="S3543" s="12" t="inlineStr">
        <is>
          <t>Tray</t>
        </is>
      </c>
      <c r="T3543" s="16" t="n">
        <v>250</v>
      </c>
      <c r="U3543" s="16" t="n">
        <v>42</v>
      </c>
      <c r="V3543" s="16">
        <f>ROUNDUP((T3543+U3543+2*'Read Me'!$B$13)*(1+'Read Me'!$B$12),-1)</f>
        <v/>
      </c>
      <c r="W3543" s="16">
        <f>V3543*N3543*O3543</f>
        <v/>
      </c>
      <c r="X3543" s="12">
        <f>IF(LEFT(I3543,2)="MV",2*N3543*IF(L3543="1/C",O3543,1),0)</f>
        <v/>
      </c>
      <c r="Y3543" s="12">
        <f>IF(OR(LEFT(K3543,4)="LVAX",LEFT(K3543,6)="MV15AX",LEFT(K3543,4)="CTAX",LEFT(K3543,2)="W|"),2*N3543*O3543,0)</f>
        <v/>
      </c>
      <c r="Z3543" s="12" t="inlineStr">
        <is>
          <t>VD 1.4 %</t>
        </is>
      </c>
      <c r="AA3543" s="12">
        <f>N3543*O3543</f>
        <v/>
      </c>
    </row>
    <row r="3544">
      <c r="A3544" s="12" t="inlineStr">
        <is>
          <t>G-P-0129</t>
        </is>
      </c>
      <c r="B3544" s="12" t="inlineStr">
        <is>
          <t>G</t>
        </is>
      </c>
      <c r="C3544" s="12" t="inlineStr">
        <is>
          <t>Carbon capture</t>
        </is>
      </c>
      <c r="D3544" s="12" t="inlineStr">
        <is>
          <t>Motor 30 of 30, 110 kW (VFD output)</t>
        </is>
      </c>
      <c r="E3544" s="12" t="inlineStr"/>
      <c r="F3544" s="12" t="inlineStr">
        <is>
          <t>CT MCC / VFD e-house</t>
        </is>
      </c>
      <c r="G3544" s="12" t="inlineStr">
        <is>
          <t>CCS-CT</t>
        </is>
      </c>
      <c r="H3544" s="12" t="inlineStr">
        <is>
          <t>CCS cooling tower (~30 cells): CCS process cooling only</t>
        </is>
      </c>
      <c r="I3544" s="12" t="inlineStr">
        <is>
          <t>LV 600 V</t>
        </is>
      </c>
      <c r="J3544" s="12" t="inlineStr">
        <is>
          <t>VFD cable 600 V 3/C Cu XHHW-2, 3 symmetrical grounds, overall Cu tape shield, TC-ER</t>
        </is>
      </c>
      <c r="K3544" s="12" t="inlineStr">
        <is>
          <t>VFD|3/C+3G|3/0</t>
        </is>
      </c>
      <c r="L3544" s="12" t="inlineStr">
        <is>
          <t>3/C+3G</t>
        </is>
      </c>
      <c r="M3544" s="12" t="inlineStr">
        <is>
          <t>3/0</t>
        </is>
      </c>
      <c r="N3544" s="12" t="n">
        <v>1</v>
      </c>
      <c r="O3544" s="12" t="n">
        <v>1</v>
      </c>
      <c r="P3544" s="12" t="n">
        <v>480</v>
      </c>
      <c r="Q3544" s="12" t="n">
        <v>110</v>
      </c>
      <c r="R3544" s="12" t="n">
        <v>156</v>
      </c>
      <c r="S3544" s="12" t="inlineStr">
        <is>
          <t>Tray</t>
        </is>
      </c>
      <c r="T3544" s="16" t="n">
        <v>250</v>
      </c>
      <c r="U3544" s="16" t="n">
        <v>42</v>
      </c>
      <c r="V3544" s="16">
        <f>ROUNDUP((T3544+U3544+2*'Read Me'!$B$13)*(1+'Read Me'!$B$12),-1)</f>
        <v/>
      </c>
      <c r="W3544" s="16">
        <f>V3544*N3544*O3544</f>
        <v/>
      </c>
      <c r="X3544" s="12">
        <f>IF(LEFT(I3544,2)="MV",2*N3544*IF(L3544="1/C",O3544,1),0)</f>
        <v/>
      </c>
      <c r="Y3544" s="12">
        <f>IF(OR(LEFT(K3544,4)="LVAX",LEFT(K3544,6)="MV15AX",LEFT(K3544,4)="CTAX",LEFT(K3544,2)="W|"),2*N3544*O3544,0)</f>
        <v/>
      </c>
      <c r="Z3544" s="12" t="inlineStr">
        <is>
          <t>VD 1.4 %</t>
        </is>
      </c>
      <c r="AA3544" s="12">
        <f>N3544*O3544</f>
        <v/>
      </c>
    </row>
    <row r="3545">
      <c r="A3545" s="12" t="inlineStr">
        <is>
          <t>G-P-0130</t>
        </is>
      </c>
      <c r="B3545" s="12" t="inlineStr">
        <is>
          <t>G</t>
        </is>
      </c>
      <c r="C3545" s="12" t="inlineStr">
        <is>
          <t>Carbon capture</t>
        </is>
      </c>
      <c r="D3545" s="12" t="inlineStr">
        <is>
          <t>Area / platform lighting circuit 1 (12 fixtures)</t>
        </is>
      </c>
      <c r="E3545" s="12" t="inlineStr"/>
      <c r="F3545" s="12" t="inlineStr">
        <is>
          <t>CT MCC / VFD e-house</t>
        </is>
      </c>
      <c r="G3545" s="12" t="inlineStr">
        <is>
          <t>CCS-CT</t>
        </is>
      </c>
      <c r="H3545" s="12" t="inlineStr">
        <is>
          <t>CCS cooling tower (~30 cells): CCS process cooling only</t>
        </is>
      </c>
      <c r="I3545" s="12" t="inlineStr">
        <is>
          <t>LV 600 V</t>
        </is>
      </c>
      <c r="J3545" s="12" t="inlineStr">
        <is>
          <t>Type TC-ER 600 V 3/C Cu XHHW-2 + ground, PVC jacket</t>
        </is>
      </c>
      <c r="K3545" s="12" t="inlineStr">
        <is>
          <t>LV|3/C+G|10</t>
        </is>
      </c>
      <c r="L3545" s="12" t="inlineStr">
        <is>
          <t>3/C+G</t>
        </is>
      </c>
      <c r="M3545" s="12" t="inlineStr">
        <is>
          <t>10</t>
        </is>
      </c>
      <c r="N3545" s="12" t="n">
        <v>1</v>
      </c>
      <c r="O3545" s="12" t="n">
        <v>1</v>
      </c>
      <c r="P3545" s="12" t="n">
        <v>480</v>
      </c>
      <c r="Q3545" s="12" t="n">
        <v>3</v>
      </c>
      <c r="R3545" s="12" t="n">
        <v>5</v>
      </c>
      <c r="S3545" s="12" t="inlineStr">
        <is>
          <t>Tray</t>
        </is>
      </c>
      <c r="T3545" s="16" t="n">
        <v>300</v>
      </c>
      <c r="U3545" s="16" t="n">
        <v>42</v>
      </c>
      <c r="V3545" s="16">
        <f>ROUNDUP((T3545+U3545+2*'Read Me'!$B$13)*(1+'Read Me'!$B$12),-1)</f>
        <v/>
      </c>
      <c r="W3545" s="16">
        <f>V3545*N3545*O3545</f>
        <v/>
      </c>
      <c r="X3545" s="12">
        <f>IF(LEFT(I3545,2)="MV",2*N3545*IF(L3545="1/C",O3545,1),0)</f>
        <v/>
      </c>
      <c r="Y3545" s="12">
        <f>IF(OR(LEFT(K3545,4)="LVAX",LEFT(K3545,6)="MV15AX",LEFT(K3545,4)="CTAX",LEFT(K3545,2)="W|"),2*N3545*O3545,0)</f>
        <v/>
      </c>
      <c r="Z3545" s="12" t="inlineStr">
        <is>
          <t>fixture-to-fixture run included</t>
        </is>
      </c>
      <c r="AA3545" s="12">
        <f>N3545*O3545</f>
        <v/>
      </c>
    </row>
    <row r="3546">
      <c r="A3546" s="12" t="inlineStr">
        <is>
          <t>G-P-0131</t>
        </is>
      </c>
      <c r="B3546" s="12" t="inlineStr">
        <is>
          <t>G</t>
        </is>
      </c>
      <c r="C3546" s="12" t="inlineStr">
        <is>
          <t>Carbon capture</t>
        </is>
      </c>
      <c r="D3546" s="12" t="inlineStr">
        <is>
          <t>Area / platform lighting circuit 2 (12 fixtures)</t>
        </is>
      </c>
      <c r="E3546" s="12" t="inlineStr"/>
      <c r="F3546" s="12" t="inlineStr">
        <is>
          <t>CT MCC / VFD e-house</t>
        </is>
      </c>
      <c r="G3546" s="12" t="inlineStr">
        <is>
          <t>CCS-CT</t>
        </is>
      </c>
      <c r="H3546" s="12" t="inlineStr">
        <is>
          <t>CCS cooling tower (~30 cells): CCS process cooling only</t>
        </is>
      </c>
      <c r="I3546" s="12" t="inlineStr">
        <is>
          <t>LV 600 V</t>
        </is>
      </c>
      <c r="J3546" s="12" t="inlineStr">
        <is>
          <t>Type TC-ER 600 V 3/C Cu XHHW-2 + ground, PVC jacket</t>
        </is>
      </c>
      <c r="K3546" s="12" t="inlineStr">
        <is>
          <t>LV|3/C+G|10</t>
        </is>
      </c>
      <c r="L3546" s="12" t="inlineStr">
        <is>
          <t>3/C+G</t>
        </is>
      </c>
      <c r="M3546" s="12" t="inlineStr">
        <is>
          <t>10</t>
        </is>
      </c>
      <c r="N3546" s="12" t="n">
        <v>1</v>
      </c>
      <c r="O3546" s="12" t="n">
        <v>1</v>
      </c>
      <c r="P3546" s="12" t="n">
        <v>480</v>
      </c>
      <c r="Q3546" s="12" t="n">
        <v>3</v>
      </c>
      <c r="R3546" s="12" t="n">
        <v>5</v>
      </c>
      <c r="S3546" s="12" t="inlineStr">
        <is>
          <t>Tray</t>
        </is>
      </c>
      <c r="T3546" s="16" t="n">
        <v>300</v>
      </c>
      <c r="U3546" s="16" t="n">
        <v>42</v>
      </c>
      <c r="V3546" s="16">
        <f>ROUNDUP((T3546+U3546+2*'Read Me'!$B$13)*(1+'Read Me'!$B$12),-1)</f>
        <v/>
      </c>
      <c r="W3546" s="16">
        <f>V3546*N3546*O3546</f>
        <v/>
      </c>
      <c r="X3546" s="12">
        <f>IF(LEFT(I3546,2)="MV",2*N3546*IF(L3546="1/C",O3546,1),0)</f>
        <v/>
      </c>
      <c r="Y3546" s="12">
        <f>IF(OR(LEFT(K3546,4)="LVAX",LEFT(K3546,6)="MV15AX",LEFT(K3546,4)="CTAX",LEFT(K3546,2)="W|"),2*N3546*O3546,0)</f>
        <v/>
      </c>
      <c r="Z3546" s="12" t="inlineStr">
        <is>
          <t>fixture-to-fixture run included</t>
        </is>
      </c>
      <c r="AA3546" s="12">
        <f>N3546*O3546</f>
        <v/>
      </c>
    </row>
    <row r="3547">
      <c r="A3547" s="12" t="inlineStr">
        <is>
          <t>G-P-0132</t>
        </is>
      </c>
      <c r="B3547" s="12" t="inlineStr">
        <is>
          <t>G</t>
        </is>
      </c>
      <c r="C3547" s="12" t="inlineStr">
        <is>
          <t>Carbon capture</t>
        </is>
      </c>
      <c r="D3547" s="12" t="inlineStr">
        <is>
          <t>Area / platform lighting circuit 3 (6 fixtures)</t>
        </is>
      </c>
      <c r="E3547" s="12" t="inlineStr"/>
      <c r="F3547" s="12" t="inlineStr">
        <is>
          <t>CT MCC / VFD e-house</t>
        </is>
      </c>
      <c r="G3547" s="12" t="inlineStr">
        <is>
          <t>CCS-CT</t>
        </is>
      </c>
      <c r="H3547" s="12" t="inlineStr">
        <is>
          <t>CCS cooling tower (~30 cells): CCS process cooling only</t>
        </is>
      </c>
      <c r="I3547" s="12" t="inlineStr">
        <is>
          <t>LV 600 V</t>
        </is>
      </c>
      <c r="J3547" s="12" t="inlineStr">
        <is>
          <t>Type TC-ER 600 V 3/C Cu XHHW-2 + ground, PVC jacket</t>
        </is>
      </c>
      <c r="K3547" s="12" t="inlineStr">
        <is>
          <t>LV|3/C+G|10</t>
        </is>
      </c>
      <c r="L3547" s="12" t="inlineStr">
        <is>
          <t>3/C+G</t>
        </is>
      </c>
      <c r="M3547" s="12" t="inlineStr">
        <is>
          <t>10</t>
        </is>
      </c>
      <c r="N3547" s="12" t="n">
        <v>1</v>
      </c>
      <c r="O3547" s="12" t="n">
        <v>1</v>
      </c>
      <c r="P3547" s="12" t="n">
        <v>480</v>
      </c>
      <c r="Q3547" s="12" t="n">
        <v>3</v>
      </c>
      <c r="R3547" s="12" t="n">
        <v>5</v>
      </c>
      <c r="S3547" s="12" t="inlineStr">
        <is>
          <t>Tray</t>
        </is>
      </c>
      <c r="T3547" s="16" t="n">
        <v>300</v>
      </c>
      <c r="U3547" s="16" t="n">
        <v>42</v>
      </c>
      <c r="V3547" s="16">
        <f>ROUNDUP((T3547+U3547+2*'Read Me'!$B$13)*(1+'Read Me'!$B$12),-1)</f>
        <v/>
      </c>
      <c r="W3547" s="16">
        <f>V3547*N3547*O3547</f>
        <v/>
      </c>
      <c r="X3547" s="12">
        <f>IF(LEFT(I3547,2)="MV",2*N3547*IF(L3547="1/C",O3547,1),0)</f>
        <v/>
      </c>
      <c r="Y3547" s="12">
        <f>IF(OR(LEFT(K3547,4)="LVAX",LEFT(K3547,6)="MV15AX",LEFT(K3547,4)="CTAX",LEFT(K3547,2)="W|"),2*N3547*O3547,0)</f>
        <v/>
      </c>
      <c r="Z3547" s="12" t="inlineStr">
        <is>
          <t>fixture-to-fixture run included</t>
        </is>
      </c>
      <c r="AA3547" s="12">
        <f>N3547*O3547</f>
        <v/>
      </c>
    </row>
    <row r="3548">
      <c r="A3548" s="12" t="inlineStr">
        <is>
          <t>G-P-0133</t>
        </is>
      </c>
      <c r="B3548" s="12" t="inlineStr">
        <is>
          <t>G</t>
        </is>
      </c>
      <c r="C3548" s="12" t="inlineStr">
        <is>
          <t>Carbon capture</t>
        </is>
      </c>
      <c r="D3548" s="12" t="inlineStr">
        <is>
          <t>Motor 1 of 2, 250 kW</t>
        </is>
      </c>
      <c r="E3548" s="12" t="inlineStr"/>
      <c r="F3548" s="12" t="inlineStr">
        <is>
          <t>CCS MV switchgear building (VFDs)</t>
        </is>
      </c>
      <c r="G3548" s="12" t="inlineStr"/>
      <c r="H3548" s="12" t="inlineStr">
        <is>
          <t>CCS instrument air</t>
        </is>
      </c>
      <c r="I3548" s="12" t="inlineStr">
        <is>
          <t>LV 600 V</t>
        </is>
      </c>
      <c r="J3548" s="12" t="inlineStr">
        <is>
          <t>Type TC-ER 600 V 3/C Cu XHHW-2 + ground, PVC jacket</t>
        </is>
      </c>
      <c r="K3548" s="12" t="inlineStr">
        <is>
          <t>LV|3/C+G|4/0</t>
        </is>
      </c>
      <c r="L3548" s="12" t="inlineStr">
        <is>
          <t>3/C+G</t>
        </is>
      </c>
      <c r="M3548" s="12" t="inlineStr">
        <is>
          <t>4/0</t>
        </is>
      </c>
      <c r="N3548" s="12" t="n">
        <v>2</v>
      </c>
      <c r="O3548" s="12" t="n">
        <v>1</v>
      </c>
      <c r="P3548" s="12" t="n">
        <v>480</v>
      </c>
      <c r="Q3548" s="12" t="n">
        <v>250</v>
      </c>
      <c r="R3548" s="12" t="n">
        <v>353.8</v>
      </c>
      <c r="S3548" s="12" t="inlineStr">
        <is>
          <t>Duct bank</t>
        </is>
      </c>
      <c r="T3548" s="16" t="n">
        <v>206</v>
      </c>
      <c r="U3548" s="16" t="n">
        <v>51</v>
      </c>
      <c r="V3548" s="16">
        <f>ROUNDUP((T3548+U3548+2*'Read Me'!$B$13)*(1+'Read Me'!$B$12),-1)</f>
        <v/>
      </c>
      <c r="W3548" s="16">
        <f>V3548*N3548*O3548</f>
        <v/>
      </c>
      <c r="X3548" s="12">
        <f>IF(LEFT(I3548,2)="MV",2*N3548*IF(L3548="1/C",O3548,1),0)</f>
        <v/>
      </c>
      <c r="Y3548" s="12">
        <f>IF(OR(LEFT(K3548,4)="LVAX",LEFT(K3548,6)="MV15AX",LEFT(K3548,4)="CTAX",LEFT(K3548,2)="W|"),2*N3548*O3548,0)</f>
        <v/>
      </c>
      <c r="Z3548" s="12" t="inlineStr">
        <is>
          <t>VD 1.1 %</t>
        </is>
      </c>
      <c r="AA3548" s="12">
        <f>N3548*O3548</f>
        <v/>
      </c>
    </row>
    <row r="3549">
      <c r="A3549" s="12" t="inlineStr">
        <is>
          <t>G-P-0134</t>
        </is>
      </c>
      <c r="B3549" s="12" t="inlineStr">
        <is>
          <t>G</t>
        </is>
      </c>
      <c r="C3549" s="12" t="inlineStr">
        <is>
          <t>Carbon capture</t>
        </is>
      </c>
      <c r="D3549" s="12" t="inlineStr">
        <is>
          <t>Motor 2 of 2, 250 kW</t>
        </is>
      </c>
      <c r="E3549" s="12" t="inlineStr"/>
      <c r="F3549" s="12" t="inlineStr">
        <is>
          <t>CCS MV switchgear building (VFDs)</t>
        </is>
      </c>
      <c r="G3549" s="12" t="inlineStr"/>
      <c r="H3549" s="12" t="inlineStr">
        <is>
          <t>CCS instrument air</t>
        </is>
      </c>
      <c r="I3549" s="12" t="inlineStr">
        <is>
          <t>LV 600 V</t>
        </is>
      </c>
      <c r="J3549" s="12" t="inlineStr">
        <is>
          <t>Type TC-ER 600 V 3/C Cu XHHW-2 + ground, PVC jacket</t>
        </is>
      </c>
      <c r="K3549" s="12" t="inlineStr">
        <is>
          <t>LV|3/C+G|4/0</t>
        </is>
      </c>
      <c r="L3549" s="12" t="inlineStr">
        <is>
          <t>3/C+G</t>
        </is>
      </c>
      <c r="M3549" s="12" t="inlineStr">
        <is>
          <t>4/0</t>
        </is>
      </c>
      <c r="N3549" s="12" t="n">
        <v>2</v>
      </c>
      <c r="O3549" s="12" t="n">
        <v>1</v>
      </c>
      <c r="P3549" s="12" t="n">
        <v>480</v>
      </c>
      <c r="Q3549" s="12" t="n">
        <v>250</v>
      </c>
      <c r="R3549" s="12" t="n">
        <v>353.8</v>
      </c>
      <c r="S3549" s="12" t="inlineStr">
        <is>
          <t>Duct bank</t>
        </is>
      </c>
      <c r="T3549" s="16" t="n">
        <v>206</v>
      </c>
      <c r="U3549" s="16" t="n">
        <v>51</v>
      </c>
      <c r="V3549" s="16">
        <f>ROUNDUP((T3549+U3549+2*'Read Me'!$B$13)*(1+'Read Me'!$B$12),-1)</f>
        <v/>
      </c>
      <c r="W3549" s="16">
        <f>V3549*N3549*O3549</f>
        <v/>
      </c>
      <c r="X3549" s="12">
        <f>IF(LEFT(I3549,2)="MV",2*N3549*IF(L3549="1/C",O3549,1),0)</f>
        <v/>
      </c>
      <c r="Y3549" s="12">
        <f>IF(OR(LEFT(K3549,4)="LVAX",LEFT(K3549,6)="MV15AX",LEFT(K3549,4)="CTAX",LEFT(K3549,2)="W|"),2*N3549*O3549,0)</f>
        <v/>
      </c>
      <c r="Z3549" s="12" t="inlineStr">
        <is>
          <t>VD 1.1 %</t>
        </is>
      </c>
      <c r="AA3549" s="12">
        <f>N3549*O3549</f>
        <v/>
      </c>
    </row>
    <row r="3550">
      <c r="A3550" s="12" t="inlineStr">
        <is>
          <t>G-P-0135</t>
        </is>
      </c>
      <c r="B3550" s="12" t="inlineStr">
        <is>
          <t>G</t>
        </is>
      </c>
      <c r="C3550" s="12" t="inlineStr">
        <is>
          <t>Carbon capture</t>
        </is>
      </c>
      <c r="D3550" s="12" t="inlineStr">
        <is>
          <t>Motor 1 of 6, 15 kW</t>
        </is>
      </c>
      <c r="E3550" s="12" t="inlineStr"/>
      <c r="F3550" s="12" t="inlineStr">
        <is>
          <t>CT MCC / VFD e-house</t>
        </is>
      </c>
      <c r="G3550" s="12" t="inlineStr"/>
      <c r="H3550" s="12" t="inlineStr">
        <is>
          <t>CCS wastewater (DCC + tower blowdown)</t>
        </is>
      </c>
      <c r="I3550" s="12" t="inlineStr">
        <is>
          <t>LV 600 V</t>
        </is>
      </c>
      <c r="J3550" s="12" t="inlineStr">
        <is>
          <t>Type TC-ER 600 V 3/C Cu XHHW-2 + ground, PVC jacket</t>
        </is>
      </c>
      <c r="K3550" s="12" t="inlineStr">
        <is>
          <t>LV|3/C+G|10</t>
        </is>
      </c>
      <c r="L3550" s="12" t="inlineStr">
        <is>
          <t>3/C+G</t>
        </is>
      </c>
      <c r="M3550" s="12" t="inlineStr">
        <is>
          <t>10</t>
        </is>
      </c>
      <c r="N3550" s="12" t="n">
        <v>1</v>
      </c>
      <c r="O3550" s="12" t="n">
        <v>1</v>
      </c>
      <c r="P3550" s="12" t="n">
        <v>480</v>
      </c>
      <c r="Q3550" s="12" t="n">
        <v>15</v>
      </c>
      <c r="R3550" s="12" t="n">
        <v>21.2</v>
      </c>
      <c r="S3550" s="12" t="inlineStr">
        <is>
          <t>Duct bank</t>
        </is>
      </c>
      <c r="T3550" s="16" t="n">
        <v>5</v>
      </c>
      <c r="U3550" s="16" t="n">
        <v>87</v>
      </c>
      <c r="V3550" s="16">
        <f>ROUNDUP((T3550+U3550+2*'Read Me'!$B$13)*(1+'Read Me'!$B$12),-1)</f>
        <v/>
      </c>
      <c r="W3550" s="16">
        <f>V3550*N3550*O3550</f>
        <v/>
      </c>
      <c r="X3550" s="12">
        <f>IF(LEFT(I3550,2)="MV",2*N3550*IF(L3550="1/C",O3550,1),0)</f>
        <v/>
      </c>
      <c r="Y3550" s="12">
        <f>IF(OR(LEFT(K3550,4)="LVAX",LEFT(K3550,6)="MV15AX",LEFT(K3550,4)="CTAX",LEFT(K3550,2)="W|"),2*N3550*O3550,0)</f>
        <v/>
      </c>
      <c r="Z3550" s="12" t="inlineStr">
        <is>
          <t>VD 0.9 %</t>
        </is>
      </c>
      <c r="AA3550" s="12">
        <f>N3550*O3550</f>
        <v/>
      </c>
    </row>
    <row r="3551">
      <c r="A3551" s="12" t="inlineStr">
        <is>
          <t>G-P-0136</t>
        </is>
      </c>
      <c r="B3551" s="12" t="inlineStr">
        <is>
          <t>G</t>
        </is>
      </c>
      <c r="C3551" s="12" t="inlineStr">
        <is>
          <t>Carbon capture</t>
        </is>
      </c>
      <c r="D3551" s="12" t="inlineStr">
        <is>
          <t>Motor 2 of 6, 15 kW</t>
        </is>
      </c>
      <c r="E3551" s="12" t="inlineStr"/>
      <c r="F3551" s="12" t="inlineStr">
        <is>
          <t>CT MCC / VFD e-house</t>
        </is>
      </c>
      <c r="G3551" s="12" t="inlineStr"/>
      <c r="H3551" s="12" t="inlineStr">
        <is>
          <t>CCS wastewater (DCC + tower blowdown)</t>
        </is>
      </c>
      <c r="I3551" s="12" t="inlineStr">
        <is>
          <t>LV 600 V</t>
        </is>
      </c>
      <c r="J3551" s="12" t="inlineStr">
        <is>
          <t>Type TC-ER 600 V 3/C Cu XHHW-2 + ground, PVC jacket</t>
        </is>
      </c>
      <c r="K3551" s="12" t="inlineStr">
        <is>
          <t>LV|3/C+G|10</t>
        </is>
      </c>
      <c r="L3551" s="12" t="inlineStr">
        <is>
          <t>3/C+G</t>
        </is>
      </c>
      <c r="M3551" s="12" t="inlineStr">
        <is>
          <t>10</t>
        </is>
      </c>
      <c r="N3551" s="12" t="n">
        <v>1</v>
      </c>
      <c r="O3551" s="12" t="n">
        <v>1</v>
      </c>
      <c r="P3551" s="12" t="n">
        <v>480</v>
      </c>
      <c r="Q3551" s="12" t="n">
        <v>15</v>
      </c>
      <c r="R3551" s="12" t="n">
        <v>21.2</v>
      </c>
      <c r="S3551" s="12" t="inlineStr">
        <is>
          <t>Duct bank</t>
        </is>
      </c>
      <c r="T3551" s="16" t="n">
        <v>5</v>
      </c>
      <c r="U3551" s="16" t="n">
        <v>87</v>
      </c>
      <c r="V3551" s="16">
        <f>ROUNDUP((T3551+U3551+2*'Read Me'!$B$13)*(1+'Read Me'!$B$12),-1)</f>
        <v/>
      </c>
      <c r="W3551" s="16">
        <f>V3551*N3551*O3551</f>
        <v/>
      </c>
      <c r="X3551" s="12">
        <f>IF(LEFT(I3551,2)="MV",2*N3551*IF(L3551="1/C",O3551,1),0)</f>
        <v/>
      </c>
      <c r="Y3551" s="12">
        <f>IF(OR(LEFT(K3551,4)="LVAX",LEFT(K3551,6)="MV15AX",LEFT(K3551,4)="CTAX",LEFT(K3551,2)="W|"),2*N3551*O3551,0)</f>
        <v/>
      </c>
      <c r="Z3551" s="12" t="inlineStr">
        <is>
          <t>VD 0.9 %</t>
        </is>
      </c>
      <c r="AA3551" s="12">
        <f>N3551*O3551</f>
        <v/>
      </c>
    </row>
    <row r="3552">
      <c r="A3552" s="12" t="inlineStr">
        <is>
          <t>G-P-0137</t>
        </is>
      </c>
      <c r="B3552" s="12" t="inlineStr">
        <is>
          <t>G</t>
        </is>
      </c>
      <c r="C3552" s="12" t="inlineStr">
        <is>
          <t>Carbon capture</t>
        </is>
      </c>
      <c r="D3552" s="12" t="inlineStr">
        <is>
          <t>Motor 3 of 6, 15 kW</t>
        </is>
      </c>
      <c r="E3552" s="12" t="inlineStr"/>
      <c r="F3552" s="12" t="inlineStr">
        <is>
          <t>CT MCC / VFD e-house</t>
        </is>
      </c>
      <c r="G3552" s="12" t="inlineStr"/>
      <c r="H3552" s="12" t="inlineStr">
        <is>
          <t>CCS wastewater (DCC + tower blowdown)</t>
        </is>
      </c>
      <c r="I3552" s="12" t="inlineStr">
        <is>
          <t>LV 600 V</t>
        </is>
      </c>
      <c r="J3552" s="12" t="inlineStr">
        <is>
          <t>Type TC-ER 600 V 3/C Cu XHHW-2 + ground, PVC jacket</t>
        </is>
      </c>
      <c r="K3552" s="12" t="inlineStr">
        <is>
          <t>LV|3/C+G|10</t>
        </is>
      </c>
      <c r="L3552" s="12" t="inlineStr">
        <is>
          <t>3/C+G</t>
        </is>
      </c>
      <c r="M3552" s="12" t="inlineStr">
        <is>
          <t>10</t>
        </is>
      </c>
      <c r="N3552" s="12" t="n">
        <v>1</v>
      </c>
      <c r="O3552" s="12" t="n">
        <v>1</v>
      </c>
      <c r="P3552" s="12" t="n">
        <v>480</v>
      </c>
      <c r="Q3552" s="12" t="n">
        <v>15</v>
      </c>
      <c r="R3552" s="12" t="n">
        <v>21.2</v>
      </c>
      <c r="S3552" s="12" t="inlineStr">
        <is>
          <t>Duct bank</t>
        </is>
      </c>
      <c r="T3552" s="16" t="n">
        <v>5</v>
      </c>
      <c r="U3552" s="16" t="n">
        <v>87</v>
      </c>
      <c r="V3552" s="16">
        <f>ROUNDUP((T3552+U3552+2*'Read Me'!$B$13)*(1+'Read Me'!$B$12),-1)</f>
        <v/>
      </c>
      <c r="W3552" s="16">
        <f>V3552*N3552*O3552</f>
        <v/>
      </c>
      <c r="X3552" s="12">
        <f>IF(LEFT(I3552,2)="MV",2*N3552*IF(L3552="1/C",O3552,1),0)</f>
        <v/>
      </c>
      <c r="Y3552" s="12">
        <f>IF(OR(LEFT(K3552,4)="LVAX",LEFT(K3552,6)="MV15AX",LEFT(K3552,4)="CTAX",LEFT(K3552,2)="W|"),2*N3552*O3552,0)</f>
        <v/>
      </c>
      <c r="Z3552" s="12" t="inlineStr">
        <is>
          <t>VD 0.9 %</t>
        </is>
      </c>
      <c r="AA3552" s="12">
        <f>N3552*O3552</f>
        <v/>
      </c>
    </row>
    <row r="3553">
      <c r="A3553" s="12" t="inlineStr">
        <is>
          <t>G-P-0138</t>
        </is>
      </c>
      <c r="B3553" s="12" t="inlineStr">
        <is>
          <t>G</t>
        </is>
      </c>
      <c r="C3553" s="12" t="inlineStr">
        <is>
          <t>Carbon capture</t>
        </is>
      </c>
      <c r="D3553" s="12" t="inlineStr">
        <is>
          <t>Motor 4 of 6, 15 kW</t>
        </is>
      </c>
      <c r="E3553" s="12" t="inlineStr"/>
      <c r="F3553" s="12" t="inlineStr">
        <is>
          <t>CT MCC / VFD e-house</t>
        </is>
      </c>
      <c r="G3553" s="12" t="inlineStr"/>
      <c r="H3553" s="12" t="inlineStr">
        <is>
          <t>CCS wastewater (DCC + tower blowdown)</t>
        </is>
      </c>
      <c r="I3553" s="12" t="inlineStr">
        <is>
          <t>LV 600 V</t>
        </is>
      </c>
      <c r="J3553" s="12" t="inlineStr">
        <is>
          <t>Type TC-ER 600 V 3/C Cu XHHW-2 + ground, PVC jacket</t>
        </is>
      </c>
      <c r="K3553" s="12" t="inlineStr">
        <is>
          <t>LV|3/C+G|10</t>
        </is>
      </c>
      <c r="L3553" s="12" t="inlineStr">
        <is>
          <t>3/C+G</t>
        </is>
      </c>
      <c r="M3553" s="12" t="inlineStr">
        <is>
          <t>10</t>
        </is>
      </c>
      <c r="N3553" s="12" t="n">
        <v>1</v>
      </c>
      <c r="O3553" s="12" t="n">
        <v>1</v>
      </c>
      <c r="P3553" s="12" t="n">
        <v>480</v>
      </c>
      <c r="Q3553" s="12" t="n">
        <v>15</v>
      </c>
      <c r="R3553" s="12" t="n">
        <v>21.2</v>
      </c>
      <c r="S3553" s="12" t="inlineStr">
        <is>
          <t>Duct bank</t>
        </is>
      </c>
      <c r="T3553" s="16" t="n">
        <v>5</v>
      </c>
      <c r="U3553" s="16" t="n">
        <v>87</v>
      </c>
      <c r="V3553" s="16">
        <f>ROUNDUP((T3553+U3553+2*'Read Me'!$B$13)*(1+'Read Me'!$B$12),-1)</f>
        <v/>
      </c>
      <c r="W3553" s="16">
        <f>V3553*N3553*O3553</f>
        <v/>
      </c>
      <c r="X3553" s="12">
        <f>IF(LEFT(I3553,2)="MV",2*N3553*IF(L3553="1/C",O3553,1),0)</f>
        <v/>
      </c>
      <c r="Y3553" s="12">
        <f>IF(OR(LEFT(K3553,4)="LVAX",LEFT(K3553,6)="MV15AX",LEFT(K3553,4)="CTAX",LEFT(K3553,2)="W|"),2*N3553*O3553,0)</f>
        <v/>
      </c>
      <c r="Z3553" s="12" t="inlineStr">
        <is>
          <t>VD 0.9 %</t>
        </is>
      </c>
      <c r="AA3553" s="12">
        <f>N3553*O3553</f>
        <v/>
      </c>
    </row>
    <row r="3554">
      <c r="A3554" s="12" t="inlineStr">
        <is>
          <t>G-P-0139</t>
        </is>
      </c>
      <c r="B3554" s="12" t="inlineStr">
        <is>
          <t>G</t>
        </is>
      </c>
      <c r="C3554" s="12" t="inlineStr">
        <is>
          <t>Carbon capture</t>
        </is>
      </c>
      <c r="D3554" s="12" t="inlineStr">
        <is>
          <t>Motor 5 of 6, 15 kW</t>
        </is>
      </c>
      <c r="E3554" s="12" t="inlineStr"/>
      <c r="F3554" s="12" t="inlineStr">
        <is>
          <t>CT MCC / VFD e-house</t>
        </is>
      </c>
      <c r="G3554" s="12" t="inlineStr"/>
      <c r="H3554" s="12" t="inlineStr">
        <is>
          <t>CCS wastewater (DCC + tower blowdown)</t>
        </is>
      </c>
      <c r="I3554" s="12" t="inlineStr">
        <is>
          <t>LV 600 V</t>
        </is>
      </c>
      <c r="J3554" s="12" t="inlineStr">
        <is>
          <t>Type TC-ER 600 V 3/C Cu XHHW-2 + ground, PVC jacket</t>
        </is>
      </c>
      <c r="K3554" s="12" t="inlineStr">
        <is>
          <t>LV|3/C+G|10</t>
        </is>
      </c>
      <c r="L3554" s="12" t="inlineStr">
        <is>
          <t>3/C+G</t>
        </is>
      </c>
      <c r="M3554" s="12" t="inlineStr">
        <is>
          <t>10</t>
        </is>
      </c>
      <c r="N3554" s="12" t="n">
        <v>1</v>
      </c>
      <c r="O3554" s="12" t="n">
        <v>1</v>
      </c>
      <c r="P3554" s="12" t="n">
        <v>480</v>
      </c>
      <c r="Q3554" s="12" t="n">
        <v>15</v>
      </c>
      <c r="R3554" s="12" t="n">
        <v>21.2</v>
      </c>
      <c r="S3554" s="12" t="inlineStr">
        <is>
          <t>Duct bank</t>
        </is>
      </c>
      <c r="T3554" s="16" t="n">
        <v>5</v>
      </c>
      <c r="U3554" s="16" t="n">
        <v>87</v>
      </c>
      <c r="V3554" s="16">
        <f>ROUNDUP((T3554+U3554+2*'Read Me'!$B$13)*(1+'Read Me'!$B$12),-1)</f>
        <v/>
      </c>
      <c r="W3554" s="16">
        <f>V3554*N3554*O3554</f>
        <v/>
      </c>
      <c r="X3554" s="12">
        <f>IF(LEFT(I3554,2)="MV",2*N3554*IF(L3554="1/C",O3554,1),0)</f>
        <v/>
      </c>
      <c r="Y3554" s="12">
        <f>IF(OR(LEFT(K3554,4)="LVAX",LEFT(K3554,6)="MV15AX",LEFT(K3554,4)="CTAX",LEFT(K3554,2)="W|"),2*N3554*O3554,0)</f>
        <v/>
      </c>
      <c r="Z3554" s="12" t="inlineStr">
        <is>
          <t>VD 0.9 %</t>
        </is>
      </c>
      <c r="AA3554" s="12">
        <f>N3554*O3554</f>
        <v/>
      </c>
    </row>
    <row r="3555">
      <c r="A3555" s="12" t="inlineStr">
        <is>
          <t>G-P-0140</t>
        </is>
      </c>
      <c r="B3555" s="12" t="inlineStr">
        <is>
          <t>G</t>
        </is>
      </c>
      <c r="C3555" s="12" t="inlineStr">
        <is>
          <t>Carbon capture</t>
        </is>
      </c>
      <c r="D3555" s="12" t="inlineStr">
        <is>
          <t>Motor 6 of 6, 15 kW</t>
        </is>
      </c>
      <c r="E3555" s="12" t="inlineStr"/>
      <c r="F3555" s="12" t="inlineStr">
        <is>
          <t>CT MCC / VFD e-house</t>
        </is>
      </c>
      <c r="G3555" s="12" t="inlineStr"/>
      <c r="H3555" s="12" t="inlineStr">
        <is>
          <t>CCS wastewater (DCC + tower blowdown)</t>
        </is>
      </c>
      <c r="I3555" s="12" t="inlineStr">
        <is>
          <t>LV 600 V</t>
        </is>
      </c>
      <c r="J3555" s="12" t="inlineStr">
        <is>
          <t>Type TC-ER 600 V 3/C Cu XHHW-2 + ground, PVC jacket</t>
        </is>
      </c>
      <c r="K3555" s="12" t="inlineStr">
        <is>
          <t>LV|3/C+G|10</t>
        </is>
      </c>
      <c r="L3555" s="12" t="inlineStr">
        <is>
          <t>3/C+G</t>
        </is>
      </c>
      <c r="M3555" s="12" t="inlineStr">
        <is>
          <t>10</t>
        </is>
      </c>
      <c r="N3555" s="12" t="n">
        <v>1</v>
      </c>
      <c r="O3555" s="12" t="n">
        <v>1</v>
      </c>
      <c r="P3555" s="12" t="n">
        <v>480</v>
      </c>
      <c r="Q3555" s="12" t="n">
        <v>15</v>
      </c>
      <c r="R3555" s="12" t="n">
        <v>21.2</v>
      </c>
      <c r="S3555" s="12" t="inlineStr">
        <is>
          <t>Duct bank</t>
        </is>
      </c>
      <c r="T3555" s="16" t="n">
        <v>5</v>
      </c>
      <c r="U3555" s="16" t="n">
        <v>87</v>
      </c>
      <c r="V3555" s="16">
        <f>ROUNDUP((T3555+U3555+2*'Read Me'!$B$13)*(1+'Read Me'!$B$12),-1)</f>
        <v/>
      </c>
      <c r="W3555" s="16">
        <f>V3555*N3555*O3555</f>
        <v/>
      </c>
      <c r="X3555" s="12">
        <f>IF(LEFT(I3555,2)="MV",2*N3555*IF(L3555="1/C",O3555,1),0)</f>
        <v/>
      </c>
      <c r="Y3555" s="12">
        <f>IF(OR(LEFT(K3555,4)="LVAX",LEFT(K3555,6)="MV15AX",LEFT(K3555,4)="CTAX",LEFT(K3555,2)="W|"),2*N3555*O3555,0)</f>
        <v/>
      </c>
      <c r="Z3555" s="12" t="inlineStr">
        <is>
          <t>VD 0.9 %</t>
        </is>
      </c>
      <c r="AA3555" s="12">
        <f>N3555*O3555</f>
        <v/>
      </c>
    </row>
    <row r="3556">
      <c r="A3556" s="12" t="inlineStr">
        <is>
          <t>G-P-0141</t>
        </is>
      </c>
      <c r="B3556" s="12" t="inlineStr">
        <is>
          <t>G</t>
        </is>
      </c>
      <c r="C3556" s="12" t="inlineStr">
        <is>
          <t>Carbon capture</t>
        </is>
      </c>
      <c r="D3556" s="12" t="inlineStr">
        <is>
          <t>Motor 1 of 10, 30 kW</t>
        </is>
      </c>
      <c r="E3556" s="12" t="inlineStr"/>
      <c r="F3556" s="12" t="inlineStr">
        <is>
          <t>CCS MV switchgear building (VFDs)</t>
        </is>
      </c>
      <c r="G3556" s="12" t="inlineStr"/>
      <c r="H3556" s="12" t="inlineStr">
        <is>
          <t>CO2 compression 3 x ~19 MW + dehydration</t>
        </is>
      </c>
      <c r="I3556" s="12" t="inlineStr">
        <is>
          <t>LV 600 V</t>
        </is>
      </c>
      <c r="J3556" s="12" t="inlineStr">
        <is>
          <t>Type TC-ER 600 V 3/C Cu XHHW-2 + ground, PVC jacket</t>
        </is>
      </c>
      <c r="K3556" s="12" t="inlineStr">
        <is>
          <t>LV|3/C+G|6</t>
        </is>
      </c>
      <c r="L3556" s="12" t="inlineStr">
        <is>
          <t>3/C+G</t>
        </is>
      </c>
      <c r="M3556" s="12" t="inlineStr">
        <is>
          <t>6</t>
        </is>
      </c>
      <c r="N3556" s="12" t="n">
        <v>1</v>
      </c>
      <c r="O3556" s="12" t="n">
        <v>1</v>
      </c>
      <c r="P3556" s="12" t="n">
        <v>480</v>
      </c>
      <c r="Q3556" s="12" t="n">
        <v>30</v>
      </c>
      <c r="R3556" s="12" t="n">
        <v>42.5</v>
      </c>
      <c r="S3556" s="12" t="inlineStr">
        <is>
          <t>Duct bank</t>
        </is>
      </c>
      <c r="T3556" s="16" t="n">
        <v>291</v>
      </c>
      <c r="U3556" s="16" t="n">
        <v>36</v>
      </c>
      <c r="V3556" s="16">
        <f>ROUNDUP((T3556+U3556+2*'Read Me'!$B$13)*(1+'Read Me'!$B$12),-1)</f>
        <v/>
      </c>
      <c r="W3556" s="16">
        <f>V3556*N3556*O3556</f>
        <v/>
      </c>
      <c r="X3556" s="12">
        <f>IF(LEFT(I3556,2)="MV",2*N3556*IF(L3556="1/C",O3556,1),0)</f>
        <v/>
      </c>
      <c r="Y3556" s="12">
        <f>IF(OR(LEFT(K3556,4)="LVAX",LEFT(K3556,6)="MV15AX",LEFT(K3556,4)="CTAX",LEFT(K3556,2)="W|"),2*N3556*O3556,0)</f>
        <v/>
      </c>
      <c r="Z3556" s="12" t="inlineStr">
        <is>
          <t>VD 2.7 %</t>
        </is>
      </c>
      <c r="AA3556" s="12">
        <f>N3556*O3556</f>
        <v/>
      </c>
    </row>
    <row r="3557">
      <c r="A3557" s="12" t="inlineStr">
        <is>
          <t>G-P-0142</t>
        </is>
      </c>
      <c r="B3557" s="12" t="inlineStr">
        <is>
          <t>G</t>
        </is>
      </c>
      <c r="C3557" s="12" t="inlineStr">
        <is>
          <t>Carbon capture</t>
        </is>
      </c>
      <c r="D3557" s="12" t="inlineStr">
        <is>
          <t>Motor 2 of 10, 30 kW</t>
        </is>
      </c>
      <c r="E3557" s="12" t="inlineStr"/>
      <c r="F3557" s="12" t="inlineStr">
        <is>
          <t>CCS MV switchgear building (VFDs)</t>
        </is>
      </c>
      <c r="G3557" s="12" t="inlineStr"/>
      <c r="H3557" s="12" t="inlineStr">
        <is>
          <t>CO2 compression 3 x ~19 MW + dehydration</t>
        </is>
      </c>
      <c r="I3557" s="12" t="inlineStr">
        <is>
          <t>LV 600 V</t>
        </is>
      </c>
      <c r="J3557" s="12" t="inlineStr">
        <is>
          <t>Type TC-ER 600 V 3/C Cu XHHW-2 + ground, PVC jacket</t>
        </is>
      </c>
      <c r="K3557" s="12" t="inlineStr">
        <is>
          <t>LV|3/C+G|6</t>
        </is>
      </c>
      <c r="L3557" s="12" t="inlineStr">
        <is>
          <t>3/C+G</t>
        </is>
      </c>
      <c r="M3557" s="12" t="inlineStr">
        <is>
          <t>6</t>
        </is>
      </c>
      <c r="N3557" s="12" t="n">
        <v>1</v>
      </c>
      <c r="O3557" s="12" t="n">
        <v>1</v>
      </c>
      <c r="P3557" s="12" t="n">
        <v>480</v>
      </c>
      <c r="Q3557" s="12" t="n">
        <v>30</v>
      </c>
      <c r="R3557" s="12" t="n">
        <v>42.5</v>
      </c>
      <c r="S3557" s="12" t="inlineStr">
        <is>
          <t>Duct bank</t>
        </is>
      </c>
      <c r="T3557" s="16" t="n">
        <v>291</v>
      </c>
      <c r="U3557" s="16" t="n">
        <v>36</v>
      </c>
      <c r="V3557" s="16">
        <f>ROUNDUP((T3557+U3557+2*'Read Me'!$B$13)*(1+'Read Me'!$B$12),-1)</f>
        <v/>
      </c>
      <c r="W3557" s="16">
        <f>V3557*N3557*O3557</f>
        <v/>
      </c>
      <c r="X3557" s="12">
        <f>IF(LEFT(I3557,2)="MV",2*N3557*IF(L3557="1/C",O3557,1),0)</f>
        <v/>
      </c>
      <c r="Y3557" s="12">
        <f>IF(OR(LEFT(K3557,4)="LVAX",LEFT(K3557,6)="MV15AX",LEFT(K3557,4)="CTAX",LEFT(K3557,2)="W|"),2*N3557*O3557,0)</f>
        <v/>
      </c>
      <c r="Z3557" s="12" t="inlineStr">
        <is>
          <t>VD 2.7 %</t>
        </is>
      </c>
      <c r="AA3557" s="12">
        <f>N3557*O3557</f>
        <v/>
      </c>
    </row>
    <row r="3558">
      <c r="A3558" s="12" t="inlineStr">
        <is>
          <t>G-P-0143</t>
        </is>
      </c>
      <c r="B3558" s="12" t="inlineStr">
        <is>
          <t>G</t>
        </is>
      </c>
      <c r="C3558" s="12" t="inlineStr">
        <is>
          <t>Carbon capture</t>
        </is>
      </c>
      <c r="D3558" s="12" t="inlineStr">
        <is>
          <t>Motor 3 of 10, 30 kW</t>
        </is>
      </c>
      <c r="E3558" s="12" t="inlineStr"/>
      <c r="F3558" s="12" t="inlineStr">
        <is>
          <t>CCS MV switchgear building (VFDs)</t>
        </is>
      </c>
      <c r="G3558" s="12" t="inlineStr"/>
      <c r="H3558" s="12" t="inlineStr">
        <is>
          <t>CO2 compression 3 x ~19 MW + dehydration</t>
        </is>
      </c>
      <c r="I3558" s="12" t="inlineStr">
        <is>
          <t>LV 600 V</t>
        </is>
      </c>
      <c r="J3558" s="12" t="inlineStr">
        <is>
          <t>Type TC-ER 600 V 3/C Cu XHHW-2 + ground, PVC jacket</t>
        </is>
      </c>
      <c r="K3558" s="12" t="inlineStr">
        <is>
          <t>LV|3/C+G|6</t>
        </is>
      </c>
      <c r="L3558" s="12" t="inlineStr">
        <is>
          <t>3/C+G</t>
        </is>
      </c>
      <c r="M3558" s="12" t="inlineStr">
        <is>
          <t>6</t>
        </is>
      </c>
      <c r="N3558" s="12" t="n">
        <v>1</v>
      </c>
      <c r="O3558" s="12" t="n">
        <v>1</v>
      </c>
      <c r="P3558" s="12" t="n">
        <v>480</v>
      </c>
      <c r="Q3558" s="12" t="n">
        <v>30</v>
      </c>
      <c r="R3558" s="12" t="n">
        <v>42.5</v>
      </c>
      <c r="S3558" s="12" t="inlineStr">
        <is>
          <t>Duct bank</t>
        </is>
      </c>
      <c r="T3558" s="16" t="n">
        <v>291</v>
      </c>
      <c r="U3558" s="16" t="n">
        <v>36</v>
      </c>
      <c r="V3558" s="16">
        <f>ROUNDUP((T3558+U3558+2*'Read Me'!$B$13)*(1+'Read Me'!$B$12),-1)</f>
        <v/>
      </c>
      <c r="W3558" s="16">
        <f>V3558*N3558*O3558</f>
        <v/>
      </c>
      <c r="X3558" s="12">
        <f>IF(LEFT(I3558,2)="MV",2*N3558*IF(L3558="1/C",O3558,1),0)</f>
        <v/>
      </c>
      <c r="Y3558" s="12">
        <f>IF(OR(LEFT(K3558,4)="LVAX",LEFT(K3558,6)="MV15AX",LEFT(K3558,4)="CTAX",LEFT(K3558,2)="W|"),2*N3558*O3558,0)</f>
        <v/>
      </c>
      <c r="Z3558" s="12" t="inlineStr">
        <is>
          <t>VD 2.7 %</t>
        </is>
      </c>
      <c r="AA3558" s="12">
        <f>N3558*O3558</f>
        <v/>
      </c>
    </row>
    <row r="3559">
      <c r="A3559" s="12" t="inlineStr">
        <is>
          <t>G-P-0144</t>
        </is>
      </c>
      <c r="B3559" s="12" t="inlineStr">
        <is>
          <t>G</t>
        </is>
      </c>
      <c r="C3559" s="12" t="inlineStr">
        <is>
          <t>Carbon capture</t>
        </is>
      </c>
      <c r="D3559" s="12" t="inlineStr">
        <is>
          <t>Motor 4 of 10, 30 kW</t>
        </is>
      </c>
      <c r="E3559" s="12" t="inlineStr"/>
      <c r="F3559" s="12" t="inlineStr">
        <is>
          <t>CCS MV switchgear building (VFDs)</t>
        </is>
      </c>
      <c r="G3559" s="12" t="inlineStr"/>
      <c r="H3559" s="12" t="inlineStr">
        <is>
          <t>CO2 compression 3 x ~19 MW + dehydration</t>
        </is>
      </c>
      <c r="I3559" s="12" t="inlineStr">
        <is>
          <t>LV 600 V</t>
        </is>
      </c>
      <c r="J3559" s="12" t="inlineStr">
        <is>
          <t>Type TC-ER 600 V 3/C Cu XHHW-2 + ground, PVC jacket</t>
        </is>
      </c>
      <c r="K3559" s="12" t="inlineStr">
        <is>
          <t>LV|3/C+G|6</t>
        </is>
      </c>
      <c r="L3559" s="12" t="inlineStr">
        <is>
          <t>3/C+G</t>
        </is>
      </c>
      <c r="M3559" s="12" t="inlineStr">
        <is>
          <t>6</t>
        </is>
      </c>
      <c r="N3559" s="12" t="n">
        <v>1</v>
      </c>
      <c r="O3559" s="12" t="n">
        <v>1</v>
      </c>
      <c r="P3559" s="12" t="n">
        <v>480</v>
      </c>
      <c r="Q3559" s="12" t="n">
        <v>30</v>
      </c>
      <c r="R3559" s="12" t="n">
        <v>42.5</v>
      </c>
      <c r="S3559" s="12" t="inlineStr">
        <is>
          <t>Duct bank</t>
        </is>
      </c>
      <c r="T3559" s="16" t="n">
        <v>291</v>
      </c>
      <c r="U3559" s="16" t="n">
        <v>36</v>
      </c>
      <c r="V3559" s="16">
        <f>ROUNDUP((T3559+U3559+2*'Read Me'!$B$13)*(1+'Read Me'!$B$12),-1)</f>
        <v/>
      </c>
      <c r="W3559" s="16">
        <f>V3559*N3559*O3559</f>
        <v/>
      </c>
      <c r="X3559" s="12">
        <f>IF(LEFT(I3559,2)="MV",2*N3559*IF(L3559="1/C",O3559,1),0)</f>
        <v/>
      </c>
      <c r="Y3559" s="12">
        <f>IF(OR(LEFT(K3559,4)="LVAX",LEFT(K3559,6)="MV15AX",LEFT(K3559,4)="CTAX",LEFT(K3559,2)="W|"),2*N3559*O3559,0)</f>
        <v/>
      </c>
      <c r="Z3559" s="12" t="inlineStr">
        <is>
          <t>VD 2.7 %</t>
        </is>
      </c>
      <c r="AA3559" s="12">
        <f>N3559*O3559</f>
        <v/>
      </c>
    </row>
    <row r="3560">
      <c r="A3560" s="12" t="inlineStr">
        <is>
          <t>G-P-0145</t>
        </is>
      </c>
      <c r="B3560" s="12" t="inlineStr">
        <is>
          <t>G</t>
        </is>
      </c>
      <c r="C3560" s="12" t="inlineStr">
        <is>
          <t>Carbon capture</t>
        </is>
      </c>
      <c r="D3560" s="12" t="inlineStr">
        <is>
          <t>Motor 5 of 10, 30 kW</t>
        </is>
      </c>
      <c r="E3560" s="12" t="inlineStr"/>
      <c r="F3560" s="12" t="inlineStr">
        <is>
          <t>CCS MV switchgear building (VFDs)</t>
        </is>
      </c>
      <c r="G3560" s="12" t="inlineStr"/>
      <c r="H3560" s="12" t="inlineStr">
        <is>
          <t>CO2 compression 3 x ~19 MW + dehydration</t>
        </is>
      </c>
      <c r="I3560" s="12" t="inlineStr">
        <is>
          <t>LV 600 V</t>
        </is>
      </c>
      <c r="J3560" s="12" t="inlineStr">
        <is>
          <t>Type TC-ER 600 V 3/C Cu XHHW-2 + ground, PVC jacket</t>
        </is>
      </c>
      <c r="K3560" s="12" t="inlineStr">
        <is>
          <t>LV|3/C+G|6</t>
        </is>
      </c>
      <c r="L3560" s="12" t="inlineStr">
        <is>
          <t>3/C+G</t>
        </is>
      </c>
      <c r="M3560" s="12" t="inlineStr">
        <is>
          <t>6</t>
        </is>
      </c>
      <c r="N3560" s="12" t="n">
        <v>1</v>
      </c>
      <c r="O3560" s="12" t="n">
        <v>1</v>
      </c>
      <c r="P3560" s="12" t="n">
        <v>480</v>
      </c>
      <c r="Q3560" s="12" t="n">
        <v>30</v>
      </c>
      <c r="R3560" s="12" t="n">
        <v>42.5</v>
      </c>
      <c r="S3560" s="12" t="inlineStr">
        <is>
          <t>Duct bank</t>
        </is>
      </c>
      <c r="T3560" s="16" t="n">
        <v>291</v>
      </c>
      <c r="U3560" s="16" t="n">
        <v>36</v>
      </c>
      <c r="V3560" s="16">
        <f>ROUNDUP((T3560+U3560+2*'Read Me'!$B$13)*(1+'Read Me'!$B$12),-1)</f>
        <v/>
      </c>
      <c r="W3560" s="16">
        <f>V3560*N3560*O3560</f>
        <v/>
      </c>
      <c r="X3560" s="12">
        <f>IF(LEFT(I3560,2)="MV",2*N3560*IF(L3560="1/C",O3560,1),0)</f>
        <v/>
      </c>
      <c r="Y3560" s="12">
        <f>IF(OR(LEFT(K3560,4)="LVAX",LEFT(K3560,6)="MV15AX",LEFT(K3560,4)="CTAX",LEFT(K3560,2)="W|"),2*N3560*O3560,0)</f>
        <v/>
      </c>
      <c r="Z3560" s="12" t="inlineStr">
        <is>
          <t>VD 2.7 %</t>
        </is>
      </c>
      <c r="AA3560" s="12">
        <f>N3560*O3560</f>
        <v/>
      </c>
    </row>
    <row r="3561">
      <c r="A3561" s="12" t="inlineStr">
        <is>
          <t>G-P-0146</t>
        </is>
      </c>
      <c r="B3561" s="12" t="inlineStr">
        <is>
          <t>G</t>
        </is>
      </c>
      <c r="C3561" s="12" t="inlineStr">
        <is>
          <t>Carbon capture</t>
        </is>
      </c>
      <c r="D3561" s="12" t="inlineStr">
        <is>
          <t>Motor 6 of 10, 30 kW</t>
        </is>
      </c>
      <c r="E3561" s="12" t="inlineStr"/>
      <c r="F3561" s="12" t="inlineStr">
        <is>
          <t>CCS MV switchgear building (VFDs)</t>
        </is>
      </c>
      <c r="G3561" s="12" t="inlineStr"/>
      <c r="H3561" s="12" t="inlineStr">
        <is>
          <t>CO2 compression 3 x ~19 MW + dehydration</t>
        </is>
      </c>
      <c r="I3561" s="12" t="inlineStr">
        <is>
          <t>LV 600 V</t>
        </is>
      </c>
      <c r="J3561" s="12" t="inlineStr">
        <is>
          <t>Type TC-ER 600 V 3/C Cu XHHW-2 + ground, PVC jacket</t>
        </is>
      </c>
      <c r="K3561" s="12" t="inlineStr">
        <is>
          <t>LV|3/C+G|6</t>
        </is>
      </c>
      <c r="L3561" s="12" t="inlineStr">
        <is>
          <t>3/C+G</t>
        </is>
      </c>
      <c r="M3561" s="12" t="inlineStr">
        <is>
          <t>6</t>
        </is>
      </c>
      <c r="N3561" s="12" t="n">
        <v>1</v>
      </c>
      <c r="O3561" s="12" t="n">
        <v>1</v>
      </c>
      <c r="P3561" s="12" t="n">
        <v>480</v>
      </c>
      <c r="Q3561" s="12" t="n">
        <v>30</v>
      </c>
      <c r="R3561" s="12" t="n">
        <v>42.5</v>
      </c>
      <c r="S3561" s="12" t="inlineStr">
        <is>
          <t>Duct bank</t>
        </is>
      </c>
      <c r="T3561" s="16" t="n">
        <v>291</v>
      </c>
      <c r="U3561" s="16" t="n">
        <v>36</v>
      </c>
      <c r="V3561" s="16">
        <f>ROUNDUP((T3561+U3561+2*'Read Me'!$B$13)*(1+'Read Me'!$B$12),-1)</f>
        <v/>
      </c>
      <c r="W3561" s="16">
        <f>V3561*N3561*O3561</f>
        <v/>
      </c>
      <c r="X3561" s="12">
        <f>IF(LEFT(I3561,2)="MV",2*N3561*IF(L3561="1/C",O3561,1),0)</f>
        <v/>
      </c>
      <c r="Y3561" s="12">
        <f>IF(OR(LEFT(K3561,4)="LVAX",LEFT(K3561,6)="MV15AX",LEFT(K3561,4)="CTAX",LEFT(K3561,2)="W|"),2*N3561*O3561,0)</f>
        <v/>
      </c>
      <c r="Z3561" s="12" t="inlineStr">
        <is>
          <t>VD 2.7 %</t>
        </is>
      </c>
      <c r="AA3561" s="12">
        <f>N3561*O3561</f>
        <v/>
      </c>
    </row>
    <row r="3562">
      <c r="A3562" s="12" t="inlineStr">
        <is>
          <t>G-P-0147</t>
        </is>
      </c>
      <c r="B3562" s="12" t="inlineStr">
        <is>
          <t>G</t>
        </is>
      </c>
      <c r="C3562" s="12" t="inlineStr">
        <is>
          <t>Carbon capture</t>
        </is>
      </c>
      <c r="D3562" s="12" t="inlineStr">
        <is>
          <t>Motor 7 of 10, 30 kW</t>
        </is>
      </c>
      <c r="E3562" s="12" t="inlineStr"/>
      <c r="F3562" s="12" t="inlineStr">
        <is>
          <t>CCS MV switchgear building (VFDs)</t>
        </is>
      </c>
      <c r="G3562" s="12" t="inlineStr"/>
      <c r="H3562" s="12" t="inlineStr">
        <is>
          <t>CO2 compression 3 x ~19 MW + dehydration</t>
        </is>
      </c>
      <c r="I3562" s="12" t="inlineStr">
        <is>
          <t>LV 600 V</t>
        </is>
      </c>
      <c r="J3562" s="12" t="inlineStr">
        <is>
          <t>Type TC-ER 600 V 3/C Cu XHHW-2 + ground, PVC jacket</t>
        </is>
      </c>
      <c r="K3562" s="12" t="inlineStr">
        <is>
          <t>LV|3/C+G|6</t>
        </is>
      </c>
      <c r="L3562" s="12" t="inlineStr">
        <is>
          <t>3/C+G</t>
        </is>
      </c>
      <c r="M3562" s="12" t="inlineStr">
        <is>
          <t>6</t>
        </is>
      </c>
      <c r="N3562" s="12" t="n">
        <v>1</v>
      </c>
      <c r="O3562" s="12" t="n">
        <v>1</v>
      </c>
      <c r="P3562" s="12" t="n">
        <v>480</v>
      </c>
      <c r="Q3562" s="12" t="n">
        <v>30</v>
      </c>
      <c r="R3562" s="12" t="n">
        <v>42.5</v>
      </c>
      <c r="S3562" s="12" t="inlineStr">
        <is>
          <t>Duct bank</t>
        </is>
      </c>
      <c r="T3562" s="16" t="n">
        <v>291</v>
      </c>
      <c r="U3562" s="16" t="n">
        <v>36</v>
      </c>
      <c r="V3562" s="16">
        <f>ROUNDUP((T3562+U3562+2*'Read Me'!$B$13)*(1+'Read Me'!$B$12),-1)</f>
        <v/>
      </c>
      <c r="W3562" s="16">
        <f>V3562*N3562*O3562</f>
        <v/>
      </c>
      <c r="X3562" s="12">
        <f>IF(LEFT(I3562,2)="MV",2*N3562*IF(L3562="1/C",O3562,1),0)</f>
        <v/>
      </c>
      <c r="Y3562" s="12">
        <f>IF(OR(LEFT(K3562,4)="LVAX",LEFT(K3562,6)="MV15AX",LEFT(K3562,4)="CTAX",LEFT(K3562,2)="W|"),2*N3562*O3562,0)</f>
        <v/>
      </c>
      <c r="Z3562" s="12" t="inlineStr">
        <is>
          <t>VD 2.7 %</t>
        </is>
      </c>
      <c r="AA3562" s="12">
        <f>N3562*O3562</f>
        <v/>
      </c>
    </row>
    <row r="3563">
      <c r="A3563" s="12" t="inlineStr">
        <is>
          <t>G-P-0148</t>
        </is>
      </c>
      <c r="B3563" s="12" t="inlineStr">
        <is>
          <t>G</t>
        </is>
      </c>
      <c r="C3563" s="12" t="inlineStr">
        <is>
          <t>Carbon capture</t>
        </is>
      </c>
      <c r="D3563" s="12" t="inlineStr">
        <is>
          <t>Motor 8 of 10, 30 kW</t>
        </is>
      </c>
      <c r="E3563" s="12" t="inlineStr"/>
      <c r="F3563" s="12" t="inlineStr">
        <is>
          <t>CCS MV switchgear building (VFDs)</t>
        </is>
      </c>
      <c r="G3563" s="12" t="inlineStr"/>
      <c r="H3563" s="12" t="inlineStr">
        <is>
          <t>CO2 compression 3 x ~19 MW + dehydration</t>
        </is>
      </c>
      <c r="I3563" s="12" t="inlineStr">
        <is>
          <t>LV 600 V</t>
        </is>
      </c>
      <c r="J3563" s="12" t="inlineStr">
        <is>
          <t>Type TC-ER 600 V 3/C Cu XHHW-2 + ground, PVC jacket</t>
        </is>
      </c>
      <c r="K3563" s="12" t="inlineStr">
        <is>
          <t>LV|3/C+G|6</t>
        </is>
      </c>
      <c r="L3563" s="12" t="inlineStr">
        <is>
          <t>3/C+G</t>
        </is>
      </c>
      <c r="M3563" s="12" t="inlineStr">
        <is>
          <t>6</t>
        </is>
      </c>
      <c r="N3563" s="12" t="n">
        <v>1</v>
      </c>
      <c r="O3563" s="12" t="n">
        <v>1</v>
      </c>
      <c r="P3563" s="12" t="n">
        <v>480</v>
      </c>
      <c r="Q3563" s="12" t="n">
        <v>30</v>
      </c>
      <c r="R3563" s="12" t="n">
        <v>42.5</v>
      </c>
      <c r="S3563" s="12" t="inlineStr">
        <is>
          <t>Duct bank</t>
        </is>
      </c>
      <c r="T3563" s="16" t="n">
        <v>291</v>
      </c>
      <c r="U3563" s="16" t="n">
        <v>36</v>
      </c>
      <c r="V3563" s="16">
        <f>ROUNDUP((T3563+U3563+2*'Read Me'!$B$13)*(1+'Read Me'!$B$12),-1)</f>
        <v/>
      </c>
      <c r="W3563" s="16">
        <f>V3563*N3563*O3563</f>
        <v/>
      </c>
      <c r="X3563" s="12">
        <f>IF(LEFT(I3563,2)="MV",2*N3563*IF(L3563="1/C",O3563,1),0)</f>
        <v/>
      </c>
      <c r="Y3563" s="12">
        <f>IF(OR(LEFT(K3563,4)="LVAX",LEFT(K3563,6)="MV15AX",LEFT(K3563,4)="CTAX",LEFT(K3563,2)="W|"),2*N3563*O3563,0)</f>
        <v/>
      </c>
      <c r="Z3563" s="12" t="inlineStr">
        <is>
          <t>VD 2.7 %</t>
        </is>
      </c>
      <c r="AA3563" s="12">
        <f>N3563*O3563</f>
        <v/>
      </c>
    </row>
    <row r="3564">
      <c r="A3564" s="12" t="inlineStr">
        <is>
          <t>G-P-0149</t>
        </is>
      </c>
      <c r="B3564" s="12" t="inlineStr">
        <is>
          <t>G</t>
        </is>
      </c>
      <c r="C3564" s="12" t="inlineStr">
        <is>
          <t>Carbon capture</t>
        </is>
      </c>
      <c r="D3564" s="12" t="inlineStr">
        <is>
          <t>Motor 9 of 10, 30 kW</t>
        </is>
      </c>
      <c r="E3564" s="12" t="inlineStr"/>
      <c r="F3564" s="12" t="inlineStr">
        <is>
          <t>CCS MV switchgear building (VFDs)</t>
        </is>
      </c>
      <c r="G3564" s="12" t="inlineStr"/>
      <c r="H3564" s="12" t="inlineStr">
        <is>
          <t>CO2 compression 3 x ~19 MW + dehydration</t>
        </is>
      </c>
      <c r="I3564" s="12" t="inlineStr">
        <is>
          <t>LV 600 V</t>
        </is>
      </c>
      <c r="J3564" s="12" t="inlineStr">
        <is>
          <t>Type TC-ER 600 V 3/C Cu XHHW-2 + ground, PVC jacket</t>
        </is>
      </c>
      <c r="K3564" s="12" t="inlineStr">
        <is>
          <t>LV|3/C+G|6</t>
        </is>
      </c>
      <c r="L3564" s="12" t="inlineStr">
        <is>
          <t>3/C+G</t>
        </is>
      </c>
      <c r="M3564" s="12" t="inlineStr">
        <is>
          <t>6</t>
        </is>
      </c>
      <c r="N3564" s="12" t="n">
        <v>1</v>
      </c>
      <c r="O3564" s="12" t="n">
        <v>1</v>
      </c>
      <c r="P3564" s="12" t="n">
        <v>480</v>
      </c>
      <c r="Q3564" s="12" t="n">
        <v>30</v>
      </c>
      <c r="R3564" s="12" t="n">
        <v>42.5</v>
      </c>
      <c r="S3564" s="12" t="inlineStr">
        <is>
          <t>Duct bank</t>
        </is>
      </c>
      <c r="T3564" s="16" t="n">
        <v>291</v>
      </c>
      <c r="U3564" s="16" t="n">
        <v>36</v>
      </c>
      <c r="V3564" s="16">
        <f>ROUNDUP((T3564+U3564+2*'Read Me'!$B$13)*(1+'Read Me'!$B$12),-1)</f>
        <v/>
      </c>
      <c r="W3564" s="16">
        <f>V3564*N3564*O3564</f>
        <v/>
      </c>
      <c r="X3564" s="12">
        <f>IF(LEFT(I3564,2)="MV",2*N3564*IF(L3564="1/C",O3564,1),0)</f>
        <v/>
      </c>
      <c r="Y3564" s="12">
        <f>IF(OR(LEFT(K3564,4)="LVAX",LEFT(K3564,6)="MV15AX",LEFT(K3564,4)="CTAX",LEFT(K3564,2)="W|"),2*N3564*O3564,0)</f>
        <v/>
      </c>
      <c r="Z3564" s="12" t="inlineStr">
        <is>
          <t>VD 2.7 %</t>
        </is>
      </c>
      <c r="AA3564" s="12">
        <f>N3564*O3564</f>
        <v/>
      </c>
    </row>
    <row r="3565">
      <c r="A3565" s="12" t="inlineStr">
        <is>
          <t>G-P-0150</t>
        </is>
      </c>
      <c r="B3565" s="12" t="inlineStr">
        <is>
          <t>G</t>
        </is>
      </c>
      <c r="C3565" s="12" t="inlineStr">
        <is>
          <t>Carbon capture</t>
        </is>
      </c>
      <c r="D3565" s="12" t="inlineStr">
        <is>
          <t>Motor 10 of 10, 30 kW</t>
        </is>
      </c>
      <c r="E3565" s="12" t="inlineStr"/>
      <c r="F3565" s="12" t="inlineStr">
        <is>
          <t>CCS MV switchgear building (VFDs)</t>
        </is>
      </c>
      <c r="G3565" s="12" t="inlineStr"/>
      <c r="H3565" s="12" t="inlineStr">
        <is>
          <t>CO2 compression 3 x ~19 MW + dehydration</t>
        </is>
      </c>
      <c r="I3565" s="12" t="inlineStr">
        <is>
          <t>LV 600 V</t>
        </is>
      </c>
      <c r="J3565" s="12" t="inlineStr">
        <is>
          <t>Type TC-ER 600 V 3/C Cu XHHW-2 + ground, PVC jacket</t>
        </is>
      </c>
      <c r="K3565" s="12" t="inlineStr">
        <is>
          <t>LV|3/C+G|6</t>
        </is>
      </c>
      <c r="L3565" s="12" t="inlineStr">
        <is>
          <t>3/C+G</t>
        </is>
      </c>
      <c r="M3565" s="12" t="inlineStr">
        <is>
          <t>6</t>
        </is>
      </c>
      <c r="N3565" s="12" t="n">
        <v>1</v>
      </c>
      <c r="O3565" s="12" t="n">
        <v>1</v>
      </c>
      <c r="P3565" s="12" t="n">
        <v>480</v>
      </c>
      <c r="Q3565" s="12" t="n">
        <v>30</v>
      </c>
      <c r="R3565" s="12" t="n">
        <v>42.5</v>
      </c>
      <c r="S3565" s="12" t="inlineStr">
        <is>
          <t>Duct bank</t>
        </is>
      </c>
      <c r="T3565" s="16" t="n">
        <v>291</v>
      </c>
      <c r="U3565" s="16" t="n">
        <v>36</v>
      </c>
      <c r="V3565" s="16">
        <f>ROUNDUP((T3565+U3565+2*'Read Me'!$B$13)*(1+'Read Me'!$B$12),-1)</f>
        <v/>
      </c>
      <c r="W3565" s="16">
        <f>V3565*N3565*O3565</f>
        <v/>
      </c>
      <c r="X3565" s="12">
        <f>IF(LEFT(I3565,2)="MV",2*N3565*IF(L3565="1/C",O3565,1),0)</f>
        <v/>
      </c>
      <c r="Y3565" s="12">
        <f>IF(OR(LEFT(K3565,4)="LVAX",LEFT(K3565,6)="MV15AX",LEFT(K3565,4)="CTAX",LEFT(K3565,2)="W|"),2*N3565*O3565,0)</f>
        <v/>
      </c>
      <c r="Z3565" s="12" t="inlineStr">
        <is>
          <t>VD 2.7 %</t>
        </is>
      </c>
      <c r="AA3565" s="12">
        <f>N3565*O3565</f>
        <v/>
      </c>
    </row>
    <row r="3566">
      <c r="A3566" s="12" t="inlineStr">
        <is>
          <t>G-P-0151</t>
        </is>
      </c>
      <c r="B3566" s="12" t="inlineStr">
        <is>
          <t>G</t>
        </is>
      </c>
      <c r="C3566" s="12" t="inlineStr">
        <is>
          <t>Carbon capture</t>
        </is>
      </c>
      <c r="D3566" s="12" t="inlineStr">
        <is>
          <t>480 V welding receptacle 1</t>
        </is>
      </c>
      <c r="E3566" s="12" t="inlineStr"/>
      <c r="F3566" s="12" t="inlineStr">
        <is>
          <t>CCS MV switchgear building (VFDs)</t>
        </is>
      </c>
      <c r="G3566" s="12" t="inlineStr"/>
      <c r="H3566" s="12" t="inlineStr">
        <is>
          <t>CO2 compression 3 x ~19 MW + dehydration</t>
        </is>
      </c>
      <c r="I3566" s="12" t="inlineStr">
        <is>
          <t>LV 600 V</t>
        </is>
      </c>
      <c r="J3566" s="12" t="inlineStr">
        <is>
          <t>Type TC-ER 600 V 3/C Cu XHHW-2 + ground, PVC jacket</t>
        </is>
      </c>
      <c r="K3566" s="12" t="inlineStr">
        <is>
          <t>LV|3/C+G|2</t>
        </is>
      </c>
      <c r="L3566" s="12" t="inlineStr">
        <is>
          <t>3/C+G</t>
        </is>
      </c>
      <c r="M3566" s="12" t="inlineStr">
        <is>
          <t>2</t>
        </is>
      </c>
      <c r="N3566" s="12" t="n">
        <v>1</v>
      </c>
      <c r="O3566" s="12" t="n">
        <v>1</v>
      </c>
      <c r="P3566" s="12" t="n">
        <v>480</v>
      </c>
      <c r="Q3566" s="12" t="n">
        <v>60</v>
      </c>
      <c r="R3566" s="12" t="n">
        <v>76</v>
      </c>
      <c r="S3566" s="12" t="inlineStr">
        <is>
          <t>Duct bank</t>
        </is>
      </c>
      <c r="T3566" s="16" t="n">
        <v>291</v>
      </c>
      <c r="U3566" s="16" t="n">
        <v>36</v>
      </c>
      <c r="V3566" s="16">
        <f>ROUNDUP((T3566+U3566+2*'Read Me'!$B$13)*(1+'Read Me'!$B$12),-1)</f>
        <v/>
      </c>
      <c r="W3566" s="16">
        <f>V3566*N3566*O3566</f>
        <v/>
      </c>
      <c r="X3566" s="12">
        <f>IF(LEFT(I3566,2)="MV",2*N3566*IF(L3566="1/C",O3566,1),0)</f>
        <v/>
      </c>
      <c r="Y3566" s="12">
        <f>IF(OR(LEFT(K3566,4)="LVAX",LEFT(K3566,6)="MV15AX",LEFT(K3566,4)="CTAX",LEFT(K3566,2)="W|"),2*N3566*O3566,0)</f>
        <v/>
      </c>
      <c r="Z3566" s="12" t="inlineStr">
        <is>
          <t>VD 1.9 %</t>
        </is>
      </c>
      <c r="AA3566" s="12">
        <f>N3566*O3566</f>
        <v/>
      </c>
    </row>
    <row r="3567">
      <c r="A3567" s="12" t="inlineStr">
        <is>
          <t>G-P-0152</t>
        </is>
      </c>
      <c r="B3567" s="12" t="inlineStr">
        <is>
          <t>G</t>
        </is>
      </c>
      <c r="C3567" s="12" t="inlineStr">
        <is>
          <t>Carbon capture</t>
        </is>
      </c>
      <c r="D3567" s="12" t="inlineStr">
        <is>
          <t>480 V welding receptacle 2</t>
        </is>
      </c>
      <c r="E3567" s="12" t="inlineStr"/>
      <c r="F3567" s="12" t="inlineStr">
        <is>
          <t>CCS MV switchgear building (VFDs)</t>
        </is>
      </c>
      <c r="G3567" s="12" t="inlineStr"/>
      <c r="H3567" s="12" t="inlineStr">
        <is>
          <t>CO2 compression 3 x ~19 MW + dehydration</t>
        </is>
      </c>
      <c r="I3567" s="12" t="inlineStr">
        <is>
          <t>LV 600 V</t>
        </is>
      </c>
      <c r="J3567" s="12" t="inlineStr">
        <is>
          <t>Type TC-ER 600 V 3/C Cu XHHW-2 + ground, PVC jacket</t>
        </is>
      </c>
      <c r="K3567" s="12" t="inlineStr">
        <is>
          <t>LV|3/C+G|2</t>
        </is>
      </c>
      <c r="L3567" s="12" t="inlineStr">
        <is>
          <t>3/C+G</t>
        </is>
      </c>
      <c r="M3567" s="12" t="inlineStr">
        <is>
          <t>2</t>
        </is>
      </c>
      <c r="N3567" s="12" t="n">
        <v>1</v>
      </c>
      <c r="O3567" s="12" t="n">
        <v>1</v>
      </c>
      <c r="P3567" s="12" t="n">
        <v>480</v>
      </c>
      <c r="Q3567" s="12" t="n">
        <v>60</v>
      </c>
      <c r="R3567" s="12" t="n">
        <v>76</v>
      </c>
      <c r="S3567" s="12" t="inlineStr">
        <is>
          <t>Duct bank</t>
        </is>
      </c>
      <c r="T3567" s="16" t="n">
        <v>291</v>
      </c>
      <c r="U3567" s="16" t="n">
        <v>36</v>
      </c>
      <c r="V3567" s="16">
        <f>ROUNDUP((T3567+U3567+2*'Read Me'!$B$13)*(1+'Read Me'!$B$12),-1)</f>
        <v/>
      </c>
      <c r="W3567" s="16">
        <f>V3567*N3567*O3567</f>
        <v/>
      </c>
      <c r="X3567" s="12">
        <f>IF(LEFT(I3567,2)="MV",2*N3567*IF(L3567="1/C",O3567,1),0)</f>
        <v/>
      </c>
      <c r="Y3567" s="12">
        <f>IF(OR(LEFT(K3567,4)="LVAX",LEFT(K3567,6)="MV15AX",LEFT(K3567,4)="CTAX",LEFT(K3567,2)="W|"),2*N3567*O3567,0)</f>
        <v/>
      </c>
      <c r="Z3567" s="12" t="inlineStr">
        <is>
          <t>VD 1.9 %</t>
        </is>
      </c>
      <c r="AA3567" s="12">
        <f>N3567*O3567</f>
        <v/>
      </c>
    </row>
    <row r="3568">
      <c r="A3568" s="12" t="inlineStr">
        <is>
          <t>G-P-0153</t>
        </is>
      </c>
      <c r="B3568" s="12" t="inlineStr">
        <is>
          <t>G</t>
        </is>
      </c>
      <c r="C3568" s="12" t="inlineStr">
        <is>
          <t>Carbon capture</t>
        </is>
      </c>
      <c r="D3568" s="12" t="inlineStr">
        <is>
          <t>480 V welding receptacle 3</t>
        </is>
      </c>
      <c r="E3568" s="12" t="inlineStr"/>
      <c r="F3568" s="12" t="inlineStr">
        <is>
          <t>CCS MV switchgear building (VFDs)</t>
        </is>
      </c>
      <c r="G3568" s="12" t="inlineStr"/>
      <c r="H3568" s="12" t="inlineStr">
        <is>
          <t>CO2 compression 3 x ~19 MW + dehydration</t>
        </is>
      </c>
      <c r="I3568" s="12" t="inlineStr">
        <is>
          <t>LV 600 V</t>
        </is>
      </c>
      <c r="J3568" s="12" t="inlineStr">
        <is>
          <t>Type TC-ER 600 V 3/C Cu XHHW-2 + ground, PVC jacket</t>
        </is>
      </c>
      <c r="K3568" s="12" t="inlineStr">
        <is>
          <t>LV|3/C+G|2</t>
        </is>
      </c>
      <c r="L3568" s="12" t="inlineStr">
        <is>
          <t>3/C+G</t>
        </is>
      </c>
      <c r="M3568" s="12" t="inlineStr">
        <is>
          <t>2</t>
        </is>
      </c>
      <c r="N3568" s="12" t="n">
        <v>1</v>
      </c>
      <c r="O3568" s="12" t="n">
        <v>1</v>
      </c>
      <c r="P3568" s="12" t="n">
        <v>480</v>
      </c>
      <c r="Q3568" s="12" t="n">
        <v>60</v>
      </c>
      <c r="R3568" s="12" t="n">
        <v>76</v>
      </c>
      <c r="S3568" s="12" t="inlineStr">
        <is>
          <t>Duct bank</t>
        </is>
      </c>
      <c r="T3568" s="16" t="n">
        <v>291</v>
      </c>
      <c r="U3568" s="16" t="n">
        <v>36</v>
      </c>
      <c r="V3568" s="16">
        <f>ROUNDUP((T3568+U3568+2*'Read Me'!$B$13)*(1+'Read Me'!$B$12),-1)</f>
        <v/>
      </c>
      <c r="W3568" s="16">
        <f>V3568*N3568*O3568</f>
        <v/>
      </c>
      <c r="X3568" s="12">
        <f>IF(LEFT(I3568,2)="MV",2*N3568*IF(L3568="1/C",O3568,1),0)</f>
        <v/>
      </c>
      <c r="Y3568" s="12">
        <f>IF(OR(LEFT(K3568,4)="LVAX",LEFT(K3568,6)="MV15AX",LEFT(K3568,4)="CTAX",LEFT(K3568,2)="W|"),2*N3568*O3568,0)</f>
        <v/>
      </c>
      <c r="Z3568" s="12" t="inlineStr">
        <is>
          <t>VD 1.9 %</t>
        </is>
      </c>
      <c r="AA3568" s="12">
        <f>N3568*O3568</f>
        <v/>
      </c>
    </row>
    <row r="3569">
      <c r="A3569" s="12" t="inlineStr">
        <is>
          <t>G-P-0154</t>
        </is>
      </c>
      <c r="B3569" s="12" t="inlineStr">
        <is>
          <t>G</t>
        </is>
      </c>
      <c r="C3569" s="12" t="inlineStr">
        <is>
          <t>Carbon capture</t>
        </is>
      </c>
      <c r="D3569" s="12" t="inlineStr">
        <is>
          <t>480 V welding receptacle 4</t>
        </is>
      </c>
      <c r="E3569" s="12" t="inlineStr"/>
      <c r="F3569" s="12" t="inlineStr">
        <is>
          <t>CCS MV switchgear building (VFDs)</t>
        </is>
      </c>
      <c r="G3569" s="12" t="inlineStr"/>
      <c r="H3569" s="12" t="inlineStr">
        <is>
          <t>CO2 compression 3 x ~19 MW + dehydration</t>
        </is>
      </c>
      <c r="I3569" s="12" t="inlineStr">
        <is>
          <t>LV 600 V</t>
        </is>
      </c>
      <c r="J3569" s="12" t="inlineStr">
        <is>
          <t>Type TC-ER 600 V 3/C Cu XHHW-2 + ground, PVC jacket</t>
        </is>
      </c>
      <c r="K3569" s="12" t="inlineStr">
        <is>
          <t>LV|3/C+G|2</t>
        </is>
      </c>
      <c r="L3569" s="12" t="inlineStr">
        <is>
          <t>3/C+G</t>
        </is>
      </c>
      <c r="M3569" s="12" t="inlineStr">
        <is>
          <t>2</t>
        </is>
      </c>
      <c r="N3569" s="12" t="n">
        <v>1</v>
      </c>
      <c r="O3569" s="12" t="n">
        <v>1</v>
      </c>
      <c r="P3569" s="12" t="n">
        <v>480</v>
      </c>
      <c r="Q3569" s="12" t="n">
        <v>60</v>
      </c>
      <c r="R3569" s="12" t="n">
        <v>76</v>
      </c>
      <c r="S3569" s="12" t="inlineStr">
        <is>
          <t>Duct bank</t>
        </is>
      </c>
      <c r="T3569" s="16" t="n">
        <v>291</v>
      </c>
      <c r="U3569" s="16" t="n">
        <v>36</v>
      </c>
      <c r="V3569" s="16">
        <f>ROUNDUP((T3569+U3569+2*'Read Me'!$B$13)*(1+'Read Me'!$B$12),-1)</f>
        <v/>
      </c>
      <c r="W3569" s="16">
        <f>V3569*N3569*O3569</f>
        <v/>
      </c>
      <c r="X3569" s="12">
        <f>IF(LEFT(I3569,2)="MV",2*N3569*IF(L3569="1/C",O3569,1),0)</f>
        <v/>
      </c>
      <c r="Y3569" s="12">
        <f>IF(OR(LEFT(K3569,4)="LVAX",LEFT(K3569,6)="MV15AX",LEFT(K3569,4)="CTAX",LEFT(K3569,2)="W|"),2*N3569*O3569,0)</f>
        <v/>
      </c>
      <c r="Z3569" s="12" t="inlineStr">
        <is>
          <t>VD 1.9 %</t>
        </is>
      </c>
      <c r="AA3569" s="12">
        <f>N3569*O3569</f>
        <v/>
      </c>
    </row>
    <row r="3570">
      <c r="A3570" s="12" t="inlineStr">
        <is>
          <t>G-P-0155</t>
        </is>
      </c>
      <c r="B3570" s="12" t="inlineStr">
        <is>
          <t>G</t>
        </is>
      </c>
      <c r="C3570" s="12" t="inlineStr">
        <is>
          <t>Carbon capture</t>
        </is>
      </c>
      <c r="D3570" s="12" t="inlineStr">
        <is>
          <t>Motor 1 of 2, 20 kW</t>
        </is>
      </c>
      <c r="E3570" s="12" t="inlineStr"/>
      <c r="F3570" s="12" t="inlineStr">
        <is>
          <t>CCS MV switchgear building (VFDs)</t>
        </is>
      </c>
      <c r="G3570" s="12" t="inlineStr"/>
      <c r="H3570" s="12" t="inlineStr">
        <is>
          <t>CO2 dehydration: molecular-sieve towers and regeneration heater</t>
        </is>
      </c>
      <c r="I3570" s="12" t="inlineStr">
        <is>
          <t>LV 600 V</t>
        </is>
      </c>
      <c r="J3570" s="12" t="inlineStr">
        <is>
          <t>Type TC-ER 600 V 3/C Cu XHHW-2 + ground, PVC jacket</t>
        </is>
      </c>
      <c r="K3570" s="12" t="inlineStr">
        <is>
          <t>LV|3/C+G|6</t>
        </is>
      </c>
      <c r="L3570" s="12" t="inlineStr">
        <is>
          <t>3/C+G</t>
        </is>
      </c>
      <c r="M3570" s="12" t="inlineStr">
        <is>
          <t>6</t>
        </is>
      </c>
      <c r="N3570" s="12" t="n">
        <v>1</v>
      </c>
      <c r="O3570" s="12" t="n">
        <v>1</v>
      </c>
      <c r="P3570" s="12" t="n">
        <v>480</v>
      </c>
      <c r="Q3570" s="12" t="n">
        <v>20</v>
      </c>
      <c r="R3570" s="12" t="n">
        <v>28.3</v>
      </c>
      <c r="S3570" s="12" t="inlineStr">
        <is>
          <t>Duct bank</t>
        </is>
      </c>
      <c r="T3570" s="16" t="n">
        <v>305</v>
      </c>
      <c r="U3570" s="16" t="n">
        <v>160</v>
      </c>
      <c r="V3570" s="16">
        <f>ROUNDUP((T3570+U3570+2*'Read Me'!$B$13)*(1+'Read Me'!$B$12),-1)</f>
        <v/>
      </c>
      <c r="W3570" s="16">
        <f>V3570*N3570*O3570</f>
        <v/>
      </c>
      <c r="X3570" s="12">
        <f>IF(LEFT(I3570,2)="MV",2*N3570*IF(L3570="1/C",O3570,1),0)</f>
        <v/>
      </c>
      <c r="Y3570" s="12">
        <f>IF(OR(LEFT(K3570,4)="LVAX",LEFT(K3570,6)="MV15AX",LEFT(K3570,4)="CTAX",LEFT(K3570,2)="W|"),2*N3570*O3570,0)</f>
        <v/>
      </c>
      <c r="Z3570" s="12" t="inlineStr">
        <is>
          <t>VD 2.6 %</t>
        </is>
      </c>
      <c r="AA3570" s="12">
        <f>N3570*O3570</f>
        <v/>
      </c>
    </row>
    <row r="3571">
      <c r="A3571" s="12" t="inlineStr">
        <is>
          <t>G-P-0156</t>
        </is>
      </c>
      <c r="B3571" s="12" t="inlineStr">
        <is>
          <t>G</t>
        </is>
      </c>
      <c r="C3571" s="12" t="inlineStr">
        <is>
          <t>Carbon capture</t>
        </is>
      </c>
      <c r="D3571" s="12" t="inlineStr">
        <is>
          <t>Motor 2 of 2, 20 kW</t>
        </is>
      </c>
      <c r="E3571" s="12" t="inlineStr"/>
      <c r="F3571" s="12" t="inlineStr">
        <is>
          <t>CCS MV switchgear building (VFDs)</t>
        </is>
      </c>
      <c r="G3571" s="12" t="inlineStr"/>
      <c r="H3571" s="12" t="inlineStr">
        <is>
          <t>CO2 dehydration: molecular-sieve towers and regeneration heater</t>
        </is>
      </c>
      <c r="I3571" s="12" t="inlineStr">
        <is>
          <t>LV 600 V</t>
        </is>
      </c>
      <c r="J3571" s="12" t="inlineStr">
        <is>
          <t>Type TC-ER 600 V 3/C Cu XHHW-2 + ground, PVC jacket</t>
        </is>
      </c>
      <c r="K3571" s="12" t="inlineStr">
        <is>
          <t>LV|3/C+G|6</t>
        </is>
      </c>
      <c r="L3571" s="12" t="inlineStr">
        <is>
          <t>3/C+G</t>
        </is>
      </c>
      <c r="M3571" s="12" t="inlineStr">
        <is>
          <t>6</t>
        </is>
      </c>
      <c r="N3571" s="12" t="n">
        <v>1</v>
      </c>
      <c r="O3571" s="12" t="n">
        <v>1</v>
      </c>
      <c r="P3571" s="12" t="n">
        <v>480</v>
      </c>
      <c r="Q3571" s="12" t="n">
        <v>20</v>
      </c>
      <c r="R3571" s="12" t="n">
        <v>28.3</v>
      </c>
      <c r="S3571" s="12" t="inlineStr">
        <is>
          <t>Duct bank</t>
        </is>
      </c>
      <c r="T3571" s="16" t="n">
        <v>305</v>
      </c>
      <c r="U3571" s="16" t="n">
        <v>160</v>
      </c>
      <c r="V3571" s="16">
        <f>ROUNDUP((T3571+U3571+2*'Read Me'!$B$13)*(1+'Read Me'!$B$12),-1)</f>
        <v/>
      </c>
      <c r="W3571" s="16">
        <f>V3571*N3571*O3571</f>
        <v/>
      </c>
      <c r="X3571" s="12">
        <f>IF(LEFT(I3571,2)="MV",2*N3571*IF(L3571="1/C",O3571,1),0)</f>
        <v/>
      </c>
      <c r="Y3571" s="12">
        <f>IF(OR(LEFT(K3571,4)="LVAX",LEFT(K3571,6)="MV15AX",LEFT(K3571,4)="CTAX",LEFT(K3571,2)="W|"),2*N3571*O3571,0)</f>
        <v/>
      </c>
      <c r="Z3571" s="12" t="inlineStr">
        <is>
          <t>VD 2.6 %</t>
        </is>
      </c>
      <c r="AA3571" s="12">
        <f>N3571*O3571</f>
        <v/>
      </c>
    </row>
    <row r="3572">
      <c r="A3572" s="12" t="inlineStr">
        <is>
          <t>G-P-0157</t>
        </is>
      </c>
      <c r="B3572" s="12" t="inlineStr">
        <is>
          <t>G</t>
        </is>
      </c>
      <c r="C3572" s="12" t="inlineStr">
        <is>
          <t>Carbon capture</t>
        </is>
      </c>
      <c r="D3572" s="12" t="inlineStr">
        <is>
          <t>Motor 1 of 1, 200 kW</t>
        </is>
      </c>
      <c r="E3572" s="12" t="inlineStr"/>
      <c r="F3572" s="12" t="inlineStr">
        <is>
          <t>CCS MV switchgear building (VFDs)</t>
        </is>
      </c>
      <c r="G3572" s="12" t="inlineStr"/>
      <c r="H3572" s="12" t="inlineStr">
        <is>
          <t>CO2 dehydration: molecular-sieve towers and regeneration heater</t>
        </is>
      </c>
      <c r="I3572" s="12" t="inlineStr">
        <is>
          <t>LV 600 V</t>
        </is>
      </c>
      <c r="J3572" s="12" t="inlineStr">
        <is>
          <t>Type TC-ER 600 V 3/C Cu XHHW-2 + ground, PVC jacket</t>
        </is>
      </c>
      <c r="K3572" s="12" t="inlineStr">
        <is>
          <t>LV|3/C+G|500</t>
        </is>
      </c>
      <c r="L3572" s="12" t="inlineStr">
        <is>
          <t>3/C+G</t>
        </is>
      </c>
      <c r="M3572" s="12" t="inlineStr">
        <is>
          <t>500 kcmil</t>
        </is>
      </c>
      <c r="N3572" s="12" t="n">
        <v>1</v>
      </c>
      <c r="O3572" s="12" t="n">
        <v>1</v>
      </c>
      <c r="P3572" s="12" t="n">
        <v>480</v>
      </c>
      <c r="Q3572" s="12" t="n">
        <v>200</v>
      </c>
      <c r="R3572" s="12" t="n">
        <v>283</v>
      </c>
      <c r="S3572" s="12" t="inlineStr">
        <is>
          <t>Duct bank</t>
        </is>
      </c>
      <c r="T3572" s="16" t="n">
        <v>305</v>
      </c>
      <c r="U3572" s="16" t="n">
        <v>160</v>
      </c>
      <c r="V3572" s="16">
        <f>ROUNDUP((T3572+U3572+2*'Read Me'!$B$13)*(1+'Read Me'!$B$12),-1)</f>
        <v/>
      </c>
      <c r="W3572" s="16">
        <f>V3572*N3572*O3572</f>
        <v/>
      </c>
      <c r="X3572" s="12">
        <f>IF(LEFT(I3572,2)="MV",2*N3572*IF(L3572="1/C",O3572,1),0)</f>
        <v/>
      </c>
      <c r="Y3572" s="12">
        <f>IF(OR(LEFT(K3572,4)="LVAX",LEFT(K3572,6)="MV15AX",LEFT(K3572,4)="CTAX",LEFT(K3572,2)="W|"),2*N3572*O3572,0)</f>
        <v/>
      </c>
      <c r="Z3572" s="12" t="inlineStr">
        <is>
          <t>VD 1.3 %</t>
        </is>
      </c>
      <c r="AA3572" s="12">
        <f>N3572*O3572</f>
        <v/>
      </c>
    </row>
    <row r="3573">
      <c r="A3573" s="12" t="inlineStr">
        <is>
          <t>G-P-0158</t>
        </is>
      </c>
      <c r="B3573" s="12" t="inlineStr">
        <is>
          <t>G</t>
        </is>
      </c>
      <c r="C3573" s="12" t="inlineStr">
        <is>
          <t>Carbon capture</t>
        </is>
      </c>
      <c r="D3573" s="12" t="inlineStr">
        <is>
          <t>MOV 1: power</t>
        </is>
      </c>
      <c r="E3573" s="12" t="inlineStr"/>
      <c r="F3573" s="12" t="inlineStr">
        <is>
          <t>CCS MV switchgear building (VFDs)</t>
        </is>
      </c>
      <c r="G3573" s="12" t="inlineStr"/>
      <c r="H3573" s="12" t="inlineStr">
        <is>
          <t>CO2 dehydration: molecular-sieve towers and regeneration heater</t>
        </is>
      </c>
      <c r="I3573" s="12" t="inlineStr">
        <is>
          <t>LV 600 V</t>
        </is>
      </c>
      <c r="J3573" s="12" t="inlineStr">
        <is>
          <t>Type TC-ER 600 V 3/C Cu XHHW-2 + ground, PVC jacket</t>
        </is>
      </c>
      <c r="K3573" s="12" t="inlineStr">
        <is>
          <t>LV|3/C+G|10</t>
        </is>
      </c>
      <c r="L3573" s="12" t="inlineStr">
        <is>
          <t>3/C+G</t>
        </is>
      </c>
      <c r="M3573" s="12" t="inlineStr">
        <is>
          <t>10</t>
        </is>
      </c>
      <c r="N3573" s="12" t="n">
        <v>1</v>
      </c>
      <c r="O3573" s="12" t="n">
        <v>1</v>
      </c>
      <c r="P3573" s="12" t="n">
        <v>480</v>
      </c>
      <c r="Q3573" s="12" t="n">
        <v>2.5</v>
      </c>
      <c r="R3573" s="12" t="n">
        <v>3.5</v>
      </c>
      <c r="S3573" s="12" t="inlineStr">
        <is>
          <t>Duct bank</t>
        </is>
      </c>
      <c r="T3573" s="16" t="n">
        <v>305</v>
      </c>
      <c r="U3573" s="16" t="n">
        <v>160</v>
      </c>
      <c r="V3573" s="16">
        <f>ROUNDUP((T3573+U3573+2*'Read Me'!$B$13)*(1+'Read Me'!$B$12),-1)</f>
        <v/>
      </c>
      <c r="W3573" s="16">
        <f>V3573*N3573*O3573</f>
        <v/>
      </c>
      <c r="X3573" s="12">
        <f>IF(LEFT(I3573,2)="MV",2*N3573*IF(L3573="1/C",O3573,1),0)</f>
        <v/>
      </c>
      <c r="Y3573" s="12">
        <f>IF(OR(LEFT(K3573,4)="LVAX",LEFT(K3573,6)="MV15AX",LEFT(K3573,4)="CTAX",LEFT(K3573,2)="W|"),2*N3573*O3573,0)</f>
        <v/>
      </c>
      <c r="Z3573" s="12" t="inlineStr">
        <is>
          <t>VD 0.8 %</t>
        </is>
      </c>
      <c r="AA3573" s="12">
        <f>N3573*O3573</f>
        <v/>
      </c>
    </row>
    <row r="3574">
      <c r="A3574" s="12" t="inlineStr">
        <is>
          <t>G-P-0159</t>
        </is>
      </c>
      <c r="B3574" s="12" t="inlineStr">
        <is>
          <t>G</t>
        </is>
      </c>
      <c r="C3574" s="12" t="inlineStr">
        <is>
          <t>Carbon capture</t>
        </is>
      </c>
      <c r="D3574" s="12" t="inlineStr">
        <is>
          <t>MOV 2: power</t>
        </is>
      </c>
      <c r="E3574" s="12" t="inlineStr"/>
      <c r="F3574" s="12" t="inlineStr">
        <is>
          <t>CCS MV switchgear building (VFDs)</t>
        </is>
      </c>
      <c r="G3574" s="12" t="inlineStr"/>
      <c r="H3574" s="12" t="inlineStr">
        <is>
          <t>CO2 dehydration: molecular-sieve towers and regeneration heater</t>
        </is>
      </c>
      <c r="I3574" s="12" t="inlineStr">
        <is>
          <t>LV 600 V</t>
        </is>
      </c>
      <c r="J3574" s="12" t="inlineStr">
        <is>
          <t>Type TC-ER 600 V 3/C Cu XHHW-2 + ground, PVC jacket</t>
        </is>
      </c>
      <c r="K3574" s="12" t="inlineStr">
        <is>
          <t>LV|3/C+G|10</t>
        </is>
      </c>
      <c r="L3574" s="12" t="inlineStr">
        <is>
          <t>3/C+G</t>
        </is>
      </c>
      <c r="M3574" s="12" t="inlineStr">
        <is>
          <t>10</t>
        </is>
      </c>
      <c r="N3574" s="12" t="n">
        <v>1</v>
      </c>
      <c r="O3574" s="12" t="n">
        <v>1</v>
      </c>
      <c r="P3574" s="12" t="n">
        <v>480</v>
      </c>
      <c r="Q3574" s="12" t="n">
        <v>2.5</v>
      </c>
      <c r="R3574" s="12" t="n">
        <v>3.5</v>
      </c>
      <c r="S3574" s="12" t="inlineStr">
        <is>
          <t>Duct bank</t>
        </is>
      </c>
      <c r="T3574" s="16" t="n">
        <v>305</v>
      </c>
      <c r="U3574" s="16" t="n">
        <v>160</v>
      </c>
      <c r="V3574" s="16">
        <f>ROUNDUP((T3574+U3574+2*'Read Me'!$B$13)*(1+'Read Me'!$B$12),-1)</f>
        <v/>
      </c>
      <c r="W3574" s="16">
        <f>V3574*N3574*O3574</f>
        <v/>
      </c>
      <c r="X3574" s="12">
        <f>IF(LEFT(I3574,2)="MV",2*N3574*IF(L3574="1/C",O3574,1),0)</f>
        <v/>
      </c>
      <c r="Y3574" s="12">
        <f>IF(OR(LEFT(K3574,4)="LVAX",LEFT(K3574,6)="MV15AX",LEFT(K3574,4)="CTAX",LEFT(K3574,2)="W|"),2*N3574*O3574,0)</f>
        <v/>
      </c>
      <c r="Z3574" s="12" t="inlineStr">
        <is>
          <t>VD 0.8 %</t>
        </is>
      </c>
      <c r="AA3574" s="12">
        <f>N3574*O3574</f>
        <v/>
      </c>
    </row>
    <row r="3575">
      <c r="A3575" s="12" t="inlineStr">
        <is>
          <t>G-P-0160</t>
        </is>
      </c>
      <c r="B3575" s="12" t="inlineStr">
        <is>
          <t>G</t>
        </is>
      </c>
      <c r="C3575" s="12" t="inlineStr">
        <is>
          <t>Carbon capture</t>
        </is>
      </c>
      <c r="D3575" s="12" t="inlineStr">
        <is>
          <t>MOV 3: power</t>
        </is>
      </c>
      <c r="E3575" s="12" t="inlineStr"/>
      <c r="F3575" s="12" t="inlineStr">
        <is>
          <t>CCS MV switchgear building (VFDs)</t>
        </is>
      </c>
      <c r="G3575" s="12" t="inlineStr"/>
      <c r="H3575" s="12" t="inlineStr">
        <is>
          <t>CO2 dehydration: molecular-sieve towers and regeneration heater</t>
        </is>
      </c>
      <c r="I3575" s="12" t="inlineStr">
        <is>
          <t>LV 600 V</t>
        </is>
      </c>
      <c r="J3575" s="12" t="inlineStr">
        <is>
          <t>Type TC-ER 600 V 3/C Cu XHHW-2 + ground, PVC jacket</t>
        </is>
      </c>
      <c r="K3575" s="12" t="inlineStr">
        <is>
          <t>LV|3/C+G|10</t>
        </is>
      </c>
      <c r="L3575" s="12" t="inlineStr">
        <is>
          <t>3/C+G</t>
        </is>
      </c>
      <c r="M3575" s="12" t="inlineStr">
        <is>
          <t>10</t>
        </is>
      </c>
      <c r="N3575" s="12" t="n">
        <v>1</v>
      </c>
      <c r="O3575" s="12" t="n">
        <v>1</v>
      </c>
      <c r="P3575" s="12" t="n">
        <v>480</v>
      </c>
      <c r="Q3575" s="12" t="n">
        <v>2.5</v>
      </c>
      <c r="R3575" s="12" t="n">
        <v>3.5</v>
      </c>
      <c r="S3575" s="12" t="inlineStr">
        <is>
          <t>Duct bank</t>
        </is>
      </c>
      <c r="T3575" s="16" t="n">
        <v>305</v>
      </c>
      <c r="U3575" s="16" t="n">
        <v>160</v>
      </c>
      <c r="V3575" s="16">
        <f>ROUNDUP((T3575+U3575+2*'Read Me'!$B$13)*(1+'Read Me'!$B$12),-1)</f>
        <v/>
      </c>
      <c r="W3575" s="16">
        <f>V3575*N3575*O3575</f>
        <v/>
      </c>
      <c r="X3575" s="12">
        <f>IF(LEFT(I3575,2)="MV",2*N3575*IF(L3575="1/C",O3575,1),0)</f>
        <v/>
      </c>
      <c r="Y3575" s="12">
        <f>IF(OR(LEFT(K3575,4)="LVAX",LEFT(K3575,6)="MV15AX",LEFT(K3575,4)="CTAX",LEFT(K3575,2)="W|"),2*N3575*O3575,0)</f>
        <v/>
      </c>
      <c r="Z3575" s="12" t="inlineStr">
        <is>
          <t>VD 0.8 %</t>
        </is>
      </c>
      <c r="AA3575" s="12">
        <f>N3575*O3575</f>
        <v/>
      </c>
    </row>
    <row r="3576">
      <c r="A3576" s="12" t="inlineStr">
        <is>
          <t>G-P-0161</t>
        </is>
      </c>
      <c r="B3576" s="12" t="inlineStr">
        <is>
          <t>G</t>
        </is>
      </c>
      <c r="C3576" s="12" t="inlineStr">
        <is>
          <t>Carbon capture</t>
        </is>
      </c>
      <c r="D3576" s="12" t="inlineStr">
        <is>
          <t>MOV 4: power</t>
        </is>
      </c>
      <c r="E3576" s="12" t="inlineStr"/>
      <c r="F3576" s="12" t="inlineStr">
        <is>
          <t>CCS MV switchgear building (VFDs)</t>
        </is>
      </c>
      <c r="G3576" s="12" t="inlineStr"/>
      <c r="H3576" s="12" t="inlineStr">
        <is>
          <t>CO2 dehydration: molecular-sieve towers and regeneration heater</t>
        </is>
      </c>
      <c r="I3576" s="12" t="inlineStr">
        <is>
          <t>LV 600 V</t>
        </is>
      </c>
      <c r="J3576" s="12" t="inlineStr">
        <is>
          <t>Type TC-ER 600 V 3/C Cu XHHW-2 + ground, PVC jacket</t>
        </is>
      </c>
      <c r="K3576" s="12" t="inlineStr">
        <is>
          <t>LV|3/C+G|10</t>
        </is>
      </c>
      <c r="L3576" s="12" t="inlineStr">
        <is>
          <t>3/C+G</t>
        </is>
      </c>
      <c r="M3576" s="12" t="inlineStr">
        <is>
          <t>10</t>
        </is>
      </c>
      <c r="N3576" s="12" t="n">
        <v>1</v>
      </c>
      <c r="O3576" s="12" t="n">
        <v>1</v>
      </c>
      <c r="P3576" s="12" t="n">
        <v>480</v>
      </c>
      <c r="Q3576" s="12" t="n">
        <v>2.5</v>
      </c>
      <c r="R3576" s="12" t="n">
        <v>3.5</v>
      </c>
      <c r="S3576" s="12" t="inlineStr">
        <is>
          <t>Duct bank</t>
        </is>
      </c>
      <c r="T3576" s="16" t="n">
        <v>305</v>
      </c>
      <c r="U3576" s="16" t="n">
        <v>160</v>
      </c>
      <c r="V3576" s="16">
        <f>ROUNDUP((T3576+U3576+2*'Read Me'!$B$13)*(1+'Read Me'!$B$12),-1)</f>
        <v/>
      </c>
      <c r="W3576" s="16">
        <f>V3576*N3576*O3576</f>
        <v/>
      </c>
      <c r="X3576" s="12">
        <f>IF(LEFT(I3576,2)="MV",2*N3576*IF(L3576="1/C",O3576,1),0)</f>
        <v/>
      </c>
      <c r="Y3576" s="12">
        <f>IF(OR(LEFT(K3576,4)="LVAX",LEFT(K3576,6)="MV15AX",LEFT(K3576,4)="CTAX",LEFT(K3576,2)="W|"),2*N3576*O3576,0)</f>
        <v/>
      </c>
      <c r="Z3576" s="12" t="inlineStr">
        <is>
          <t>VD 0.8 %</t>
        </is>
      </c>
      <c r="AA3576" s="12">
        <f>N3576*O3576</f>
        <v/>
      </c>
    </row>
    <row r="3577">
      <c r="A3577" s="12" t="inlineStr">
        <is>
          <t>G-P-0162</t>
        </is>
      </c>
      <c r="B3577" s="12" t="inlineStr">
        <is>
          <t>G</t>
        </is>
      </c>
      <c r="C3577" s="12" t="inlineStr">
        <is>
          <t>Carbon capture</t>
        </is>
      </c>
      <c r="D3577" s="12" t="inlineStr">
        <is>
          <t>MOV 5: power</t>
        </is>
      </c>
      <c r="E3577" s="12" t="inlineStr"/>
      <c r="F3577" s="12" t="inlineStr">
        <is>
          <t>CCS MV switchgear building (VFDs)</t>
        </is>
      </c>
      <c r="G3577" s="12" t="inlineStr"/>
      <c r="H3577" s="12" t="inlineStr">
        <is>
          <t>CO2 dehydration: molecular-sieve towers and regeneration heater</t>
        </is>
      </c>
      <c r="I3577" s="12" t="inlineStr">
        <is>
          <t>LV 600 V</t>
        </is>
      </c>
      <c r="J3577" s="12" t="inlineStr">
        <is>
          <t>Type TC-ER 600 V 3/C Cu XHHW-2 + ground, PVC jacket</t>
        </is>
      </c>
      <c r="K3577" s="12" t="inlineStr">
        <is>
          <t>LV|3/C+G|10</t>
        </is>
      </c>
      <c r="L3577" s="12" t="inlineStr">
        <is>
          <t>3/C+G</t>
        </is>
      </c>
      <c r="M3577" s="12" t="inlineStr">
        <is>
          <t>10</t>
        </is>
      </c>
      <c r="N3577" s="12" t="n">
        <v>1</v>
      </c>
      <c r="O3577" s="12" t="n">
        <v>1</v>
      </c>
      <c r="P3577" s="12" t="n">
        <v>480</v>
      </c>
      <c r="Q3577" s="12" t="n">
        <v>2.5</v>
      </c>
      <c r="R3577" s="12" t="n">
        <v>3.5</v>
      </c>
      <c r="S3577" s="12" t="inlineStr">
        <is>
          <t>Duct bank</t>
        </is>
      </c>
      <c r="T3577" s="16" t="n">
        <v>305</v>
      </c>
      <c r="U3577" s="16" t="n">
        <v>160</v>
      </c>
      <c r="V3577" s="16">
        <f>ROUNDUP((T3577+U3577+2*'Read Me'!$B$13)*(1+'Read Me'!$B$12),-1)</f>
        <v/>
      </c>
      <c r="W3577" s="16">
        <f>V3577*N3577*O3577</f>
        <v/>
      </c>
      <c r="X3577" s="12">
        <f>IF(LEFT(I3577,2)="MV",2*N3577*IF(L3577="1/C",O3577,1),0)</f>
        <v/>
      </c>
      <c r="Y3577" s="12">
        <f>IF(OR(LEFT(K3577,4)="LVAX",LEFT(K3577,6)="MV15AX",LEFT(K3577,4)="CTAX",LEFT(K3577,2)="W|"),2*N3577*O3577,0)</f>
        <v/>
      </c>
      <c r="Z3577" s="12" t="inlineStr">
        <is>
          <t>VD 0.8 %</t>
        </is>
      </c>
      <c r="AA3577" s="12">
        <f>N3577*O3577</f>
        <v/>
      </c>
    </row>
    <row r="3578">
      <c r="A3578" s="12" t="inlineStr">
        <is>
          <t>G-P-0163</t>
        </is>
      </c>
      <c r="B3578" s="12" t="inlineStr">
        <is>
          <t>G</t>
        </is>
      </c>
      <c r="C3578" s="12" t="inlineStr">
        <is>
          <t>Carbon capture</t>
        </is>
      </c>
      <c r="D3578" s="12" t="inlineStr">
        <is>
          <t>MOV 6: power</t>
        </is>
      </c>
      <c r="E3578" s="12" t="inlineStr"/>
      <c r="F3578" s="12" t="inlineStr">
        <is>
          <t>CCS MV switchgear building (VFDs)</t>
        </is>
      </c>
      <c r="G3578" s="12" t="inlineStr"/>
      <c r="H3578" s="12" t="inlineStr">
        <is>
          <t>CO2 dehydration: molecular-sieve towers and regeneration heater</t>
        </is>
      </c>
      <c r="I3578" s="12" t="inlineStr">
        <is>
          <t>LV 600 V</t>
        </is>
      </c>
      <c r="J3578" s="12" t="inlineStr">
        <is>
          <t>Type TC-ER 600 V 3/C Cu XHHW-2 + ground, PVC jacket</t>
        </is>
      </c>
      <c r="K3578" s="12" t="inlineStr">
        <is>
          <t>LV|3/C+G|10</t>
        </is>
      </c>
      <c r="L3578" s="12" t="inlineStr">
        <is>
          <t>3/C+G</t>
        </is>
      </c>
      <c r="M3578" s="12" t="inlineStr">
        <is>
          <t>10</t>
        </is>
      </c>
      <c r="N3578" s="12" t="n">
        <v>1</v>
      </c>
      <c r="O3578" s="12" t="n">
        <v>1</v>
      </c>
      <c r="P3578" s="12" t="n">
        <v>480</v>
      </c>
      <c r="Q3578" s="12" t="n">
        <v>2.5</v>
      </c>
      <c r="R3578" s="12" t="n">
        <v>3.5</v>
      </c>
      <c r="S3578" s="12" t="inlineStr">
        <is>
          <t>Duct bank</t>
        </is>
      </c>
      <c r="T3578" s="16" t="n">
        <v>305</v>
      </c>
      <c r="U3578" s="16" t="n">
        <v>160</v>
      </c>
      <c r="V3578" s="16">
        <f>ROUNDUP((T3578+U3578+2*'Read Me'!$B$13)*(1+'Read Me'!$B$12),-1)</f>
        <v/>
      </c>
      <c r="W3578" s="16">
        <f>V3578*N3578*O3578</f>
        <v/>
      </c>
      <c r="X3578" s="12">
        <f>IF(LEFT(I3578,2)="MV",2*N3578*IF(L3578="1/C",O3578,1),0)</f>
        <v/>
      </c>
      <c r="Y3578" s="12">
        <f>IF(OR(LEFT(K3578,4)="LVAX",LEFT(K3578,6)="MV15AX",LEFT(K3578,4)="CTAX",LEFT(K3578,2)="W|"),2*N3578*O3578,0)</f>
        <v/>
      </c>
      <c r="Z3578" s="12" t="inlineStr">
        <is>
          <t>VD 0.8 %</t>
        </is>
      </c>
      <c r="AA3578" s="12">
        <f>N3578*O3578</f>
        <v/>
      </c>
    </row>
    <row r="3579">
      <c r="A3579" s="12" t="inlineStr">
        <is>
          <t>G-P-0164</t>
        </is>
      </c>
      <c r="B3579" s="12" t="inlineStr">
        <is>
          <t>G</t>
        </is>
      </c>
      <c r="C3579" s="12" t="inlineStr">
        <is>
          <t>Carbon capture</t>
        </is>
      </c>
      <c r="D3579" s="12" t="inlineStr">
        <is>
          <t>MOV 7: power</t>
        </is>
      </c>
      <c r="E3579" s="12" t="inlineStr"/>
      <c r="F3579" s="12" t="inlineStr">
        <is>
          <t>CCS MV switchgear building (VFDs)</t>
        </is>
      </c>
      <c r="G3579" s="12" t="inlineStr"/>
      <c r="H3579" s="12" t="inlineStr">
        <is>
          <t>CO2 dehydration: molecular-sieve towers and regeneration heater</t>
        </is>
      </c>
      <c r="I3579" s="12" t="inlineStr">
        <is>
          <t>LV 600 V</t>
        </is>
      </c>
      <c r="J3579" s="12" t="inlineStr">
        <is>
          <t>Type TC-ER 600 V 3/C Cu XHHW-2 + ground, PVC jacket</t>
        </is>
      </c>
      <c r="K3579" s="12" t="inlineStr">
        <is>
          <t>LV|3/C+G|10</t>
        </is>
      </c>
      <c r="L3579" s="12" t="inlineStr">
        <is>
          <t>3/C+G</t>
        </is>
      </c>
      <c r="M3579" s="12" t="inlineStr">
        <is>
          <t>10</t>
        </is>
      </c>
      <c r="N3579" s="12" t="n">
        <v>1</v>
      </c>
      <c r="O3579" s="12" t="n">
        <v>1</v>
      </c>
      <c r="P3579" s="12" t="n">
        <v>480</v>
      </c>
      <c r="Q3579" s="12" t="n">
        <v>2.5</v>
      </c>
      <c r="R3579" s="12" t="n">
        <v>3.5</v>
      </c>
      <c r="S3579" s="12" t="inlineStr">
        <is>
          <t>Duct bank</t>
        </is>
      </c>
      <c r="T3579" s="16" t="n">
        <v>305</v>
      </c>
      <c r="U3579" s="16" t="n">
        <v>160</v>
      </c>
      <c r="V3579" s="16">
        <f>ROUNDUP((T3579+U3579+2*'Read Me'!$B$13)*(1+'Read Me'!$B$12),-1)</f>
        <v/>
      </c>
      <c r="W3579" s="16">
        <f>V3579*N3579*O3579</f>
        <v/>
      </c>
      <c r="X3579" s="12">
        <f>IF(LEFT(I3579,2)="MV",2*N3579*IF(L3579="1/C",O3579,1),0)</f>
        <v/>
      </c>
      <c r="Y3579" s="12">
        <f>IF(OR(LEFT(K3579,4)="LVAX",LEFT(K3579,6)="MV15AX",LEFT(K3579,4)="CTAX",LEFT(K3579,2)="W|"),2*N3579*O3579,0)</f>
        <v/>
      </c>
      <c r="Z3579" s="12" t="inlineStr">
        <is>
          <t>VD 0.8 %</t>
        </is>
      </c>
      <c r="AA3579" s="12">
        <f>N3579*O3579</f>
        <v/>
      </c>
    </row>
    <row r="3580">
      <c r="A3580" s="12" t="inlineStr">
        <is>
          <t>G-P-0165</t>
        </is>
      </c>
      <c r="B3580" s="12" t="inlineStr">
        <is>
          <t>G</t>
        </is>
      </c>
      <c r="C3580" s="12" t="inlineStr">
        <is>
          <t>Carbon capture</t>
        </is>
      </c>
      <c r="D3580" s="12" t="inlineStr">
        <is>
          <t>MOV 8: power</t>
        </is>
      </c>
      <c r="E3580" s="12" t="inlineStr"/>
      <c r="F3580" s="12" t="inlineStr">
        <is>
          <t>CCS MV switchgear building (VFDs)</t>
        </is>
      </c>
      <c r="G3580" s="12" t="inlineStr"/>
      <c r="H3580" s="12" t="inlineStr">
        <is>
          <t>CO2 dehydration: molecular-sieve towers and regeneration heater</t>
        </is>
      </c>
      <c r="I3580" s="12" t="inlineStr">
        <is>
          <t>LV 600 V</t>
        </is>
      </c>
      <c r="J3580" s="12" t="inlineStr">
        <is>
          <t>Type TC-ER 600 V 3/C Cu XHHW-2 + ground, PVC jacket</t>
        </is>
      </c>
      <c r="K3580" s="12" t="inlineStr">
        <is>
          <t>LV|3/C+G|10</t>
        </is>
      </c>
      <c r="L3580" s="12" t="inlineStr">
        <is>
          <t>3/C+G</t>
        </is>
      </c>
      <c r="M3580" s="12" t="inlineStr">
        <is>
          <t>10</t>
        </is>
      </c>
      <c r="N3580" s="12" t="n">
        <v>1</v>
      </c>
      <c r="O3580" s="12" t="n">
        <v>1</v>
      </c>
      <c r="P3580" s="12" t="n">
        <v>480</v>
      </c>
      <c r="Q3580" s="12" t="n">
        <v>2.5</v>
      </c>
      <c r="R3580" s="12" t="n">
        <v>3.5</v>
      </c>
      <c r="S3580" s="12" t="inlineStr">
        <is>
          <t>Duct bank</t>
        </is>
      </c>
      <c r="T3580" s="16" t="n">
        <v>305</v>
      </c>
      <c r="U3580" s="16" t="n">
        <v>160</v>
      </c>
      <c r="V3580" s="16">
        <f>ROUNDUP((T3580+U3580+2*'Read Me'!$B$13)*(1+'Read Me'!$B$12),-1)</f>
        <v/>
      </c>
      <c r="W3580" s="16">
        <f>V3580*N3580*O3580</f>
        <v/>
      </c>
      <c r="X3580" s="12">
        <f>IF(LEFT(I3580,2)="MV",2*N3580*IF(L3580="1/C",O3580,1),0)</f>
        <v/>
      </c>
      <c r="Y3580" s="12">
        <f>IF(OR(LEFT(K3580,4)="LVAX",LEFT(K3580,6)="MV15AX",LEFT(K3580,4)="CTAX",LEFT(K3580,2)="W|"),2*N3580*O3580,0)</f>
        <v/>
      </c>
      <c r="Z3580" s="12" t="inlineStr">
        <is>
          <t>VD 0.8 %</t>
        </is>
      </c>
      <c r="AA3580" s="12">
        <f>N3580*O3580</f>
        <v/>
      </c>
    </row>
    <row r="3581">
      <c r="A3581" s="12" t="inlineStr">
        <is>
          <t>G-P-0166</t>
        </is>
      </c>
      <c r="B3581" s="12" t="inlineStr">
        <is>
          <t>G</t>
        </is>
      </c>
      <c r="C3581" s="12" t="inlineStr">
        <is>
          <t>Carbon capture</t>
        </is>
      </c>
      <c r="D3581" s="12" t="inlineStr">
        <is>
          <t>MOV 9: power</t>
        </is>
      </c>
      <c r="E3581" s="12" t="inlineStr"/>
      <c r="F3581" s="12" t="inlineStr">
        <is>
          <t>CCS MV switchgear building (VFDs)</t>
        </is>
      </c>
      <c r="G3581" s="12" t="inlineStr"/>
      <c r="H3581" s="12" t="inlineStr">
        <is>
          <t>CO2 dehydration: molecular-sieve towers and regeneration heater</t>
        </is>
      </c>
      <c r="I3581" s="12" t="inlineStr">
        <is>
          <t>LV 600 V</t>
        </is>
      </c>
      <c r="J3581" s="12" t="inlineStr">
        <is>
          <t>Type TC-ER 600 V 3/C Cu XHHW-2 + ground, PVC jacket</t>
        </is>
      </c>
      <c r="K3581" s="12" t="inlineStr">
        <is>
          <t>LV|3/C+G|10</t>
        </is>
      </c>
      <c r="L3581" s="12" t="inlineStr">
        <is>
          <t>3/C+G</t>
        </is>
      </c>
      <c r="M3581" s="12" t="inlineStr">
        <is>
          <t>10</t>
        </is>
      </c>
      <c r="N3581" s="12" t="n">
        <v>1</v>
      </c>
      <c r="O3581" s="12" t="n">
        <v>1</v>
      </c>
      <c r="P3581" s="12" t="n">
        <v>480</v>
      </c>
      <c r="Q3581" s="12" t="n">
        <v>2.5</v>
      </c>
      <c r="R3581" s="12" t="n">
        <v>3.5</v>
      </c>
      <c r="S3581" s="12" t="inlineStr">
        <is>
          <t>Duct bank</t>
        </is>
      </c>
      <c r="T3581" s="16" t="n">
        <v>305</v>
      </c>
      <c r="U3581" s="16" t="n">
        <v>160</v>
      </c>
      <c r="V3581" s="16">
        <f>ROUNDUP((T3581+U3581+2*'Read Me'!$B$13)*(1+'Read Me'!$B$12),-1)</f>
        <v/>
      </c>
      <c r="W3581" s="16">
        <f>V3581*N3581*O3581</f>
        <v/>
      </c>
      <c r="X3581" s="12">
        <f>IF(LEFT(I3581,2)="MV",2*N3581*IF(L3581="1/C",O3581,1),0)</f>
        <v/>
      </c>
      <c r="Y3581" s="12">
        <f>IF(OR(LEFT(K3581,4)="LVAX",LEFT(K3581,6)="MV15AX",LEFT(K3581,4)="CTAX",LEFT(K3581,2)="W|"),2*N3581*O3581,0)</f>
        <v/>
      </c>
      <c r="Z3581" s="12" t="inlineStr">
        <is>
          <t>VD 0.8 %</t>
        </is>
      </c>
      <c r="AA3581" s="12">
        <f>N3581*O3581</f>
        <v/>
      </c>
    </row>
    <row r="3582">
      <c r="A3582" s="12" t="inlineStr">
        <is>
          <t>G-P-0167</t>
        </is>
      </c>
      <c r="B3582" s="12" t="inlineStr">
        <is>
          <t>G</t>
        </is>
      </c>
      <c r="C3582" s="12" t="inlineStr">
        <is>
          <t>Carbon capture</t>
        </is>
      </c>
      <c r="D3582" s="12" t="inlineStr">
        <is>
          <t>MOV 10: power</t>
        </is>
      </c>
      <c r="E3582" s="12" t="inlineStr"/>
      <c r="F3582" s="12" t="inlineStr">
        <is>
          <t>CCS MV switchgear building (VFDs)</t>
        </is>
      </c>
      <c r="G3582" s="12" t="inlineStr"/>
      <c r="H3582" s="12" t="inlineStr">
        <is>
          <t>CO2 dehydration: molecular-sieve towers and regeneration heater</t>
        </is>
      </c>
      <c r="I3582" s="12" t="inlineStr">
        <is>
          <t>LV 600 V</t>
        </is>
      </c>
      <c r="J3582" s="12" t="inlineStr">
        <is>
          <t>Type TC-ER 600 V 3/C Cu XHHW-2 + ground, PVC jacket</t>
        </is>
      </c>
      <c r="K3582" s="12" t="inlineStr">
        <is>
          <t>LV|3/C+G|10</t>
        </is>
      </c>
      <c r="L3582" s="12" t="inlineStr">
        <is>
          <t>3/C+G</t>
        </is>
      </c>
      <c r="M3582" s="12" t="inlineStr">
        <is>
          <t>10</t>
        </is>
      </c>
      <c r="N3582" s="12" t="n">
        <v>1</v>
      </c>
      <c r="O3582" s="12" t="n">
        <v>1</v>
      </c>
      <c r="P3582" s="12" t="n">
        <v>480</v>
      </c>
      <c r="Q3582" s="12" t="n">
        <v>2.5</v>
      </c>
      <c r="R3582" s="12" t="n">
        <v>3.5</v>
      </c>
      <c r="S3582" s="12" t="inlineStr">
        <is>
          <t>Duct bank</t>
        </is>
      </c>
      <c r="T3582" s="16" t="n">
        <v>305</v>
      </c>
      <c r="U3582" s="16" t="n">
        <v>160</v>
      </c>
      <c r="V3582" s="16">
        <f>ROUNDUP((T3582+U3582+2*'Read Me'!$B$13)*(1+'Read Me'!$B$12),-1)</f>
        <v/>
      </c>
      <c r="W3582" s="16">
        <f>V3582*N3582*O3582</f>
        <v/>
      </c>
      <c r="X3582" s="12">
        <f>IF(LEFT(I3582,2)="MV",2*N3582*IF(L3582="1/C",O3582,1),0)</f>
        <v/>
      </c>
      <c r="Y3582" s="12">
        <f>IF(OR(LEFT(K3582,4)="LVAX",LEFT(K3582,6)="MV15AX",LEFT(K3582,4)="CTAX",LEFT(K3582,2)="W|"),2*N3582*O3582,0)</f>
        <v/>
      </c>
      <c r="Z3582" s="12" t="inlineStr">
        <is>
          <t>VD 0.8 %</t>
        </is>
      </c>
      <c r="AA3582" s="12">
        <f>N3582*O3582</f>
        <v/>
      </c>
    </row>
    <row r="3583">
      <c r="A3583" s="12" t="inlineStr">
        <is>
          <t>G-P-0168</t>
        </is>
      </c>
      <c r="B3583" s="12" t="inlineStr">
        <is>
          <t>G</t>
        </is>
      </c>
      <c r="C3583" s="12" t="inlineStr">
        <is>
          <t>Carbon capture</t>
        </is>
      </c>
      <c r="D3583" s="12" t="inlineStr">
        <is>
          <t>MOV 11: power</t>
        </is>
      </c>
      <c r="E3583" s="12" t="inlineStr"/>
      <c r="F3583" s="12" t="inlineStr">
        <is>
          <t>CCS MV switchgear building (VFDs)</t>
        </is>
      </c>
      <c r="G3583" s="12" t="inlineStr"/>
      <c r="H3583" s="12" t="inlineStr">
        <is>
          <t>CO2 dehydration: molecular-sieve towers and regeneration heater</t>
        </is>
      </c>
      <c r="I3583" s="12" t="inlineStr">
        <is>
          <t>LV 600 V</t>
        </is>
      </c>
      <c r="J3583" s="12" t="inlineStr">
        <is>
          <t>Type TC-ER 600 V 3/C Cu XHHW-2 + ground, PVC jacket</t>
        </is>
      </c>
      <c r="K3583" s="12" t="inlineStr">
        <is>
          <t>LV|3/C+G|10</t>
        </is>
      </c>
      <c r="L3583" s="12" t="inlineStr">
        <is>
          <t>3/C+G</t>
        </is>
      </c>
      <c r="M3583" s="12" t="inlineStr">
        <is>
          <t>10</t>
        </is>
      </c>
      <c r="N3583" s="12" t="n">
        <v>1</v>
      </c>
      <c r="O3583" s="12" t="n">
        <v>1</v>
      </c>
      <c r="P3583" s="12" t="n">
        <v>480</v>
      </c>
      <c r="Q3583" s="12" t="n">
        <v>2.5</v>
      </c>
      <c r="R3583" s="12" t="n">
        <v>3.5</v>
      </c>
      <c r="S3583" s="12" t="inlineStr">
        <is>
          <t>Duct bank</t>
        </is>
      </c>
      <c r="T3583" s="16" t="n">
        <v>305</v>
      </c>
      <c r="U3583" s="16" t="n">
        <v>160</v>
      </c>
      <c r="V3583" s="16">
        <f>ROUNDUP((T3583+U3583+2*'Read Me'!$B$13)*(1+'Read Me'!$B$12),-1)</f>
        <v/>
      </c>
      <c r="W3583" s="16">
        <f>V3583*N3583*O3583</f>
        <v/>
      </c>
      <c r="X3583" s="12">
        <f>IF(LEFT(I3583,2)="MV",2*N3583*IF(L3583="1/C",O3583,1),0)</f>
        <v/>
      </c>
      <c r="Y3583" s="12">
        <f>IF(OR(LEFT(K3583,4)="LVAX",LEFT(K3583,6)="MV15AX",LEFT(K3583,4)="CTAX",LEFT(K3583,2)="W|"),2*N3583*O3583,0)</f>
        <v/>
      </c>
      <c r="Z3583" s="12" t="inlineStr">
        <is>
          <t>VD 0.8 %</t>
        </is>
      </c>
      <c r="AA3583" s="12">
        <f>N3583*O3583</f>
        <v/>
      </c>
    </row>
    <row r="3584">
      <c r="A3584" s="12" t="inlineStr">
        <is>
          <t>G-P-0169</t>
        </is>
      </c>
      <c r="B3584" s="12" t="inlineStr">
        <is>
          <t>G</t>
        </is>
      </c>
      <c r="C3584" s="12" t="inlineStr">
        <is>
          <t>Carbon capture</t>
        </is>
      </c>
      <c r="D3584" s="12" t="inlineStr">
        <is>
          <t>MOV 12: power</t>
        </is>
      </c>
      <c r="E3584" s="12" t="inlineStr"/>
      <c r="F3584" s="12" t="inlineStr">
        <is>
          <t>CCS MV switchgear building (VFDs)</t>
        </is>
      </c>
      <c r="G3584" s="12" t="inlineStr"/>
      <c r="H3584" s="12" t="inlineStr">
        <is>
          <t>CO2 dehydration: molecular-sieve towers and regeneration heater</t>
        </is>
      </c>
      <c r="I3584" s="12" t="inlineStr">
        <is>
          <t>LV 600 V</t>
        </is>
      </c>
      <c r="J3584" s="12" t="inlineStr">
        <is>
          <t>Type TC-ER 600 V 3/C Cu XHHW-2 + ground, PVC jacket</t>
        </is>
      </c>
      <c r="K3584" s="12" t="inlineStr">
        <is>
          <t>LV|3/C+G|10</t>
        </is>
      </c>
      <c r="L3584" s="12" t="inlineStr">
        <is>
          <t>3/C+G</t>
        </is>
      </c>
      <c r="M3584" s="12" t="inlineStr">
        <is>
          <t>10</t>
        </is>
      </c>
      <c r="N3584" s="12" t="n">
        <v>1</v>
      </c>
      <c r="O3584" s="12" t="n">
        <v>1</v>
      </c>
      <c r="P3584" s="12" t="n">
        <v>480</v>
      </c>
      <c r="Q3584" s="12" t="n">
        <v>2.5</v>
      </c>
      <c r="R3584" s="12" t="n">
        <v>3.5</v>
      </c>
      <c r="S3584" s="12" t="inlineStr">
        <is>
          <t>Duct bank</t>
        </is>
      </c>
      <c r="T3584" s="16" t="n">
        <v>305</v>
      </c>
      <c r="U3584" s="16" t="n">
        <v>160</v>
      </c>
      <c r="V3584" s="16">
        <f>ROUNDUP((T3584+U3584+2*'Read Me'!$B$13)*(1+'Read Me'!$B$12),-1)</f>
        <v/>
      </c>
      <c r="W3584" s="16">
        <f>V3584*N3584*O3584</f>
        <v/>
      </c>
      <c r="X3584" s="12">
        <f>IF(LEFT(I3584,2)="MV",2*N3584*IF(L3584="1/C",O3584,1),0)</f>
        <v/>
      </c>
      <c r="Y3584" s="12">
        <f>IF(OR(LEFT(K3584,4)="LVAX",LEFT(K3584,6)="MV15AX",LEFT(K3584,4)="CTAX",LEFT(K3584,2)="W|"),2*N3584*O3584,0)</f>
        <v/>
      </c>
      <c r="Z3584" s="12" t="inlineStr">
        <is>
          <t>VD 0.8 %</t>
        </is>
      </c>
      <c r="AA3584" s="12">
        <f>N3584*O3584</f>
        <v/>
      </c>
    </row>
    <row r="3585">
      <c r="A3585" s="12" t="inlineStr">
        <is>
          <t>G-P-0170</t>
        </is>
      </c>
      <c r="B3585" s="12" t="inlineStr">
        <is>
          <t>G</t>
        </is>
      </c>
      <c r="C3585" s="12" t="inlineStr">
        <is>
          <t>Carbon capture</t>
        </is>
      </c>
      <c r="D3585" s="12" t="inlineStr">
        <is>
          <t>Motor 1 of 4, 30 kW</t>
        </is>
      </c>
      <c r="E3585" s="12" t="inlineStr"/>
      <c r="F3585" s="12" t="inlineStr">
        <is>
          <t>CCS MV switchgear building (VFDs)</t>
        </is>
      </c>
      <c r="G3585" s="12" t="inlineStr"/>
      <c r="H3585" s="12" t="inlineStr">
        <is>
          <t>CONDITIONAL: HP export compressor + metering</t>
        </is>
      </c>
      <c r="I3585" s="12" t="inlineStr">
        <is>
          <t>LV 600 V</t>
        </is>
      </c>
      <c r="J3585" s="12" t="inlineStr">
        <is>
          <t>ARMOR-X MC-HL 600 V 3/C Cu XHHW-2 + ground, CWA, black PVC (Class I Div 2)</t>
        </is>
      </c>
      <c r="K3585" s="12" t="inlineStr">
        <is>
          <t>LVAX|3/C+G|6</t>
        </is>
      </c>
      <c r="L3585" s="12" t="inlineStr">
        <is>
          <t>3/C+G</t>
        </is>
      </c>
      <c r="M3585" s="12" t="inlineStr">
        <is>
          <t>6</t>
        </is>
      </c>
      <c r="N3585" s="12" t="n">
        <v>1</v>
      </c>
      <c r="O3585" s="12" t="n">
        <v>1</v>
      </c>
      <c r="P3585" s="12" t="n">
        <v>480</v>
      </c>
      <c r="Q3585" s="12" t="n">
        <v>30</v>
      </c>
      <c r="R3585" s="12" t="n">
        <v>42.5</v>
      </c>
      <c r="S3585" s="12" t="inlineStr">
        <is>
          <t>Duct bank</t>
        </is>
      </c>
      <c r="T3585" s="16" t="n">
        <v>303</v>
      </c>
      <c r="U3585" s="16" t="n">
        <v>34</v>
      </c>
      <c r="V3585" s="16">
        <f>ROUNDUP((T3585+U3585+2*'Read Me'!$B$13)*(1+'Read Me'!$B$12),-1)</f>
        <v/>
      </c>
      <c r="W3585" s="16">
        <f>V3585*N3585*O3585</f>
        <v/>
      </c>
      <c r="X3585" s="12">
        <f>IF(LEFT(I3585,2)="MV",2*N3585*IF(L3585="1/C",O3585,1),0)</f>
        <v/>
      </c>
      <c r="Y3585" s="12">
        <f>IF(OR(LEFT(K3585,4)="LVAX",LEFT(K3585,6)="MV15AX",LEFT(K3585,4)="CTAX",LEFT(K3585,2)="W|"),2*N3585*O3585,0)</f>
        <v/>
      </c>
      <c r="Z3585" s="12" t="inlineStr">
        <is>
          <t>VD 2.8 %</t>
        </is>
      </c>
      <c r="AA3585" s="12">
        <f>N3585*O3585</f>
        <v/>
      </c>
    </row>
    <row r="3586">
      <c r="A3586" s="12" t="inlineStr">
        <is>
          <t>G-P-0171</t>
        </is>
      </c>
      <c r="B3586" s="12" t="inlineStr">
        <is>
          <t>G</t>
        </is>
      </c>
      <c r="C3586" s="12" t="inlineStr">
        <is>
          <t>Carbon capture</t>
        </is>
      </c>
      <c r="D3586" s="12" t="inlineStr">
        <is>
          <t>Motor 2 of 4, 30 kW</t>
        </is>
      </c>
      <c r="E3586" s="12" t="inlineStr"/>
      <c r="F3586" s="12" t="inlineStr">
        <is>
          <t>CCS MV switchgear building (VFDs)</t>
        </is>
      </c>
      <c r="G3586" s="12" t="inlineStr"/>
      <c r="H3586" s="12" t="inlineStr">
        <is>
          <t>CONDITIONAL: HP export compressor + metering</t>
        </is>
      </c>
      <c r="I3586" s="12" t="inlineStr">
        <is>
          <t>LV 600 V</t>
        </is>
      </c>
      <c r="J3586" s="12" t="inlineStr">
        <is>
          <t>ARMOR-X MC-HL 600 V 3/C Cu XHHW-2 + ground, CWA, black PVC (Class I Div 2)</t>
        </is>
      </c>
      <c r="K3586" s="12" t="inlineStr">
        <is>
          <t>LVAX|3/C+G|6</t>
        </is>
      </c>
      <c r="L3586" s="12" t="inlineStr">
        <is>
          <t>3/C+G</t>
        </is>
      </c>
      <c r="M3586" s="12" t="inlineStr">
        <is>
          <t>6</t>
        </is>
      </c>
      <c r="N3586" s="12" t="n">
        <v>1</v>
      </c>
      <c r="O3586" s="12" t="n">
        <v>1</v>
      </c>
      <c r="P3586" s="12" t="n">
        <v>480</v>
      </c>
      <c r="Q3586" s="12" t="n">
        <v>30</v>
      </c>
      <c r="R3586" s="12" t="n">
        <v>42.5</v>
      </c>
      <c r="S3586" s="12" t="inlineStr">
        <is>
          <t>Duct bank</t>
        </is>
      </c>
      <c r="T3586" s="16" t="n">
        <v>303</v>
      </c>
      <c r="U3586" s="16" t="n">
        <v>34</v>
      </c>
      <c r="V3586" s="16">
        <f>ROUNDUP((T3586+U3586+2*'Read Me'!$B$13)*(1+'Read Me'!$B$12),-1)</f>
        <v/>
      </c>
      <c r="W3586" s="16">
        <f>V3586*N3586*O3586</f>
        <v/>
      </c>
      <c r="X3586" s="12">
        <f>IF(LEFT(I3586,2)="MV",2*N3586*IF(L3586="1/C",O3586,1),0)</f>
        <v/>
      </c>
      <c r="Y3586" s="12">
        <f>IF(OR(LEFT(K3586,4)="LVAX",LEFT(K3586,6)="MV15AX",LEFT(K3586,4)="CTAX",LEFT(K3586,2)="W|"),2*N3586*O3586,0)</f>
        <v/>
      </c>
      <c r="Z3586" s="12" t="inlineStr">
        <is>
          <t>VD 2.8 %</t>
        </is>
      </c>
      <c r="AA3586" s="12">
        <f>N3586*O3586</f>
        <v/>
      </c>
    </row>
    <row r="3587">
      <c r="A3587" s="12" t="inlineStr">
        <is>
          <t>G-P-0172</t>
        </is>
      </c>
      <c r="B3587" s="12" t="inlineStr">
        <is>
          <t>G</t>
        </is>
      </c>
      <c r="C3587" s="12" t="inlineStr">
        <is>
          <t>Carbon capture</t>
        </is>
      </c>
      <c r="D3587" s="12" t="inlineStr">
        <is>
          <t>Motor 3 of 4, 30 kW</t>
        </is>
      </c>
      <c r="E3587" s="12" t="inlineStr"/>
      <c r="F3587" s="12" t="inlineStr">
        <is>
          <t>CCS MV switchgear building (VFDs)</t>
        </is>
      </c>
      <c r="G3587" s="12" t="inlineStr"/>
      <c r="H3587" s="12" t="inlineStr">
        <is>
          <t>CONDITIONAL: HP export compressor + metering</t>
        </is>
      </c>
      <c r="I3587" s="12" t="inlineStr">
        <is>
          <t>LV 600 V</t>
        </is>
      </c>
      <c r="J3587" s="12" t="inlineStr">
        <is>
          <t>ARMOR-X MC-HL 600 V 3/C Cu XHHW-2 + ground, CWA, black PVC (Class I Div 2)</t>
        </is>
      </c>
      <c r="K3587" s="12" t="inlineStr">
        <is>
          <t>LVAX|3/C+G|6</t>
        </is>
      </c>
      <c r="L3587" s="12" t="inlineStr">
        <is>
          <t>3/C+G</t>
        </is>
      </c>
      <c r="M3587" s="12" t="inlineStr">
        <is>
          <t>6</t>
        </is>
      </c>
      <c r="N3587" s="12" t="n">
        <v>1</v>
      </c>
      <c r="O3587" s="12" t="n">
        <v>1</v>
      </c>
      <c r="P3587" s="12" t="n">
        <v>480</v>
      </c>
      <c r="Q3587" s="12" t="n">
        <v>30</v>
      </c>
      <c r="R3587" s="12" t="n">
        <v>42.5</v>
      </c>
      <c r="S3587" s="12" t="inlineStr">
        <is>
          <t>Duct bank</t>
        </is>
      </c>
      <c r="T3587" s="16" t="n">
        <v>303</v>
      </c>
      <c r="U3587" s="16" t="n">
        <v>34</v>
      </c>
      <c r="V3587" s="16">
        <f>ROUNDUP((T3587+U3587+2*'Read Me'!$B$13)*(1+'Read Me'!$B$12),-1)</f>
        <v/>
      </c>
      <c r="W3587" s="16">
        <f>V3587*N3587*O3587</f>
        <v/>
      </c>
      <c r="X3587" s="12">
        <f>IF(LEFT(I3587,2)="MV",2*N3587*IF(L3587="1/C",O3587,1),0)</f>
        <v/>
      </c>
      <c r="Y3587" s="12">
        <f>IF(OR(LEFT(K3587,4)="LVAX",LEFT(K3587,6)="MV15AX",LEFT(K3587,4)="CTAX",LEFT(K3587,2)="W|"),2*N3587*O3587,0)</f>
        <v/>
      </c>
      <c r="Z3587" s="12" t="inlineStr">
        <is>
          <t>VD 2.8 %</t>
        </is>
      </c>
      <c r="AA3587" s="12">
        <f>N3587*O3587</f>
        <v/>
      </c>
    </row>
    <row r="3588">
      <c r="A3588" s="12" t="inlineStr">
        <is>
          <t>G-P-0173</t>
        </is>
      </c>
      <c r="B3588" s="12" t="inlineStr">
        <is>
          <t>G</t>
        </is>
      </c>
      <c r="C3588" s="12" t="inlineStr">
        <is>
          <t>Carbon capture</t>
        </is>
      </c>
      <c r="D3588" s="12" t="inlineStr">
        <is>
          <t>Motor 4 of 4, 30 kW</t>
        </is>
      </c>
      <c r="E3588" s="12" t="inlineStr"/>
      <c r="F3588" s="12" t="inlineStr">
        <is>
          <t>CCS MV switchgear building (VFDs)</t>
        </is>
      </c>
      <c r="G3588" s="12" t="inlineStr"/>
      <c r="H3588" s="12" t="inlineStr">
        <is>
          <t>CONDITIONAL: HP export compressor + metering</t>
        </is>
      </c>
      <c r="I3588" s="12" t="inlineStr">
        <is>
          <t>LV 600 V</t>
        </is>
      </c>
      <c r="J3588" s="12" t="inlineStr">
        <is>
          <t>ARMOR-X MC-HL 600 V 3/C Cu XHHW-2 + ground, CWA, black PVC (Class I Div 2)</t>
        </is>
      </c>
      <c r="K3588" s="12" t="inlineStr">
        <is>
          <t>LVAX|3/C+G|6</t>
        </is>
      </c>
      <c r="L3588" s="12" t="inlineStr">
        <is>
          <t>3/C+G</t>
        </is>
      </c>
      <c r="M3588" s="12" t="inlineStr">
        <is>
          <t>6</t>
        </is>
      </c>
      <c r="N3588" s="12" t="n">
        <v>1</v>
      </c>
      <c r="O3588" s="12" t="n">
        <v>1</v>
      </c>
      <c r="P3588" s="12" t="n">
        <v>480</v>
      </c>
      <c r="Q3588" s="12" t="n">
        <v>30</v>
      </c>
      <c r="R3588" s="12" t="n">
        <v>42.5</v>
      </c>
      <c r="S3588" s="12" t="inlineStr">
        <is>
          <t>Duct bank</t>
        </is>
      </c>
      <c r="T3588" s="16" t="n">
        <v>303</v>
      </c>
      <c r="U3588" s="16" t="n">
        <v>34</v>
      </c>
      <c r="V3588" s="16">
        <f>ROUNDUP((T3588+U3588+2*'Read Me'!$B$13)*(1+'Read Me'!$B$12),-1)</f>
        <v/>
      </c>
      <c r="W3588" s="16">
        <f>V3588*N3588*O3588</f>
        <v/>
      </c>
      <c r="X3588" s="12">
        <f>IF(LEFT(I3588,2)="MV",2*N3588*IF(L3588="1/C",O3588,1),0)</f>
        <v/>
      </c>
      <c r="Y3588" s="12">
        <f>IF(OR(LEFT(K3588,4)="LVAX",LEFT(K3588,6)="MV15AX",LEFT(K3588,4)="CTAX",LEFT(K3588,2)="W|"),2*N3588*O3588,0)</f>
        <v/>
      </c>
      <c r="Z3588" s="12" t="inlineStr">
        <is>
          <t>VD 2.8 %</t>
        </is>
      </c>
      <c r="AA3588" s="12">
        <f>N3588*O3588</f>
        <v/>
      </c>
    </row>
    <row r="3589">
      <c r="A3589" s="12" t="inlineStr">
        <is>
          <t>G-P-0174</t>
        </is>
      </c>
      <c r="B3589" s="12" t="inlineStr">
        <is>
          <t>G</t>
        </is>
      </c>
      <c r="C3589" s="12" t="inlineStr">
        <is>
          <t>Carbon capture</t>
        </is>
      </c>
      <c r="D3589" s="12" t="inlineStr">
        <is>
          <t>Motor 1 of 2, 200 kW</t>
        </is>
      </c>
      <c r="E3589" s="12" t="inlineStr"/>
      <c r="F3589" s="12" t="inlineStr">
        <is>
          <t>CCS MV switchgear building (VFDs)</t>
        </is>
      </c>
      <c r="G3589" s="12" t="inlineStr"/>
      <c r="H3589" s="12" t="inlineStr">
        <is>
          <t>DCC-A pumps + water filter</t>
        </is>
      </c>
      <c r="I3589" s="12" t="inlineStr">
        <is>
          <t>LV 600 V</t>
        </is>
      </c>
      <c r="J3589" s="12" t="inlineStr">
        <is>
          <t>Type TC-ER 600 V 3/C Cu XHHW-2 + ground, PVC jacket</t>
        </is>
      </c>
      <c r="K3589" s="12" t="inlineStr">
        <is>
          <t>LV|3/C+G|500</t>
        </is>
      </c>
      <c r="L3589" s="12" t="inlineStr">
        <is>
          <t>3/C+G</t>
        </is>
      </c>
      <c r="M3589" s="12" t="inlineStr">
        <is>
          <t>500 kcmil</t>
        </is>
      </c>
      <c r="N3589" s="12" t="n">
        <v>1</v>
      </c>
      <c r="O3589" s="12" t="n">
        <v>1</v>
      </c>
      <c r="P3589" s="12" t="n">
        <v>480</v>
      </c>
      <c r="Q3589" s="12" t="n">
        <v>200</v>
      </c>
      <c r="R3589" s="12" t="n">
        <v>283</v>
      </c>
      <c r="S3589" s="12" t="inlineStr">
        <is>
          <t>Tray</t>
        </is>
      </c>
      <c r="T3589" s="16" t="n">
        <v>515</v>
      </c>
      <c r="U3589" s="16" t="n">
        <v>164</v>
      </c>
      <c r="V3589" s="16">
        <f>ROUNDUP((T3589+U3589+2*'Read Me'!$B$13)*(1+'Read Me'!$B$12),-1)</f>
        <v/>
      </c>
      <c r="W3589" s="16">
        <f>V3589*N3589*O3589</f>
        <v/>
      </c>
      <c r="X3589" s="12">
        <f>IF(LEFT(I3589,2)="MV",2*N3589*IF(L3589="1/C",O3589,1),0)</f>
        <v/>
      </c>
      <c r="Y3589" s="12">
        <f>IF(OR(LEFT(K3589,4)="LVAX",LEFT(K3589,6)="MV15AX",LEFT(K3589,4)="CTAX",LEFT(K3589,2)="W|"),2*N3589*O3589,0)</f>
        <v/>
      </c>
      <c r="Z3589" s="12" t="inlineStr">
        <is>
          <t>VD 2.0 %</t>
        </is>
      </c>
      <c r="AA3589" s="12">
        <f>N3589*O3589</f>
        <v/>
      </c>
    </row>
    <row r="3590">
      <c r="A3590" s="12" t="inlineStr">
        <is>
          <t>G-P-0175</t>
        </is>
      </c>
      <c r="B3590" s="12" t="inlineStr">
        <is>
          <t>G</t>
        </is>
      </c>
      <c r="C3590" s="12" t="inlineStr">
        <is>
          <t>Carbon capture</t>
        </is>
      </c>
      <c r="D3590" s="12" t="inlineStr">
        <is>
          <t>Motor 2 of 2, 200 kW</t>
        </is>
      </c>
      <c r="E3590" s="12" t="inlineStr"/>
      <c r="F3590" s="12" t="inlineStr">
        <is>
          <t>CCS MV switchgear building (VFDs)</t>
        </is>
      </c>
      <c r="G3590" s="12" t="inlineStr"/>
      <c r="H3590" s="12" t="inlineStr">
        <is>
          <t>DCC-A pumps + water filter</t>
        </is>
      </c>
      <c r="I3590" s="12" t="inlineStr">
        <is>
          <t>LV 600 V</t>
        </is>
      </c>
      <c r="J3590" s="12" t="inlineStr">
        <is>
          <t>Type TC-ER 600 V 3/C Cu XHHW-2 + ground, PVC jacket</t>
        </is>
      </c>
      <c r="K3590" s="12" t="inlineStr">
        <is>
          <t>LV|3/C+G|500</t>
        </is>
      </c>
      <c r="L3590" s="12" t="inlineStr">
        <is>
          <t>3/C+G</t>
        </is>
      </c>
      <c r="M3590" s="12" t="inlineStr">
        <is>
          <t>500 kcmil</t>
        </is>
      </c>
      <c r="N3590" s="12" t="n">
        <v>1</v>
      </c>
      <c r="O3590" s="12" t="n">
        <v>1</v>
      </c>
      <c r="P3590" s="12" t="n">
        <v>480</v>
      </c>
      <c r="Q3590" s="12" t="n">
        <v>200</v>
      </c>
      <c r="R3590" s="12" t="n">
        <v>283</v>
      </c>
      <c r="S3590" s="12" t="inlineStr">
        <is>
          <t>Tray</t>
        </is>
      </c>
      <c r="T3590" s="16" t="n">
        <v>515</v>
      </c>
      <c r="U3590" s="16" t="n">
        <v>164</v>
      </c>
      <c r="V3590" s="16">
        <f>ROUNDUP((T3590+U3590+2*'Read Me'!$B$13)*(1+'Read Me'!$B$12),-1)</f>
        <v/>
      </c>
      <c r="W3590" s="16">
        <f>V3590*N3590*O3590</f>
        <v/>
      </c>
      <c r="X3590" s="12">
        <f>IF(LEFT(I3590,2)="MV",2*N3590*IF(L3590="1/C",O3590,1),0)</f>
        <v/>
      </c>
      <c r="Y3590" s="12">
        <f>IF(OR(LEFT(K3590,4)="LVAX",LEFT(K3590,6)="MV15AX",LEFT(K3590,4)="CTAX",LEFT(K3590,2)="W|"),2*N3590*O3590,0)</f>
        <v/>
      </c>
      <c r="Z3590" s="12" t="inlineStr">
        <is>
          <t>VD 2.0 %</t>
        </is>
      </c>
      <c r="AA3590" s="12">
        <f>N3590*O3590</f>
        <v/>
      </c>
    </row>
    <row r="3591">
      <c r="A3591" s="12" t="inlineStr">
        <is>
          <t>G-P-0176</t>
        </is>
      </c>
      <c r="B3591" s="12" t="inlineStr">
        <is>
          <t>G</t>
        </is>
      </c>
      <c r="C3591" s="12" t="inlineStr">
        <is>
          <t>Carbon capture</t>
        </is>
      </c>
      <c r="D3591" s="12" t="inlineStr">
        <is>
          <t>LV power feeder</t>
        </is>
      </c>
      <c r="E3591" s="12" t="inlineStr"/>
      <c r="F3591" s="12" t="inlineStr">
        <is>
          <t>CCS MV switchgear building (VFDs)</t>
        </is>
      </c>
      <c r="G3591" s="12" t="inlineStr">
        <is>
          <t>DCC-A</t>
        </is>
      </c>
      <c r="H3591" s="12" t="inlineStr">
        <is>
          <t>DCC-A: direct-contact cooler (quench)</t>
        </is>
      </c>
      <c r="I3591" s="12" t="inlineStr">
        <is>
          <t>LV 600 V</t>
        </is>
      </c>
      <c r="J3591" s="12" t="inlineStr">
        <is>
          <t>Type TC-ER 600 V 3/C Cu XHHW-2 + ground, PVC jacket</t>
        </is>
      </c>
      <c r="K3591" s="12" t="inlineStr">
        <is>
          <t>LV|3/C+G|6</t>
        </is>
      </c>
      <c r="L3591" s="12" t="inlineStr">
        <is>
          <t>3/C+G</t>
        </is>
      </c>
      <c r="M3591" s="12" t="inlineStr">
        <is>
          <t>6</t>
        </is>
      </c>
      <c r="N3591" s="12" t="n">
        <v>1</v>
      </c>
      <c r="O3591" s="12" t="n">
        <v>1</v>
      </c>
      <c r="P3591" s="12" t="n">
        <v>480</v>
      </c>
      <c r="Q3591" s="12" t="n">
        <v>15</v>
      </c>
      <c r="R3591" s="12" t="n">
        <v>21.2</v>
      </c>
      <c r="S3591" s="12" t="inlineStr">
        <is>
          <t>Duct bank</t>
        </is>
      </c>
      <c r="T3591" s="16" t="n">
        <v>460</v>
      </c>
      <c r="U3591" s="16" t="n">
        <v>60</v>
      </c>
      <c r="V3591" s="16">
        <f>ROUNDUP((T3591+U3591+2*'Read Me'!$B$13)*(1+'Read Me'!$B$12),-1)</f>
        <v/>
      </c>
      <c r="W3591" s="16">
        <f>V3591*N3591*O3591</f>
        <v/>
      </c>
      <c r="X3591" s="12">
        <f>IF(LEFT(I3591,2)="MV",2*N3591*IF(L3591="1/C",O3591,1),0)</f>
        <v/>
      </c>
      <c r="Y3591" s="12">
        <f>IF(OR(LEFT(K3591,4)="LVAX",LEFT(K3591,6)="MV15AX",LEFT(K3591,4)="CTAX",LEFT(K3591,2)="W|"),2*N3591*O3591,0)</f>
        <v/>
      </c>
      <c r="Z3591" s="12" t="inlineStr">
        <is>
          <t>VD 2.2 %</t>
        </is>
      </c>
      <c r="AA3591" s="12">
        <f>N3591*O3591</f>
        <v/>
      </c>
    </row>
    <row r="3592">
      <c r="A3592" s="12" t="inlineStr">
        <is>
          <t>G-P-0177</t>
        </is>
      </c>
      <c r="B3592" s="12" t="inlineStr">
        <is>
          <t>G</t>
        </is>
      </c>
      <c r="C3592" s="12" t="inlineStr">
        <is>
          <t>Carbon capture</t>
        </is>
      </c>
      <c r="D3592" s="12" t="inlineStr">
        <is>
          <t>Area / platform lighting circuit 1 (8 fixtures)</t>
        </is>
      </c>
      <c r="E3592" s="12" t="inlineStr"/>
      <c r="F3592" s="12" t="inlineStr">
        <is>
          <t>CCS MV switchgear building (VFDs)</t>
        </is>
      </c>
      <c r="G3592" s="12" t="inlineStr">
        <is>
          <t>DCC-A</t>
        </is>
      </c>
      <c r="H3592" s="12" t="inlineStr">
        <is>
          <t>DCC-A: direct-contact cooler (quench)</t>
        </is>
      </c>
      <c r="I3592" s="12" t="inlineStr">
        <is>
          <t>LV 600 V</t>
        </is>
      </c>
      <c r="J3592" s="12" t="inlineStr">
        <is>
          <t>Type TC-ER 600 V 3/C Cu XHHW-2 + ground, PVC jacket</t>
        </is>
      </c>
      <c r="K3592" s="12" t="inlineStr">
        <is>
          <t>LV|3/C+G|10</t>
        </is>
      </c>
      <c r="L3592" s="12" t="inlineStr">
        <is>
          <t>3/C+G</t>
        </is>
      </c>
      <c r="M3592" s="12" t="inlineStr">
        <is>
          <t>10</t>
        </is>
      </c>
      <c r="N3592" s="12" t="n">
        <v>1</v>
      </c>
      <c r="O3592" s="12" t="n">
        <v>1</v>
      </c>
      <c r="P3592" s="12" t="n">
        <v>480</v>
      </c>
      <c r="Q3592" s="12" t="n">
        <v>3</v>
      </c>
      <c r="R3592" s="12" t="n">
        <v>5</v>
      </c>
      <c r="S3592" s="12" t="inlineStr">
        <is>
          <t>Duct bank</t>
        </is>
      </c>
      <c r="T3592" s="16" t="n">
        <v>760</v>
      </c>
      <c r="U3592" s="16" t="n">
        <v>60</v>
      </c>
      <c r="V3592" s="16">
        <f>ROUNDUP((T3592+U3592+2*'Read Me'!$B$13)*(1+'Read Me'!$B$12),-1)</f>
        <v/>
      </c>
      <c r="W3592" s="16">
        <f>V3592*N3592*O3592</f>
        <v/>
      </c>
      <c r="X3592" s="12">
        <f>IF(LEFT(I3592,2)="MV",2*N3592*IF(L3592="1/C",O3592,1),0)</f>
        <v/>
      </c>
      <c r="Y3592" s="12">
        <f>IF(OR(LEFT(K3592,4)="LVAX",LEFT(K3592,6)="MV15AX",LEFT(K3592,4)="CTAX",LEFT(K3592,2)="W|"),2*N3592*O3592,0)</f>
        <v/>
      </c>
      <c r="Z3592" s="12" t="inlineStr">
        <is>
          <t>fixture-to-fixture run included</t>
        </is>
      </c>
      <c r="AA3592" s="12">
        <f>N3592*O3592</f>
        <v/>
      </c>
    </row>
    <row r="3593">
      <c r="A3593" s="12" t="inlineStr">
        <is>
          <t>G-P-0178</t>
        </is>
      </c>
      <c r="B3593" s="12" t="inlineStr">
        <is>
          <t>G</t>
        </is>
      </c>
      <c r="C3593" s="12" t="inlineStr">
        <is>
          <t>Carbon capture</t>
        </is>
      </c>
      <c r="D3593" s="12" t="inlineStr">
        <is>
          <t>Motor 1 of 2, 200 kW</t>
        </is>
      </c>
      <c r="E3593" s="12" t="inlineStr"/>
      <c r="F3593" s="12" t="inlineStr">
        <is>
          <t>CCS MV switchgear building (VFDs)</t>
        </is>
      </c>
      <c r="G3593" s="12" t="inlineStr"/>
      <c r="H3593" s="12" t="inlineStr">
        <is>
          <t>DCC-B pumps + water filter</t>
        </is>
      </c>
      <c r="I3593" s="12" t="inlineStr">
        <is>
          <t>LV 600 V</t>
        </is>
      </c>
      <c r="J3593" s="12" t="inlineStr">
        <is>
          <t>Type TC-ER 600 V 3/C Cu XHHW-2 + ground, PVC jacket</t>
        </is>
      </c>
      <c r="K3593" s="12" t="inlineStr">
        <is>
          <t>LV|3/C+G|500</t>
        </is>
      </c>
      <c r="L3593" s="12" t="inlineStr">
        <is>
          <t>3/C+G</t>
        </is>
      </c>
      <c r="M3593" s="12" t="inlineStr">
        <is>
          <t>500 kcmil</t>
        </is>
      </c>
      <c r="N3593" s="12" t="n">
        <v>1</v>
      </c>
      <c r="O3593" s="12" t="n">
        <v>1</v>
      </c>
      <c r="P3593" s="12" t="n">
        <v>480</v>
      </c>
      <c r="Q3593" s="12" t="n">
        <v>200</v>
      </c>
      <c r="R3593" s="12" t="n">
        <v>283</v>
      </c>
      <c r="S3593" s="12" t="inlineStr">
        <is>
          <t>Tray</t>
        </is>
      </c>
      <c r="T3593" s="16" t="n">
        <v>415</v>
      </c>
      <c r="U3593" s="16" t="n">
        <v>122</v>
      </c>
      <c r="V3593" s="16">
        <f>ROUNDUP((T3593+U3593+2*'Read Me'!$B$13)*(1+'Read Me'!$B$12),-1)</f>
        <v/>
      </c>
      <c r="W3593" s="16">
        <f>V3593*N3593*O3593</f>
        <v/>
      </c>
      <c r="X3593" s="12">
        <f>IF(LEFT(I3593,2)="MV",2*N3593*IF(L3593="1/C",O3593,1),0)</f>
        <v/>
      </c>
      <c r="Y3593" s="12">
        <f>IF(OR(LEFT(K3593,4)="LVAX",LEFT(K3593,6)="MV15AX",LEFT(K3593,4)="CTAX",LEFT(K3593,2)="W|"),2*N3593*O3593,0)</f>
        <v/>
      </c>
      <c r="Z3593" s="12" t="inlineStr">
        <is>
          <t>VD 1.6 %</t>
        </is>
      </c>
      <c r="AA3593" s="12">
        <f>N3593*O3593</f>
        <v/>
      </c>
    </row>
    <row r="3594">
      <c r="A3594" s="12" t="inlineStr">
        <is>
          <t>G-P-0179</t>
        </is>
      </c>
      <c r="B3594" s="12" t="inlineStr">
        <is>
          <t>G</t>
        </is>
      </c>
      <c r="C3594" s="12" t="inlineStr">
        <is>
          <t>Carbon capture</t>
        </is>
      </c>
      <c r="D3594" s="12" t="inlineStr">
        <is>
          <t>Motor 2 of 2, 200 kW</t>
        </is>
      </c>
      <c r="E3594" s="12" t="inlineStr"/>
      <c r="F3594" s="12" t="inlineStr">
        <is>
          <t>CCS MV switchgear building (VFDs)</t>
        </is>
      </c>
      <c r="G3594" s="12" t="inlineStr"/>
      <c r="H3594" s="12" t="inlineStr">
        <is>
          <t>DCC-B pumps + water filter</t>
        </is>
      </c>
      <c r="I3594" s="12" t="inlineStr">
        <is>
          <t>LV 600 V</t>
        </is>
      </c>
      <c r="J3594" s="12" t="inlineStr">
        <is>
          <t>Type TC-ER 600 V 3/C Cu XHHW-2 + ground, PVC jacket</t>
        </is>
      </c>
      <c r="K3594" s="12" t="inlineStr">
        <is>
          <t>LV|3/C+G|500</t>
        </is>
      </c>
      <c r="L3594" s="12" t="inlineStr">
        <is>
          <t>3/C+G</t>
        </is>
      </c>
      <c r="M3594" s="12" t="inlineStr">
        <is>
          <t>500 kcmil</t>
        </is>
      </c>
      <c r="N3594" s="12" t="n">
        <v>1</v>
      </c>
      <c r="O3594" s="12" t="n">
        <v>1</v>
      </c>
      <c r="P3594" s="12" t="n">
        <v>480</v>
      </c>
      <c r="Q3594" s="12" t="n">
        <v>200</v>
      </c>
      <c r="R3594" s="12" t="n">
        <v>283</v>
      </c>
      <c r="S3594" s="12" t="inlineStr">
        <is>
          <t>Tray</t>
        </is>
      </c>
      <c r="T3594" s="16" t="n">
        <v>415</v>
      </c>
      <c r="U3594" s="16" t="n">
        <v>122</v>
      </c>
      <c r="V3594" s="16">
        <f>ROUNDUP((T3594+U3594+2*'Read Me'!$B$13)*(1+'Read Me'!$B$12),-1)</f>
        <v/>
      </c>
      <c r="W3594" s="16">
        <f>V3594*N3594*O3594</f>
        <v/>
      </c>
      <c r="X3594" s="12">
        <f>IF(LEFT(I3594,2)="MV",2*N3594*IF(L3594="1/C",O3594,1),0)</f>
        <v/>
      </c>
      <c r="Y3594" s="12">
        <f>IF(OR(LEFT(K3594,4)="LVAX",LEFT(K3594,6)="MV15AX",LEFT(K3594,4)="CTAX",LEFT(K3594,2)="W|"),2*N3594*O3594,0)</f>
        <v/>
      </c>
      <c r="Z3594" s="12" t="inlineStr">
        <is>
          <t>VD 1.6 %</t>
        </is>
      </c>
      <c r="AA3594" s="12">
        <f>N3594*O3594</f>
        <v/>
      </c>
    </row>
    <row r="3595">
      <c r="A3595" s="12" t="inlineStr">
        <is>
          <t>G-P-0180</t>
        </is>
      </c>
      <c r="B3595" s="12" t="inlineStr">
        <is>
          <t>G</t>
        </is>
      </c>
      <c r="C3595" s="12" t="inlineStr">
        <is>
          <t>Carbon capture</t>
        </is>
      </c>
      <c r="D3595" s="12" t="inlineStr">
        <is>
          <t>LV power feeder</t>
        </is>
      </c>
      <c r="E3595" s="12" t="inlineStr"/>
      <c r="F3595" s="12" t="inlineStr">
        <is>
          <t>CCS MV switchgear building (VFDs)</t>
        </is>
      </c>
      <c r="G3595" s="12" t="inlineStr">
        <is>
          <t>DCC-B</t>
        </is>
      </c>
      <c r="H3595" s="12" t="inlineStr">
        <is>
          <t>DCC-B: direct-contact cooler (quench)</t>
        </is>
      </c>
      <c r="I3595" s="12" t="inlineStr">
        <is>
          <t>LV 600 V</t>
        </is>
      </c>
      <c r="J3595" s="12" t="inlineStr">
        <is>
          <t>Type TC-ER 600 V 3/C Cu XHHW-2 + ground, PVC jacket</t>
        </is>
      </c>
      <c r="K3595" s="12" t="inlineStr">
        <is>
          <t>LV|3/C+G|8</t>
        </is>
      </c>
      <c r="L3595" s="12" t="inlineStr">
        <is>
          <t>3/C+G</t>
        </is>
      </c>
      <c r="M3595" s="12" t="inlineStr">
        <is>
          <t>8</t>
        </is>
      </c>
      <c r="N3595" s="12" t="n">
        <v>1</v>
      </c>
      <c r="O3595" s="12" t="n">
        <v>1</v>
      </c>
      <c r="P3595" s="12" t="n">
        <v>480</v>
      </c>
      <c r="Q3595" s="12" t="n">
        <v>15</v>
      </c>
      <c r="R3595" s="12" t="n">
        <v>21.2</v>
      </c>
      <c r="S3595" s="12" t="inlineStr">
        <is>
          <t>Duct bank</t>
        </is>
      </c>
      <c r="T3595" s="16" t="n">
        <v>300</v>
      </c>
      <c r="U3595" s="16" t="n">
        <v>60</v>
      </c>
      <c r="V3595" s="16">
        <f>ROUNDUP((T3595+U3595+2*'Read Me'!$B$13)*(1+'Read Me'!$B$12),-1)</f>
        <v/>
      </c>
      <c r="W3595" s="16">
        <f>V3595*N3595*O3595</f>
        <v/>
      </c>
      <c r="X3595" s="12">
        <f>IF(LEFT(I3595,2)="MV",2*N3595*IF(L3595="1/C",O3595,1),0)</f>
        <v/>
      </c>
      <c r="Y3595" s="12">
        <f>IF(OR(LEFT(K3595,4)="LVAX",LEFT(K3595,6)="MV15AX",LEFT(K3595,4)="CTAX",LEFT(K3595,2)="W|"),2*N3595*O3595,0)</f>
        <v/>
      </c>
      <c r="Z3595" s="12" t="inlineStr">
        <is>
          <t>VD 2.3 %</t>
        </is>
      </c>
      <c r="AA3595" s="12">
        <f>N3595*O3595</f>
        <v/>
      </c>
    </row>
    <row r="3596">
      <c r="A3596" s="12" t="inlineStr">
        <is>
          <t>G-P-0181</t>
        </is>
      </c>
      <c r="B3596" s="12" t="inlineStr">
        <is>
          <t>G</t>
        </is>
      </c>
      <c r="C3596" s="12" t="inlineStr">
        <is>
          <t>Carbon capture</t>
        </is>
      </c>
      <c r="D3596" s="12" t="inlineStr">
        <is>
          <t>Area / platform lighting circuit 1 (8 fixtures)</t>
        </is>
      </c>
      <c r="E3596" s="12" t="inlineStr"/>
      <c r="F3596" s="12" t="inlineStr">
        <is>
          <t>CCS MV switchgear building (VFDs)</t>
        </is>
      </c>
      <c r="G3596" s="12" t="inlineStr">
        <is>
          <t>DCC-B</t>
        </is>
      </c>
      <c r="H3596" s="12" t="inlineStr">
        <is>
          <t>DCC-B: direct-contact cooler (quench)</t>
        </is>
      </c>
      <c r="I3596" s="12" t="inlineStr">
        <is>
          <t>LV 600 V</t>
        </is>
      </c>
      <c r="J3596" s="12" t="inlineStr">
        <is>
          <t>Type TC-ER 600 V 3/C Cu XHHW-2 + ground, PVC jacket</t>
        </is>
      </c>
      <c r="K3596" s="12" t="inlineStr">
        <is>
          <t>LV|3/C+G|10</t>
        </is>
      </c>
      <c r="L3596" s="12" t="inlineStr">
        <is>
          <t>3/C+G</t>
        </is>
      </c>
      <c r="M3596" s="12" t="inlineStr">
        <is>
          <t>10</t>
        </is>
      </c>
      <c r="N3596" s="12" t="n">
        <v>1</v>
      </c>
      <c r="O3596" s="12" t="n">
        <v>1</v>
      </c>
      <c r="P3596" s="12" t="n">
        <v>480</v>
      </c>
      <c r="Q3596" s="12" t="n">
        <v>3</v>
      </c>
      <c r="R3596" s="12" t="n">
        <v>5</v>
      </c>
      <c r="S3596" s="12" t="inlineStr">
        <is>
          <t>Duct bank</t>
        </is>
      </c>
      <c r="T3596" s="16" t="n">
        <v>600</v>
      </c>
      <c r="U3596" s="16" t="n">
        <v>60</v>
      </c>
      <c r="V3596" s="16">
        <f>ROUNDUP((T3596+U3596+2*'Read Me'!$B$13)*(1+'Read Me'!$B$12),-1)</f>
        <v/>
      </c>
      <c r="W3596" s="16">
        <f>V3596*N3596*O3596</f>
        <v/>
      </c>
      <c r="X3596" s="12">
        <f>IF(LEFT(I3596,2)="MV",2*N3596*IF(L3596="1/C",O3596,1),0)</f>
        <v/>
      </c>
      <c r="Y3596" s="12">
        <f>IF(OR(LEFT(K3596,4)="LVAX",LEFT(K3596,6)="MV15AX",LEFT(K3596,4)="CTAX",LEFT(K3596,2)="W|"),2*N3596*O3596,0)</f>
        <v/>
      </c>
      <c r="Z3596" s="12" t="inlineStr">
        <is>
          <t>fixture-to-fixture run included</t>
        </is>
      </c>
      <c r="AA3596" s="12">
        <f>N3596*O3596</f>
        <v/>
      </c>
    </row>
    <row r="3597">
      <c r="A3597" s="12" t="inlineStr">
        <is>
          <t>G-P-0182</t>
        </is>
      </c>
      <c r="B3597" s="12" t="inlineStr">
        <is>
          <t>G</t>
        </is>
      </c>
      <c r="C3597" s="12" t="inlineStr">
        <is>
          <t>Carbon capture</t>
        </is>
      </c>
      <c r="D3597" s="12" t="inlineStr">
        <is>
          <t>Motor 1 of 2, 200 kW</t>
        </is>
      </c>
      <c r="E3597" s="12" t="inlineStr"/>
      <c r="F3597" s="12" t="inlineStr">
        <is>
          <t>CCS MV switchgear building (VFDs)</t>
        </is>
      </c>
      <c r="G3597" s="12" t="inlineStr"/>
      <c r="H3597" s="12" t="inlineStr">
        <is>
          <t>DCC-C pumps + water filter</t>
        </is>
      </c>
      <c r="I3597" s="12" t="inlineStr">
        <is>
          <t>LV 600 V</t>
        </is>
      </c>
      <c r="J3597" s="12" t="inlineStr">
        <is>
          <t>Type TC-ER 600 V 3/C Cu XHHW-2 + ground, PVC jacket</t>
        </is>
      </c>
      <c r="K3597" s="12" t="inlineStr">
        <is>
          <t>LV|3/C+G|500</t>
        </is>
      </c>
      <c r="L3597" s="12" t="inlineStr">
        <is>
          <t>3/C+G</t>
        </is>
      </c>
      <c r="M3597" s="12" t="inlineStr">
        <is>
          <t>500 kcmil</t>
        </is>
      </c>
      <c r="N3597" s="12" t="n">
        <v>1</v>
      </c>
      <c r="O3597" s="12" t="n">
        <v>1</v>
      </c>
      <c r="P3597" s="12" t="n">
        <v>480</v>
      </c>
      <c r="Q3597" s="12" t="n">
        <v>200</v>
      </c>
      <c r="R3597" s="12" t="n">
        <v>283</v>
      </c>
      <c r="S3597" s="12" t="inlineStr">
        <is>
          <t>Tray</t>
        </is>
      </c>
      <c r="T3597" s="16" t="n">
        <v>195</v>
      </c>
      <c r="U3597" s="16" t="n">
        <v>164</v>
      </c>
      <c r="V3597" s="16">
        <f>ROUNDUP((T3597+U3597+2*'Read Me'!$B$13)*(1+'Read Me'!$B$12),-1)</f>
        <v/>
      </c>
      <c r="W3597" s="16">
        <f>V3597*N3597*O3597</f>
        <v/>
      </c>
      <c r="X3597" s="12">
        <f>IF(LEFT(I3597,2)="MV",2*N3597*IF(L3597="1/C",O3597,1),0)</f>
        <v/>
      </c>
      <c r="Y3597" s="12">
        <f>IF(OR(LEFT(K3597,4)="LVAX",LEFT(K3597,6)="MV15AX",LEFT(K3597,4)="CTAX",LEFT(K3597,2)="W|"),2*N3597*O3597,0)</f>
        <v/>
      </c>
      <c r="Z3597" s="12" t="inlineStr">
        <is>
          <t>VD 1.0 %</t>
        </is>
      </c>
      <c r="AA3597" s="12">
        <f>N3597*O3597</f>
        <v/>
      </c>
    </row>
    <row r="3598">
      <c r="A3598" s="12" t="inlineStr">
        <is>
          <t>G-P-0183</t>
        </is>
      </c>
      <c r="B3598" s="12" t="inlineStr">
        <is>
          <t>G</t>
        </is>
      </c>
      <c r="C3598" s="12" t="inlineStr">
        <is>
          <t>Carbon capture</t>
        </is>
      </c>
      <c r="D3598" s="12" t="inlineStr">
        <is>
          <t>Motor 2 of 2, 200 kW</t>
        </is>
      </c>
      <c r="E3598" s="12" t="inlineStr"/>
      <c r="F3598" s="12" t="inlineStr">
        <is>
          <t>CCS MV switchgear building (VFDs)</t>
        </is>
      </c>
      <c r="G3598" s="12" t="inlineStr"/>
      <c r="H3598" s="12" t="inlineStr">
        <is>
          <t>DCC-C pumps + water filter</t>
        </is>
      </c>
      <c r="I3598" s="12" t="inlineStr">
        <is>
          <t>LV 600 V</t>
        </is>
      </c>
      <c r="J3598" s="12" t="inlineStr">
        <is>
          <t>Type TC-ER 600 V 3/C Cu XHHW-2 + ground, PVC jacket</t>
        </is>
      </c>
      <c r="K3598" s="12" t="inlineStr">
        <is>
          <t>LV|3/C+G|500</t>
        </is>
      </c>
      <c r="L3598" s="12" t="inlineStr">
        <is>
          <t>3/C+G</t>
        </is>
      </c>
      <c r="M3598" s="12" t="inlineStr">
        <is>
          <t>500 kcmil</t>
        </is>
      </c>
      <c r="N3598" s="12" t="n">
        <v>1</v>
      </c>
      <c r="O3598" s="12" t="n">
        <v>1</v>
      </c>
      <c r="P3598" s="12" t="n">
        <v>480</v>
      </c>
      <c r="Q3598" s="12" t="n">
        <v>200</v>
      </c>
      <c r="R3598" s="12" t="n">
        <v>283</v>
      </c>
      <c r="S3598" s="12" t="inlineStr">
        <is>
          <t>Tray</t>
        </is>
      </c>
      <c r="T3598" s="16" t="n">
        <v>195</v>
      </c>
      <c r="U3598" s="16" t="n">
        <v>164</v>
      </c>
      <c r="V3598" s="16">
        <f>ROUNDUP((T3598+U3598+2*'Read Me'!$B$13)*(1+'Read Me'!$B$12),-1)</f>
        <v/>
      </c>
      <c r="W3598" s="16">
        <f>V3598*N3598*O3598</f>
        <v/>
      </c>
      <c r="X3598" s="12">
        <f>IF(LEFT(I3598,2)="MV",2*N3598*IF(L3598="1/C",O3598,1),0)</f>
        <v/>
      </c>
      <c r="Y3598" s="12">
        <f>IF(OR(LEFT(K3598,4)="LVAX",LEFT(K3598,6)="MV15AX",LEFT(K3598,4)="CTAX",LEFT(K3598,2)="W|"),2*N3598*O3598,0)</f>
        <v/>
      </c>
      <c r="Z3598" s="12" t="inlineStr">
        <is>
          <t>VD 1.0 %</t>
        </is>
      </c>
      <c r="AA3598" s="12">
        <f>N3598*O3598</f>
        <v/>
      </c>
    </row>
    <row r="3599">
      <c r="A3599" s="12" t="inlineStr">
        <is>
          <t>G-P-0184</t>
        </is>
      </c>
      <c r="B3599" s="12" t="inlineStr">
        <is>
          <t>G</t>
        </is>
      </c>
      <c r="C3599" s="12" t="inlineStr">
        <is>
          <t>Carbon capture</t>
        </is>
      </c>
      <c r="D3599" s="12" t="inlineStr">
        <is>
          <t>LV power feeder</t>
        </is>
      </c>
      <c r="E3599" s="12" t="inlineStr"/>
      <c r="F3599" s="12" t="inlineStr">
        <is>
          <t>CCS MV switchgear building (VFDs)</t>
        </is>
      </c>
      <c r="G3599" s="12" t="inlineStr">
        <is>
          <t>DCC-C</t>
        </is>
      </c>
      <c r="H3599" s="12" t="inlineStr">
        <is>
          <t>DCC-C: direct-contact cooler (quench)</t>
        </is>
      </c>
      <c r="I3599" s="12" t="inlineStr">
        <is>
          <t>LV 600 V</t>
        </is>
      </c>
      <c r="J3599" s="12" t="inlineStr">
        <is>
          <t>Type TC-ER 600 V 3/C Cu XHHW-2 + ground, PVC jacket</t>
        </is>
      </c>
      <c r="K3599" s="12" t="inlineStr">
        <is>
          <t>LV|3/C+G|10</t>
        </is>
      </c>
      <c r="L3599" s="12" t="inlineStr">
        <is>
          <t>3/C+G</t>
        </is>
      </c>
      <c r="M3599" s="12" t="inlineStr">
        <is>
          <t>10</t>
        </is>
      </c>
      <c r="N3599" s="12" t="n">
        <v>1</v>
      </c>
      <c r="O3599" s="12" t="n">
        <v>1</v>
      </c>
      <c r="P3599" s="12" t="n">
        <v>480</v>
      </c>
      <c r="Q3599" s="12" t="n">
        <v>15</v>
      </c>
      <c r="R3599" s="12" t="n">
        <v>21.2</v>
      </c>
      <c r="S3599" s="12" t="inlineStr">
        <is>
          <t>Duct bank</t>
        </is>
      </c>
      <c r="T3599" s="16" t="n">
        <v>140</v>
      </c>
      <c r="U3599" s="16" t="n">
        <v>60</v>
      </c>
      <c r="V3599" s="16">
        <f>ROUNDUP((T3599+U3599+2*'Read Me'!$B$13)*(1+'Read Me'!$B$12),-1)</f>
        <v/>
      </c>
      <c r="W3599" s="16">
        <f>V3599*N3599*O3599</f>
        <v/>
      </c>
      <c r="X3599" s="12">
        <f>IF(LEFT(I3599,2)="MV",2*N3599*IF(L3599="1/C",O3599,1),0)</f>
        <v/>
      </c>
      <c r="Y3599" s="12">
        <f>IF(OR(LEFT(K3599,4)="LVAX",LEFT(K3599,6)="MV15AX",LEFT(K3599,4)="CTAX",LEFT(K3599,2)="W|"),2*N3599*O3599,0)</f>
        <v/>
      </c>
      <c r="Z3599" s="12" t="inlineStr">
        <is>
          <t>VD 2.0 %</t>
        </is>
      </c>
      <c r="AA3599" s="12">
        <f>N3599*O3599</f>
        <v/>
      </c>
    </row>
    <row r="3600">
      <c r="A3600" s="12" t="inlineStr">
        <is>
          <t>G-P-0185</t>
        </is>
      </c>
      <c r="B3600" s="12" t="inlineStr">
        <is>
          <t>G</t>
        </is>
      </c>
      <c r="C3600" s="12" t="inlineStr">
        <is>
          <t>Carbon capture</t>
        </is>
      </c>
      <c r="D3600" s="12" t="inlineStr">
        <is>
          <t>Area / platform lighting circuit 1 (8 fixtures)</t>
        </is>
      </c>
      <c r="E3600" s="12" t="inlineStr"/>
      <c r="F3600" s="12" t="inlineStr">
        <is>
          <t>CCS MV switchgear building (VFDs)</t>
        </is>
      </c>
      <c r="G3600" s="12" t="inlineStr">
        <is>
          <t>DCC-C</t>
        </is>
      </c>
      <c r="H3600" s="12" t="inlineStr">
        <is>
          <t>DCC-C: direct-contact cooler (quench)</t>
        </is>
      </c>
      <c r="I3600" s="12" t="inlineStr">
        <is>
          <t>LV 600 V</t>
        </is>
      </c>
      <c r="J3600" s="12" t="inlineStr">
        <is>
          <t>Type TC-ER 600 V 3/C Cu XHHW-2 + ground, PVC jacket</t>
        </is>
      </c>
      <c r="K3600" s="12" t="inlineStr">
        <is>
          <t>LV|3/C+G|10</t>
        </is>
      </c>
      <c r="L3600" s="12" t="inlineStr">
        <is>
          <t>3/C+G</t>
        </is>
      </c>
      <c r="M3600" s="12" t="inlineStr">
        <is>
          <t>10</t>
        </is>
      </c>
      <c r="N3600" s="12" t="n">
        <v>1</v>
      </c>
      <c r="O3600" s="12" t="n">
        <v>1</v>
      </c>
      <c r="P3600" s="12" t="n">
        <v>480</v>
      </c>
      <c r="Q3600" s="12" t="n">
        <v>3</v>
      </c>
      <c r="R3600" s="12" t="n">
        <v>5</v>
      </c>
      <c r="S3600" s="12" t="inlineStr">
        <is>
          <t>Duct bank</t>
        </is>
      </c>
      <c r="T3600" s="16" t="n">
        <v>440</v>
      </c>
      <c r="U3600" s="16" t="n">
        <v>60</v>
      </c>
      <c r="V3600" s="16">
        <f>ROUNDUP((T3600+U3600+2*'Read Me'!$B$13)*(1+'Read Me'!$B$12),-1)</f>
        <v/>
      </c>
      <c r="W3600" s="16">
        <f>V3600*N3600*O3600</f>
        <v/>
      </c>
      <c r="X3600" s="12">
        <f>IF(LEFT(I3600,2)="MV",2*N3600*IF(L3600="1/C",O3600,1),0)</f>
        <v/>
      </c>
      <c r="Y3600" s="12">
        <f>IF(OR(LEFT(K3600,4)="LVAX",LEFT(K3600,6)="MV15AX",LEFT(K3600,4)="CTAX",LEFT(K3600,2)="W|"),2*N3600*O3600,0)</f>
        <v/>
      </c>
      <c r="Z3600" s="12" t="inlineStr">
        <is>
          <t>fixture-to-fixture run included</t>
        </is>
      </c>
      <c r="AA3600" s="12">
        <f>N3600*O3600</f>
        <v/>
      </c>
    </row>
    <row r="3601">
      <c r="A3601" s="12" t="inlineStr">
        <is>
          <t>G-P-0186</t>
        </is>
      </c>
      <c r="B3601" s="12" t="inlineStr">
        <is>
          <t>G</t>
        </is>
      </c>
      <c r="C3601" s="12" t="inlineStr">
        <is>
          <t>Carbon capture</t>
        </is>
      </c>
      <c r="D3601" s="12" t="inlineStr">
        <is>
          <t>Motor 1 of 2, 15 kW</t>
        </is>
      </c>
      <c r="E3601" s="12" t="inlineStr"/>
      <c r="F3601" s="12" t="inlineStr">
        <is>
          <t>CCS MV switchgear building (VFDs)</t>
        </is>
      </c>
      <c r="G3601" s="12" t="inlineStr">
        <is>
          <t>DMP-A</t>
        </is>
      </c>
      <c r="H3601" s="12" t="inlineStr">
        <is>
          <t>DMP-A: diverter / bypass damper</t>
        </is>
      </c>
      <c r="I3601" s="12" t="inlineStr">
        <is>
          <t>LV 600 V</t>
        </is>
      </c>
      <c r="J3601" s="12" t="inlineStr">
        <is>
          <t>Type TC-ER 600 V 3/C Cu XHHW-2 + ground, PVC jacket</t>
        </is>
      </c>
      <c r="K3601" s="12" t="inlineStr">
        <is>
          <t>LV|3/C+G|2</t>
        </is>
      </c>
      <c r="L3601" s="12" t="inlineStr">
        <is>
          <t>3/C+G</t>
        </is>
      </c>
      <c r="M3601" s="12" t="inlineStr">
        <is>
          <t>2</t>
        </is>
      </c>
      <c r="N3601" s="12" t="n">
        <v>1</v>
      </c>
      <c r="O3601" s="12" t="n">
        <v>1</v>
      </c>
      <c r="P3601" s="12" t="n">
        <v>480</v>
      </c>
      <c r="Q3601" s="12" t="n">
        <v>15</v>
      </c>
      <c r="R3601" s="12" t="n">
        <v>21.2</v>
      </c>
      <c r="S3601" s="12" t="inlineStr">
        <is>
          <t>Duct bank</t>
        </is>
      </c>
      <c r="T3601" s="16" t="n">
        <v>1436</v>
      </c>
      <c r="U3601" s="16" t="n">
        <v>124</v>
      </c>
      <c r="V3601" s="16">
        <f>ROUNDUP((T3601+U3601+2*'Read Me'!$B$13)*(1+'Read Me'!$B$12),-1)</f>
        <v/>
      </c>
      <c r="W3601" s="16">
        <f>V3601*N3601*O3601</f>
        <v/>
      </c>
      <c r="X3601" s="12">
        <f>IF(LEFT(I3601,2)="MV",2*N3601*IF(L3601="1/C",O3601,1),0)</f>
        <v/>
      </c>
      <c r="Y3601" s="12">
        <f>IF(OR(LEFT(K3601,4)="LVAX",LEFT(K3601,6)="MV15AX",LEFT(K3601,4)="CTAX",LEFT(K3601,2)="W|"),2*N3601*O3601,0)</f>
        <v/>
      </c>
      <c r="Z3601" s="12" t="inlineStr">
        <is>
          <t>VD 2.5 %</t>
        </is>
      </c>
      <c r="AA3601" s="12">
        <f>N3601*O3601</f>
        <v/>
      </c>
    </row>
    <row r="3602">
      <c r="A3602" s="12" t="inlineStr">
        <is>
          <t>G-P-0187</t>
        </is>
      </c>
      <c r="B3602" s="12" t="inlineStr">
        <is>
          <t>G</t>
        </is>
      </c>
      <c r="C3602" s="12" t="inlineStr">
        <is>
          <t>Carbon capture</t>
        </is>
      </c>
      <c r="D3602" s="12" t="inlineStr">
        <is>
          <t>Motor 2 of 2, 15 kW</t>
        </is>
      </c>
      <c r="E3602" s="12" t="inlineStr"/>
      <c r="F3602" s="12" t="inlineStr">
        <is>
          <t>CCS MV switchgear building (VFDs)</t>
        </is>
      </c>
      <c r="G3602" s="12" t="inlineStr">
        <is>
          <t>DMP-A</t>
        </is>
      </c>
      <c r="H3602" s="12" t="inlineStr">
        <is>
          <t>DMP-A: diverter / bypass damper</t>
        </is>
      </c>
      <c r="I3602" s="12" t="inlineStr">
        <is>
          <t>LV 600 V</t>
        </is>
      </c>
      <c r="J3602" s="12" t="inlineStr">
        <is>
          <t>Type TC-ER 600 V 3/C Cu XHHW-2 + ground, PVC jacket</t>
        </is>
      </c>
      <c r="K3602" s="12" t="inlineStr">
        <is>
          <t>LV|3/C+G|2</t>
        </is>
      </c>
      <c r="L3602" s="12" t="inlineStr">
        <is>
          <t>3/C+G</t>
        </is>
      </c>
      <c r="M3602" s="12" t="inlineStr">
        <is>
          <t>2</t>
        </is>
      </c>
      <c r="N3602" s="12" t="n">
        <v>1</v>
      </c>
      <c r="O3602" s="12" t="n">
        <v>1</v>
      </c>
      <c r="P3602" s="12" t="n">
        <v>480</v>
      </c>
      <c r="Q3602" s="12" t="n">
        <v>15</v>
      </c>
      <c r="R3602" s="12" t="n">
        <v>21.2</v>
      </c>
      <c r="S3602" s="12" t="inlineStr">
        <is>
          <t>Duct bank</t>
        </is>
      </c>
      <c r="T3602" s="16" t="n">
        <v>1436</v>
      </c>
      <c r="U3602" s="16" t="n">
        <v>124</v>
      </c>
      <c r="V3602" s="16">
        <f>ROUNDUP((T3602+U3602+2*'Read Me'!$B$13)*(1+'Read Me'!$B$12),-1)</f>
        <v/>
      </c>
      <c r="W3602" s="16">
        <f>V3602*N3602*O3602</f>
        <v/>
      </c>
      <c r="X3602" s="12">
        <f>IF(LEFT(I3602,2)="MV",2*N3602*IF(L3602="1/C",O3602,1),0)</f>
        <v/>
      </c>
      <c r="Y3602" s="12">
        <f>IF(OR(LEFT(K3602,4)="LVAX",LEFT(K3602,6)="MV15AX",LEFT(K3602,4)="CTAX",LEFT(K3602,2)="W|"),2*N3602*O3602,0)</f>
        <v/>
      </c>
      <c r="Z3602" s="12" t="inlineStr">
        <is>
          <t>VD 2.5 %</t>
        </is>
      </c>
      <c r="AA3602" s="12">
        <f>N3602*O3602</f>
        <v/>
      </c>
    </row>
    <row r="3603">
      <c r="A3603" s="12" t="inlineStr">
        <is>
          <t>G-P-0188</t>
        </is>
      </c>
      <c r="B3603" s="12" t="inlineStr">
        <is>
          <t>G</t>
        </is>
      </c>
      <c r="C3603" s="12" t="inlineStr">
        <is>
          <t>Carbon capture</t>
        </is>
      </c>
      <c r="D3603" s="12" t="inlineStr">
        <is>
          <t>Motor 1 of 2, 15 kW</t>
        </is>
      </c>
      <c r="E3603" s="12" t="inlineStr"/>
      <c r="F3603" s="12" t="inlineStr">
        <is>
          <t>CCS MV switchgear building (VFDs)</t>
        </is>
      </c>
      <c r="G3603" s="12" t="inlineStr">
        <is>
          <t>DMP-B</t>
        </is>
      </c>
      <c r="H3603" s="12" t="inlineStr">
        <is>
          <t>DMP-B: diverter / bypass damper</t>
        </is>
      </c>
      <c r="I3603" s="12" t="inlineStr">
        <is>
          <t>LV 600 V</t>
        </is>
      </c>
      <c r="J3603" s="12" t="inlineStr">
        <is>
          <t>Type TC-ER 600 V 3/C Cu XHHW-2 + ground, PVC jacket</t>
        </is>
      </c>
      <c r="K3603" s="12" t="inlineStr">
        <is>
          <t>LV|3/C+G|2</t>
        </is>
      </c>
      <c r="L3603" s="12" t="inlineStr">
        <is>
          <t>3/C+G</t>
        </is>
      </c>
      <c r="M3603" s="12" t="inlineStr">
        <is>
          <t>2</t>
        </is>
      </c>
      <c r="N3603" s="12" t="n">
        <v>1</v>
      </c>
      <c r="O3603" s="12" t="n">
        <v>1</v>
      </c>
      <c r="P3603" s="12" t="n">
        <v>480</v>
      </c>
      <c r="Q3603" s="12" t="n">
        <v>15</v>
      </c>
      <c r="R3603" s="12" t="n">
        <v>21.2</v>
      </c>
      <c r="S3603" s="12" t="inlineStr">
        <is>
          <t>Duct bank</t>
        </is>
      </c>
      <c r="T3603" s="16" t="n">
        <v>1280</v>
      </c>
      <c r="U3603" s="16" t="n">
        <v>120</v>
      </c>
      <c r="V3603" s="16">
        <f>ROUNDUP((T3603+U3603+2*'Read Me'!$B$13)*(1+'Read Me'!$B$12),-1)</f>
        <v/>
      </c>
      <c r="W3603" s="16">
        <f>V3603*N3603*O3603</f>
        <v/>
      </c>
      <c r="X3603" s="12">
        <f>IF(LEFT(I3603,2)="MV",2*N3603*IF(L3603="1/C",O3603,1),0)</f>
        <v/>
      </c>
      <c r="Y3603" s="12">
        <f>IF(OR(LEFT(K3603,4)="LVAX",LEFT(K3603,6)="MV15AX",LEFT(K3603,4)="CTAX",LEFT(K3603,2)="W|"),2*N3603*O3603,0)</f>
        <v/>
      </c>
      <c r="Z3603" s="12" t="inlineStr">
        <is>
          <t>VD 2.3 %</t>
        </is>
      </c>
      <c r="AA3603" s="12">
        <f>N3603*O3603</f>
        <v/>
      </c>
    </row>
    <row r="3604">
      <c r="A3604" s="12" t="inlineStr">
        <is>
          <t>G-P-0189</t>
        </is>
      </c>
      <c r="B3604" s="12" t="inlineStr">
        <is>
          <t>G</t>
        </is>
      </c>
      <c r="C3604" s="12" t="inlineStr">
        <is>
          <t>Carbon capture</t>
        </is>
      </c>
      <c r="D3604" s="12" t="inlineStr">
        <is>
          <t>Motor 2 of 2, 15 kW</t>
        </is>
      </c>
      <c r="E3604" s="12" t="inlineStr"/>
      <c r="F3604" s="12" t="inlineStr">
        <is>
          <t>CCS MV switchgear building (VFDs)</t>
        </is>
      </c>
      <c r="G3604" s="12" t="inlineStr">
        <is>
          <t>DMP-B</t>
        </is>
      </c>
      <c r="H3604" s="12" t="inlineStr">
        <is>
          <t>DMP-B: diverter / bypass damper</t>
        </is>
      </c>
      <c r="I3604" s="12" t="inlineStr">
        <is>
          <t>LV 600 V</t>
        </is>
      </c>
      <c r="J3604" s="12" t="inlineStr">
        <is>
          <t>Type TC-ER 600 V 3/C Cu XHHW-2 + ground, PVC jacket</t>
        </is>
      </c>
      <c r="K3604" s="12" t="inlineStr">
        <is>
          <t>LV|3/C+G|2</t>
        </is>
      </c>
      <c r="L3604" s="12" t="inlineStr">
        <is>
          <t>3/C+G</t>
        </is>
      </c>
      <c r="M3604" s="12" t="inlineStr">
        <is>
          <t>2</t>
        </is>
      </c>
      <c r="N3604" s="12" t="n">
        <v>1</v>
      </c>
      <c r="O3604" s="12" t="n">
        <v>1</v>
      </c>
      <c r="P3604" s="12" t="n">
        <v>480</v>
      </c>
      <c r="Q3604" s="12" t="n">
        <v>15</v>
      </c>
      <c r="R3604" s="12" t="n">
        <v>21.2</v>
      </c>
      <c r="S3604" s="12" t="inlineStr">
        <is>
          <t>Duct bank</t>
        </is>
      </c>
      <c r="T3604" s="16" t="n">
        <v>1280</v>
      </c>
      <c r="U3604" s="16" t="n">
        <v>120</v>
      </c>
      <c r="V3604" s="16">
        <f>ROUNDUP((T3604+U3604+2*'Read Me'!$B$13)*(1+'Read Me'!$B$12),-1)</f>
        <v/>
      </c>
      <c r="W3604" s="16">
        <f>V3604*N3604*O3604</f>
        <v/>
      </c>
      <c r="X3604" s="12">
        <f>IF(LEFT(I3604,2)="MV",2*N3604*IF(L3604="1/C",O3604,1),0)</f>
        <v/>
      </c>
      <c r="Y3604" s="12">
        <f>IF(OR(LEFT(K3604,4)="LVAX",LEFT(K3604,6)="MV15AX",LEFT(K3604,4)="CTAX",LEFT(K3604,2)="W|"),2*N3604*O3604,0)</f>
        <v/>
      </c>
      <c r="Z3604" s="12" t="inlineStr">
        <is>
          <t>VD 2.3 %</t>
        </is>
      </c>
      <c r="AA3604" s="12">
        <f>N3604*O3604</f>
        <v/>
      </c>
    </row>
    <row r="3605">
      <c r="A3605" s="12" t="inlineStr">
        <is>
          <t>G-P-0190</t>
        </is>
      </c>
      <c r="B3605" s="12" t="inlineStr">
        <is>
          <t>G</t>
        </is>
      </c>
      <c r="C3605" s="12" t="inlineStr">
        <is>
          <t>Carbon capture</t>
        </is>
      </c>
      <c r="D3605" s="12" t="inlineStr">
        <is>
          <t>Motor 1 of 2, 15 kW</t>
        </is>
      </c>
      <c r="E3605" s="12" t="inlineStr"/>
      <c r="F3605" s="12" t="inlineStr">
        <is>
          <t>CCS MV switchgear building (VFDs)</t>
        </is>
      </c>
      <c r="G3605" s="12" t="inlineStr">
        <is>
          <t>DMP-C</t>
        </is>
      </c>
      <c r="H3605" s="12" t="inlineStr">
        <is>
          <t>DMP-C: diverter / bypass damper</t>
        </is>
      </c>
      <c r="I3605" s="12" t="inlineStr">
        <is>
          <t>LV 600 V</t>
        </is>
      </c>
      <c r="J3605" s="12" t="inlineStr">
        <is>
          <t>Type TC-ER 600 V 3/C Cu XHHW-2 + ground, PVC jacket</t>
        </is>
      </c>
      <c r="K3605" s="12" t="inlineStr">
        <is>
          <t>LV|3/C+G|2</t>
        </is>
      </c>
      <c r="L3605" s="12" t="inlineStr">
        <is>
          <t>3/C+G</t>
        </is>
      </c>
      <c r="M3605" s="12" t="inlineStr">
        <is>
          <t>2</t>
        </is>
      </c>
      <c r="N3605" s="12" t="n">
        <v>1</v>
      </c>
      <c r="O3605" s="12" t="n">
        <v>1</v>
      </c>
      <c r="P3605" s="12" t="n">
        <v>480</v>
      </c>
      <c r="Q3605" s="12" t="n">
        <v>15</v>
      </c>
      <c r="R3605" s="12" t="n">
        <v>21.2</v>
      </c>
      <c r="S3605" s="12" t="inlineStr">
        <is>
          <t>Duct bank</t>
        </is>
      </c>
      <c r="T3605" s="16" t="n">
        <v>1116</v>
      </c>
      <c r="U3605" s="16" t="n">
        <v>124</v>
      </c>
      <c r="V3605" s="16">
        <f>ROUNDUP((T3605+U3605+2*'Read Me'!$B$13)*(1+'Read Me'!$B$12),-1)</f>
        <v/>
      </c>
      <c r="W3605" s="16">
        <f>V3605*N3605*O3605</f>
        <v/>
      </c>
      <c r="X3605" s="12">
        <f>IF(LEFT(I3605,2)="MV",2*N3605*IF(L3605="1/C",O3605,1),0)</f>
        <v/>
      </c>
      <c r="Y3605" s="12">
        <f>IF(OR(LEFT(K3605,4)="LVAX",LEFT(K3605,6)="MV15AX",LEFT(K3605,4)="CTAX",LEFT(K3605,2)="W|"),2*N3605*O3605,0)</f>
        <v/>
      </c>
      <c r="Z3605" s="12" t="inlineStr">
        <is>
          <t>VD 2.0 %</t>
        </is>
      </c>
      <c r="AA3605" s="12">
        <f>N3605*O3605</f>
        <v/>
      </c>
    </row>
    <row r="3606">
      <c r="A3606" s="12" t="inlineStr">
        <is>
          <t>G-P-0191</t>
        </is>
      </c>
      <c r="B3606" s="12" t="inlineStr">
        <is>
          <t>G</t>
        </is>
      </c>
      <c r="C3606" s="12" t="inlineStr">
        <is>
          <t>Carbon capture</t>
        </is>
      </c>
      <c r="D3606" s="12" t="inlineStr">
        <is>
          <t>Motor 2 of 2, 15 kW</t>
        </is>
      </c>
      <c r="E3606" s="12" t="inlineStr"/>
      <c r="F3606" s="12" t="inlineStr">
        <is>
          <t>CCS MV switchgear building (VFDs)</t>
        </is>
      </c>
      <c r="G3606" s="12" t="inlineStr">
        <is>
          <t>DMP-C</t>
        </is>
      </c>
      <c r="H3606" s="12" t="inlineStr">
        <is>
          <t>DMP-C: diverter / bypass damper</t>
        </is>
      </c>
      <c r="I3606" s="12" t="inlineStr">
        <is>
          <t>LV 600 V</t>
        </is>
      </c>
      <c r="J3606" s="12" t="inlineStr">
        <is>
          <t>Type TC-ER 600 V 3/C Cu XHHW-2 + ground, PVC jacket</t>
        </is>
      </c>
      <c r="K3606" s="12" t="inlineStr">
        <is>
          <t>LV|3/C+G|2</t>
        </is>
      </c>
      <c r="L3606" s="12" t="inlineStr">
        <is>
          <t>3/C+G</t>
        </is>
      </c>
      <c r="M3606" s="12" t="inlineStr">
        <is>
          <t>2</t>
        </is>
      </c>
      <c r="N3606" s="12" t="n">
        <v>1</v>
      </c>
      <c r="O3606" s="12" t="n">
        <v>1</v>
      </c>
      <c r="P3606" s="12" t="n">
        <v>480</v>
      </c>
      <c r="Q3606" s="12" t="n">
        <v>15</v>
      </c>
      <c r="R3606" s="12" t="n">
        <v>21.2</v>
      </c>
      <c r="S3606" s="12" t="inlineStr">
        <is>
          <t>Duct bank</t>
        </is>
      </c>
      <c r="T3606" s="16" t="n">
        <v>1116</v>
      </c>
      <c r="U3606" s="16" t="n">
        <v>124</v>
      </c>
      <c r="V3606" s="16">
        <f>ROUNDUP((T3606+U3606+2*'Read Me'!$B$13)*(1+'Read Me'!$B$12),-1)</f>
        <v/>
      </c>
      <c r="W3606" s="16">
        <f>V3606*N3606*O3606</f>
        <v/>
      </c>
      <c r="X3606" s="12">
        <f>IF(LEFT(I3606,2)="MV",2*N3606*IF(L3606="1/C",O3606,1),0)</f>
        <v/>
      </c>
      <c r="Y3606" s="12">
        <f>IF(OR(LEFT(K3606,4)="LVAX",LEFT(K3606,6)="MV15AX",LEFT(K3606,4)="CTAX",LEFT(K3606,2)="W|"),2*N3606*O3606,0)</f>
        <v/>
      </c>
      <c r="Z3606" s="12" t="inlineStr">
        <is>
          <t>VD 2.0 %</t>
        </is>
      </c>
      <c r="AA3606" s="12">
        <f>N3606*O3606</f>
        <v/>
      </c>
    </row>
    <row r="3607">
      <c r="A3607" s="12" t="inlineStr">
        <is>
          <t>G-P-0192</t>
        </is>
      </c>
      <c r="B3607" s="12" t="inlineStr">
        <is>
          <t>G</t>
        </is>
      </c>
      <c r="C3607" s="12" t="inlineStr">
        <is>
          <t>Carbon capture</t>
        </is>
      </c>
      <c r="D3607" s="12" t="inlineStr">
        <is>
          <t>MOV 1: power</t>
        </is>
      </c>
      <c r="E3607" s="12" t="inlineStr"/>
      <c r="F3607" s="12" t="inlineStr">
        <is>
          <t>CCS MV switchgear building (VFDs)</t>
        </is>
      </c>
      <c r="G3607" s="12" t="inlineStr"/>
      <c r="H3607" s="12" t="inlineStr">
        <is>
          <t>RB-A: reboiler (LP steam from ST extraction)</t>
        </is>
      </c>
      <c r="I3607" s="12" t="inlineStr">
        <is>
          <t>LV 600 V</t>
        </is>
      </c>
      <c r="J3607" s="12" t="inlineStr">
        <is>
          <t>Type TC-ER 600 V 3/C Cu XHHW-2 + ground, PVC jacket</t>
        </is>
      </c>
      <c r="K3607" s="12" t="inlineStr">
        <is>
          <t>LV|3/C+G|10</t>
        </is>
      </c>
      <c r="L3607" s="12" t="inlineStr">
        <is>
          <t>3/C+G</t>
        </is>
      </c>
      <c r="M3607" s="12" t="inlineStr">
        <is>
          <t>10</t>
        </is>
      </c>
      <c r="N3607" s="12" t="n">
        <v>1</v>
      </c>
      <c r="O3607" s="12" t="n">
        <v>1</v>
      </c>
      <c r="P3607" s="12" t="n">
        <v>480</v>
      </c>
      <c r="Q3607" s="12" t="n">
        <v>2.5</v>
      </c>
      <c r="R3607" s="12" t="n">
        <v>3.5</v>
      </c>
      <c r="S3607" s="12" t="inlineStr">
        <is>
          <t>Duct bank</t>
        </is>
      </c>
      <c r="T3607" s="16" t="n">
        <v>50</v>
      </c>
      <c r="U3607" s="16" t="n">
        <v>37</v>
      </c>
      <c r="V3607" s="16">
        <f>ROUNDUP((T3607+U3607+2*'Read Me'!$B$13)*(1+'Read Me'!$B$12),-1)</f>
        <v/>
      </c>
      <c r="W3607" s="16">
        <f>V3607*N3607*O3607</f>
        <v/>
      </c>
      <c r="X3607" s="12">
        <f>IF(LEFT(I3607,2)="MV",2*N3607*IF(L3607="1/C",O3607,1),0)</f>
        <v/>
      </c>
      <c r="Y3607" s="12">
        <f>IF(OR(LEFT(K3607,4)="LVAX",LEFT(K3607,6)="MV15AX",LEFT(K3607,4)="CTAX",LEFT(K3607,2)="W|"),2*N3607*O3607,0)</f>
        <v/>
      </c>
      <c r="Z3607" s="12" t="inlineStr">
        <is>
          <t>VD 0.1 %</t>
        </is>
      </c>
      <c r="AA3607" s="12">
        <f>N3607*O3607</f>
        <v/>
      </c>
    </row>
    <row r="3608">
      <c r="A3608" s="12" t="inlineStr">
        <is>
          <t>G-P-0193</t>
        </is>
      </c>
      <c r="B3608" s="12" t="inlineStr">
        <is>
          <t>G</t>
        </is>
      </c>
      <c r="C3608" s="12" t="inlineStr">
        <is>
          <t>Carbon capture</t>
        </is>
      </c>
      <c r="D3608" s="12" t="inlineStr">
        <is>
          <t>MOV 2: power</t>
        </is>
      </c>
      <c r="E3608" s="12" t="inlineStr"/>
      <c r="F3608" s="12" t="inlineStr">
        <is>
          <t>CCS MV switchgear building (VFDs)</t>
        </is>
      </c>
      <c r="G3608" s="12" t="inlineStr"/>
      <c r="H3608" s="12" t="inlineStr">
        <is>
          <t>RB-A: reboiler (LP steam from ST extraction)</t>
        </is>
      </c>
      <c r="I3608" s="12" t="inlineStr">
        <is>
          <t>LV 600 V</t>
        </is>
      </c>
      <c r="J3608" s="12" t="inlineStr">
        <is>
          <t>Type TC-ER 600 V 3/C Cu XHHW-2 + ground, PVC jacket</t>
        </is>
      </c>
      <c r="K3608" s="12" t="inlineStr">
        <is>
          <t>LV|3/C+G|10</t>
        </is>
      </c>
      <c r="L3608" s="12" t="inlineStr">
        <is>
          <t>3/C+G</t>
        </is>
      </c>
      <c r="M3608" s="12" t="inlineStr">
        <is>
          <t>10</t>
        </is>
      </c>
      <c r="N3608" s="12" t="n">
        <v>1</v>
      </c>
      <c r="O3608" s="12" t="n">
        <v>1</v>
      </c>
      <c r="P3608" s="12" t="n">
        <v>480</v>
      </c>
      <c r="Q3608" s="12" t="n">
        <v>2.5</v>
      </c>
      <c r="R3608" s="12" t="n">
        <v>3.5</v>
      </c>
      <c r="S3608" s="12" t="inlineStr">
        <is>
          <t>Duct bank</t>
        </is>
      </c>
      <c r="T3608" s="16" t="n">
        <v>50</v>
      </c>
      <c r="U3608" s="16" t="n">
        <v>37</v>
      </c>
      <c r="V3608" s="16">
        <f>ROUNDUP((T3608+U3608+2*'Read Me'!$B$13)*(1+'Read Me'!$B$12),-1)</f>
        <v/>
      </c>
      <c r="W3608" s="16">
        <f>V3608*N3608*O3608</f>
        <v/>
      </c>
      <c r="X3608" s="12">
        <f>IF(LEFT(I3608,2)="MV",2*N3608*IF(L3608="1/C",O3608,1),0)</f>
        <v/>
      </c>
      <c r="Y3608" s="12">
        <f>IF(OR(LEFT(K3608,4)="LVAX",LEFT(K3608,6)="MV15AX",LEFT(K3608,4)="CTAX",LEFT(K3608,2)="W|"),2*N3608*O3608,0)</f>
        <v/>
      </c>
      <c r="Z3608" s="12" t="inlineStr">
        <is>
          <t>VD 0.1 %</t>
        </is>
      </c>
      <c r="AA3608" s="12">
        <f>N3608*O3608</f>
        <v/>
      </c>
    </row>
    <row r="3609">
      <c r="A3609" s="12" t="inlineStr">
        <is>
          <t>G-P-0194</t>
        </is>
      </c>
      <c r="B3609" s="12" t="inlineStr">
        <is>
          <t>G</t>
        </is>
      </c>
      <c r="C3609" s="12" t="inlineStr">
        <is>
          <t>Carbon capture</t>
        </is>
      </c>
      <c r="D3609" s="12" t="inlineStr">
        <is>
          <t>MOV 3: power</t>
        </is>
      </c>
      <c r="E3609" s="12" t="inlineStr"/>
      <c r="F3609" s="12" t="inlineStr">
        <is>
          <t>CCS MV switchgear building (VFDs)</t>
        </is>
      </c>
      <c r="G3609" s="12" t="inlineStr"/>
      <c r="H3609" s="12" t="inlineStr">
        <is>
          <t>RB-A: reboiler (LP steam from ST extraction)</t>
        </is>
      </c>
      <c r="I3609" s="12" t="inlineStr">
        <is>
          <t>LV 600 V</t>
        </is>
      </c>
      <c r="J3609" s="12" t="inlineStr">
        <is>
          <t>Type TC-ER 600 V 3/C Cu XHHW-2 + ground, PVC jacket</t>
        </is>
      </c>
      <c r="K3609" s="12" t="inlineStr">
        <is>
          <t>LV|3/C+G|10</t>
        </is>
      </c>
      <c r="L3609" s="12" t="inlineStr">
        <is>
          <t>3/C+G</t>
        </is>
      </c>
      <c r="M3609" s="12" t="inlineStr">
        <is>
          <t>10</t>
        </is>
      </c>
      <c r="N3609" s="12" t="n">
        <v>1</v>
      </c>
      <c r="O3609" s="12" t="n">
        <v>1</v>
      </c>
      <c r="P3609" s="12" t="n">
        <v>480</v>
      </c>
      <c r="Q3609" s="12" t="n">
        <v>2.5</v>
      </c>
      <c r="R3609" s="12" t="n">
        <v>3.5</v>
      </c>
      <c r="S3609" s="12" t="inlineStr">
        <is>
          <t>Duct bank</t>
        </is>
      </c>
      <c r="T3609" s="16" t="n">
        <v>50</v>
      </c>
      <c r="U3609" s="16" t="n">
        <v>37</v>
      </c>
      <c r="V3609" s="16">
        <f>ROUNDUP((T3609+U3609+2*'Read Me'!$B$13)*(1+'Read Me'!$B$12),-1)</f>
        <v/>
      </c>
      <c r="W3609" s="16">
        <f>V3609*N3609*O3609</f>
        <v/>
      </c>
      <c r="X3609" s="12">
        <f>IF(LEFT(I3609,2)="MV",2*N3609*IF(L3609="1/C",O3609,1),0)</f>
        <v/>
      </c>
      <c r="Y3609" s="12">
        <f>IF(OR(LEFT(K3609,4)="LVAX",LEFT(K3609,6)="MV15AX",LEFT(K3609,4)="CTAX",LEFT(K3609,2)="W|"),2*N3609*O3609,0)</f>
        <v/>
      </c>
      <c r="Z3609" s="12" t="inlineStr">
        <is>
          <t>VD 0.1 %</t>
        </is>
      </c>
      <c r="AA3609" s="12">
        <f>N3609*O3609</f>
        <v/>
      </c>
    </row>
    <row r="3610">
      <c r="A3610" s="12" t="inlineStr">
        <is>
          <t>G-P-0195</t>
        </is>
      </c>
      <c r="B3610" s="12" t="inlineStr">
        <is>
          <t>G</t>
        </is>
      </c>
      <c r="C3610" s="12" t="inlineStr">
        <is>
          <t>Carbon capture</t>
        </is>
      </c>
      <c r="D3610" s="12" t="inlineStr">
        <is>
          <t>MOV 4: power</t>
        </is>
      </c>
      <c r="E3610" s="12" t="inlineStr"/>
      <c r="F3610" s="12" t="inlineStr">
        <is>
          <t>CCS MV switchgear building (VFDs)</t>
        </is>
      </c>
      <c r="G3610" s="12" t="inlineStr"/>
      <c r="H3610" s="12" t="inlineStr">
        <is>
          <t>RB-A: reboiler (LP steam from ST extraction)</t>
        </is>
      </c>
      <c r="I3610" s="12" t="inlineStr">
        <is>
          <t>LV 600 V</t>
        </is>
      </c>
      <c r="J3610" s="12" t="inlineStr">
        <is>
          <t>Type TC-ER 600 V 3/C Cu XHHW-2 + ground, PVC jacket</t>
        </is>
      </c>
      <c r="K3610" s="12" t="inlineStr">
        <is>
          <t>LV|3/C+G|10</t>
        </is>
      </c>
      <c r="L3610" s="12" t="inlineStr">
        <is>
          <t>3/C+G</t>
        </is>
      </c>
      <c r="M3610" s="12" t="inlineStr">
        <is>
          <t>10</t>
        </is>
      </c>
      <c r="N3610" s="12" t="n">
        <v>1</v>
      </c>
      <c r="O3610" s="12" t="n">
        <v>1</v>
      </c>
      <c r="P3610" s="12" t="n">
        <v>480</v>
      </c>
      <c r="Q3610" s="12" t="n">
        <v>2.5</v>
      </c>
      <c r="R3610" s="12" t="n">
        <v>3.5</v>
      </c>
      <c r="S3610" s="12" t="inlineStr">
        <is>
          <t>Duct bank</t>
        </is>
      </c>
      <c r="T3610" s="16" t="n">
        <v>50</v>
      </c>
      <c r="U3610" s="16" t="n">
        <v>37</v>
      </c>
      <c r="V3610" s="16">
        <f>ROUNDUP((T3610+U3610+2*'Read Me'!$B$13)*(1+'Read Me'!$B$12),-1)</f>
        <v/>
      </c>
      <c r="W3610" s="16">
        <f>V3610*N3610*O3610</f>
        <v/>
      </c>
      <c r="X3610" s="12">
        <f>IF(LEFT(I3610,2)="MV",2*N3610*IF(L3610="1/C",O3610,1),0)</f>
        <v/>
      </c>
      <c r="Y3610" s="12">
        <f>IF(OR(LEFT(K3610,4)="LVAX",LEFT(K3610,6)="MV15AX",LEFT(K3610,4)="CTAX",LEFT(K3610,2)="W|"),2*N3610*O3610,0)</f>
        <v/>
      </c>
      <c r="Z3610" s="12" t="inlineStr">
        <is>
          <t>VD 0.1 %</t>
        </is>
      </c>
      <c r="AA3610" s="12">
        <f>N3610*O3610</f>
        <v/>
      </c>
    </row>
    <row r="3611">
      <c r="A3611" s="12" t="inlineStr">
        <is>
          <t>G-P-0196</t>
        </is>
      </c>
      <c r="B3611" s="12" t="inlineStr">
        <is>
          <t>G</t>
        </is>
      </c>
      <c r="C3611" s="12" t="inlineStr">
        <is>
          <t>Carbon capture</t>
        </is>
      </c>
      <c r="D3611" s="12" t="inlineStr">
        <is>
          <t>LV power feeder</t>
        </is>
      </c>
      <c r="E3611" s="12" t="inlineStr"/>
      <c r="F3611" s="12" t="inlineStr">
        <is>
          <t>CCS MV switchgear building (VFDs)</t>
        </is>
      </c>
      <c r="G3611" s="12" t="inlineStr"/>
      <c r="H3611" s="12" t="inlineStr">
        <is>
          <t>RB-A: reboiler (LP steam from ST extraction)</t>
        </is>
      </c>
      <c r="I3611" s="12" t="inlineStr">
        <is>
          <t>LV 600 V</t>
        </is>
      </c>
      <c r="J3611" s="12" t="inlineStr">
        <is>
          <t>Type TC-ER 600 V 3/C Cu XHHW-2 + ground, PVC jacket</t>
        </is>
      </c>
      <c r="K3611" s="12" t="inlineStr">
        <is>
          <t>LV|3/C+G|10</t>
        </is>
      </c>
      <c r="L3611" s="12" t="inlineStr">
        <is>
          <t>3/C+G</t>
        </is>
      </c>
      <c r="M3611" s="12" t="inlineStr">
        <is>
          <t>10</t>
        </is>
      </c>
      <c r="N3611" s="12" t="n">
        <v>1</v>
      </c>
      <c r="O3611" s="12" t="n">
        <v>1</v>
      </c>
      <c r="P3611" s="12" t="n">
        <v>480</v>
      </c>
      <c r="Q3611" s="12" t="n">
        <v>10</v>
      </c>
      <c r="R3611" s="12" t="n">
        <v>14.2</v>
      </c>
      <c r="S3611" s="12" t="inlineStr">
        <is>
          <t>Duct bank</t>
        </is>
      </c>
      <c r="T3611" s="16" t="n">
        <v>50</v>
      </c>
      <c r="U3611" s="16" t="n">
        <v>37</v>
      </c>
      <c r="V3611" s="16">
        <f>ROUNDUP((T3611+U3611+2*'Read Me'!$B$13)*(1+'Read Me'!$B$12),-1)</f>
        <v/>
      </c>
      <c r="W3611" s="16">
        <f>V3611*N3611*O3611</f>
        <v/>
      </c>
      <c r="X3611" s="12">
        <f>IF(LEFT(I3611,2)="MV",2*N3611*IF(L3611="1/C",O3611,1),0)</f>
        <v/>
      </c>
      <c r="Y3611" s="12">
        <f>IF(OR(LEFT(K3611,4)="LVAX",LEFT(K3611,6)="MV15AX",LEFT(K3611,4)="CTAX",LEFT(K3611,2)="W|"),2*N3611*O3611,0)</f>
        <v/>
      </c>
      <c r="Z3611" s="12" t="inlineStr">
        <is>
          <t>VD 0.6 %</t>
        </is>
      </c>
      <c r="AA3611" s="12">
        <f>N3611*O3611</f>
        <v/>
      </c>
    </row>
    <row r="3612">
      <c r="A3612" s="12" t="inlineStr">
        <is>
          <t>G-P-0197</t>
        </is>
      </c>
      <c r="B3612" s="12" t="inlineStr">
        <is>
          <t>G</t>
        </is>
      </c>
      <c r="C3612" s="12" t="inlineStr">
        <is>
          <t>Carbon capture</t>
        </is>
      </c>
      <c r="D3612" s="12" t="inlineStr">
        <is>
          <t>MOV 1: power</t>
        </is>
      </c>
      <c r="E3612" s="12" t="inlineStr"/>
      <c r="F3612" s="12" t="inlineStr">
        <is>
          <t>CCS MV switchgear building (VFDs)</t>
        </is>
      </c>
      <c r="G3612" s="12" t="inlineStr"/>
      <c r="H3612" s="12" t="inlineStr">
        <is>
          <t>RB-B: reboiler (LP steam from ST extraction)</t>
        </is>
      </c>
      <c r="I3612" s="12" t="inlineStr">
        <is>
          <t>LV 600 V</t>
        </is>
      </c>
      <c r="J3612" s="12" t="inlineStr">
        <is>
          <t>Type TC-ER 600 V 3/C Cu XHHW-2 + ground, PVC jacket</t>
        </is>
      </c>
      <c r="K3612" s="12" t="inlineStr">
        <is>
          <t>LV|3/C+G|10</t>
        </is>
      </c>
      <c r="L3612" s="12" t="inlineStr">
        <is>
          <t>3/C+G</t>
        </is>
      </c>
      <c r="M3612" s="12" t="inlineStr">
        <is>
          <t>10</t>
        </is>
      </c>
      <c r="N3612" s="12" t="n">
        <v>1</v>
      </c>
      <c r="O3612" s="12" t="n">
        <v>1</v>
      </c>
      <c r="P3612" s="12" t="n">
        <v>480</v>
      </c>
      <c r="Q3612" s="12" t="n">
        <v>2.5</v>
      </c>
      <c r="R3612" s="12" t="n">
        <v>3.5</v>
      </c>
      <c r="S3612" s="12" t="inlineStr">
        <is>
          <t>Duct bank</t>
        </is>
      </c>
      <c r="T3612" s="16" t="n">
        <v>83</v>
      </c>
      <c r="U3612" s="16" t="n">
        <v>42</v>
      </c>
      <c r="V3612" s="16">
        <f>ROUNDUP((T3612+U3612+2*'Read Me'!$B$13)*(1+'Read Me'!$B$12),-1)</f>
        <v/>
      </c>
      <c r="W3612" s="16">
        <f>V3612*N3612*O3612</f>
        <v/>
      </c>
      <c r="X3612" s="12">
        <f>IF(LEFT(I3612,2)="MV",2*N3612*IF(L3612="1/C",O3612,1),0)</f>
        <v/>
      </c>
      <c r="Y3612" s="12">
        <f>IF(OR(LEFT(K3612,4)="LVAX",LEFT(K3612,6)="MV15AX",LEFT(K3612,4)="CTAX",LEFT(K3612,2)="W|"),2*N3612*O3612,0)</f>
        <v/>
      </c>
      <c r="Z3612" s="12" t="inlineStr">
        <is>
          <t>VD 0.2 %</t>
        </is>
      </c>
      <c r="AA3612" s="12">
        <f>N3612*O3612</f>
        <v/>
      </c>
    </row>
    <row r="3613">
      <c r="A3613" s="12" t="inlineStr">
        <is>
          <t>G-P-0198</t>
        </is>
      </c>
      <c r="B3613" s="12" t="inlineStr">
        <is>
          <t>G</t>
        </is>
      </c>
      <c r="C3613" s="12" t="inlineStr">
        <is>
          <t>Carbon capture</t>
        </is>
      </c>
      <c r="D3613" s="12" t="inlineStr">
        <is>
          <t>MOV 2: power</t>
        </is>
      </c>
      <c r="E3613" s="12" t="inlineStr"/>
      <c r="F3613" s="12" t="inlineStr">
        <is>
          <t>CCS MV switchgear building (VFDs)</t>
        </is>
      </c>
      <c r="G3613" s="12" t="inlineStr"/>
      <c r="H3613" s="12" t="inlineStr">
        <is>
          <t>RB-B: reboiler (LP steam from ST extraction)</t>
        </is>
      </c>
      <c r="I3613" s="12" t="inlineStr">
        <is>
          <t>LV 600 V</t>
        </is>
      </c>
      <c r="J3613" s="12" t="inlineStr">
        <is>
          <t>Type TC-ER 600 V 3/C Cu XHHW-2 + ground, PVC jacket</t>
        </is>
      </c>
      <c r="K3613" s="12" t="inlineStr">
        <is>
          <t>LV|3/C+G|10</t>
        </is>
      </c>
      <c r="L3613" s="12" t="inlineStr">
        <is>
          <t>3/C+G</t>
        </is>
      </c>
      <c r="M3613" s="12" t="inlineStr">
        <is>
          <t>10</t>
        </is>
      </c>
      <c r="N3613" s="12" t="n">
        <v>1</v>
      </c>
      <c r="O3613" s="12" t="n">
        <v>1</v>
      </c>
      <c r="P3613" s="12" t="n">
        <v>480</v>
      </c>
      <c r="Q3613" s="12" t="n">
        <v>2.5</v>
      </c>
      <c r="R3613" s="12" t="n">
        <v>3.5</v>
      </c>
      <c r="S3613" s="12" t="inlineStr">
        <is>
          <t>Duct bank</t>
        </is>
      </c>
      <c r="T3613" s="16" t="n">
        <v>83</v>
      </c>
      <c r="U3613" s="16" t="n">
        <v>42</v>
      </c>
      <c r="V3613" s="16">
        <f>ROUNDUP((T3613+U3613+2*'Read Me'!$B$13)*(1+'Read Me'!$B$12),-1)</f>
        <v/>
      </c>
      <c r="W3613" s="16">
        <f>V3613*N3613*O3613</f>
        <v/>
      </c>
      <c r="X3613" s="12">
        <f>IF(LEFT(I3613,2)="MV",2*N3613*IF(L3613="1/C",O3613,1),0)</f>
        <v/>
      </c>
      <c r="Y3613" s="12">
        <f>IF(OR(LEFT(K3613,4)="LVAX",LEFT(K3613,6)="MV15AX",LEFT(K3613,4)="CTAX",LEFT(K3613,2)="W|"),2*N3613*O3613,0)</f>
        <v/>
      </c>
      <c r="Z3613" s="12" t="inlineStr">
        <is>
          <t>VD 0.2 %</t>
        </is>
      </c>
      <c r="AA3613" s="12">
        <f>N3613*O3613</f>
        <v/>
      </c>
    </row>
    <row r="3614">
      <c r="A3614" s="12" t="inlineStr">
        <is>
          <t>G-P-0199</t>
        </is>
      </c>
      <c r="B3614" s="12" t="inlineStr">
        <is>
          <t>G</t>
        </is>
      </c>
      <c r="C3614" s="12" t="inlineStr">
        <is>
          <t>Carbon capture</t>
        </is>
      </c>
      <c r="D3614" s="12" t="inlineStr">
        <is>
          <t>MOV 3: power</t>
        </is>
      </c>
      <c r="E3614" s="12" t="inlineStr"/>
      <c r="F3614" s="12" t="inlineStr">
        <is>
          <t>CCS MV switchgear building (VFDs)</t>
        </is>
      </c>
      <c r="G3614" s="12" t="inlineStr"/>
      <c r="H3614" s="12" t="inlineStr">
        <is>
          <t>RB-B: reboiler (LP steam from ST extraction)</t>
        </is>
      </c>
      <c r="I3614" s="12" t="inlineStr">
        <is>
          <t>LV 600 V</t>
        </is>
      </c>
      <c r="J3614" s="12" t="inlineStr">
        <is>
          <t>Type TC-ER 600 V 3/C Cu XHHW-2 + ground, PVC jacket</t>
        </is>
      </c>
      <c r="K3614" s="12" t="inlineStr">
        <is>
          <t>LV|3/C+G|10</t>
        </is>
      </c>
      <c r="L3614" s="12" t="inlineStr">
        <is>
          <t>3/C+G</t>
        </is>
      </c>
      <c r="M3614" s="12" t="inlineStr">
        <is>
          <t>10</t>
        </is>
      </c>
      <c r="N3614" s="12" t="n">
        <v>1</v>
      </c>
      <c r="O3614" s="12" t="n">
        <v>1</v>
      </c>
      <c r="P3614" s="12" t="n">
        <v>480</v>
      </c>
      <c r="Q3614" s="12" t="n">
        <v>2.5</v>
      </c>
      <c r="R3614" s="12" t="n">
        <v>3.5</v>
      </c>
      <c r="S3614" s="12" t="inlineStr">
        <is>
          <t>Duct bank</t>
        </is>
      </c>
      <c r="T3614" s="16" t="n">
        <v>83</v>
      </c>
      <c r="U3614" s="16" t="n">
        <v>42</v>
      </c>
      <c r="V3614" s="16">
        <f>ROUNDUP((T3614+U3614+2*'Read Me'!$B$13)*(1+'Read Me'!$B$12),-1)</f>
        <v/>
      </c>
      <c r="W3614" s="16">
        <f>V3614*N3614*O3614</f>
        <v/>
      </c>
      <c r="X3614" s="12">
        <f>IF(LEFT(I3614,2)="MV",2*N3614*IF(L3614="1/C",O3614,1),0)</f>
        <v/>
      </c>
      <c r="Y3614" s="12">
        <f>IF(OR(LEFT(K3614,4)="LVAX",LEFT(K3614,6)="MV15AX",LEFT(K3614,4)="CTAX",LEFT(K3614,2)="W|"),2*N3614*O3614,0)</f>
        <v/>
      </c>
      <c r="Z3614" s="12" t="inlineStr">
        <is>
          <t>VD 0.2 %</t>
        </is>
      </c>
      <c r="AA3614" s="12">
        <f>N3614*O3614</f>
        <v/>
      </c>
    </row>
    <row r="3615">
      <c r="A3615" s="12" t="inlineStr">
        <is>
          <t>G-P-0200</t>
        </is>
      </c>
      <c r="B3615" s="12" t="inlineStr">
        <is>
          <t>G</t>
        </is>
      </c>
      <c r="C3615" s="12" t="inlineStr">
        <is>
          <t>Carbon capture</t>
        </is>
      </c>
      <c r="D3615" s="12" t="inlineStr">
        <is>
          <t>MOV 4: power</t>
        </is>
      </c>
      <c r="E3615" s="12" t="inlineStr"/>
      <c r="F3615" s="12" t="inlineStr">
        <is>
          <t>CCS MV switchgear building (VFDs)</t>
        </is>
      </c>
      <c r="G3615" s="12" t="inlineStr"/>
      <c r="H3615" s="12" t="inlineStr">
        <is>
          <t>RB-B: reboiler (LP steam from ST extraction)</t>
        </is>
      </c>
      <c r="I3615" s="12" t="inlineStr">
        <is>
          <t>LV 600 V</t>
        </is>
      </c>
      <c r="J3615" s="12" t="inlineStr">
        <is>
          <t>Type TC-ER 600 V 3/C Cu XHHW-2 + ground, PVC jacket</t>
        </is>
      </c>
      <c r="K3615" s="12" t="inlineStr">
        <is>
          <t>LV|3/C+G|10</t>
        </is>
      </c>
      <c r="L3615" s="12" t="inlineStr">
        <is>
          <t>3/C+G</t>
        </is>
      </c>
      <c r="M3615" s="12" t="inlineStr">
        <is>
          <t>10</t>
        </is>
      </c>
      <c r="N3615" s="12" t="n">
        <v>1</v>
      </c>
      <c r="O3615" s="12" t="n">
        <v>1</v>
      </c>
      <c r="P3615" s="12" t="n">
        <v>480</v>
      </c>
      <c r="Q3615" s="12" t="n">
        <v>2.5</v>
      </c>
      <c r="R3615" s="12" t="n">
        <v>3.5</v>
      </c>
      <c r="S3615" s="12" t="inlineStr">
        <is>
          <t>Duct bank</t>
        </is>
      </c>
      <c r="T3615" s="16" t="n">
        <v>83</v>
      </c>
      <c r="U3615" s="16" t="n">
        <v>42</v>
      </c>
      <c r="V3615" s="16">
        <f>ROUNDUP((T3615+U3615+2*'Read Me'!$B$13)*(1+'Read Me'!$B$12),-1)</f>
        <v/>
      </c>
      <c r="W3615" s="16">
        <f>V3615*N3615*O3615</f>
        <v/>
      </c>
      <c r="X3615" s="12">
        <f>IF(LEFT(I3615,2)="MV",2*N3615*IF(L3615="1/C",O3615,1),0)</f>
        <v/>
      </c>
      <c r="Y3615" s="12">
        <f>IF(OR(LEFT(K3615,4)="LVAX",LEFT(K3615,6)="MV15AX",LEFT(K3615,4)="CTAX",LEFT(K3615,2)="W|"),2*N3615*O3615,0)</f>
        <v/>
      </c>
      <c r="Z3615" s="12" t="inlineStr">
        <is>
          <t>VD 0.2 %</t>
        </is>
      </c>
      <c r="AA3615" s="12">
        <f>N3615*O3615</f>
        <v/>
      </c>
    </row>
    <row r="3616">
      <c r="A3616" s="12" t="inlineStr">
        <is>
          <t>G-P-0201</t>
        </is>
      </c>
      <c r="B3616" s="12" t="inlineStr">
        <is>
          <t>G</t>
        </is>
      </c>
      <c r="C3616" s="12" t="inlineStr">
        <is>
          <t>Carbon capture</t>
        </is>
      </c>
      <c r="D3616" s="12" t="inlineStr">
        <is>
          <t>LV power feeder</t>
        </is>
      </c>
      <c r="E3616" s="12" t="inlineStr"/>
      <c r="F3616" s="12" t="inlineStr">
        <is>
          <t>CCS MV switchgear building (VFDs)</t>
        </is>
      </c>
      <c r="G3616" s="12" t="inlineStr"/>
      <c r="H3616" s="12" t="inlineStr">
        <is>
          <t>RB-B: reboiler (LP steam from ST extraction)</t>
        </is>
      </c>
      <c r="I3616" s="12" t="inlineStr">
        <is>
          <t>LV 600 V</t>
        </is>
      </c>
      <c r="J3616" s="12" t="inlineStr">
        <is>
          <t>Type TC-ER 600 V 3/C Cu XHHW-2 + ground, PVC jacket</t>
        </is>
      </c>
      <c r="K3616" s="12" t="inlineStr">
        <is>
          <t>LV|3/C+G|10</t>
        </is>
      </c>
      <c r="L3616" s="12" t="inlineStr">
        <is>
          <t>3/C+G</t>
        </is>
      </c>
      <c r="M3616" s="12" t="inlineStr">
        <is>
          <t>10</t>
        </is>
      </c>
      <c r="N3616" s="12" t="n">
        <v>1</v>
      </c>
      <c r="O3616" s="12" t="n">
        <v>1</v>
      </c>
      <c r="P3616" s="12" t="n">
        <v>480</v>
      </c>
      <c r="Q3616" s="12" t="n">
        <v>10</v>
      </c>
      <c r="R3616" s="12" t="n">
        <v>14.2</v>
      </c>
      <c r="S3616" s="12" t="inlineStr">
        <is>
          <t>Duct bank</t>
        </is>
      </c>
      <c r="T3616" s="16" t="n">
        <v>83</v>
      </c>
      <c r="U3616" s="16" t="n">
        <v>42</v>
      </c>
      <c r="V3616" s="16">
        <f>ROUNDUP((T3616+U3616+2*'Read Me'!$B$13)*(1+'Read Me'!$B$12),-1)</f>
        <v/>
      </c>
      <c r="W3616" s="16">
        <f>V3616*N3616*O3616</f>
        <v/>
      </c>
      <c r="X3616" s="12">
        <f>IF(LEFT(I3616,2)="MV",2*N3616*IF(L3616="1/C",O3616,1),0)</f>
        <v/>
      </c>
      <c r="Y3616" s="12">
        <f>IF(OR(LEFT(K3616,4)="LVAX",LEFT(K3616,6)="MV15AX",LEFT(K3616,4)="CTAX",LEFT(K3616,2)="W|"),2*N3616*O3616,0)</f>
        <v/>
      </c>
      <c r="Z3616" s="12" t="inlineStr">
        <is>
          <t>VD 0.8 %</t>
        </is>
      </c>
      <c r="AA3616" s="12">
        <f>N3616*O3616</f>
        <v/>
      </c>
    </row>
    <row r="3617">
      <c r="A3617" s="12" t="inlineStr">
        <is>
          <t>G-P-0202</t>
        </is>
      </c>
      <c r="B3617" s="12" t="inlineStr">
        <is>
          <t>G</t>
        </is>
      </c>
      <c r="C3617" s="12" t="inlineStr">
        <is>
          <t>Carbon capture</t>
        </is>
      </c>
      <c r="D3617" s="12" t="inlineStr">
        <is>
          <t>MOV 1: power</t>
        </is>
      </c>
      <c r="E3617" s="12" t="inlineStr"/>
      <c r="F3617" s="12" t="inlineStr">
        <is>
          <t>CCS MV switchgear building (VFDs)</t>
        </is>
      </c>
      <c r="G3617" s="12" t="inlineStr"/>
      <c r="H3617" s="12" t="inlineStr">
        <is>
          <t>RB-C: reboiler (LP steam from ST extraction)</t>
        </is>
      </c>
      <c r="I3617" s="12" t="inlineStr">
        <is>
          <t>LV 600 V</t>
        </is>
      </c>
      <c r="J3617" s="12" t="inlineStr">
        <is>
          <t>Type TC-ER 600 V 3/C Cu XHHW-2 + ground, PVC jacket</t>
        </is>
      </c>
      <c r="K3617" s="12" t="inlineStr">
        <is>
          <t>LV|3/C+G|10</t>
        </is>
      </c>
      <c r="L3617" s="12" t="inlineStr">
        <is>
          <t>3/C+G</t>
        </is>
      </c>
      <c r="M3617" s="12" t="inlineStr">
        <is>
          <t>10</t>
        </is>
      </c>
      <c r="N3617" s="12" t="n">
        <v>1</v>
      </c>
      <c r="O3617" s="12" t="n">
        <v>1</v>
      </c>
      <c r="P3617" s="12" t="n">
        <v>480</v>
      </c>
      <c r="Q3617" s="12" t="n">
        <v>2.5</v>
      </c>
      <c r="R3617" s="12" t="n">
        <v>3.5</v>
      </c>
      <c r="S3617" s="12" t="inlineStr">
        <is>
          <t>Duct bank</t>
        </is>
      </c>
      <c r="T3617" s="16" t="n">
        <v>45</v>
      </c>
      <c r="U3617" s="16" t="n">
        <v>47</v>
      </c>
      <c r="V3617" s="16">
        <f>ROUNDUP((T3617+U3617+2*'Read Me'!$B$13)*(1+'Read Me'!$B$12),-1)</f>
        <v/>
      </c>
      <c r="W3617" s="16">
        <f>V3617*N3617*O3617</f>
        <v/>
      </c>
      <c r="X3617" s="12">
        <f>IF(LEFT(I3617,2)="MV",2*N3617*IF(L3617="1/C",O3617,1),0)</f>
        <v/>
      </c>
      <c r="Y3617" s="12">
        <f>IF(OR(LEFT(K3617,4)="LVAX",LEFT(K3617,6)="MV15AX",LEFT(K3617,4)="CTAX",LEFT(K3617,2)="W|"),2*N3617*O3617,0)</f>
        <v/>
      </c>
      <c r="Z3617" s="12" t="inlineStr">
        <is>
          <t>VD 0.2 %</t>
        </is>
      </c>
      <c r="AA3617" s="12">
        <f>N3617*O3617</f>
        <v/>
      </c>
    </row>
    <row r="3618">
      <c r="A3618" s="12" t="inlineStr">
        <is>
          <t>G-P-0203</t>
        </is>
      </c>
      <c r="B3618" s="12" t="inlineStr">
        <is>
          <t>G</t>
        </is>
      </c>
      <c r="C3618" s="12" t="inlineStr">
        <is>
          <t>Carbon capture</t>
        </is>
      </c>
      <c r="D3618" s="12" t="inlineStr">
        <is>
          <t>MOV 2: power</t>
        </is>
      </c>
      <c r="E3618" s="12" t="inlineStr"/>
      <c r="F3618" s="12" t="inlineStr">
        <is>
          <t>CCS MV switchgear building (VFDs)</t>
        </is>
      </c>
      <c r="G3618" s="12" t="inlineStr"/>
      <c r="H3618" s="12" t="inlineStr">
        <is>
          <t>RB-C: reboiler (LP steam from ST extraction)</t>
        </is>
      </c>
      <c r="I3618" s="12" t="inlineStr">
        <is>
          <t>LV 600 V</t>
        </is>
      </c>
      <c r="J3618" s="12" t="inlineStr">
        <is>
          <t>Type TC-ER 600 V 3/C Cu XHHW-2 + ground, PVC jacket</t>
        </is>
      </c>
      <c r="K3618" s="12" t="inlineStr">
        <is>
          <t>LV|3/C+G|10</t>
        </is>
      </c>
      <c r="L3618" s="12" t="inlineStr">
        <is>
          <t>3/C+G</t>
        </is>
      </c>
      <c r="M3618" s="12" t="inlineStr">
        <is>
          <t>10</t>
        </is>
      </c>
      <c r="N3618" s="12" t="n">
        <v>1</v>
      </c>
      <c r="O3618" s="12" t="n">
        <v>1</v>
      </c>
      <c r="P3618" s="12" t="n">
        <v>480</v>
      </c>
      <c r="Q3618" s="12" t="n">
        <v>2.5</v>
      </c>
      <c r="R3618" s="12" t="n">
        <v>3.5</v>
      </c>
      <c r="S3618" s="12" t="inlineStr">
        <is>
          <t>Duct bank</t>
        </is>
      </c>
      <c r="T3618" s="16" t="n">
        <v>45</v>
      </c>
      <c r="U3618" s="16" t="n">
        <v>47</v>
      </c>
      <c r="V3618" s="16">
        <f>ROUNDUP((T3618+U3618+2*'Read Me'!$B$13)*(1+'Read Me'!$B$12),-1)</f>
        <v/>
      </c>
      <c r="W3618" s="16">
        <f>V3618*N3618*O3618</f>
        <v/>
      </c>
      <c r="X3618" s="12">
        <f>IF(LEFT(I3618,2)="MV",2*N3618*IF(L3618="1/C",O3618,1),0)</f>
        <v/>
      </c>
      <c r="Y3618" s="12">
        <f>IF(OR(LEFT(K3618,4)="LVAX",LEFT(K3618,6)="MV15AX",LEFT(K3618,4)="CTAX",LEFT(K3618,2)="W|"),2*N3618*O3618,0)</f>
        <v/>
      </c>
      <c r="Z3618" s="12" t="inlineStr">
        <is>
          <t>VD 0.2 %</t>
        </is>
      </c>
      <c r="AA3618" s="12">
        <f>N3618*O3618</f>
        <v/>
      </c>
    </row>
    <row r="3619">
      <c r="A3619" s="12" t="inlineStr">
        <is>
          <t>G-P-0204</t>
        </is>
      </c>
      <c r="B3619" s="12" t="inlineStr">
        <is>
          <t>G</t>
        </is>
      </c>
      <c r="C3619" s="12" t="inlineStr">
        <is>
          <t>Carbon capture</t>
        </is>
      </c>
      <c r="D3619" s="12" t="inlineStr">
        <is>
          <t>MOV 3: power</t>
        </is>
      </c>
      <c r="E3619" s="12" t="inlineStr"/>
      <c r="F3619" s="12" t="inlineStr">
        <is>
          <t>CCS MV switchgear building (VFDs)</t>
        </is>
      </c>
      <c r="G3619" s="12" t="inlineStr"/>
      <c r="H3619" s="12" t="inlineStr">
        <is>
          <t>RB-C: reboiler (LP steam from ST extraction)</t>
        </is>
      </c>
      <c r="I3619" s="12" t="inlineStr">
        <is>
          <t>LV 600 V</t>
        </is>
      </c>
      <c r="J3619" s="12" t="inlineStr">
        <is>
          <t>Type TC-ER 600 V 3/C Cu XHHW-2 + ground, PVC jacket</t>
        </is>
      </c>
      <c r="K3619" s="12" t="inlineStr">
        <is>
          <t>LV|3/C+G|10</t>
        </is>
      </c>
      <c r="L3619" s="12" t="inlineStr">
        <is>
          <t>3/C+G</t>
        </is>
      </c>
      <c r="M3619" s="12" t="inlineStr">
        <is>
          <t>10</t>
        </is>
      </c>
      <c r="N3619" s="12" t="n">
        <v>1</v>
      </c>
      <c r="O3619" s="12" t="n">
        <v>1</v>
      </c>
      <c r="P3619" s="12" t="n">
        <v>480</v>
      </c>
      <c r="Q3619" s="12" t="n">
        <v>2.5</v>
      </c>
      <c r="R3619" s="12" t="n">
        <v>3.5</v>
      </c>
      <c r="S3619" s="12" t="inlineStr">
        <is>
          <t>Duct bank</t>
        </is>
      </c>
      <c r="T3619" s="16" t="n">
        <v>45</v>
      </c>
      <c r="U3619" s="16" t="n">
        <v>47</v>
      </c>
      <c r="V3619" s="16">
        <f>ROUNDUP((T3619+U3619+2*'Read Me'!$B$13)*(1+'Read Me'!$B$12),-1)</f>
        <v/>
      </c>
      <c r="W3619" s="16">
        <f>V3619*N3619*O3619</f>
        <v/>
      </c>
      <c r="X3619" s="12">
        <f>IF(LEFT(I3619,2)="MV",2*N3619*IF(L3619="1/C",O3619,1),0)</f>
        <v/>
      </c>
      <c r="Y3619" s="12">
        <f>IF(OR(LEFT(K3619,4)="LVAX",LEFT(K3619,6)="MV15AX",LEFT(K3619,4)="CTAX",LEFT(K3619,2)="W|"),2*N3619*O3619,0)</f>
        <v/>
      </c>
      <c r="Z3619" s="12" t="inlineStr">
        <is>
          <t>VD 0.2 %</t>
        </is>
      </c>
      <c r="AA3619" s="12">
        <f>N3619*O3619</f>
        <v/>
      </c>
    </row>
    <row r="3620">
      <c r="A3620" s="12" t="inlineStr">
        <is>
          <t>G-P-0205</t>
        </is>
      </c>
      <c r="B3620" s="12" t="inlineStr">
        <is>
          <t>G</t>
        </is>
      </c>
      <c r="C3620" s="12" t="inlineStr">
        <is>
          <t>Carbon capture</t>
        </is>
      </c>
      <c r="D3620" s="12" t="inlineStr">
        <is>
          <t>MOV 4: power</t>
        </is>
      </c>
      <c r="E3620" s="12" t="inlineStr"/>
      <c r="F3620" s="12" t="inlineStr">
        <is>
          <t>CCS MV switchgear building (VFDs)</t>
        </is>
      </c>
      <c r="G3620" s="12" t="inlineStr"/>
      <c r="H3620" s="12" t="inlineStr">
        <is>
          <t>RB-C: reboiler (LP steam from ST extraction)</t>
        </is>
      </c>
      <c r="I3620" s="12" t="inlineStr">
        <is>
          <t>LV 600 V</t>
        </is>
      </c>
      <c r="J3620" s="12" t="inlineStr">
        <is>
          <t>Type TC-ER 600 V 3/C Cu XHHW-2 + ground, PVC jacket</t>
        </is>
      </c>
      <c r="K3620" s="12" t="inlineStr">
        <is>
          <t>LV|3/C+G|10</t>
        </is>
      </c>
      <c r="L3620" s="12" t="inlineStr">
        <is>
          <t>3/C+G</t>
        </is>
      </c>
      <c r="M3620" s="12" t="inlineStr">
        <is>
          <t>10</t>
        </is>
      </c>
      <c r="N3620" s="12" t="n">
        <v>1</v>
      </c>
      <c r="O3620" s="12" t="n">
        <v>1</v>
      </c>
      <c r="P3620" s="12" t="n">
        <v>480</v>
      </c>
      <c r="Q3620" s="12" t="n">
        <v>2.5</v>
      </c>
      <c r="R3620" s="12" t="n">
        <v>3.5</v>
      </c>
      <c r="S3620" s="12" t="inlineStr">
        <is>
          <t>Duct bank</t>
        </is>
      </c>
      <c r="T3620" s="16" t="n">
        <v>45</v>
      </c>
      <c r="U3620" s="16" t="n">
        <v>47</v>
      </c>
      <c r="V3620" s="16">
        <f>ROUNDUP((T3620+U3620+2*'Read Me'!$B$13)*(1+'Read Me'!$B$12),-1)</f>
        <v/>
      </c>
      <c r="W3620" s="16">
        <f>V3620*N3620*O3620</f>
        <v/>
      </c>
      <c r="X3620" s="12">
        <f>IF(LEFT(I3620,2)="MV",2*N3620*IF(L3620="1/C",O3620,1),0)</f>
        <v/>
      </c>
      <c r="Y3620" s="12">
        <f>IF(OR(LEFT(K3620,4)="LVAX",LEFT(K3620,6)="MV15AX",LEFT(K3620,4)="CTAX",LEFT(K3620,2)="W|"),2*N3620*O3620,0)</f>
        <v/>
      </c>
      <c r="Z3620" s="12" t="inlineStr">
        <is>
          <t>VD 0.2 %</t>
        </is>
      </c>
      <c r="AA3620" s="12">
        <f>N3620*O3620</f>
        <v/>
      </c>
    </row>
    <row r="3621">
      <c r="A3621" s="12" t="inlineStr">
        <is>
          <t>G-P-0206</t>
        </is>
      </c>
      <c r="B3621" s="12" t="inlineStr">
        <is>
          <t>G</t>
        </is>
      </c>
      <c r="C3621" s="12" t="inlineStr">
        <is>
          <t>Carbon capture</t>
        </is>
      </c>
      <c r="D3621" s="12" t="inlineStr">
        <is>
          <t>LV power feeder</t>
        </is>
      </c>
      <c r="E3621" s="12" t="inlineStr"/>
      <c r="F3621" s="12" t="inlineStr">
        <is>
          <t>CCS MV switchgear building (VFDs)</t>
        </is>
      </c>
      <c r="G3621" s="12" t="inlineStr"/>
      <c r="H3621" s="12" t="inlineStr">
        <is>
          <t>RB-C: reboiler (LP steam from ST extraction)</t>
        </is>
      </c>
      <c r="I3621" s="12" t="inlineStr">
        <is>
          <t>LV 600 V</t>
        </is>
      </c>
      <c r="J3621" s="12" t="inlineStr">
        <is>
          <t>Type TC-ER 600 V 3/C Cu XHHW-2 + ground, PVC jacket</t>
        </is>
      </c>
      <c r="K3621" s="12" t="inlineStr">
        <is>
          <t>LV|3/C+G|10</t>
        </is>
      </c>
      <c r="L3621" s="12" t="inlineStr">
        <is>
          <t>3/C+G</t>
        </is>
      </c>
      <c r="M3621" s="12" t="inlineStr">
        <is>
          <t>10</t>
        </is>
      </c>
      <c r="N3621" s="12" t="n">
        <v>1</v>
      </c>
      <c r="O3621" s="12" t="n">
        <v>1</v>
      </c>
      <c r="P3621" s="12" t="n">
        <v>480</v>
      </c>
      <c r="Q3621" s="12" t="n">
        <v>10</v>
      </c>
      <c r="R3621" s="12" t="n">
        <v>14.2</v>
      </c>
      <c r="S3621" s="12" t="inlineStr">
        <is>
          <t>Duct bank</t>
        </is>
      </c>
      <c r="T3621" s="16" t="n">
        <v>45</v>
      </c>
      <c r="U3621" s="16" t="n">
        <v>47</v>
      </c>
      <c r="V3621" s="16">
        <f>ROUNDUP((T3621+U3621+2*'Read Me'!$B$13)*(1+'Read Me'!$B$12),-1)</f>
        <v/>
      </c>
      <c r="W3621" s="16">
        <f>V3621*N3621*O3621</f>
        <v/>
      </c>
      <c r="X3621" s="12">
        <f>IF(LEFT(I3621,2)="MV",2*N3621*IF(L3621="1/C",O3621,1),0)</f>
        <v/>
      </c>
      <c r="Y3621" s="12">
        <f>IF(OR(LEFT(K3621,4)="LVAX",LEFT(K3621,6)="MV15AX",LEFT(K3621,4)="CTAX",LEFT(K3621,2)="W|"),2*N3621*O3621,0)</f>
        <v/>
      </c>
      <c r="Z3621" s="12" t="inlineStr">
        <is>
          <t>VD 0.6 %</t>
        </is>
      </c>
      <c r="AA3621" s="12">
        <f>N3621*O3621</f>
        <v/>
      </c>
    </row>
    <row r="3622">
      <c r="A3622" s="12" t="inlineStr">
        <is>
          <t>G-P-0207</t>
        </is>
      </c>
      <c r="B3622" s="12" t="inlineStr">
        <is>
          <t>G</t>
        </is>
      </c>
      <c r="C3622" s="12" t="inlineStr">
        <is>
          <t>Carbon capture</t>
        </is>
      </c>
      <c r="D3622" s="12" t="inlineStr">
        <is>
          <t>Motor 1 of 2, 15 kW</t>
        </is>
      </c>
      <c r="E3622" s="12" t="inlineStr"/>
      <c r="F3622" s="12" t="inlineStr">
        <is>
          <t>CCS MV switchgear building (VFDs)</t>
        </is>
      </c>
      <c r="G3622" s="12" t="inlineStr"/>
      <c r="H3622" s="12" t="inlineStr">
        <is>
          <t>Reclaimer (thermal, intermittent)</t>
        </is>
      </c>
      <c r="I3622" s="12" t="inlineStr">
        <is>
          <t>LV 600 V</t>
        </is>
      </c>
      <c r="J3622" s="12" t="inlineStr">
        <is>
          <t>Type TC-ER 600 V 3/C Cu XHHW-2 + ground, PVC jacket</t>
        </is>
      </c>
      <c r="K3622" s="12" t="inlineStr">
        <is>
          <t>LV|3/C+G|10</t>
        </is>
      </c>
      <c r="L3622" s="12" t="inlineStr">
        <is>
          <t>3/C+G</t>
        </is>
      </c>
      <c r="M3622" s="12" t="inlineStr">
        <is>
          <t>10</t>
        </is>
      </c>
      <c r="N3622" s="12" t="n">
        <v>1</v>
      </c>
      <c r="O3622" s="12" t="n">
        <v>1</v>
      </c>
      <c r="P3622" s="12" t="n">
        <v>480</v>
      </c>
      <c r="Q3622" s="12" t="n">
        <v>15</v>
      </c>
      <c r="R3622" s="12" t="n">
        <v>21.2</v>
      </c>
      <c r="S3622" s="12" t="inlineStr">
        <is>
          <t>Duct bank</t>
        </is>
      </c>
      <c r="T3622" s="16" t="n">
        <v>45</v>
      </c>
      <c r="U3622" s="16" t="n">
        <v>57</v>
      </c>
      <c r="V3622" s="16">
        <f>ROUNDUP((T3622+U3622+2*'Read Me'!$B$13)*(1+'Read Me'!$B$12),-1)</f>
        <v/>
      </c>
      <c r="W3622" s="16">
        <f>V3622*N3622*O3622</f>
        <v/>
      </c>
      <c r="X3622" s="12">
        <f>IF(LEFT(I3622,2)="MV",2*N3622*IF(L3622="1/C",O3622,1),0)</f>
        <v/>
      </c>
      <c r="Y3622" s="12">
        <f>IF(OR(LEFT(K3622,4)="LVAX",LEFT(K3622,6)="MV15AX",LEFT(K3622,4)="CTAX",LEFT(K3622,2)="W|"),2*N3622*O3622,0)</f>
        <v/>
      </c>
      <c r="Z3622" s="12" t="inlineStr">
        <is>
          <t>VD 1.0 %</t>
        </is>
      </c>
      <c r="AA3622" s="12">
        <f>N3622*O3622</f>
        <v/>
      </c>
    </row>
    <row r="3623">
      <c r="A3623" s="12" t="inlineStr">
        <is>
          <t>G-P-0208</t>
        </is>
      </c>
      <c r="B3623" s="12" t="inlineStr">
        <is>
          <t>G</t>
        </is>
      </c>
      <c r="C3623" s="12" t="inlineStr">
        <is>
          <t>Carbon capture</t>
        </is>
      </c>
      <c r="D3623" s="12" t="inlineStr">
        <is>
          <t>Motor 2 of 2, 15 kW</t>
        </is>
      </c>
      <c r="E3623" s="12" t="inlineStr"/>
      <c r="F3623" s="12" t="inlineStr">
        <is>
          <t>CCS MV switchgear building (VFDs)</t>
        </is>
      </c>
      <c r="G3623" s="12" t="inlineStr"/>
      <c r="H3623" s="12" t="inlineStr">
        <is>
          <t>Reclaimer (thermal, intermittent)</t>
        </is>
      </c>
      <c r="I3623" s="12" t="inlineStr">
        <is>
          <t>LV 600 V</t>
        </is>
      </c>
      <c r="J3623" s="12" t="inlineStr">
        <is>
          <t>Type TC-ER 600 V 3/C Cu XHHW-2 + ground, PVC jacket</t>
        </is>
      </c>
      <c r="K3623" s="12" t="inlineStr">
        <is>
          <t>LV|3/C+G|10</t>
        </is>
      </c>
      <c r="L3623" s="12" t="inlineStr">
        <is>
          <t>3/C+G</t>
        </is>
      </c>
      <c r="M3623" s="12" t="inlineStr">
        <is>
          <t>10</t>
        </is>
      </c>
      <c r="N3623" s="12" t="n">
        <v>1</v>
      </c>
      <c r="O3623" s="12" t="n">
        <v>1</v>
      </c>
      <c r="P3623" s="12" t="n">
        <v>480</v>
      </c>
      <c r="Q3623" s="12" t="n">
        <v>15</v>
      </c>
      <c r="R3623" s="12" t="n">
        <v>21.2</v>
      </c>
      <c r="S3623" s="12" t="inlineStr">
        <is>
          <t>Duct bank</t>
        </is>
      </c>
      <c r="T3623" s="16" t="n">
        <v>45</v>
      </c>
      <c r="U3623" s="16" t="n">
        <v>57</v>
      </c>
      <c r="V3623" s="16">
        <f>ROUNDUP((T3623+U3623+2*'Read Me'!$B$13)*(1+'Read Me'!$B$12),-1)</f>
        <v/>
      </c>
      <c r="W3623" s="16">
        <f>V3623*N3623*O3623</f>
        <v/>
      </c>
      <c r="X3623" s="12">
        <f>IF(LEFT(I3623,2)="MV",2*N3623*IF(L3623="1/C",O3623,1),0)</f>
        <v/>
      </c>
      <c r="Y3623" s="12">
        <f>IF(OR(LEFT(K3623,4)="LVAX",LEFT(K3623,6)="MV15AX",LEFT(K3623,4)="CTAX",LEFT(K3623,2)="W|"),2*N3623*O3623,0)</f>
        <v/>
      </c>
      <c r="Z3623" s="12" t="inlineStr">
        <is>
          <t>VD 1.0 %</t>
        </is>
      </c>
      <c r="AA3623" s="12">
        <f>N3623*O3623</f>
        <v/>
      </c>
    </row>
    <row r="3624">
      <c r="A3624" s="12" t="inlineStr">
        <is>
          <t>G-P-0209</t>
        </is>
      </c>
      <c r="B3624" s="12" t="inlineStr">
        <is>
          <t>G</t>
        </is>
      </c>
      <c r="C3624" s="12" t="inlineStr">
        <is>
          <t>Carbon capture</t>
        </is>
      </c>
      <c r="D3624" s="12" t="inlineStr">
        <is>
          <t>MOV 1: power</t>
        </is>
      </c>
      <c r="E3624" s="12" t="inlineStr"/>
      <c r="F3624" s="12" t="inlineStr">
        <is>
          <t>CCS MV switchgear building (VFDs)</t>
        </is>
      </c>
      <c r="G3624" s="12" t="inlineStr">
        <is>
          <t>STR-A</t>
        </is>
      </c>
      <c r="H3624" s="12" t="inlineStr">
        <is>
          <t>STR-A: stripper / regenerator (45 ft dia x 207 ft)</t>
        </is>
      </c>
      <c r="I3624" s="12" t="inlineStr">
        <is>
          <t>LV 600 V</t>
        </is>
      </c>
      <c r="J3624" s="12" t="inlineStr">
        <is>
          <t>Type TC-ER 600 V 3/C Cu XHHW-2 + ground, PVC jacket</t>
        </is>
      </c>
      <c r="K3624" s="12" t="inlineStr">
        <is>
          <t>LV|3/C+G|10</t>
        </is>
      </c>
      <c r="L3624" s="12" t="inlineStr">
        <is>
          <t>3/C+G</t>
        </is>
      </c>
      <c r="M3624" s="12" t="inlineStr">
        <is>
          <t>10</t>
        </is>
      </c>
      <c r="N3624" s="12" t="n">
        <v>1</v>
      </c>
      <c r="O3624" s="12" t="n">
        <v>1</v>
      </c>
      <c r="P3624" s="12" t="n">
        <v>480</v>
      </c>
      <c r="Q3624" s="12" t="n">
        <v>2.5</v>
      </c>
      <c r="R3624" s="12" t="n">
        <v>3.5</v>
      </c>
      <c r="S3624" s="12" t="inlineStr">
        <is>
          <t>Duct bank</t>
        </is>
      </c>
      <c r="T3624" s="16" t="n">
        <v>146</v>
      </c>
      <c r="U3624" s="16" t="n">
        <v>36</v>
      </c>
      <c r="V3624" s="16">
        <f>ROUNDUP((T3624+U3624+2*'Read Me'!$B$13)*(1+'Read Me'!$B$12),-1)</f>
        <v/>
      </c>
      <c r="W3624" s="16">
        <f>V3624*N3624*O3624</f>
        <v/>
      </c>
      <c r="X3624" s="12">
        <f>IF(LEFT(I3624,2)="MV",2*N3624*IF(L3624="1/C",O3624,1),0)</f>
        <v/>
      </c>
      <c r="Y3624" s="12">
        <f>IF(OR(LEFT(K3624,4)="LVAX",LEFT(K3624,6)="MV15AX",LEFT(K3624,4)="CTAX",LEFT(K3624,2)="W|"),2*N3624*O3624,0)</f>
        <v/>
      </c>
      <c r="Z3624" s="12" t="inlineStr">
        <is>
          <t>VD 0.3 %</t>
        </is>
      </c>
      <c r="AA3624" s="12">
        <f>N3624*O3624</f>
        <v/>
      </c>
    </row>
    <row r="3625">
      <c r="A3625" s="12" t="inlineStr">
        <is>
          <t>G-P-0210</t>
        </is>
      </c>
      <c r="B3625" s="12" t="inlineStr">
        <is>
          <t>G</t>
        </is>
      </c>
      <c r="C3625" s="12" t="inlineStr">
        <is>
          <t>Carbon capture</t>
        </is>
      </c>
      <c r="D3625" s="12" t="inlineStr">
        <is>
          <t>MOV 2: power</t>
        </is>
      </c>
      <c r="E3625" s="12" t="inlineStr"/>
      <c r="F3625" s="12" t="inlineStr">
        <is>
          <t>CCS MV switchgear building (VFDs)</t>
        </is>
      </c>
      <c r="G3625" s="12" t="inlineStr">
        <is>
          <t>STR-A</t>
        </is>
      </c>
      <c r="H3625" s="12" t="inlineStr">
        <is>
          <t>STR-A: stripper / regenerator (45 ft dia x 207 ft)</t>
        </is>
      </c>
      <c r="I3625" s="12" t="inlineStr">
        <is>
          <t>LV 600 V</t>
        </is>
      </c>
      <c r="J3625" s="12" t="inlineStr">
        <is>
          <t>Type TC-ER 600 V 3/C Cu XHHW-2 + ground, PVC jacket</t>
        </is>
      </c>
      <c r="K3625" s="12" t="inlineStr">
        <is>
          <t>LV|3/C+G|10</t>
        </is>
      </c>
      <c r="L3625" s="12" t="inlineStr">
        <is>
          <t>3/C+G</t>
        </is>
      </c>
      <c r="M3625" s="12" t="inlineStr">
        <is>
          <t>10</t>
        </is>
      </c>
      <c r="N3625" s="12" t="n">
        <v>1</v>
      </c>
      <c r="O3625" s="12" t="n">
        <v>1</v>
      </c>
      <c r="P3625" s="12" t="n">
        <v>480</v>
      </c>
      <c r="Q3625" s="12" t="n">
        <v>2.5</v>
      </c>
      <c r="R3625" s="12" t="n">
        <v>3.5</v>
      </c>
      <c r="S3625" s="12" t="inlineStr">
        <is>
          <t>Duct bank</t>
        </is>
      </c>
      <c r="T3625" s="16" t="n">
        <v>146</v>
      </c>
      <c r="U3625" s="16" t="n">
        <v>36</v>
      </c>
      <c r="V3625" s="16">
        <f>ROUNDUP((T3625+U3625+2*'Read Me'!$B$13)*(1+'Read Me'!$B$12),-1)</f>
        <v/>
      </c>
      <c r="W3625" s="16">
        <f>V3625*N3625*O3625</f>
        <v/>
      </c>
      <c r="X3625" s="12">
        <f>IF(LEFT(I3625,2)="MV",2*N3625*IF(L3625="1/C",O3625,1),0)</f>
        <v/>
      </c>
      <c r="Y3625" s="12">
        <f>IF(OR(LEFT(K3625,4)="LVAX",LEFT(K3625,6)="MV15AX",LEFT(K3625,4)="CTAX",LEFT(K3625,2)="W|"),2*N3625*O3625,0)</f>
        <v/>
      </c>
      <c r="Z3625" s="12" t="inlineStr">
        <is>
          <t>VD 0.3 %</t>
        </is>
      </c>
      <c r="AA3625" s="12">
        <f>N3625*O3625</f>
        <v/>
      </c>
    </row>
    <row r="3626">
      <c r="A3626" s="12" t="inlineStr">
        <is>
          <t>G-P-0211</t>
        </is>
      </c>
      <c r="B3626" s="12" t="inlineStr">
        <is>
          <t>G</t>
        </is>
      </c>
      <c r="C3626" s="12" t="inlineStr">
        <is>
          <t>Carbon capture</t>
        </is>
      </c>
      <c r="D3626" s="12" t="inlineStr">
        <is>
          <t>MOV 3: power</t>
        </is>
      </c>
      <c r="E3626" s="12" t="inlineStr"/>
      <c r="F3626" s="12" t="inlineStr">
        <is>
          <t>CCS MV switchgear building (VFDs)</t>
        </is>
      </c>
      <c r="G3626" s="12" t="inlineStr">
        <is>
          <t>STR-A</t>
        </is>
      </c>
      <c r="H3626" s="12" t="inlineStr">
        <is>
          <t>STR-A: stripper / regenerator (45 ft dia x 207 ft)</t>
        </is>
      </c>
      <c r="I3626" s="12" t="inlineStr">
        <is>
          <t>LV 600 V</t>
        </is>
      </c>
      <c r="J3626" s="12" t="inlineStr">
        <is>
          <t>Type TC-ER 600 V 3/C Cu XHHW-2 + ground, PVC jacket</t>
        </is>
      </c>
      <c r="K3626" s="12" t="inlineStr">
        <is>
          <t>LV|3/C+G|10</t>
        </is>
      </c>
      <c r="L3626" s="12" t="inlineStr">
        <is>
          <t>3/C+G</t>
        </is>
      </c>
      <c r="M3626" s="12" t="inlineStr">
        <is>
          <t>10</t>
        </is>
      </c>
      <c r="N3626" s="12" t="n">
        <v>1</v>
      </c>
      <c r="O3626" s="12" t="n">
        <v>1</v>
      </c>
      <c r="P3626" s="12" t="n">
        <v>480</v>
      </c>
      <c r="Q3626" s="12" t="n">
        <v>2.5</v>
      </c>
      <c r="R3626" s="12" t="n">
        <v>3.5</v>
      </c>
      <c r="S3626" s="12" t="inlineStr">
        <is>
          <t>Duct bank</t>
        </is>
      </c>
      <c r="T3626" s="16" t="n">
        <v>146</v>
      </c>
      <c r="U3626" s="16" t="n">
        <v>36</v>
      </c>
      <c r="V3626" s="16">
        <f>ROUNDUP((T3626+U3626+2*'Read Me'!$B$13)*(1+'Read Me'!$B$12),-1)</f>
        <v/>
      </c>
      <c r="W3626" s="16">
        <f>V3626*N3626*O3626</f>
        <v/>
      </c>
      <c r="X3626" s="12">
        <f>IF(LEFT(I3626,2)="MV",2*N3626*IF(L3626="1/C",O3626,1),0)</f>
        <v/>
      </c>
      <c r="Y3626" s="12">
        <f>IF(OR(LEFT(K3626,4)="LVAX",LEFT(K3626,6)="MV15AX",LEFT(K3626,4)="CTAX",LEFT(K3626,2)="W|"),2*N3626*O3626,0)</f>
        <v/>
      </c>
      <c r="Z3626" s="12" t="inlineStr">
        <is>
          <t>VD 0.3 %</t>
        </is>
      </c>
      <c r="AA3626" s="12">
        <f>N3626*O3626</f>
        <v/>
      </c>
    </row>
    <row r="3627">
      <c r="A3627" s="12" t="inlineStr">
        <is>
          <t>G-P-0212</t>
        </is>
      </c>
      <c r="B3627" s="12" t="inlineStr">
        <is>
          <t>G</t>
        </is>
      </c>
      <c r="C3627" s="12" t="inlineStr">
        <is>
          <t>Carbon capture</t>
        </is>
      </c>
      <c r="D3627" s="12" t="inlineStr">
        <is>
          <t>MOV 4: power</t>
        </is>
      </c>
      <c r="E3627" s="12" t="inlineStr"/>
      <c r="F3627" s="12" t="inlineStr">
        <is>
          <t>CCS MV switchgear building (VFDs)</t>
        </is>
      </c>
      <c r="G3627" s="12" t="inlineStr">
        <is>
          <t>STR-A</t>
        </is>
      </c>
      <c r="H3627" s="12" t="inlineStr">
        <is>
          <t>STR-A: stripper / regenerator (45 ft dia x 207 ft)</t>
        </is>
      </c>
      <c r="I3627" s="12" t="inlineStr">
        <is>
          <t>LV 600 V</t>
        </is>
      </c>
      <c r="J3627" s="12" t="inlineStr">
        <is>
          <t>Type TC-ER 600 V 3/C Cu XHHW-2 + ground, PVC jacket</t>
        </is>
      </c>
      <c r="K3627" s="12" t="inlineStr">
        <is>
          <t>LV|3/C+G|10</t>
        </is>
      </c>
      <c r="L3627" s="12" t="inlineStr">
        <is>
          <t>3/C+G</t>
        </is>
      </c>
      <c r="M3627" s="12" t="inlineStr">
        <is>
          <t>10</t>
        </is>
      </c>
      <c r="N3627" s="12" t="n">
        <v>1</v>
      </c>
      <c r="O3627" s="12" t="n">
        <v>1</v>
      </c>
      <c r="P3627" s="12" t="n">
        <v>480</v>
      </c>
      <c r="Q3627" s="12" t="n">
        <v>2.5</v>
      </c>
      <c r="R3627" s="12" t="n">
        <v>3.5</v>
      </c>
      <c r="S3627" s="12" t="inlineStr">
        <is>
          <t>Duct bank</t>
        </is>
      </c>
      <c r="T3627" s="16" t="n">
        <v>146</v>
      </c>
      <c r="U3627" s="16" t="n">
        <v>36</v>
      </c>
      <c r="V3627" s="16">
        <f>ROUNDUP((T3627+U3627+2*'Read Me'!$B$13)*(1+'Read Me'!$B$12),-1)</f>
        <v/>
      </c>
      <c r="W3627" s="16">
        <f>V3627*N3627*O3627</f>
        <v/>
      </c>
      <c r="X3627" s="12">
        <f>IF(LEFT(I3627,2)="MV",2*N3627*IF(L3627="1/C",O3627,1),0)</f>
        <v/>
      </c>
      <c r="Y3627" s="12">
        <f>IF(OR(LEFT(K3627,4)="LVAX",LEFT(K3627,6)="MV15AX",LEFT(K3627,4)="CTAX",LEFT(K3627,2)="W|"),2*N3627*O3627,0)</f>
        <v/>
      </c>
      <c r="Z3627" s="12" t="inlineStr">
        <is>
          <t>VD 0.3 %</t>
        </is>
      </c>
      <c r="AA3627" s="12">
        <f>N3627*O3627</f>
        <v/>
      </c>
    </row>
    <row r="3628">
      <c r="A3628" s="12" t="inlineStr">
        <is>
          <t>G-P-0213</t>
        </is>
      </c>
      <c r="B3628" s="12" t="inlineStr">
        <is>
          <t>G</t>
        </is>
      </c>
      <c r="C3628" s="12" t="inlineStr">
        <is>
          <t>Carbon capture</t>
        </is>
      </c>
      <c r="D3628" s="12" t="inlineStr">
        <is>
          <t>MOV 5: power</t>
        </is>
      </c>
      <c r="E3628" s="12" t="inlineStr"/>
      <c r="F3628" s="12" t="inlineStr">
        <is>
          <t>CCS MV switchgear building (VFDs)</t>
        </is>
      </c>
      <c r="G3628" s="12" t="inlineStr">
        <is>
          <t>STR-A</t>
        </is>
      </c>
      <c r="H3628" s="12" t="inlineStr">
        <is>
          <t>STR-A: stripper / regenerator (45 ft dia x 207 ft)</t>
        </is>
      </c>
      <c r="I3628" s="12" t="inlineStr">
        <is>
          <t>LV 600 V</t>
        </is>
      </c>
      <c r="J3628" s="12" t="inlineStr">
        <is>
          <t>Type TC-ER 600 V 3/C Cu XHHW-2 + ground, PVC jacket</t>
        </is>
      </c>
      <c r="K3628" s="12" t="inlineStr">
        <is>
          <t>LV|3/C+G|10</t>
        </is>
      </c>
      <c r="L3628" s="12" t="inlineStr">
        <is>
          <t>3/C+G</t>
        </is>
      </c>
      <c r="M3628" s="12" t="inlineStr">
        <is>
          <t>10</t>
        </is>
      </c>
      <c r="N3628" s="12" t="n">
        <v>1</v>
      </c>
      <c r="O3628" s="12" t="n">
        <v>1</v>
      </c>
      <c r="P3628" s="12" t="n">
        <v>480</v>
      </c>
      <c r="Q3628" s="12" t="n">
        <v>2.5</v>
      </c>
      <c r="R3628" s="12" t="n">
        <v>3.5</v>
      </c>
      <c r="S3628" s="12" t="inlineStr">
        <is>
          <t>Duct bank</t>
        </is>
      </c>
      <c r="T3628" s="16" t="n">
        <v>146</v>
      </c>
      <c r="U3628" s="16" t="n">
        <v>36</v>
      </c>
      <c r="V3628" s="16">
        <f>ROUNDUP((T3628+U3628+2*'Read Me'!$B$13)*(1+'Read Me'!$B$12),-1)</f>
        <v/>
      </c>
      <c r="W3628" s="16">
        <f>V3628*N3628*O3628</f>
        <v/>
      </c>
      <c r="X3628" s="12">
        <f>IF(LEFT(I3628,2)="MV",2*N3628*IF(L3628="1/C",O3628,1),0)</f>
        <v/>
      </c>
      <c r="Y3628" s="12">
        <f>IF(OR(LEFT(K3628,4)="LVAX",LEFT(K3628,6)="MV15AX",LEFT(K3628,4)="CTAX",LEFT(K3628,2)="W|"),2*N3628*O3628,0)</f>
        <v/>
      </c>
      <c r="Z3628" s="12" t="inlineStr">
        <is>
          <t>VD 0.3 %</t>
        </is>
      </c>
      <c r="AA3628" s="12">
        <f>N3628*O3628</f>
        <v/>
      </c>
    </row>
    <row r="3629">
      <c r="A3629" s="12" t="inlineStr">
        <is>
          <t>G-P-0214</t>
        </is>
      </c>
      <c r="B3629" s="12" t="inlineStr">
        <is>
          <t>G</t>
        </is>
      </c>
      <c r="C3629" s="12" t="inlineStr">
        <is>
          <t>Carbon capture</t>
        </is>
      </c>
      <c r="D3629" s="12" t="inlineStr">
        <is>
          <t>MOV 6: power</t>
        </is>
      </c>
      <c r="E3629" s="12" t="inlineStr"/>
      <c r="F3629" s="12" t="inlineStr">
        <is>
          <t>CCS MV switchgear building (VFDs)</t>
        </is>
      </c>
      <c r="G3629" s="12" t="inlineStr">
        <is>
          <t>STR-A</t>
        </is>
      </c>
      <c r="H3629" s="12" t="inlineStr">
        <is>
          <t>STR-A: stripper / regenerator (45 ft dia x 207 ft)</t>
        </is>
      </c>
      <c r="I3629" s="12" t="inlineStr">
        <is>
          <t>LV 600 V</t>
        </is>
      </c>
      <c r="J3629" s="12" t="inlineStr">
        <is>
          <t>Type TC-ER 600 V 3/C Cu XHHW-2 + ground, PVC jacket</t>
        </is>
      </c>
      <c r="K3629" s="12" t="inlineStr">
        <is>
          <t>LV|3/C+G|10</t>
        </is>
      </c>
      <c r="L3629" s="12" t="inlineStr">
        <is>
          <t>3/C+G</t>
        </is>
      </c>
      <c r="M3629" s="12" t="inlineStr">
        <is>
          <t>10</t>
        </is>
      </c>
      <c r="N3629" s="12" t="n">
        <v>1</v>
      </c>
      <c r="O3629" s="12" t="n">
        <v>1</v>
      </c>
      <c r="P3629" s="12" t="n">
        <v>480</v>
      </c>
      <c r="Q3629" s="12" t="n">
        <v>2.5</v>
      </c>
      <c r="R3629" s="12" t="n">
        <v>3.5</v>
      </c>
      <c r="S3629" s="12" t="inlineStr">
        <is>
          <t>Duct bank</t>
        </is>
      </c>
      <c r="T3629" s="16" t="n">
        <v>146</v>
      </c>
      <c r="U3629" s="16" t="n">
        <v>36</v>
      </c>
      <c r="V3629" s="16">
        <f>ROUNDUP((T3629+U3629+2*'Read Me'!$B$13)*(1+'Read Me'!$B$12),-1)</f>
        <v/>
      </c>
      <c r="W3629" s="16">
        <f>V3629*N3629*O3629</f>
        <v/>
      </c>
      <c r="X3629" s="12">
        <f>IF(LEFT(I3629,2)="MV",2*N3629*IF(L3629="1/C",O3629,1),0)</f>
        <v/>
      </c>
      <c r="Y3629" s="12">
        <f>IF(OR(LEFT(K3629,4)="LVAX",LEFT(K3629,6)="MV15AX",LEFT(K3629,4)="CTAX",LEFT(K3629,2)="W|"),2*N3629*O3629,0)</f>
        <v/>
      </c>
      <c r="Z3629" s="12" t="inlineStr">
        <is>
          <t>VD 0.3 %</t>
        </is>
      </c>
      <c r="AA3629" s="12">
        <f>N3629*O3629</f>
        <v/>
      </c>
    </row>
    <row r="3630">
      <c r="A3630" s="12" t="inlineStr">
        <is>
          <t>G-P-0215</t>
        </is>
      </c>
      <c r="B3630" s="12" t="inlineStr">
        <is>
          <t>G</t>
        </is>
      </c>
      <c r="C3630" s="12" t="inlineStr">
        <is>
          <t>Carbon capture</t>
        </is>
      </c>
      <c r="D3630" s="12" t="inlineStr">
        <is>
          <t>LV power feeder</t>
        </is>
      </c>
      <c r="E3630" s="12" t="inlineStr"/>
      <c r="F3630" s="12" t="inlineStr">
        <is>
          <t>CCS MV switchgear building (VFDs)</t>
        </is>
      </c>
      <c r="G3630" s="12" t="inlineStr">
        <is>
          <t>STR-A</t>
        </is>
      </c>
      <c r="H3630" s="12" t="inlineStr">
        <is>
          <t>STR-A: stripper / regenerator (45 ft dia x 207 ft)</t>
        </is>
      </c>
      <c r="I3630" s="12" t="inlineStr">
        <is>
          <t>LV 600 V</t>
        </is>
      </c>
      <c r="J3630" s="12" t="inlineStr">
        <is>
          <t>Type TC-ER 600 V 3/C Cu XHHW-2 + ground, PVC jacket</t>
        </is>
      </c>
      <c r="K3630" s="12" t="inlineStr">
        <is>
          <t>LV|3/C+G|6</t>
        </is>
      </c>
      <c r="L3630" s="12" t="inlineStr">
        <is>
          <t>3/C+G</t>
        </is>
      </c>
      <c r="M3630" s="12" t="inlineStr">
        <is>
          <t>6</t>
        </is>
      </c>
      <c r="N3630" s="12" t="n">
        <v>1</v>
      </c>
      <c r="O3630" s="12" t="n">
        <v>1</v>
      </c>
      <c r="P3630" s="12" t="n">
        <v>480</v>
      </c>
      <c r="Q3630" s="12" t="n">
        <v>30</v>
      </c>
      <c r="R3630" s="12" t="n">
        <v>42.5</v>
      </c>
      <c r="S3630" s="12" t="inlineStr">
        <is>
          <t>Duct bank</t>
        </is>
      </c>
      <c r="T3630" s="16" t="n">
        <v>146</v>
      </c>
      <c r="U3630" s="16" t="n">
        <v>36</v>
      </c>
      <c r="V3630" s="16">
        <f>ROUNDUP((T3630+U3630+2*'Read Me'!$B$13)*(1+'Read Me'!$B$12),-1)</f>
        <v/>
      </c>
      <c r="W3630" s="16">
        <f>V3630*N3630*O3630</f>
        <v/>
      </c>
      <c r="X3630" s="12">
        <f>IF(LEFT(I3630,2)="MV",2*N3630*IF(L3630="1/C",O3630,1),0)</f>
        <v/>
      </c>
      <c r="Y3630" s="12">
        <f>IF(OR(LEFT(K3630,4)="LVAX",LEFT(K3630,6)="MV15AX",LEFT(K3630,4)="CTAX",LEFT(K3630,2)="W|"),2*N3630*O3630,0)</f>
        <v/>
      </c>
      <c r="Z3630" s="12" t="inlineStr">
        <is>
          <t>VD 1.5 %</t>
        </is>
      </c>
      <c r="AA3630" s="12">
        <f>N3630*O3630</f>
        <v/>
      </c>
    </row>
    <row r="3631">
      <c r="A3631" s="12" t="inlineStr">
        <is>
          <t>G-P-0216</t>
        </is>
      </c>
      <c r="B3631" s="12" t="inlineStr">
        <is>
          <t>G</t>
        </is>
      </c>
      <c r="C3631" s="12" t="inlineStr">
        <is>
          <t>Carbon capture</t>
        </is>
      </c>
      <c r="D3631" s="12" t="inlineStr">
        <is>
          <t>Area / platform lighting circuit 1 (12 fixtures)</t>
        </is>
      </c>
      <c r="E3631" s="12" t="inlineStr"/>
      <c r="F3631" s="12" t="inlineStr">
        <is>
          <t>CCS MV switchgear building (VFDs)</t>
        </is>
      </c>
      <c r="G3631" s="12" t="inlineStr">
        <is>
          <t>STR-A</t>
        </is>
      </c>
      <c r="H3631" s="12" t="inlineStr">
        <is>
          <t>STR-A: stripper / regenerator (45 ft dia x 207 ft)</t>
        </is>
      </c>
      <c r="I3631" s="12" t="inlineStr">
        <is>
          <t>LV 600 V</t>
        </is>
      </c>
      <c r="J3631" s="12" t="inlineStr">
        <is>
          <t>Type TC-ER 600 V 3/C Cu XHHW-2 + ground, PVC jacket</t>
        </is>
      </c>
      <c r="K3631" s="12" t="inlineStr">
        <is>
          <t>LV|3/C+G|10</t>
        </is>
      </c>
      <c r="L3631" s="12" t="inlineStr">
        <is>
          <t>3/C+G</t>
        </is>
      </c>
      <c r="M3631" s="12" t="inlineStr">
        <is>
          <t>10</t>
        </is>
      </c>
      <c r="N3631" s="12" t="n">
        <v>1</v>
      </c>
      <c r="O3631" s="12" t="n">
        <v>1</v>
      </c>
      <c r="P3631" s="12" t="n">
        <v>480</v>
      </c>
      <c r="Q3631" s="12" t="n">
        <v>3</v>
      </c>
      <c r="R3631" s="12" t="n">
        <v>5</v>
      </c>
      <c r="S3631" s="12" t="inlineStr">
        <is>
          <t>Duct bank</t>
        </is>
      </c>
      <c r="T3631" s="16" t="n">
        <v>446</v>
      </c>
      <c r="U3631" s="16" t="n">
        <v>36</v>
      </c>
      <c r="V3631" s="16">
        <f>ROUNDUP((T3631+U3631+2*'Read Me'!$B$13)*(1+'Read Me'!$B$12),-1)</f>
        <v/>
      </c>
      <c r="W3631" s="16">
        <f>V3631*N3631*O3631</f>
        <v/>
      </c>
      <c r="X3631" s="12">
        <f>IF(LEFT(I3631,2)="MV",2*N3631*IF(L3631="1/C",O3631,1),0)</f>
        <v/>
      </c>
      <c r="Y3631" s="12">
        <f>IF(OR(LEFT(K3631,4)="LVAX",LEFT(K3631,6)="MV15AX",LEFT(K3631,4)="CTAX",LEFT(K3631,2)="W|"),2*N3631*O3631,0)</f>
        <v/>
      </c>
      <c r="Z3631" s="12" t="inlineStr">
        <is>
          <t>fixture-to-fixture run included</t>
        </is>
      </c>
      <c r="AA3631" s="12">
        <f>N3631*O3631</f>
        <v/>
      </c>
    </row>
    <row r="3632">
      <c r="A3632" s="12" t="inlineStr">
        <is>
          <t>G-P-0217</t>
        </is>
      </c>
      <c r="B3632" s="12" t="inlineStr">
        <is>
          <t>G</t>
        </is>
      </c>
      <c r="C3632" s="12" t="inlineStr">
        <is>
          <t>Carbon capture</t>
        </is>
      </c>
      <c r="D3632" s="12" t="inlineStr">
        <is>
          <t>Area / platform lighting circuit 2 (8 fixtures)</t>
        </is>
      </c>
      <c r="E3632" s="12" t="inlineStr"/>
      <c r="F3632" s="12" t="inlineStr">
        <is>
          <t>CCS MV switchgear building (VFDs)</t>
        </is>
      </c>
      <c r="G3632" s="12" t="inlineStr">
        <is>
          <t>STR-A</t>
        </is>
      </c>
      <c r="H3632" s="12" t="inlineStr">
        <is>
          <t>STR-A: stripper / regenerator (45 ft dia x 207 ft)</t>
        </is>
      </c>
      <c r="I3632" s="12" t="inlineStr">
        <is>
          <t>LV 600 V</t>
        </is>
      </c>
      <c r="J3632" s="12" t="inlineStr">
        <is>
          <t>Type TC-ER 600 V 3/C Cu XHHW-2 + ground, PVC jacket</t>
        </is>
      </c>
      <c r="K3632" s="12" t="inlineStr">
        <is>
          <t>LV|3/C+G|10</t>
        </is>
      </c>
      <c r="L3632" s="12" t="inlineStr">
        <is>
          <t>3/C+G</t>
        </is>
      </c>
      <c r="M3632" s="12" t="inlineStr">
        <is>
          <t>10</t>
        </is>
      </c>
      <c r="N3632" s="12" t="n">
        <v>1</v>
      </c>
      <c r="O3632" s="12" t="n">
        <v>1</v>
      </c>
      <c r="P3632" s="12" t="n">
        <v>480</v>
      </c>
      <c r="Q3632" s="12" t="n">
        <v>3</v>
      </c>
      <c r="R3632" s="12" t="n">
        <v>5</v>
      </c>
      <c r="S3632" s="12" t="inlineStr">
        <is>
          <t>Duct bank</t>
        </is>
      </c>
      <c r="T3632" s="16" t="n">
        <v>446</v>
      </c>
      <c r="U3632" s="16" t="n">
        <v>36</v>
      </c>
      <c r="V3632" s="16">
        <f>ROUNDUP((T3632+U3632+2*'Read Me'!$B$13)*(1+'Read Me'!$B$12),-1)</f>
        <v/>
      </c>
      <c r="W3632" s="16">
        <f>V3632*N3632*O3632</f>
        <v/>
      </c>
      <c r="X3632" s="12">
        <f>IF(LEFT(I3632,2)="MV",2*N3632*IF(L3632="1/C",O3632,1),0)</f>
        <v/>
      </c>
      <c r="Y3632" s="12">
        <f>IF(OR(LEFT(K3632,4)="LVAX",LEFT(K3632,6)="MV15AX",LEFT(K3632,4)="CTAX",LEFT(K3632,2)="W|"),2*N3632*O3632,0)</f>
        <v/>
      </c>
      <c r="Z3632" s="12" t="inlineStr">
        <is>
          <t>fixture-to-fixture run included</t>
        </is>
      </c>
      <c r="AA3632" s="12">
        <f>N3632*O3632</f>
        <v/>
      </c>
    </row>
    <row r="3633">
      <c r="A3633" s="12" t="inlineStr">
        <is>
          <t>G-P-0218</t>
        </is>
      </c>
      <c r="B3633" s="12" t="inlineStr">
        <is>
          <t>G</t>
        </is>
      </c>
      <c r="C3633" s="12" t="inlineStr">
        <is>
          <t>Carbon capture</t>
        </is>
      </c>
      <c r="D3633" s="12" t="inlineStr">
        <is>
          <t>480 V welding receptacle 1</t>
        </is>
      </c>
      <c r="E3633" s="12" t="inlineStr"/>
      <c r="F3633" s="12" t="inlineStr">
        <is>
          <t>CCS MV switchgear building (VFDs)</t>
        </is>
      </c>
      <c r="G3633" s="12" t="inlineStr">
        <is>
          <t>STR-A</t>
        </is>
      </c>
      <c r="H3633" s="12" t="inlineStr">
        <is>
          <t>STR-A: stripper / regenerator (45 ft dia x 207 ft)</t>
        </is>
      </c>
      <c r="I3633" s="12" t="inlineStr">
        <is>
          <t>LV 600 V</t>
        </is>
      </c>
      <c r="J3633" s="12" t="inlineStr">
        <is>
          <t>Type TC-ER 600 V 3/C Cu XHHW-2 + ground, PVC jacket</t>
        </is>
      </c>
      <c r="K3633" s="12" t="inlineStr">
        <is>
          <t>LV|3/C+G|2</t>
        </is>
      </c>
      <c r="L3633" s="12" t="inlineStr">
        <is>
          <t>3/C+G</t>
        </is>
      </c>
      <c r="M3633" s="12" t="inlineStr">
        <is>
          <t>2</t>
        </is>
      </c>
      <c r="N3633" s="12" t="n">
        <v>1</v>
      </c>
      <c r="O3633" s="12" t="n">
        <v>1</v>
      </c>
      <c r="P3633" s="12" t="n">
        <v>480</v>
      </c>
      <c r="Q3633" s="12" t="n">
        <v>60</v>
      </c>
      <c r="R3633" s="12" t="n">
        <v>76</v>
      </c>
      <c r="S3633" s="12" t="inlineStr">
        <is>
          <t>Duct bank</t>
        </is>
      </c>
      <c r="T3633" s="16" t="n">
        <v>146</v>
      </c>
      <c r="U3633" s="16" t="n">
        <v>36</v>
      </c>
      <c r="V3633" s="16">
        <f>ROUNDUP((T3633+U3633+2*'Read Me'!$B$13)*(1+'Read Me'!$B$12),-1)</f>
        <v/>
      </c>
      <c r="W3633" s="16">
        <f>V3633*N3633*O3633</f>
        <v/>
      </c>
      <c r="X3633" s="12">
        <f>IF(LEFT(I3633,2)="MV",2*N3633*IF(L3633="1/C",O3633,1),0)</f>
        <v/>
      </c>
      <c r="Y3633" s="12">
        <f>IF(OR(LEFT(K3633,4)="LVAX",LEFT(K3633,6)="MV15AX",LEFT(K3633,4)="CTAX",LEFT(K3633,2)="W|"),2*N3633*O3633,0)</f>
        <v/>
      </c>
      <c r="Z3633" s="12" t="inlineStr">
        <is>
          <t>VD 1.1 %</t>
        </is>
      </c>
      <c r="AA3633" s="12">
        <f>N3633*O3633</f>
        <v/>
      </c>
    </row>
    <row r="3634">
      <c r="A3634" s="12" t="inlineStr">
        <is>
          <t>G-P-0219</t>
        </is>
      </c>
      <c r="B3634" s="12" t="inlineStr">
        <is>
          <t>G</t>
        </is>
      </c>
      <c r="C3634" s="12" t="inlineStr">
        <is>
          <t>Carbon capture</t>
        </is>
      </c>
      <c r="D3634" s="12" t="inlineStr">
        <is>
          <t>480 V welding receptacle 2</t>
        </is>
      </c>
      <c r="E3634" s="12" t="inlineStr"/>
      <c r="F3634" s="12" t="inlineStr">
        <is>
          <t>CCS MV switchgear building (VFDs)</t>
        </is>
      </c>
      <c r="G3634" s="12" t="inlineStr">
        <is>
          <t>STR-A</t>
        </is>
      </c>
      <c r="H3634" s="12" t="inlineStr">
        <is>
          <t>STR-A: stripper / regenerator (45 ft dia x 207 ft)</t>
        </is>
      </c>
      <c r="I3634" s="12" t="inlineStr">
        <is>
          <t>LV 600 V</t>
        </is>
      </c>
      <c r="J3634" s="12" t="inlineStr">
        <is>
          <t>Type TC-ER 600 V 3/C Cu XHHW-2 + ground, PVC jacket</t>
        </is>
      </c>
      <c r="K3634" s="12" t="inlineStr">
        <is>
          <t>LV|3/C+G|2</t>
        </is>
      </c>
      <c r="L3634" s="12" t="inlineStr">
        <is>
          <t>3/C+G</t>
        </is>
      </c>
      <c r="M3634" s="12" t="inlineStr">
        <is>
          <t>2</t>
        </is>
      </c>
      <c r="N3634" s="12" t="n">
        <v>1</v>
      </c>
      <c r="O3634" s="12" t="n">
        <v>1</v>
      </c>
      <c r="P3634" s="12" t="n">
        <v>480</v>
      </c>
      <c r="Q3634" s="12" t="n">
        <v>60</v>
      </c>
      <c r="R3634" s="12" t="n">
        <v>76</v>
      </c>
      <c r="S3634" s="12" t="inlineStr">
        <is>
          <t>Duct bank</t>
        </is>
      </c>
      <c r="T3634" s="16" t="n">
        <v>146</v>
      </c>
      <c r="U3634" s="16" t="n">
        <v>36</v>
      </c>
      <c r="V3634" s="16">
        <f>ROUNDUP((T3634+U3634+2*'Read Me'!$B$13)*(1+'Read Me'!$B$12),-1)</f>
        <v/>
      </c>
      <c r="W3634" s="16">
        <f>V3634*N3634*O3634</f>
        <v/>
      </c>
      <c r="X3634" s="12">
        <f>IF(LEFT(I3634,2)="MV",2*N3634*IF(L3634="1/C",O3634,1),0)</f>
        <v/>
      </c>
      <c r="Y3634" s="12">
        <f>IF(OR(LEFT(K3634,4)="LVAX",LEFT(K3634,6)="MV15AX",LEFT(K3634,4)="CTAX",LEFT(K3634,2)="W|"),2*N3634*O3634,0)</f>
        <v/>
      </c>
      <c r="Z3634" s="12" t="inlineStr">
        <is>
          <t>VD 1.1 %</t>
        </is>
      </c>
      <c r="AA3634" s="12">
        <f>N3634*O3634</f>
        <v/>
      </c>
    </row>
    <row r="3635">
      <c r="A3635" s="12" t="inlineStr">
        <is>
          <t>G-P-0220</t>
        </is>
      </c>
      <c r="B3635" s="12" t="inlineStr">
        <is>
          <t>G</t>
        </is>
      </c>
      <c r="C3635" s="12" t="inlineStr">
        <is>
          <t>Carbon capture</t>
        </is>
      </c>
      <c r="D3635" s="12" t="inlineStr">
        <is>
          <t>480 V welding receptacle 3</t>
        </is>
      </c>
      <c r="E3635" s="12" t="inlineStr"/>
      <c r="F3635" s="12" t="inlineStr">
        <is>
          <t>CCS MV switchgear building (VFDs)</t>
        </is>
      </c>
      <c r="G3635" s="12" t="inlineStr">
        <is>
          <t>STR-A</t>
        </is>
      </c>
      <c r="H3635" s="12" t="inlineStr">
        <is>
          <t>STR-A: stripper / regenerator (45 ft dia x 207 ft)</t>
        </is>
      </c>
      <c r="I3635" s="12" t="inlineStr">
        <is>
          <t>LV 600 V</t>
        </is>
      </c>
      <c r="J3635" s="12" t="inlineStr">
        <is>
          <t>Type TC-ER 600 V 3/C Cu XHHW-2 + ground, PVC jacket</t>
        </is>
      </c>
      <c r="K3635" s="12" t="inlineStr">
        <is>
          <t>LV|3/C+G|2</t>
        </is>
      </c>
      <c r="L3635" s="12" t="inlineStr">
        <is>
          <t>3/C+G</t>
        </is>
      </c>
      <c r="M3635" s="12" t="inlineStr">
        <is>
          <t>2</t>
        </is>
      </c>
      <c r="N3635" s="12" t="n">
        <v>1</v>
      </c>
      <c r="O3635" s="12" t="n">
        <v>1</v>
      </c>
      <c r="P3635" s="12" t="n">
        <v>480</v>
      </c>
      <c r="Q3635" s="12" t="n">
        <v>60</v>
      </c>
      <c r="R3635" s="12" t="n">
        <v>76</v>
      </c>
      <c r="S3635" s="12" t="inlineStr">
        <is>
          <t>Duct bank</t>
        </is>
      </c>
      <c r="T3635" s="16" t="n">
        <v>146</v>
      </c>
      <c r="U3635" s="16" t="n">
        <v>36</v>
      </c>
      <c r="V3635" s="16">
        <f>ROUNDUP((T3635+U3635+2*'Read Me'!$B$13)*(1+'Read Me'!$B$12),-1)</f>
        <v/>
      </c>
      <c r="W3635" s="16">
        <f>V3635*N3635*O3635</f>
        <v/>
      </c>
      <c r="X3635" s="12">
        <f>IF(LEFT(I3635,2)="MV",2*N3635*IF(L3635="1/C",O3635,1),0)</f>
        <v/>
      </c>
      <c r="Y3635" s="12">
        <f>IF(OR(LEFT(K3635,4)="LVAX",LEFT(K3635,6)="MV15AX",LEFT(K3635,4)="CTAX",LEFT(K3635,2)="W|"),2*N3635*O3635,0)</f>
        <v/>
      </c>
      <c r="Z3635" s="12" t="inlineStr">
        <is>
          <t>VD 1.1 %</t>
        </is>
      </c>
      <c r="AA3635" s="12">
        <f>N3635*O3635</f>
        <v/>
      </c>
    </row>
    <row r="3636">
      <c r="A3636" s="12" t="inlineStr">
        <is>
          <t>G-P-0221</t>
        </is>
      </c>
      <c r="B3636" s="12" t="inlineStr">
        <is>
          <t>G</t>
        </is>
      </c>
      <c r="C3636" s="12" t="inlineStr">
        <is>
          <t>Carbon capture</t>
        </is>
      </c>
      <c r="D3636" s="12" t="inlineStr">
        <is>
          <t>480 V welding receptacle 4</t>
        </is>
      </c>
      <c r="E3636" s="12" t="inlineStr"/>
      <c r="F3636" s="12" t="inlineStr">
        <is>
          <t>CCS MV switchgear building (VFDs)</t>
        </is>
      </c>
      <c r="G3636" s="12" t="inlineStr">
        <is>
          <t>STR-A</t>
        </is>
      </c>
      <c r="H3636" s="12" t="inlineStr">
        <is>
          <t>STR-A: stripper / regenerator (45 ft dia x 207 ft)</t>
        </is>
      </c>
      <c r="I3636" s="12" t="inlineStr">
        <is>
          <t>LV 600 V</t>
        </is>
      </c>
      <c r="J3636" s="12" t="inlineStr">
        <is>
          <t>Type TC-ER 600 V 3/C Cu XHHW-2 + ground, PVC jacket</t>
        </is>
      </c>
      <c r="K3636" s="12" t="inlineStr">
        <is>
          <t>LV|3/C+G|2</t>
        </is>
      </c>
      <c r="L3636" s="12" t="inlineStr">
        <is>
          <t>3/C+G</t>
        </is>
      </c>
      <c r="M3636" s="12" t="inlineStr">
        <is>
          <t>2</t>
        </is>
      </c>
      <c r="N3636" s="12" t="n">
        <v>1</v>
      </c>
      <c r="O3636" s="12" t="n">
        <v>1</v>
      </c>
      <c r="P3636" s="12" t="n">
        <v>480</v>
      </c>
      <c r="Q3636" s="12" t="n">
        <v>60</v>
      </c>
      <c r="R3636" s="12" t="n">
        <v>76</v>
      </c>
      <c r="S3636" s="12" t="inlineStr">
        <is>
          <t>Duct bank</t>
        </is>
      </c>
      <c r="T3636" s="16" t="n">
        <v>146</v>
      </c>
      <c r="U3636" s="16" t="n">
        <v>36</v>
      </c>
      <c r="V3636" s="16">
        <f>ROUNDUP((T3636+U3636+2*'Read Me'!$B$13)*(1+'Read Me'!$B$12),-1)</f>
        <v/>
      </c>
      <c r="W3636" s="16">
        <f>V3636*N3636*O3636</f>
        <v/>
      </c>
      <c r="X3636" s="12">
        <f>IF(LEFT(I3636,2)="MV",2*N3636*IF(L3636="1/C",O3636,1),0)</f>
        <v/>
      </c>
      <c r="Y3636" s="12">
        <f>IF(OR(LEFT(K3636,4)="LVAX",LEFT(K3636,6)="MV15AX",LEFT(K3636,4)="CTAX",LEFT(K3636,2)="W|"),2*N3636*O3636,0)</f>
        <v/>
      </c>
      <c r="Z3636" s="12" t="inlineStr">
        <is>
          <t>VD 1.1 %</t>
        </is>
      </c>
      <c r="AA3636" s="12">
        <f>N3636*O3636</f>
        <v/>
      </c>
    </row>
    <row r="3637">
      <c r="A3637" s="12" t="inlineStr">
        <is>
          <t>G-P-0222</t>
        </is>
      </c>
      <c r="B3637" s="12" t="inlineStr">
        <is>
          <t>G</t>
        </is>
      </c>
      <c r="C3637" s="12" t="inlineStr">
        <is>
          <t>Carbon capture</t>
        </is>
      </c>
      <c r="D3637" s="12" t="inlineStr">
        <is>
          <t>MOV 1: power</t>
        </is>
      </c>
      <c r="E3637" s="12" t="inlineStr"/>
      <c r="F3637" s="12" t="inlineStr">
        <is>
          <t>CCS MV switchgear building (VFDs)</t>
        </is>
      </c>
      <c r="G3637" s="12" t="inlineStr">
        <is>
          <t>STR-B</t>
        </is>
      </c>
      <c r="H3637" s="12" t="inlineStr">
        <is>
          <t>STR-B: stripper / regenerator (45 ft dia x 207 ft)</t>
        </is>
      </c>
      <c r="I3637" s="12" t="inlineStr">
        <is>
          <t>LV 600 V</t>
        </is>
      </c>
      <c r="J3637" s="12" t="inlineStr">
        <is>
          <t>Type TC-ER 600 V 3/C Cu XHHW-2 + ground, PVC jacket</t>
        </is>
      </c>
      <c r="K3637" s="12" t="inlineStr">
        <is>
          <t>LV|3/C+G|10</t>
        </is>
      </c>
      <c r="L3637" s="12" t="inlineStr">
        <is>
          <t>3/C+G</t>
        </is>
      </c>
      <c r="M3637" s="12" t="inlineStr">
        <is>
          <t>10</t>
        </is>
      </c>
      <c r="N3637" s="12" t="n">
        <v>1</v>
      </c>
      <c r="O3637" s="12" t="n">
        <v>1</v>
      </c>
      <c r="P3637" s="12" t="n">
        <v>480</v>
      </c>
      <c r="Q3637" s="12" t="n">
        <v>2.5</v>
      </c>
      <c r="R3637" s="12" t="n">
        <v>3.5</v>
      </c>
      <c r="S3637" s="12" t="inlineStr">
        <is>
          <t>Duct bank</t>
        </is>
      </c>
      <c r="T3637" s="16" t="n">
        <v>146</v>
      </c>
      <c r="U3637" s="16" t="n">
        <v>36</v>
      </c>
      <c r="V3637" s="16">
        <f>ROUNDUP((T3637+U3637+2*'Read Me'!$B$13)*(1+'Read Me'!$B$12),-1)</f>
        <v/>
      </c>
      <c r="W3637" s="16">
        <f>V3637*N3637*O3637</f>
        <v/>
      </c>
      <c r="X3637" s="12">
        <f>IF(LEFT(I3637,2)="MV",2*N3637*IF(L3637="1/C",O3637,1),0)</f>
        <v/>
      </c>
      <c r="Y3637" s="12">
        <f>IF(OR(LEFT(K3637,4)="LVAX",LEFT(K3637,6)="MV15AX",LEFT(K3637,4)="CTAX",LEFT(K3637,2)="W|"),2*N3637*O3637,0)</f>
        <v/>
      </c>
      <c r="Z3637" s="12" t="inlineStr">
        <is>
          <t>VD 0.3 %</t>
        </is>
      </c>
      <c r="AA3637" s="12">
        <f>N3637*O3637</f>
        <v/>
      </c>
    </row>
    <row r="3638">
      <c r="A3638" s="12" t="inlineStr">
        <is>
          <t>G-P-0223</t>
        </is>
      </c>
      <c r="B3638" s="12" t="inlineStr">
        <is>
          <t>G</t>
        </is>
      </c>
      <c r="C3638" s="12" t="inlineStr">
        <is>
          <t>Carbon capture</t>
        </is>
      </c>
      <c r="D3638" s="12" t="inlineStr">
        <is>
          <t>MOV 2: power</t>
        </is>
      </c>
      <c r="E3638" s="12" t="inlineStr"/>
      <c r="F3638" s="12" t="inlineStr">
        <is>
          <t>CCS MV switchgear building (VFDs)</t>
        </is>
      </c>
      <c r="G3638" s="12" t="inlineStr">
        <is>
          <t>STR-B</t>
        </is>
      </c>
      <c r="H3638" s="12" t="inlineStr">
        <is>
          <t>STR-B: stripper / regenerator (45 ft dia x 207 ft)</t>
        </is>
      </c>
      <c r="I3638" s="12" t="inlineStr">
        <is>
          <t>LV 600 V</t>
        </is>
      </c>
      <c r="J3638" s="12" t="inlineStr">
        <is>
          <t>Type TC-ER 600 V 3/C Cu XHHW-2 + ground, PVC jacket</t>
        </is>
      </c>
      <c r="K3638" s="12" t="inlineStr">
        <is>
          <t>LV|3/C+G|10</t>
        </is>
      </c>
      <c r="L3638" s="12" t="inlineStr">
        <is>
          <t>3/C+G</t>
        </is>
      </c>
      <c r="M3638" s="12" t="inlineStr">
        <is>
          <t>10</t>
        </is>
      </c>
      <c r="N3638" s="12" t="n">
        <v>1</v>
      </c>
      <c r="O3638" s="12" t="n">
        <v>1</v>
      </c>
      <c r="P3638" s="12" t="n">
        <v>480</v>
      </c>
      <c r="Q3638" s="12" t="n">
        <v>2.5</v>
      </c>
      <c r="R3638" s="12" t="n">
        <v>3.5</v>
      </c>
      <c r="S3638" s="12" t="inlineStr">
        <is>
          <t>Duct bank</t>
        </is>
      </c>
      <c r="T3638" s="16" t="n">
        <v>146</v>
      </c>
      <c r="U3638" s="16" t="n">
        <v>36</v>
      </c>
      <c r="V3638" s="16">
        <f>ROUNDUP((T3638+U3638+2*'Read Me'!$B$13)*(1+'Read Me'!$B$12),-1)</f>
        <v/>
      </c>
      <c r="W3638" s="16">
        <f>V3638*N3638*O3638</f>
        <v/>
      </c>
      <c r="X3638" s="12">
        <f>IF(LEFT(I3638,2)="MV",2*N3638*IF(L3638="1/C",O3638,1),0)</f>
        <v/>
      </c>
      <c r="Y3638" s="12">
        <f>IF(OR(LEFT(K3638,4)="LVAX",LEFT(K3638,6)="MV15AX",LEFT(K3638,4)="CTAX",LEFT(K3638,2)="W|"),2*N3638*O3638,0)</f>
        <v/>
      </c>
      <c r="Z3638" s="12" t="inlineStr">
        <is>
          <t>VD 0.3 %</t>
        </is>
      </c>
      <c r="AA3638" s="12">
        <f>N3638*O3638</f>
        <v/>
      </c>
    </row>
    <row r="3639">
      <c r="A3639" s="12" t="inlineStr">
        <is>
          <t>G-P-0224</t>
        </is>
      </c>
      <c r="B3639" s="12" t="inlineStr">
        <is>
          <t>G</t>
        </is>
      </c>
      <c r="C3639" s="12" t="inlineStr">
        <is>
          <t>Carbon capture</t>
        </is>
      </c>
      <c r="D3639" s="12" t="inlineStr">
        <is>
          <t>MOV 3: power</t>
        </is>
      </c>
      <c r="E3639" s="12" t="inlineStr"/>
      <c r="F3639" s="12" t="inlineStr">
        <is>
          <t>CCS MV switchgear building (VFDs)</t>
        </is>
      </c>
      <c r="G3639" s="12" t="inlineStr">
        <is>
          <t>STR-B</t>
        </is>
      </c>
      <c r="H3639" s="12" t="inlineStr">
        <is>
          <t>STR-B: stripper / regenerator (45 ft dia x 207 ft)</t>
        </is>
      </c>
      <c r="I3639" s="12" t="inlineStr">
        <is>
          <t>LV 600 V</t>
        </is>
      </c>
      <c r="J3639" s="12" t="inlineStr">
        <is>
          <t>Type TC-ER 600 V 3/C Cu XHHW-2 + ground, PVC jacket</t>
        </is>
      </c>
      <c r="K3639" s="12" t="inlineStr">
        <is>
          <t>LV|3/C+G|10</t>
        </is>
      </c>
      <c r="L3639" s="12" t="inlineStr">
        <is>
          <t>3/C+G</t>
        </is>
      </c>
      <c r="M3639" s="12" t="inlineStr">
        <is>
          <t>10</t>
        </is>
      </c>
      <c r="N3639" s="12" t="n">
        <v>1</v>
      </c>
      <c r="O3639" s="12" t="n">
        <v>1</v>
      </c>
      <c r="P3639" s="12" t="n">
        <v>480</v>
      </c>
      <c r="Q3639" s="12" t="n">
        <v>2.5</v>
      </c>
      <c r="R3639" s="12" t="n">
        <v>3.5</v>
      </c>
      <c r="S3639" s="12" t="inlineStr">
        <is>
          <t>Duct bank</t>
        </is>
      </c>
      <c r="T3639" s="16" t="n">
        <v>146</v>
      </c>
      <c r="U3639" s="16" t="n">
        <v>36</v>
      </c>
      <c r="V3639" s="16">
        <f>ROUNDUP((T3639+U3639+2*'Read Me'!$B$13)*(1+'Read Me'!$B$12),-1)</f>
        <v/>
      </c>
      <c r="W3639" s="16">
        <f>V3639*N3639*O3639</f>
        <v/>
      </c>
      <c r="X3639" s="12">
        <f>IF(LEFT(I3639,2)="MV",2*N3639*IF(L3639="1/C",O3639,1),0)</f>
        <v/>
      </c>
      <c r="Y3639" s="12">
        <f>IF(OR(LEFT(K3639,4)="LVAX",LEFT(K3639,6)="MV15AX",LEFT(K3639,4)="CTAX",LEFT(K3639,2)="W|"),2*N3639*O3639,0)</f>
        <v/>
      </c>
      <c r="Z3639" s="12" t="inlineStr">
        <is>
          <t>VD 0.3 %</t>
        </is>
      </c>
      <c r="AA3639" s="12">
        <f>N3639*O3639</f>
        <v/>
      </c>
    </row>
    <row r="3640">
      <c r="A3640" s="12" t="inlineStr">
        <is>
          <t>G-P-0225</t>
        </is>
      </c>
      <c r="B3640" s="12" t="inlineStr">
        <is>
          <t>G</t>
        </is>
      </c>
      <c r="C3640" s="12" t="inlineStr">
        <is>
          <t>Carbon capture</t>
        </is>
      </c>
      <c r="D3640" s="12" t="inlineStr">
        <is>
          <t>MOV 4: power</t>
        </is>
      </c>
      <c r="E3640" s="12" t="inlineStr"/>
      <c r="F3640" s="12" t="inlineStr">
        <is>
          <t>CCS MV switchgear building (VFDs)</t>
        </is>
      </c>
      <c r="G3640" s="12" t="inlineStr">
        <is>
          <t>STR-B</t>
        </is>
      </c>
      <c r="H3640" s="12" t="inlineStr">
        <is>
          <t>STR-B: stripper / regenerator (45 ft dia x 207 ft)</t>
        </is>
      </c>
      <c r="I3640" s="12" t="inlineStr">
        <is>
          <t>LV 600 V</t>
        </is>
      </c>
      <c r="J3640" s="12" t="inlineStr">
        <is>
          <t>Type TC-ER 600 V 3/C Cu XHHW-2 + ground, PVC jacket</t>
        </is>
      </c>
      <c r="K3640" s="12" t="inlineStr">
        <is>
          <t>LV|3/C+G|10</t>
        </is>
      </c>
      <c r="L3640" s="12" t="inlineStr">
        <is>
          <t>3/C+G</t>
        </is>
      </c>
      <c r="M3640" s="12" t="inlineStr">
        <is>
          <t>10</t>
        </is>
      </c>
      <c r="N3640" s="12" t="n">
        <v>1</v>
      </c>
      <c r="O3640" s="12" t="n">
        <v>1</v>
      </c>
      <c r="P3640" s="12" t="n">
        <v>480</v>
      </c>
      <c r="Q3640" s="12" t="n">
        <v>2.5</v>
      </c>
      <c r="R3640" s="12" t="n">
        <v>3.5</v>
      </c>
      <c r="S3640" s="12" t="inlineStr">
        <is>
          <t>Duct bank</t>
        </is>
      </c>
      <c r="T3640" s="16" t="n">
        <v>146</v>
      </c>
      <c r="U3640" s="16" t="n">
        <v>36</v>
      </c>
      <c r="V3640" s="16">
        <f>ROUNDUP((T3640+U3640+2*'Read Me'!$B$13)*(1+'Read Me'!$B$12),-1)</f>
        <v/>
      </c>
      <c r="W3640" s="16">
        <f>V3640*N3640*O3640</f>
        <v/>
      </c>
      <c r="X3640" s="12">
        <f>IF(LEFT(I3640,2)="MV",2*N3640*IF(L3640="1/C",O3640,1),0)</f>
        <v/>
      </c>
      <c r="Y3640" s="12">
        <f>IF(OR(LEFT(K3640,4)="LVAX",LEFT(K3640,6)="MV15AX",LEFT(K3640,4)="CTAX",LEFT(K3640,2)="W|"),2*N3640*O3640,0)</f>
        <v/>
      </c>
      <c r="Z3640" s="12" t="inlineStr">
        <is>
          <t>VD 0.3 %</t>
        </is>
      </c>
      <c r="AA3640" s="12">
        <f>N3640*O3640</f>
        <v/>
      </c>
    </row>
    <row r="3641">
      <c r="A3641" s="12" t="inlineStr">
        <is>
          <t>G-P-0226</t>
        </is>
      </c>
      <c r="B3641" s="12" t="inlineStr">
        <is>
          <t>G</t>
        </is>
      </c>
      <c r="C3641" s="12" t="inlineStr">
        <is>
          <t>Carbon capture</t>
        </is>
      </c>
      <c r="D3641" s="12" t="inlineStr">
        <is>
          <t>MOV 5: power</t>
        </is>
      </c>
      <c r="E3641" s="12" t="inlineStr"/>
      <c r="F3641" s="12" t="inlineStr">
        <is>
          <t>CCS MV switchgear building (VFDs)</t>
        </is>
      </c>
      <c r="G3641" s="12" t="inlineStr">
        <is>
          <t>STR-B</t>
        </is>
      </c>
      <c r="H3641" s="12" t="inlineStr">
        <is>
          <t>STR-B: stripper / regenerator (45 ft dia x 207 ft)</t>
        </is>
      </c>
      <c r="I3641" s="12" t="inlineStr">
        <is>
          <t>LV 600 V</t>
        </is>
      </c>
      <c r="J3641" s="12" t="inlineStr">
        <is>
          <t>Type TC-ER 600 V 3/C Cu XHHW-2 + ground, PVC jacket</t>
        </is>
      </c>
      <c r="K3641" s="12" t="inlineStr">
        <is>
          <t>LV|3/C+G|10</t>
        </is>
      </c>
      <c r="L3641" s="12" t="inlineStr">
        <is>
          <t>3/C+G</t>
        </is>
      </c>
      <c r="M3641" s="12" t="inlineStr">
        <is>
          <t>10</t>
        </is>
      </c>
      <c r="N3641" s="12" t="n">
        <v>1</v>
      </c>
      <c r="O3641" s="12" t="n">
        <v>1</v>
      </c>
      <c r="P3641" s="12" t="n">
        <v>480</v>
      </c>
      <c r="Q3641" s="12" t="n">
        <v>2.5</v>
      </c>
      <c r="R3641" s="12" t="n">
        <v>3.5</v>
      </c>
      <c r="S3641" s="12" t="inlineStr">
        <is>
          <t>Duct bank</t>
        </is>
      </c>
      <c r="T3641" s="16" t="n">
        <v>146</v>
      </c>
      <c r="U3641" s="16" t="n">
        <v>36</v>
      </c>
      <c r="V3641" s="16">
        <f>ROUNDUP((T3641+U3641+2*'Read Me'!$B$13)*(1+'Read Me'!$B$12),-1)</f>
        <v/>
      </c>
      <c r="W3641" s="16">
        <f>V3641*N3641*O3641</f>
        <v/>
      </c>
      <c r="X3641" s="12">
        <f>IF(LEFT(I3641,2)="MV",2*N3641*IF(L3641="1/C",O3641,1),0)</f>
        <v/>
      </c>
      <c r="Y3641" s="12">
        <f>IF(OR(LEFT(K3641,4)="LVAX",LEFT(K3641,6)="MV15AX",LEFT(K3641,4)="CTAX",LEFT(K3641,2)="W|"),2*N3641*O3641,0)</f>
        <v/>
      </c>
      <c r="Z3641" s="12" t="inlineStr">
        <is>
          <t>VD 0.3 %</t>
        </is>
      </c>
      <c r="AA3641" s="12">
        <f>N3641*O3641</f>
        <v/>
      </c>
    </row>
    <row r="3642">
      <c r="A3642" s="12" t="inlineStr">
        <is>
          <t>G-P-0227</t>
        </is>
      </c>
      <c r="B3642" s="12" t="inlineStr">
        <is>
          <t>G</t>
        </is>
      </c>
      <c r="C3642" s="12" t="inlineStr">
        <is>
          <t>Carbon capture</t>
        </is>
      </c>
      <c r="D3642" s="12" t="inlineStr">
        <is>
          <t>MOV 6: power</t>
        </is>
      </c>
      <c r="E3642" s="12" t="inlineStr"/>
      <c r="F3642" s="12" t="inlineStr">
        <is>
          <t>CCS MV switchgear building (VFDs)</t>
        </is>
      </c>
      <c r="G3642" s="12" t="inlineStr">
        <is>
          <t>STR-B</t>
        </is>
      </c>
      <c r="H3642" s="12" t="inlineStr">
        <is>
          <t>STR-B: stripper / regenerator (45 ft dia x 207 ft)</t>
        </is>
      </c>
      <c r="I3642" s="12" t="inlineStr">
        <is>
          <t>LV 600 V</t>
        </is>
      </c>
      <c r="J3642" s="12" t="inlineStr">
        <is>
          <t>Type TC-ER 600 V 3/C Cu XHHW-2 + ground, PVC jacket</t>
        </is>
      </c>
      <c r="K3642" s="12" t="inlineStr">
        <is>
          <t>LV|3/C+G|10</t>
        </is>
      </c>
      <c r="L3642" s="12" t="inlineStr">
        <is>
          <t>3/C+G</t>
        </is>
      </c>
      <c r="M3642" s="12" t="inlineStr">
        <is>
          <t>10</t>
        </is>
      </c>
      <c r="N3642" s="12" t="n">
        <v>1</v>
      </c>
      <c r="O3642" s="12" t="n">
        <v>1</v>
      </c>
      <c r="P3642" s="12" t="n">
        <v>480</v>
      </c>
      <c r="Q3642" s="12" t="n">
        <v>2.5</v>
      </c>
      <c r="R3642" s="12" t="n">
        <v>3.5</v>
      </c>
      <c r="S3642" s="12" t="inlineStr">
        <is>
          <t>Duct bank</t>
        </is>
      </c>
      <c r="T3642" s="16" t="n">
        <v>146</v>
      </c>
      <c r="U3642" s="16" t="n">
        <v>36</v>
      </c>
      <c r="V3642" s="16">
        <f>ROUNDUP((T3642+U3642+2*'Read Me'!$B$13)*(1+'Read Me'!$B$12),-1)</f>
        <v/>
      </c>
      <c r="W3642" s="16">
        <f>V3642*N3642*O3642</f>
        <v/>
      </c>
      <c r="X3642" s="12">
        <f>IF(LEFT(I3642,2)="MV",2*N3642*IF(L3642="1/C",O3642,1),0)</f>
        <v/>
      </c>
      <c r="Y3642" s="12">
        <f>IF(OR(LEFT(K3642,4)="LVAX",LEFT(K3642,6)="MV15AX",LEFT(K3642,4)="CTAX",LEFT(K3642,2)="W|"),2*N3642*O3642,0)</f>
        <v/>
      </c>
      <c r="Z3642" s="12" t="inlineStr">
        <is>
          <t>VD 0.3 %</t>
        </is>
      </c>
      <c r="AA3642" s="12">
        <f>N3642*O3642</f>
        <v/>
      </c>
    </row>
    <row r="3643">
      <c r="A3643" s="12" t="inlineStr">
        <is>
          <t>G-P-0228</t>
        </is>
      </c>
      <c r="B3643" s="12" t="inlineStr">
        <is>
          <t>G</t>
        </is>
      </c>
      <c r="C3643" s="12" t="inlineStr">
        <is>
          <t>Carbon capture</t>
        </is>
      </c>
      <c r="D3643" s="12" t="inlineStr">
        <is>
          <t>LV power feeder</t>
        </is>
      </c>
      <c r="E3643" s="12" t="inlineStr"/>
      <c r="F3643" s="12" t="inlineStr">
        <is>
          <t>CCS MV switchgear building (VFDs)</t>
        </is>
      </c>
      <c r="G3643" s="12" t="inlineStr">
        <is>
          <t>STR-B</t>
        </is>
      </c>
      <c r="H3643" s="12" t="inlineStr">
        <is>
          <t>STR-B: stripper / regenerator (45 ft dia x 207 ft)</t>
        </is>
      </c>
      <c r="I3643" s="12" t="inlineStr">
        <is>
          <t>LV 600 V</t>
        </is>
      </c>
      <c r="J3643" s="12" t="inlineStr">
        <is>
          <t>Type TC-ER 600 V 3/C Cu XHHW-2 + ground, PVC jacket</t>
        </is>
      </c>
      <c r="K3643" s="12" t="inlineStr">
        <is>
          <t>LV|3/C+G|6</t>
        </is>
      </c>
      <c r="L3643" s="12" t="inlineStr">
        <is>
          <t>3/C+G</t>
        </is>
      </c>
      <c r="M3643" s="12" t="inlineStr">
        <is>
          <t>6</t>
        </is>
      </c>
      <c r="N3643" s="12" t="n">
        <v>1</v>
      </c>
      <c r="O3643" s="12" t="n">
        <v>1</v>
      </c>
      <c r="P3643" s="12" t="n">
        <v>480</v>
      </c>
      <c r="Q3643" s="12" t="n">
        <v>30</v>
      </c>
      <c r="R3643" s="12" t="n">
        <v>42.5</v>
      </c>
      <c r="S3643" s="12" t="inlineStr">
        <is>
          <t>Duct bank</t>
        </is>
      </c>
      <c r="T3643" s="16" t="n">
        <v>146</v>
      </c>
      <c r="U3643" s="16" t="n">
        <v>36</v>
      </c>
      <c r="V3643" s="16">
        <f>ROUNDUP((T3643+U3643+2*'Read Me'!$B$13)*(1+'Read Me'!$B$12),-1)</f>
        <v/>
      </c>
      <c r="W3643" s="16">
        <f>V3643*N3643*O3643</f>
        <v/>
      </c>
      <c r="X3643" s="12">
        <f>IF(LEFT(I3643,2)="MV",2*N3643*IF(L3643="1/C",O3643,1),0)</f>
        <v/>
      </c>
      <c r="Y3643" s="12">
        <f>IF(OR(LEFT(K3643,4)="LVAX",LEFT(K3643,6)="MV15AX",LEFT(K3643,4)="CTAX",LEFT(K3643,2)="W|"),2*N3643*O3643,0)</f>
        <v/>
      </c>
      <c r="Z3643" s="12" t="inlineStr">
        <is>
          <t>VD 1.5 %</t>
        </is>
      </c>
      <c r="AA3643" s="12">
        <f>N3643*O3643</f>
        <v/>
      </c>
    </row>
    <row r="3644">
      <c r="A3644" s="12" t="inlineStr">
        <is>
          <t>G-P-0229</t>
        </is>
      </c>
      <c r="B3644" s="12" t="inlineStr">
        <is>
          <t>G</t>
        </is>
      </c>
      <c r="C3644" s="12" t="inlineStr">
        <is>
          <t>Carbon capture</t>
        </is>
      </c>
      <c r="D3644" s="12" t="inlineStr">
        <is>
          <t>Area / platform lighting circuit 1 (12 fixtures)</t>
        </is>
      </c>
      <c r="E3644" s="12" t="inlineStr"/>
      <c r="F3644" s="12" t="inlineStr">
        <is>
          <t>CCS MV switchgear building (VFDs)</t>
        </is>
      </c>
      <c r="G3644" s="12" t="inlineStr">
        <is>
          <t>STR-B</t>
        </is>
      </c>
      <c r="H3644" s="12" t="inlineStr">
        <is>
          <t>STR-B: stripper / regenerator (45 ft dia x 207 ft)</t>
        </is>
      </c>
      <c r="I3644" s="12" t="inlineStr">
        <is>
          <t>LV 600 V</t>
        </is>
      </c>
      <c r="J3644" s="12" t="inlineStr">
        <is>
          <t>Type TC-ER 600 V 3/C Cu XHHW-2 + ground, PVC jacket</t>
        </is>
      </c>
      <c r="K3644" s="12" t="inlineStr">
        <is>
          <t>LV|3/C+G|10</t>
        </is>
      </c>
      <c r="L3644" s="12" t="inlineStr">
        <is>
          <t>3/C+G</t>
        </is>
      </c>
      <c r="M3644" s="12" t="inlineStr">
        <is>
          <t>10</t>
        </is>
      </c>
      <c r="N3644" s="12" t="n">
        <v>1</v>
      </c>
      <c r="O3644" s="12" t="n">
        <v>1</v>
      </c>
      <c r="P3644" s="12" t="n">
        <v>480</v>
      </c>
      <c r="Q3644" s="12" t="n">
        <v>3</v>
      </c>
      <c r="R3644" s="12" t="n">
        <v>5</v>
      </c>
      <c r="S3644" s="12" t="inlineStr">
        <is>
          <t>Duct bank</t>
        </is>
      </c>
      <c r="T3644" s="16" t="n">
        <v>446</v>
      </c>
      <c r="U3644" s="16" t="n">
        <v>36</v>
      </c>
      <c r="V3644" s="16">
        <f>ROUNDUP((T3644+U3644+2*'Read Me'!$B$13)*(1+'Read Me'!$B$12),-1)</f>
        <v/>
      </c>
      <c r="W3644" s="16">
        <f>V3644*N3644*O3644</f>
        <v/>
      </c>
      <c r="X3644" s="12">
        <f>IF(LEFT(I3644,2)="MV",2*N3644*IF(L3644="1/C",O3644,1),0)</f>
        <v/>
      </c>
      <c r="Y3644" s="12">
        <f>IF(OR(LEFT(K3644,4)="LVAX",LEFT(K3644,6)="MV15AX",LEFT(K3644,4)="CTAX",LEFT(K3644,2)="W|"),2*N3644*O3644,0)</f>
        <v/>
      </c>
      <c r="Z3644" s="12" t="inlineStr">
        <is>
          <t>fixture-to-fixture run included</t>
        </is>
      </c>
      <c r="AA3644" s="12">
        <f>N3644*O3644</f>
        <v/>
      </c>
    </row>
    <row r="3645">
      <c r="A3645" s="12" t="inlineStr">
        <is>
          <t>G-P-0230</t>
        </is>
      </c>
      <c r="B3645" s="12" t="inlineStr">
        <is>
          <t>G</t>
        </is>
      </c>
      <c r="C3645" s="12" t="inlineStr">
        <is>
          <t>Carbon capture</t>
        </is>
      </c>
      <c r="D3645" s="12" t="inlineStr">
        <is>
          <t>Area / platform lighting circuit 2 (8 fixtures)</t>
        </is>
      </c>
      <c r="E3645" s="12" t="inlineStr"/>
      <c r="F3645" s="12" t="inlineStr">
        <is>
          <t>CCS MV switchgear building (VFDs)</t>
        </is>
      </c>
      <c r="G3645" s="12" t="inlineStr">
        <is>
          <t>STR-B</t>
        </is>
      </c>
      <c r="H3645" s="12" t="inlineStr">
        <is>
          <t>STR-B: stripper / regenerator (45 ft dia x 207 ft)</t>
        </is>
      </c>
      <c r="I3645" s="12" t="inlineStr">
        <is>
          <t>LV 600 V</t>
        </is>
      </c>
      <c r="J3645" s="12" t="inlineStr">
        <is>
          <t>Type TC-ER 600 V 3/C Cu XHHW-2 + ground, PVC jacket</t>
        </is>
      </c>
      <c r="K3645" s="12" t="inlineStr">
        <is>
          <t>LV|3/C+G|10</t>
        </is>
      </c>
      <c r="L3645" s="12" t="inlineStr">
        <is>
          <t>3/C+G</t>
        </is>
      </c>
      <c r="M3645" s="12" t="inlineStr">
        <is>
          <t>10</t>
        </is>
      </c>
      <c r="N3645" s="12" t="n">
        <v>1</v>
      </c>
      <c r="O3645" s="12" t="n">
        <v>1</v>
      </c>
      <c r="P3645" s="12" t="n">
        <v>480</v>
      </c>
      <c r="Q3645" s="12" t="n">
        <v>3</v>
      </c>
      <c r="R3645" s="12" t="n">
        <v>5</v>
      </c>
      <c r="S3645" s="12" t="inlineStr">
        <is>
          <t>Duct bank</t>
        </is>
      </c>
      <c r="T3645" s="16" t="n">
        <v>446</v>
      </c>
      <c r="U3645" s="16" t="n">
        <v>36</v>
      </c>
      <c r="V3645" s="16">
        <f>ROUNDUP((T3645+U3645+2*'Read Me'!$B$13)*(1+'Read Me'!$B$12),-1)</f>
        <v/>
      </c>
      <c r="W3645" s="16">
        <f>V3645*N3645*O3645</f>
        <v/>
      </c>
      <c r="X3645" s="12">
        <f>IF(LEFT(I3645,2)="MV",2*N3645*IF(L3645="1/C",O3645,1),0)</f>
        <v/>
      </c>
      <c r="Y3645" s="12">
        <f>IF(OR(LEFT(K3645,4)="LVAX",LEFT(K3645,6)="MV15AX",LEFT(K3645,4)="CTAX",LEFT(K3645,2)="W|"),2*N3645*O3645,0)</f>
        <v/>
      </c>
      <c r="Z3645" s="12" t="inlineStr">
        <is>
          <t>fixture-to-fixture run included</t>
        </is>
      </c>
      <c r="AA3645" s="12">
        <f>N3645*O3645</f>
        <v/>
      </c>
    </row>
    <row r="3646">
      <c r="A3646" s="12" t="inlineStr">
        <is>
          <t>G-P-0231</t>
        </is>
      </c>
      <c r="B3646" s="12" t="inlineStr">
        <is>
          <t>G</t>
        </is>
      </c>
      <c r="C3646" s="12" t="inlineStr">
        <is>
          <t>Carbon capture</t>
        </is>
      </c>
      <c r="D3646" s="12" t="inlineStr">
        <is>
          <t>480 V welding receptacle 1</t>
        </is>
      </c>
      <c r="E3646" s="12" t="inlineStr"/>
      <c r="F3646" s="12" t="inlineStr">
        <is>
          <t>CCS MV switchgear building (VFDs)</t>
        </is>
      </c>
      <c r="G3646" s="12" t="inlineStr">
        <is>
          <t>STR-B</t>
        </is>
      </c>
      <c r="H3646" s="12" t="inlineStr">
        <is>
          <t>STR-B: stripper / regenerator (45 ft dia x 207 ft)</t>
        </is>
      </c>
      <c r="I3646" s="12" t="inlineStr">
        <is>
          <t>LV 600 V</t>
        </is>
      </c>
      <c r="J3646" s="12" t="inlineStr">
        <is>
          <t>Type TC-ER 600 V 3/C Cu XHHW-2 + ground, PVC jacket</t>
        </is>
      </c>
      <c r="K3646" s="12" t="inlineStr">
        <is>
          <t>LV|3/C+G|2</t>
        </is>
      </c>
      <c r="L3646" s="12" t="inlineStr">
        <is>
          <t>3/C+G</t>
        </is>
      </c>
      <c r="M3646" s="12" t="inlineStr">
        <is>
          <t>2</t>
        </is>
      </c>
      <c r="N3646" s="12" t="n">
        <v>1</v>
      </c>
      <c r="O3646" s="12" t="n">
        <v>1</v>
      </c>
      <c r="P3646" s="12" t="n">
        <v>480</v>
      </c>
      <c r="Q3646" s="12" t="n">
        <v>60</v>
      </c>
      <c r="R3646" s="12" t="n">
        <v>76</v>
      </c>
      <c r="S3646" s="12" t="inlineStr">
        <is>
          <t>Duct bank</t>
        </is>
      </c>
      <c r="T3646" s="16" t="n">
        <v>146</v>
      </c>
      <c r="U3646" s="16" t="n">
        <v>36</v>
      </c>
      <c r="V3646" s="16">
        <f>ROUNDUP((T3646+U3646+2*'Read Me'!$B$13)*(1+'Read Me'!$B$12),-1)</f>
        <v/>
      </c>
      <c r="W3646" s="16">
        <f>V3646*N3646*O3646</f>
        <v/>
      </c>
      <c r="X3646" s="12">
        <f>IF(LEFT(I3646,2)="MV",2*N3646*IF(L3646="1/C",O3646,1),0)</f>
        <v/>
      </c>
      <c r="Y3646" s="12">
        <f>IF(OR(LEFT(K3646,4)="LVAX",LEFT(K3646,6)="MV15AX",LEFT(K3646,4)="CTAX",LEFT(K3646,2)="W|"),2*N3646*O3646,0)</f>
        <v/>
      </c>
      <c r="Z3646" s="12" t="inlineStr">
        <is>
          <t>VD 1.1 %</t>
        </is>
      </c>
      <c r="AA3646" s="12">
        <f>N3646*O3646</f>
        <v/>
      </c>
    </row>
    <row r="3647">
      <c r="A3647" s="12" t="inlineStr">
        <is>
          <t>G-P-0232</t>
        </is>
      </c>
      <c r="B3647" s="12" t="inlineStr">
        <is>
          <t>G</t>
        </is>
      </c>
      <c r="C3647" s="12" t="inlineStr">
        <is>
          <t>Carbon capture</t>
        </is>
      </c>
      <c r="D3647" s="12" t="inlineStr">
        <is>
          <t>480 V welding receptacle 2</t>
        </is>
      </c>
      <c r="E3647" s="12" t="inlineStr"/>
      <c r="F3647" s="12" t="inlineStr">
        <is>
          <t>CCS MV switchgear building (VFDs)</t>
        </is>
      </c>
      <c r="G3647" s="12" t="inlineStr">
        <is>
          <t>STR-B</t>
        </is>
      </c>
      <c r="H3647" s="12" t="inlineStr">
        <is>
          <t>STR-B: stripper / regenerator (45 ft dia x 207 ft)</t>
        </is>
      </c>
      <c r="I3647" s="12" t="inlineStr">
        <is>
          <t>LV 600 V</t>
        </is>
      </c>
      <c r="J3647" s="12" t="inlineStr">
        <is>
          <t>Type TC-ER 600 V 3/C Cu XHHW-2 + ground, PVC jacket</t>
        </is>
      </c>
      <c r="K3647" s="12" t="inlineStr">
        <is>
          <t>LV|3/C+G|2</t>
        </is>
      </c>
      <c r="L3647" s="12" t="inlineStr">
        <is>
          <t>3/C+G</t>
        </is>
      </c>
      <c r="M3647" s="12" t="inlineStr">
        <is>
          <t>2</t>
        </is>
      </c>
      <c r="N3647" s="12" t="n">
        <v>1</v>
      </c>
      <c r="O3647" s="12" t="n">
        <v>1</v>
      </c>
      <c r="P3647" s="12" t="n">
        <v>480</v>
      </c>
      <c r="Q3647" s="12" t="n">
        <v>60</v>
      </c>
      <c r="R3647" s="12" t="n">
        <v>76</v>
      </c>
      <c r="S3647" s="12" t="inlineStr">
        <is>
          <t>Duct bank</t>
        </is>
      </c>
      <c r="T3647" s="16" t="n">
        <v>146</v>
      </c>
      <c r="U3647" s="16" t="n">
        <v>36</v>
      </c>
      <c r="V3647" s="16">
        <f>ROUNDUP((T3647+U3647+2*'Read Me'!$B$13)*(1+'Read Me'!$B$12),-1)</f>
        <v/>
      </c>
      <c r="W3647" s="16">
        <f>V3647*N3647*O3647</f>
        <v/>
      </c>
      <c r="X3647" s="12">
        <f>IF(LEFT(I3647,2)="MV",2*N3647*IF(L3647="1/C",O3647,1),0)</f>
        <v/>
      </c>
      <c r="Y3647" s="12">
        <f>IF(OR(LEFT(K3647,4)="LVAX",LEFT(K3647,6)="MV15AX",LEFT(K3647,4)="CTAX",LEFT(K3647,2)="W|"),2*N3647*O3647,0)</f>
        <v/>
      </c>
      <c r="Z3647" s="12" t="inlineStr">
        <is>
          <t>VD 1.1 %</t>
        </is>
      </c>
      <c r="AA3647" s="12">
        <f>N3647*O3647</f>
        <v/>
      </c>
    </row>
    <row r="3648">
      <c r="A3648" s="12" t="inlineStr">
        <is>
          <t>G-P-0233</t>
        </is>
      </c>
      <c r="B3648" s="12" t="inlineStr">
        <is>
          <t>G</t>
        </is>
      </c>
      <c r="C3648" s="12" t="inlineStr">
        <is>
          <t>Carbon capture</t>
        </is>
      </c>
      <c r="D3648" s="12" t="inlineStr">
        <is>
          <t>480 V welding receptacle 3</t>
        </is>
      </c>
      <c r="E3648" s="12" t="inlineStr"/>
      <c r="F3648" s="12" t="inlineStr">
        <is>
          <t>CCS MV switchgear building (VFDs)</t>
        </is>
      </c>
      <c r="G3648" s="12" t="inlineStr">
        <is>
          <t>STR-B</t>
        </is>
      </c>
      <c r="H3648" s="12" t="inlineStr">
        <is>
          <t>STR-B: stripper / regenerator (45 ft dia x 207 ft)</t>
        </is>
      </c>
      <c r="I3648" s="12" t="inlineStr">
        <is>
          <t>LV 600 V</t>
        </is>
      </c>
      <c r="J3648" s="12" t="inlineStr">
        <is>
          <t>Type TC-ER 600 V 3/C Cu XHHW-2 + ground, PVC jacket</t>
        </is>
      </c>
      <c r="K3648" s="12" t="inlineStr">
        <is>
          <t>LV|3/C+G|2</t>
        </is>
      </c>
      <c r="L3648" s="12" t="inlineStr">
        <is>
          <t>3/C+G</t>
        </is>
      </c>
      <c r="M3648" s="12" t="inlineStr">
        <is>
          <t>2</t>
        </is>
      </c>
      <c r="N3648" s="12" t="n">
        <v>1</v>
      </c>
      <c r="O3648" s="12" t="n">
        <v>1</v>
      </c>
      <c r="P3648" s="12" t="n">
        <v>480</v>
      </c>
      <c r="Q3648" s="12" t="n">
        <v>60</v>
      </c>
      <c r="R3648" s="12" t="n">
        <v>76</v>
      </c>
      <c r="S3648" s="12" t="inlineStr">
        <is>
          <t>Duct bank</t>
        </is>
      </c>
      <c r="T3648" s="16" t="n">
        <v>146</v>
      </c>
      <c r="U3648" s="16" t="n">
        <v>36</v>
      </c>
      <c r="V3648" s="16">
        <f>ROUNDUP((T3648+U3648+2*'Read Me'!$B$13)*(1+'Read Me'!$B$12),-1)</f>
        <v/>
      </c>
      <c r="W3648" s="16">
        <f>V3648*N3648*O3648</f>
        <v/>
      </c>
      <c r="X3648" s="12">
        <f>IF(LEFT(I3648,2)="MV",2*N3648*IF(L3648="1/C",O3648,1),0)</f>
        <v/>
      </c>
      <c r="Y3648" s="12">
        <f>IF(OR(LEFT(K3648,4)="LVAX",LEFT(K3648,6)="MV15AX",LEFT(K3648,4)="CTAX",LEFT(K3648,2)="W|"),2*N3648*O3648,0)</f>
        <v/>
      </c>
      <c r="Z3648" s="12" t="inlineStr">
        <is>
          <t>VD 1.1 %</t>
        </is>
      </c>
      <c r="AA3648" s="12">
        <f>N3648*O3648</f>
        <v/>
      </c>
    </row>
    <row r="3649">
      <c r="A3649" s="12" t="inlineStr">
        <is>
          <t>G-P-0234</t>
        </is>
      </c>
      <c r="B3649" s="12" t="inlineStr">
        <is>
          <t>G</t>
        </is>
      </c>
      <c r="C3649" s="12" t="inlineStr">
        <is>
          <t>Carbon capture</t>
        </is>
      </c>
      <c r="D3649" s="12" t="inlineStr">
        <is>
          <t>480 V welding receptacle 4</t>
        </is>
      </c>
      <c r="E3649" s="12" t="inlineStr"/>
      <c r="F3649" s="12" t="inlineStr">
        <is>
          <t>CCS MV switchgear building (VFDs)</t>
        </is>
      </c>
      <c r="G3649" s="12" t="inlineStr">
        <is>
          <t>STR-B</t>
        </is>
      </c>
      <c r="H3649" s="12" t="inlineStr">
        <is>
          <t>STR-B: stripper / regenerator (45 ft dia x 207 ft)</t>
        </is>
      </c>
      <c r="I3649" s="12" t="inlineStr">
        <is>
          <t>LV 600 V</t>
        </is>
      </c>
      <c r="J3649" s="12" t="inlineStr">
        <is>
          <t>Type TC-ER 600 V 3/C Cu XHHW-2 + ground, PVC jacket</t>
        </is>
      </c>
      <c r="K3649" s="12" t="inlineStr">
        <is>
          <t>LV|3/C+G|2</t>
        </is>
      </c>
      <c r="L3649" s="12" t="inlineStr">
        <is>
          <t>3/C+G</t>
        </is>
      </c>
      <c r="M3649" s="12" t="inlineStr">
        <is>
          <t>2</t>
        </is>
      </c>
      <c r="N3649" s="12" t="n">
        <v>1</v>
      </c>
      <c r="O3649" s="12" t="n">
        <v>1</v>
      </c>
      <c r="P3649" s="12" t="n">
        <v>480</v>
      </c>
      <c r="Q3649" s="12" t="n">
        <v>60</v>
      </c>
      <c r="R3649" s="12" t="n">
        <v>76</v>
      </c>
      <c r="S3649" s="12" t="inlineStr">
        <is>
          <t>Duct bank</t>
        </is>
      </c>
      <c r="T3649" s="16" t="n">
        <v>146</v>
      </c>
      <c r="U3649" s="16" t="n">
        <v>36</v>
      </c>
      <c r="V3649" s="16">
        <f>ROUNDUP((T3649+U3649+2*'Read Me'!$B$13)*(1+'Read Me'!$B$12),-1)</f>
        <v/>
      </c>
      <c r="W3649" s="16">
        <f>V3649*N3649*O3649</f>
        <v/>
      </c>
      <c r="X3649" s="12">
        <f>IF(LEFT(I3649,2)="MV",2*N3649*IF(L3649="1/C",O3649,1),0)</f>
        <v/>
      </c>
      <c r="Y3649" s="12">
        <f>IF(OR(LEFT(K3649,4)="LVAX",LEFT(K3649,6)="MV15AX",LEFT(K3649,4)="CTAX",LEFT(K3649,2)="W|"),2*N3649*O3649,0)</f>
        <v/>
      </c>
      <c r="Z3649" s="12" t="inlineStr">
        <is>
          <t>VD 1.1 %</t>
        </is>
      </c>
      <c r="AA3649" s="12">
        <f>N3649*O3649</f>
        <v/>
      </c>
    </row>
    <row r="3650">
      <c r="A3650" s="12" t="inlineStr">
        <is>
          <t>G-P-0235</t>
        </is>
      </c>
      <c r="B3650" s="12" t="inlineStr">
        <is>
          <t>G</t>
        </is>
      </c>
      <c r="C3650" s="12" t="inlineStr">
        <is>
          <t>Carbon capture</t>
        </is>
      </c>
      <c r="D3650" s="12" t="inlineStr">
        <is>
          <t>MOV 1: power</t>
        </is>
      </c>
      <c r="E3650" s="12" t="inlineStr"/>
      <c r="F3650" s="12" t="inlineStr">
        <is>
          <t>CCS MV switchgear building (VFDs)</t>
        </is>
      </c>
      <c r="G3650" s="12" t="inlineStr">
        <is>
          <t>STR-C</t>
        </is>
      </c>
      <c r="H3650" s="12" t="inlineStr">
        <is>
          <t>STR-C: stripper / regenerator (45 ft dia x 207 ft)</t>
        </is>
      </c>
      <c r="I3650" s="12" t="inlineStr">
        <is>
          <t>LV 600 V</t>
        </is>
      </c>
      <c r="J3650" s="12" t="inlineStr">
        <is>
          <t>Type TC-ER 600 V 3/C Cu XHHW-2 + ground, PVC jacket</t>
        </is>
      </c>
      <c r="K3650" s="12" t="inlineStr">
        <is>
          <t>LV|3/C+G|10</t>
        </is>
      </c>
      <c r="L3650" s="12" t="inlineStr">
        <is>
          <t>3/C+G</t>
        </is>
      </c>
      <c r="M3650" s="12" t="inlineStr">
        <is>
          <t>10</t>
        </is>
      </c>
      <c r="N3650" s="12" t="n">
        <v>1</v>
      </c>
      <c r="O3650" s="12" t="n">
        <v>1</v>
      </c>
      <c r="P3650" s="12" t="n">
        <v>480</v>
      </c>
      <c r="Q3650" s="12" t="n">
        <v>2.5</v>
      </c>
      <c r="R3650" s="12" t="n">
        <v>3.5</v>
      </c>
      <c r="S3650" s="12" t="inlineStr">
        <is>
          <t>Duct bank</t>
        </is>
      </c>
      <c r="T3650" s="16" t="n">
        <v>196</v>
      </c>
      <c r="U3650" s="16" t="n">
        <v>36</v>
      </c>
      <c r="V3650" s="16">
        <f>ROUNDUP((T3650+U3650+2*'Read Me'!$B$13)*(1+'Read Me'!$B$12),-1)</f>
        <v/>
      </c>
      <c r="W3650" s="16">
        <f>V3650*N3650*O3650</f>
        <v/>
      </c>
      <c r="X3650" s="12">
        <f>IF(LEFT(I3650,2)="MV",2*N3650*IF(L3650="1/C",O3650,1),0)</f>
        <v/>
      </c>
      <c r="Y3650" s="12">
        <f>IF(OR(LEFT(K3650,4)="LVAX",LEFT(K3650,6)="MV15AX",LEFT(K3650,4)="CTAX",LEFT(K3650,2)="W|"),2*N3650*O3650,0)</f>
        <v/>
      </c>
      <c r="Z3650" s="12" t="inlineStr">
        <is>
          <t>VD 0.4 %</t>
        </is>
      </c>
      <c r="AA3650" s="12">
        <f>N3650*O3650</f>
        <v/>
      </c>
    </row>
    <row r="3651">
      <c r="A3651" s="12" t="inlineStr">
        <is>
          <t>G-P-0236</t>
        </is>
      </c>
      <c r="B3651" s="12" t="inlineStr">
        <is>
          <t>G</t>
        </is>
      </c>
      <c r="C3651" s="12" t="inlineStr">
        <is>
          <t>Carbon capture</t>
        </is>
      </c>
      <c r="D3651" s="12" t="inlineStr">
        <is>
          <t>MOV 2: power</t>
        </is>
      </c>
      <c r="E3651" s="12" t="inlineStr"/>
      <c r="F3651" s="12" t="inlineStr">
        <is>
          <t>CCS MV switchgear building (VFDs)</t>
        </is>
      </c>
      <c r="G3651" s="12" t="inlineStr">
        <is>
          <t>STR-C</t>
        </is>
      </c>
      <c r="H3651" s="12" t="inlineStr">
        <is>
          <t>STR-C: stripper / regenerator (45 ft dia x 207 ft)</t>
        </is>
      </c>
      <c r="I3651" s="12" t="inlineStr">
        <is>
          <t>LV 600 V</t>
        </is>
      </c>
      <c r="J3651" s="12" t="inlineStr">
        <is>
          <t>Type TC-ER 600 V 3/C Cu XHHW-2 + ground, PVC jacket</t>
        </is>
      </c>
      <c r="K3651" s="12" t="inlineStr">
        <is>
          <t>LV|3/C+G|10</t>
        </is>
      </c>
      <c r="L3651" s="12" t="inlineStr">
        <is>
          <t>3/C+G</t>
        </is>
      </c>
      <c r="M3651" s="12" t="inlineStr">
        <is>
          <t>10</t>
        </is>
      </c>
      <c r="N3651" s="12" t="n">
        <v>1</v>
      </c>
      <c r="O3651" s="12" t="n">
        <v>1</v>
      </c>
      <c r="P3651" s="12" t="n">
        <v>480</v>
      </c>
      <c r="Q3651" s="12" t="n">
        <v>2.5</v>
      </c>
      <c r="R3651" s="12" t="n">
        <v>3.5</v>
      </c>
      <c r="S3651" s="12" t="inlineStr">
        <is>
          <t>Duct bank</t>
        </is>
      </c>
      <c r="T3651" s="16" t="n">
        <v>196</v>
      </c>
      <c r="U3651" s="16" t="n">
        <v>36</v>
      </c>
      <c r="V3651" s="16">
        <f>ROUNDUP((T3651+U3651+2*'Read Me'!$B$13)*(1+'Read Me'!$B$12),-1)</f>
        <v/>
      </c>
      <c r="W3651" s="16">
        <f>V3651*N3651*O3651</f>
        <v/>
      </c>
      <c r="X3651" s="12">
        <f>IF(LEFT(I3651,2)="MV",2*N3651*IF(L3651="1/C",O3651,1),0)</f>
        <v/>
      </c>
      <c r="Y3651" s="12">
        <f>IF(OR(LEFT(K3651,4)="LVAX",LEFT(K3651,6)="MV15AX",LEFT(K3651,4)="CTAX",LEFT(K3651,2)="W|"),2*N3651*O3651,0)</f>
        <v/>
      </c>
      <c r="Z3651" s="12" t="inlineStr">
        <is>
          <t>VD 0.4 %</t>
        </is>
      </c>
      <c r="AA3651" s="12">
        <f>N3651*O3651</f>
        <v/>
      </c>
    </row>
    <row r="3652">
      <c r="A3652" s="12" t="inlineStr">
        <is>
          <t>G-P-0237</t>
        </is>
      </c>
      <c r="B3652" s="12" t="inlineStr">
        <is>
          <t>G</t>
        </is>
      </c>
      <c r="C3652" s="12" t="inlineStr">
        <is>
          <t>Carbon capture</t>
        </is>
      </c>
      <c r="D3652" s="12" t="inlineStr">
        <is>
          <t>MOV 3: power</t>
        </is>
      </c>
      <c r="E3652" s="12" t="inlineStr"/>
      <c r="F3652" s="12" t="inlineStr">
        <is>
          <t>CCS MV switchgear building (VFDs)</t>
        </is>
      </c>
      <c r="G3652" s="12" t="inlineStr">
        <is>
          <t>STR-C</t>
        </is>
      </c>
      <c r="H3652" s="12" t="inlineStr">
        <is>
          <t>STR-C: stripper / regenerator (45 ft dia x 207 ft)</t>
        </is>
      </c>
      <c r="I3652" s="12" t="inlineStr">
        <is>
          <t>LV 600 V</t>
        </is>
      </c>
      <c r="J3652" s="12" t="inlineStr">
        <is>
          <t>Type TC-ER 600 V 3/C Cu XHHW-2 + ground, PVC jacket</t>
        </is>
      </c>
      <c r="K3652" s="12" t="inlineStr">
        <is>
          <t>LV|3/C+G|10</t>
        </is>
      </c>
      <c r="L3652" s="12" t="inlineStr">
        <is>
          <t>3/C+G</t>
        </is>
      </c>
      <c r="M3652" s="12" t="inlineStr">
        <is>
          <t>10</t>
        </is>
      </c>
      <c r="N3652" s="12" t="n">
        <v>1</v>
      </c>
      <c r="O3652" s="12" t="n">
        <v>1</v>
      </c>
      <c r="P3652" s="12" t="n">
        <v>480</v>
      </c>
      <c r="Q3652" s="12" t="n">
        <v>2.5</v>
      </c>
      <c r="R3652" s="12" t="n">
        <v>3.5</v>
      </c>
      <c r="S3652" s="12" t="inlineStr">
        <is>
          <t>Duct bank</t>
        </is>
      </c>
      <c r="T3652" s="16" t="n">
        <v>196</v>
      </c>
      <c r="U3652" s="16" t="n">
        <v>36</v>
      </c>
      <c r="V3652" s="16">
        <f>ROUNDUP((T3652+U3652+2*'Read Me'!$B$13)*(1+'Read Me'!$B$12),-1)</f>
        <v/>
      </c>
      <c r="W3652" s="16">
        <f>V3652*N3652*O3652</f>
        <v/>
      </c>
      <c r="X3652" s="12">
        <f>IF(LEFT(I3652,2)="MV",2*N3652*IF(L3652="1/C",O3652,1),0)</f>
        <v/>
      </c>
      <c r="Y3652" s="12">
        <f>IF(OR(LEFT(K3652,4)="LVAX",LEFT(K3652,6)="MV15AX",LEFT(K3652,4)="CTAX",LEFT(K3652,2)="W|"),2*N3652*O3652,0)</f>
        <v/>
      </c>
      <c r="Z3652" s="12" t="inlineStr">
        <is>
          <t>VD 0.4 %</t>
        </is>
      </c>
      <c r="AA3652" s="12">
        <f>N3652*O3652</f>
        <v/>
      </c>
    </row>
    <row r="3653">
      <c r="A3653" s="12" t="inlineStr">
        <is>
          <t>G-P-0238</t>
        </is>
      </c>
      <c r="B3653" s="12" t="inlineStr">
        <is>
          <t>G</t>
        </is>
      </c>
      <c r="C3653" s="12" t="inlineStr">
        <is>
          <t>Carbon capture</t>
        </is>
      </c>
      <c r="D3653" s="12" t="inlineStr">
        <is>
          <t>MOV 4: power</t>
        </is>
      </c>
      <c r="E3653" s="12" t="inlineStr"/>
      <c r="F3653" s="12" t="inlineStr">
        <is>
          <t>CCS MV switchgear building (VFDs)</t>
        </is>
      </c>
      <c r="G3653" s="12" t="inlineStr">
        <is>
          <t>STR-C</t>
        </is>
      </c>
      <c r="H3653" s="12" t="inlineStr">
        <is>
          <t>STR-C: stripper / regenerator (45 ft dia x 207 ft)</t>
        </is>
      </c>
      <c r="I3653" s="12" t="inlineStr">
        <is>
          <t>LV 600 V</t>
        </is>
      </c>
      <c r="J3653" s="12" t="inlineStr">
        <is>
          <t>Type TC-ER 600 V 3/C Cu XHHW-2 + ground, PVC jacket</t>
        </is>
      </c>
      <c r="K3653" s="12" t="inlineStr">
        <is>
          <t>LV|3/C+G|10</t>
        </is>
      </c>
      <c r="L3653" s="12" t="inlineStr">
        <is>
          <t>3/C+G</t>
        </is>
      </c>
      <c r="M3653" s="12" t="inlineStr">
        <is>
          <t>10</t>
        </is>
      </c>
      <c r="N3653" s="12" t="n">
        <v>1</v>
      </c>
      <c r="O3653" s="12" t="n">
        <v>1</v>
      </c>
      <c r="P3653" s="12" t="n">
        <v>480</v>
      </c>
      <c r="Q3653" s="12" t="n">
        <v>2.5</v>
      </c>
      <c r="R3653" s="12" t="n">
        <v>3.5</v>
      </c>
      <c r="S3653" s="12" t="inlineStr">
        <is>
          <t>Duct bank</t>
        </is>
      </c>
      <c r="T3653" s="16" t="n">
        <v>196</v>
      </c>
      <c r="U3653" s="16" t="n">
        <v>36</v>
      </c>
      <c r="V3653" s="16">
        <f>ROUNDUP((T3653+U3653+2*'Read Me'!$B$13)*(1+'Read Me'!$B$12),-1)</f>
        <v/>
      </c>
      <c r="W3653" s="16">
        <f>V3653*N3653*O3653</f>
        <v/>
      </c>
      <c r="X3653" s="12">
        <f>IF(LEFT(I3653,2)="MV",2*N3653*IF(L3653="1/C",O3653,1),0)</f>
        <v/>
      </c>
      <c r="Y3653" s="12">
        <f>IF(OR(LEFT(K3653,4)="LVAX",LEFT(K3653,6)="MV15AX",LEFT(K3653,4)="CTAX",LEFT(K3653,2)="W|"),2*N3653*O3653,0)</f>
        <v/>
      </c>
      <c r="Z3653" s="12" t="inlineStr">
        <is>
          <t>VD 0.4 %</t>
        </is>
      </c>
      <c r="AA3653" s="12">
        <f>N3653*O3653</f>
        <v/>
      </c>
    </row>
    <row r="3654">
      <c r="A3654" s="12" t="inlineStr">
        <is>
          <t>G-P-0239</t>
        </is>
      </c>
      <c r="B3654" s="12" t="inlineStr">
        <is>
          <t>G</t>
        </is>
      </c>
      <c r="C3654" s="12" t="inlineStr">
        <is>
          <t>Carbon capture</t>
        </is>
      </c>
      <c r="D3654" s="12" t="inlineStr">
        <is>
          <t>MOV 5: power</t>
        </is>
      </c>
      <c r="E3654" s="12" t="inlineStr"/>
      <c r="F3654" s="12" t="inlineStr">
        <is>
          <t>CCS MV switchgear building (VFDs)</t>
        </is>
      </c>
      <c r="G3654" s="12" t="inlineStr">
        <is>
          <t>STR-C</t>
        </is>
      </c>
      <c r="H3654" s="12" t="inlineStr">
        <is>
          <t>STR-C: stripper / regenerator (45 ft dia x 207 ft)</t>
        </is>
      </c>
      <c r="I3654" s="12" t="inlineStr">
        <is>
          <t>LV 600 V</t>
        </is>
      </c>
      <c r="J3654" s="12" t="inlineStr">
        <is>
          <t>Type TC-ER 600 V 3/C Cu XHHW-2 + ground, PVC jacket</t>
        </is>
      </c>
      <c r="K3654" s="12" t="inlineStr">
        <is>
          <t>LV|3/C+G|10</t>
        </is>
      </c>
      <c r="L3654" s="12" t="inlineStr">
        <is>
          <t>3/C+G</t>
        </is>
      </c>
      <c r="M3654" s="12" t="inlineStr">
        <is>
          <t>10</t>
        </is>
      </c>
      <c r="N3654" s="12" t="n">
        <v>1</v>
      </c>
      <c r="O3654" s="12" t="n">
        <v>1</v>
      </c>
      <c r="P3654" s="12" t="n">
        <v>480</v>
      </c>
      <c r="Q3654" s="12" t="n">
        <v>2.5</v>
      </c>
      <c r="R3654" s="12" t="n">
        <v>3.5</v>
      </c>
      <c r="S3654" s="12" t="inlineStr">
        <is>
          <t>Duct bank</t>
        </is>
      </c>
      <c r="T3654" s="16" t="n">
        <v>196</v>
      </c>
      <c r="U3654" s="16" t="n">
        <v>36</v>
      </c>
      <c r="V3654" s="16">
        <f>ROUNDUP((T3654+U3654+2*'Read Me'!$B$13)*(1+'Read Me'!$B$12),-1)</f>
        <v/>
      </c>
      <c r="W3654" s="16">
        <f>V3654*N3654*O3654</f>
        <v/>
      </c>
      <c r="X3654" s="12">
        <f>IF(LEFT(I3654,2)="MV",2*N3654*IF(L3654="1/C",O3654,1),0)</f>
        <v/>
      </c>
      <c r="Y3654" s="12">
        <f>IF(OR(LEFT(K3654,4)="LVAX",LEFT(K3654,6)="MV15AX",LEFT(K3654,4)="CTAX",LEFT(K3654,2)="W|"),2*N3654*O3654,0)</f>
        <v/>
      </c>
      <c r="Z3654" s="12" t="inlineStr">
        <is>
          <t>VD 0.4 %</t>
        </is>
      </c>
      <c r="AA3654" s="12">
        <f>N3654*O3654</f>
        <v/>
      </c>
    </row>
    <row r="3655">
      <c r="A3655" s="12" t="inlineStr">
        <is>
          <t>G-P-0240</t>
        </is>
      </c>
      <c r="B3655" s="12" t="inlineStr">
        <is>
          <t>G</t>
        </is>
      </c>
      <c r="C3655" s="12" t="inlineStr">
        <is>
          <t>Carbon capture</t>
        </is>
      </c>
      <c r="D3655" s="12" t="inlineStr">
        <is>
          <t>MOV 6: power</t>
        </is>
      </c>
      <c r="E3655" s="12" t="inlineStr"/>
      <c r="F3655" s="12" t="inlineStr">
        <is>
          <t>CCS MV switchgear building (VFDs)</t>
        </is>
      </c>
      <c r="G3655" s="12" t="inlineStr">
        <is>
          <t>STR-C</t>
        </is>
      </c>
      <c r="H3655" s="12" t="inlineStr">
        <is>
          <t>STR-C: stripper / regenerator (45 ft dia x 207 ft)</t>
        </is>
      </c>
      <c r="I3655" s="12" t="inlineStr">
        <is>
          <t>LV 600 V</t>
        </is>
      </c>
      <c r="J3655" s="12" t="inlineStr">
        <is>
          <t>Type TC-ER 600 V 3/C Cu XHHW-2 + ground, PVC jacket</t>
        </is>
      </c>
      <c r="K3655" s="12" t="inlineStr">
        <is>
          <t>LV|3/C+G|10</t>
        </is>
      </c>
      <c r="L3655" s="12" t="inlineStr">
        <is>
          <t>3/C+G</t>
        </is>
      </c>
      <c r="M3655" s="12" t="inlineStr">
        <is>
          <t>10</t>
        </is>
      </c>
      <c r="N3655" s="12" t="n">
        <v>1</v>
      </c>
      <c r="O3655" s="12" t="n">
        <v>1</v>
      </c>
      <c r="P3655" s="12" t="n">
        <v>480</v>
      </c>
      <c r="Q3655" s="12" t="n">
        <v>2.5</v>
      </c>
      <c r="R3655" s="12" t="n">
        <v>3.5</v>
      </c>
      <c r="S3655" s="12" t="inlineStr">
        <is>
          <t>Duct bank</t>
        </is>
      </c>
      <c r="T3655" s="16" t="n">
        <v>196</v>
      </c>
      <c r="U3655" s="16" t="n">
        <v>36</v>
      </c>
      <c r="V3655" s="16">
        <f>ROUNDUP((T3655+U3655+2*'Read Me'!$B$13)*(1+'Read Me'!$B$12),-1)</f>
        <v/>
      </c>
      <c r="W3655" s="16">
        <f>V3655*N3655*O3655</f>
        <v/>
      </c>
      <c r="X3655" s="12">
        <f>IF(LEFT(I3655,2)="MV",2*N3655*IF(L3655="1/C",O3655,1),0)</f>
        <v/>
      </c>
      <c r="Y3655" s="12">
        <f>IF(OR(LEFT(K3655,4)="LVAX",LEFT(K3655,6)="MV15AX",LEFT(K3655,4)="CTAX",LEFT(K3655,2)="W|"),2*N3655*O3655,0)</f>
        <v/>
      </c>
      <c r="Z3655" s="12" t="inlineStr">
        <is>
          <t>VD 0.4 %</t>
        </is>
      </c>
      <c r="AA3655" s="12">
        <f>N3655*O3655</f>
        <v/>
      </c>
    </row>
    <row r="3656">
      <c r="A3656" s="12" t="inlineStr">
        <is>
          <t>G-P-0241</t>
        </is>
      </c>
      <c r="B3656" s="12" t="inlineStr">
        <is>
          <t>G</t>
        </is>
      </c>
      <c r="C3656" s="12" t="inlineStr">
        <is>
          <t>Carbon capture</t>
        </is>
      </c>
      <c r="D3656" s="12" t="inlineStr">
        <is>
          <t>LV power feeder</t>
        </is>
      </c>
      <c r="E3656" s="12" t="inlineStr"/>
      <c r="F3656" s="12" t="inlineStr">
        <is>
          <t>CCS MV switchgear building (VFDs)</t>
        </is>
      </c>
      <c r="G3656" s="12" t="inlineStr">
        <is>
          <t>STR-C</t>
        </is>
      </c>
      <c r="H3656" s="12" t="inlineStr">
        <is>
          <t>STR-C: stripper / regenerator (45 ft dia x 207 ft)</t>
        </is>
      </c>
      <c r="I3656" s="12" t="inlineStr">
        <is>
          <t>LV 600 V</t>
        </is>
      </c>
      <c r="J3656" s="12" t="inlineStr">
        <is>
          <t>Type TC-ER 600 V 3/C Cu XHHW-2 + ground, PVC jacket</t>
        </is>
      </c>
      <c r="K3656" s="12" t="inlineStr">
        <is>
          <t>LV|3/C+G|6</t>
        </is>
      </c>
      <c r="L3656" s="12" t="inlineStr">
        <is>
          <t>3/C+G</t>
        </is>
      </c>
      <c r="M3656" s="12" t="inlineStr">
        <is>
          <t>6</t>
        </is>
      </c>
      <c r="N3656" s="12" t="n">
        <v>1</v>
      </c>
      <c r="O3656" s="12" t="n">
        <v>1</v>
      </c>
      <c r="P3656" s="12" t="n">
        <v>480</v>
      </c>
      <c r="Q3656" s="12" t="n">
        <v>30</v>
      </c>
      <c r="R3656" s="12" t="n">
        <v>42.5</v>
      </c>
      <c r="S3656" s="12" t="inlineStr">
        <is>
          <t>Duct bank</t>
        </is>
      </c>
      <c r="T3656" s="16" t="n">
        <v>196</v>
      </c>
      <c r="U3656" s="16" t="n">
        <v>36</v>
      </c>
      <c r="V3656" s="16">
        <f>ROUNDUP((T3656+U3656+2*'Read Me'!$B$13)*(1+'Read Me'!$B$12),-1)</f>
        <v/>
      </c>
      <c r="W3656" s="16">
        <f>V3656*N3656*O3656</f>
        <v/>
      </c>
      <c r="X3656" s="12">
        <f>IF(LEFT(I3656,2)="MV",2*N3656*IF(L3656="1/C",O3656,1),0)</f>
        <v/>
      </c>
      <c r="Y3656" s="12">
        <f>IF(OR(LEFT(K3656,4)="LVAX",LEFT(K3656,6)="MV15AX",LEFT(K3656,4)="CTAX",LEFT(K3656,2)="W|"),2*N3656*O3656,0)</f>
        <v/>
      </c>
      <c r="Z3656" s="12" t="inlineStr">
        <is>
          <t>VD 1.9 %</t>
        </is>
      </c>
      <c r="AA3656" s="12">
        <f>N3656*O3656</f>
        <v/>
      </c>
    </row>
    <row r="3657">
      <c r="A3657" s="12" t="inlineStr">
        <is>
          <t>G-P-0242</t>
        </is>
      </c>
      <c r="B3657" s="12" t="inlineStr">
        <is>
          <t>G</t>
        </is>
      </c>
      <c r="C3657" s="12" t="inlineStr">
        <is>
          <t>Carbon capture</t>
        </is>
      </c>
      <c r="D3657" s="12" t="inlineStr">
        <is>
          <t>Area / platform lighting circuit 1 (12 fixtures)</t>
        </is>
      </c>
      <c r="E3657" s="12" t="inlineStr"/>
      <c r="F3657" s="12" t="inlineStr">
        <is>
          <t>CCS MV switchgear building (VFDs)</t>
        </is>
      </c>
      <c r="G3657" s="12" t="inlineStr">
        <is>
          <t>STR-C</t>
        </is>
      </c>
      <c r="H3657" s="12" t="inlineStr">
        <is>
          <t>STR-C: stripper / regenerator (45 ft dia x 207 ft)</t>
        </is>
      </c>
      <c r="I3657" s="12" t="inlineStr">
        <is>
          <t>LV 600 V</t>
        </is>
      </c>
      <c r="J3657" s="12" t="inlineStr">
        <is>
          <t>Type TC-ER 600 V 3/C Cu XHHW-2 + ground, PVC jacket</t>
        </is>
      </c>
      <c r="K3657" s="12" t="inlineStr">
        <is>
          <t>LV|3/C+G|10</t>
        </is>
      </c>
      <c r="L3657" s="12" t="inlineStr">
        <is>
          <t>3/C+G</t>
        </is>
      </c>
      <c r="M3657" s="12" t="inlineStr">
        <is>
          <t>10</t>
        </is>
      </c>
      <c r="N3657" s="12" t="n">
        <v>1</v>
      </c>
      <c r="O3657" s="12" t="n">
        <v>1</v>
      </c>
      <c r="P3657" s="12" t="n">
        <v>480</v>
      </c>
      <c r="Q3657" s="12" t="n">
        <v>3</v>
      </c>
      <c r="R3657" s="12" t="n">
        <v>5</v>
      </c>
      <c r="S3657" s="12" t="inlineStr">
        <is>
          <t>Duct bank</t>
        </is>
      </c>
      <c r="T3657" s="16" t="n">
        <v>496</v>
      </c>
      <c r="U3657" s="16" t="n">
        <v>36</v>
      </c>
      <c r="V3657" s="16">
        <f>ROUNDUP((T3657+U3657+2*'Read Me'!$B$13)*(1+'Read Me'!$B$12),-1)</f>
        <v/>
      </c>
      <c r="W3657" s="16">
        <f>V3657*N3657*O3657</f>
        <v/>
      </c>
      <c r="X3657" s="12">
        <f>IF(LEFT(I3657,2)="MV",2*N3657*IF(L3657="1/C",O3657,1),0)</f>
        <v/>
      </c>
      <c r="Y3657" s="12">
        <f>IF(OR(LEFT(K3657,4)="LVAX",LEFT(K3657,6)="MV15AX",LEFT(K3657,4)="CTAX",LEFT(K3657,2)="W|"),2*N3657*O3657,0)</f>
        <v/>
      </c>
      <c r="Z3657" s="12" t="inlineStr">
        <is>
          <t>fixture-to-fixture run included</t>
        </is>
      </c>
      <c r="AA3657" s="12">
        <f>N3657*O3657</f>
        <v/>
      </c>
    </row>
    <row r="3658">
      <c r="A3658" s="12" t="inlineStr">
        <is>
          <t>G-P-0243</t>
        </is>
      </c>
      <c r="B3658" s="12" t="inlineStr">
        <is>
          <t>G</t>
        </is>
      </c>
      <c r="C3658" s="12" t="inlineStr">
        <is>
          <t>Carbon capture</t>
        </is>
      </c>
      <c r="D3658" s="12" t="inlineStr">
        <is>
          <t>Area / platform lighting circuit 2 (8 fixtures)</t>
        </is>
      </c>
      <c r="E3658" s="12" t="inlineStr"/>
      <c r="F3658" s="12" t="inlineStr">
        <is>
          <t>CCS MV switchgear building (VFDs)</t>
        </is>
      </c>
      <c r="G3658" s="12" t="inlineStr">
        <is>
          <t>STR-C</t>
        </is>
      </c>
      <c r="H3658" s="12" t="inlineStr">
        <is>
          <t>STR-C: stripper / regenerator (45 ft dia x 207 ft)</t>
        </is>
      </c>
      <c r="I3658" s="12" t="inlineStr">
        <is>
          <t>LV 600 V</t>
        </is>
      </c>
      <c r="J3658" s="12" t="inlineStr">
        <is>
          <t>Type TC-ER 600 V 3/C Cu XHHW-2 + ground, PVC jacket</t>
        </is>
      </c>
      <c r="K3658" s="12" t="inlineStr">
        <is>
          <t>LV|3/C+G|10</t>
        </is>
      </c>
      <c r="L3658" s="12" t="inlineStr">
        <is>
          <t>3/C+G</t>
        </is>
      </c>
      <c r="M3658" s="12" t="inlineStr">
        <is>
          <t>10</t>
        </is>
      </c>
      <c r="N3658" s="12" t="n">
        <v>1</v>
      </c>
      <c r="O3658" s="12" t="n">
        <v>1</v>
      </c>
      <c r="P3658" s="12" t="n">
        <v>480</v>
      </c>
      <c r="Q3658" s="12" t="n">
        <v>3</v>
      </c>
      <c r="R3658" s="12" t="n">
        <v>5</v>
      </c>
      <c r="S3658" s="12" t="inlineStr">
        <is>
          <t>Duct bank</t>
        </is>
      </c>
      <c r="T3658" s="16" t="n">
        <v>496</v>
      </c>
      <c r="U3658" s="16" t="n">
        <v>36</v>
      </c>
      <c r="V3658" s="16">
        <f>ROUNDUP((T3658+U3658+2*'Read Me'!$B$13)*(1+'Read Me'!$B$12),-1)</f>
        <v/>
      </c>
      <c r="W3658" s="16">
        <f>V3658*N3658*O3658</f>
        <v/>
      </c>
      <c r="X3658" s="12">
        <f>IF(LEFT(I3658,2)="MV",2*N3658*IF(L3658="1/C",O3658,1),0)</f>
        <v/>
      </c>
      <c r="Y3658" s="12">
        <f>IF(OR(LEFT(K3658,4)="LVAX",LEFT(K3658,6)="MV15AX",LEFT(K3658,4)="CTAX",LEFT(K3658,2)="W|"),2*N3658*O3658,0)</f>
        <v/>
      </c>
      <c r="Z3658" s="12" t="inlineStr">
        <is>
          <t>fixture-to-fixture run included</t>
        </is>
      </c>
      <c r="AA3658" s="12">
        <f>N3658*O3658</f>
        <v/>
      </c>
    </row>
    <row r="3659">
      <c r="A3659" s="12" t="inlineStr">
        <is>
          <t>G-P-0244</t>
        </is>
      </c>
      <c r="B3659" s="12" t="inlineStr">
        <is>
          <t>G</t>
        </is>
      </c>
      <c r="C3659" s="12" t="inlineStr">
        <is>
          <t>Carbon capture</t>
        </is>
      </c>
      <c r="D3659" s="12" t="inlineStr">
        <is>
          <t>480 V welding receptacle 1</t>
        </is>
      </c>
      <c r="E3659" s="12" t="inlineStr"/>
      <c r="F3659" s="12" t="inlineStr">
        <is>
          <t>CCS MV switchgear building (VFDs)</t>
        </is>
      </c>
      <c r="G3659" s="12" t="inlineStr">
        <is>
          <t>STR-C</t>
        </is>
      </c>
      <c r="H3659" s="12" t="inlineStr">
        <is>
          <t>STR-C: stripper / regenerator (45 ft dia x 207 ft)</t>
        </is>
      </c>
      <c r="I3659" s="12" t="inlineStr">
        <is>
          <t>LV 600 V</t>
        </is>
      </c>
      <c r="J3659" s="12" t="inlineStr">
        <is>
          <t>Type TC-ER 600 V 3/C Cu XHHW-2 + ground, PVC jacket</t>
        </is>
      </c>
      <c r="K3659" s="12" t="inlineStr">
        <is>
          <t>LV|3/C+G|2</t>
        </is>
      </c>
      <c r="L3659" s="12" t="inlineStr">
        <is>
          <t>3/C+G</t>
        </is>
      </c>
      <c r="M3659" s="12" t="inlineStr">
        <is>
          <t>2</t>
        </is>
      </c>
      <c r="N3659" s="12" t="n">
        <v>1</v>
      </c>
      <c r="O3659" s="12" t="n">
        <v>1</v>
      </c>
      <c r="P3659" s="12" t="n">
        <v>480</v>
      </c>
      <c r="Q3659" s="12" t="n">
        <v>60</v>
      </c>
      <c r="R3659" s="12" t="n">
        <v>76</v>
      </c>
      <c r="S3659" s="12" t="inlineStr">
        <is>
          <t>Duct bank</t>
        </is>
      </c>
      <c r="T3659" s="16" t="n">
        <v>196</v>
      </c>
      <c r="U3659" s="16" t="n">
        <v>36</v>
      </c>
      <c r="V3659" s="16">
        <f>ROUNDUP((T3659+U3659+2*'Read Me'!$B$13)*(1+'Read Me'!$B$12),-1)</f>
        <v/>
      </c>
      <c r="W3659" s="16">
        <f>V3659*N3659*O3659</f>
        <v/>
      </c>
      <c r="X3659" s="12">
        <f>IF(LEFT(I3659,2)="MV",2*N3659*IF(L3659="1/C",O3659,1),0)</f>
        <v/>
      </c>
      <c r="Y3659" s="12">
        <f>IF(OR(LEFT(K3659,4)="LVAX",LEFT(K3659,6)="MV15AX",LEFT(K3659,4)="CTAX",LEFT(K3659,2)="W|"),2*N3659*O3659,0)</f>
        <v/>
      </c>
      <c r="Z3659" s="12" t="inlineStr">
        <is>
          <t>VD 1.4 %</t>
        </is>
      </c>
      <c r="AA3659" s="12">
        <f>N3659*O3659</f>
        <v/>
      </c>
    </row>
    <row r="3660">
      <c r="A3660" s="12" t="inlineStr">
        <is>
          <t>G-P-0245</t>
        </is>
      </c>
      <c r="B3660" s="12" t="inlineStr">
        <is>
          <t>G</t>
        </is>
      </c>
      <c r="C3660" s="12" t="inlineStr">
        <is>
          <t>Carbon capture</t>
        </is>
      </c>
      <c r="D3660" s="12" t="inlineStr">
        <is>
          <t>480 V welding receptacle 2</t>
        </is>
      </c>
      <c r="E3660" s="12" t="inlineStr"/>
      <c r="F3660" s="12" t="inlineStr">
        <is>
          <t>CCS MV switchgear building (VFDs)</t>
        </is>
      </c>
      <c r="G3660" s="12" t="inlineStr">
        <is>
          <t>STR-C</t>
        </is>
      </c>
      <c r="H3660" s="12" t="inlineStr">
        <is>
          <t>STR-C: stripper / regenerator (45 ft dia x 207 ft)</t>
        </is>
      </c>
      <c r="I3660" s="12" t="inlineStr">
        <is>
          <t>LV 600 V</t>
        </is>
      </c>
      <c r="J3660" s="12" t="inlineStr">
        <is>
          <t>Type TC-ER 600 V 3/C Cu XHHW-2 + ground, PVC jacket</t>
        </is>
      </c>
      <c r="K3660" s="12" t="inlineStr">
        <is>
          <t>LV|3/C+G|2</t>
        </is>
      </c>
      <c r="L3660" s="12" t="inlineStr">
        <is>
          <t>3/C+G</t>
        </is>
      </c>
      <c r="M3660" s="12" t="inlineStr">
        <is>
          <t>2</t>
        </is>
      </c>
      <c r="N3660" s="12" t="n">
        <v>1</v>
      </c>
      <c r="O3660" s="12" t="n">
        <v>1</v>
      </c>
      <c r="P3660" s="12" t="n">
        <v>480</v>
      </c>
      <c r="Q3660" s="12" t="n">
        <v>60</v>
      </c>
      <c r="R3660" s="12" t="n">
        <v>76</v>
      </c>
      <c r="S3660" s="12" t="inlineStr">
        <is>
          <t>Duct bank</t>
        </is>
      </c>
      <c r="T3660" s="16" t="n">
        <v>196</v>
      </c>
      <c r="U3660" s="16" t="n">
        <v>36</v>
      </c>
      <c r="V3660" s="16">
        <f>ROUNDUP((T3660+U3660+2*'Read Me'!$B$13)*(1+'Read Me'!$B$12),-1)</f>
        <v/>
      </c>
      <c r="W3660" s="16">
        <f>V3660*N3660*O3660</f>
        <v/>
      </c>
      <c r="X3660" s="12">
        <f>IF(LEFT(I3660,2)="MV",2*N3660*IF(L3660="1/C",O3660,1),0)</f>
        <v/>
      </c>
      <c r="Y3660" s="12">
        <f>IF(OR(LEFT(K3660,4)="LVAX",LEFT(K3660,6)="MV15AX",LEFT(K3660,4)="CTAX",LEFT(K3660,2)="W|"),2*N3660*O3660,0)</f>
        <v/>
      </c>
      <c r="Z3660" s="12" t="inlineStr">
        <is>
          <t>VD 1.4 %</t>
        </is>
      </c>
      <c r="AA3660" s="12">
        <f>N3660*O3660</f>
        <v/>
      </c>
    </row>
    <row r="3661">
      <c r="A3661" s="12" t="inlineStr">
        <is>
          <t>G-P-0246</t>
        </is>
      </c>
      <c r="B3661" s="12" t="inlineStr">
        <is>
          <t>G</t>
        </is>
      </c>
      <c r="C3661" s="12" t="inlineStr">
        <is>
          <t>Carbon capture</t>
        </is>
      </c>
      <c r="D3661" s="12" t="inlineStr">
        <is>
          <t>480 V welding receptacle 3</t>
        </is>
      </c>
      <c r="E3661" s="12" t="inlineStr"/>
      <c r="F3661" s="12" t="inlineStr">
        <is>
          <t>CCS MV switchgear building (VFDs)</t>
        </is>
      </c>
      <c r="G3661" s="12" t="inlineStr">
        <is>
          <t>STR-C</t>
        </is>
      </c>
      <c r="H3661" s="12" t="inlineStr">
        <is>
          <t>STR-C: stripper / regenerator (45 ft dia x 207 ft)</t>
        </is>
      </c>
      <c r="I3661" s="12" t="inlineStr">
        <is>
          <t>LV 600 V</t>
        </is>
      </c>
      <c r="J3661" s="12" t="inlineStr">
        <is>
          <t>Type TC-ER 600 V 3/C Cu XHHW-2 + ground, PVC jacket</t>
        </is>
      </c>
      <c r="K3661" s="12" t="inlineStr">
        <is>
          <t>LV|3/C+G|2</t>
        </is>
      </c>
      <c r="L3661" s="12" t="inlineStr">
        <is>
          <t>3/C+G</t>
        </is>
      </c>
      <c r="M3661" s="12" t="inlineStr">
        <is>
          <t>2</t>
        </is>
      </c>
      <c r="N3661" s="12" t="n">
        <v>1</v>
      </c>
      <c r="O3661" s="12" t="n">
        <v>1</v>
      </c>
      <c r="P3661" s="12" t="n">
        <v>480</v>
      </c>
      <c r="Q3661" s="12" t="n">
        <v>60</v>
      </c>
      <c r="R3661" s="12" t="n">
        <v>76</v>
      </c>
      <c r="S3661" s="12" t="inlineStr">
        <is>
          <t>Duct bank</t>
        </is>
      </c>
      <c r="T3661" s="16" t="n">
        <v>196</v>
      </c>
      <c r="U3661" s="16" t="n">
        <v>36</v>
      </c>
      <c r="V3661" s="16">
        <f>ROUNDUP((T3661+U3661+2*'Read Me'!$B$13)*(1+'Read Me'!$B$12),-1)</f>
        <v/>
      </c>
      <c r="W3661" s="16">
        <f>V3661*N3661*O3661</f>
        <v/>
      </c>
      <c r="X3661" s="12">
        <f>IF(LEFT(I3661,2)="MV",2*N3661*IF(L3661="1/C",O3661,1),0)</f>
        <v/>
      </c>
      <c r="Y3661" s="12">
        <f>IF(OR(LEFT(K3661,4)="LVAX",LEFT(K3661,6)="MV15AX",LEFT(K3661,4)="CTAX",LEFT(K3661,2)="W|"),2*N3661*O3661,0)</f>
        <v/>
      </c>
      <c r="Z3661" s="12" t="inlineStr">
        <is>
          <t>VD 1.4 %</t>
        </is>
      </c>
      <c r="AA3661" s="12">
        <f>N3661*O3661</f>
        <v/>
      </c>
    </row>
    <row r="3662">
      <c r="A3662" s="12" t="inlineStr">
        <is>
          <t>G-P-0247</t>
        </is>
      </c>
      <c r="B3662" s="12" t="inlineStr">
        <is>
          <t>G</t>
        </is>
      </c>
      <c r="C3662" s="12" t="inlineStr">
        <is>
          <t>Carbon capture</t>
        </is>
      </c>
      <c r="D3662" s="12" t="inlineStr">
        <is>
          <t>480 V welding receptacle 4</t>
        </is>
      </c>
      <c r="E3662" s="12" t="inlineStr"/>
      <c r="F3662" s="12" t="inlineStr">
        <is>
          <t>CCS MV switchgear building (VFDs)</t>
        </is>
      </c>
      <c r="G3662" s="12" t="inlineStr">
        <is>
          <t>STR-C</t>
        </is>
      </c>
      <c r="H3662" s="12" t="inlineStr">
        <is>
          <t>STR-C: stripper / regenerator (45 ft dia x 207 ft)</t>
        </is>
      </c>
      <c r="I3662" s="12" t="inlineStr">
        <is>
          <t>LV 600 V</t>
        </is>
      </c>
      <c r="J3662" s="12" t="inlineStr">
        <is>
          <t>Type TC-ER 600 V 3/C Cu XHHW-2 + ground, PVC jacket</t>
        </is>
      </c>
      <c r="K3662" s="12" t="inlineStr">
        <is>
          <t>LV|3/C+G|2</t>
        </is>
      </c>
      <c r="L3662" s="12" t="inlineStr">
        <is>
          <t>3/C+G</t>
        </is>
      </c>
      <c r="M3662" s="12" t="inlineStr">
        <is>
          <t>2</t>
        </is>
      </c>
      <c r="N3662" s="12" t="n">
        <v>1</v>
      </c>
      <c r="O3662" s="12" t="n">
        <v>1</v>
      </c>
      <c r="P3662" s="12" t="n">
        <v>480</v>
      </c>
      <c r="Q3662" s="12" t="n">
        <v>60</v>
      </c>
      <c r="R3662" s="12" t="n">
        <v>76</v>
      </c>
      <c r="S3662" s="12" t="inlineStr">
        <is>
          <t>Duct bank</t>
        </is>
      </c>
      <c r="T3662" s="16" t="n">
        <v>196</v>
      </c>
      <c r="U3662" s="16" t="n">
        <v>36</v>
      </c>
      <c r="V3662" s="16">
        <f>ROUNDUP((T3662+U3662+2*'Read Me'!$B$13)*(1+'Read Me'!$B$12),-1)</f>
        <v/>
      </c>
      <c r="W3662" s="16">
        <f>V3662*N3662*O3662</f>
        <v/>
      </c>
      <c r="X3662" s="12">
        <f>IF(LEFT(I3662,2)="MV",2*N3662*IF(L3662="1/C",O3662,1),0)</f>
        <v/>
      </c>
      <c r="Y3662" s="12">
        <f>IF(OR(LEFT(K3662,4)="LVAX",LEFT(K3662,6)="MV15AX",LEFT(K3662,4)="CTAX",LEFT(K3662,2)="W|"),2*N3662*O3662,0)</f>
        <v/>
      </c>
      <c r="Z3662" s="12" t="inlineStr">
        <is>
          <t>VD 1.4 %</t>
        </is>
      </c>
      <c r="AA3662" s="12">
        <f>N3662*O3662</f>
        <v/>
      </c>
    </row>
    <row r="3663">
      <c r="A3663" s="12" t="inlineStr">
        <is>
          <t>G-P-0248</t>
        </is>
      </c>
      <c r="B3663" s="12" t="inlineStr">
        <is>
          <t>G</t>
        </is>
      </c>
      <c r="C3663" s="12" t="inlineStr">
        <is>
          <t>Carbon capture</t>
        </is>
      </c>
      <c r="D3663" s="12" t="inlineStr">
        <is>
          <t>Motor 1 of 4, 15 kW</t>
        </is>
      </c>
      <c r="E3663" s="12" t="inlineStr"/>
      <c r="F3663" s="12" t="inlineStr">
        <is>
          <t>CCS MV switchgear building (VFDs)</t>
        </is>
      </c>
      <c r="G3663" s="12" t="inlineStr"/>
      <c r="H3663" s="12" t="inlineStr">
        <is>
          <t>Solvent + NaOH storage</t>
        </is>
      </c>
      <c r="I3663" s="12" t="inlineStr">
        <is>
          <t>LV 600 V</t>
        </is>
      </c>
      <c r="J3663" s="12" t="inlineStr">
        <is>
          <t>Type TC-ER 600 V 3/C Cu XHHW-2 + ground, PVC jacket</t>
        </is>
      </c>
      <c r="K3663" s="12" t="inlineStr">
        <is>
          <t>LV|3/C+G|10</t>
        </is>
      </c>
      <c r="L3663" s="12" t="inlineStr">
        <is>
          <t>3/C+G</t>
        </is>
      </c>
      <c r="M3663" s="12" t="inlineStr">
        <is>
          <t>10</t>
        </is>
      </c>
      <c r="N3663" s="12" t="n">
        <v>1</v>
      </c>
      <c r="O3663" s="12" t="n">
        <v>1</v>
      </c>
      <c r="P3663" s="12" t="n">
        <v>480</v>
      </c>
      <c r="Q3663" s="12" t="n">
        <v>15</v>
      </c>
      <c r="R3663" s="12" t="n">
        <v>21.2</v>
      </c>
      <c r="S3663" s="12" t="inlineStr">
        <is>
          <t>Duct bank</t>
        </is>
      </c>
      <c r="T3663" s="16" t="n">
        <v>250</v>
      </c>
      <c r="U3663" s="16" t="n">
        <v>37</v>
      </c>
      <c r="V3663" s="16">
        <f>ROUNDUP((T3663+U3663+2*'Read Me'!$B$13)*(1+'Read Me'!$B$12),-1)</f>
        <v/>
      </c>
      <c r="W3663" s="16">
        <f>V3663*N3663*O3663</f>
        <v/>
      </c>
      <c r="X3663" s="12">
        <f>IF(LEFT(I3663,2)="MV",2*N3663*IF(L3663="1/C",O3663,1),0)</f>
        <v/>
      </c>
      <c r="Y3663" s="12">
        <f>IF(OR(LEFT(K3663,4)="LVAX",LEFT(K3663,6)="MV15AX",LEFT(K3663,4)="CTAX",LEFT(K3663,2)="W|"),2*N3663*O3663,0)</f>
        <v/>
      </c>
      <c r="Z3663" s="12" t="inlineStr">
        <is>
          <t>VD 2.9 %</t>
        </is>
      </c>
      <c r="AA3663" s="12">
        <f>N3663*O3663</f>
        <v/>
      </c>
    </row>
    <row r="3664">
      <c r="A3664" s="12" t="inlineStr">
        <is>
          <t>G-P-0249</t>
        </is>
      </c>
      <c r="B3664" s="12" t="inlineStr">
        <is>
          <t>G</t>
        </is>
      </c>
      <c r="C3664" s="12" t="inlineStr">
        <is>
          <t>Carbon capture</t>
        </is>
      </c>
      <c r="D3664" s="12" t="inlineStr">
        <is>
          <t>Motor 2 of 4, 15 kW</t>
        </is>
      </c>
      <c r="E3664" s="12" t="inlineStr"/>
      <c r="F3664" s="12" t="inlineStr">
        <is>
          <t>CCS MV switchgear building (VFDs)</t>
        </is>
      </c>
      <c r="G3664" s="12" t="inlineStr"/>
      <c r="H3664" s="12" t="inlineStr">
        <is>
          <t>Solvent + NaOH storage</t>
        </is>
      </c>
      <c r="I3664" s="12" t="inlineStr">
        <is>
          <t>LV 600 V</t>
        </is>
      </c>
      <c r="J3664" s="12" t="inlineStr">
        <is>
          <t>Type TC-ER 600 V 3/C Cu XHHW-2 + ground, PVC jacket</t>
        </is>
      </c>
      <c r="K3664" s="12" t="inlineStr">
        <is>
          <t>LV|3/C+G|10</t>
        </is>
      </c>
      <c r="L3664" s="12" t="inlineStr">
        <is>
          <t>3/C+G</t>
        </is>
      </c>
      <c r="M3664" s="12" t="inlineStr">
        <is>
          <t>10</t>
        </is>
      </c>
      <c r="N3664" s="12" t="n">
        <v>1</v>
      </c>
      <c r="O3664" s="12" t="n">
        <v>1</v>
      </c>
      <c r="P3664" s="12" t="n">
        <v>480</v>
      </c>
      <c r="Q3664" s="12" t="n">
        <v>15</v>
      </c>
      <c r="R3664" s="12" t="n">
        <v>21.2</v>
      </c>
      <c r="S3664" s="12" t="inlineStr">
        <is>
          <t>Duct bank</t>
        </is>
      </c>
      <c r="T3664" s="16" t="n">
        <v>250</v>
      </c>
      <c r="U3664" s="16" t="n">
        <v>37</v>
      </c>
      <c r="V3664" s="16">
        <f>ROUNDUP((T3664+U3664+2*'Read Me'!$B$13)*(1+'Read Me'!$B$12),-1)</f>
        <v/>
      </c>
      <c r="W3664" s="16">
        <f>V3664*N3664*O3664</f>
        <v/>
      </c>
      <c r="X3664" s="12">
        <f>IF(LEFT(I3664,2)="MV",2*N3664*IF(L3664="1/C",O3664,1),0)</f>
        <v/>
      </c>
      <c r="Y3664" s="12">
        <f>IF(OR(LEFT(K3664,4)="LVAX",LEFT(K3664,6)="MV15AX",LEFT(K3664,4)="CTAX",LEFT(K3664,2)="W|"),2*N3664*O3664,0)</f>
        <v/>
      </c>
      <c r="Z3664" s="12" t="inlineStr">
        <is>
          <t>VD 2.9 %</t>
        </is>
      </c>
      <c r="AA3664" s="12">
        <f>N3664*O3664</f>
        <v/>
      </c>
    </row>
    <row r="3665">
      <c r="A3665" s="12" t="inlineStr">
        <is>
          <t>G-P-0250</t>
        </is>
      </c>
      <c r="B3665" s="12" t="inlineStr">
        <is>
          <t>G</t>
        </is>
      </c>
      <c r="C3665" s="12" t="inlineStr">
        <is>
          <t>Carbon capture</t>
        </is>
      </c>
      <c r="D3665" s="12" t="inlineStr">
        <is>
          <t>Motor 3 of 4, 15 kW</t>
        </is>
      </c>
      <c r="E3665" s="12" t="inlineStr"/>
      <c r="F3665" s="12" t="inlineStr">
        <is>
          <t>CCS MV switchgear building (VFDs)</t>
        </is>
      </c>
      <c r="G3665" s="12" t="inlineStr"/>
      <c r="H3665" s="12" t="inlineStr">
        <is>
          <t>Solvent + NaOH storage</t>
        </is>
      </c>
      <c r="I3665" s="12" t="inlineStr">
        <is>
          <t>LV 600 V</t>
        </is>
      </c>
      <c r="J3665" s="12" t="inlineStr">
        <is>
          <t>Type TC-ER 600 V 3/C Cu XHHW-2 + ground, PVC jacket</t>
        </is>
      </c>
      <c r="K3665" s="12" t="inlineStr">
        <is>
          <t>LV|3/C+G|10</t>
        </is>
      </c>
      <c r="L3665" s="12" t="inlineStr">
        <is>
          <t>3/C+G</t>
        </is>
      </c>
      <c r="M3665" s="12" t="inlineStr">
        <is>
          <t>10</t>
        </is>
      </c>
      <c r="N3665" s="12" t="n">
        <v>1</v>
      </c>
      <c r="O3665" s="12" t="n">
        <v>1</v>
      </c>
      <c r="P3665" s="12" t="n">
        <v>480</v>
      </c>
      <c r="Q3665" s="12" t="n">
        <v>15</v>
      </c>
      <c r="R3665" s="12" t="n">
        <v>21.2</v>
      </c>
      <c r="S3665" s="12" t="inlineStr">
        <is>
          <t>Duct bank</t>
        </is>
      </c>
      <c r="T3665" s="16" t="n">
        <v>250</v>
      </c>
      <c r="U3665" s="16" t="n">
        <v>37</v>
      </c>
      <c r="V3665" s="16">
        <f>ROUNDUP((T3665+U3665+2*'Read Me'!$B$13)*(1+'Read Me'!$B$12),-1)</f>
        <v/>
      </c>
      <c r="W3665" s="16">
        <f>V3665*N3665*O3665</f>
        <v/>
      </c>
      <c r="X3665" s="12">
        <f>IF(LEFT(I3665,2)="MV",2*N3665*IF(L3665="1/C",O3665,1),0)</f>
        <v/>
      </c>
      <c r="Y3665" s="12">
        <f>IF(OR(LEFT(K3665,4)="LVAX",LEFT(K3665,6)="MV15AX",LEFT(K3665,4)="CTAX",LEFT(K3665,2)="W|"),2*N3665*O3665,0)</f>
        <v/>
      </c>
      <c r="Z3665" s="12" t="inlineStr">
        <is>
          <t>VD 2.9 %</t>
        </is>
      </c>
      <c r="AA3665" s="12">
        <f>N3665*O3665</f>
        <v/>
      </c>
    </row>
    <row r="3666">
      <c r="A3666" s="12" t="inlineStr">
        <is>
          <t>G-P-0251</t>
        </is>
      </c>
      <c r="B3666" s="12" t="inlineStr">
        <is>
          <t>G</t>
        </is>
      </c>
      <c r="C3666" s="12" t="inlineStr">
        <is>
          <t>Carbon capture</t>
        </is>
      </c>
      <c r="D3666" s="12" t="inlineStr">
        <is>
          <t>Motor 4 of 4, 15 kW</t>
        </is>
      </c>
      <c r="E3666" s="12" t="inlineStr"/>
      <c r="F3666" s="12" t="inlineStr">
        <is>
          <t>CCS MV switchgear building (VFDs)</t>
        </is>
      </c>
      <c r="G3666" s="12" t="inlineStr"/>
      <c r="H3666" s="12" t="inlineStr">
        <is>
          <t>Solvent + NaOH storage</t>
        </is>
      </c>
      <c r="I3666" s="12" t="inlineStr">
        <is>
          <t>LV 600 V</t>
        </is>
      </c>
      <c r="J3666" s="12" t="inlineStr">
        <is>
          <t>Type TC-ER 600 V 3/C Cu XHHW-2 + ground, PVC jacket</t>
        </is>
      </c>
      <c r="K3666" s="12" t="inlineStr">
        <is>
          <t>LV|3/C+G|10</t>
        </is>
      </c>
      <c r="L3666" s="12" t="inlineStr">
        <is>
          <t>3/C+G</t>
        </is>
      </c>
      <c r="M3666" s="12" t="inlineStr">
        <is>
          <t>10</t>
        </is>
      </c>
      <c r="N3666" s="12" t="n">
        <v>1</v>
      </c>
      <c r="O3666" s="12" t="n">
        <v>1</v>
      </c>
      <c r="P3666" s="12" t="n">
        <v>480</v>
      </c>
      <c r="Q3666" s="12" t="n">
        <v>15</v>
      </c>
      <c r="R3666" s="12" t="n">
        <v>21.2</v>
      </c>
      <c r="S3666" s="12" t="inlineStr">
        <is>
          <t>Duct bank</t>
        </is>
      </c>
      <c r="T3666" s="16" t="n">
        <v>250</v>
      </c>
      <c r="U3666" s="16" t="n">
        <v>37</v>
      </c>
      <c r="V3666" s="16">
        <f>ROUNDUP((T3666+U3666+2*'Read Me'!$B$13)*(1+'Read Me'!$B$12),-1)</f>
        <v/>
      </c>
      <c r="W3666" s="16">
        <f>V3666*N3666*O3666</f>
        <v/>
      </c>
      <c r="X3666" s="12">
        <f>IF(LEFT(I3666,2)="MV",2*N3666*IF(L3666="1/C",O3666,1),0)</f>
        <v/>
      </c>
      <c r="Y3666" s="12">
        <f>IF(OR(LEFT(K3666,4)="LVAX",LEFT(K3666,6)="MV15AX",LEFT(K3666,4)="CTAX",LEFT(K3666,2)="W|"),2*N3666*O3666,0)</f>
        <v/>
      </c>
      <c r="Z3666" s="12" t="inlineStr">
        <is>
          <t>VD 2.9 %</t>
        </is>
      </c>
      <c r="AA3666" s="12">
        <f>N3666*O3666</f>
        <v/>
      </c>
    </row>
    <row r="3667">
      <c r="A3667" s="12" t="inlineStr">
        <is>
          <t>G-P-0252</t>
        </is>
      </c>
      <c r="B3667" s="12" t="inlineStr">
        <is>
          <t>G</t>
        </is>
      </c>
      <c r="C3667" s="12" t="inlineStr">
        <is>
          <t>Carbon capture</t>
        </is>
      </c>
      <c r="D3667" s="12" t="inlineStr">
        <is>
          <t>Motor 1 of 2, 110 kW</t>
        </is>
      </c>
      <c r="E3667" s="12" t="inlineStr"/>
      <c r="F3667" s="12" t="inlineStr">
        <is>
          <t>CCS MV switchgear building (VFDs)</t>
        </is>
      </c>
      <c r="G3667" s="12" t="inlineStr"/>
      <c r="H3667" s="12" t="inlineStr">
        <is>
          <t>Water-wash pumps A</t>
        </is>
      </c>
      <c r="I3667" s="12" t="inlineStr">
        <is>
          <t>LV 600 V</t>
        </is>
      </c>
      <c r="J3667" s="12" t="inlineStr">
        <is>
          <t>Type TC-ER 600 V 3/C Cu XHHW-2 + ground, PVC jacket</t>
        </is>
      </c>
      <c r="K3667" s="12" t="inlineStr">
        <is>
          <t>LV|3/C+G|3/0</t>
        </is>
      </c>
      <c r="L3667" s="12" t="inlineStr">
        <is>
          <t>3/C+G</t>
        </is>
      </c>
      <c r="M3667" s="12" t="inlineStr">
        <is>
          <t>3/0</t>
        </is>
      </c>
      <c r="N3667" s="12" t="n">
        <v>1</v>
      </c>
      <c r="O3667" s="12" t="n">
        <v>1</v>
      </c>
      <c r="P3667" s="12" t="n">
        <v>480</v>
      </c>
      <c r="Q3667" s="12" t="n">
        <v>110</v>
      </c>
      <c r="R3667" s="12" t="n">
        <v>155.7</v>
      </c>
      <c r="S3667" s="12" t="inlineStr">
        <is>
          <t>Tray</t>
        </is>
      </c>
      <c r="T3667" s="16" t="n">
        <v>465</v>
      </c>
      <c r="U3667" s="16" t="n">
        <v>96</v>
      </c>
      <c r="V3667" s="16">
        <f>ROUNDUP((T3667+U3667+2*'Read Me'!$B$13)*(1+'Read Me'!$B$12),-1)</f>
        <v/>
      </c>
      <c r="W3667" s="16">
        <f>V3667*N3667*O3667</f>
        <v/>
      </c>
      <c r="X3667" s="12">
        <f>IF(LEFT(I3667,2)="MV",2*N3667*IF(L3667="1/C",O3667,1),0)</f>
        <v/>
      </c>
      <c r="Y3667" s="12">
        <f>IF(OR(LEFT(K3667,4)="LVAX",LEFT(K3667,6)="MV15AX",LEFT(K3667,4)="CTAX",LEFT(K3667,2)="W|"),2*N3667*O3667,0)</f>
        <v/>
      </c>
      <c r="Z3667" s="12" t="inlineStr">
        <is>
          <t>VD 2.7 %</t>
        </is>
      </c>
      <c r="AA3667" s="12">
        <f>N3667*O3667</f>
        <v/>
      </c>
    </row>
    <row r="3668">
      <c r="A3668" s="12" t="inlineStr">
        <is>
          <t>G-P-0253</t>
        </is>
      </c>
      <c r="B3668" s="12" t="inlineStr">
        <is>
          <t>G</t>
        </is>
      </c>
      <c r="C3668" s="12" t="inlineStr">
        <is>
          <t>Carbon capture</t>
        </is>
      </c>
      <c r="D3668" s="12" t="inlineStr">
        <is>
          <t>Motor 2 of 2, 110 kW</t>
        </is>
      </c>
      <c r="E3668" s="12" t="inlineStr"/>
      <c r="F3668" s="12" t="inlineStr">
        <is>
          <t>CCS MV switchgear building (VFDs)</t>
        </is>
      </c>
      <c r="G3668" s="12" t="inlineStr"/>
      <c r="H3668" s="12" t="inlineStr">
        <is>
          <t>Water-wash pumps A</t>
        </is>
      </c>
      <c r="I3668" s="12" t="inlineStr">
        <is>
          <t>LV 600 V</t>
        </is>
      </c>
      <c r="J3668" s="12" t="inlineStr">
        <is>
          <t>Type TC-ER 600 V 3/C Cu XHHW-2 + ground, PVC jacket</t>
        </is>
      </c>
      <c r="K3668" s="12" t="inlineStr">
        <is>
          <t>LV|3/C+G|3/0</t>
        </is>
      </c>
      <c r="L3668" s="12" t="inlineStr">
        <is>
          <t>3/C+G</t>
        </is>
      </c>
      <c r="M3668" s="12" t="inlineStr">
        <is>
          <t>3/0</t>
        </is>
      </c>
      <c r="N3668" s="12" t="n">
        <v>1</v>
      </c>
      <c r="O3668" s="12" t="n">
        <v>1</v>
      </c>
      <c r="P3668" s="12" t="n">
        <v>480</v>
      </c>
      <c r="Q3668" s="12" t="n">
        <v>110</v>
      </c>
      <c r="R3668" s="12" t="n">
        <v>155.7</v>
      </c>
      <c r="S3668" s="12" t="inlineStr">
        <is>
          <t>Tray</t>
        </is>
      </c>
      <c r="T3668" s="16" t="n">
        <v>465</v>
      </c>
      <c r="U3668" s="16" t="n">
        <v>96</v>
      </c>
      <c r="V3668" s="16">
        <f>ROUNDUP((T3668+U3668+2*'Read Me'!$B$13)*(1+'Read Me'!$B$12),-1)</f>
        <v/>
      </c>
      <c r="W3668" s="16">
        <f>V3668*N3668*O3668</f>
        <v/>
      </c>
      <c r="X3668" s="12">
        <f>IF(LEFT(I3668,2)="MV",2*N3668*IF(L3668="1/C",O3668,1),0)</f>
        <v/>
      </c>
      <c r="Y3668" s="12">
        <f>IF(OR(LEFT(K3668,4)="LVAX",LEFT(K3668,6)="MV15AX",LEFT(K3668,4)="CTAX",LEFT(K3668,2)="W|"),2*N3668*O3668,0)</f>
        <v/>
      </c>
      <c r="Z3668" s="12" t="inlineStr">
        <is>
          <t>VD 2.7 %</t>
        </is>
      </c>
      <c r="AA3668" s="12">
        <f>N3668*O3668</f>
        <v/>
      </c>
    </row>
    <row r="3669">
      <c r="A3669" s="12" t="inlineStr">
        <is>
          <t>G-P-0254</t>
        </is>
      </c>
      <c r="B3669" s="12" t="inlineStr">
        <is>
          <t>G</t>
        </is>
      </c>
      <c r="C3669" s="12" t="inlineStr">
        <is>
          <t>Carbon capture</t>
        </is>
      </c>
      <c r="D3669" s="12" t="inlineStr">
        <is>
          <t>Motor 1 of 2, 110 kW</t>
        </is>
      </c>
      <c r="E3669" s="12" t="inlineStr"/>
      <c r="F3669" s="12" t="inlineStr">
        <is>
          <t>CCS MV switchgear building (VFDs)</t>
        </is>
      </c>
      <c r="G3669" s="12" t="inlineStr"/>
      <c r="H3669" s="12" t="inlineStr">
        <is>
          <t>Water-wash pumps B</t>
        </is>
      </c>
      <c r="I3669" s="12" t="inlineStr">
        <is>
          <t>LV 600 V</t>
        </is>
      </c>
      <c r="J3669" s="12" t="inlineStr">
        <is>
          <t>Type TC-ER 600 V 3/C Cu XHHW-2 + ground, PVC jacket</t>
        </is>
      </c>
      <c r="K3669" s="12" t="inlineStr">
        <is>
          <t>LV|3/C+G|3/0</t>
        </is>
      </c>
      <c r="L3669" s="12" t="inlineStr">
        <is>
          <t>3/C+G</t>
        </is>
      </c>
      <c r="M3669" s="12" t="inlineStr">
        <is>
          <t>3/0</t>
        </is>
      </c>
      <c r="N3669" s="12" t="n">
        <v>1</v>
      </c>
      <c r="O3669" s="12" t="n">
        <v>1</v>
      </c>
      <c r="P3669" s="12" t="n">
        <v>480</v>
      </c>
      <c r="Q3669" s="12" t="n">
        <v>110</v>
      </c>
      <c r="R3669" s="12" t="n">
        <v>155.7</v>
      </c>
      <c r="S3669" s="12" t="inlineStr">
        <is>
          <t>Tray</t>
        </is>
      </c>
      <c r="T3669" s="16" t="n">
        <v>305</v>
      </c>
      <c r="U3669" s="16" t="n">
        <v>96</v>
      </c>
      <c r="V3669" s="16">
        <f>ROUNDUP((T3669+U3669+2*'Read Me'!$B$13)*(1+'Read Me'!$B$12),-1)</f>
        <v/>
      </c>
      <c r="W3669" s="16">
        <f>V3669*N3669*O3669</f>
        <v/>
      </c>
      <c r="X3669" s="12">
        <f>IF(LEFT(I3669,2)="MV",2*N3669*IF(L3669="1/C",O3669,1),0)</f>
        <v/>
      </c>
      <c r="Y3669" s="12">
        <f>IF(OR(LEFT(K3669,4)="LVAX",LEFT(K3669,6)="MV15AX",LEFT(K3669,4)="CTAX",LEFT(K3669,2)="W|"),2*N3669*O3669,0)</f>
        <v/>
      </c>
      <c r="Z3669" s="12" t="inlineStr">
        <is>
          <t>VD 1.9 %</t>
        </is>
      </c>
      <c r="AA3669" s="12">
        <f>N3669*O3669</f>
        <v/>
      </c>
    </row>
    <row r="3670">
      <c r="A3670" s="12" t="inlineStr">
        <is>
          <t>G-P-0255</t>
        </is>
      </c>
      <c r="B3670" s="12" t="inlineStr">
        <is>
          <t>G</t>
        </is>
      </c>
      <c r="C3670" s="12" t="inlineStr">
        <is>
          <t>Carbon capture</t>
        </is>
      </c>
      <c r="D3670" s="12" t="inlineStr">
        <is>
          <t>Motor 2 of 2, 110 kW</t>
        </is>
      </c>
      <c r="E3670" s="12" t="inlineStr"/>
      <c r="F3670" s="12" t="inlineStr">
        <is>
          <t>CCS MV switchgear building (VFDs)</t>
        </is>
      </c>
      <c r="G3670" s="12" t="inlineStr"/>
      <c r="H3670" s="12" t="inlineStr">
        <is>
          <t>Water-wash pumps B</t>
        </is>
      </c>
      <c r="I3670" s="12" t="inlineStr">
        <is>
          <t>LV 600 V</t>
        </is>
      </c>
      <c r="J3670" s="12" t="inlineStr">
        <is>
          <t>Type TC-ER 600 V 3/C Cu XHHW-2 + ground, PVC jacket</t>
        </is>
      </c>
      <c r="K3670" s="12" t="inlineStr">
        <is>
          <t>LV|3/C+G|3/0</t>
        </is>
      </c>
      <c r="L3670" s="12" t="inlineStr">
        <is>
          <t>3/C+G</t>
        </is>
      </c>
      <c r="M3670" s="12" t="inlineStr">
        <is>
          <t>3/0</t>
        </is>
      </c>
      <c r="N3670" s="12" t="n">
        <v>1</v>
      </c>
      <c r="O3670" s="12" t="n">
        <v>1</v>
      </c>
      <c r="P3670" s="12" t="n">
        <v>480</v>
      </c>
      <c r="Q3670" s="12" t="n">
        <v>110</v>
      </c>
      <c r="R3670" s="12" t="n">
        <v>155.7</v>
      </c>
      <c r="S3670" s="12" t="inlineStr">
        <is>
          <t>Tray</t>
        </is>
      </c>
      <c r="T3670" s="16" t="n">
        <v>305</v>
      </c>
      <c r="U3670" s="16" t="n">
        <v>96</v>
      </c>
      <c r="V3670" s="16">
        <f>ROUNDUP((T3670+U3670+2*'Read Me'!$B$13)*(1+'Read Me'!$B$12),-1)</f>
        <v/>
      </c>
      <c r="W3670" s="16">
        <f>V3670*N3670*O3670</f>
        <v/>
      </c>
      <c r="X3670" s="12">
        <f>IF(LEFT(I3670,2)="MV",2*N3670*IF(L3670="1/C",O3670,1),0)</f>
        <v/>
      </c>
      <c r="Y3670" s="12">
        <f>IF(OR(LEFT(K3670,4)="LVAX",LEFT(K3670,6)="MV15AX",LEFT(K3670,4)="CTAX",LEFT(K3670,2)="W|"),2*N3670*O3670,0)</f>
        <v/>
      </c>
      <c r="Z3670" s="12" t="inlineStr">
        <is>
          <t>VD 1.9 %</t>
        </is>
      </c>
      <c r="AA3670" s="12">
        <f>N3670*O3670</f>
        <v/>
      </c>
    </row>
    <row r="3671">
      <c r="A3671" s="12" t="inlineStr">
        <is>
          <t>G-P-0256</t>
        </is>
      </c>
      <c r="B3671" s="12" t="inlineStr">
        <is>
          <t>G</t>
        </is>
      </c>
      <c r="C3671" s="12" t="inlineStr">
        <is>
          <t>Carbon capture</t>
        </is>
      </c>
      <c r="D3671" s="12" t="inlineStr">
        <is>
          <t>Motor 1 of 2, 110 kW</t>
        </is>
      </c>
      <c r="E3671" s="12" t="inlineStr"/>
      <c r="F3671" s="12" t="inlineStr">
        <is>
          <t>CCS MV switchgear building (VFDs)</t>
        </is>
      </c>
      <c r="G3671" s="12" t="inlineStr"/>
      <c r="H3671" s="12" t="inlineStr">
        <is>
          <t>Water-wash pumps C</t>
        </is>
      </c>
      <c r="I3671" s="12" t="inlineStr">
        <is>
          <t>LV 600 V</t>
        </is>
      </c>
      <c r="J3671" s="12" t="inlineStr">
        <is>
          <t>Type TC-ER 600 V 3/C Cu XHHW-2 + ground, PVC jacket</t>
        </is>
      </c>
      <c r="K3671" s="12" t="inlineStr">
        <is>
          <t>LV|3/C+G|3/0</t>
        </is>
      </c>
      <c r="L3671" s="12" t="inlineStr">
        <is>
          <t>3/C+G</t>
        </is>
      </c>
      <c r="M3671" s="12" t="inlineStr">
        <is>
          <t>3/0</t>
        </is>
      </c>
      <c r="N3671" s="12" t="n">
        <v>1</v>
      </c>
      <c r="O3671" s="12" t="n">
        <v>1</v>
      </c>
      <c r="P3671" s="12" t="n">
        <v>480</v>
      </c>
      <c r="Q3671" s="12" t="n">
        <v>110</v>
      </c>
      <c r="R3671" s="12" t="n">
        <v>155.7</v>
      </c>
      <c r="S3671" s="12" t="inlineStr">
        <is>
          <t>Tray</t>
        </is>
      </c>
      <c r="T3671" s="16" t="n">
        <v>145</v>
      </c>
      <c r="U3671" s="16" t="n">
        <v>96</v>
      </c>
      <c r="V3671" s="16">
        <f>ROUNDUP((T3671+U3671+2*'Read Me'!$B$13)*(1+'Read Me'!$B$12),-1)</f>
        <v/>
      </c>
      <c r="W3671" s="16">
        <f>V3671*N3671*O3671</f>
        <v/>
      </c>
      <c r="X3671" s="12">
        <f>IF(LEFT(I3671,2)="MV",2*N3671*IF(L3671="1/C",O3671,1),0)</f>
        <v/>
      </c>
      <c r="Y3671" s="12">
        <f>IF(OR(LEFT(K3671,4)="LVAX",LEFT(K3671,6)="MV15AX",LEFT(K3671,4)="CTAX",LEFT(K3671,2)="W|"),2*N3671*O3671,0)</f>
        <v/>
      </c>
      <c r="Z3671" s="12" t="inlineStr">
        <is>
          <t>VD 1.1 %</t>
        </is>
      </c>
      <c r="AA3671" s="12">
        <f>N3671*O3671</f>
        <v/>
      </c>
    </row>
    <row r="3672">
      <c r="A3672" s="12" t="inlineStr">
        <is>
          <t>G-P-0257</t>
        </is>
      </c>
      <c r="B3672" s="12" t="inlineStr">
        <is>
          <t>G</t>
        </is>
      </c>
      <c r="C3672" s="12" t="inlineStr">
        <is>
          <t>Carbon capture</t>
        </is>
      </c>
      <c r="D3672" s="12" t="inlineStr">
        <is>
          <t>Motor 2 of 2, 110 kW</t>
        </is>
      </c>
      <c r="E3672" s="12" t="inlineStr"/>
      <c r="F3672" s="12" t="inlineStr">
        <is>
          <t>CCS MV switchgear building (VFDs)</t>
        </is>
      </c>
      <c r="G3672" s="12" t="inlineStr"/>
      <c r="H3672" s="12" t="inlineStr">
        <is>
          <t>Water-wash pumps C</t>
        </is>
      </c>
      <c r="I3672" s="12" t="inlineStr">
        <is>
          <t>LV 600 V</t>
        </is>
      </c>
      <c r="J3672" s="12" t="inlineStr">
        <is>
          <t>Type TC-ER 600 V 3/C Cu XHHW-2 + ground, PVC jacket</t>
        </is>
      </c>
      <c r="K3672" s="12" t="inlineStr">
        <is>
          <t>LV|3/C+G|3/0</t>
        </is>
      </c>
      <c r="L3672" s="12" t="inlineStr">
        <is>
          <t>3/C+G</t>
        </is>
      </c>
      <c r="M3672" s="12" t="inlineStr">
        <is>
          <t>3/0</t>
        </is>
      </c>
      <c r="N3672" s="12" t="n">
        <v>1</v>
      </c>
      <c r="O3672" s="12" t="n">
        <v>1</v>
      </c>
      <c r="P3672" s="12" t="n">
        <v>480</v>
      </c>
      <c r="Q3672" s="12" t="n">
        <v>110</v>
      </c>
      <c r="R3672" s="12" t="n">
        <v>155.7</v>
      </c>
      <c r="S3672" s="12" t="inlineStr">
        <is>
          <t>Tray</t>
        </is>
      </c>
      <c r="T3672" s="16" t="n">
        <v>145</v>
      </c>
      <c r="U3672" s="16" t="n">
        <v>96</v>
      </c>
      <c r="V3672" s="16">
        <f>ROUNDUP((T3672+U3672+2*'Read Me'!$B$13)*(1+'Read Me'!$B$12),-1)</f>
        <v/>
      </c>
      <c r="W3672" s="16">
        <f>V3672*N3672*O3672</f>
        <v/>
      </c>
      <c r="X3672" s="12">
        <f>IF(LEFT(I3672,2)="MV",2*N3672*IF(L3672="1/C",O3672,1),0)</f>
        <v/>
      </c>
      <c r="Y3672" s="12">
        <f>IF(OR(LEFT(K3672,4)="LVAX",LEFT(K3672,6)="MV15AX",LEFT(K3672,4)="CTAX",LEFT(K3672,2)="W|"),2*N3672*O3672,0)</f>
        <v/>
      </c>
      <c r="Z3672" s="12" t="inlineStr">
        <is>
          <t>VD 1.1 %</t>
        </is>
      </c>
      <c r="AA3672" s="12">
        <f>N3672*O3672</f>
        <v/>
      </c>
    </row>
    <row r="3673">
      <c r="A3673" s="12" t="inlineStr">
        <is>
          <t>G-MV-0001</t>
        </is>
      </c>
      <c r="B3673" s="12" t="inlineStr">
        <is>
          <t>G</t>
        </is>
      </c>
      <c r="C3673" s="12" t="inlineStr">
        <is>
          <t>Carbon capture</t>
        </is>
      </c>
      <c r="D3673" s="12" t="inlineStr">
        <is>
          <t>Booster fan BF-A (MV VFD output)</t>
        </is>
      </c>
      <c r="E3673" s="12" t="inlineStr"/>
      <c r="F3673" s="12" t="inlineStr">
        <is>
          <t>CCS MV switchgear building (VFDs)</t>
        </is>
      </c>
      <c r="G3673" s="12" t="inlineStr">
        <is>
          <t>BF-A</t>
        </is>
      </c>
      <c r="H3673" s="12" t="inlineStr">
        <is>
          <t>BF-A: booster fan (~16 MW)</t>
        </is>
      </c>
      <c r="I3673" s="12" t="inlineStr">
        <is>
          <t>MV 15 kV</t>
        </is>
      </c>
      <c r="J3673" s="12" t="inlineStr">
        <is>
          <t>MV-105 15 kV 1/C Cu, EPR 133%, Cu tape shield, PVC jacket (triplexed)</t>
        </is>
      </c>
      <c r="K3673" s="12" t="inlineStr">
        <is>
          <t>MV15|1/C|750</t>
        </is>
      </c>
      <c r="L3673" s="12" t="inlineStr">
        <is>
          <t>1/C</t>
        </is>
      </c>
      <c r="M3673" s="12" t="inlineStr">
        <is>
          <t>750 kcmil</t>
        </is>
      </c>
      <c r="N3673" s="12" t="n">
        <v>2</v>
      </c>
      <c r="O3673" s="12" t="n">
        <v>3</v>
      </c>
      <c r="P3673" s="12" t="n">
        <v>13800</v>
      </c>
      <c r="Q3673" s="12" t="n">
        <v>16000</v>
      </c>
      <c r="R3673" s="12" t="n">
        <v>744</v>
      </c>
      <c r="S3673" s="12" t="inlineStr">
        <is>
          <t>Duct bank</t>
        </is>
      </c>
      <c r="T3673" s="16" t="n">
        <v>460</v>
      </c>
      <c r="U3673" s="16" t="n">
        <v>32</v>
      </c>
      <c r="V3673" s="16">
        <f>ROUNDUP((T3673+U3673+2*'Read Me'!$B$13)*(1+'Read Me'!$B$12),-1)</f>
        <v/>
      </c>
      <c r="W3673" s="16">
        <f>V3673*N3673*O3673</f>
        <v/>
      </c>
      <c r="X3673" s="12">
        <f>IF(LEFT(I3673,2)="MV",2*N3673*IF(L3673="1/C",O3673,1),0)</f>
        <v/>
      </c>
      <c r="Y3673" s="12">
        <f>IF(OR(LEFT(K3673,4)="LVAX",LEFT(K3673,6)="MV15AX",LEFT(K3673,4)="CTAX",LEFT(K3673,2)="W|"),2*N3673*O3673,0)</f>
        <v/>
      </c>
      <c r="Z3673" s="12" t="inlineStr">
        <is>
          <t>~16 MW per drawing</t>
        </is>
      </c>
      <c r="AA3673" s="12">
        <f>N3673*O3673</f>
        <v/>
      </c>
    </row>
    <row r="3674">
      <c r="A3674" s="12" t="inlineStr">
        <is>
          <t>G-MV-0002</t>
        </is>
      </c>
      <c r="B3674" s="12" t="inlineStr">
        <is>
          <t>G</t>
        </is>
      </c>
      <c r="C3674" s="12" t="inlineStr">
        <is>
          <t>Carbon capture</t>
        </is>
      </c>
      <c r="D3674" s="12" t="inlineStr">
        <is>
          <t>Booster fan BF-B (MV VFD output)</t>
        </is>
      </c>
      <c r="E3674" s="12" t="inlineStr"/>
      <c r="F3674" s="12" t="inlineStr">
        <is>
          <t>CCS MV switchgear building (VFDs)</t>
        </is>
      </c>
      <c r="G3674" s="12" t="inlineStr">
        <is>
          <t>BF-B</t>
        </is>
      </c>
      <c r="H3674" s="12" t="inlineStr">
        <is>
          <t>BF-B: booster fan (~16 MW)</t>
        </is>
      </c>
      <c r="I3674" s="12" t="inlineStr">
        <is>
          <t>MV 15 kV</t>
        </is>
      </c>
      <c r="J3674" s="12" t="inlineStr">
        <is>
          <t>MV-105 15 kV 1/C Cu, EPR 133%, Cu tape shield, PVC jacket (triplexed)</t>
        </is>
      </c>
      <c r="K3674" s="12" t="inlineStr">
        <is>
          <t>MV15|1/C|750</t>
        </is>
      </c>
      <c r="L3674" s="12" t="inlineStr">
        <is>
          <t>1/C</t>
        </is>
      </c>
      <c r="M3674" s="12" t="inlineStr">
        <is>
          <t>750 kcmil</t>
        </is>
      </c>
      <c r="N3674" s="12" t="n">
        <v>2</v>
      </c>
      <c r="O3674" s="12" t="n">
        <v>3</v>
      </c>
      <c r="P3674" s="12" t="n">
        <v>13800</v>
      </c>
      <c r="Q3674" s="12" t="n">
        <v>16000</v>
      </c>
      <c r="R3674" s="12" t="n">
        <v>744</v>
      </c>
      <c r="S3674" s="12" t="inlineStr">
        <is>
          <t>Duct bank</t>
        </is>
      </c>
      <c r="T3674" s="16" t="n">
        <v>300</v>
      </c>
      <c r="U3674" s="16" t="n">
        <v>32</v>
      </c>
      <c r="V3674" s="16">
        <f>ROUNDUP((T3674+U3674+2*'Read Me'!$B$13)*(1+'Read Me'!$B$12),-1)</f>
        <v/>
      </c>
      <c r="W3674" s="16">
        <f>V3674*N3674*O3674</f>
        <v/>
      </c>
      <c r="X3674" s="12">
        <f>IF(LEFT(I3674,2)="MV",2*N3674*IF(L3674="1/C",O3674,1),0)</f>
        <v/>
      </c>
      <c r="Y3674" s="12">
        <f>IF(OR(LEFT(K3674,4)="LVAX",LEFT(K3674,6)="MV15AX",LEFT(K3674,4)="CTAX",LEFT(K3674,2)="W|"),2*N3674*O3674,0)</f>
        <v/>
      </c>
      <c r="Z3674" s="12" t="inlineStr">
        <is>
          <t>~16 MW per drawing</t>
        </is>
      </c>
      <c r="AA3674" s="12">
        <f>N3674*O3674</f>
        <v/>
      </c>
    </row>
    <row r="3675">
      <c r="A3675" s="12" t="inlineStr">
        <is>
          <t>G-MV-0003</t>
        </is>
      </c>
      <c r="B3675" s="12" t="inlineStr">
        <is>
          <t>G</t>
        </is>
      </c>
      <c r="C3675" s="12" t="inlineStr">
        <is>
          <t>Carbon capture</t>
        </is>
      </c>
      <c r="D3675" s="12" t="inlineStr">
        <is>
          <t>Booster fan BF-C (MV VFD output)</t>
        </is>
      </c>
      <c r="E3675" s="12" t="inlineStr"/>
      <c r="F3675" s="12" t="inlineStr">
        <is>
          <t>CCS MV switchgear building (VFDs)</t>
        </is>
      </c>
      <c r="G3675" s="12" t="inlineStr">
        <is>
          <t>BF-C</t>
        </is>
      </c>
      <c r="H3675" s="12" t="inlineStr">
        <is>
          <t>BF-C: booster fan (~16 MW)</t>
        </is>
      </c>
      <c r="I3675" s="12" t="inlineStr">
        <is>
          <t>MV 15 kV</t>
        </is>
      </c>
      <c r="J3675" s="12" t="inlineStr">
        <is>
          <t>MV-105 15 kV 1/C Cu, EPR 133%, Cu tape shield, PVC jacket (triplexed)</t>
        </is>
      </c>
      <c r="K3675" s="12" t="inlineStr">
        <is>
          <t>MV15|1/C|750</t>
        </is>
      </c>
      <c r="L3675" s="12" t="inlineStr">
        <is>
          <t>1/C</t>
        </is>
      </c>
      <c r="M3675" s="12" t="inlineStr">
        <is>
          <t>750 kcmil</t>
        </is>
      </c>
      <c r="N3675" s="12" t="n">
        <v>2</v>
      </c>
      <c r="O3675" s="12" t="n">
        <v>3</v>
      </c>
      <c r="P3675" s="12" t="n">
        <v>13800</v>
      </c>
      <c r="Q3675" s="12" t="n">
        <v>16000</v>
      </c>
      <c r="R3675" s="12" t="n">
        <v>744</v>
      </c>
      <c r="S3675" s="12" t="inlineStr">
        <is>
          <t>Tray</t>
        </is>
      </c>
      <c r="T3675" s="16" t="n">
        <v>16</v>
      </c>
      <c r="U3675" s="16" t="n">
        <v>150</v>
      </c>
      <c r="V3675" s="16">
        <f>ROUNDUP((T3675+U3675+2*'Read Me'!$B$13)*(1+'Read Me'!$B$12),-1)</f>
        <v/>
      </c>
      <c r="W3675" s="16">
        <f>V3675*N3675*O3675</f>
        <v/>
      </c>
      <c r="X3675" s="12">
        <f>IF(LEFT(I3675,2)="MV",2*N3675*IF(L3675="1/C",O3675,1),0)</f>
        <v/>
      </c>
      <c r="Y3675" s="12">
        <f>IF(OR(LEFT(K3675,4)="LVAX",LEFT(K3675,6)="MV15AX",LEFT(K3675,4)="CTAX",LEFT(K3675,2)="W|"),2*N3675*O3675,0)</f>
        <v/>
      </c>
      <c r="Z3675" s="12" t="inlineStr">
        <is>
          <t>~16 MW per drawing</t>
        </is>
      </c>
      <c r="AA3675" s="12">
        <f>N3675*O3675</f>
        <v/>
      </c>
    </row>
    <row r="3676">
      <c r="A3676" s="12" t="inlineStr">
        <is>
          <t>G-MV-0004</t>
        </is>
      </c>
      <c r="B3676" s="12" t="inlineStr">
        <is>
          <t>G</t>
        </is>
      </c>
      <c r="C3676" s="12" t="inlineStr">
        <is>
          <t>Carbon capture</t>
        </is>
      </c>
      <c r="D3676" s="12" t="inlineStr">
        <is>
          <t>CCS T-1 secondary to CCS 13.8 kV switchgear</t>
        </is>
      </c>
      <c r="E3676" s="12" t="inlineStr">
        <is>
          <t>CCS T-1</t>
        </is>
      </c>
      <c r="F3676" s="12" t="inlineStr">
        <is>
          <t>CCS T-1: 230/13.8 kV</t>
        </is>
      </c>
      <c r="G3676" s="12" t="inlineStr"/>
      <c r="H3676" s="12" t="inlineStr">
        <is>
          <t>CCS MV switchgear building (VFDs)</t>
        </is>
      </c>
      <c r="I3676" s="12" t="inlineStr">
        <is>
          <t>MV 15 kV</t>
        </is>
      </c>
      <c r="J3676" s="12" t="inlineStr">
        <is>
          <t>MV-105 15 kV 1/C Cu, EPR 133%, Cu tape shield, PVC jacket (triplexed)</t>
        </is>
      </c>
      <c r="K3676" s="12" t="inlineStr">
        <is>
          <t>MV15|1/C|1000</t>
        </is>
      </c>
      <c r="L3676" s="12" t="inlineStr">
        <is>
          <t>1/C</t>
        </is>
      </c>
      <c r="M3676" s="12" t="inlineStr">
        <is>
          <t>1000 kcmil</t>
        </is>
      </c>
      <c r="N3676" s="12" t="n">
        <v>5</v>
      </c>
      <c r="O3676" s="12" t="n">
        <v>3</v>
      </c>
      <c r="P3676" s="12" t="n">
        <v>13800</v>
      </c>
      <c r="Q3676" s="12" t="n">
        <v>60000</v>
      </c>
      <c r="R3676" s="12" t="n">
        <v>2510</v>
      </c>
      <c r="S3676" s="12" t="inlineStr">
        <is>
          <t>Duct bank</t>
        </is>
      </c>
      <c r="T3676" s="16" t="n">
        <v>361</v>
      </c>
      <c r="U3676" s="16" t="n">
        <v>32</v>
      </c>
      <c r="V3676" s="16">
        <f>ROUNDUP((T3676+U3676+2*'Read Me'!$B$13)*(1+'Read Me'!$B$12),-1)</f>
        <v/>
      </c>
      <c r="W3676" s="16">
        <f>V3676*N3676*O3676</f>
        <v/>
      </c>
      <c r="X3676" s="12">
        <f>IF(LEFT(I3676,2)="MV",2*N3676*IF(L3676="1/C",O3676,1),0)</f>
        <v/>
      </c>
      <c r="Y3676" s="12">
        <f>IF(OR(LEFT(K3676,4)="LVAX",LEFT(K3676,6)="MV15AX",LEFT(K3676,4)="CTAX",LEFT(K3676,2)="W|"),2*N3676*O3676,0)</f>
        <v/>
      </c>
      <c r="Z3676" s="12" t="inlineStr">
        <is>
          <t>60 MVA (typ.)</t>
        </is>
      </c>
      <c r="AA3676" s="12">
        <f>N3676*O3676</f>
        <v/>
      </c>
    </row>
    <row r="3677">
      <c r="A3677" s="12" t="inlineStr">
        <is>
          <t>G-MV-0005</t>
        </is>
      </c>
      <c r="B3677" s="12" t="inlineStr">
        <is>
          <t>G</t>
        </is>
      </c>
      <c r="C3677" s="12" t="inlineStr">
        <is>
          <t>Carbon capture</t>
        </is>
      </c>
      <c r="D3677" s="12" t="inlineStr">
        <is>
          <t>CCS T-2 secondary to CCS 13.8 kV switchgear</t>
        </is>
      </c>
      <c r="E3677" s="12" t="inlineStr">
        <is>
          <t>CCS T-2</t>
        </is>
      </c>
      <c r="F3677" s="12" t="inlineStr">
        <is>
          <t>CCS T-2: 230/13.8 kV</t>
        </is>
      </c>
      <c r="G3677" s="12" t="inlineStr"/>
      <c r="H3677" s="12" t="inlineStr">
        <is>
          <t>CCS MV switchgear building (VFDs)</t>
        </is>
      </c>
      <c r="I3677" s="12" t="inlineStr">
        <is>
          <t>MV 15 kV</t>
        </is>
      </c>
      <c r="J3677" s="12" t="inlineStr">
        <is>
          <t>MV-105 15 kV 1/C Cu, EPR 133%, Cu tape shield, PVC jacket (triplexed)</t>
        </is>
      </c>
      <c r="K3677" s="12" t="inlineStr">
        <is>
          <t>MV15|1/C|1000</t>
        </is>
      </c>
      <c r="L3677" s="12" t="inlineStr">
        <is>
          <t>1/C</t>
        </is>
      </c>
      <c r="M3677" s="12" t="inlineStr">
        <is>
          <t>1000 kcmil</t>
        </is>
      </c>
      <c r="N3677" s="12" t="n">
        <v>5</v>
      </c>
      <c r="O3677" s="12" t="n">
        <v>3</v>
      </c>
      <c r="P3677" s="12" t="n">
        <v>13800</v>
      </c>
      <c r="Q3677" s="12" t="n">
        <v>60000</v>
      </c>
      <c r="R3677" s="12" t="n">
        <v>2510</v>
      </c>
      <c r="S3677" s="12" t="inlineStr">
        <is>
          <t>Duct bank</t>
        </is>
      </c>
      <c r="T3677" s="16" t="n">
        <v>409</v>
      </c>
      <c r="U3677" s="16" t="n">
        <v>32</v>
      </c>
      <c r="V3677" s="16">
        <f>ROUNDUP((T3677+U3677+2*'Read Me'!$B$13)*(1+'Read Me'!$B$12),-1)</f>
        <v/>
      </c>
      <c r="W3677" s="16">
        <f>V3677*N3677*O3677</f>
        <v/>
      </c>
      <c r="X3677" s="12">
        <f>IF(LEFT(I3677,2)="MV",2*N3677*IF(L3677="1/C",O3677,1),0)</f>
        <v/>
      </c>
      <c r="Y3677" s="12">
        <f>IF(OR(LEFT(K3677,4)="LVAX",LEFT(K3677,6)="MV15AX",LEFT(K3677,4)="CTAX",LEFT(K3677,2)="W|"),2*N3677*O3677,0)</f>
        <v/>
      </c>
      <c r="Z3677" s="12" t="inlineStr">
        <is>
          <t>60 MVA (typ.)</t>
        </is>
      </c>
      <c r="AA3677" s="12">
        <f>N3677*O3677</f>
        <v/>
      </c>
    </row>
    <row r="3678">
      <c r="A3678" s="12" t="inlineStr">
        <is>
          <t>G-MV-0006</t>
        </is>
      </c>
      <c r="B3678" s="12" t="inlineStr">
        <is>
          <t>G</t>
        </is>
      </c>
      <c r="C3678" s="12" t="inlineStr">
        <is>
          <t>Carbon capture</t>
        </is>
      </c>
      <c r="D3678" s="12" t="inlineStr">
        <is>
          <t>CO2 compressor train 1</t>
        </is>
      </c>
      <c r="E3678" s="12" t="inlineStr"/>
      <c r="F3678" s="12" t="inlineStr">
        <is>
          <t>CCS MV switchgear building (VFDs)</t>
        </is>
      </c>
      <c r="G3678" s="12" t="inlineStr"/>
      <c r="H3678" s="12" t="inlineStr">
        <is>
          <t>CO2 compression 3 x ~19 MW + dehydration</t>
        </is>
      </c>
      <c r="I3678" s="12" t="inlineStr">
        <is>
          <t>MV 15 kV</t>
        </is>
      </c>
      <c r="J3678" s="12" t="inlineStr">
        <is>
          <t>MV-105 15 kV 1/C Cu, EPR 133%, Cu tape shield, PVC jacket (triplexed)</t>
        </is>
      </c>
      <c r="K3678" s="12" t="inlineStr">
        <is>
          <t>MV15|1/C|750</t>
        </is>
      </c>
      <c r="L3678" s="12" t="inlineStr">
        <is>
          <t>1/C</t>
        </is>
      </c>
      <c r="M3678" s="12" t="inlineStr">
        <is>
          <t>750 kcmil</t>
        </is>
      </c>
      <c r="N3678" s="12" t="n">
        <v>2</v>
      </c>
      <c r="O3678" s="12" t="n">
        <v>3</v>
      </c>
      <c r="P3678" s="12" t="n">
        <v>13800</v>
      </c>
      <c r="Q3678" s="12" t="n">
        <v>19000</v>
      </c>
      <c r="R3678" s="12" t="n">
        <v>883</v>
      </c>
      <c r="S3678" s="12" t="inlineStr">
        <is>
          <t>Duct bank</t>
        </is>
      </c>
      <c r="T3678" s="16" t="n">
        <v>291</v>
      </c>
      <c r="U3678" s="16" t="n">
        <v>36</v>
      </c>
      <c r="V3678" s="16">
        <f>ROUNDUP((T3678+U3678+2*'Read Me'!$B$13)*(1+'Read Me'!$B$12),-1)</f>
        <v/>
      </c>
      <c r="W3678" s="16">
        <f>V3678*N3678*O3678</f>
        <v/>
      </c>
      <c r="X3678" s="12">
        <f>IF(LEFT(I3678,2)="MV",2*N3678*IF(L3678="1/C",O3678,1),0)</f>
        <v/>
      </c>
      <c r="Y3678" s="12">
        <f>IF(OR(LEFT(K3678,4)="LVAX",LEFT(K3678,6)="MV15AX",LEFT(K3678,4)="CTAX",LEFT(K3678,2)="W|"),2*N3678*O3678,0)</f>
        <v/>
      </c>
      <c r="Z3678" s="12" t="inlineStr">
        <is>
          <t>~19 MW per drawing</t>
        </is>
      </c>
      <c r="AA3678" s="12">
        <f>N3678*O3678</f>
        <v/>
      </c>
    </row>
    <row r="3679">
      <c r="A3679" s="12" t="inlineStr">
        <is>
          <t>G-MV-0007</t>
        </is>
      </c>
      <c r="B3679" s="12" t="inlineStr">
        <is>
          <t>G</t>
        </is>
      </c>
      <c r="C3679" s="12" t="inlineStr">
        <is>
          <t>Carbon capture</t>
        </is>
      </c>
      <c r="D3679" s="12" t="inlineStr">
        <is>
          <t>CO2 compressor train 2</t>
        </is>
      </c>
      <c r="E3679" s="12" t="inlineStr"/>
      <c r="F3679" s="12" t="inlineStr">
        <is>
          <t>CCS MV switchgear building (VFDs)</t>
        </is>
      </c>
      <c r="G3679" s="12" t="inlineStr"/>
      <c r="H3679" s="12" t="inlineStr">
        <is>
          <t>CO2 compression 3 x ~19 MW + dehydration</t>
        </is>
      </c>
      <c r="I3679" s="12" t="inlineStr">
        <is>
          <t>MV 15 kV</t>
        </is>
      </c>
      <c r="J3679" s="12" t="inlineStr">
        <is>
          <t>MV-105 15 kV 1/C Cu, EPR 133%, Cu tape shield, PVC jacket (triplexed)</t>
        </is>
      </c>
      <c r="K3679" s="12" t="inlineStr">
        <is>
          <t>MV15|1/C|750</t>
        </is>
      </c>
      <c r="L3679" s="12" t="inlineStr">
        <is>
          <t>1/C</t>
        </is>
      </c>
      <c r="M3679" s="12" t="inlineStr">
        <is>
          <t>750 kcmil</t>
        </is>
      </c>
      <c r="N3679" s="12" t="n">
        <v>2</v>
      </c>
      <c r="O3679" s="12" t="n">
        <v>3</v>
      </c>
      <c r="P3679" s="12" t="n">
        <v>13800</v>
      </c>
      <c r="Q3679" s="12" t="n">
        <v>19000</v>
      </c>
      <c r="R3679" s="12" t="n">
        <v>883</v>
      </c>
      <c r="S3679" s="12" t="inlineStr">
        <is>
          <t>Duct bank</t>
        </is>
      </c>
      <c r="T3679" s="16" t="n">
        <v>291</v>
      </c>
      <c r="U3679" s="16" t="n">
        <v>36</v>
      </c>
      <c r="V3679" s="16">
        <f>ROUNDUP((T3679+U3679+2*'Read Me'!$B$13)*(1+'Read Me'!$B$12),-1)</f>
        <v/>
      </c>
      <c r="W3679" s="16">
        <f>V3679*N3679*O3679</f>
        <v/>
      </c>
      <c r="X3679" s="12">
        <f>IF(LEFT(I3679,2)="MV",2*N3679*IF(L3679="1/C",O3679,1),0)</f>
        <v/>
      </c>
      <c r="Y3679" s="12">
        <f>IF(OR(LEFT(K3679,4)="LVAX",LEFT(K3679,6)="MV15AX",LEFT(K3679,4)="CTAX",LEFT(K3679,2)="W|"),2*N3679*O3679,0)</f>
        <v/>
      </c>
      <c r="Z3679" s="12" t="inlineStr">
        <is>
          <t>~19 MW per drawing</t>
        </is>
      </c>
      <c r="AA3679" s="12">
        <f>N3679*O3679</f>
        <v/>
      </c>
    </row>
    <row r="3680">
      <c r="A3680" s="12" t="inlineStr">
        <is>
          <t>G-MV-0008</t>
        </is>
      </c>
      <c r="B3680" s="12" t="inlineStr">
        <is>
          <t>G</t>
        </is>
      </c>
      <c r="C3680" s="12" t="inlineStr">
        <is>
          <t>Carbon capture</t>
        </is>
      </c>
      <c r="D3680" s="12" t="inlineStr">
        <is>
          <t>CO2 compressor train 3</t>
        </is>
      </c>
      <c r="E3680" s="12" t="inlineStr"/>
      <c r="F3680" s="12" t="inlineStr">
        <is>
          <t>CCS MV switchgear building (VFDs)</t>
        </is>
      </c>
      <c r="G3680" s="12" t="inlineStr"/>
      <c r="H3680" s="12" t="inlineStr">
        <is>
          <t>CO2 compression 3 x ~19 MW + dehydration</t>
        </is>
      </c>
      <c r="I3680" s="12" t="inlineStr">
        <is>
          <t>MV 15 kV</t>
        </is>
      </c>
      <c r="J3680" s="12" t="inlineStr">
        <is>
          <t>MV-105 15 kV 1/C Cu, EPR 133%, Cu tape shield, PVC jacket (triplexed)</t>
        </is>
      </c>
      <c r="K3680" s="12" t="inlineStr">
        <is>
          <t>MV15|1/C|750</t>
        </is>
      </c>
      <c r="L3680" s="12" t="inlineStr">
        <is>
          <t>1/C</t>
        </is>
      </c>
      <c r="M3680" s="12" t="inlineStr">
        <is>
          <t>750 kcmil</t>
        </is>
      </c>
      <c r="N3680" s="12" t="n">
        <v>2</v>
      </c>
      <c r="O3680" s="12" t="n">
        <v>3</v>
      </c>
      <c r="P3680" s="12" t="n">
        <v>13800</v>
      </c>
      <c r="Q3680" s="12" t="n">
        <v>19000</v>
      </c>
      <c r="R3680" s="12" t="n">
        <v>883</v>
      </c>
      <c r="S3680" s="12" t="inlineStr">
        <is>
          <t>Duct bank</t>
        </is>
      </c>
      <c r="T3680" s="16" t="n">
        <v>291</v>
      </c>
      <c r="U3680" s="16" t="n">
        <v>36</v>
      </c>
      <c r="V3680" s="16">
        <f>ROUNDUP((T3680+U3680+2*'Read Me'!$B$13)*(1+'Read Me'!$B$12),-1)</f>
        <v/>
      </c>
      <c r="W3680" s="16">
        <f>V3680*N3680*O3680</f>
        <v/>
      </c>
      <c r="X3680" s="12">
        <f>IF(LEFT(I3680,2)="MV",2*N3680*IF(L3680="1/C",O3680,1),0)</f>
        <v/>
      </c>
      <c r="Y3680" s="12">
        <f>IF(OR(LEFT(K3680,4)="LVAX",LEFT(K3680,6)="MV15AX",LEFT(K3680,4)="CTAX",LEFT(K3680,2)="W|"),2*N3680*O3680,0)</f>
        <v/>
      </c>
      <c r="Z3680" s="12" t="inlineStr">
        <is>
          <t>~19 MW per drawing</t>
        </is>
      </c>
      <c r="AA3680" s="12">
        <f>N3680*O3680</f>
        <v/>
      </c>
    </row>
    <row r="3681">
      <c r="A3681" s="12" t="inlineStr">
        <is>
          <t>G-MV-0009</t>
        </is>
      </c>
      <c r="B3681" s="12" t="inlineStr">
        <is>
          <t>G</t>
        </is>
      </c>
      <c r="C3681" s="12" t="inlineStr">
        <is>
          <t>Carbon capture</t>
        </is>
      </c>
      <c r="D3681" s="12" t="inlineStr">
        <is>
          <t>HP CO2 export compressor (conditional)</t>
        </is>
      </c>
      <c r="E3681" s="12" t="inlineStr"/>
      <c r="F3681" s="12" t="inlineStr">
        <is>
          <t>CCS MV switchgear building (VFDs)</t>
        </is>
      </c>
      <c r="G3681" s="12" t="inlineStr"/>
      <c r="H3681" s="12" t="inlineStr">
        <is>
          <t>CONDITIONAL: HP export compressor + metering</t>
        </is>
      </c>
      <c r="I3681" s="12" t="inlineStr">
        <is>
          <t>MV 15 kV</t>
        </is>
      </c>
      <c r="J3681" s="12" t="inlineStr">
        <is>
          <t>MV-105 15 kV 1/C Cu, EPR 133%, Cu tape shield, PVC jacket (triplexed)</t>
        </is>
      </c>
      <c r="K3681" s="12" t="inlineStr">
        <is>
          <t>MV15|1/C|750</t>
        </is>
      </c>
      <c r="L3681" s="12" t="inlineStr">
        <is>
          <t>1/C</t>
        </is>
      </c>
      <c r="M3681" s="12" t="inlineStr">
        <is>
          <t>750 kcmil</t>
        </is>
      </c>
      <c r="N3681" s="12" t="n">
        <v>1</v>
      </c>
      <c r="O3681" s="12" t="n">
        <v>3</v>
      </c>
      <c r="P3681" s="12" t="n">
        <v>13800</v>
      </c>
      <c r="Q3681" s="12" t="n">
        <v>8000</v>
      </c>
      <c r="R3681" s="12" t="n">
        <v>372</v>
      </c>
      <c r="S3681" s="12" t="inlineStr">
        <is>
          <t>Duct bank</t>
        </is>
      </c>
      <c r="T3681" s="16" t="n">
        <v>303</v>
      </c>
      <c r="U3681" s="16" t="n">
        <v>34</v>
      </c>
      <c r="V3681" s="16">
        <f>ROUNDUP((T3681+U3681+2*'Read Me'!$B$13)*(1+'Read Me'!$B$12),-1)</f>
        <v/>
      </c>
      <c r="W3681" s="16">
        <f>V3681*N3681*O3681</f>
        <v/>
      </c>
      <c r="X3681" s="12">
        <f>IF(LEFT(I3681,2)="MV",2*N3681*IF(L3681="1/C",O3681,1),0)</f>
        <v/>
      </c>
      <c r="Y3681" s="12">
        <f>IF(OR(LEFT(K3681,4)="LVAX",LEFT(K3681,6)="MV15AX",LEFT(K3681,4)="CTAX",LEFT(K3681,2)="W|"),2*N3681*O3681,0)</f>
        <v/>
      </c>
      <c r="Z3681" s="12" t="inlineStr"/>
      <c r="AA3681" s="12">
        <f>N3681*O3681</f>
        <v/>
      </c>
    </row>
    <row r="3682">
      <c r="A3682" s="12" t="inlineStr">
        <is>
          <t>G-MV-0010</t>
        </is>
      </c>
      <c r="B3682" s="12" t="inlineStr">
        <is>
          <t>G</t>
        </is>
      </c>
      <c r="C3682" s="12" t="inlineStr">
        <is>
          <t>Carbon capture</t>
        </is>
      </c>
      <c r="D3682" s="12" t="inlineStr">
        <is>
          <t>CT MCC / VFD e-house transformer</t>
        </is>
      </c>
      <c r="E3682" s="12" t="inlineStr"/>
      <c r="F3682" s="12" t="inlineStr">
        <is>
          <t>CCS MV switchgear building (VFDs)</t>
        </is>
      </c>
      <c r="G3682" s="12" t="inlineStr"/>
      <c r="H3682" s="12" t="inlineStr">
        <is>
          <t>CT MCC / VFD e-house</t>
        </is>
      </c>
      <c r="I3682" s="12" t="inlineStr">
        <is>
          <t>MV 15 kV</t>
        </is>
      </c>
      <c r="J3682" s="12" t="inlineStr">
        <is>
          <t>MV-105 15 kV 1/C Cu, EPR 133%, Cu tape shield, PVC jacket (triplexed)</t>
        </is>
      </c>
      <c r="K3682" s="12" t="inlineStr">
        <is>
          <t>MV15|1/C|1/0</t>
        </is>
      </c>
      <c r="L3682" s="12" t="inlineStr">
        <is>
          <t>1/C</t>
        </is>
      </c>
      <c r="M3682" s="12" t="inlineStr">
        <is>
          <t>1/0</t>
        </is>
      </c>
      <c r="N3682" s="12" t="n">
        <v>1</v>
      </c>
      <c r="O3682" s="12" t="n">
        <v>3</v>
      </c>
      <c r="P3682" s="12" t="n">
        <v>13800</v>
      </c>
      <c r="Q3682" s="12" t="n">
        <v>3000</v>
      </c>
      <c r="R3682" s="12" t="n">
        <v>126</v>
      </c>
      <c r="S3682" s="12" t="inlineStr">
        <is>
          <t>Duct bank</t>
        </is>
      </c>
      <c r="T3682" s="16" t="n">
        <v>925</v>
      </c>
      <c r="U3682" s="16" t="n">
        <v>32</v>
      </c>
      <c r="V3682" s="16">
        <f>ROUNDUP((T3682+U3682+2*'Read Me'!$B$13)*(1+'Read Me'!$B$12),-1)</f>
        <v/>
      </c>
      <c r="W3682" s="16">
        <f>V3682*N3682*O3682</f>
        <v/>
      </c>
      <c r="X3682" s="12">
        <f>IF(LEFT(I3682,2)="MV",2*N3682*IF(L3682="1/C",O3682,1),0)</f>
        <v/>
      </c>
      <c r="Y3682" s="12">
        <f>IF(OR(LEFT(K3682,4)="LVAX",LEFT(K3682,6)="MV15AX",LEFT(K3682,4)="CTAX",LEFT(K3682,2)="W|"),2*N3682*O3682,0)</f>
        <v/>
      </c>
      <c r="Z3682" s="12" t="inlineStr"/>
      <c r="AA3682" s="12">
        <f>N3682*O3682</f>
        <v/>
      </c>
    </row>
    <row r="3683">
      <c r="A3683" s="12" t="inlineStr">
        <is>
          <t>G-MV-0011</t>
        </is>
      </c>
      <c r="B3683" s="12" t="inlineStr">
        <is>
          <t>G</t>
        </is>
      </c>
      <c r="C3683" s="12" t="inlineStr">
        <is>
          <t>Carbon capture</t>
        </is>
      </c>
      <c r="D3683" s="12" t="inlineStr">
        <is>
          <t>CT MCC / VFD e-house transformer</t>
        </is>
      </c>
      <c r="E3683" s="12" t="inlineStr"/>
      <c r="F3683" s="12" t="inlineStr">
        <is>
          <t>CCS MV switchgear building (VFDs)</t>
        </is>
      </c>
      <c r="G3683" s="12" t="inlineStr"/>
      <c r="H3683" s="12" t="inlineStr">
        <is>
          <t>CT MCC / VFD e-house</t>
        </is>
      </c>
      <c r="I3683" s="12" t="inlineStr">
        <is>
          <t>MV 15 kV</t>
        </is>
      </c>
      <c r="J3683" s="12" t="inlineStr">
        <is>
          <t>MV-105 15 kV 1/C Cu, EPR 133%, Cu tape shield, PVC jacket (triplexed)</t>
        </is>
      </c>
      <c r="K3683" s="12" t="inlineStr">
        <is>
          <t>MV15|1/C|1/0</t>
        </is>
      </c>
      <c r="L3683" s="12" t="inlineStr">
        <is>
          <t>1/C</t>
        </is>
      </c>
      <c r="M3683" s="12" t="inlineStr">
        <is>
          <t>1/0</t>
        </is>
      </c>
      <c r="N3683" s="12" t="n">
        <v>1</v>
      </c>
      <c r="O3683" s="12" t="n">
        <v>3</v>
      </c>
      <c r="P3683" s="12" t="n">
        <v>13800</v>
      </c>
      <c r="Q3683" s="12" t="n">
        <v>3000</v>
      </c>
      <c r="R3683" s="12" t="n">
        <v>126</v>
      </c>
      <c r="S3683" s="12" t="inlineStr">
        <is>
          <t>Duct bank</t>
        </is>
      </c>
      <c r="T3683" s="16" t="n">
        <v>925</v>
      </c>
      <c r="U3683" s="16" t="n">
        <v>32</v>
      </c>
      <c r="V3683" s="16">
        <f>ROUNDUP((T3683+U3683+2*'Read Me'!$B$13)*(1+'Read Me'!$B$12),-1)</f>
        <v/>
      </c>
      <c r="W3683" s="16">
        <f>V3683*N3683*O3683</f>
        <v/>
      </c>
      <c r="X3683" s="12">
        <f>IF(LEFT(I3683,2)="MV",2*N3683*IF(L3683="1/C",O3683,1),0)</f>
        <v/>
      </c>
      <c r="Y3683" s="12">
        <f>IF(OR(LEFT(K3683,4)="LVAX",LEFT(K3683,6)="MV15AX",LEFT(K3683,4)="CTAX",LEFT(K3683,2)="W|"),2*N3683*O3683,0)</f>
        <v/>
      </c>
      <c r="Z3683" s="12" t="inlineStr"/>
      <c r="AA3683" s="12">
        <f>N3683*O3683</f>
        <v/>
      </c>
    </row>
    <row r="3684">
      <c r="A3684" s="12" t="inlineStr">
        <is>
          <t>G-MV-0012</t>
        </is>
      </c>
      <c r="B3684" s="12" t="inlineStr">
        <is>
          <t>G</t>
        </is>
      </c>
      <c r="C3684" s="12" t="inlineStr">
        <is>
          <t>Carbon capture</t>
        </is>
      </c>
      <c r="D3684" s="12" t="inlineStr">
        <is>
          <t>CCS circulating-water pump 1</t>
        </is>
      </c>
      <c r="E3684" s="12" t="inlineStr"/>
      <c r="F3684" s="12" t="inlineStr">
        <is>
          <t>CCS MV switchgear building (VFDs)</t>
        </is>
      </c>
      <c r="G3684" s="12" t="inlineStr"/>
      <c r="H3684" s="12" t="inlineStr">
        <is>
          <t>CCS circulating-water pumps</t>
        </is>
      </c>
      <c r="I3684" s="12" t="inlineStr">
        <is>
          <t>MV 5 kV</t>
        </is>
      </c>
      <c r="J3684" s="12" t="inlineStr">
        <is>
          <t>MV-105 5 kV 3/C Cu, EPR 133%, tape shield, gnd, PVC jacket</t>
        </is>
      </c>
      <c r="K3684" s="12" t="inlineStr">
        <is>
          <t>MV5|3/C|4/0</t>
        </is>
      </c>
      <c r="L3684" s="12" t="inlineStr">
        <is>
          <t>3/C</t>
        </is>
      </c>
      <c r="M3684" s="12" t="inlineStr">
        <is>
          <t>4/0</t>
        </is>
      </c>
      <c r="N3684" s="12" t="n">
        <v>1</v>
      </c>
      <c r="O3684" s="12" t="n">
        <v>1</v>
      </c>
      <c r="P3684" s="12" t="n">
        <v>4160</v>
      </c>
      <c r="Q3684" s="12" t="n">
        <v>1200</v>
      </c>
      <c r="R3684" s="12" t="n">
        <v>185</v>
      </c>
      <c r="S3684" s="12" t="inlineStr">
        <is>
          <t>Duct bank</t>
        </is>
      </c>
      <c r="T3684" s="16" t="n">
        <v>925</v>
      </c>
      <c r="U3684" s="16" t="n">
        <v>72</v>
      </c>
      <c r="V3684" s="16">
        <f>ROUNDUP((T3684+U3684+2*'Read Me'!$B$13)*(1+'Read Me'!$B$12),-1)</f>
        <v/>
      </c>
      <c r="W3684" s="16">
        <f>V3684*N3684*O3684</f>
        <v/>
      </c>
      <c r="X3684" s="12">
        <f>IF(LEFT(I3684,2)="MV",2*N3684*IF(L3684="1/C",O3684,1),0)</f>
        <v/>
      </c>
      <c r="Y3684" s="12">
        <f>IF(OR(LEFT(K3684,4)="LVAX",LEFT(K3684,6)="MV15AX",LEFT(K3684,4)="CTAX",LEFT(K3684,2)="W|"),2*N3684*O3684,0)</f>
        <v/>
      </c>
      <c r="Z3684" s="12" t="inlineStr"/>
      <c r="AA3684" s="12">
        <f>N3684*O3684</f>
        <v/>
      </c>
    </row>
    <row r="3685">
      <c r="A3685" s="12" t="inlineStr">
        <is>
          <t>G-MV-0013</t>
        </is>
      </c>
      <c r="B3685" s="12" t="inlineStr">
        <is>
          <t>G</t>
        </is>
      </c>
      <c r="C3685" s="12" t="inlineStr">
        <is>
          <t>Carbon capture</t>
        </is>
      </c>
      <c r="D3685" s="12" t="inlineStr">
        <is>
          <t>CCS circulating-water pump 2</t>
        </is>
      </c>
      <c r="E3685" s="12" t="inlineStr"/>
      <c r="F3685" s="12" t="inlineStr">
        <is>
          <t>CCS MV switchgear building (VFDs)</t>
        </is>
      </c>
      <c r="G3685" s="12" t="inlineStr"/>
      <c r="H3685" s="12" t="inlineStr">
        <is>
          <t>CCS circulating-water pumps</t>
        </is>
      </c>
      <c r="I3685" s="12" t="inlineStr">
        <is>
          <t>MV 5 kV</t>
        </is>
      </c>
      <c r="J3685" s="12" t="inlineStr">
        <is>
          <t>MV-105 5 kV 3/C Cu, EPR 133%, tape shield, gnd, PVC jacket</t>
        </is>
      </c>
      <c r="K3685" s="12" t="inlineStr">
        <is>
          <t>MV5|3/C|4/0</t>
        </is>
      </c>
      <c r="L3685" s="12" t="inlineStr">
        <is>
          <t>3/C</t>
        </is>
      </c>
      <c r="M3685" s="12" t="inlineStr">
        <is>
          <t>4/0</t>
        </is>
      </c>
      <c r="N3685" s="12" t="n">
        <v>1</v>
      </c>
      <c r="O3685" s="12" t="n">
        <v>1</v>
      </c>
      <c r="P3685" s="12" t="n">
        <v>4160</v>
      </c>
      <c r="Q3685" s="12" t="n">
        <v>1200</v>
      </c>
      <c r="R3685" s="12" t="n">
        <v>185</v>
      </c>
      <c r="S3685" s="12" t="inlineStr">
        <is>
          <t>Duct bank</t>
        </is>
      </c>
      <c r="T3685" s="16" t="n">
        <v>925</v>
      </c>
      <c r="U3685" s="16" t="n">
        <v>72</v>
      </c>
      <c r="V3685" s="16">
        <f>ROUNDUP((T3685+U3685+2*'Read Me'!$B$13)*(1+'Read Me'!$B$12),-1)</f>
        <v/>
      </c>
      <c r="W3685" s="16">
        <f>V3685*N3685*O3685</f>
        <v/>
      </c>
      <c r="X3685" s="12">
        <f>IF(LEFT(I3685,2)="MV",2*N3685*IF(L3685="1/C",O3685,1),0)</f>
        <v/>
      </c>
      <c r="Y3685" s="12">
        <f>IF(OR(LEFT(K3685,4)="LVAX",LEFT(K3685,6)="MV15AX",LEFT(K3685,4)="CTAX",LEFT(K3685,2)="W|"),2*N3685*O3685,0)</f>
        <v/>
      </c>
      <c r="Z3685" s="12" t="inlineStr"/>
      <c r="AA3685" s="12">
        <f>N3685*O3685</f>
        <v/>
      </c>
    </row>
    <row r="3686">
      <c r="A3686" s="12" t="inlineStr">
        <is>
          <t>G-MV-0014</t>
        </is>
      </c>
      <c r="B3686" s="12" t="inlineStr">
        <is>
          <t>G</t>
        </is>
      </c>
      <c r="C3686" s="12" t="inlineStr">
        <is>
          <t>Carbon capture</t>
        </is>
      </c>
      <c r="D3686" s="12" t="inlineStr">
        <is>
          <t>CCS circulating-water pump 3</t>
        </is>
      </c>
      <c r="E3686" s="12" t="inlineStr"/>
      <c r="F3686" s="12" t="inlineStr">
        <is>
          <t>CCS MV switchgear building (VFDs)</t>
        </is>
      </c>
      <c r="G3686" s="12" t="inlineStr"/>
      <c r="H3686" s="12" t="inlineStr">
        <is>
          <t>CCS circulating-water pumps</t>
        </is>
      </c>
      <c r="I3686" s="12" t="inlineStr">
        <is>
          <t>MV 5 kV</t>
        </is>
      </c>
      <c r="J3686" s="12" t="inlineStr">
        <is>
          <t>MV-105 5 kV 3/C Cu, EPR 133%, tape shield, gnd, PVC jacket</t>
        </is>
      </c>
      <c r="K3686" s="12" t="inlineStr">
        <is>
          <t>MV5|3/C|4/0</t>
        </is>
      </c>
      <c r="L3686" s="12" t="inlineStr">
        <is>
          <t>3/C</t>
        </is>
      </c>
      <c r="M3686" s="12" t="inlineStr">
        <is>
          <t>4/0</t>
        </is>
      </c>
      <c r="N3686" s="12" t="n">
        <v>1</v>
      </c>
      <c r="O3686" s="12" t="n">
        <v>1</v>
      </c>
      <c r="P3686" s="12" t="n">
        <v>4160</v>
      </c>
      <c r="Q3686" s="12" t="n">
        <v>1200</v>
      </c>
      <c r="R3686" s="12" t="n">
        <v>185</v>
      </c>
      <c r="S3686" s="12" t="inlineStr">
        <is>
          <t>Duct bank</t>
        </is>
      </c>
      <c r="T3686" s="16" t="n">
        <v>925</v>
      </c>
      <c r="U3686" s="16" t="n">
        <v>72</v>
      </c>
      <c r="V3686" s="16">
        <f>ROUNDUP((T3686+U3686+2*'Read Me'!$B$13)*(1+'Read Me'!$B$12),-1)</f>
        <v/>
      </c>
      <c r="W3686" s="16">
        <f>V3686*N3686*O3686</f>
        <v/>
      </c>
      <c r="X3686" s="12">
        <f>IF(LEFT(I3686,2)="MV",2*N3686*IF(L3686="1/C",O3686,1),0)</f>
        <v/>
      </c>
      <c r="Y3686" s="12">
        <f>IF(OR(LEFT(K3686,4)="LVAX",LEFT(K3686,6)="MV15AX",LEFT(K3686,4)="CTAX",LEFT(K3686,2)="W|"),2*N3686*O3686,0)</f>
        <v/>
      </c>
      <c r="Z3686" s="12" t="inlineStr"/>
      <c r="AA3686" s="12">
        <f>N3686*O3686</f>
        <v/>
      </c>
    </row>
    <row r="3687">
      <c r="A3687" s="12" t="inlineStr">
        <is>
          <t>G-MV-0015</t>
        </is>
      </c>
      <c r="B3687" s="12" t="inlineStr">
        <is>
          <t>G</t>
        </is>
      </c>
      <c r="C3687" s="12" t="inlineStr">
        <is>
          <t>Carbon capture</t>
        </is>
      </c>
      <c r="D3687" s="12" t="inlineStr">
        <is>
          <t>CCS circulating-water pump 4</t>
        </is>
      </c>
      <c r="E3687" s="12" t="inlineStr"/>
      <c r="F3687" s="12" t="inlineStr">
        <is>
          <t>CCS MV switchgear building (VFDs)</t>
        </is>
      </c>
      <c r="G3687" s="12" t="inlineStr"/>
      <c r="H3687" s="12" t="inlineStr">
        <is>
          <t>CCS circulating-water pumps</t>
        </is>
      </c>
      <c r="I3687" s="12" t="inlineStr">
        <is>
          <t>MV 5 kV</t>
        </is>
      </c>
      <c r="J3687" s="12" t="inlineStr">
        <is>
          <t>MV-105 5 kV 3/C Cu, EPR 133%, tape shield, gnd, PVC jacket</t>
        </is>
      </c>
      <c r="K3687" s="12" t="inlineStr">
        <is>
          <t>MV5|3/C|4/0</t>
        </is>
      </c>
      <c r="L3687" s="12" t="inlineStr">
        <is>
          <t>3/C</t>
        </is>
      </c>
      <c r="M3687" s="12" t="inlineStr">
        <is>
          <t>4/0</t>
        </is>
      </c>
      <c r="N3687" s="12" t="n">
        <v>1</v>
      </c>
      <c r="O3687" s="12" t="n">
        <v>1</v>
      </c>
      <c r="P3687" s="12" t="n">
        <v>4160</v>
      </c>
      <c r="Q3687" s="12" t="n">
        <v>1200</v>
      </c>
      <c r="R3687" s="12" t="n">
        <v>185</v>
      </c>
      <c r="S3687" s="12" t="inlineStr">
        <is>
          <t>Duct bank</t>
        </is>
      </c>
      <c r="T3687" s="16" t="n">
        <v>925</v>
      </c>
      <c r="U3687" s="16" t="n">
        <v>72</v>
      </c>
      <c r="V3687" s="16">
        <f>ROUNDUP((T3687+U3687+2*'Read Me'!$B$13)*(1+'Read Me'!$B$12),-1)</f>
        <v/>
      </c>
      <c r="W3687" s="16">
        <f>V3687*N3687*O3687</f>
        <v/>
      </c>
      <c r="X3687" s="12">
        <f>IF(LEFT(I3687,2)="MV",2*N3687*IF(L3687="1/C",O3687,1),0)</f>
        <v/>
      </c>
      <c r="Y3687" s="12">
        <f>IF(OR(LEFT(K3687,4)="LVAX",LEFT(K3687,6)="MV15AX",LEFT(K3687,4)="CTAX",LEFT(K3687,2)="W|"),2*N3687*O3687,0)</f>
        <v/>
      </c>
      <c r="Z3687" s="12" t="inlineStr"/>
      <c r="AA3687" s="12">
        <f>N3687*O3687</f>
        <v/>
      </c>
    </row>
    <row r="3688">
      <c r="A3688" s="12" t="inlineStr">
        <is>
          <t>G-MV-0016</t>
        </is>
      </c>
      <c r="B3688" s="12" t="inlineStr">
        <is>
          <t>G</t>
        </is>
      </c>
      <c r="C3688" s="12" t="inlineStr">
        <is>
          <t>Carbon capture</t>
        </is>
      </c>
      <c r="D3688" s="12" t="inlineStr">
        <is>
          <t>Rich / lean amine pumps (A)</t>
        </is>
      </c>
      <c r="E3688" s="12" t="inlineStr"/>
      <c r="F3688" s="12" t="inlineStr">
        <is>
          <t>CCS MV switchgear building (VFDs)</t>
        </is>
      </c>
      <c r="G3688" s="12" t="inlineStr"/>
      <c r="H3688" s="12" t="inlineStr">
        <is>
          <t>Rich/lean pumps, cross exchanger, lean cooler A</t>
        </is>
      </c>
      <c r="I3688" s="12" t="inlineStr">
        <is>
          <t>MV 5 kV</t>
        </is>
      </c>
      <c r="J3688" s="12" t="inlineStr">
        <is>
          <t>MV-105 5 kV 3/C Cu, EPR 133%, tape shield, gnd, PVC jacket</t>
        </is>
      </c>
      <c r="K3688" s="12" t="inlineStr">
        <is>
          <t>MV5|3/C|2</t>
        </is>
      </c>
      <c r="L3688" s="12" t="inlineStr">
        <is>
          <t>3/C</t>
        </is>
      </c>
      <c r="M3688" s="12" t="inlineStr">
        <is>
          <t>2</t>
        </is>
      </c>
      <c r="N3688" s="12" t="n">
        <v>1</v>
      </c>
      <c r="O3688" s="12" t="n">
        <v>1</v>
      </c>
      <c r="P3688" s="12" t="n">
        <v>4160</v>
      </c>
      <c r="Q3688" s="12" t="n">
        <v>450</v>
      </c>
      <c r="R3688" s="12" t="n">
        <v>69</v>
      </c>
      <c r="S3688" s="12" t="inlineStr">
        <is>
          <t>Tray</t>
        </is>
      </c>
      <c r="T3688" s="16" t="n">
        <v>465</v>
      </c>
      <c r="U3688" s="16" t="n">
        <v>112</v>
      </c>
      <c r="V3688" s="16">
        <f>ROUNDUP((T3688+U3688+2*'Read Me'!$B$13)*(1+'Read Me'!$B$12),-1)</f>
        <v/>
      </c>
      <c r="W3688" s="16">
        <f>V3688*N3688*O3688</f>
        <v/>
      </c>
      <c r="X3688" s="12">
        <f>IF(LEFT(I3688,2)="MV",2*N3688*IF(L3688="1/C",O3688,1),0)</f>
        <v/>
      </c>
      <c r="Y3688" s="12">
        <f>IF(OR(LEFT(K3688,4)="LVAX",LEFT(K3688,6)="MV15AX",LEFT(K3688,4)="CTAX",LEFT(K3688,2)="W|"),2*N3688*O3688,0)</f>
        <v/>
      </c>
      <c r="Z3688" s="12" t="inlineStr"/>
      <c r="AA3688" s="12">
        <f>N3688*O3688</f>
        <v/>
      </c>
    </row>
    <row r="3689">
      <c r="A3689" s="12" t="inlineStr">
        <is>
          <t>G-MV-0017</t>
        </is>
      </c>
      <c r="B3689" s="12" t="inlineStr">
        <is>
          <t>G</t>
        </is>
      </c>
      <c r="C3689" s="12" t="inlineStr">
        <is>
          <t>Carbon capture</t>
        </is>
      </c>
      <c r="D3689" s="12" t="inlineStr">
        <is>
          <t>Rich / lean amine pumps (A)</t>
        </is>
      </c>
      <c r="E3689" s="12" t="inlineStr"/>
      <c r="F3689" s="12" t="inlineStr">
        <is>
          <t>CCS MV switchgear building (VFDs)</t>
        </is>
      </c>
      <c r="G3689" s="12" t="inlineStr"/>
      <c r="H3689" s="12" t="inlineStr">
        <is>
          <t>Rich/lean pumps, cross exchanger, lean cooler A</t>
        </is>
      </c>
      <c r="I3689" s="12" t="inlineStr">
        <is>
          <t>MV 5 kV</t>
        </is>
      </c>
      <c r="J3689" s="12" t="inlineStr">
        <is>
          <t>MV-105 5 kV 3/C Cu, EPR 133%, tape shield, gnd, PVC jacket</t>
        </is>
      </c>
      <c r="K3689" s="12" t="inlineStr">
        <is>
          <t>MV5|3/C|2</t>
        </is>
      </c>
      <c r="L3689" s="12" t="inlineStr">
        <is>
          <t>3/C</t>
        </is>
      </c>
      <c r="M3689" s="12" t="inlineStr">
        <is>
          <t>2</t>
        </is>
      </c>
      <c r="N3689" s="12" t="n">
        <v>1</v>
      </c>
      <c r="O3689" s="12" t="n">
        <v>1</v>
      </c>
      <c r="P3689" s="12" t="n">
        <v>4160</v>
      </c>
      <c r="Q3689" s="12" t="n">
        <v>450</v>
      </c>
      <c r="R3689" s="12" t="n">
        <v>69</v>
      </c>
      <c r="S3689" s="12" t="inlineStr">
        <is>
          <t>Tray</t>
        </is>
      </c>
      <c r="T3689" s="16" t="n">
        <v>465</v>
      </c>
      <c r="U3689" s="16" t="n">
        <v>112</v>
      </c>
      <c r="V3689" s="16">
        <f>ROUNDUP((T3689+U3689+2*'Read Me'!$B$13)*(1+'Read Me'!$B$12),-1)</f>
        <v/>
      </c>
      <c r="W3689" s="16">
        <f>V3689*N3689*O3689</f>
        <v/>
      </c>
      <c r="X3689" s="12">
        <f>IF(LEFT(I3689,2)="MV",2*N3689*IF(L3689="1/C",O3689,1),0)</f>
        <v/>
      </c>
      <c r="Y3689" s="12">
        <f>IF(OR(LEFT(K3689,4)="LVAX",LEFT(K3689,6)="MV15AX",LEFT(K3689,4)="CTAX",LEFT(K3689,2)="W|"),2*N3689*O3689,0)</f>
        <v/>
      </c>
      <c r="Z3689" s="12" t="inlineStr"/>
      <c r="AA3689" s="12">
        <f>N3689*O3689</f>
        <v/>
      </c>
    </row>
    <row r="3690">
      <c r="A3690" s="12" t="inlineStr">
        <is>
          <t>G-MV-0018</t>
        </is>
      </c>
      <c r="B3690" s="12" t="inlineStr">
        <is>
          <t>G</t>
        </is>
      </c>
      <c r="C3690" s="12" t="inlineStr">
        <is>
          <t>Carbon capture</t>
        </is>
      </c>
      <c r="D3690" s="12" t="inlineStr">
        <is>
          <t>Rich / lean amine pumps (B)</t>
        </is>
      </c>
      <c r="E3690" s="12" t="inlineStr"/>
      <c r="F3690" s="12" t="inlineStr">
        <is>
          <t>CCS MV switchgear building (VFDs)</t>
        </is>
      </c>
      <c r="G3690" s="12" t="inlineStr"/>
      <c r="H3690" s="12" t="inlineStr">
        <is>
          <t>Rich/lean pumps, cross exchanger, lean cooler B</t>
        </is>
      </c>
      <c r="I3690" s="12" t="inlineStr">
        <is>
          <t>MV 5 kV</t>
        </is>
      </c>
      <c r="J3690" s="12" t="inlineStr">
        <is>
          <t>MV-105 5 kV 3/C Cu, EPR 133%, tape shield, gnd, PVC jacket</t>
        </is>
      </c>
      <c r="K3690" s="12" t="inlineStr">
        <is>
          <t>MV5|3/C|2</t>
        </is>
      </c>
      <c r="L3690" s="12" t="inlineStr">
        <is>
          <t>3/C</t>
        </is>
      </c>
      <c r="M3690" s="12" t="inlineStr">
        <is>
          <t>2</t>
        </is>
      </c>
      <c r="N3690" s="12" t="n">
        <v>1</v>
      </c>
      <c r="O3690" s="12" t="n">
        <v>1</v>
      </c>
      <c r="P3690" s="12" t="n">
        <v>4160</v>
      </c>
      <c r="Q3690" s="12" t="n">
        <v>450</v>
      </c>
      <c r="R3690" s="12" t="n">
        <v>69</v>
      </c>
      <c r="S3690" s="12" t="inlineStr">
        <is>
          <t>Tray</t>
        </is>
      </c>
      <c r="T3690" s="16" t="n">
        <v>305</v>
      </c>
      <c r="U3690" s="16" t="n">
        <v>112</v>
      </c>
      <c r="V3690" s="16">
        <f>ROUNDUP((T3690+U3690+2*'Read Me'!$B$13)*(1+'Read Me'!$B$12),-1)</f>
        <v/>
      </c>
      <c r="W3690" s="16">
        <f>V3690*N3690*O3690</f>
        <v/>
      </c>
      <c r="X3690" s="12">
        <f>IF(LEFT(I3690,2)="MV",2*N3690*IF(L3690="1/C",O3690,1),0)</f>
        <v/>
      </c>
      <c r="Y3690" s="12">
        <f>IF(OR(LEFT(K3690,4)="LVAX",LEFT(K3690,6)="MV15AX",LEFT(K3690,4)="CTAX",LEFT(K3690,2)="W|"),2*N3690*O3690,0)</f>
        <v/>
      </c>
      <c r="Z3690" s="12" t="inlineStr"/>
      <c r="AA3690" s="12">
        <f>N3690*O3690</f>
        <v/>
      </c>
    </row>
    <row r="3691">
      <c r="A3691" s="12" t="inlineStr">
        <is>
          <t>G-MV-0019</t>
        </is>
      </c>
      <c r="B3691" s="12" t="inlineStr">
        <is>
          <t>G</t>
        </is>
      </c>
      <c r="C3691" s="12" t="inlineStr">
        <is>
          <t>Carbon capture</t>
        </is>
      </c>
      <c r="D3691" s="12" t="inlineStr">
        <is>
          <t>Rich / lean amine pumps (B)</t>
        </is>
      </c>
      <c r="E3691" s="12" t="inlineStr"/>
      <c r="F3691" s="12" t="inlineStr">
        <is>
          <t>CCS MV switchgear building (VFDs)</t>
        </is>
      </c>
      <c r="G3691" s="12" t="inlineStr"/>
      <c r="H3691" s="12" t="inlineStr">
        <is>
          <t>Rich/lean pumps, cross exchanger, lean cooler B</t>
        </is>
      </c>
      <c r="I3691" s="12" t="inlineStr">
        <is>
          <t>MV 5 kV</t>
        </is>
      </c>
      <c r="J3691" s="12" t="inlineStr">
        <is>
          <t>MV-105 5 kV 3/C Cu, EPR 133%, tape shield, gnd, PVC jacket</t>
        </is>
      </c>
      <c r="K3691" s="12" t="inlineStr">
        <is>
          <t>MV5|3/C|2</t>
        </is>
      </c>
      <c r="L3691" s="12" t="inlineStr">
        <is>
          <t>3/C</t>
        </is>
      </c>
      <c r="M3691" s="12" t="inlineStr">
        <is>
          <t>2</t>
        </is>
      </c>
      <c r="N3691" s="12" t="n">
        <v>1</v>
      </c>
      <c r="O3691" s="12" t="n">
        <v>1</v>
      </c>
      <c r="P3691" s="12" t="n">
        <v>4160</v>
      </c>
      <c r="Q3691" s="12" t="n">
        <v>450</v>
      </c>
      <c r="R3691" s="12" t="n">
        <v>69</v>
      </c>
      <c r="S3691" s="12" t="inlineStr">
        <is>
          <t>Tray</t>
        </is>
      </c>
      <c r="T3691" s="16" t="n">
        <v>305</v>
      </c>
      <c r="U3691" s="16" t="n">
        <v>112</v>
      </c>
      <c r="V3691" s="16">
        <f>ROUNDUP((T3691+U3691+2*'Read Me'!$B$13)*(1+'Read Me'!$B$12),-1)</f>
        <v/>
      </c>
      <c r="W3691" s="16">
        <f>V3691*N3691*O3691</f>
        <v/>
      </c>
      <c r="X3691" s="12">
        <f>IF(LEFT(I3691,2)="MV",2*N3691*IF(L3691="1/C",O3691,1),0)</f>
        <v/>
      </c>
      <c r="Y3691" s="12">
        <f>IF(OR(LEFT(K3691,4)="LVAX",LEFT(K3691,6)="MV15AX",LEFT(K3691,4)="CTAX",LEFT(K3691,2)="W|"),2*N3691*O3691,0)</f>
        <v/>
      </c>
      <c r="Z3691" s="12" t="inlineStr"/>
      <c r="AA3691" s="12">
        <f>N3691*O3691</f>
        <v/>
      </c>
    </row>
    <row r="3692">
      <c r="A3692" s="12" t="inlineStr">
        <is>
          <t>G-MV-0020</t>
        </is>
      </c>
      <c r="B3692" s="12" t="inlineStr">
        <is>
          <t>G</t>
        </is>
      </c>
      <c r="C3692" s="12" t="inlineStr">
        <is>
          <t>Carbon capture</t>
        </is>
      </c>
      <c r="D3692" s="12" t="inlineStr">
        <is>
          <t>Rich / lean amine pumps (C)</t>
        </is>
      </c>
      <c r="E3692" s="12" t="inlineStr"/>
      <c r="F3692" s="12" t="inlineStr">
        <is>
          <t>CCS MV switchgear building (VFDs)</t>
        </is>
      </c>
      <c r="G3692" s="12" t="inlineStr"/>
      <c r="H3692" s="12" t="inlineStr">
        <is>
          <t>Rich/lean pumps, cross exchanger, lean cooler C</t>
        </is>
      </c>
      <c r="I3692" s="12" t="inlineStr">
        <is>
          <t>MV 5 kV</t>
        </is>
      </c>
      <c r="J3692" s="12" t="inlineStr">
        <is>
          <t>MV-105 5 kV 3/C Cu, EPR 133%, tape shield, gnd, PVC jacket</t>
        </is>
      </c>
      <c r="K3692" s="12" t="inlineStr">
        <is>
          <t>MV5|3/C|2</t>
        </is>
      </c>
      <c r="L3692" s="12" t="inlineStr">
        <is>
          <t>3/C</t>
        </is>
      </c>
      <c r="M3692" s="12" t="inlineStr">
        <is>
          <t>2</t>
        </is>
      </c>
      <c r="N3692" s="12" t="n">
        <v>1</v>
      </c>
      <c r="O3692" s="12" t="n">
        <v>1</v>
      </c>
      <c r="P3692" s="12" t="n">
        <v>4160</v>
      </c>
      <c r="Q3692" s="12" t="n">
        <v>450</v>
      </c>
      <c r="R3692" s="12" t="n">
        <v>69</v>
      </c>
      <c r="S3692" s="12" t="inlineStr">
        <is>
          <t>Duct bank</t>
        </is>
      </c>
      <c r="T3692" s="16" t="n">
        <v>0</v>
      </c>
      <c r="U3692" s="16" t="n">
        <v>69</v>
      </c>
      <c r="V3692" s="16">
        <f>ROUNDUP((T3692+U3692+2*'Read Me'!$B$13)*(1+'Read Me'!$B$12),-1)</f>
        <v/>
      </c>
      <c r="W3692" s="16">
        <f>V3692*N3692*O3692</f>
        <v/>
      </c>
      <c r="X3692" s="12">
        <f>IF(LEFT(I3692,2)="MV",2*N3692*IF(L3692="1/C",O3692,1),0)</f>
        <v/>
      </c>
      <c r="Y3692" s="12">
        <f>IF(OR(LEFT(K3692,4)="LVAX",LEFT(K3692,6)="MV15AX",LEFT(K3692,4)="CTAX",LEFT(K3692,2)="W|"),2*N3692*O3692,0)</f>
        <v/>
      </c>
      <c r="Z3692" s="12" t="inlineStr"/>
      <c r="AA3692" s="12">
        <f>N3692*O3692</f>
        <v/>
      </c>
    </row>
    <row r="3693">
      <c r="A3693" s="12" t="inlineStr">
        <is>
          <t>G-MV-0021</t>
        </is>
      </c>
      <c r="B3693" s="12" t="inlineStr">
        <is>
          <t>G</t>
        </is>
      </c>
      <c r="C3693" s="12" t="inlineStr">
        <is>
          <t>Carbon capture</t>
        </is>
      </c>
      <c r="D3693" s="12" t="inlineStr">
        <is>
          <t>Rich / lean amine pumps (C)</t>
        </is>
      </c>
      <c r="E3693" s="12" t="inlineStr"/>
      <c r="F3693" s="12" t="inlineStr">
        <is>
          <t>CCS MV switchgear building (VFDs)</t>
        </is>
      </c>
      <c r="G3693" s="12" t="inlineStr"/>
      <c r="H3693" s="12" t="inlineStr">
        <is>
          <t>Rich/lean pumps, cross exchanger, lean cooler C</t>
        </is>
      </c>
      <c r="I3693" s="12" t="inlineStr">
        <is>
          <t>MV 5 kV</t>
        </is>
      </c>
      <c r="J3693" s="12" t="inlineStr">
        <is>
          <t>MV-105 5 kV 3/C Cu, EPR 133%, tape shield, gnd, PVC jacket</t>
        </is>
      </c>
      <c r="K3693" s="12" t="inlineStr">
        <is>
          <t>MV5|3/C|2</t>
        </is>
      </c>
      <c r="L3693" s="12" t="inlineStr">
        <is>
          <t>3/C</t>
        </is>
      </c>
      <c r="M3693" s="12" t="inlineStr">
        <is>
          <t>2</t>
        </is>
      </c>
      <c r="N3693" s="12" t="n">
        <v>1</v>
      </c>
      <c r="O3693" s="12" t="n">
        <v>1</v>
      </c>
      <c r="P3693" s="12" t="n">
        <v>4160</v>
      </c>
      <c r="Q3693" s="12" t="n">
        <v>450</v>
      </c>
      <c r="R3693" s="12" t="n">
        <v>69</v>
      </c>
      <c r="S3693" s="12" t="inlineStr">
        <is>
          <t>Duct bank</t>
        </is>
      </c>
      <c r="T3693" s="16" t="n">
        <v>0</v>
      </c>
      <c r="U3693" s="16" t="n">
        <v>69</v>
      </c>
      <c r="V3693" s="16">
        <f>ROUNDUP((T3693+U3693+2*'Read Me'!$B$13)*(1+'Read Me'!$B$12),-1)</f>
        <v/>
      </c>
      <c r="W3693" s="16">
        <f>V3693*N3693*O3693</f>
        <v/>
      </c>
      <c r="X3693" s="12">
        <f>IF(LEFT(I3693,2)="MV",2*N3693*IF(L3693="1/C",O3693,1),0)</f>
        <v/>
      </c>
      <c r="Y3693" s="12">
        <f>IF(OR(LEFT(K3693,4)="LVAX",LEFT(K3693,6)="MV15AX",LEFT(K3693,4)="CTAX",LEFT(K3693,2)="W|"),2*N3693*O3693,0)</f>
        <v/>
      </c>
      <c r="Z3693" s="12" t="inlineStr"/>
      <c r="AA3693" s="12">
        <f>N3693*O3693</f>
        <v/>
      </c>
    </row>
    <row r="3694">
      <c r="A3694" s="12" t="inlineStr">
        <is>
          <t>H-L-0001</t>
        </is>
      </c>
      <c r="B3694" s="12" t="inlineStr">
        <is>
          <t>H</t>
        </is>
      </c>
      <c r="C3694" s="12" t="inlineStr">
        <is>
          <t>BESS</t>
        </is>
      </c>
      <c r="D3694" s="12" t="inlineStr">
        <is>
          <t>Lighting, receptacles and small power branch circuits (allowance)</t>
        </is>
      </c>
      <c r="E3694" s="12" t="inlineStr"/>
      <c r="F3694" s="12" t="inlineStr">
        <is>
          <t>34.5 kV collector e-house (arc-resistant)</t>
        </is>
      </c>
      <c r="G3694" s="12" t="inlineStr"/>
      <c r="H3694" s="12" t="inlineStr">
        <is>
          <t>34.5 kV collector e-house (arc-resistant)</t>
        </is>
      </c>
      <c r="I3694" s="12" t="inlineStr">
        <is>
          <t>Building wire</t>
        </is>
      </c>
      <c r="J3694" s="12" t="inlineStr">
        <is>
          <t>SIMpull THHN/THWN-2 600 V 1/C Cu (lighting, receptacles, small power)</t>
        </is>
      </c>
      <c r="K3694" s="12" t="inlineStr">
        <is>
          <t>THHN|1/C|12</t>
        </is>
      </c>
      <c r="L3694" s="12" t="inlineStr">
        <is>
          <t>1/C</t>
        </is>
      </c>
      <c r="M3694" s="12" t="inlineStr">
        <is>
          <t>12</t>
        </is>
      </c>
      <c r="N3694" s="12" t="n">
        <v>1</v>
      </c>
      <c r="O3694" s="12" t="n">
        <v>1</v>
      </c>
      <c r="P3694" s="12" t="n">
        <v>277</v>
      </c>
      <c r="Q3694" s="12" t="n"/>
      <c r="R3694" s="12" t="n"/>
      <c r="S3694" s="12" t="inlineStr">
        <is>
          <t>Conduit</t>
        </is>
      </c>
      <c r="T3694" s="16" t="n">
        <v>1280</v>
      </c>
      <c r="U3694" s="16" t="n">
        <v>0</v>
      </c>
      <c r="V3694" s="16">
        <f>ROUNDUP((T3694+U3694+2*'Read Me'!$B$13)*(1+'Read Me'!$B$12),-1)</f>
        <v/>
      </c>
      <c r="W3694" s="16">
        <f>V3694*N3694*O3694</f>
        <v/>
      </c>
      <c r="X3694" s="12">
        <f>IF(LEFT(I3694,2)="MV",2*N3694*IF(L3694="1/C",O3694,1),0)</f>
        <v/>
      </c>
      <c r="Y3694" s="12">
        <f>IF(OR(LEFT(K3694,4)="LVAX",LEFT(K3694,6)="MV15AX",LEFT(K3694,4)="CTAX",LEFT(K3694,2)="W|"),2*N3694*O3694,0)</f>
        <v/>
      </c>
      <c r="Z3694" s="12" t="inlineStr">
        <is>
          <t>allowance: 1.6 ft of conductor per ft2 of floor</t>
        </is>
      </c>
      <c r="AA3694" s="12">
        <f>N3694*O3694</f>
        <v/>
      </c>
    </row>
    <row r="3695">
      <c r="A3695" s="12" t="inlineStr">
        <is>
          <t>H-L-0002</t>
        </is>
      </c>
      <c r="B3695" s="12" t="inlineStr">
        <is>
          <t>H</t>
        </is>
      </c>
      <c r="C3695" s="12" t="inlineStr">
        <is>
          <t>BESS</t>
        </is>
      </c>
      <c r="D3695" s="12" t="inlineStr">
        <is>
          <t>Lighting, receptacles and small power branch circuits (allowance)</t>
        </is>
      </c>
      <c r="E3695" s="12" t="inlineStr"/>
      <c r="F3695" s="12" t="inlineStr">
        <is>
          <t>BESS EMS / SCADA and revenue metering</t>
        </is>
      </c>
      <c r="G3695" s="12" t="inlineStr"/>
      <c r="H3695" s="12" t="inlineStr">
        <is>
          <t>BESS EMS / SCADA and revenue metering</t>
        </is>
      </c>
      <c r="I3695" s="12" t="inlineStr">
        <is>
          <t>Building wire</t>
        </is>
      </c>
      <c r="J3695" s="12" t="inlineStr">
        <is>
          <t>SIMpull THHN/THWN-2 600 V 1/C Cu (lighting, receptacles, small power)</t>
        </is>
      </c>
      <c r="K3695" s="12" t="inlineStr">
        <is>
          <t>THHN|1/C|12</t>
        </is>
      </c>
      <c r="L3695" s="12" t="inlineStr">
        <is>
          <t>1/C</t>
        </is>
      </c>
      <c r="M3695" s="12" t="inlineStr">
        <is>
          <t>12</t>
        </is>
      </c>
      <c r="N3695" s="12" t="n">
        <v>1</v>
      </c>
      <c r="O3695" s="12" t="n">
        <v>1</v>
      </c>
      <c r="P3695" s="12" t="n">
        <v>277</v>
      </c>
      <c r="Q3695" s="12" t="n"/>
      <c r="R3695" s="12" t="n"/>
      <c r="S3695" s="12" t="inlineStr">
        <is>
          <t>Conduit</t>
        </is>
      </c>
      <c r="T3695" s="16" t="n">
        <v>384</v>
      </c>
      <c r="U3695" s="16" t="n">
        <v>0</v>
      </c>
      <c r="V3695" s="16">
        <f>ROUNDUP((T3695+U3695+2*'Read Me'!$B$13)*(1+'Read Me'!$B$12),-1)</f>
        <v/>
      </c>
      <c r="W3695" s="16">
        <f>V3695*N3695*O3695</f>
        <v/>
      </c>
      <c r="X3695" s="12">
        <f>IF(LEFT(I3695,2)="MV",2*N3695*IF(L3695="1/C",O3695,1),0)</f>
        <v/>
      </c>
      <c r="Y3695" s="12">
        <f>IF(OR(LEFT(K3695,4)="LVAX",LEFT(K3695,6)="MV15AX",LEFT(K3695,4)="CTAX",LEFT(K3695,2)="W|"),2*N3695*O3695,0)</f>
        <v/>
      </c>
      <c r="Z3695" s="12" t="inlineStr">
        <is>
          <t>allowance: 1.6 ft of conductor per ft2 of floor</t>
        </is>
      </c>
      <c r="AA3695" s="12">
        <f>N3695*O3695</f>
        <v/>
      </c>
    </row>
    <row r="3696">
      <c r="A3696" s="12" t="inlineStr">
        <is>
          <t>H-C-0001</t>
        </is>
      </c>
      <c r="B3696" s="12" t="inlineStr">
        <is>
          <t>H</t>
        </is>
      </c>
      <c r="C3696" s="12" t="inlineStr">
        <is>
          <t>BESS</t>
        </is>
      </c>
      <c r="D3696" s="12" t="inlineStr">
        <is>
          <t>Control</t>
        </is>
      </c>
      <c r="E3696" s="12" t="inlineStr"/>
      <c r="F3696" s="12" t="inlineStr">
        <is>
          <t>BESS EMS / SCADA and revenue metering</t>
        </is>
      </c>
      <c r="G3696" s="12" t="inlineStr"/>
      <c r="H3696" s="12" t="inlineStr">
        <is>
          <t>34.5 kV collector e-house (arc-resistant)</t>
        </is>
      </c>
      <c r="I3696" s="12" t="inlineStr">
        <is>
          <t>Control</t>
        </is>
      </c>
      <c r="J3696" s="12" t="inlineStr">
        <is>
          <t>Control cable 600 V Type TC-ER, Cu #14 AWG, PVC jacket</t>
        </is>
      </c>
      <c r="K3696" s="12" t="inlineStr">
        <is>
          <t>CT|7/C|14</t>
        </is>
      </c>
      <c r="L3696" s="12" t="inlineStr">
        <is>
          <t>7/C</t>
        </is>
      </c>
      <c r="M3696" s="12" t="inlineStr">
        <is>
          <t>14</t>
        </is>
      </c>
      <c r="N3696" s="12" t="n">
        <v>1</v>
      </c>
      <c r="O3696" s="12" t="n">
        <v>1</v>
      </c>
      <c r="P3696" s="12" t="n"/>
      <c r="Q3696" s="12" t="n"/>
      <c r="R3696" s="12" t="n"/>
      <c r="S3696" s="12" t="inlineStr">
        <is>
          <t>Duct bank</t>
        </is>
      </c>
      <c r="T3696" s="16" t="n">
        <v>68</v>
      </c>
      <c r="U3696" s="16" t="n">
        <v>37</v>
      </c>
      <c r="V3696" s="16">
        <f>ROUNDUP((T3696+U3696+2*'Read Me'!$B$13)*(1+'Read Me'!$B$12),-1)</f>
        <v/>
      </c>
      <c r="W3696" s="16">
        <f>V3696*N3696*O3696</f>
        <v/>
      </c>
      <c r="X3696" s="12">
        <f>IF(LEFT(I3696,2)="MV",2*N3696*IF(L3696="1/C",O3696,1),0)</f>
        <v/>
      </c>
      <c r="Y3696" s="12">
        <f>IF(OR(LEFT(K3696,4)="LVAX",LEFT(K3696,6)="MV15AX",LEFT(K3696,4)="CTAX",LEFT(K3696,2)="W|"),2*N3696*O3696,0)</f>
        <v/>
      </c>
      <c r="Z3696" s="12" t="inlineStr"/>
      <c r="AA3696" s="12">
        <f>N3696*O3696</f>
        <v/>
      </c>
    </row>
    <row r="3697">
      <c r="A3697" s="12" t="inlineStr">
        <is>
          <t>H-C-0002</t>
        </is>
      </c>
      <c r="B3697" s="12" t="inlineStr">
        <is>
          <t>H</t>
        </is>
      </c>
      <c r="C3697" s="12" t="inlineStr">
        <is>
          <t>BESS</t>
        </is>
      </c>
      <c r="D3697" s="12" t="inlineStr">
        <is>
          <t>Control</t>
        </is>
      </c>
      <c r="E3697" s="12" t="inlineStr"/>
      <c r="F3697" s="12" t="inlineStr">
        <is>
          <t>BESS EMS / SCADA and revenue metering</t>
        </is>
      </c>
      <c r="G3697" s="12" t="inlineStr"/>
      <c r="H3697" s="12" t="inlineStr">
        <is>
          <t>BESS EMS / SCADA and revenue metering</t>
        </is>
      </c>
      <c r="I3697" s="12" t="inlineStr">
        <is>
          <t>Control</t>
        </is>
      </c>
      <c r="J3697" s="12" t="inlineStr">
        <is>
          <t>ARMOR-X MC-HL 600 V control, Cu #14 AWG (Class I Div 2)</t>
        </is>
      </c>
      <c r="K3697" s="12" t="inlineStr">
        <is>
          <t>CTAX|7/C|14</t>
        </is>
      </c>
      <c r="L3697" s="12" t="inlineStr">
        <is>
          <t>7/C</t>
        </is>
      </c>
      <c r="M3697" s="12" t="inlineStr">
        <is>
          <t>14</t>
        </is>
      </c>
      <c r="N3697" s="12" t="n">
        <v>1</v>
      </c>
      <c r="O3697" s="12" t="n">
        <v>1</v>
      </c>
      <c r="P3697" s="12" t="n"/>
      <c r="Q3697" s="12" t="n"/>
      <c r="R3697" s="12" t="n"/>
      <c r="S3697" s="12" t="inlineStr">
        <is>
          <t>Tray</t>
        </is>
      </c>
      <c r="T3697" s="16" t="n">
        <v>0</v>
      </c>
      <c r="U3697" s="16" t="n">
        <v>32</v>
      </c>
      <c r="V3697" s="16">
        <f>ROUNDUP((T3697+U3697+2*'Read Me'!$B$13)*(1+'Read Me'!$B$12),-1)</f>
        <v/>
      </c>
      <c r="W3697" s="16">
        <f>V3697*N3697*O3697</f>
        <v/>
      </c>
      <c r="X3697" s="12">
        <f>IF(LEFT(I3697,2)="MV",2*N3697*IF(L3697="1/C",O3697,1),0)</f>
        <v/>
      </c>
      <c r="Y3697" s="12">
        <f>IF(OR(LEFT(K3697,4)="LVAX",LEFT(K3697,6)="MV15AX",LEFT(K3697,4)="CTAX",LEFT(K3697,2)="W|"),2*N3697*O3697,0)</f>
        <v/>
      </c>
      <c r="Z3697" s="12" t="inlineStr"/>
      <c r="AA3697" s="12">
        <f>N3697*O3697</f>
        <v/>
      </c>
    </row>
    <row r="3698">
      <c r="A3698" s="12" t="inlineStr">
        <is>
          <t>H-C-0003</t>
        </is>
      </c>
      <c r="B3698" s="12" t="inlineStr">
        <is>
          <t>H</t>
        </is>
      </c>
      <c r="C3698" s="12" t="inlineStr">
        <is>
          <t>BESS</t>
        </is>
      </c>
      <c r="D3698" s="12" t="inlineStr">
        <is>
          <t>Motor 1 of 2: control / local station</t>
        </is>
      </c>
      <c r="E3698" s="12" t="inlineStr"/>
      <c r="F3698" s="12" t="inlineStr">
        <is>
          <t>BESS auxiliary transformer</t>
        </is>
      </c>
      <c r="G3698" s="12" t="inlineStr"/>
      <c r="H3698" s="12" t="inlineStr">
        <is>
          <t>BESS PCS / MV skid</t>
        </is>
      </c>
      <c r="I3698" s="12" t="inlineStr">
        <is>
          <t>Control</t>
        </is>
      </c>
      <c r="J3698" s="12" t="inlineStr">
        <is>
          <t>Control cable 600 V Type TC-ER, Cu #14 AWG, PVC jacket</t>
        </is>
      </c>
      <c r="K3698" s="12" t="inlineStr">
        <is>
          <t>CT|7/C|14</t>
        </is>
      </c>
      <c r="L3698" s="12" t="inlineStr">
        <is>
          <t>7/C</t>
        </is>
      </c>
      <c r="M3698" s="12" t="inlineStr">
        <is>
          <t>14</t>
        </is>
      </c>
      <c r="N3698" s="12" t="n">
        <v>1</v>
      </c>
      <c r="O3698" s="12" t="n">
        <v>1</v>
      </c>
      <c r="P3698" s="12" t="n"/>
      <c r="Q3698" s="12" t="n"/>
      <c r="R3698" s="12" t="n"/>
      <c r="S3698" s="12" t="inlineStr">
        <is>
          <t>Duct bank</t>
        </is>
      </c>
      <c r="T3698" s="16" t="n">
        <v>318</v>
      </c>
      <c r="U3698" s="16" t="n">
        <v>103</v>
      </c>
      <c r="V3698" s="16">
        <f>ROUNDUP((T3698+U3698+2*'Read Me'!$B$13)*(1+'Read Me'!$B$12),-1)</f>
        <v/>
      </c>
      <c r="W3698" s="16">
        <f>V3698*N3698*O3698</f>
        <v/>
      </c>
      <c r="X3698" s="12">
        <f>IF(LEFT(I3698,2)="MV",2*N3698*IF(L3698="1/C",O3698,1),0)</f>
        <v/>
      </c>
      <c r="Y3698" s="12">
        <f>IF(OR(LEFT(K3698,4)="LVAX",LEFT(K3698,6)="MV15AX",LEFT(K3698,4)="CTAX",LEFT(K3698,2)="W|"),2*N3698*O3698,0)</f>
        <v/>
      </c>
      <c r="Z3698" s="12" t="inlineStr"/>
      <c r="AA3698" s="12">
        <f>N3698*O3698</f>
        <v/>
      </c>
    </row>
    <row r="3699">
      <c r="A3699" s="12" t="inlineStr">
        <is>
          <t>H-C-0004</t>
        </is>
      </c>
      <c r="B3699" s="12" t="inlineStr">
        <is>
          <t>H</t>
        </is>
      </c>
      <c r="C3699" s="12" t="inlineStr">
        <is>
          <t>BESS</t>
        </is>
      </c>
      <c r="D3699" s="12" t="inlineStr">
        <is>
          <t>Motor 2 of 2: control / local station</t>
        </is>
      </c>
      <c r="E3699" s="12" t="inlineStr"/>
      <c r="F3699" s="12" t="inlineStr">
        <is>
          <t>BESS auxiliary transformer</t>
        </is>
      </c>
      <c r="G3699" s="12" t="inlineStr"/>
      <c r="H3699" s="12" t="inlineStr">
        <is>
          <t>BESS PCS / MV skid</t>
        </is>
      </c>
      <c r="I3699" s="12" t="inlineStr">
        <is>
          <t>Control</t>
        </is>
      </c>
      <c r="J3699" s="12" t="inlineStr">
        <is>
          <t>Control cable 600 V Type TC-ER, Cu #14 AWG, PVC jacket</t>
        </is>
      </c>
      <c r="K3699" s="12" t="inlineStr">
        <is>
          <t>CT|7/C|14</t>
        </is>
      </c>
      <c r="L3699" s="12" t="inlineStr">
        <is>
          <t>7/C</t>
        </is>
      </c>
      <c r="M3699" s="12" t="inlineStr">
        <is>
          <t>14</t>
        </is>
      </c>
      <c r="N3699" s="12" t="n">
        <v>1</v>
      </c>
      <c r="O3699" s="12" t="n">
        <v>1</v>
      </c>
      <c r="P3699" s="12" t="n"/>
      <c r="Q3699" s="12" t="n"/>
      <c r="R3699" s="12" t="n"/>
      <c r="S3699" s="12" t="inlineStr">
        <is>
          <t>Duct bank</t>
        </is>
      </c>
      <c r="T3699" s="16" t="n">
        <v>318</v>
      </c>
      <c r="U3699" s="16" t="n">
        <v>103</v>
      </c>
      <c r="V3699" s="16">
        <f>ROUNDUP((T3699+U3699+2*'Read Me'!$B$13)*(1+'Read Me'!$B$12),-1)</f>
        <v/>
      </c>
      <c r="W3699" s="16">
        <f>V3699*N3699*O3699</f>
        <v/>
      </c>
      <c r="X3699" s="12">
        <f>IF(LEFT(I3699,2)="MV",2*N3699*IF(L3699="1/C",O3699,1),0)</f>
        <v/>
      </c>
      <c r="Y3699" s="12">
        <f>IF(OR(LEFT(K3699,4)="LVAX",LEFT(K3699,6)="MV15AX",LEFT(K3699,4)="CTAX",LEFT(K3699,2)="W|"),2*N3699*O3699,0)</f>
        <v/>
      </c>
      <c r="Z3699" s="12" t="inlineStr"/>
      <c r="AA3699" s="12">
        <f>N3699*O3699</f>
        <v/>
      </c>
    </row>
    <row r="3700">
      <c r="A3700" s="12" t="inlineStr">
        <is>
          <t>H-C-0005</t>
        </is>
      </c>
      <c r="B3700" s="12" t="inlineStr">
        <is>
          <t>H</t>
        </is>
      </c>
      <c r="C3700" s="12" t="inlineStr">
        <is>
          <t>BESS</t>
        </is>
      </c>
      <c r="D3700" s="12" t="inlineStr">
        <is>
          <t>Motor 1 of 2: control / local station</t>
        </is>
      </c>
      <c r="E3700" s="12" t="inlineStr"/>
      <c r="F3700" s="12" t="inlineStr">
        <is>
          <t>BESS auxiliary transformer</t>
        </is>
      </c>
      <c r="G3700" s="12" t="inlineStr"/>
      <c r="H3700" s="12" t="inlineStr">
        <is>
          <t>BESS PCS / MV skid</t>
        </is>
      </c>
      <c r="I3700" s="12" t="inlineStr">
        <is>
          <t>Control</t>
        </is>
      </c>
      <c r="J3700" s="12" t="inlineStr">
        <is>
          <t>Control cable 600 V Type TC-ER, Cu #14 AWG, PVC jacket</t>
        </is>
      </c>
      <c r="K3700" s="12" t="inlineStr">
        <is>
          <t>CT|7/C|14</t>
        </is>
      </c>
      <c r="L3700" s="12" t="inlineStr">
        <is>
          <t>7/C</t>
        </is>
      </c>
      <c r="M3700" s="12" t="inlineStr">
        <is>
          <t>14</t>
        </is>
      </c>
      <c r="N3700" s="12" t="n">
        <v>1</v>
      </c>
      <c r="O3700" s="12" t="n">
        <v>1</v>
      </c>
      <c r="P3700" s="12" t="n"/>
      <c r="Q3700" s="12" t="n"/>
      <c r="R3700" s="12" t="n"/>
      <c r="S3700" s="12" t="inlineStr">
        <is>
          <t>Duct bank</t>
        </is>
      </c>
      <c r="T3700" s="16" t="n">
        <v>178</v>
      </c>
      <c r="U3700" s="16" t="n">
        <v>123</v>
      </c>
      <c r="V3700" s="16">
        <f>ROUNDUP((T3700+U3700+2*'Read Me'!$B$13)*(1+'Read Me'!$B$12),-1)</f>
        <v/>
      </c>
      <c r="W3700" s="16">
        <f>V3700*N3700*O3700</f>
        <v/>
      </c>
      <c r="X3700" s="12">
        <f>IF(LEFT(I3700,2)="MV",2*N3700*IF(L3700="1/C",O3700,1),0)</f>
        <v/>
      </c>
      <c r="Y3700" s="12">
        <f>IF(OR(LEFT(K3700,4)="LVAX",LEFT(K3700,6)="MV15AX",LEFT(K3700,4)="CTAX",LEFT(K3700,2)="W|"),2*N3700*O3700,0)</f>
        <v/>
      </c>
      <c r="Z3700" s="12" t="inlineStr"/>
      <c r="AA3700" s="12">
        <f>N3700*O3700</f>
        <v/>
      </c>
    </row>
    <row r="3701">
      <c r="A3701" s="12" t="inlineStr">
        <is>
          <t>H-C-0006</t>
        </is>
      </c>
      <c r="B3701" s="12" t="inlineStr">
        <is>
          <t>H</t>
        </is>
      </c>
      <c r="C3701" s="12" t="inlineStr">
        <is>
          <t>BESS</t>
        </is>
      </c>
      <c r="D3701" s="12" t="inlineStr">
        <is>
          <t>Motor 2 of 2: control / local station</t>
        </is>
      </c>
      <c r="E3701" s="12" t="inlineStr"/>
      <c r="F3701" s="12" t="inlineStr">
        <is>
          <t>BESS auxiliary transformer</t>
        </is>
      </c>
      <c r="G3701" s="12" t="inlineStr"/>
      <c r="H3701" s="12" t="inlineStr">
        <is>
          <t>BESS PCS / MV skid</t>
        </is>
      </c>
      <c r="I3701" s="12" t="inlineStr">
        <is>
          <t>Control</t>
        </is>
      </c>
      <c r="J3701" s="12" t="inlineStr">
        <is>
          <t>Control cable 600 V Type TC-ER, Cu #14 AWG, PVC jacket</t>
        </is>
      </c>
      <c r="K3701" s="12" t="inlineStr">
        <is>
          <t>CT|7/C|14</t>
        </is>
      </c>
      <c r="L3701" s="12" t="inlineStr">
        <is>
          <t>7/C</t>
        </is>
      </c>
      <c r="M3701" s="12" t="inlineStr">
        <is>
          <t>14</t>
        </is>
      </c>
      <c r="N3701" s="12" t="n">
        <v>1</v>
      </c>
      <c r="O3701" s="12" t="n">
        <v>1</v>
      </c>
      <c r="P3701" s="12" t="n"/>
      <c r="Q3701" s="12" t="n"/>
      <c r="R3701" s="12" t="n"/>
      <c r="S3701" s="12" t="inlineStr">
        <is>
          <t>Duct bank</t>
        </is>
      </c>
      <c r="T3701" s="16" t="n">
        <v>178</v>
      </c>
      <c r="U3701" s="16" t="n">
        <v>123</v>
      </c>
      <c r="V3701" s="16">
        <f>ROUNDUP((T3701+U3701+2*'Read Me'!$B$13)*(1+'Read Me'!$B$12),-1)</f>
        <v/>
      </c>
      <c r="W3701" s="16">
        <f>V3701*N3701*O3701</f>
        <v/>
      </c>
      <c r="X3701" s="12">
        <f>IF(LEFT(I3701,2)="MV",2*N3701*IF(L3701="1/C",O3701,1),0)</f>
        <v/>
      </c>
      <c r="Y3701" s="12">
        <f>IF(OR(LEFT(K3701,4)="LVAX",LEFT(K3701,6)="MV15AX",LEFT(K3701,4)="CTAX",LEFT(K3701,2)="W|"),2*N3701*O3701,0)</f>
        <v/>
      </c>
      <c r="Z3701" s="12" t="inlineStr"/>
      <c r="AA3701" s="12">
        <f>N3701*O3701</f>
        <v/>
      </c>
    </row>
    <row r="3702">
      <c r="A3702" s="12" t="inlineStr">
        <is>
          <t>H-C-0007</t>
        </is>
      </c>
      <c r="B3702" s="12" t="inlineStr">
        <is>
          <t>H</t>
        </is>
      </c>
      <c r="C3702" s="12" t="inlineStr">
        <is>
          <t>BESS</t>
        </is>
      </c>
      <c r="D3702" s="12" t="inlineStr">
        <is>
          <t>Motor 1 of 2: control / local station</t>
        </is>
      </c>
      <c r="E3702" s="12" t="inlineStr"/>
      <c r="F3702" s="12" t="inlineStr">
        <is>
          <t>BESS auxiliary transformer</t>
        </is>
      </c>
      <c r="G3702" s="12" t="inlineStr"/>
      <c r="H3702" s="12" t="inlineStr">
        <is>
          <t>BESS PCS / MV skid</t>
        </is>
      </c>
      <c r="I3702" s="12" t="inlineStr">
        <is>
          <t>Control</t>
        </is>
      </c>
      <c r="J3702" s="12" t="inlineStr">
        <is>
          <t>Control cable 600 V Type TC-ER, Cu #14 AWG, PVC jacket</t>
        </is>
      </c>
      <c r="K3702" s="12" t="inlineStr">
        <is>
          <t>CT|7/C|14</t>
        </is>
      </c>
      <c r="L3702" s="12" t="inlineStr">
        <is>
          <t>7/C</t>
        </is>
      </c>
      <c r="M3702" s="12" t="inlineStr">
        <is>
          <t>14</t>
        </is>
      </c>
      <c r="N3702" s="12" t="n">
        <v>1</v>
      </c>
      <c r="O3702" s="12" t="n">
        <v>1</v>
      </c>
      <c r="P3702" s="12" t="n"/>
      <c r="Q3702" s="12" t="n"/>
      <c r="R3702" s="12" t="n"/>
      <c r="S3702" s="12" t="inlineStr">
        <is>
          <t>Duct bank</t>
        </is>
      </c>
      <c r="T3702" s="16" t="n">
        <v>74</v>
      </c>
      <c r="U3702" s="16" t="n">
        <v>107</v>
      </c>
      <c r="V3702" s="16">
        <f>ROUNDUP((T3702+U3702+2*'Read Me'!$B$13)*(1+'Read Me'!$B$12),-1)</f>
        <v/>
      </c>
      <c r="W3702" s="16">
        <f>V3702*N3702*O3702</f>
        <v/>
      </c>
      <c r="X3702" s="12">
        <f>IF(LEFT(I3702,2)="MV",2*N3702*IF(L3702="1/C",O3702,1),0)</f>
        <v/>
      </c>
      <c r="Y3702" s="12">
        <f>IF(OR(LEFT(K3702,4)="LVAX",LEFT(K3702,6)="MV15AX",LEFT(K3702,4)="CTAX",LEFT(K3702,2)="W|"),2*N3702*O3702,0)</f>
        <v/>
      </c>
      <c r="Z3702" s="12" t="inlineStr"/>
      <c r="AA3702" s="12">
        <f>N3702*O3702</f>
        <v/>
      </c>
    </row>
    <row r="3703">
      <c r="A3703" s="12" t="inlineStr">
        <is>
          <t>H-C-0008</t>
        </is>
      </c>
      <c r="B3703" s="12" t="inlineStr">
        <is>
          <t>H</t>
        </is>
      </c>
      <c r="C3703" s="12" t="inlineStr">
        <is>
          <t>BESS</t>
        </is>
      </c>
      <c r="D3703" s="12" t="inlineStr">
        <is>
          <t>Motor 2 of 2: control / local station</t>
        </is>
      </c>
      <c r="E3703" s="12" t="inlineStr"/>
      <c r="F3703" s="12" t="inlineStr">
        <is>
          <t>BESS auxiliary transformer</t>
        </is>
      </c>
      <c r="G3703" s="12" t="inlineStr"/>
      <c r="H3703" s="12" t="inlineStr">
        <is>
          <t>BESS PCS / MV skid</t>
        </is>
      </c>
      <c r="I3703" s="12" t="inlineStr">
        <is>
          <t>Control</t>
        </is>
      </c>
      <c r="J3703" s="12" t="inlineStr">
        <is>
          <t>Control cable 600 V Type TC-ER, Cu #14 AWG, PVC jacket</t>
        </is>
      </c>
      <c r="K3703" s="12" t="inlineStr">
        <is>
          <t>CT|7/C|14</t>
        </is>
      </c>
      <c r="L3703" s="12" t="inlineStr">
        <is>
          <t>7/C</t>
        </is>
      </c>
      <c r="M3703" s="12" t="inlineStr">
        <is>
          <t>14</t>
        </is>
      </c>
      <c r="N3703" s="12" t="n">
        <v>1</v>
      </c>
      <c r="O3703" s="12" t="n">
        <v>1</v>
      </c>
      <c r="P3703" s="12" t="n"/>
      <c r="Q3703" s="12" t="n"/>
      <c r="R3703" s="12" t="n"/>
      <c r="S3703" s="12" t="inlineStr">
        <is>
          <t>Duct bank</t>
        </is>
      </c>
      <c r="T3703" s="16" t="n">
        <v>74</v>
      </c>
      <c r="U3703" s="16" t="n">
        <v>107</v>
      </c>
      <c r="V3703" s="16">
        <f>ROUNDUP((T3703+U3703+2*'Read Me'!$B$13)*(1+'Read Me'!$B$12),-1)</f>
        <v/>
      </c>
      <c r="W3703" s="16">
        <f>V3703*N3703*O3703</f>
        <v/>
      </c>
      <c r="X3703" s="12">
        <f>IF(LEFT(I3703,2)="MV",2*N3703*IF(L3703="1/C",O3703,1),0)</f>
        <v/>
      </c>
      <c r="Y3703" s="12">
        <f>IF(OR(LEFT(K3703,4)="LVAX",LEFT(K3703,6)="MV15AX",LEFT(K3703,4)="CTAX",LEFT(K3703,2)="W|"),2*N3703*O3703,0)</f>
        <v/>
      </c>
      <c r="Z3703" s="12" t="inlineStr"/>
      <c r="AA3703" s="12">
        <f>N3703*O3703</f>
        <v/>
      </c>
    </row>
    <row r="3704">
      <c r="A3704" s="12" t="inlineStr">
        <is>
          <t>H-C-0009</t>
        </is>
      </c>
      <c r="B3704" s="12" t="inlineStr">
        <is>
          <t>H</t>
        </is>
      </c>
      <c r="C3704" s="12" t="inlineStr">
        <is>
          <t>BESS</t>
        </is>
      </c>
      <c r="D3704" s="12" t="inlineStr">
        <is>
          <t>Motor 1 of 2: control / local station</t>
        </is>
      </c>
      <c r="E3704" s="12" t="inlineStr"/>
      <c r="F3704" s="12" t="inlineStr">
        <is>
          <t>BESS auxiliary transformer</t>
        </is>
      </c>
      <c r="G3704" s="12" t="inlineStr"/>
      <c r="H3704" s="12" t="inlineStr">
        <is>
          <t>BESS PCS / MV skid</t>
        </is>
      </c>
      <c r="I3704" s="12" t="inlineStr">
        <is>
          <t>Control</t>
        </is>
      </c>
      <c r="J3704" s="12" t="inlineStr">
        <is>
          <t>Control cable 600 V Type TC-ER, Cu #14 AWG, PVC jacket</t>
        </is>
      </c>
      <c r="K3704" s="12" t="inlineStr">
        <is>
          <t>CT|7/C|14</t>
        </is>
      </c>
      <c r="L3704" s="12" t="inlineStr">
        <is>
          <t>7/C</t>
        </is>
      </c>
      <c r="M3704" s="12" t="inlineStr">
        <is>
          <t>14</t>
        </is>
      </c>
      <c r="N3704" s="12" t="n">
        <v>1</v>
      </c>
      <c r="O3704" s="12" t="n">
        <v>1</v>
      </c>
      <c r="P3704" s="12" t="n"/>
      <c r="Q3704" s="12" t="n"/>
      <c r="R3704" s="12" t="n"/>
      <c r="S3704" s="12" t="inlineStr">
        <is>
          <t>Duct bank</t>
        </is>
      </c>
      <c r="T3704" s="16" t="n">
        <v>318</v>
      </c>
      <c r="U3704" s="16" t="n">
        <v>161</v>
      </c>
      <c r="V3704" s="16">
        <f>ROUNDUP((T3704+U3704+2*'Read Me'!$B$13)*(1+'Read Me'!$B$12),-1)</f>
        <v/>
      </c>
      <c r="W3704" s="16">
        <f>V3704*N3704*O3704</f>
        <v/>
      </c>
      <c r="X3704" s="12">
        <f>IF(LEFT(I3704,2)="MV",2*N3704*IF(L3704="1/C",O3704,1),0)</f>
        <v/>
      </c>
      <c r="Y3704" s="12">
        <f>IF(OR(LEFT(K3704,4)="LVAX",LEFT(K3704,6)="MV15AX",LEFT(K3704,4)="CTAX",LEFT(K3704,2)="W|"),2*N3704*O3704,0)</f>
        <v/>
      </c>
      <c r="Z3704" s="12" t="inlineStr"/>
      <c r="AA3704" s="12">
        <f>N3704*O3704</f>
        <v/>
      </c>
    </row>
    <row r="3705">
      <c r="A3705" s="12" t="inlineStr">
        <is>
          <t>H-C-0010</t>
        </is>
      </c>
      <c r="B3705" s="12" t="inlineStr">
        <is>
          <t>H</t>
        </is>
      </c>
      <c r="C3705" s="12" t="inlineStr">
        <is>
          <t>BESS</t>
        </is>
      </c>
      <c r="D3705" s="12" t="inlineStr">
        <is>
          <t>Motor 2 of 2: control / local station</t>
        </is>
      </c>
      <c r="E3705" s="12" t="inlineStr"/>
      <c r="F3705" s="12" t="inlineStr">
        <is>
          <t>BESS auxiliary transformer</t>
        </is>
      </c>
      <c r="G3705" s="12" t="inlineStr"/>
      <c r="H3705" s="12" t="inlineStr">
        <is>
          <t>BESS PCS / MV skid</t>
        </is>
      </c>
      <c r="I3705" s="12" t="inlineStr">
        <is>
          <t>Control</t>
        </is>
      </c>
      <c r="J3705" s="12" t="inlineStr">
        <is>
          <t>Control cable 600 V Type TC-ER, Cu #14 AWG, PVC jacket</t>
        </is>
      </c>
      <c r="K3705" s="12" t="inlineStr">
        <is>
          <t>CT|7/C|14</t>
        </is>
      </c>
      <c r="L3705" s="12" t="inlineStr">
        <is>
          <t>7/C</t>
        </is>
      </c>
      <c r="M3705" s="12" t="inlineStr">
        <is>
          <t>14</t>
        </is>
      </c>
      <c r="N3705" s="12" t="n">
        <v>1</v>
      </c>
      <c r="O3705" s="12" t="n">
        <v>1</v>
      </c>
      <c r="P3705" s="12" t="n"/>
      <c r="Q3705" s="12" t="n"/>
      <c r="R3705" s="12" t="n"/>
      <c r="S3705" s="12" t="inlineStr">
        <is>
          <t>Duct bank</t>
        </is>
      </c>
      <c r="T3705" s="16" t="n">
        <v>318</v>
      </c>
      <c r="U3705" s="16" t="n">
        <v>161</v>
      </c>
      <c r="V3705" s="16">
        <f>ROUNDUP((T3705+U3705+2*'Read Me'!$B$13)*(1+'Read Me'!$B$12),-1)</f>
        <v/>
      </c>
      <c r="W3705" s="16">
        <f>V3705*N3705*O3705</f>
        <v/>
      </c>
      <c r="X3705" s="12">
        <f>IF(LEFT(I3705,2)="MV",2*N3705*IF(L3705="1/C",O3705,1),0)</f>
        <v/>
      </c>
      <c r="Y3705" s="12">
        <f>IF(OR(LEFT(K3705,4)="LVAX",LEFT(K3705,6)="MV15AX",LEFT(K3705,4)="CTAX",LEFT(K3705,2)="W|"),2*N3705*O3705,0)</f>
        <v/>
      </c>
      <c r="Z3705" s="12" t="inlineStr"/>
      <c r="AA3705" s="12">
        <f>N3705*O3705</f>
        <v/>
      </c>
    </row>
    <row r="3706">
      <c r="A3706" s="12" t="inlineStr">
        <is>
          <t>H-C-0011</t>
        </is>
      </c>
      <c r="B3706" s="12" t="inlineStr">
        <is>
          <t>H</t>
        </is>
      </c>
      <c r="C3706" s="12" t="inlineStr">
        <is>
          <t>BESS</t>
        </is>
      </c>
      <c r="D3706" s="12" t="inlineStr">
        <is>
          <t>Motor 1 of 2: control / local station</t>
        </is>
      </c>
      <c r="E3706" s="12" t="inlineStr"/>
      <c r="F3706" s="12" t="inlineStr">
        <is>
          <t>BESS auxiliary transformer</t>
        </is>
      </c>
      <c r="G3706" s="12" t="inlineStr"/>
      <c r="H3706" s="12" t="inlineStr">
        <is>
          <t>BESS PCS / MV skid</t>
        </is>
      </c>
      <c r="I3706" s="12" t="inlineStr">
        <is>
          <t>Control</t>
        </is>
      </c>
      <c r="J3706" s="12" t="inlineStr">
        <is>
          <t>Control cable 600 V Type TC-ER, Cu #14 AWG, PVC jacket</t>
        </is>
      </c>
      <c r="K3706" s="12" t="inlineStr">
        <is>
          <t>CT|7/C|14</t>
        </is>
      </c>
      <c r="L3706" s="12" t="inlineStr">
        <is>
          <t>7/C</t>
        </is>
      </c>
      <c r="M3706" s="12" t="inlineStr">
        <is>
          <t>14</t>
        </is>
      </c>
      <c r="N3706" s="12" t="n">
        <v>1</v>
      </c>
      <c r="O3706" s="12" t="n">
        <v>1</v>
      </c>
      <c r="P3706" s="12" t="n"/>
      <c r="Q3706" s="12" t="n"/>
      <c r="R3706" s="12" t="n"/>
      <c r="S3706" s="12" t="inlineStr">
        <is>
          <t>Duct bank</t>
        </is>
      </c>
      <c r="T3706" s="16" t="n">
        <v>178</v>
      </c>
      <c r="U3706" s="16" t="n">
        <v>181</v>
      </c>
      <c r="V3706" s="16">
        <f>ROUNDUP((T3706+U3706+2*'Read Me'!$B$13)*(1+'Read Me'!$B$12),-1)</f>
        <v/>
      </c>
      <c r="W3706" s="16">
        <f>V3706*N3706*O3706</f>
        <v/>
      </c>
      <c r="X3706" s="12">
        <f>IF(LEFT(I3706,2)="MV",2*N3706*IF(L3706="1/C",O3706,1),0)</f>
        <v/>
      </c>
      <c r="Y3706" s="12">
        <f>IF(OR(LEFT(K3706,4)="LVAX",LEFT(K3706,6)="MV15AX",LEFT(K3706,4)="CTAX",LEFT(K3706,2)="W|"),2*N3706*O3706,0)</f>
        <v/>
      </c>
      <c r="Z3706" s="12" t="inlineStr"/>
      <c r="AA3706" s="12">
        <f>N3706*O3706</f>
        <v/>
      </c>
    </row>
    <row r="3707">
      <c r="A3707" s="12" t="inlineStr">
        <is>
          <t>H-C-0012</t>
        </is>
      </c>
      <c r="B3707" s="12" t="inlineStr">
        <is>
          <t>H</t>
        </is>
      </c>
      <c r="C3707" s="12" t="inlineStr">
        <is>
          <t>BESS</t>
        </is>
      </c>
      <c r="D3707" s="12" t="inlineStr">
        <is>
          <t>Motor 2 of 2: control / local station</t>
        </is>
      </c>
      <c r="E3707" s="12" t="inlineStr"/>
      <c r="F3707" s="12" t="inlineStr">
        <is>
          <t>BESS auxiliary transformer</t>
        </is>
      </c>
      <c r="G3707" s="12" t="inlineStr"/>
      <c r="H3707" s="12" t="inlineStr">
        <is>
          <t>BESS PCS / MV skid</t>
        </is>
      </c>
      <c r="I3707" s="12" t="inlineStr">
        <is>
          <t>Control</t>
        </is>
      </c>
      <c r="J3707" s="12" t="inlineStr">
        <is>
          <t>Control cable 600 V Type TC-ER, Cu #14 AWG, PVC jacket</t>
        </is>
      </c>
      <c r="K3707" s="12" t="inlineStr">
        <is>
          <t>CT|7/C|14</t>
        </is>
      </c>
      <c r="L3707" s="12" t="inlineStr">
        <is>
          <t>7/C</t>
        </is>
      </c>
      <c r="M3707" s="12" t="inlineStr">
        <is>
          <t>14</t>
        </is>
      </c>
      <c r="N3707" s="12" t="n">
        <v>1</v>
      </c>
      <c r="O3707" s="12" t="n">
        <v>1</v>
      </c>
      <c r="P3707" s="12" t="n"/>
      <c r="Q3707" s="12" t="n"/>
      <c r="R3707" s="12" t="n"/>
      <c r="S3707" s="12" t="inlineStr">
        <is>
          <t>Duct bank</t>
        </is>
      </c>
      <c r="T3707" s="16" t="n">
        <v>178</v>
      </c>
      <c r="U3707" s="16" t="n">
        <v>181</v>
      </c>
      <c r="V3707" s="16">
        <f>ROUNDUP((T3707+U3707+2*'Read Me'!$B$13)*(1+'Read Me'!$B$12),-1)</f>
        <v/>
      </c>
      <c r="W3707" s="16">
        <f>V3707*N3707*O3707</f>
        <v/>
      </c>
      <c r="X3707" s="12">
        <f>IF(LEFT(I3707,2)="MV",2*N3707*IF(L3707="1/C",O3707,1),0)</f>
        <v/>
      </c>
      <c r="Y3707" s="12">
        <f>IF(OR(LEFT(K3707,4)="LVAX",LEFT(K3707,6)="MV15AX",LEFT(K3707,4)="CTAX",LEFT(K3707,2)="W|"),2*N3707*O3707,0)</f>
        <v/>
      </c>
      <c r="Z3707" s="12" t="inlineStr"/>
      <c r="AA3707" s="12">
        <f>N3707*O3707</f>
        <v/>
      </c>
    </row>
    <row r="3708">
      <c r="A3708" s="12" t="inlineStr">
        <is>
          <t>H-C-0013</t>
        </is>
      </c>
      <c r="B3708" s="12" t="inlineStr">
        <is>
          <t>H</t>
        </is>
      </c>
      <c r="C3708" s="12" t="inlineStr">
        <is>
          <t>BESS</t>
        </is>
      </c>
      <c r="D3708" s="12" t="inlineStr">
        <is>
          <t>Motor 1 of 2: control / local station</t>
        </is>
      </c>
      <c r="E3708" s="12" t="inlineStr"/>
      <c r="F3708" s="12" t="inlineStr">
        <is>
          <t>BESS auxiliary transformer</t>
        </is>
      </c>
      <c r="G3708" s="12" t="inlineStr"/>
      <c r="H3708" s="12" t="inlineStr">
        <is>
          <t>BESS PCS / MV skid</t>
        </is>
      </c>
      <c r="I3708" s="12" t="inlineStr">
        <is>
          <t>Control</t>
        </is>
      </c>
      <c r="J3708" s="12" t="inlineStr">
        <is>
          <t>Control cable 600 V Type TC-ER, Cu #14 AWG, PVC jacket</t>
        </is>
      </c>
      <c r="K3708" s="12" t="inlineStr">
        <is>
          <t>CT|7/C|14</t>
        </is>
      </c>
      <c r="L3708" s="12" t="inlineStr">
        <is>
          <t>7/C</t>
        </is>
      </c>
      <c r="M3708" s="12" t="inlineStr">
        <is>
          <t>14</t>
        </is>
      </c>
      <c r="N3708" s="12" t="n">
        <v>1</v>
      </c>
      <c r="O3708" s="12" t="n">
        <v>1</v>
      </c>
      <c r="P3708" s="12" t="n"/>
      <c r="Q3708" s="12" t="n"/>
      <c r="R3708" s="12" t="n"/>
      <c r="S3708" s="12" t="inlineStr">
        <is>
          <t>Duct bank</t>
        </is>
      </c>
      <c r="T3708" s="16" t="n">
        <v>74</v>
      </c>
      <c r="U3708" s="16" t="n">
        <v>165</v>
      </c>
      <c r="V3708" s="16">
        <f>ROUNDUP((T3708+U3708+2*'Read Me'!$B$13)*(1+'Read Me'!$B$12),-1)</f>
        <v/>
      </c>
      <c r="W3708" s="16">
        <f>V3708*N3708*O3708</f>
        <v/>
      </c>
      <c r="X3708" s="12">
        <f>IF(LEFT(I3708,2)="MV",2*N3708*IF(L3708="1/C",O3708,1),0)</f>
        <v/>
      </c>
      <c r="Y3708" s="12">
        <f>IF(OR(LEFT(K3708,4)="LVAX",LEFT(K3708,6)="MV15AX",LEFT(K3708,4)="CTAX",LEFT(K3708,2)="W|"),2*N3708*O3708,0)</f>
        <v/>
      </c>
      <c r="Z3708" s="12" t="inlineStr"/>
      <c r="AA3708" s="12">
        <f>N3708*O3708</f>
        <v/>
      </c>
    </row>
    <row r="3709">
      <c r="A3709" s="12" t="inlineStr">
        <is>
          <t>H-C-0014</t>
        </is>
      </c>
      <c r="B3709" s="12" t="inlineStr">
        <is>
          <t>H</t>
        </is>
      </c>
      <c r="C3709" s="12" t="inlineStr">
        <is>
          <t>BESS</t>
        </is>
      </c>
      <c r="D3709" s="12" t="inlineStr">
        <is>
          <t>Motor 2 of 2: control / local station</t>
        </is>
      </c>
      <c r="E3709" s="12" t="inlineStr"/>
      <c r="F3709" s="12" t="inlineStr">
        <is>
          <t>BESS auxiliary transformer</t>
        </is>
      </c>
      <c r="G3709" s="12" t="inlineStr"/>
      <c r="H3709" s="12" t="inlineStr">
        <is>
          <t>BESS PCS / MV skid</t>
        </is>
      </c>
      <c r="I3709" s="12" t="inlineStr">
        <is>
          <t>Control</t>
        </is>
      </c>
      <c r="J3709" s="12" t="inlineStr">
        <is>
          <t>Control cable 600 V Type TC-ER, Cu #14 AWG, PVC jacket</t>
        </is>
      </c>
      <c r="K3709" s="12" t="inlineStr">
        <is>
          <t>CT|7/C|14</t>
        </is>
      </c>
      <c r="L3709" s="12" t="inlineStr">
        <is>
          <t>7/C</t>
        </is>
      </c>
      <c r="M3709" s="12" t="inlineStr">
        <is>
          <t>14</t>
        </is>
      </c>
      <c r="N3709" s="12" t="n">
        <v>1</v>
      </c>
      <c r="O3709" s="12" t="n">
        <v>1</v>
      </c>
      <c r="P3709" s="12" t="n"/>
      <c r="Q3709" s="12" t="n"/>
      <c r="R3709" s="12" t="n"/>
      <c r="S3709" s="12" t="inlineStr">
        <is>
          <t>Duct bank</t>
        </is>
      </c>
      <c r="T3709" s="16" t="n">
        <v>74</v>
      </c>
      <c r="U3709" s="16" t="n">
        <v>165</v>
      </c>
      <c r="V3709" s="16">
        <f>ROUNDUP((T3709+U3709+2*'Read Me'!$B$13)*(1+'Read Me'!$B$12),-1)</f>
        <v/>
      </c>
      <c r="W3709" s="16">
        <f>V3709*N3709*O3709</f>
        <v/>
      </c>
      <c r="X3709" s="12">
        <f>IF(LEFT(I3709,2)="MV",2*N3709*IF(L3709="1/C",O3709,1),0)</f>
        <v/>
      </c>
      <c r="Y3709" s="12">
        <f>IF(OR(LEFT(K3709,4)="LVAX",LEFT(K3709,6)="MV15AX",LEFT(K3709,4)="CTAX",LEFT(K3709,2)="W|"),2*N3709*O3709,0)</f>
        <v/>
      </c>
      <c r="Z3709" s="12" t="inlineStr"/>
      <c r="AA3709" s="12">
        <f>N3709*O3709</f>
        <v/>
      </c>
    </row>
    <row r="3710">
      <c r="A3710" s="12" t="inlineStr">
        <is>
          <t>H-C-0015</t>
        </is>
      </c>
      <c r="B3710" s="12" t="inlineStr">
        <is>
          <t>H</t>
        </is>
      </c>
      <c r="C3710" s="12" t="inlineStr">
        <is>
          <t>BESS</t>
        </is>
      </c>
      <c r="D3710" s="12" t="inlineStr">
        <is>
          <t>Motor 1 of 2: control / local station</t>
        </is>
      </c>
      <c r="E3710" s="12" t="inlineStr"/>
      <c r="F3710" s="12" t="inlineStr">
        <is>
          <t>BESS auxiliary transformer</t>
        </is>
      </c>
      <c r="G3710" s="12" t="inlineStr"/>
      <c r="H3710" s="12" t="inlineStr">
        <is>
          <t>BESS PCS / MV skid</t>
        </is>
      </c>
      <c r="I3710" s="12" t="inlineStr">
        <is>
          <t>Control</t>
        </is>
      </c>
      <c r="J3710" s="12" t="inlineStr">
        <is>
          <t>Control cable 600 V Type TC-ER, Cu #14 AWG, PVC jacket</t>
        </is>
      </c>
      <c r="K3710" s="12" t="inlineStr">
        <is>
          <t>CT|7/C|14</t>
        </is>
      </c>
      <c r="L3710" s="12" t="inlineStr">
        <is>
          <t>7/C</t>
        </is>
      </c>
      <c r="M3710" s="12" t="inlineStr">
        <is>
          <t>14</t>
        </is>
      </c>
      <c r="N3710" s="12" t="n">
        <v>1</v>
      </c>
      <c r="O3710" s="12" t="n">
        <v>1</v>
      </c>
      <c r="P3710" s="12" t="n"/>
      <c r="Q3710" s="12" t="n"/>
      <c r="R3710" s="12" t="n"/>
      <c r="S3710" s="12" t="inlineStr">
        <is>
          <t>Duct bank</t>
        </is>
      </c>
      <c r="T3710" s="16" t="n">
        <v>318</v>
      </c>
      <c r="U3710" s="16" t="n">
        <v>219</v>
      </c>
      <c r="V3710" s="16">
        <f>ROUNDUP((T3710+U3710+2*'Read Me'!$B$13)*(1+'Read Me'!$B$12),-1)</f>
        <v/>
      </c>
      <c r="W3710" s="16">
        <f>V3710*N3710*O3710</f>
        <v/>
      </c>
      <c r="X3710" s="12">
        <f>IF(LEFT(I3710,2)="MV",2*N3710*IF(L3710="1/C",O3710,1),0)</f>
        <v/>
      </c>
      <c r="Y3710" s="12">
        <f>IF(OR(LEFT(K3710,4)="LVAX",LEFT(K3710,6)="MV15AX",LEFT(K3710,4)="CTAX",LEFT(K3710,2)="W|"),2*N3710*O3710,0)</f>
        <v/>
      </c>
      <c r="Z3710" s="12" t="inlineStr"/>
      <c r="AA3710" s="12">
        <f>N3710*O3710</f>
        <v/>
      </c>
    </row>
    <row r="3711">
      <c r="A3711" s="12" t="inlineStr">
        <is>
          <t>H-C-0016</t>
        </is>
      </c>
      <c r="B3711" s="12" t="inlineStr">
        <is>
          <t>H</t>
        </is>
      </c>
      <c r="C3711" s="12" t="inlineStr">
        <is>
          <t>BESS</t>
        </is>
      </c>
      <c r="D3711" s="12" t="inlineStr">
        <is>
          <t>Motor 2 of 2: control / local station</t>
        </is>
      </c>
      <c r="E3711" s="12" t="inlineStr"/>
      <c r="F3711" s="12" t="inlineStr">
        <is>
          <t>BESS auxiliary transformer</t>
        </is>
      </c>
      <c r="G3711" s="12" t="inlineStr"/>
      <c r="H3711" s="12" t="inlineStr">
        <is>
          <t>BESS PCS / MV skid</t>
        </is>
      </c>
      <c r="I3711" s="12" t="inlineStr">
        <is>
          <t>Control</t>
        </is>
      </c>
      <c r="J3711" s="12" t="inlineStr">
        <is>
          <t>Control cable 600 V Type TC-ER, Cu #14 AWG, PVC jacket</t>
        </is>
      </c>
      <c r="K3711" s="12" t="inlineStr">
        <is>
          <t>CT|7/C|14</t>
        </is>
      </c>
      <c r="L3711" s="12" t="inlineStr">
        <is>
          <t>7/C</t>
        </is>
      </c>
      <c r="M3711" s="12" t="inlineStr">
        <is>
          <t>14</t>
        </is>
      </c>
      <c r="N3711" s="12" t="n">
        <v>1</v>
      </c>
      <c r="O3711" s="12" t="n">
        <v>1</v>
      </c>
      <c r="P3711" s="12" t="n"/>
      <c r="Q3711" s="12" t="n"/>
      <c r="R3711" s="12" t="n"/>
      <c r="S3711" s="12" t="inlineStr">
        <is>
          <t>Duct bank</t>
        </is>
      </c>
      <c r="T3711" s="16" t="n">
        <v>318</v>
      </c>
      <c r="U3711" s="16" t="n">
        <v>219</v>
      </c>
      <c r="V3711" s="16">
        <f>ROUNDUP((T3711+U3711+2*'Read Me'!$B$13)*(1+'Read Me'!$B$12),-1)</f>
        <v/>
      </c>
      <c r="W3711" s="16">
        <f>V3711*N3711*O3711</f>
        <v/>
      </c>
      <c r="X3711" s="12">
        <f>IF(LEFT(I3711,2)="MV",2*N3711*IF(L3711="1/C",O3711,1),0)</f>
        <v/>
      </c>
      <c r="Y3711" s="12">
        <f>IF(OR(LEFT(K3711,4)="LVAX",LEFT(K3711,6)="MV15AX",LEFT(K3711,4)="CTAX",LEFT(K3711,2)="W|"),2*N3711*O3711,0)</f>
        <v/>
      </c>
      <c r="Z3711" s="12" t="inlineStr"/>
      <c r="AA3711" s="12">
        <f>N3711*O3711</f>
        <v/>
      </c>
    </row>
    <row r="3712">
      <c r="A3712" s="12" t="inlineStr">
        <is>
          <t>H-C-0017</t>
        </is>
      </c>
      <c r="B3712" s="12" t="inlineStr">
        <is>
          <t>H</t>
        </is>
      </c>
      <c r="C3712" s="12" t="inlineStr">
        <is>
          <t>BESS</t>
        </is>
      </c>
      <c r="D3712" s="12" t="inlineStr">
        <is>
          <t>Motor 1 of 2: control / local station</t>
        </is>
      </c>
      <c r="E3712" s="12" t="inlineStr"/>
      <c r="F3712" s="12" t="inlineStr">
        <is>
          <t>BESS auxiliary transformer</t>
        </is>
      </c>
      <c r="G3712" s="12" t="inlineStr"/>
      <c r="H3712" s="12" t="inlineStr">
        <is>
          <t>BESS PCS / MV skid</t>
        </is>
      </c>
      <c r="I3712" s="12" t="inlineStr">
        <is>
          <t>Control</t>
        </is>
      </c>
      <c r="J3712" s="12" t="inlineStr">
        <is>
          <t>Control cable 600 V Type TC-ER, Cu #14 AWG, PVC jacket</t>
        </is>
      </c>
      <c r="K3712" s="12" t="inlineStr">
        <is>
          <t>CT|7/C|14</t>
        </is>
      </c>
      <c r="L3712" s="12" t="inlineStr">
        <is>
          <t>7/C</t>
        </is>
      </c>
      <c r="M3712" s="12" t="inlineStr">
        <is>
          <t>14</t>
        </is>
      </c>
      <c r="N3712" s="12" t="n">
        <v>1</v>
      </c>
      <c r="O3712" s="12" t="n">
        <v>1</v>
      </c>
      <c r="P3712" s="12" t="n"/>
      <c r="Q3712" s="12" t="n"/>
      <c r="R3712" s="12" t="n"/>
      <c r="S3712" s="12" t="inlineStr">
        <is>
          <t>Duct bank</t>
        </is>
      </c>
      <c r="T3712" s="16" t="n">
        <v>178</v>
      </c>
      <c r="U3712" s="16" t="n">
        <v>239</v>
      </c>
      <c r="V3712" s="16">
        <f>ROUNDUP((T3712+U3712+2*'Read Me'!$B$13)*(1+'Read Me'!$B$12),-1)</f>
        <v/>
      </c>
      <c r="W3712" s="16">
        <f>V3712*N3712*O3712</f>
        <v/>
      </c>
      <c r="X3712" s="12">
        <f>IF(LEFT(I3712,2)="MV",2*N3712*IF(L3712="1/C",O3712,1),0)</f>
        <v/>
      </c>
      <c r="Y3712" s="12">
        <f>IF(OR(LEFT(K3712,4)="LVAX",LEFT(K3712,6)="MV15AX",LEFT(K3712,4)="CTAX",LEFT(K3712,2)="W|"),2*N3712*O3712,0)</f>
        <v/>
      </c>
      <c r="Z3712" s="12" t="inlineStr"/>
      <c r="AA3712" s="12">
        <f>N3712*O3712</f>
        <v/>
      </c>
    </row>
    <row r="3713">
      <c r="A3713" s="12" t="inlineStr">
        <is>
          <t>H-C-0018</t>
        </is>
      </c>
      <c r="B3713" s="12" t="inlineStr">
        <is>
          <t>H</t>
        </is>
      </c>
      <c r="C3713" s="12" t="inlineStr">
        <is>
          <t>BESS</t>
        </is>
      </c>
      <c r="D3713" s="12" t="inlineStr">
        <is>
          <t>Motor 2 of 2: control / local station</t>
        </is>
      </c>
      <c r="E3713" s="12" t="inlineStr"/>
      <c r="F3713" s="12" t="inlineStr">
        <is>
          <t>BESS auxiliary transformer</t>
        </is>
      </c>
      <c r="G3713" s="12" t="inlineStr"/>
      <c r="H3713" s="12" t="inlineStr">
        <is>
          <t>BESS PCS / MV skid</t>
        </is>
      </c>
      <c r="I3713" s="12" t="inlineStr">
        <is>
          <t>Control</t>
        </is>
      </c>
      <c r="J3713" s="12" t="inlineStr">
        <is>
          <t>Control cable 600 V Type TC-ER, Cu #14 AWG, PVC jacket</t>
        </is>
      </c>
      <c r="K3713" s="12" t="inlineStr">
        <is>
          <t>CT|7/C|14</t>
        </is>
      </c>
      <c r="L3713" s="12" t="inlineStr">
        <is>
          <t>7/C</t>
        </is>
      </c>
      <c r="M3713" s="12" t="inlineStr">
        <is>
          <t>14</t>
        </is>
      </c>
      <c r="N3713" s="12" t="n">
        <v>1</v>
      </c>
      <c r="O3713" s="12" t="n">
        <v>1</v>
      </c>
      <c r="P3713" s="12" t="n"/>
      <c r="Q3713" s="12" t="n"/>
      <c r="R3713" s="12" t="n"/>
      <c r="S3713" s="12" t="inlineStr">
        <is>
          <t>Duct bank</t>
        </is>
      </c>
      <c r="T3713" s="16" t="n">
        <v>178</v>
      </c>
      <c r="U3713" s="16" t="n">
        <v>239</v>
      </c>
      <c r="V3713" s="16">
        <f>ROUNDUP((T3713+U3713+2*'Read Me'!$B$13)*(1+'Read Me'!$B$12),-1)</f>
        <v/>
      </c>
      <c r="W3713" s="16">
        <f>V3713*N3713*O3713</f>
        <v/>
      </c>
      <c r="X3713" s="12">
        <f>IF(LEFT(I3713,2)="MV",2*N3713*IF(L3713="1/C",O3713,1),0)</f>
        <v/>
      </c>
      <c r="Y3713" s="12">
        <f>IF(OR(LEFT(K3713,4)="LVAX",LEFT(K3713,6)="MV15AX",LEFT(K3713,4)="CTAX",LEFT(K3713,2)="W|"),2*N3713*O3713,0)</f>
        <v/>
      </c>
      <c r="Z3713" s="12" t="inlineStr"/>
      <c r="AA3713" s="12">
        <f>N3713*O3713</f>
        <v/>
      </c>
    </row>
    <row r="3714">
      <c r="A3714" s="12" t="inlineStr">
        <is>
          <t>H-C-0019</t>
        </is>
      </c>
      <c r="B3714" s="12" t="inlineStr">
        <is>
          <t>H</t>
        </is>
      </c>
      <c r="C3714" s="12" t="inlineStr">
        <is>
          <t>BESS</t>
        </is>
      </c>
      <c r="D3714" s="12" t="inlineStr">
        <is>
          <t>Motor 1 of 2: control / local station</t>
        </is>
      </c>
      <c r="E3714" s="12" t="inlineStr"/>
      <c r="F3714" s="12" t="inlineStr">
        <is>
          <t>BESS auxiliary transformer</t>
        </is>
      </c>
      <c r="G3714" s="12" t="inlineStr"/>
      <c r="H3714" s="12" t="inlineStr">
        <is>
          <t>BESS PCS / MV skid</t>
        </is>
      </c>
      <c r="I3714" s="12" t="inlineStr">
        <is>
          <t>Control</t>
        </is>
      </c>
      <c r="J3714" s="12" t="inlineStr">
        <is>
          <t>Control cable 600 V Type TC-ER, Cu #14 AWG, PVC jacket</t>
        </is>
      </c>
      <c r="K3714" s="12" t="inlineStr">
        <is>
          <t>CT|7/C|14</t>
        </is>
      </c>
      <c r="L3714" s="12" t="inlineStr">
        <is>
          <t>7/C</t>
        </is>
      </c>
      <c r="M3714" s="12" t="inlineStr">
        <is>
          <t>14</t>
        </is>
      </c>
      <c r="N3714" s="12" t="n">
        <v>1</v>
      </c>
      <c r="O3714" s="12" t="n">
        <v>1</v>
      </c>
      <c r="P3714" s="12" t="n"/>
      <c r="Q3714" s="12" t="n"/>
      <c r="R3714" s="12" t="n"/>
      <c r="S3714" s="12" t="inlineStr">
        <is>
          <t>Duct bank</t>
        </is>
      </c>
      <c r="T3714" s="16" t="n">
        <v>380</v>
      </c>
      <c r="U3714" s="16" t="n">
        <v>149</v>
      </c>
      <c r="V3714" s="16">
        <f>ROUNDUP((T3714+U3714+2*'Read Me'!$B$13)*(1+'Read Me'!$B$12),-1)</f>
        <v/>
      </c>
      <c r="W3714" s="16">
        <f>V3714*N3714*O3714</f>
        <v/>
      </c>
      <c r="X3714" s="12">
        <f>IF(LEFT(I3714,2)="MV",2*N3714*IF(L3714="1/C",O3714,1),0)</f>
        <v/>
      </c>
      <c r="Y3714" s="12">
        <f>IF(OR(LEFT(K3714,4)="LVAX",LEFT(K3714,6)="MV15AX",LEFT(K3714,4)="CTAX",LEFT(K3714,2)="W|"),2*N3714*O3714,0)</f>
        <v/>
      </c>
      <c r="Z3714" s="12" t="inlineStr"/>
      <c r="AA3714" s="12">
        <f>N3714*O3714</f>
        <v/>
      </c>
    </row>
    <row r="3715">
      <c r="A3715" s="12" t="inlineStr">
        <is>
          <t>H-C-0020</t>
        </is>
      </c>
      <c r="B3715" s="12" t="inlineStr">
        <is>
          <t>H</t>
        </is>
      </c>
      <c r="C3715" s="12" t="inlineStr">
        <is>
          <t>BESS</t>
        </is>
      </c>
      <c r="D3715" s="12" t="inlineStr">
        <is>
          <t>Motor 2 of 2: control / local station</t>
        </is>
      </c>
      <c r="E3715" s="12" t="inlineStr"/>
      <c r="F3715" s="12" t="inlineStr">
        <is>
          <t>BESS auxiliary transformer</t>
        </is>
      </c>
      <c r="G3715" s="12" t="inlineStr"/>
      <c r="H3715" s="12" t="inlineStr">
        <is>
          <t>BESS PCS / MV skid</t>
        </is>
      </c>
      <c r="I3715" s="12" t="inlineStr">
        <is>
          <t>Control</t>
        </is>
      </c>
      <c r="J3715" s="12" t="inlineStr">
        <is>
          <t>Control cable 600 V Type TC-ER, Cu #14 AWG, PVC jacket</t>
        </is>
      </c>
      <c r="K3715" s="12" t="inlineStr">
        <is>
          <t>CT|7/C|14</t>
        </is>
      </c>
      <c r="L3715" s="12" t="inlineStr">
        <is>
          <t>7/C</t>
        </is>
      </c>
      <c r="M3715" s="12" t="inlineStr">
        <is>
          <t>14</t>
        </is>
      </c>
      <c r="N3715" s="12" t="n">
        <v>1</v>
      </c>
      <c r="O3715" s="12" t="n">
        <v>1</v>
      </c>
      <c r="P3715" s="12" t="n"/>
      <c r="Q3715" s="12" t="n"/>
      <c r="R3715" s="12" t="n"/>
      <c r="S3715" s="12" t="inlineStr">
        <is>
          <t>Duct bank</t>
        </is>
      </c>
      <c r="T3715" s="16" t="n">
        <v>380</v>
      </c>
      <c r="U3715" s="16" t="n">
        <v>149</v>
      </c>
      <c r="V3715" s="16">
        <f>ROUNDUP((T3715+U3715+2*'Read Me'!$B$13)*(1+'Read Me'!$B$12),-1)</f>
        <v/>
      </c>
      <c r="W3715" s="16">
        <f>V3715*N3715*O3715</f>
        <v/>
      </c>
      <c r="X3715" s="12">
        <f>IF(LEFT(I3715,2)="MV",2*N3715*IF(L3715="1/C",O3715,1),0)</f>
        <v/>
      </c>
      <c r="Y3715" s="12">
        <f>IF(OR(LEFT(K3715,4)="LVAX",LEFT(K3715,6)="MV15AX",LEFT(K3715,4)="CTAX",LEFT(K3715,2)="W|"),2*N3715*O3715,0)</f>
        <v/>
      </c>
      <c r="Z3715" s="12" t="inlineStr"/>
      <c r="AA3715" s="12">
        <f>N3715*O3715</f>
        <v/>
      </c>
    </row>
    <row r="3716">
      <c r="A3716" s="12" t="inlineStr">
        <is>
          <t>H-C-0021</t>
        </is>
      </c>
      <c r="B3716" s="12" t="inlineStr">
        <is>
          <t>H</t>
        </is>
      </c>
      <c r="C3716" s="12" t="inlineStr">
        <is>
          <t>BESS</t>
        </is>
      </c>
      <c r="D3716" s="12" t="inlineStr">
        <is>
          <t>Motor 1 of 2: control / local station</t>
        </is>
      </c>
      <c r="E3716" s="12" t="inlineStr"/>
      <c r="F3716" s="12" t="inlineStr">
        <is>
          <t>BESS auxiliary transformer</t>
        </is>
      </c>
      <c r="G3716" s="12" t="inlineStr"/>
      <c r="H3716" s="12" t="inlineStr">
        <is>
          <t>BESS PCS / MV skid</t>
        </is>
      </c>
      <c r="I3716" s="12" t="inlineStr">
        <is>
          <t>Control</t>
        </is>
      </c>
      <c r="J3716" s="12" t="inlineStr">
        <is>
          <t>Control cable 600 V Type TC-ER, Cu #14 AWG, PVC jacket</t>
        </is>
      </c>
      <c r="K3716" s="12" t="inlineStr">
        <is>
          <t>CT|7/C|14</t>
        </is>
      </c>
      <c r="L3716" s="12" t="inlineStr">
        <is>
          <t>7/C</t>
        </is>
      </c>
      <c r="M3716" s="12" t="inlineStr">
        <is>
          <t>14</t>
        </is>
      </c>
      <c r="N3716" s="12" t="n">
        <v>1</v>
      </c>
      <c r="O3716" s="12" t="n">
        <v>1</v>
      </c>
      <c r="P3716" s="12" t="n"/>
      <c r="Q3716" s="12" t="n"/>
      <c r="R3716" s="12" t="n"/>
      <c r="S3716" s="12" t="inlineStr">
        <is>
          <t>Duct bank</t>
        </is>
      </c>
      <c r="T3716" s="16" t="n">
        <v>620</v>
      </c>
      <c r="U3716" s="16" t="n">
        <v>91</v>
      </c>
      <c r="V3716" s="16">
        <f>ROUNDUP((T3716+U3716+2*'Read Me'!$B$13)*(1+'Read Me'!$B$12),-1)</f>
        <v/>
      </c>
      <c r="W3716" s="16">
        <f>V3716*N3716*O3716</f>
        <v/>
      </c>
      <c r="X3716" s="12">
        <f>IF(LEFT(I3716,2)="MV",2*N3716*IF(L3716="1/C",O3716,1),0)</f>
        <v/>
      </c>
      <c r="Y3716" s="12">
        <f>IF(OR(LEFT(K3716,4)="LVAX",LEFT(K3716,6)="MV15AX",LEFT(K3716,4)="CTAX",LEFT(K3716,2)="W|"),2*N3716*O3716,0)</f>
        <v/>
      </c>
      <c r="Z3716" s="12" t="inlineStr"/>
      <c r="AA3716" s="12">
        <f>N3716*O3716</f>
        <v/>
      </c>
    </row>
    <row r="3717">
      <c r="A3717" s="12" t="inlineStr">
        <is>
          <t>H-C-0022</t>
        </is>
      </c>
      <c r="B3717" s="12" t="inlineStr">
        <is>
          <t>H</t>
        </is>
      </c>
      <c r="C3717" s="12" t="inlineStr">
        <is>
          <t>BESS</t>
        </is>
      </c>
      <c r="D3717" s="12" t="inlineStr">
        <is>
          <t>Motor 2 of 2: control / local station</t>
        </is>
      </c>
      <c r="E3717" s="12" t="inlineStr"/>
      <c r="F3717" s="12" t="inlineStr">
        <is>
          <t>BESS auxiliary transformer</t>
        </is>
      </c>
      <c r="G3717" s="12" t="inlineStr"/>
      <c r="H3717" s="12" t="inlineStr">
        <is>
          <t>BESS PCS / MV skid</t>
        </is>
      </c>
      <c r="I3717" s="12" t="inlineStr">
        <is>
          <t>Control</t>
        </is>
      </c>
      <c r="J3717" s="12" t="inlineStr">
        <is>
          <t>Control cable 600 V Type TC-ER, Cu #14 AWG, PVC jacket</t>
        </is>
      </c>
      <c r="K3717" s="12" t="inlineStr">
        <is>
          <t>CT|7/C|14</t>
        </is>
      </c>
      <c r="L3717" s="12" t="inlineStr">
        <is>
          <t>7/C</t>
        </is>
      </c>
      <c r="M3717" s="12" t="inlineStr">
        <is>
          <t>14</t>
        </is>
      </c>
      <c r="N3717" s="12" t="n">
        <v>1</v>
      </c>
      <c r="O3717" s="12" t="n">
        <v>1</v>
      </c>
      <c r="P3717" s="12" t="n"/>
      <c r="Q3717" s="12" t="n"/>
      <c r="R3717" s="12" t="n"/>
      <c r="S3717" s="12" t="inlineStr">
        <is>
          <t>Duct bank</t>
        </is>
      </c>
      <c r="T3717" s="16" t="n">
        <v>620</v>
      </c>
      <c r="U3717" s="16" t="n">
        <v>91</v>
      </c>
      <c r="V3717" s="16">
        <f>ROUNDUP((T3717+U3717+2*'Read Me'!$B$13)*(1+'Read Me'!$B$12),-1)</f>
        <v/>
      </c>
      <c r="W3717" s="16">
        <f>V3717*N3717*O3717</f>
        <v/>
      </c>
      <c r="X3717" s="12">
        <f>IF(LEFT(I3717,2)="MV",2*N3717*IF(L3717="1/C",O3717,1),0)</f>
        <v/>
      </c>
      <c r="Y3717" s="12">
        <f>IF(OR(LEFT(K3717,4)="LVAX",LEFT(K3717,6)="MV15AX",LEFT(K3717,4)="CTAX",LEFT(K3717,2)="W|"),2*N3717*O3717,0)</f>
        <v/>
      </c>
      <c r="Z3717" s="12" t="inlineStr"/>
      <c r="AA3717" s="12">
        <f>N3717*O3717</f>
        <v/>
      </c>
    </row>
    <row r="3718">
      <c r="A3718" s="12" t="inlineStr">
        <is>
          <t>H-C-0023</t>
        </is>
      </c>
      <c r="B3718" s="12" t="inlineStr">
        <is>
          <t>H</t>
        </is>
      </c>
      <c r="C3718" s="12" t="inlineStr">
        <is>
          <t>BESS</t>
        </is>
      </c>
      <c r="D3718" s="12" t="inlineStr">
        <is>
          <t>Motor 1 of 2: control / local station</t>
        </is>
      </c>
      <c r="E3718" s="12" t="inlineStr"/>
      <c r="F3718" s="12" t="inlineStr">
        <is>
          <t>BESS auxiliary transformer</t>
        </is>
      </c>
      <c r="G3718" s="12" t="inlineStr"/>
      <c r="H3718" s="12" t="inlineStr">
        <is>
          <t>BESS PCS / MV skid</t>
        </is>
      </c>
      <c r="I3718" s="12" t="inlineStr">
        <is>
          <t>Control</t>
        </is>
      </c>
      <c r="J3718" s="12" t="inlineStr">
        <is>
          <t>Control cable 600 V Type TC-ER, Cu #14 AWG, PVC jacket</t>
        </is>
      </c>
      <c r="K3718" s="12" t="inlineStr">
        <is>
          <t>CT|7/C|14</t>
        </is>
      </c>
      <c r="L3718" s="12" t="inlineStr">
        <is>
          <t>7/C</t>
        </is>
      </c>
      <c r="M3718" s="12" t="inlineStr">
        <is>
          <t>14</t>
        </is>
      </c>
      <c r="N3718" s="12" t="n">
        <v>1</v>
      </c>
      <c r="O3718" s="12" t="n">
        <v>1</v>
      </c>
      <c r="P3718" s="12" t="n"/>
      <c r="Q3718" s="12" t="n"/>
      <c r="R3718" s="12" t="n"/>
      <c r="S3718" s="12" t="inlineStr">
        <is>
          <t>Duct bank</t>
        </is>
      </c>
      <c r="T3718" s="16" t="n">
        <v>500</v>
      </c>
      <c r="U3718" s="16" t="n">
        <v>91</v>
      </c>
      <c r="V3718" s="16">
        <f>ROUNDUP((T3718+U3718+2*'Read Me'!$B$13)*(1+'Read Me'!$B$12),-1)</f>
        <v/>
      </c>
      <c r="W3718" s="16">
        <f>V3718*N3718*O3718</f>
        <v/>
      </c>
      <c r="X3718" s="12">
        <f>IF(LEFT(I3718,2)="MV",2*N3718*IF(L3718="1/C",O3718,1),0)</f>
        <v/>
      </c>
      <c r="Y3718" s="12">
        <f>IF(OR(LEFT(K3718,4)="LVAX",LEFT(K3718,6)="MV15AX",LEFT(K3718,4)="CTAX",LEFT(K3718,2)="W|"),2*N3718*O3718,0)</f>
        <v/>
      </c>
      <c r="Z3718" s="12" t="inlineStr"/>
      <c r="AA3718" s="12">
        <f>N3718*O3718</f>
        <v/>
      </c>
    </row>
    <row r="3719">
      <c r="A3719" s="12" t="inlineStr">
        <is>
          <t>H-C-0024</t>
        </is>
      </c>
      <c r="B3719" s="12" t="inlineStr">
        <is>
          <t>H</t>
        </is>
      </c>
      <c r="C3719" s="12" t="inlineStr">
        <is>
          <t>BESS</t>
        </is>
      </c>
      <c r="D3719" s="12" t="inlineStr">
        <is>
          <t>Motor 2 of 2: control / local station</t>
        </is>
      </c>
      <c r="E3719" s="12" t="inlineStr"/>
      <c r="F3719" s="12" t="inlineStr">
        <is>
          <t>BESS auxiliary transformer</t>
        </is>
      </c>
      <c r="G3719" s="12" t="inlineStr"/>
      <c r="H3719" s="12" t="inlineStr">
        <is>
          <t>BESS PCS / MV skid</t>
        </is>
      </c>
      <c r="I3719" s="12" t="inlineStr">
        <is>
          <t>Control</t>
        </is>
      </c>
      <c r="J3719" s="12" t="inlineStr">
        <is>
          <t>Control cable 600 V Type TC-ER, Cu #14 AWG, PVC jacket</t>
        </is>
      </c>
      <c r="K3719" s="12" t="inlineStr">
        <is>
          <t>CT|7/C|14</t>
        </is>
      </c>
      <c r="L3719" s="12" t="inlineStr">
        <is>
          <t>7/C</t>
        </is>
      </c>
      <c r="M3719" s="12" t="inlineStr">
        <is>
          <t>14</t>
        </is>
      </c>
      <c r="N3719" s="12" t="n">
        <v>1</v>
      </c>
      <c r="O3719" s="12" t="n">
        <v>1</v>
      </c>
      <c r="P3719" s="12" t="n"/>
      <c r="Q3719" s="12" t="n"/>
      <c r="R3719" s="12" t="n"/>
      <c r="S3719" s="12" t="inlineStr">
        <is>
          <t>Duct bank</t>
        </is>
      </c>
      <c r="T3719" s="16" t="n">
        <v>500</v>
      </c>
      <c r="U3719" s="16" t="n">
        <v>91</v>
      </c>
      <c r="V3719" s="16">
        <f>ROUNDUP((T3719+U3719+2*'Read Me'!$B$13)*(1+'Read Me'!$B$12),-1)</f>
        <v/>
      </c>
      <c r="W3719" s="16">
        <f>V3719*N3719*O3719</f>
        <v/>
      </c>
      <c r="X3719" s="12">
        <f>IF(LEFT(I3719,2)="MV",2*N3719*IF(L3719="1/C",O3719,1),0)</f>
        <v/>
      </c>
      <c r="Y3719" s="12">
        <f>IF(OR(LEFT(K3719,4)="LVAX",LEFT(K3719,6)="MV15AX",LEFT(K3719,4)="CTAX",LEFT(K3719,2)="W|"),2*N3719*O3719,0)</f>
        <v/>
      </c>
      <c r="Z3719" s="12" t="inlineStr"/>
      <c r="AA3719" s="12">
        <f>N3719*O3719</f>
        <v/>
      </c>
    </row>
    <row r="3720">
      <c r="A3720" s="12" t="inlineStr">
        <is>
          <t>H-C-0025</t>
        </is>
      </c>
      <c r="B3720" s="12" t="inlineStr">
        <is>
          <t>H</t>
        </is>
      </c>
      <c r="C3720" s="12" t="inlineStr">
        <is>
          <t>BESS</t>
        </is>
      </c>
      <c r="D3720" s="12" t="inlineStr">
        <is>
          <t>Motor 1 of 2: control / local station</t>
        </is>
      </c>
      <c r="E3720" s="12" t="inlineStr"/>
      <c r="F3720" s="12" t="inlineStr">
        <is>
          <t>BESS auxiliary transformer</t>
        </is>
      </c>
      <c r="G3720" s="12" t="inlineStr"/>
      <c r="H3720" s="12" t="inlineStr">
        <is>
          <t>BESS PCS / MV skid</t>
        </is>
      </c>
      <c r="I3720" s="12" t="inlineStr">
        <is>
          <t>Control</t>
        </is>
      </c>
      <c r="J3720" s="12" t="inlineStr">
        <is>
          <t>Control cable 600 V Type TC-ER, Cu #14 AWG, PVC jacket</t>
        </is>
      </c>
      <c r="K3720" s="12" t="inlineStr">
        <is>
          <t>CT|7/C|14</t>
        </is>
      </c>
      <c r="L3720" s="12" t="inlineStr">
        <is>
          <t>7/C</t>
        </is>
      </c>
      <c r="M3720" s="12" t="inlineStr">
        <is>
          <t>14</t>
        </is>
      </c>
      <c r="N3720" s="12" t="n">
        <v>1</v>
      </c>
      <c r="O3720" s="12" t="n">
        <v>1</v>
      </c>
      <c r="P3720" s="12" t="n"/>
      <c r="Q3720" s="12" t="n"/>
      <c r="R3720" s="12" t="n"/>
      <c r="S3720" s="12" t="inlineStr">
        <is>
          <t>Duct bank</t>
        </is>
      </c>
      <c r="T3720" s="16" t="n">
        <v>380</v>
      </c>
      <c r="U3720" s="16" t="n">
        <v>91</v>
      </c>
      <c r="V3720" s="16">
        <f>ROUNDUP((T3720+U3720+2*'Read Me'!$B$13)*(1+'Read Me'!$B$12),-1)</f>
        <v/>
      </c>
      <c r="W3720" s="16">
        <f>V3720*N3720*O3720</f>
        <v/>
      </c>
      <c r="X3720" s="12">
        <f>IF(LEFT(I3720,2)="MV",2*N3720*IF(L3720="1/C",O3720,1),0)</f>
        <v/>
      </c>
      <c r="Y3720" s="12">
        <f>IF(OR(LEFT(K3720,4)="LVAX",LEFT(K3720,6)="MV15AX",LEFT(K3720,4)="CTAX",LEFT(K3720,2)="W|"),2*N3720*O3720,0)</f>
        <v/>
      </c>
      <c r="Z3720" s="12" t="inlineStr"/>
      <c r="AA3720" s="12">
        <f>N3720*O3720</f>
        <v/>
      </c>
    </row>
    <row r="3721">
      <c r="A3721" s="12" t="inlineStr">
        <is>
          <t>H-C-0026</t>
        </is>
      </c>
      <c r="B3721" s="12" t="inlineStr">
        <is>
          <t>H</t>
        </is>
      </c>
      <c r="C3721" s="12" t="inlineStr">
        <is>
          <t>BESS</t>
        </is>
      </c>
      <c r="D3721" s="12" t="inlineStr">
        <is>
          <t>Motor 2 of 2: control / local station</t>
        </is>
      </c>
      <c r="E3721" s="12" t="inlineStr"/>
      <c r="F3721" s="12" t="inlineStr">
        <is>
          <t>BESS auxiliary transformer</t>
        </is>
      </c>
      <c r="G3721" s="12" t="inlineStr"/>
      <c r="H3721" s="12" t="inlineStr">
        <is>
          <t>BESS PCS / MV skid</t>
        </is>
      </c>
      <c r="I3721" s="12" t="inlineStr">
        <is>
          <t>Control</t>
        </is>
      </c>
      <c r="J3721" s="12" t="inlineStr">
        <is>
          <t>Control cable 600 V Type TC-ER, Cu #14 AWG, PVC jacket</t>
        </is>
      </c>
      <c r="K3721" s="12" t="inlineStr">
        <is>
          <t>CT|7/C|14</t>
        </is>
      </c>
      <c r="L3721" s="12" t="inlineStr">
        <is>
          <t>7/C</t>
        </is>
      </c>
      <c r="M3721" s="12" t="inlineStr">
        <is>
          <t>14</t>
        </is>
      </c>
      <c r="N3721" s="12" t="n">
        <v>1</v>
      </c>
      <c r="O3721" s="12" t="n">
        <v>1</v>
      </c>
      <c r="P3721" s="12" t="n"/>
      <c r="Q3721" s="12" t="n"/>
      <c r="R3721" s="12" t="n"/>
      <c r="S3721" s="12" t="inlineStr">
        <is>
          <t>Duct bank</t>
        </is>
      </c>
      <c r="T3721" s="16" t="n">
        <v>380</v>
      </c>
      <c r="U3721" s="16" t="n">
        <v>91</v>
      </c>
      <c r="V3721" s="16">
        <f>ROUNDUP((T3721+U3721+2*'Read Me'!$B$13)*(1+'Read Me'!$B$12),-1)</f>
        <v/>
      </c>
      <c r="W3721" s="16">
        <f>V3721*N3721*O3721</f>
        <v/>
      </c>
      <c r="X3721" s="12">
        <f>IF(LEFT(I3721,2)="MV",2*N3721*IF(L3721="1/C",O3721,1),0)</f>
        <v/>
      </c>
      <c r="Y3721" s="12">
        <f>IF(OR(LEFT(K3721,4)="LVAX",LEFT(K3721,6)="MV15AX",LEFT(K3721,4)="CTAX",LEFT(K3721,2)="W|"),2*N3721*O3721,0)</f>
        <v/>
      </c>
      <c r="Z3721" s="12" t="inlineStr"/>
      <c r="AA3721" s="12">
        <f>N3721*O3721</f>
        <v/>
      </c>
    </row>
    <row r="3722">
      <c r="A3722" s="12" t="inlineStr">
        <is>
          <t>H-C-0027</t>
        </is>
      </c>
      <c r="B3722" s="12" t="inlineStr">
        <is>
          <t>H</t>
        </is>
      </c>
      <c r="C3722" s="12" t="inlineStr">
        <is>
          <t>BESS</t>
        </is>
      </c>
      <c r="D3722" s="12" t="inlineStr">
        <is>
          <t>Motor 1 of 2: control / local station</t>
        </is>
      </c>
      <c r="E3722" s="12" t="inlineStr"/>
      <c r="F3722" s="12" t="inlineStr">
        <is>
          <t>BESS auxiliary transformer</t>
        </is>
      </c>
      <c r="G3722" s="12" t="inlineStr"/>
      <c r="H3722" s="12" t="inlineStr">
        <is>
          <t>BESS PCS / MV skid</t>
        </is>
      </c>
      <c r="I3722" s="12" t="inlineStr">
        <is>
          <t>Control</t>
        </is>
      </c>
      <c r="J3722" s="12" t="inlineStr">
        <is>
          <t>Control cable 600 V Type TC-ER, Cu #14 AWG, PVC jacket</t>
        </is>
      </c>
      <c r="K3722" s="12" t="inlineStr">
        <is>
          <t>CT|7/C|14</t>
        </is>
      </c>
      <c r="L3722" s="12" t="inlineStr">
        <is>
          <t>7/C</t>
        </is>
      </c>
      <c r="M3722" s="12" t="inlineStr">
        <is>
          <t>14</t>
        </is>
      </c>
      <c r="N3722" s="12" t="n">
        <v>1</v>
      </c>
      <c r="O3722" s="12" t="n">
        <v>1</v>
      </c>
      <c r="P3722" s="12" t="n"/>
      <c r="Q3722" s="12" t="n"/>
      <c r="R3722" s="12" t="n"/>
      <c r="S3722" s="12" t="inlineStr">
        <is>
          <t>Duct bank</t>
        </is>
      </c>
      <c r="T3722" s="16" t="n">
        <v>620</v>
      </c>
      <c r="U3722" s="16" t="n">
        <v>37</v>
      </c>
      <c r="V3722" s="16">
        <f>ROUNDUP((T3722+U3722+2*'Read Me'!$B$13)*(1+'Read Me'!$B$12),-1)</f>
        <v/>
      </c>
      <c r="W3722" s="16">
        <f>V3722*N3722*O3722</f>
        <v/>
      </c>
      <c r="X3722" s="12">
        <f>IF(LEFT(I3722,2)="MV",2*N3722*IF(L3722="1/C",O3722,1),0)</f>
        <v/>
      </c>
      <c r="Y3722" s="12">
        <f>IF(OR(LEFT(K3722,4)="LVAX",LEFT(K3722,6)="MV15AX",LEFT(K3722,4)="CTAX",LEFT(K3722,2)="W|"),2*N3722*O3722,0)</f>
        <v/>
      </c>
      <c r="Z3722" s="12" t="inlineStr"/>
      <c r="AA3722" s="12">
        <f>N3722*O3722</f>
        <v/>
      </c>
    </row>
    <row r="3723">
      <c r="A3723" s="12" t="inlineStr">
        <is>
          <t>H-C-0028</t>
        </is>
      </c>
      <c r="B3723" s="12" t="inlineStr">
        <is>
          <t>H</t>
        </is>
      </c>
      <c r="C3723" s="12" t="inlineStr">
        <is>
          <t>BESS</t>
        </is>
      </c>
      <c r="D3723" s="12" t="inlineStr">
        <is>
          <t>Motor 2 of 2: control / local station</t>
        </is>
      </c>
      <c r="E3723" s="12" t="inlineStr"/>
      <c r="F3723" s="12" t="inlineStr">
        <is>
          <t>BESS auxiliary transformer</t>
        </is>
      </c>
      <c r="G3723" s="12" t="inlineStr"/>
      <c r="H3723" s="12" t="inlineStr">
        <is>
          <t>BESS PCS / MV skid</t>
        </is>
      </c>
      <c r="I3723" s="12" t="inlineStr">
        <is>
          <t>Control</t>
        </is>
      </c>
      <c r="J3723" s="12" t="inlineStr">
        <is>
          <t>Control cable 600 V Type TC-ER, Cu #14 AWG, PVC jacket</t>
        </is>
      </c>
      <c r="K3723" s="12" t="inlineStr">
        <is>
          <t>CT|7/C|14</t>
        </is>
      </c>
      <c r="L3723" s="12" t="inlineStr">
        <is>
          <t>7/C</t>
        </is>
      </c>
      <c r="M3723" s="12" t="inlineStr">
        <is>
          <t>14</t>
        </is>
      </c>
      <c r="N3723" s="12" t="n">
        <v>1</v>
      </c>
      <c r="O3723" s="12" t="n">
        <v>1</v>
      </c>
      <c r="P3723" s="12" t="n"/>
      <c r="Q3723" s="12" t="n"/>
      <c r="R3723" s="12" t="n"/>
      <c r="S3723" s="12" t="inlineStr">
        <is>
          <t>Duct bank</t>
        </is>
      </c>
      <c r="T3723" s="16" t="n">
        <v>620</v>
      </c>
      <c r="U3723" s="16" t="n">
        <v>37</v>
      </c>
      <c r="V3723" s="16">
        <f>ROUNDUP((T3723+U3723+2*'Read Me'!$B$13)*(1+'Read Me'!$B$12),-1)</f>
        <v/>
      </c>
      <c r="W3723" s="16">
        <f>V3723*N3723*O3723</f>
        <v/>
      </c>
      <c r="X3723" s="12">
        <f>IF(LEFT(I3723,2)="MV",2*N3723*IF(L3723="1/C",O3723,1),0)</f>
        <v/>
      </c>
      <c r="Y3723" s="12">
        <f>IF(OR(LEFT(K3723,4)="LVAX",LEFT(K3723,6)="MV15AX",LEFT(K3723,4)="CTAX",LEFT(K3723,2)="W|"),2*N3723*O3723,0)</f>
        <v/>
      </c>
      <c r="Z3723" s="12" t="inlineStr"/>
      <c r="AA3723" s="12">
        <f>N3723*O3723</f>
        <v/>
      </c>
    </row>
    <row r="3724">
      <c r="A3724" s="12" t="inlineStr">
        <is>
          <t>H-C-0029</t>
        </is>
      </c>
      <c r="B3724" s="12" t="inlineStr">
        <is>
          <t>H</t>
        </is>
      </c>
      <c r="C3724" s="12" t="inlineStr">
        <is>
          <t>BESS</t>
        </is>
      </c>
      <c r="D3724" s="12" t="inlineStr">
        <is>
          <t>Motor 1 of 2: control / local station</t>
        </is>
      </c>
      <c r="E3724" s="12" t="inlineStr"/>
      <c r="F3724" s="12" t="inlineStr">
        <is>
          <t>BESS auxiliary transformer</t>
        </is>
      </c>
      <c r="G3724" s="12" t="inlineStr"/>
      <c r="H3724" s="12" t="inlineStr">
        <is>
          <t>BESS PCS / MV skid</t>
        </is>
      </c>
      <c r="I3724" s="12" t="inlineStr">
        <is>
          <t>Control</t>
        </is>
      </c>
      <c r="J3724" s="12" t="inlineStr">
        <is>
          <t>Control cable 600 V Type TC-ER, Cu #14 AWG, PVC jacket</t>
        </is>
      </c>
      <c r="K3724" s="12" t="inlineStr">
        <is>
          <t>CT|7/C|14</t>
        </is>
      </c>
      <c r="L3724" s="12" t="inlineStr">
        <is>
          <t>7/C</t>
        </is>
      </c>
      <c r="M3724" s="12" t="inlineStr">
        <is>
          <t>14</t>
        </is>
      </c>
      <c r="N3724" s="12" t="n">
        <v>1</v>
      </c>
      <c r="O3724" s="12" t="n">
        <v>1</v>
      </c>
      <c r="P3724" s="12" t="n"/>
      <c r="Q3724" s="12" t="n"/>
      <c r="R3724" s="12" t="n"/>
      <c r="S3724" s="12" t="inlineStr">
        <is>
          <t>Duct bank</t>
        </is>
      </c>
      <c r="T3724" s="16" t="n">
        <v>500</v>
      </c>
      <c r="U3724" s="16" t="n">
        <v>37</v>
      </c>
      <c r="V3724" s="16">
        <f>ROUNDUP((T3724+U3724+2*'Read Me'!$B$13)*(1+'Read Me'!$B$12),-1)</f>
        <v/>
      </c>
      <c r="W3724" s="16">
        <f>V3724*N3724*O3724</f>
        <v/>
      </c>
      <c r="X3724" s="12">
        <f>IF(LEFT(I3724,2)="MV",2*N3724*IF(L3724="1/C",O3724,1),0)</f>
        <v/>
      </c>
      <c r="Y3724" s="12">
        <f>IF(OR(LEFT(K3724,4)="LVAX",LEFT(K3724,6)="MV15AX",LEFT(K3724,4)="CTAX",LEFT(K3724,2)="W|"),2*N3724*O3724,0)</f>
        <v/>
      </c>
      <c r="Z3724" s="12" t="inlineStr"/>
      <c r="AA3724" s="12">
        <f>N3724*O3724</f>
        <v/>
      </c>
    </row>
    <row r="3725">
      <c r="A3725" s="12" t="inlineStr">
        <is>
          <t>H-C-0030</t>
        </is>
      </c>
      <c r="B3725" s="12" t="inlineStr">
        <is>
          <t>H</t>
        </is>
      </c>
      <c r="C3725" s="12" t="inlineStr">
        <is>
          <t>BESS</t>
        </is>
      </c>
      <c r="D3725" s="12" t="inlineStr">
        <is>
          <t>Motor 2 of 2: control / local station</t>
        </is>
      </c>
      <c r="E3725" s="12" t="inlineStr"/>
      <c r="F3725" s="12" t="inlineStr">
        <is>
          <t>BESS auxiliary transformer</t>
        </is>
      </c>
      <c r="G3725" s="12" t="inlineStr"/>
      <c r="H3725" s="12" t="inlineStr">
        <is>
          <t>BESS PCS / MV skid</t>
        </is>
      </c>
      <c r="I3725" s="12" t="inlineStr">
        <is>
          <t>Control</t>
        </is>
      </c>
      <c r="J3725" s="12" t="inlineStr">
        <is>
          <t>Control cable 600 V Type TC-ER, Cu #14 AWG, PVC jacket</t>
        </is>
      </c>
      <c r="K3725" s="12" t="inlineStr">
        <is>
          <t>CT|7/C|14</t>
        </is>
      </c>
      <c r="L3725" s="12" t="inlineStr">
        <is>
          <t>7/C</t>
        </is>
      </c>
      <c r="M3725" s="12" t="inlineStr">
        <is>
          <t>14</t>
        </is>
      </c>
      <c r="N3725" s="12" t="n">
        <v>1</v>
      </c>
      <c r="O3725" s="12" t="n">
        <v>1</v>
      </c>
      <c r="P3725" s="12" t="n"/>
      <c r="Q3725" s="12" t="n"/>
      <c r="R3725" s="12" t="n"/>
      <c r="S3725" s="12" t="inlineStr">
        <is>
          <t>Duct bank</t>
        </is>
      </c>
      <c r="T3725" s="16" t="n">
        <v>500</v>
      </c>
      <c r="U3725" s="16" t="n">
        <v>37</v>
      </c>
      <c r="V3725" s="16">
        <f>ROUNDUP((T3725+U3725+2*'Read Me'!$B$13)*(1+'Read Me'!$B$12),-1)</f>
        <v/>
      </c>
      <c r="W3725" s="16">
        <f>V3725*N3725*O3725</f>
        <v/>
      </c>
      <c r="X3725" s="12">
        <f>IF(LEFT(I3725,2)="MV",2*N3725*IF(L3725="1/C",O3725,1),0)</f>
        <v/>
      </c>
      <c r="Y3725" s="12">
        <f>IF(OR(LEFT(K3725,4)="LVAX",LEFT(K3725,6)="MV15AX",LEFT(K3725,4)="CTAX",LEFT(K3725,2)="W|"),2*N3725*O3725,0)</f>
        <v/>
      </c>
      <c r="Z3725" s="12" t="inlineStr"/>
      <c r="AA3725" s="12">
        <f>N3725*O3725</f>
        <v/>
      </c>
    </row>
    <row r="3726">
      <c r="A3726" s="12" t="inlineStr">
        <is>
          <t>H-C-0031</t>
        </is>
      </c>
      <c r="B3726" s="12" t="inlineStr">
        <is>
          <t>H</t>
        </is>
      </c>
      <c r="C3726" s="12" t="inlineStr">
        <is>
          <t>BESS</t>
        </is>
      </c>
      <c r="D3726" s="12" t="inlineStr">
        <is>
          <t>Motor 1 of 2: control / local station</t>
        </is>
      </c>
      <c r="E3726" s="12" t="inlineStr"/>
      <c r="F3726" s="12" t="inlineStr">
        <is>
          <t>BESS auxiliary transformer</t>
        </is>
      </c>
      <c r="G3726" s="12" t="inlineStr"/>
      <c r="H3726" s="12" t="inlineStr">
        <is>
          <t>BESS PCS / MV skid</t>
        </is>
      </c>
      <c r="I3726" s="12" t="inlineStr">
        <is>
          <t>Control</t>
        </is>
      </c>
      <c r="J3726" s="12" t="inlineStr">
        <is>
          <t>Control cable 600 V Type TC-ER, Cu #14 AWG, PVC jacket</t>
        </is>
      </c>
      <c r="K3726" s="12" t="inlineStr">
        <is>
          <t>CT|7/C|14</t>
        </is>
      </c>
      <c r="L3726" s="12" t="inlineStr">
        <is>
          <t>7/C</t>
        </is>
      </c>
      <c r="M3726" s="12" t="inlineStr">
        <is>
          <t>14</t>
        </is>
      </c>
      <c r="N3726" s="12" t="n">
        <v>1</v>
      </c>
      <c r="O3726" s="12" t="n">
        <v>1</v>
      </c>
      <c r="P3726" s="12" t="n"/>
      <c r="Q3726" s="12" t="n"/>
      <c r="R3726" s="12" t="n"/>
      <c r="S3726" s="12" t="inlineStr">
        <is>
          <t>Duct bank</t>
        </is>
      </c>
      <c r="T3726" s="16" t="n">
        <v>380</v>
      </c>
      <c r="U3726" s="16" t="n">
        <v>37</v>
      </c>
      <c r="V3726" s="16">
        <f>ROUNDUP((T3726+U3726+2*'Read Me'!$B$13)*(1+'Read Me'!$B$12),-1)</f>
        <v/>
      </c>
      <c r="W3726" s="16">
        <f>V3726*N3726*O3726</f>
        <v/>
      </c>
      <c r="X3726" s="12">
        <f>IF(LEFT(I3726,2)="MV",2*N3726*IF(L3726="1/C",O3726,1),0)</f>
        <v/>
      </c>
      <c r="Y3726" s="12">
        <f>IF(OR(LEFT(K3726,4)="LVAX",LEFT(K3726,6)="MV15AX",LEFT(K3726,4)="CTAX",LEFT(K3726,2)="W|"),2*N3726*O3726,0)</f>
        <v/>
      </c>
      <c r="Z3726" s="12" t="inlineStr"/>
      <c r="AA3726" s="12">
        <f>N3726*O3726</f>
        <v/>
      </c>
    </row>
    <row r="3727">
      <c r="A3727" s="12" t="inlineStr">
        <is>
          <t>H-C-0032</t>
        </is>
      </c>
      <c r="B3727" s="12" t="inlineStr">
        <is>
          <t>H</t>
        </is>
      </c>
      <c r="C3727" s="12" t="inlineStr">
        <is>
          <t>BESS</t>
        </is>
      </c>
      <c r="D3727" s="12" t="inlineStr">
        <is>
          <t>Motor 2 of 2: control / local station</t>
        </is>
      </c>
      <c r="E3727" s="12" t="inlineStr"/>
      <c r="F3727" s="12" t="inlineStr">
        <is>
          <t>BESS auxiliary transformer</t>
        </is>
      </c>
      <c r="G3727" s="12" t="inlineStr"/>
      <c r="H3727" s="12" t="inlineStr">
        <is>
          <t>BESS PCS / MV skid</t>
        </is>
      </c>
      <c r="I3727" s="12" t="inlineStr">
        <is>
          <t>Control</t>
        </is>
      </c>
      <c r="J3727" s="12" t="inlineStr">
        <is>
          <t>Control cable 600 V Type TC-ER, Cu #14 AWG, PVC jacket</t>
        </is>
      </c>
      <c r="K3727" s="12" t="inlineStr">
        <is>
          <t>CT|7/C|14</t>
        </is>
      </c>
      <c r="L3727" s="12" t="inlineStr">
        <is>
          <t>7/C</t>
        </is>
      </c>
      <c r="M3727" s="12" t="inlineStr">
        <is>
          <t>14</t>
        </is>
      </c>
      <c r="N3727" s="12" t="n">
        <v>1</v>
      </c>
      <c r="O3727" s="12" t="n">
        <v>1</v>
      </c>
      <c r="P3727" s="12" t="n"/>
      <c r="Q3727" s="12" t="n"/>
      <c r="R3727" s="12" t="n"/>
      <c r="S3727" s="12" t="inlineStr">
        <is>
          <t>Duct bank</t>
        </is>
      </c>
      <c r="T3727" s="16" t="n">
        <v>380</v>
      </c>
      <c r="U3727" s="16" t="n">
        <v>37</v>
      </c>
      <c r="V3727" s="16">
        <f>ROUNDUP((T3727+U3727+2*'Read Me'!$B$13)*(1+'Read Me'!$B$12),-1)</f>
        <v/>
      </c>
      <c r="W3727" s="16">
        <f>V3727*N3727*O3727</f>
        <v/>
      </c>
      <c r="X3727" s="12">
        <f>IF(LEFT(I3727,2)="MV",2*N3727*IF(L3727="1/C",O3727,1),0)</f>
        <v/>
      </c>
      <c r="Y3727" s="12">
        <f>IF(OR(LEFT(K3727,4)="LVAX",LEFT(K3727,6)="MV15AX",LEFT(K3727,4)="CTAX",LEFT(K3727,2)="W|"),2*N3727*O3727,0)</f>
        <v/>
      </c>
      <c r="Z3727" s="12" t="inlineStr"/>
      <c r="AA3727" s="12">
        <f>N3727*O3727</f>
        <v/>
      </c>
    </row>
    <row r="3728">
      <c r="A3728" s="12" t="inlineStr">
        <is>
          <t>H-C-0033</t>
        </is>
      </c>
      <c r="B3728" s="12" t="inlineStr">
        <is>
          <t>H</t>
        </is>
      </c>
      <c r="C3728" s="12" t="inlineStr">
        <is>
          <t>BESS</t>
        </is>
      </c>
      <c r="D3728" s="12" t="inlineStr">
        <is>
          <t>Control</t>
        </is>
      </c>
      <c r="E3728" s="12" t="inlineStr"/>
      <c r="F3728" s="12" t="inlineStr">
        <is>
          <t>BESS EMS / SCADA and revenue metering</t>
        </is>
      </c>
      <c r="G3728" s="12" t="inlineStr"/>
      <c r="H3728" s="12" t="inlineStr">
        <is>
          <t>BESS auxiliary transformer</t>
        </is>
      </c>
      <c r="I3728" s="12" t="inlineStr">
        <is>
          <t>Control</t>
        </is>
      </c>
      <c r="J3728" s="12" t="inlineStr">
        <is>
          <t>Control cable 600 V Type TC-ER, Cu #14 AWG, PVC jacket</t>
        </is>
      </c>
      <c r="K3728" s="12" t="inlineStr">
        <is>
          <t>CT|7/C|14</t>
        </is>
      </c>
      <c r="L3728" s="12" t="inlineStr">
        <is>
          <t>7/C</t>
        </is>
      </c>
      <c r="M3728" s="12" t="inlineStr">
        <is>
          <t>14</t>
        </is>
      </c>
      <c r="N3728" s="12" t="n">
        <v>1</v>
      </c>
      <c r="O3728" s="12" t="n">
        <v>1</v>
      </c>
      <c r="P3728" s="12" t="n"/>
      <c r="Q3728" s="12" t="n"/>
      <c r="R3728" s="12" t="n"/>
      <c r="S3728" s="12" t="inlineStr">
        <is>
          <t>Tray</t>
        </is>
      </c>
      <c r="T3728" s="16" t="n">
        <v>38</v>
      </c>
      <c r="U3728" s="16" t="n">
        <v>32</v>
      </c>
      <c r="V3728" s="16">
        <f>ROUNDUP((T3728+U3728+2*'Read Me'!$B$13)*(1+'Read Me'!$B$12),-1)</f>
        <v/>
      </c>
      <c r="W3728" s="16">
        <f>V3728*N3728*O3728</f>
        <v/>
      </c>
      <c r="X3728" s="12">
        <f>IF(LEFT(I3728,2)="MV",2*N3728*IF(L3728="1/C",O3728,1),0)</f>
        <v/>
      </c>
      <c r="Y3728" s="12">
        <f>IF(OR(LEFT(K3728,4)="LVAX",LEFT(K3728,6)="MV15AX",LEFT(K3728,4)="CTAX",LEFT(K3728,2)="W|"),2*N3728*O3728,0)</f>
        <v/>
      </c>
      <c r="Z3728" s="12" t="inlineStr"/>
      <c r="AA3728" s="12">
        <f>N3728*O3728</f>
        <v/>
      </c>
    </row>
    <row r="3729">
      <c r="A3729" s="12" t="inlineStr">
        <is>
          <t>H-C-0034</t>
        </is>
      </c>
      <c r="B3729" s="12" t="inlineStr">
        <is>
          <t>H</t>
        </is>
      </c>
      <c r="C3729" s="12" t="inlineStr">
        <is>
          <t>BESS</t>
        </is>
      </c>
      <c r="D3729" s="12" t="inlineStr">
        <is>
          <t>Control</t>
        </is>
      </c>
      <c r="E3729" s="12" t="inlineStr"/>
      <c r="F3729" s="12" t="inlineStr">
        <is>
          <t>BESS EMS / SCADA and revenue metering</t>
        </is>
      </c>
      <c r="G3729" s="12" t="inlineStr"/>
      <c r="H3729" s="12" t="inlineStr">
        <is>
          <t>BESS auxiliary transformer</t>
        </is>
      </c>
      <c r="I3729" s="12" t="inlineStr">
        <is>
          <t>Control</t>
        </is>
      </c>
      <c r="J3729" s="12" t="inlineStr">
        <is>
          <t>Control cable 600 V Type TC-ER, Cu #14 AWG, PVC jacket</t>
        </is>
      </c>
      <c r="K3729" s="12" t="inlineStr">
        <is>
          <t>CT|12/C|14</t>
        </is>
      </c>
      <c r="L3729" s="12" t="inlineStr">
        <is>
          <t>12/C</t>
        </is>
      </c>
      <c r="M3729" s="12" t="inlineStr">
        <is>
          <t>14</t>
        </is>
      </c>
      <c r="N3729" s="12" t="n">
        <v>1</v>
      </c>
      <c r="O3729" s="12" t="n">
        <v>1</v>
      </c>
      <c r="P3729" s="12" t="n"/>
      <c r="Q3729" s="12" t="n"/>
      <c r="R3729" s="12" t="n"/>
      <c r="S3729" s="12" t="inlineStr">
        <is>
          <t>Tray</t>
        </is>
      </c>
      <c r="T3729" s="16" t="n">
        <v>38</v>
      </c>
      <c r="U3729" s="16" t="n">
        <v>32</v>
      </c>
      <c r="V3729" s="16">
        <f>ROUNDUP((T3729+U3729+2*'Read Me'!$B$13)*(1+'Read Me'!$B$12),-1)</f>
        <v/>
      </c>
      <c r="W3729" s="16">
        <f>V3729*N3729*O3729</f>
        <v/>
      </c>
      <c r="X3729" s="12">
        <f>IF(LEFT(I3729,2)="MV",2*N3729*IF(L3729="1/C",O3729,1),0)</f>
        <v/>
      </c>
      <c r="Y3729" s="12">
        <f>IF(OR(LEFT(K3729,4)="LVAX",LEFT(K3729,6)="MV15AX",LEFT(K3729,4)="CTAX",LEFT(K3729,2)="W|"),2*N3729*O3729,0)</f>
        <v/>
      </c>
      <c r="Z3729" s="12" t="inlineStr"/>
      <c r="AA3729" s="12">
        <f>N3729*O3729</f>
        <v/>
      </c>
    </row>
    <row r="3730">
      <c r="A3730" s="12" t="inlineStr">
        <is>
          <t>H-C-0035</t>
        </is>
      </c>
      <c r="B3730" s="12" t="inlineStr">
        <is>
          <t>H</t>
        </is>
      </c>
      <c r="C3730" s="12" t="inlineStr">
        <is>
          <t>BESS</t>
        </is>
      </c>
      <c r="D3730" s="12" t="inlineStr">
        <is>
          <t>CT / VT</t>
        </is>
      </c>
      <c r="E3730" s="12" t="inlineStr"/>
      <c r="F3730" s="12" t="inlineStr">
        <is>
          <t>BESS EMS / SCADA and revenue metering</t>
        </is>
      </c>
      <c r="G3730" s="12" t="inlineStr"/>
      <c r="H3730" s="12" t="inlineStr">
        <is>
          <t>BESS auxiliary transformer</t>
        </is>
      </c>
      <c r="I3730" s="12" t="inlineStr">
        <is>
          <t>Control</t>
        </is>
      </c>
      <c r="J3730" s="12" t="inlineStr">
        <is>
          <t>Control cable 600 V Type TC-ER, Cu #10 AWG (CT / VT circuits)</t>
        </is>
      </c>
      <c r="K3730" s="12" t="inlineStr">
        <is>
          <t>CTCT|4/C|10</t>
        </is>
      </c>
      <c r="L3730" s="12" t="inlineStr">
        <is>
          <t>4/C</t>
        </is>
      </c>
      <c r="M3730" s="12" t="inlineStr">
        <is>
          <t>10</t>
        </is>
      </c>
      <c r="N3730" s="12" t="n">
        <v>1</v>
      </c>
      <c r="O3730" s="12" t="n">
        <v>1</v>
      </c>
      <c r="P3730" s="12" t="n"/>
      <c r="Q3730" s="12" t="n"/>
      <c r="R3730" s="12" t="n"/>
      <c r="S3730" s="12" t="inlineStr">
        <is>
          <t>Tray</t>
        </is>
      </c>
      <c r="T3730" s="16" t="n">
        <v>38</v>
      </c>
      <c r="U3730" s="16" t="n">
        <v>32</v>
      </c>
      <c r="V3730" s="16">
        <f>ROUNDUP((T3730+U3730+2*'Read Me'!$B$13)*(1+'Read Me'!$B$12),-1)</f>
        <v/>
      </c>
      <c r="W3730" s="16">
        <f>V3730*N3730*O3730</f>
        <v/>
      </c>
      <c r="X3730" s="12">
        <f>IF(LEFT(I3730,2)="MV",2*N3730*IF(L3730="1/C",O3730,1),0)</f>
        <v/>
      </c>
      <c r="Y3730" s="12">
        <f>IF(OR(LEFT(K3730,4)="LVAX",LEFT(K3730,6)="MV15AX",LEFT(K3730,4)="CTAX",LEFT(K3730,2)="W|"),2*N3730*O3730,0)</f>
        <v/>
      </c>
      <c r="Z3730" s="12" t="inlineStr"/>
      <c r="AA3730" s="12">
        <f>N3730*O3730</f>
        <v/>
      </c>
    </row>
    <row r="3731">
      <c r="A3731" s="12" t="inlineStr">
        <is>
          <t>H-C-0036</t>
        </is>
      </c>
      <c r="B3731" s="12" t="inlineStr">
        <is>
          <t>H</t>
        </is>
      </c>
      <c r="C3731" s="12" t="inlineStr">
        <is>
          <t>BESS</t>
        </is>
      </c>
      <c r="D3731" s="12" t="inlineStr">
        <is>
          <t>CT / VT</t>
        </is>
      </c>
      <c r="E3731" s="12" t="inlineStr"/>
      <c r="F3731" s="12" t="inlineStr">
        <is>
          <t>BESS EMS / SCADA and revenue metering</t>
        </is>
      </c>
      <c r="G3731" s="12" t="inlineStr"/>
      <c r="H3731" s="12" t="inlineStr">
        <is>
          <t>BESS auxiliary transformer</t>
        </is>
      </c>
      <c r="I3731" s="12" t="inlineStr">
        <is>
          <t>Control</t>
        </is>
      </c>
      <c r="J3731" s="12" t="inlineStr">
        <is>
          <t>Control cable 600 V Type TC-ER, Cu #10 AWG (CT / VT circuits)</t>
        </is>
      </c>
      <c r="K3731" s="12" t="inlineStr">
        <is>
          <t>CTCT|4/C|10</t>
        </is>
      </c>
      <c r="L3731" s="12" t="inlineStr">
        <is>
          <t>4/C</t>
        </is>
      </c>
      <c r="M3731" s="12" t="inlineStr">
        <is>
          <t>10</t>
        </is>
      </c>
      <c r="N3731" s="12" t="n">
        <v>1</v>
      </c>
      <c r="O3731" s="12" t="n">
        <v>1</v>
      </c>
      <c r="P3731" s="12" t="n"/>
      <c r="Q3731" s="12" t="n"/>
      <c r="R3731" s="12" t="n"/>
      <c r="S3731" s="12" t="inlineStr">
        <is>
          <t>Tray</t>
        </is>
      </c>
      <c r="T3731" s="16" t="n">
        <v>38</v>
      </c>
      <c r="U3731" s="16" t="n">
        <v>32</v>
      </c>
      <c r="V3731" s="16">
        <f>ROUNDUP((T3731+U3731+2*'Read Me'!$B$13)*(1+'Read Me'!$B$12),-1)</f>
        <v/>
      </c>
      <c r="W3731" s="16">
        <f>V3731*N3731*O3731</f>
        <v/>
      </c>
      <c r="X3731" s="12">
        <f>IF(LEFT(I3731,2)="MV",2*N3731*IF(L3731="1/C",O3731,1),0)</f>
        <v/>
      </c>
      <c r="Y3731" s="12">
        <f>IF(OR(LEFT(K3731,4)="LVAX",LEFT(K3731,6)="MV15AX",LEFT(K3731,4)="CTAX",LEFT(K3731,2)="W|"),2*N3731*O3731,0)</f>
        <v/>
      </c>
      <c r="Z3731" s="12" t="inlineStr"/>
      <c r="AA3731" s="12">
        <f>N3731*O3731</f>
        <v/>
      </c>
    </row>
    <row r="3732">
      <c r="A3732" s="12" t="inlineStr">
        <is>
          <t>H-C-0037</t>
        </is>
      </c>
      <c r="B3732" s="12" t="inlineStr">
        <is>
          <t>H</t>
        </is>
      </c>
      <c r="C3732" s="12" t="inlineStr">
        <is>
          <t>BESS</t>
        </is>
      </c>
      <c r="D3732" s="12" t="inlineStr">
        <is>
          <t>Control</t>
        </is>
      </c>
      <c r="E3732" s="12" t="inlineStr"/>
      <c r="F3732" s="12" t="inlineStr">
        <is>
          <t>BESS EMS / SCADA and revenue metering</t>
        </is>
      </c>
      <c r="G3732" s="12" t="inlineStr">
        <is>
          <t>BESS</t>
        </is>
      </c>
      <c r="H3732" s="12" t="inlineStr">
        <is>
          <t>BESS blocks: 30 containers + 15 PCS / MV skids</t>
        </is>
      </c>
      <c r="I3732" s="12" t="inlineStr">
        <is>
          <t>Control</t>
        </is>
      </c>
      <c r="J3732" s="12" t="inlineStr">
        <is>
          <t>Control cable 600 V Type TC-ER, Cu #14 AWG, PVC jacket</t>
        </is>
      </c>
      <c r="K3732" s="12" t="inlineStr">
        <is>
          <t>CT|7/C|14</t>
        </is>
      </c>
      <c r="L3732" s="12" t="inlineStr">
        <is>
          <t>7/C</t>
        </is>
      </c>
      <c r="M3732" s="12" t="inlineStr">
        <is>
          <t>14</t>
        </is>
      </c>
      <c r="N3732" s="12" t="n">
        <v>1</v>
      </c>
      <c r="O3732" s="12" t="n">
        <v>1</v>
      </c>
      <c r="P3732" s="12" t="n"/>
      <c r="Q3732" s="12" t="n"/>
      <c r="R3732" s="12" t="n"/>
      <c r="S3732" s="12" t="inlineStr">
        <is>
          <t>Duct bank</t>
        </is>
      </c>
      <c r="T3732" s="16" t="n">
        <v>336</v>
      </c>
      <c r="U3732" s="16" t="n">
        <v>32</v>
      </c>
      <c r="V3732" s="16">
        <f>ROUNDUP((T3732+U3732+2*'Read Me'!$B$13)*(1+'Read Me'!$B$12),-1)</f>
        <v/>
      </c>
      <c r="W3732" s="16">
        <f>V3732*N3732*O3732</f>
        <v/>
      </c>
      <c r="X3732" s="12">
        <f>IF(LEFT(I3732,2)="MV",2*N3732*IF(L3732="1/C",O3732,1),0)</f>
        <v/>
      </c>
      <c r="Y3732" s="12">
        <f>IF(OR(LEFT(K3732,4)="LVAX",LEFT(K3732,6)="MV15AX",LEFT(K3732,4)="CTAX",LEFT(K3732,2)="W|"),2*N3732*O3732,0)</f>
        <v/>
      </c>
      <c r="Z3732" s="12" t="inlineStr"/>
      <c r="AA3732" s="12">
        <f>N3732*O3732</f>
        <v/>
      </c>
    </row>
    <row r="3733">
      <c r="A3733" s="12" t="inlineStr">
        <is>
          <t>H-C-0038</t>
        </is>
      </c>
      <c r="B3733" s="12" t="inlineStr">
        <is>
          <t>H</t>
        </is>
      </c>
      <c r="C3733" s="12" t="inlineStr">
        <is>
          <t>BESS</t>
        </is>
      </c>
      <c r="D3733" s="12" t="inlineStr">
        <is>
          <t>Control</t>
        </is>
      </c>
      <c r="E3733" s="12" t="inlineStr"/>
      <c r="F3733" s="12" t="inlineStr">
        <is>
          <t>BESS PCS / MV skid</t>
        </is>
      </c>
      <c r="G3733" s="12" t="inlineStr"/>
      <c r="H3733" s="12" t="inlineStr">
        <is>
          <t>BESS container (ISO 40 ft high cube)</t>
        </is>
      </c>
      <c r="I3733" s="12" t="inlineStr">
        <is>
          <t>Control</t>
        </is>
      </c>
      <c r="J3733" s="12" t="inlineStr">
        <is>
          <t>Control cable 600 V Type TC-ER, Cu #14 AWG, PVC jacket</t>
        </is>
      </c>
      <c r="K3733" s="12" t="inlineStr">
        <is>
          <t>CT|7/C|14</t>
        </is>
      </c>
      <c r="L3733" s="12" t="inlineStr">
        <is>
          <t>7/C</t>
        </is>
      </c>
      <c r="M3733" s="12" t="inlineStr">
        <is>
          <t>14</t>
        </is>
      </c>
      <c r="N3733" s="12" t="n">
        <v>1</v>
      </c>
      <c r="O3733" s="12" t="n">
        <v>1</v>
      </c>
      <c r="P3733" s="12" t="n"/>
      <c r="Q3733" s="12" t="n"/>
      <c r="R3733" s="12" t="n"/>
      <c r="S3733" s="12" t="inlineStr">
        <is>
          <t>Duct bank</t>
        </is>
      </c>
      <c r="T3733" s="16" t="n">
        <v>10</v>
      </c>
      <c r="U3733" s="16" t="n">
        <v>150</v>
      </c>
      <c r="V3733" s="16">
        <f>ROUNDUP((T3733+U3733+2*'Read Me'!$B$13)*(1+'Read Me'!$B$12),-1)</f>
        <v/>
      </c>
      <c r="W3733" s="16">
        <f>V3733*N3733*O3733</f>
        <v/>
      </c>
      <c r="X3733" s="12">
        <f>IF(LEFT(I3733,2)="MV",2*N3733*IF(L3733="1/C",O3733,1),0)</f>
        <v/>
      </c>
      <c r="Y3733" s="12">
        <f>IF(OR(LEFT(K3733,4)="LVAX",LEFT(K3733,6)="MV15AX",LEFT(K3733,4)="CTAX",LEFT(K3733,2)="W|"),2*N3733*O3733,0)</f>
        <v/>
      </c>
      <c r="Z3733" s="12" t="inlineStr"/>
      <c r="AA3733" s="12">
        <f>N3733*O3733</f>
        <v/>
      </c>
    </row>
    <row r="3734">
      <c r="A3734" s="12" t="inlineStr">
        <is>
          <t>H-C-0039</t>
        </is>
      </c>
      <c r="B3734" s="12" t="inlineStr">
        <is>
          <t>H</t>
        </is>
      </c>
      <c r="C3734" s="12" t="inlineStr">
        <is>
          <t>BESS</t>
        </is>
      </c>
      <c r="D3734" s="12" t="inlineStr">
        <is>
          <t>Control</t>
        </is>
      </c>
      <c r="E3734" s="12" t="inlineStr"/>
      <c r="F3734" s="12" t="inlineStr">
        <is>
          <t>BESS PCS / MV skid</t>
        </is>
      </c>
      <c r="G3734" s="12" t="inlineStr"/>
      <c r="H3734" s="12" t="inlineStr">
        <is>
          <t>BESS container (ISO 40 ft high cube)</t>
        </is>
      </c>
      <c r="I3734" s="12" t="inlineStr">
        <is>
          <t>Control</t>
        </is>
      </c>
      <c r="J3734" s="12" t="inlineStr">
        <is>
          <t>Control cable 600 V Type TC-ER, Cu #14 AWG, PVC jacket</t>
        </is>
      </c>
      <c r="K3734" s="12" t="inlineStr">
        <is>
          <t>CT|7/C|14</t>
        </is>
      </c>
      <c r="L3734" s="12" t="inlineStr">
        <is>
          <t>7/C</t>
        </is>
      </c>
      <c r="M3734" s="12" t="inlineStr">
        <is>
          <t>14</t>
        </is>
      </c>
      <c r="N3734" s="12" t="n">
        <v>1</v>
      </c>
      <c r="O3734" s="12" t="n">
        <v>1</v>
      </c>
      <c r="P3734" s="12" t="n"/>
      <c r="Q3734" s="12" t="n"/>
      <c r="R3734" s="12" t="n"/>
      <c r="S3734" s="12" t="inlineStr">
        <is>
          <t>Tray</t>
        </is>
      </c>
      <c r="T3734" s="16" t="n">
        <v>0</v>
      </c>
      <c r="U3734" s="16" t="n">
        <v>160</v>
      </c>
      <c r="V3734" s="16">
        <f>ROUNDUP((T3734+U3734+2*'Read Me'!$B$13)*(1+'Read Me'!$B$12),-1)</f>
        <v/>
      </c>
      <c r="W3734" s="16">
        <f>V3734*N3734*O3734</f>
        <v/>
      </c>
      <c r="X3734" s="12">
        <f>IF(LEFT(I3734,2)="MV",2*N3734*IF(L3734="1/C",O3734,1),0)</f>
        <v/>
      </c>
      <c r="Y3734" s="12">
        <f>IF(OR(LEFT(K3734,4)="LVAX",LEFT(K3734,6)="MV15AX",LEFT(K3734,4)="CTAX",LEFT(K3734,2)="W|"),2*N3734*O3734,0)</f>
        <v/>
      </c>
      <c r="Z3734" s="12" t="inlineStr"/>
      <c r="AA3734" s="12">
        <f>N3734*O3734</f>
        <v/>
      </c>
    </row>
    <row r="3735">
      <c r="A3735" s="12" t="inlineStr">
        <is>
          <t>H-C-0040</t>
        </is>
      </c>
      <c r="B3735" s="12" t="inlineStr">
        <is>
          <t>H</t>
        </is>
      </c>
      <c r="C3735" s="12" t="inlineStr">
        <is>
          <t>BESS</t>
        </is>
      </c>
      <c r="D3735" s="12" t="inlineStr">
        <is>
          <t>Control</t>
        </is>
      </c>
      <c r="E3735" s="12" t="inlineStr"/>
      <c r="F3735" s="12" t="inlineStr">
        <is>
          <t>BESS PCS / MV skid</t>
        </is>
      </c>
      <c r="G3735" s="12" t="inlineStr"/>
      <c r="H3735" s="12" t="inlineStr">
        <is>
          <t>BESS container (ISO 40 ft high cube)</t>
        </is>
      </c>
      <c r="I3735" s="12" t="inlineStr">
        <is>
          <t>Control</t>
        </is>
      </c>
      <c r="J3735" s="12" t="inlineStr">
        <is>
          <t>Control cable 600 V Type TC-ER, Cu #14 AWG, PVC jacket</t>
        </is>
      </c>
      <c r="K3735" s="12" t="inlineStr">
        <is>
          <t>CT|7/C|14</t>
        </is>
      </c>
      <c r="L3735" s="12" t="inlineStr">
        <is>
          <t>7/C</t>
        </is>
      </c>
      <c r="M3735" s="12" t="inlineStr">
        <is>
          <t>14</t>
        </is>
      </c>
      <c r="N3735" s="12" t="n">
        <v>1</v>
      </c>
      <c r="O3735" s="12" t="n">
        <v>1</v>
      </c>
      <c r="P3735" s="12" t="n"/>
      <c r="Q3735" s="12" t="n"/>
      <c r="R3735" s="12" t="n"/>
      <c r="S3735" s="12" t="inlineStr">
        <is>
          <t>Tray</t>
        </is>
      </c>
      <c r="T3735" s="16" t="n">
        <v>0</v>
      </c>
      <c r="U3735" s="16" t="n">
        <v>200</v>
      </c>
      <c r="V3735" s="16">
        <f>ROUNDUP((T3735+U3735+2*'Read Me'!$B$13)*(1+'Read Me'!$B$12),-1)</f>
        <v/>
      </c>
      <c r="W3735" s="16">
        <f>V3735*N3735*O3735</f>
        <v/>
      </c>
      <c r="X3735" s="12">
        <f>IF(LEFT(I3735,2)="MV",2*N3735*IF(L3735="1/C",O3735,1),0)</f>
        <v/>
      </c>
      <c r="Y3735" s="12">
        <f>IF(OR(LEFT(K3735,4)="LVAX",LEFT(K3735,6)="MV15AX",LEFT(K3735,4)="CTAX",LEFT(K3735,2)="W|"),2*N3735*O3735,0)</f>
        <v/>
      </c>
      <c r="Z3735" s="12" t="inlineStr"/>
      <c r="AA3735" s="12">
        <f>N3735*O3735</f>
        <v/>
      </c>
    </row>
    <row r="3736">
      <c r="A3736" s="12" t="inlineStr">
        <is>
          <t>H-C-0041</t>
        </is>
      </c>
      <c r="B3736" s="12" t="inlineStr">
        <is>
          <t>H</t>
        </is>
      </c>
      <c r="C3736" s="12" t="inlineStr">
        <is>
          <t>BESS</t>
        </is>
      </c>
      <c r="D3736" s="12" t="inlineStr">
        <is>
          <t>Control</t>
        </is>
      </c>
      <c r="E3736" s="12" t="inlineStr"/>
      <c r="F3736" s="12" t="inlineStr">
        <is>
          <t>BESS PCS / MV skid</t>
        </is>
      </c>
      <c r="G3736" s="12" t="inlineStr"/>
      <c r="H3736" s="12" t="inlineStr">
        <is>
          <t>BESS container (ISO 40 ft high cube)</t>
        </is>
      </c>
      <c r="I3736" s="12" t="inlineStr">
        <is>
          <t>Control</t>
        </is>
      </c>
      <c r="J3736" s="12" t="inlineStr">
        <is>
          <t>Control cable 600 V Type TC-ER, Cu #14 AWG, PVC jacket</t>
        </is>
      </c>
      <c r="K3736" s="12" t="inlineStr">
        <is>
          <t>CT|7/C|14</t>
        </is>
      </c>
      <c r="L3736" s="12" t="inlineStr">
        <is>
          <t>7/C</t>
        </is>
      </c>
      <c r="M3736" s="12" t="inlineStr">
        <is>
          <t>14</t>
        </is>
      </c>
      <c r="N3736" s="12" t="n">
        <v>1</v>
      </c>
      <c r="O3736" s="12" t="n">
        <v>1</v>
      </c>
      <c r="P3736" s="12" t="n"/>
      <c r="Q3736" s="12" t="n"/>
      <c r="R3736" s="12" t="n"/>
      <c r="S3736" s="12" t="inlineStr">
        <is>
          <t>Tray</t>
        </is>
      </c>
      <c r="T3736" s="16" t="n">
        <v>0</v>
      </c>
      <c r="U3736" s="16" t="n">
        <v>200</v>
      </c>
      <c r="V3736" s="16">
        <f>ROUNDUP((T3736+U3736+2*'Read Me'!$B$13)*(1+'Read Me'!$B$12),-1)</f>
        <v/>
      </c>
      <c r="W3736" s="16">
        <f>V3736*N3736*O3736</f>
        <v/>
      </c>
      <c r="X3736" s="12">
        <f>IF(LEFT(I3736,2)="MV",2*N3736*IF(L3736="1/C",O3736,1),0)</f>
        <v/>
      </c>
      <c r="Y3736" s="12">
        <f>IF(OR(LEFT(K3736,4)="LVAX",LEFT(K3736,6)="MV15AX",LEFT(K3736,4)="CTAX",LEFT(K3736,2)="W|"),2*N3736*O3736,0)</f>
        <v/>
      </c>
      <c r="Z3736" s="12" t="inlineStr"/>
      <c r="AA3736" s="12">
        <f>N3736*O3736</f>
        <v/>
      </c>
    </row>
    <row r="3737">
      <c r="A3737" s="12" t="inlineStr">
        <is>
          <t>H-C-0042</t>
        </is>
      </c>
      <c r="B3737" s="12" t="inlineStr">
        <is>
          <t>H</t>
        </is>
      </c>
      <c r="C3737" s="12" t="inlineStr">
        <is>
          <t>BESS</t>
        </is>
      </c>
      <c r="D3737" s="12" t="inlineStr">
        <is>
          <t>Control</t>
        </is>
      </c>
      <c r="E3737" s="12" t="inlineStr"/>
      <c r="F3737" s="12" t="inlineStr">
        <is>
          <t>BESS PCS / MV skid</t>
        </is>
      </c>
      <c r="G3737" s="12" t="inlineStr"/>
      <c r="H3737" s="12" t="inlineStr">
        <is>
          <t>BESS container (ISO 40 ft high cube)</t>
        </is>
      </c>
      <c r="I3737" s="12" t="inlineStr">
        <is>
          <t>Control</t>
        </is>
      </c>
      <c r="J3737" s="12" t="inlineStr">
        <is>
          <t>Control cable 600 V Type TC-ER, Cu #14 AWG, PVC jacket</t>
        </is>
      </c>
      <c r="K3737" s="12" t="inlineStr">
        <is>
          <t>CT|7/C|14</t>
        </is>
      </c>
      <c r="L3737" s="12" t="inlineStr">
        <is>
          <t>7/C</t>
        </is>
      </c>
      <c r="M3737" s="12" t="inlineStr">
        <is>
          <t>14</t>
        </is>
      </c>
      <c r="N3737" s="12" t="n">
        <v>1</v>
      </c>
      <c r="O3737" s="12" t="n">
        <v>1</v>
      </c>
      <c r="P3737" s="12" t="n"/>
      <c r="Q3737" s="12" t="n"/>
      <c r="R3737" s="12" t="n"/>
      <c r="S3737" s="12" t="inlineStr">
        <is>
          <t>Tray</t>
        </is>
      </c>
      <c r="T3737" s="16" t="n">
        <v>0</v>
      </c>
      <c r="U3737" s="16" t="n">
        <v>168</v>
      </c>
      <c r="V3737" s="16">
        <f>ROUNDUP((T3737+U3737+2*'Read Me'!$B$13)*(1+'Read Me'!$B$12),-1)</f>
        <v/>
      </c>
      <c r="W3737" s="16">
        <f>V3737*N3737*O3737</f>
        <v/>
      </c>
      <c r="X3737" s="12">
        <f>IF(LEFT(I3737,2)="MV",2*N3737*IF(L3737="1/C",O3737,1),0)</f>
        <v/>
      </c>
      <c r="Y3737" s="12">
        <f>IF(OR(LEFT(K3737,4)="LVAX",LEFT(K3737,6)="MV15AX",LEFT(K3737,4)="CTAX",LEFT(K3737,2)="W|"),2*N3737*O3737,0)</f>
        <v/>
      </c>
      <c r="Z3737" s="12" t="inlineStr"/>
      <c r="AA3737" s="12">
        <f>N3737*O3737</f>
        <v/>
      </c>
    </row>
    <row r="3738">
      <c r="A3738" s="12" t="inlineStr">
        <is>
          <t>H-C-0043</t>
        </is>
      </c>
      <c r="B3738" s="12" t="inlineStr">
        <is>
          <t>H</t>
        </is>
      </c>
      <c r="C3738" s="12" t="inlineStr">
        <is>
          <t>BESS</t>
        </is>
      </c>
      <c r="D3738" s="12" t="inlineStr">
        <is>
          <t>Control</t>
        </is>
      </c>
      <c r="E3738" s="12" t="inlineStr"/>
      <c r="F3738" s="12" t="inlineStr">
        <is>
          <t>BESS PCS / MV skid</t>
        </is>
      </c>
      <c r="G3738" s="12" t="inlineStr"/>
      <c r="H3738" s="12" t="inlineStr">
        <is>
          <t>BESS container (ISO 40 ft high cube)</t>
        </is>
      </c>
      <c r="I3738" s="12" t="inlineStr">
        <is>
          <t>Control</t>
        </is>
      </c>
      <c r="J3738" s="12" t="inlineStr">
        <is>
          <t>Control cable 600 V Type TC-ER, Cu #14 AWG, PVC jacket</t>
        </is>
      </c>
      <c r="K3738" s="12" t="inlineStr">
        <is>
          <t>CT|7/C|14</t>
        </is>
      </c>
      <c r="L3738" s="12" t="inlineStr">
        <is>
          <t>7/C</t>
        </is>
      </c>
      <c r="M3738" s="12" t="inlineStr">
        <is>
          <t>14</t>
        </is>
      </c>
      <c r="N3738" s="12" t="n">
        <v>1</v>
      </c>
      <c r="O3738" s="12" t="n">
        <v>1</v>
      </c>
      <c r="P3738" s="12" t="n"/>
      <c r="Q3738" s="12" t="n"/>
      <c r="R3738" s="12" t="n"/>
      <c r="S3738" s="12" t="inlineStr">
        <is>
          <t>Tray</t>
        </is>
      </c>
      <c r="T3738" s="16" t="n">
        <v>0</v>
      </c>
      <c r="U3738" s="16" t="n">
        <v>168</v>
      </c>
      <c r="V3738" s="16">
        <f>ROUNDUP((T3738+U3738+2*'Read Me'!$B$13)*(1+'Read Me'!$B$12),-1)</f>
        <v/>
      </c>
      <c r="W3738" s="16">
        <f>V3738*N3738*O3738</f>
        <v/>
      </c>
      <c r="X3738" s="12">
        <f>IF(LEFT(I3738,2)="MV",2*N3738*IF(L3738="1/C",O3738,1),0)</f>
        <v/>
      </c>
      <c r="Y3738" s="12">
        <f>IF(OR(LEFT(K3738,4)="LVAX",LEFT(K3738,6)="MV15AX",LEFT(K3738,4)="CTAX",LEFT(K3738,2)="W|"),2*N3738*O3738,0)</f>
        <v/>
      </c>
      <c r="Z3738" s="12" t="inlineStr"/>
      <c r="AA3738" s="12">
        <f>N3738*O3738</f>
        <v/>
      </c>
    </row>
    <row r="3739">
      <c r="A3739" s="12" t="inlineStr">
        <is>
          <t>H-C-0044</t>
        </is>
      </c>
      <c r="B3739" s="12" t="inlineStr">
        <is>
          <t>H</t>
        </is>
      </c>
      <c r="C3739" s="12" t="inlineStr">
        <is>
          <t>BESS</t>
        </is>
      </c>
      <c r="D3739" s="12" t="inlineStr">
        <is>
          <t>Control</t>
        </is>
      </c>
      <c r="E3739" s="12" t="inlineStr"/>
      <c r="F3739" s="12" t="inlineStr">
        <is>
          <t>BESS PCS / MV skid</t>
        </is>
      </c>
      <c r="G3739" s="12" t="inlineStr"/>
      <c r="H3739" s="12" t="inlineStr">
        <is>
          <t>BESS container (ISO 40 ft high cube)</t>
        </is>
      </c>
      <c r="I3739" s="12" t="inlineStr">
        <is>
          <t>Control</t>
        </is>
      </c>
      <c r="J3739" s="12" t="inlineStr">
        <is>
          <t>Control cable 600 V Type TC-ER, Cu #14 AWG, PVC jacket</t>
        </is>
      </c>
      <c r="K3739" s="12" t="inlineStr">
        <is>
          <t>CT|7/C|14</t>
        </is>
      </c>
      <c r="L3739" s="12" t="inlineStr">
        <is>
          <t>7/C</t>
        </is>
      </c>
      <c r="M3739" s="12" t="inlineStr">
        <is>
          <t>14</t>
        </is>
      </c>
      <c r="N3739" s="12" t="n">
        <v>1</v>
      </c>
      <c r="O3739" s="12" t="n">
        <v>1</v>
      </c>
      <c r="P3739" s="12" t="n"/>
      <c r="Q3739" s="12" t="n"/>
      <c r="R3739" s="12" t="n"/>
      <c r="S3739" s="12" t="inlineStr">
        <is>
          <t>Duct bank</t>
        </is>
      </c>
      <c r="T3739" s="16" t="n">
        <v>10</v>
      </c>
      <c r="U3739" s="16" t="n">
        <v>266</v>
      </c>
      <c r="V3739" s="16">
        <f>ROUNDUP((T3739+U3739+2*'Read Me'!$B$13)*(1+'Read Me'!$B$12),-1)</f>
        <v/>
      </c>
      <c r="W3739" s="16">
        <f>V3739*N3739*O3739</f>
        <v/>
      </c>
      <c r="X3739" s="12">
        <f>IF(LEFT(I3739,2)="MV",2*N3739*IF(L3739="1/C",O3739,1),0)</f>
        <v/>
      </c>
      <c r="Y3739" s="12">
        <f>IF(OR(LEFT(K3739,4)="LVAX",LEFT(K3739,6)="MV15AX",LEFT(K3739,4)="CTAX",LEFT(K3739,2)="W|"),2*N3739*O3739,0)</f>
        <v/>
      </c>
      <c r="Z3739" s="12" t="inlineStr"/>
      <c r="AA3739" s="12">
        <f>N3739*O3739</f>
        <v/>
      </c>
    </row>
    <row r="3740">
      <c r="A3740" s="12" t="inlineStr">
        <is>
          <t>H-C-0045</t>
        </is>
      </c>
      <c r="B3740" s="12" t="inlineStr">
        <is>
          <t>H</t>
        </is>
      </c>
      <c r="C3740" s="12" t="inlineStr">
        <is>
          <t>BESS</t>
        </is>
      </c>
      <c r="D3740" s="12" t="inlineStr">
        <is>
          <t>Control</t>
        </is>
      </c>
      <c r="E3740" s="12" t="inlineStr"/>
      <c r="F3740" s="12" t="inlineStr">
        <is>
          <t>BESS PCS / MV skid</t>
        </is>
      </c>
      <c r="G3740" s="12" t="inlineStr"/>
      <c r="H3740" s="12" t="inlineStr">
        <is>
          <t>BESS container (ISO 40 ft high cube)</t>
        </is>
      </c>
      <c r="I3740" s="12" t="inlineStr">
        <is>
          <t>Control</t>
        </is>
      </c>
      <c r="J3740" s="12" t="inlineStr">
        <is>
          <t>Control cable 600 V Type TC-ER, Cu #14 AWG, PVC jacket</t>
        </is>
      </c>
      <c r="K3740" s="12" t="inlineStr">
        <is>
          <t>CT|7/C|14</t>
        </is>
      </c>
      <c r="L3740" s="12" t="inlineStr">
        <is>
          <t>7/C</t>
        </is>
      </c>
      <c r="M3740" s="12" t="inlineStr">
        <is>
          <t>14</t>
        </is>
      </c>
      <c r="N3740" s="12" t="n">
        <v>1</v>
      </c>
      <c r="O3740" s="12" t="n">
        <v>1</v>
      </c>
      <c r="P3740" s="12" t="n"/>
      <c r="Q3740" s="12" t="n"/>
      <c r="R3740" s="12" t="n"/>
      <c r="S3740" s="12" t="inlineStr">
        <is>
          <t>Tray</t>
        </is>
      </c>
      <c r="T3740" s="16" t="n">
        <v>0</v>
      </c>
      <c r="U3740" s="16" t="n">
        <v>276</v>
      </c>
      <c r="V3740" s="16">
        <f>ROUNDUP((T3740+U3740+2*'Read Me'!$B$13)*(1+'Read Me'!$B$12),-1)</f>
        <v/>
      </c>
      <c r="W3740" s="16">
        <f>V3740*N3740*O3740</f>
        <v/>
      </c>
      <c r="X3740" s="12">
        <f>IF(LEFT(I3740,2)="MV",2*N3740*IF(L3740="1/C",O3740,1),0)</f>
        <v/>
      </c>
      <c r="Y3740" s="12">
        <f>IF(OR(LEFT(K3740,4)="LVAX",LEFT(K3740,6)="MV15AX",LEFT(K3740,4)="CTAX",LEFT(K3740,2)="W|"),2*N3740*O3740,0)</f>
        <v/>
      </c>
      <c r="Z3740" s="12" t="inlineStr"/>
      <c r="AA3740" s="12">
        <f>N3740*O3740</f>
        <v/>
      </c>
    </row>
    <row r="3741">
      <c r="A3741" s="12" t="inlineStr">
        <is>
          <t>H-C-0046</t>
        </is>
      </c>
      <c r="B3741" s="12" t="inlineStr">
        <is>
          <t>H</t>
        </is>
      </c>
      <c r="C3741" s="12" t="inlineStr">
        <is>
          <t>BESS</t>
        </is>
      </c>
      <c r="D3741" s="12" t="inlineStr">
        <is>
          <t>Control</t>
        </is>
      </c>
      <c r="E3741" s="12" t="inlineStr"/>
      <c r="F3741" s="12" t="inlineStr">
        <is>
          <t>BESS PCS / MV skid</t>
        </is>
      </c>
      <c r="G3741" s="12" t="inlineStr"/>
      <c r="H3741" s="12" t="inlineStr">
        <is>
          <t>BESS container (ISO 40 ft high cube)</t>
        </is>
      </c>
      <c r="I3741" s="12" t="inlineStr">
        <is>
          <t>Control</t>
        </is>
      </c>
      <c r="J3741" s="12" t="inlineStr">
        <is>
          <t>Control cable 600 V Type TC-ER, Cu #14 AWG, PVC jacket</t>
        </is>
      </c>
      <c r="K3741" s="12" t="inlineStr">
        <is>
          <t>CT|7/C|14</t>
        </is>
      </c>
      <c r="L3741" s="12" t="inlineStr">
        <is>
          <t>7/C</t>
        </is>
      </c>
      <c r="M3741" s="12" t="inlineStr">
        <is>
          <t>14</t>
        </is>
      </c>
      <c r="N3741" s="12" t="n">
        <v>1</v>
      </c>
      <c r="O3741" s="12" t="n">
        <v>1</v>
      </c>
      <c r="P3741" s="12" t="n"/>
      <c r="Q3741" s="12" t="n"/>
      <c r="R3741" s="12" t="n"/>
      <c r="S3741" s="12" t="inlineStr">
        <is>
          <t>Tray</t>
        </is>
      </c>
      <c r="T3741" s="16" t="n">
        <v>0</v>
      </c>
      <c r="U3741" s="16" t="n">
        <v>316</v>
      </c>
      <c r="V3741" s="16">
        <f>ROUNDUP((T3741+U3741+2*'Read Me'!$B$13)*(1+'Read Me'!$B$12),-1)</f>
        <v/>
      </c>
      <c r="W3741" s="16">
        <f>V3741*N3741*O3741</f>
        <v/>
      </c>
      <c r="X3741" s="12">
        <f>IF(LEFT(I3741,2)="MV",2*N3741*IF(L3741="1/C",O3741,1),0)</f>
        <v/>
      </c>
      <c r="Y3741" s="12">
        <f>IF(OR(LEFT(K3741,4)="LVAX",LEFT(K3741,6)="MV15AX",LEFT(K3741,4)="CTAX",LEFT(K3741,2)="W|"),2*N3741*O3741,0)</f>
        <v/>
      </c>
      <c r="Z3741" s="12" t="inlineStr"/>
      <c r="AA3741" s="12">
        <f>N3741*O3741</f>
        <v/>
      </c>
    </row>
    <row r="3742">
      <c r="A3742" s="12" t="inlineStr">
        <is>
          <t>H-C-0047</t>
        </is>
      </c>
      <c r="B3742" s="12" t="inlineStr">
        <is>
          <t>H</t>
        </is>
      </c>
      <c r="C3742" s="12" t="inlineStr">
        <is>
          <t>BESS</t>
        </is>
      </c>
      <c r="D3742" s="12" t="inlineStr">
        <is>
          <t>Control</t>
        </is>
      </c>
      <c r="E3742" s="12" t="inlineStr"/>
      <c r="F3742" s="12" t="inlineStr">
        <is>
          <t>BESS PCS / MV skid</t>
        </is>
      </c>
      <c r="G3742" s="12" t="inlineStr"/>
      <c r="H3742" s="12" t="inlineStr">
        <is>
          <t>BESS container (ISO 40 ft high cube)</t>
        </is>
      </c>
      <c r="I3742" s="12" t="inlineStr">
        <is>
          <t>Control</t>
        </is>
      </c>
      <c r="J3742" s="12" t="inlineStr">
        <is>
          <t>Control cable 600 V Type TC-ER, Cu #14 AWG, PVC jacket</t>
        </is>
      </c>
      <c r="K3742" s="12" t="inlineStr">
        <is>
          <t>CT|7/C|14</t>
        </is>
      </c>
      <c r="L3742" s="12" t="inlineStr">
        <is>
          <t>7/C</t>
        </is>
      </c>
      <c r="M3742" s="12" t="inlineStr">
        <is>
          <t>14</t>
        </is>
      </c>
      <c r="N3742" s="12" t="n">
        <v>1</v>
      </c>
      <c r="O3742" s="12" t="n">
        <v>1</v>
      </c>
      <c r="P3742" s="12" t="n"/>
      <c r="Q3742" s="12" t="n"/>
      <c r="R3742" s="12" t="n"/>
      <c r="S3742" s="12" t="inlineStr">
        <is>
          <t>Tray</t>
        </is>
      </c>
      <c r="T3742" s="16" t="n">
        <v>0</v>
      </c>
      <c r="U3742" s="16" t="n">
        <v>316</v>
      </c>
      <c r="V3742" s="16">
        <f>ROUNDUP((T3742+U3742+2*'Read Me'!$B$13)*(1+'Read Me'!$B$12),-1)</f>
        <v/>
      </c>
      <c r="W3742" s="16">
        <f>V3742*N3742*O3742</f>
        <v/>
      </c>
      <c r="X3742" s="12">
        <f>IF(LEFT(I3742,2)="MV",2*N3742*IF(L3742="1/C",O3742,1),0)</f>
        <v/>
      </c>
      <c r="Y3742" s="12">
        <f>IF(OR(LEFT(K3742,4)="LVAX",LEFT(K3742,6)="MV15AX",LEFT(K3742,4)="CTAX",LEFT(K3742,2)="W|"),2*N3742*O3742,0)</f>
        <v/>
      </c>
      <c r="Z3742" s="12" t="inlineStr"/>
      <c r="AA3742" s="12">
        <f>N3742*O3742</f>
        <v/>
      </c>
    </row>
    <row r="3743">
      <c r="A3743" s="12" t="inlineStr">
        <is>
          <t>H-C-0048</t>
        </is>
      </c>
      <c r="B3743" s="12" t="inlineStr">
        <is>
          <t>H</t>
        </is>
      </c>
      <c r="C3743" s="12" t="inlineStr">
        <is>
          <t>BESS</t>
        </is>
      </c>
      <c r="D3743" s="12" t="inlineStr">
        <is>
          <t>Control</t>
        </is>
      </c>
      <c r="E3743" s="12" t="inlineStr"/>
      <c r="F3743" s="12" t="inlineStr">
        <is>
          <t>BESS PCS / MV skid</t>
        </is>
      </c>
      <c r="G3743" s="12" t="inlineStr"/>
      <c r="H3743" s="12" t="inlineStr">
        <is>
          <t>BESS container (ISO 40 ft high cube)</t>
        </is>
      </c>
      <c r="I3743" s="12" t="inlineStr">
        <is>
          <t>Control</t>
        </is>
      </c>
      <c r="J3743" s="12" t="inlineStr">
        <is>
          <t>Control cable 600 V Type TC-ER, Cu #14 AWG, PVC jacket</t>
        </is>
      </c>
      <c r="K3743" s="12" t="inlineStr">
        <is>
          <t>CT|7/C|14</t>
        </is>
      </c>
      <c r="L3743" s="12" t="inlineStr">
        <is>
          <t>7/C</t>
        </is>
      </c>
      <c r="M3743" s="12" t="inlineStr">
        <is>
          <t>14</t>
        </is>
      </c>
      <c r="N3743" s="12" t="n">
        <v>1</v>
      </c>
      <c r="O3743" s="12" t="n">
        <v>1</v>
      </c>
      <c r="P3743" s="12" t="n"/>
      <c r="Q3743" s="12" t="n"/>
      <c r="R3743" s="12" t="n"/>
      <c r="S3743" s="12" t="inlineStr">
        <is>
          <t>Tray</t>
        </is>
      </c>
      <c r="T3743" s="16" t="n">
        <v>0</v>
      </c>
      <c r="U3743" s="16" t="n">
        <v>284</v>
      </c>
      <c r="V3743" s="16">
        <f>ROUNDUP((T3743+U3743+2*'Read Me'!$B$13)*(1+'Read Me'!$B$12),-1)</f>
        <v/>
      </c>
      <c r="W3743" s="16">
        <f>V3743*N3743*O3743</f>
        <v/>
      </c>
      <c r="X3743" s="12">
        <f>IF(LEFT(I3743,2)="MV",2*N3743*IF(L3743="1/C",O3743,1),0)</f>
        <v/>
      </c>
      <c r="Y3743" s="12">
        <f>IF(OR(LEFT(K3743,4)="LVAX",LEFT(K3743,6)="MV15AX",LEFT(K3743,4)="CTAX",LEFT(K3743,2)="W|"),2*N3743*O3743,0)</f>
        <v/>
      </c>
      <c r="Z3743" s="12" t="inlineStr"/>
      <c r="AA3743" s="12">
        <f>N3743*O3743</f>
        <v/>
      </c>
    </row>
    <row r="3744">
      <c r="A3744" s="12" t="inlineStr">
        <is>
          <t>H-C-0049</t>
        </is>
      </c>
      <c r="B3744" s="12" t="inlineStr">
        <is>
          <t>H</t>
        </is>
      </c>
      <c r="C3744" s="12" t="inlineStr">
        <is>
          <t>BESS</t>
        </is>
      </c>
      <c r="D3744" s="12" t="inlineStr">
        <is>
          <t>Control</t>
        </is>
      </c>
      <c r="E3744" s="12" t="inlineStr"/>
      <c r="F3744" s="12" t="inlineStr">
        <is>
          <t>BESS PCS / MV skid</t>
        </is>
      </c>
      <c r="G3744" s="12" t="inlineStr"/>
      <c r="H3744" s="12" t="inlineStr">
        <is>
          <t>BESS container (ISO 40 ft high cube)</t>
        </is>
      </c>
      <c r="I3744" s="12" t="inlineStr">
        <is>
          <t>Control</t>
        </is>
      </c>
      <c r="J3744" s="12" t="inlineStr">
        <is>
          <t>Control cable 600 V Type TC-ER, Cu #14 AWG, PVC jacket</t>
        </is>
      </c>
      <c r="K3744" s="12" t="inlineStr">
        <is>
          <t>CT|7/C|14</t>
        </is>
      </c>
      <c r="L3744" s="12" t="inlineStr">
        <is>
          <t>7/C</t>
        </is>
      </c>
      <c r="M3744" s="12" t="inlineStr">
        <is>
          <t>14</t>
        </is>
      </c>
      <c r="N3744" s="12" t="n">
        <v>1</v>
      </c>
      <c r="O3744" s="12" t="n">
        <v>1</v>
      </c>
      <c r="P3744" s="12" t="n"/>
      <c r="Q3744" s="12" t="n"/>
      <c r="R3744" s="12" t="n"/>
      <c r="S3744" s="12" t="inlineStr">
        <is>
          <t>Tray</t>
        </is>
      </c>
      <c r="T3744" s="16" t="n">
        <v>0</v>
      </c>
      <c r="U3744" s="16" t="n">
        <v>284</v>
      </c>
      <c r="V3744" s="16">
        <f>ROUNDUP((T3744+U3744+2*'Read Me'!$B$13)*(1+'Read Me'!$B$12),-1)</f>
        <v/>
      </c>
      <c r="W3744" s="16">
        <f>V3744*N3744*O3744</f>
        <v/>
      </c>
      <c r="X3744" s="12">
        <f>IF(LEFT(I3744,2)="MV",2*N3744*IF(L3744="1/C",O3744,1),0)</f>
        <v/>
      </c>
      <c r="Y3744" s="12">
        <f>IF(OR(LEFT(K3744,4)="LVAX",LEFT(K3744,6)="MV15AX",LEFT(K3744,4)="CTAX",LEFT(K3744,2)="W|"),2*N3744*O3744,0)</f>
        <v/>
      </c>
      <c r="Z3744" s="12" t="inlineStr"/>
      <c r="AA3744" s="12">
        <f>N3744*O3744</f>
        <v/>
      </c>
    </row>
    <row r="3745">
      <c r="A3745" s="12" t="inlineStr">
        <is>
          <t>H-C-0050</t>
        </is>
      </c>
      <c r="B3745" s="12" t="inlineStr">
        <is>
          <t>H</t>
        </is>
      </c>
      <c r="C3745" s="12" t="inlineStr">
        <is>
          <t>BESS</t>
        </is>
      </c>
      <c r="D3745" s="12" t="inlineStr">
        <is>
          <t>Control</t>
        </is>
      </c>
      <c r="E3745" s="12" t="inlineStr"/>
      <c r="F3745" s="12" t="inlineStr">
        <is>
          <t>BESS PCS / MV skid</t>
        </is>
      </c>
      <c r="G3745" s="12" t="inlineStr"/>
      <c r="H3745" s="12" t="inlineStr">
        <is>
          <t>BESS container (ISO 40 ft high cube)</t>
        </is>
      </c>
      <c r="I3745" s="12" t="inlineStr">
        <is>
          <t>Control</t>
        </is>
      </c>
      <c r="J3745" s="12" t="inlineStr">
        <is>
          <t>Control cable 600 V Type TC-ER, Cu #14 AWG, PVC jacket</t>
        </is>
      </c>
      <c r="K3745" s="12" t="inlineStr">
        <is>
          <t>CT|7/C|14</t>
        </is>
      </c>
      <c r="L3745" s="12" t="inlineStr">
        <is>
          <t>7/C</t>
        </is>
      </c>
      <c r="M3745" s="12" t="inlineStr">
        <is>
          <t>14</t>
        </is>
      </c>
      <c r="N3745" s="12" t="n">
        <v>1</v>
      </c>
      <c r="O3745" s="12" t="n">
        <v>1</v>
      </c>
      <c r="P3745" s="12" t="n"/>
      <c r="Q3745" s="12" t="n"/>
      <c r="R3745" s="12" t="n"/>
      <c r="S3745" s="12" t="inlineStr">
        <is>
          <t>Tray</t>
        </is>
      </c>
      <c r="T3745" s="16" t="n">
        <v>0</v>
      </c>
      <c r="U3745" s="16" t="n">
        <v>290</v>
      </c>
      <c r="V3745" s="16">
        <f>ROUNDUP((T3745+U3745+2*'Read Me'!$B$13)*(1+'Read Me'!$B$12),-1)</f>
        <v/>
      </c>
      <c r="W3745" s="16">
        <f>V3745*N3745*O3745</f>
        <v/>
      </c>
      <c r="X3745" s="12">
        <f>IF(LEFT(I3745,2)="MV",2*N3745*IF(L3745="1/C",O3745,1),0)</f>
        <v/>
      </c>
      <c r="Y3745" s="12">
        <f>IF(OR(LEFT(K3745,4)="LVAX",LEFT(K3745,6)="MV15AX",LEFT(K3745,4)="CTAX",LEFT(K3745,2)="W|"),2*N3745*O3745,0)</f>
        <v/>
      </c>
      <c r="Z3745" s="12" t="inlineStr"/>
      <c r="AA3745" s="12">
        <f>N3745*O3745</f>
        <v/>
      </c>
    </row>
    <row r="3746">
      <c r="A3746" s="12" t="inlineStr">
        <is>
          <t>H-C-0051</t>
        </is>
      </c>
      <c r="B3746" s="12" t="inlineStr">
        <is>
          <t>H</t>
        </is>
      </c>
      <c r="C3746" s="12" t="inlineStr">
        <is>
          <t>BESS</t>
        </is>
      </c>
      <c r="D3746" s="12" t="inlineStr">
        <is>
          <t>Control</t>
        </is>
      </c>
      <c r="E3746" s="12" t="inlineStr"/>
      <c r="F3746" s="12" t="inlineStr">
        <is>
          <t>BESS PCS / MV skid</t>
        </is>
      </c>
      <c r="G3746" s="12" t="inlineStr"/>
      <c r="H3746" s="12" t="inlineStr">
        <is>
          <t>BESS container (ISO 40 ft high cube)</t>
        </is>
      </c>
      <c r="I3746" s="12" t="inlineStr">
        <is>
          <t>Control</t>
        </is>
      </c>
      <c r="J3746" s="12" t="inlineStr">
        <is>
          <t>Control cable 600 V Type TC-ER, Cu #14 AWG, PVC jacket</t>
        </is>
      </c>
      <c r="K3746" s="12" t="inlineStr">
        <is>
          <t>CT|7/C|14</t>
        </is>
      </c>
      <c r="L3746" s="12" t="inlineStr">
        <is>
          <t>7/C</t>
        </is>
      </c>
      <c r="M3746" s="12" t="inlineStr">
        <is>
          <t>14</t>
        </is>
      </c>
      <c r="N3746" s="12" t="n">
        <v>1</v>
      </c>
      <c r="O3746" s="12" t="n">
        <v>1</v>
      </c>
      <c r="P3746" s="12" t="n"/>
      <c r="Q3746" s="12" t="n"/>
      <c r="R3746" s="12" t="n"/>
      <c r="S3746" s="12" t="inlineStr">
        <is>
          <t>Tray</t>
        </is>
      </c>
      <c r="T3746" s="16" t="n">
        <v>0</v>
      </c>
      <c r="U3746" s="16" t="n">
        <v>290</v>
      </c>
      <c r="V3746" s="16">
        <f>ROUNDUP((T3746+U3746+2*'Read Me'!$B$13)*(1+'Read Me'!$B$12),-1)</f>
        <v/>
      </c>
      <c r="W3746" s="16">
        <f>V3746*N3746*O3746</f>
        <v/>
      </c>
      <c r="X3746" s="12">
        <f>IF(LEFT(I3746,2)="MV",2*N3746*IF(L3746="1/C",O3746,1),0)</f>
        <v/>
      </c>
      <c r="Y3746" s="12">
        <f>IF(OR(LEFT(K3746,4)="LVAX",LEFT(K3746,6)="MV15AX",LEFT(K3746,4)="CTAX",LEFT(K3746,2)="W|"),2*N3746*O3746,0)</f>
        <v/>
      </c>
      <c r="Z3746" s="12" t="inlineStr"/>
      <c r="AA3746" s="12">
        <f>N3746*O3746</f>
        <v/>
      </c>
    </row>
    <row r="3747">
      <c r="A3747" s="12" t="inlineStr">
        <is>
          <t>H-C-0052</t>
        </is>
      </c>
      <c r="B3747" s="12" t="inlineStr">
        <is>
          <t>H</t>
        </is>
      </c>
      <c r="C3747" s="12" t="inlineStr">
        <is>
          <t>BESS</t>
        </is>
      </c>
      <c r="D3747" s="12" t="inlineStr">
        <is>
          <t>Control</t>
        </is>
      </c>
      <c r="E3747" s="12" t="inlineStr"/>
      <c r="F3747" s="12" t="inlineStr">
        <is>
          <t>BESS PCS / MV skid</t>
        </is>
      </c>
      <c r="G3747" s="12" t="inlineStr"/>
      <c r="H3747" s="12" t="inlineStr">
        <is>
          <t>BESS container (ISO 40 ft high cube)</t>
        </is>
      </c>
      <c r="I3747" s="12" t="inlineStr">
        <is>
          <t>Control</t>
        </is>
      </c>
      <c r="J3747" s="12" t="inlineStr">
        <is>
          <t>Control cable 600 V Type TC-ER, Cu #14 AWG, PVC jacket</t>
        </is>
      </c>
      <c r="K3747" s="12" t="inlineStr">
        <is>
          <t>CT|7/C|14</t>
        </is>
      </c>
      <c r="L3747" s="12" t="inlineStr">
        <is>
          <t>7/C</t>
        </is>
      </c>
      <c r="M3747" s="12" t="inlineStr">
        <is>
          <t>14</t>
        </is>
      </c>
      <c r="N3747" s="12" t="n">
        <v>1</v>
      </c>
      <c r="O3747" s="12" t="n">
        <v>1</v>
      </c>
      <c r="P3747" s="12" t="n"/>
      <c r="Q3747" s="12" t="n"/>
      <c r="R3747" s="12" t="n"/>
      <c r="S3747" s="12" t="inlineStr">
        <is>
          <t>Tray</t>
        </is>
      </c>
      <c r="T3747" s="16" t="n">
        <v>0</v>
      </c>
      <c r="U3747" s="16" t="n">
        <v>290</v>
      </c>
      <c r="V3747" s="16">
        <f>ROUNDUP((T3747+U3747+2*'Read Me'!$B$13)*(1+'Read Me'!$B$12),-1)</f>
        <v/>
      </c>
      <c r="W3747" s="16">
        <f>V3747*N3747*O3747</f>
        <v/>
      </c>
      <c r="X3747" s="12">
        <f>IF(LEFT(I3747,2)="MV",2*N3747*IF(L3747="1/C",O3747,1),0)</f>
        <v/>
      </c>
      <c r="Y3747" s="12">
        <f>IF(OR(LEFT(K3747,4)="LVAX",LEFT(K3747,6)="MV15AX",LEFT(K3747,4)="CTAX",LEFT(K3747,2)="W|"),2*N3747*O3747,0)</f>
        <v/>
      </c>
      <c r="Z3747" s="12" t="inlineStr"/>
      <c r="AA3747" s="12">
        <f>N3747*O3747</f>
        <v/>
      </c>
    </row>
    <row r="3748">
      <c r="A3748" s="12" t="inlineStr">
        <is>
          <t>H-C-0053</t>
        </is>
      </c>
      <c r="B3748" s="12" t="inlineStr">
        <is>
          <t>H</t>
        </is>
      </c>
      <c r="C3748" s="12" t="inlineStr">
        <is>
          <t>BESS</t>
        </is>
      </c>
      <c r="D3748" s="12" t="inlineStr">
        <is>
          <t>Control</t>
        </is>
      </c>
      <c r="E3748" s="12" t="inlineStr"/>
      <c r="F3748" s="12" t="inlineStr">
        <is>
          <t>BESS PCS / MV skid</t>
        </is>
      </c>
      <c r="G3748" s="12" t="inlineStr"/>
      <c r="H3748" s="12" t="inlineStr">
        <is>
          <t>BESS container (ISO 40 ft high cube)</t>
        </is>
      </c>
      <c r="I3748" s="12" t="inlineStr">
        <is>
          <t>Control</t>
        </is>
      </c>
      <c r="J3748" s="12" t="inlineStr">
        <is>
          <t>Control cable 600 V Type TC-ER, Cu #14 AWG, PVC jacket</t>
        </is>
      </c>
      <c r="K3748" s="12" t="inlineStr">
        <is>
          <t>CT|7/C|14</t>
        </is>
      </c>
      <c r="L3748" s="12" t="inlineStr">
        <is>
          <t>7/C</t>
        </is>
      </c>
      <c r="M3748" s="12" t="inlineStr">
        <is>
          <t>14</t>
        </is>
      </c>
      <c r="N3748" s="12" t="n">
        <v>1</v>
      </c>
      <c r="O3748" s="12" t="n">
        <v>1</v>
      </c>
      <c r="P3748" s="12" t="n"/>
      <c r="Q3748" s="12" t="n"/>
      <c r="R3748" s="12" t="n"/>
      <c r="S3748" s="12" t="inlineStr">
        <is>
          <t>Tray</t>
        </is>
      </c>
      <c r="T3748" s="16" t="n">
        <v>0</v>
      </c>
      <c r="U3748" s="16" t="n">
        <v>290</v>
      </c>
      <c r="V3748" s="16">
        <f>ROUNDUP((T3748+U3748+2*'Read Me'!$B$13)*(1+'Read Me'!$B$12),-1)</f>
        <v/>
      </c>
      <c r="W3748" s="16">
        <f>V3748*N3748*O3748</f>
        <v/>
      </c>
      <c r="X3748" s="12">
        <f>IF(LEFT(I3748,2)="MV",2*N3748*IF(L3748="1/C",O3748,1),0)</f>
        <v/>
      </c>
      <c r="Y3748" s="12">
        <f>IF(OR(LEFT(K3748,4)="LVAX",LEFT(K3748,6)="MV15AX",LEFT(K3748,4)="CTAX",LEFT(K3748,2)="W|"),2*N3748*O3748,0)</f>
        <v/>
      </c>
      <c r="Z3748" s="12" t="inlineStr"/>
      <c r="AA3748" s="12">
        <f>N3748*O3748</f>
        <v/>
      </c>
    </row>
    <row r="3749">
      <c r="A3749" s="12" t="inlineStr">
        <is>
          <t>H-C-0054</t>
        </is>
      </c>
      <c r="B3749" s="12" t="inlineStr">
        <is>
          <t>H</t>
        </is>
      </c>
      <c r="C3749" s="12" t="inlineStr">
        <is>
          <t>BESS</t>
        </is>
      </c>
      <c r="D3749" s="12" t="inlineStr">
        <is>
          <t>Control</t>
        </is>
      </c>
      <c r="E3749" s="12" t="inlineStr"/>
      <c r="F3749" s="12" t="inlineStr">
        <is>
          <t>BESS PCS / MV skid</t>
        </is>
      </c>
      <c r="G3749" s="12" t="inlineStr"/>
      <c r="H3749" s="12" t="inlineStr">
        <is>
          <t>BESS container (ISO 40 ft high cube)</t>
        </is>
      </c>
      <c r="I3749" s="12" t="inlineStr">
        <is>
          <t>Control</t>
        </is>
      </c>
      <c r="J3749" s="12" t="inlineStr">
        <is>
          <t>Control cable 600 V Type TC-ER, Cu #14 AWG, PVC jacket</t>
        </is>
      </c>
      <c r="K3749" s="12" t="inlineStr">
        <is>
          <t>CT|7/C|14</t>
        </is>
      </c>
      <c r="L3749" s="12" t="inlineStr">
        <is>
          <t>7/C</t>
        </is>
      </c>
      <c r="M3749" s="12" t="inlineStr">
        <is>
          <t>14</t>
        </is>
      </c>
      <c r="N3749" s="12" t="n">
        <v>1</v>
      </c>
      <c r="O3749" s="12" t="n">
        <v>1</v>
      </c>
      <c r="P3749" s="12" t="n"/>
      <c r="Q3749" s="12" t="n"/>
      <c r="R3749" s="12" t="n"/>
      <c r="S3749" s="12" t="inlineStr">
        <is>
          <t>Tray</t>
        </is>
      </c>
      <c r="T3749" s="16" t="n">
        <v>0</v>
      </c>
      <c r="U3749" s="16" t="n">
        <v>290</v>
      </c>
      <c r="V3749" s="16">
        <f>ROUNDUP((T3749+U3749+2*'Read Me'!$B$13)*(1+'Read Me'!$B$12),-1)</f>
        <v/>
      </c>
      <c r="W3749" s="16">
        <f>V3749*N3749*O3749</f>
        <v/>
      </c>
      <c r="X3749" s="12">
        <f>IF(LEFT(I3749,2)="MV",2*N3749*IF(L3749="1/C",O3749,1),0)</f>
        <v/>
      </c>
      <c r="Y3749" s="12">
        <f>IF(OR(LEFT(K3749,4)="LVAX",LEFT(K3749,6)="MV15AX",LEFT(K3749,4)="CTAX",LEFT(K3749,2)="W|"),2*N3749*O3749,0)</f>
        <v/>
      </c>
      <c r="Z3749" s="12" t="inlineStr"/>
      <c r="AA3749" s="12">
        <f>N3749*O3749</f>
        <v/>
      </c>
    </row>
    <row r="3750">
      <c r="A3750" s="12" t="inlineStr">
        <is>
          <t>H-C-0055</t>
        </is>
      </c>
      <c r="B3750" s="12" t="inlineStr">
        <is>
          <t>H</t>
        </is>
      </c>
      <c r="C3750" s="12" t="inlineStr">
        <is>
          <t>BESS</t>
        </is>
      </c>
      <c r="D3750" s="12" t="inlineStr">
        <is>
          <t>Control</t>
        </is>
      </c>
      <c r="E3750" s="12" t="inlineStr"/>
      <c r="F3750" s="12" t="inlineStr">
        <is>
          <t>BESS PCS / MV skid</t>
        </is>
      </c>
      <c r="G3750" s="12" t="inlineStr"/>
      <c r="H3750" s="12" t="inlineStr">
        <is>
          <t>BESS container (ISO 40 ft high cube)</t>
        </is>
      </c>
      <c r="I3750" s="12" t="inlineStr">
        <is>
          <t>Control</t>
        </is>
      </c>
      <c r="J3750" s="12" t="inlineStr">
        <is>
          <t>Control cable 600 V Type TC-ER, Cu #14 AWG, PVC jacket</t>
        </is>
      </c>
      <c r="K3750" s="12" t="inlineStr">
        <is>
          <t>CT|7/C|14</t>
        </is>
      </c>
      <c r="L3750" s="12" t="inlineStr">
        <is>
          <t>7/C</t>
        </is>
      </c>
      <c r="M3750" s="12" t="inlineStr">
        <is>
          <t>14</t>
        </is>
      </c>
      <c r="N3750" s="12" t="n">
        <v>1</v>
      </c>
      <c r="O3750" s="12" t="n">
        <v>1</v>
      </c>
      <c r="P3750" s="12" t="n"/>
      <c r="Q3750" s="12" t="n"/>
      <c r="R3750" s="12" t="n"/>
      <c r="S3750" s="12" t="inlineStr">
        <is>
          <t>Tray</t>
        </is>
      </c>
      <c r="T3750" s="16" t="n">
        <v>0</v>
      </c>
      <c r="U3750" s="16" t="n">
        <v>290</v>
      </c>
      <c r="V3750" s="16">
        <f>ROUNDUP((T3750+U3750+2*'Read Me'!$B$13)*(1+'Read Me'!$B$12),-1)</f>
        <v/>
      </c>
      <c r="W3750" s="16">
        <f>V3750*N3750*O3750</f>
        <v/>
      </c>
      <c r="X3750" s="12">
        <f>IF(LEFT(I3750,2)="MV",2*N3750*IF(L3750="1/C",O3750,1),0)</f>
        <v/>
      </c>
      <c r="Y3750" s="12">
        <f>IF(OR(LEFT(K3750,4)="LVAX",LEFT(K3750,6)="MV15AX",LEFT(K3750,4)="CTAX",LEFT(K3750,2)="W|"),2*N3750*O3750,0)</f>
        <v/>
      </c>
      <c r="Z3750" s="12" t="inlineStr"/>
      <c r="AA3750" s="12">
        <f>N3750*O3750</f>
        <v/>
      </c>
    </row>
    <row r="3751">
      <c r="A3751" s="12" t="inlineStr">
        <is>
          <t>H-C-0056</t>
        </is>
      </c>
      <c r="B3751" s="12" t="inlineStr">
        <is>
          <t>H</t>
        </is>
      </c>
      <c r="C3751" s="12" t="inlineStr">
        <is>
          <t>BESS</t>
        </is>
      </c>
      <c r="D3751" s="12" t="inlineStr">
        <is>
          <t>Control</t>
        </is>
      </c>
      <c r="E3751" s="12" t="inlineStr"/>
      <c r="F3751" s="12" t="inlineStr">
        <is>
          <t>BESS PCS / MV skid</t>
        </is>
      </c>
      <c r="G3751" s="12" t="inlineStr"/>
      <c r="H3751" s="12" t="inlineStr">
        <is>
          <t>BESS container (ISO 40 ft high cube)</t>
        </is>
      </c>
      <c r="I3751" s="12" t="inlineStr">
        <is>
          <t>Control</t>
        </is>
      </c>
      <c r="J3751" s="12" t="inlineStr">
        <is>
          <t>Control cable 600 V Type TC-ER, Cu #14 AWG, PVC jacket</t>
        </is>
      </c>
      <c r="K3751" s="12" t="inlineStr">
        <is>
          <t>CT|7/C|14</t>
        </is>
      </c>
      <c r="L3751" s="12" t="inlineStr">
        <is>
          <t>7/C</t>
        </is>
      </c>
      <c r="M3751" s="12" t="inlineStr">
        <is>
          <t>14</t>
        </is>
      </c>
      <c r="N3751" s="12" t="n">
        <v>1</v>
      </c>
      <c r="O3751" s="12" t="n">
        <v>1</v>
      </c>
      <c r="P3751" s="12" t="n"/>
      <c r="Q3751" s="12" t="n"/>
      <c r="R3751" s="12" t="n"/>
      <c r="S3751" s="12" t="inlineStr">
        <is>
          <t>Tray</t>
        </is>
      </c>
      <c r="T3751" s="16" t="n">
        <v>0</v>
      </c>
      <c r="U3751" s="16" t="n">
        <v>174</v>
      </c>
      <c r="V3751" s="16">
        <f>ROUNDUP((T3751+U3751+2*'Read Me'!$B$13)*(1+'Read Me'!$B$12),-1)</f>
        <v/>
      </c>
      <c r="W3751" s="16">
        <f>V3751*N3751*O3751</f>
        <v/>
      </c>
      <c r="X3751" s="12">
        <f>IF(LEFT(I3751,2)="MV",2*N3751*IF(L3751="1/C",O3751,1),0)</f>
        <v/>
      </c>
      <c r="Y3751" s="12">
        <f>IF(OR(LEFT(K3751,4)="LVAX",LEFT(K3751,6)="MV15AX",LEFT(K3751,4)="CTAX",LEFT(K3751,2)="W|"),2*N3751*O3751,0)</f>
        <v/>
      </c>
      <c r="Z3751" s="12" t="inlineStr"/>
      <c r="AA3751" s="12">
        <f>N3751*O3751</f>
        <v/>
      </c>
    </row>
    <row r="3752">
      <c r="A3752" s="12" t="inlineStr">
        <is>
          <t>H-C-0057</t>
        </is>
      </c>
      <c r="B3752" s="12" t="inlineStr">
        <is>
          <t>H</t>
        </is>
      </c>
      <c r="C3752" s="12" t="inlineStr">
        <is>
          <t>BESS</t>
        </is>
      </c>
      <c r="D3752" s="12" t="inlineStr">
        <is>
          <t>Control</t>
        </is>
      </c>
      <c r="E3752" s="12" t="inlineStr"/>
      <c r="F3752" s="12" t="inlineStr">
        <is>
          <t>BESS PCS / MV skid</t>
        </is>
      </c>
      <c r="G3752" s="12" t="inlineStr"/>
      <c r="H3752" s="12" t="inlineStr">
        <is>
          <t>BESS container (ISO 40 ft high cube)</t>
        </is>
      </c>
      <c r="I3752" s="12" t="inlineStr">
        <is>
          <t>Control</t>
        </is>
      </c>
      <c r="J3752" s="12" t="inlineStr">
        <is>
          <t>Control cable 600 V Type TC-ER, Cu #14 AWG, PVC jacket</t>
        </is>
      </c>
      <c r="K3752" s="12" t="inlineStr">
        <is>
          <t>CT|7/C|14</t>
        </is>
      </c>
      <c r="L3752" s="12" t="inlineStr">
        <is>
          <t>7/C</t>
        </is>
      </c>
      <c r="M3752" s="12" t="inlineStr">
        <is>
          <t>14</t>
        </is>
      </c>
      <c r="N3752" s="12" t="n">
        <v>1</v>
      </c>
      <c r="O3752" s="12" t="n">
        <v>1</v>
      </c>
      <c r="P3752" s="12" t="n"/>
      <c r="Q3752" s="12" t="n"/>
      <c r="R3752" s="12" t="n"/>
      <c r="S3752" s="12" t="inlineStr">
        <is>
          <t>Tray</t>
        </is>
      </c>
      <c r="T3752" s="16" t="n">
        <v>0</v>
      </c>
      <c r="U3752" s="16" t="n">
        <v>174</v>
      </c>
      <c r="V3752" s="16">
        <f>ROUNDUP((T3752+U3752+2*'Read Me'!$B$13)*(1+'Read Me'!$B$12),-1)</f>
        <v/>
      </c>
      <c r="W3752" s="16">
        <f>V3752*N3752*O3752</f>
        <v/>
      </c>
      <c r="X3752" s="12">
        <f>IF(LEFT(I3752,2)="MV",2*N3752*IF(L3752="1/C",O3752,1),0)</f>
        <v/>
      </c>
      <c r="Y3752" s="12">
        <f>IF(OR(LEFT(K3752,4)="LVAX",LEFT(K3752,6)="MV15AX",LEFT(K3752,4)="CTAX",LEFT(K3752,2)="W|"),2*N3752*O3752,0)</f>
        <v/>
      </c>
      <c r="Z3752" s="12" t="inlineStr"/>
      <c r="AA3752" s="12">
        <f>N3752*O3752</f>
        <v/>
      </c>
    </row>
    <row r="3753">
      <c r="A3753" s="12" t="inlineStr">
        <is>
          <t>H-C-0058</t>
        </is>
      </c>
      <c r="B3753" s="12" t="inlineStr">
        <is>
          <t>H</t>
        </is>
      </c>
      <c r="C3753" s="12" t="inlineStr">
        <is>
          <t>BESS</t>
        </is>
      </c>
      <c r="D3753" s="12" t="inlineStr">
        <is>
          <t>Control</t>
        </is>
      </c>
      <c r="E3753" s="12" t="inlineStr"/>
      <c r="F3753" s="12" t="inlineStr">
        <is>
          <t>BESS PCS / MV skid</t>
        </is>
      </c>
      <c r="G3753" s="12" t="inlineStr"/>
      <c r="H3753" s="12" t="inlineStr">
        <is>
          <t>BESS container (ISO 40 ft high cube)</t>
        </is>
      </c>
      <c r="I3753" s="12" t="inlineStr">
        <is>
          <t>Control</t>
        </is>
      </c>
      <c r="J3753" s="12" t="inlineStr">
        <is>
          <t>Control cable 600 V Type TC-ER, Cu #14 AWG, PVC jacket</t>
        </is>
      </c>
      <c r="K3753" s="12" t="inlineStr">
        <is>
          <t>CT|7/C|14</t>
        </is>
      </c>
      <c r="L3753" s="12" t="inlineStr">
        <is>
          <t>7/C</t>
        </is>
      </c>
      <c r="M3753" s="12" t="inlineStr">
        <is>
          <t>14</t>
        </is>
      </c>
      <c r="N3753" s="12" t="n">
        <v>1</v>
      </c>
      <c r="O3753" s="12" t="n">
        <v>1</v>
      </c>
      <c r="P3753" s="12" t="n"/>
      <c r="Q3753" s="12" t="n"/>
      <c r="R3753" s="12" t="n"/>
      <c r="S3753" s="12" t="inlineStr">
        <is>
          <t>Tray</t>
        </is>
      </c>
      <c r="T3753" s="16" t="n">
        <v>0</v>
      </c>
      <c r="U3753" s="16" t="n">
        <v>174</v>
      </c>
      <c r="V3753" s="16">
        <f>ROUNDUP((T3753+U3753+2*'Read Me'!$B$13)*(1+'Read Me'!$B$12),-1)</f>
        <v/>
      </c>
      <c r="W3753" s="16">
        <f>V3753*N3753*O3753</f>
        <v/>
      </c>
      <c r="X3753" s="12">
        <f>IF(LEFT(I3753,2)="MV",2*N3753*IF(L3753="1/C",O3753,1),0)</f>
        <v/>
      </c>
      <c r="Y3753" s="12">
        <f>IF(OR(LEFT(K3753,4)="LVAX",LEFT(K3753,6)="MV15AX",LEFT(K3753,4)="CTAX",LEFT(K3753,2)="W|"),2*N3753*O3753,0)</f>
        <v/>
      </c>
      <c r="Z3753" s="12" t="inlineStr"/>
      <c r="AA3753" s="12">
        <f>N3753*O3753</f>
        <v/>
      </c>
    </row>
    <row r="3754">
      <c r="A3754" s="12" t="inlineStr">
        <is>
          <t>H-C-0059</t>
        </is>
      </c>
      <c r="B3754" s="12" t="inlineStr">
        <is>
          <t>H</t>
        </is>
      </c>
      <c r="C3754" s="12" t="inlineStr">
        <is>
          <t>BESS</t>
        </is>
      </c>
      <c r="D3754" s="12" t="inlineStr">
        <is>
          <t>Control</t>
        </is>
      </c>
      <c r="E3754" s="12" t="inlineStr"/>
      <c r="F3754" s="12" t="inlineStr">
        <is>
          <t>BESS PCS / MV skid</t>
        </is>
      </c>
      <c r="G3754" s="12" t="inlineStr"/>
      <c r="H3754" s="12" t="inlineStr">
        <is>
          <t>BESS container (ISO 40 ft high cube)</t>
        </is>
      </c>
      <c r="I3754" s="12" t="inlineStr">
        <is>
          <t>Control</t>
        </is>
      </c>
      <c r="J3754" s="12" t="inlineStr">
        <is>
          <t>Control cable 600 V Type TC-ER, Cu #14 AWG, PVC jacket</t>
        </is>
      </c>
      <c r="K3754" s="12" t="inlineStr">
        <is>
          <t>CT|7/C|14</t>
        </is>
      </c>
      <c r="L3754" s="12" t="inlineStr">
        <is>
          <t>7/C</t>
        </is>
      </c>
      <c r="M3754" s="12" t="inlineStr">
        <is>
          <t>14</t>
        </is>
      </c>
      <c r="N3754" s="12" t="n">
        <v>1</v>
      </c>
      <c r="O3754" s="12" t="n">
        <v>1</v>
      </c>
      <c r="P3754" s="12" t="n"/>
      <c r="Q3754" s="12" t="n"/>
      <c r="R3754" s="12" t="n"/>
      <c r="S3754" s="12" t="inlineStr">
        <is>
          <t>Tray</t>
        </is>
      </c>
      <c r="T3754" s="16" t="n">
        <v>0</v>
      </c>
      <c r="U3754" s="16" t="n">
        <v>174</v>
      </c>
      <c r="V3754" s="16">
        <f>ROUNDUP((T3754+U3754+2*'Read Me'!$B$13)*(1+'Read Me'!$B$12),-1)</f>
        <v/>
      </c>
      <c r="W3754" s="16">
        <f>V3754*N3754*O3754</f>
        <v/>
      </c>
      <c r="X3754" s="12">
        <f>IF(LEFT(I3754,2)="MV",2*N3754*IF(L3754="1/C",O3754,1),0)</f>
        <v/>
      </c>
      <c r="Y3754" s="12">
        <f>IF(OR(LEFT(K3754,4)="LVAX",LEFT(K3754,6)="MV15AX",LEFT(K3754,4)="CTAX",LEFT(K3754,2)="W|"),2*N3754*O3754,0)</f>
        <v/>
      </c>
      <c r="Z3754" s="12" t="inlineStr"/>
      <c r="AA3754" s="12">
        <f>N3754*O3754</f>
        <v/>
      </c>
    </row>
    <row r="3755">
      <c r="A3755" s="12" t="inlineStr">
        <is>
          <t>H-C-0060</t>
        </is>
      </c>
      <c r="B3755" s="12" t="inlineStr">
        <is>
          <t>H</t>
        </is>
      </c>
      <c r="C3755" s="12" t="inlineStr">
        <is>
          <t>BESS</t>
        </is>
      </c>
      <c r="D3755" s="12" t="inlineStr">
        <is>
          <t>Control</t>
        </is>
      </c>
      <c r="E3755" s="12" t="inlineStr"/>
      <c r="F3755" s="12" t="inlineStr">
        <is>
          <t>BESS PCS / MV skid</t>
        </is>
      </c>
      <c r="G3755" s="12" t="inlineStr"/>
      <c r="H3755" s="12" t="inlineStr">
        <is>
          <t>BESS container (ISO 40 ft high cube)</t>
        </is>
      </c>
      <c r="I3755" s="12" t="inlineStr">
        <is>
          <t>Control</t>
        </is>
      </c>
      <c r="J3755" s="12" t="inlineStr">
        <is>
          <t>Control cable 600 V Type TC-ER, Cu #14 AWG, PVC jacket</t>
        </is>
      </c>
      <c r="K3755" s="12" t="inlineStr">
        <is>
          <t>CT|7/C|14</t>
        </is>
      </c>
      <c r="L3755" s="12" t="inlineStr">
        <is>
          <t>7/C</t>
        </is>
      </c>
      <c r="M3755" s="12" t="inlineStr">
        <is>
          <t>14</t>
        </is>
      </c>
      <c r="N3755" s="12" t="n">
        <v>1</v>
      </c>
      <c r="O3755" s="12" t="n">
        <v>1</v>
      </c>
      <c r="P3755" s="12" t="n"/>
      <c r="Q3755" s="12" t="n"/>
      <c r="R3755" s="12" t="n"/>
      <c r="S3755" s="12" t="inlineStr">
        <is>
          <t>Tray</t>
        </is>
      </c>
      <c r="T3755" s="16" t="n">
        <v>0</v>
      </c>
      <c r="U3755" s="16" t="n">
        <v>174</v>
      </c>
      <c r="V3755" s="16">
        <f>ROUNDUP((T3755+U3755+2*'Read Me'!$B$13)*(1+'Read Me'!$B$12),-1)</f>
        <v/>
      </c>
      <c r="W3755" s="16">
        <f>V3755*N3755*O3755</f>
        <v/>
      </c>
      <c r="X3755" s="12">
        <f>IF(LEFT(I3755,2)="MV",2*N3755*IF(L3755="1/C",O3755,1),0)</f>
        <v/>
      </c>
      <c r="Y3755" s="12">
        <f>IF(OR(LEFT(K3755,4)="LVAX",LEFT(K3755,6)="MV15AX",LEFT(K3755,4)="CTAX",LEFT(K3755,2)="W|"),2*N3755*O3755,0)</f>
        <v/>
      </c>
      <c r="Z3755" s="12" t="inlineStr"/>
      <c r="AA3755" s="12">
        <f>N3755*O3755</f>
        <v/>
      </c>
    </row>
    <row r="3756">
      <c r="A3756" s="12" t="inlineStr">
        <is>
          <t>H-C-0061</t>
        </is>
      </c>
      <c r="B3756" s="12" t="inlineStr">
        <is>
          <t>H</t>
        </is>
      </c>
      <c r="C3756" s="12" t="inlineStr">
        <is>
          <t>BESS</t>
        </is>
      </c>
      <c r="D3756" s="12" t="inlineStr">
        <is>
          <t>Control</t>
        </is>
      </c>
      <c r="E3756" s="12" t="inlineStr"/>
      <c r="F3756" s="12" t="inlineStr">
        <is>
          <t>BESS PCS / MV skid</t>
        </is>
      </c>
      <c r="G3756" s="12" t="inlineStr"/>
      <c r="H3756" s="12" t="inlineStr">
        <is>
          <t>BESS container (ISO 40 ft high cube)</t>
        </is>
      </c>
      <c r="I3756" s="12" t="inlineStr">
        <is>
          <t>Control</t>
        </is>
      </c>
      <c r="J3756" s="12" t="inlineStr">
        <is>
          <t>Control cable 600 V Type TC-ER, Cu #14 AWG, PVC jacket</t>
        </is>
      </c>
      <c r="K3756" s="12" t="inlineStr">
        <is>
          <t>CT|7/C|14</t>
        </is>
      </c>
      <c r="L3756" s="12" t="inlineStr">
        <is>
          <t>7/C</t>
        </is>
      </c>
      <c r="M3756" s="12" t="inlineStr">
        <is>
          <t>14</t>
        </is>
      </c>
      <c r="N3756" s="12" t="n">
        <v>1</v>
      </c>
      <c r="O3756" s="12" t="n">
        <v>1</v>
      </c>
      <c r="P3756" s="12" t="n"/>
      <c r="Q3756" s="12" t="n"/>
      <c r="R3756" s="12" t="n"/>
      <c r="S3756" s="12" t="inlineStr">
        <is>
          <t>Tray</t>
        </is>
      </c>
      <c r="T3756" s="16" t="n">
        <v>0</v>
      </c>
      <c r="U3756" s="16" t="n">
        <v>174</v>
      </c>
      <c r="V3756" s="16">
        <f>ROUNDUP((T3756+U3756+2*'Read Me'!$B$13)*(1+'Read Me'!$B$12),-1)</f>
        <v/>
      </c>
      <c r="W3756" s="16">
        <f>V3756*N3756*O3756</f>
        <v/>
      </c>
      <c r="X3756" s="12">
        <f>IF(LEFT(I3756,2)="MV",2*N3756*IF(L3756="1/C",O3756,1),0)</f>
        <v/>
      </c>
      <c r="Y3756" s="12">
        <f>IF(OR(LEFT(K3756,4)="LVAX",LEFT(K3756,6)="MV15AX",LEFT(K3756,4)="CTAX",LEFT(K3756,2)="W|"),2*N3756*O3756,0)</f>
        <v/>
      </c>
      <c r="Z3756" s="12" t="inlineStr"/>
      <c r="AA3756" s="12">
        <f>N3756*O3756</f>
        <v/>
      </c>
    </row>
    <row r="3757">
      <c r="A3757" s="12" t="inlineStr">
        <is>
          <t>H-C-0062</t>
        </is>
      </c>
      <c r="B3757" s="12" t="inlineStr">
        <is>
          <t>H</t>
        </is>
      </c>
      <c r="C3757" s="12" t="inlineStr">
        <is>
          <t>BESS</t>
        </is>
      </c>
      <c r="D3757" s="12" t="inlineStr">
        <is>
          <t>Control</t>
        </is>
      </c>
      <c r="E3757" s="12" t="inlineStr"/>
      <c r="F3757" s="12" t="inlineStr">
        <is>
          <t>BESS PCS / MV skid</t>
        </is>
      </c>
      <c r="G3757" s="12" t="inlineStr"/>
      <c r="H3757" s="12" t="inlineStr">
        <is>
          <t>BESS container (ISO 40 ft high cube)</t>
        </is>
      </c>
      <c r="I3757" s="12" t="inlineStr">
        <is>
          <t>Control</t>
        </is>
      </c>
      <c r="J3757" s="12" t="inlineStr">
        <is>
          <t>Control cable 600 V Type TC-ER, Cu #14 AWG, PVC jacket</t>
        </is>
      </c>
      <c r="K3757" s="12" t="inlineStr">
        <is>
          <t>CT|7/C|14</t>
        </is>
      </c>
      <c r="L3757" s="12" t="inlineStr">
        <is>
          <t>7/C</t>
        </is>
      </c>
      <c r="M3757" s="12" t="inlineStr">
        <is>
          <t>14</t>
        </is>
      </c>
      <c r="N3757" s="12" t="n">
        <v>1</v>
      </c>
      <c r="O3757" s="12" t="n">
        <v>1</v>
      </c>
      <c r="P3757" s="12" t="n"/>
      <c r="Q3757" s="12" t="n"/>
      <c r="R3757" s="12" t="n"/>
      <c r="S3757" s="12" t="inlineStr">
        <is>
          <t>Tray</t>
        </is>
      </c>
      <c r="T3757" s="16" t="n">
        <v>0</v>
      </c>
      <c r="U3757" s="16" t="n">
        <v>62</v>
      </c>
      <c r="V3757" s="16">
        <f>ROUNDUP((T3757+U3757+2*'Read Me'!$B$13)*(1+'Read Me'!$B$12),-1)</f>
        <v/>
      </c>
      <c r="W3757" s="16">
        <f>V3757*N3757*O3757</f>
        <v/>
      </c>
      <c r="X3757" s="12">
        <f>IF(LEFT(I3757,2)="MV",2*N3757*IF(L3757="1/C",O3757,1),0)</f>
        <v/>
      </c>
      <c r="Y3757" s="12">
        <f>IF(OR(LEFT(K3757,4)="LVAX",LEFT(K3757,6)="MV15AX",LEFT(K3757,4)="CTAX",LEFT(K3757,2)="W|"),2*N3757*O3757,0)</f>
        <v/>
      </c>
      <c r="Z3757" s="12" t="inlineStr"/>
      <c r="AA3757" s="12">
        <f>N3757*O3757</f>
        <v/>
      </c>
    </row>
    <row r="3758">
      <c r="A3758" s="12" t="inlineStr">
        <is>
          <t>H-C-0063</t>
        </is>
      </c>
      <c r="B3758" s="12" t="inlineStr">
        <is>
          <t>H</t>
        </is>
      </c>
      <c r="C3758" s="12" t="inlineStr">
        <is>
          <t>BESS</t>
        </is>
      </c>
      <c r="D3758" s="12" t="inlineStr">
        <is>
          <t>Control</t>
        </is>
      </c>
      <c r="E3758" s="12" t="inlineStr"/>
      <c r="F3758" s="12" t="inlineStr">
        <is>
          <t>BESS PCS / MV skid</t>
        </is>
      </c>
      <c r="G3758" s="12" t="inlineStr"/>
      <c r="H3758" s="12" t="inlineStr">
        <is>
          <t>BESS container (ISO 40 ft high cube)</t>
        </is>
      </c>
      <c r="I3758" s="12" t="inlineStr">
        <is>
          <t>Control</t>
        </is>
      </c>
      <c r="J3758" s="12" t="inlineStr">
        <is>
          <t>Control cable 600 V Type TC-ER, Cu #14 AWG, PVC jacket</t>
        </is>
      </c>
      <c r="K3758" s="12" t="inlineStr">
        <is>
          <t>CT|7/C|14</t>
        </is>
      </c>
      <c r="L3758" s="12" t="inlineStr">
        <is>
          <t>7/C</t>
        </is>
      </c>
      <c r="M3758" s="12" t="inlineStr">
        <is>
          <t>14</t>
        </is>
      </c>
      <c r="N3758" s="12" t="n">
        <v>1</v>
      </c>
      <c r="O3758" s="12" t="n">
        <v>1</v>
      </c>
      <c r="P3758" s="12" t="n"/>
      <c r="Q3758" s="12" t="n"/>
      <c r="R3758" s="12" t="n"/>
      <c r="S3758" s="12" t="inlineStr">
        <is>
          <t>Tray</t>
        </is>
      </c>
      <c r="T3758" s="16" t="n">
        <v>0</v>
      </c>
      <c r="U3758" s="16" t="n">
        <v>62</v>
      </c>
      <c r="V3758" s="16">
        <f>ROUNDUP((T3758+U3758+2*'Read Me'!$B$13)*(1+'Read Me'!$B$12),-1)</f>
        <v/>
      </c>
      <c r="W3758" s="16">
        <f>V3758*N3758*O3758</f>
        <v/>
      </c>
      <c r="X3758" s="12">
        <f>IF(LEFT(I3758,2)="MV",2*N3758*IF(L3758="1/C",O3758,1),0)</f>
        <v/>
      </c>
      <c r="Y3758" s="12">
        <f>IF(OR(LEFT(K3758,4)="LVAX",LEFT(K3758,6)="MV15AX",LEFT(K3758,4)="CTAX",LEFT(K3758,2)="W|"),2*N3758*O3758,0)</f>
        <v/>
      </c>
      <c r="Z3758" s="12" t="inlineStr"/>
      <c r="AA3758" s="12">
        <f>N3758*O3758</f>
        <v/>
      </c>
    </row>
    <row r="3759">
      <c r="A3759" s="12" t="inlineStr">
        <is>
          <t>H-C-0064</t>
        </is>
      </c>
      <c r="B3759" s="12" t="inlineStr">
        <is>
          <t>H</t>
        </is>
      </c>
      <c r="C3759" s="12" t="inlineStr">
        <is>
          <t>BESS</t>
        </is>
      </c>
      <c r="D3759" s="12" t="inlineStr">
        <is>
          <t>Control</t>
        </is>
      </c>
      <c r="E3759" s="12" t="inlineStr"/>
      <c r="F3759" s="12" t="inlineStr">
        <is>
          <t>BESS PCS / MV skid</t>
        </is>
      </c>
      <c r="G3759" s="12" t="inlineStr"/>
      <c r="H3759" s="12" t="inlineStr">
        <is>
          <t>BESS container (ISO 40 ft high cube)</t>
        </is>
      </c>
      <c r="I3759" s="12" t="inlineStr">
        <is>
          <t>Control</t>
        </is>
      </c>
      <c r="J3759" s="12" t="inlineStr">
        <is>
          <t>Control cable 600 V Type TC-ER, Cu #14 AWG, PVC jacket</t>
        </is>
      </c>
      <c r="K3759" s="12" t="inlineStr">
        <is>
          <t>CT|7/C|14</t>
        </is>
      </c>
      <c r="L3759" s="12" t="inlineStr">
        <is>
          <t>7/C</t>
        </is>
      </c>
      <c r="M3759" s="12" t="inlineStr">
        <is>
          <t>14</t>
        </is>
      </c>
      <c r="N3759" s="12" t="n">
        <v>1</v>
      </c>
      <c r="O3759" s="12" t="n">
        <v>1</v>
      </c>
      <c r="P3759" s="12" t="n"/>
      <c r="Q3759" s="12" t="n"/>
      <c r="R3759" s="12" t="n"/>
      <c r="S3759" s="12" t="inlineStr">
        <is>
          <t>Tray</t>
        </is>
      </c>
      <c r="T3759" s="16" t="n">
        <v>0</v>
      </c>
      <c r="U3759" s="16" t="n">
        <v>62</v>
      </c>
      <c r="V3759" s="16">
        <f>ROUNDUP((T3759+U3759+2*'Read Me'!$B$13)*(1+'Read Me'!$B$12),-1)</f>
        <v/>
      </c>
      <c r="W3759" s="16">
        <f>V3759*N3759*O3759</f>
        <v/>
      </c>
      <c r="X3759" s="12">
        <f>IF(LEFT(I3759,2)="MV",2*N3759*IF(L3759="1/C",O3759,1),0)</f>
        <v/>
      </c>
      <c r="Y3759" s="12">
        <f>IF(OR(LEFT(K3759,4)="LVAX",LEFT(K3759,6)="MV15AX",LEFT(K3759,4)="CTAX",LEFT(K3759,2)="W|"),2*N3759*O3759,0)</f>
        <v/>
      </c>
      <c r="Z3759" s="12" t="inlineStr"/>
      <c r="AA3759" s="12">
        <f>N3759*O3759</f>
        <v/>
      </c>
    </row>
    <row r="3760">
      <c r="A3760" s="12" t="inlineStr">
        <is>
          <t>H-C-0065</t>
        </is>
      </c>
      <c r="B3760" s="12" t="inlineStr">
        <is>
          <t>H</t>
        </is>
      </c>
      <c r="C3760" s="12" t="inlineStr">
        <is>
          <t>BESS</t>
        </is>
      </c>
      <c r="D3760" s="12" t="inlineStr">
        <is>
          <t>Control</t>
        </is>
      </c>
      <c r="E3760" s="12" t="inlineStr"/>
      <c r="F3760" s="12" t="inlineStr">
        <is>
          <t>BESS PCS / MV skid</t>
        </is>
      </c>
      <c r="G3760" s="12" t="inlineStr"/>
      <c r="H3760" s="12" t="inlineStr">
        <is>
          <t>BESS container (ISO 40 ft high cube)</t>
        </is>
      </c>
      <c r="I3760" s="12" t="inlineStr">
        <is>
          <t>Control</t>
        </is>
      </c>
      <c r="J3760" s="12" t="inlineStr">
        <is>
          <t>Control cable 600 V Type TC-ER, Cu #14 AWG, PVC jacket</t>
        </is>
      </c>
      <c r="K3760" s="12" t="inlineStr">
        <is>
          <t>CT|7/C|14</t>
        </is>
      </c>
      <c r="L3760" s="12" t="inlineStr">
        <is>
          <t>7/C</t>
        </is>
      </c>
      <c r="M3760" s="12" t="inlineStr">
        <is>
          <t>14</t>
        </is>
      </c>
      <c r="N3760" s="12" t="n">
        <v>1</v>
      </c>
      <c r="O3760" s="12" t="n">
        <v>1</v>
      </c>
      <c r="P3760" s="12" t="n"/>
      <c r="Q3760" s="12" t="n"/>
      <c r="R3760" s="12" t="n"/>
      <c r="S3760" s="12" t="inlineStr">
        <is>
          <t>Tray</t>
        </is>
      </c>
      <c r="T3760" s="16" t="n">
        <v>0</v>
      </c>
      <c r="U3760" s="16" t="n">
        <v>62</v>
      </c>
      <c r="V3760" s="16">
        <f>ROUNDUP((T3760+U3760+2*'Read Me'!$B$13)*(1+'Read Me'!$B$12),-1)</f>
        <v/>
      </c>
      <c r="W3760" s="16">
        <f>V3760*N3760*O3760</f>
        <v/>
      </c>
      <c r="X3760" s="12">
        <f>IF(LEFT(I3760,2)="MV",2*N3760*IF(L3760="1/C",O3760,1),0)</f>
        <v/>
      </c>
      <c r="Y3760" s="12">
        <f>IF(OR(LEFT(K3760,4)="LVAX",LEFT(K3760,6)="MV15AX",LEFT(K3760,4)="CTAX",LEFT(K3760,2)="W|"),2*N3760*O3760,0)</f>
        <v/>
      </c>
      <c r="Z3760" s="12" t="inlineStr"/>
      <c r="AA3760" s="12">
        <f>N3760*O3760</f>
        <v/>
      </c>
    </row>
    <row r="3761">
      <c r="A3761" s="12" t="inlineStr">
        <is>
          <t>H-C-0066</t>
        </is>
      </c>
      <c r="B3761" s="12" t="inlineStr">
        <is>
          <t>H</t>
        </is>
      </c>
      <c r="C3761" s="12" t="inlineStr">
        <is>
          <t>BESS</t>
        </is>
      </c>
      <c r="D3761" s="12" t="inlineStr">
        <is>
          <t>Control</t>
        </is>
      </c>
      <c r="E3761" s="12" t="inlineStr"/>
      <c r="F3761" s="12" t="inlineStr">
        <is>
          <t>BESS PCS / MV skid</t>
        </is>
      </c>
      <c r="G3761" s="12" t="inlineStr"/>
      <c r="H3761" s="12" t="inlineStr">
        <is>
          <t>BESS container (ISO 40 ft high cube)</t>
        </is>
      </c>
      <c r="I3761" s="12" t="inlineStr">
        <is>
          <t>Control</t>
        </is>
      </c>
      <c r="J3761" s="12" t="inlineStr">
        <is>
          <t>Control cable 600 V Type TC-ER, Cu #14 AWG, PVC jacket</t>
        </is>
      </c>
      <c r="K3761" s="12" t="inlineStr">
        <is>
          <t>CT|7/C|14</t>
        </is>
      </c>
      <c r="L3761" s="12" t="inlineStr">
        <is>
          <t>7/C</t>
        </is>
      </c>
      <c r="M3761" s="12" t="inlineStr">
        <is>
          <t>14</t>
        </is>
      </c>
      <c r="N3761" s="12" t="n">
        <v>1</v>
      </c>
      <c r="O3761" s="12" t="n">
        <v>1</v>
      </c>
      <c r="P3761" s="12" t="n"/>
      <c r="Q3761" s="12" t="n"/>
      <c r="R3761" s="12" t="n"/>
      <c r="S3761" s="12" t="inlineStr">
        <is>
          <t>Tray</t>
        </is>
      </c>
      <c r="T3761" s="16" t="n">
        <v>0</v>
      </c>
      <c r="U3761" s="16" t="n">
        <v>62</v>
      </c>
      <c r="V3761" s="16">
        <f>ROUNDUP((T3761+U3761+2*'Read Me'!$B$13)*(1+'Read Me'!$B$12),-1)</f>
        <v/>
      </c>
      <c r="W3761" s="16">
        <f>V3761*N3761*O3761</f>
        <v/>
      </c>
      <c r="X3761" s="12">
        <f>IF(LEFT(I3761,2)="MV",2*N3761*IF(L3761="1/C",O3761,1),0)</f>
        <v/>
      </c>
      <c r="Y3761" s="12">
        <f>IF(OR(LEFT(K3761,4)="LVAX",LEFT(K3761,6)="MV15AX",LEFT(K3761,4)="CTAX",LEFT(K3761,2)="W|"),2*N3761*O3761,0)</f>
        <v/>
      </c>
      <c r="Z3761" s="12" t="inlineStr"/>
      <c r="AA3761" s="12">
        <f>N3761*O3761</f>
        <v/>
      </c>
    </row>
    <row r="3762">
      <c r="A3762" s="12" t="inlineStr">
        <is>
          <t>H-C-0067</t>
        </is>
      </c>
      <c r="B3762" s="12" t="inlineStr">
        <is>
          <t>H</t>
        </is>
      </c>
      <c r="C3762" s="12" t="inlineStr">
        <is>
          <t>BESS</t>
        </is>
      </c>
      <c r="D3762" s="12" t="inlineStr">
        <is>
          <t>Control</t>
        </is>
      </c>
      <c r="E3762" s="12" t="inlineStr"/>
      <c r="F3762" s="12" t="inlineStr">
        <is>
          <t>BESS PCS / MV skid</t>
        </is>
      </c>
      <c r="G3762" s="12" t="inlineStr"/>
      <c r="H3762" s="12" t="inlineStr">
        <is>
          <t>BESS container (ISO 40 ft high cube)</t>
        </is>
      </c>
      <c r="I3762" s="12" t="inlineStr">
        <is>
          <t>Control</t>
        </is>
      </c>
      <c r="J3762" s="12" t="inlineStr">
        <is>
          <t>Control cable 600 V Type TC-ER, Cu #14 AWG, PVC jacket</t>
        </is>
      </c>
      <c r="K3762" s="12" t="inlineStr">
        <is>
          <t>CT|7/C|14</t>
        </is>
      </c>
      <c r="L3762" s="12" t="inlineStr">
        <is>
          <t>7/C</t>
        </is>
      </c>
      <c r="M3762" s="12" t="inlineStr">
        <is>
          <t>14</t>
        </is>
      </c>
      <c r="N3762" s="12" t="n">
        <v>1</v>
      </c>
      <c r="O3762" s="12" t="n">
        <v>1</v>
      </c>
      <c r="P3762" s="12" t="n"/>
      <c r="Q3762" s="12" t="n"/>
      <c r="R3762" s="12" t="n"/>
      <c r="S3762" s="12" t="inlineStr">
        <is>
          <t>Tray</t>
        </is>
      </c>
      <c r="T3762" s="16" t="n">
        <v>0</v>
      </c>
      <c r="U3762" s="16" t="n">
        <v>62</v>
      </c>
      <c r="V3762" s="16">
        <f>ROUNDUP((T3762+U3762+2*'Read Me'!$B$13)*(1+'Read Me'!$B$12),-1)</f>
        <v/>
      </c>
      <c r="W3762" s="16">
        <f>V3762*N3762*O3762</f>
        <v/>
      </c>
      <c r="X3762" s="12">
        <f>IF(LEFT(I3762,2)="MV",2*N3762*IF(L3762="1/C",O3762,1),0)</f>
        <v/>
      </c>
      <c r="Y3762" s="12">
        <f>IF(OR(LEFT(K3762,4)="LVAX",LEFT(K3762,6)="MV15AX",LEFT(K3762,4)="CTAX",LEFT(K3762,2)="W|"),2*N3762*O3762,0)</f>
        <v/>
      </c>
      <c r="Z3762" s="12" t="inlineStr"/>
      <c r="AA3762" s="12">
        <f>N3762*O3762</f>
        <v/>
      </c>
    </row>
    <row r="3763">
      <c r="A3763" s="12" t="inlineStr">
        <is>
          <t>H-C-0068</t>
        </is>
      </c>
      <c r="B3763" s="12" t="inlineStr">
        <is>
          <t>H</t>
        </is>
      </c>
      <c r="C3763" s="12" t="inlineStr">
        <is>
          <t>BESS</t>
        </is>
      </c>
      <c r="D3763" s="12" t="inlineStr">
        <is>
          <t>Motor 1 of 6: control / local station</t>
        </is>
      </c>
      <c r="E3763" s="12" t="inlineStr"/>
      <c r="F3763" s="12" t="inlineStr">
        <is>
          <t>BESS auxiliary transformer</t>
        </is>
      </c>
      <c r="G3763" s="12" t="inlineStr">
        <is>
          <t>BESS MPT</t>
        </is>
      </c>
      <c r="H3763" s="12" t="inlineStr">
        <is>
          <t>BESS main power transformer 34.5/230 kV (to D4 upper)</t>
        </is>
      </c>
      <c r="I3763" s="12" t="inlineStr">
        <is>
          <t>Control</t>
        </is>
      </c>
      <c r="J3763" s="12" t="inlineStr">
        <is>
          <t>Control cable 600 V Type TC-ER, Cu #14 AWG, PVC jacket</t>
        </is>
      </c>
      <c r="K3763" s="12" t="inlineStr">
        <is>
          <t>CT|7/C|14</t>
        </is>
      </c>
      <c r="L3763" s="12" t="inlineStr">
        <is>
          <t>7/C</t>
        </is>
      </c>
      <c r="M3763" s="12" t="inlineStr">
        <is>
          <t>14</t>
        </is>
      </c>
      <c r="N3763" s="12" t="n">
        <v>1</v>
      </c>
      <c r="O3763" s="12" t="n">
        <v>1</v>
      </c>
      <c r="P3763" s="12" t="n"/>
      <c r="Q3763" s="12" t="n"/>
      <c r="R3763" s="12" t="n"/>
      <c r="S3763" s="12" t="inlineStr">
        <is>
          <t>Duct bank</t>
        </is>
      </c>
      <c r="T3763" s="16" t="n">
        <v>180</v>
      </c>
      <c r="U3763" s="16" t="n">
        <v>32</v>
      </c>
      <c r="V3763" s="16">
        <f>ROUNDUP((T3763+U3763+2*'Read Me'!$B$13)*(1+'Read Me'!$B$12),-1)</f>
        <v/>
      </c>
      <c r="W3763" s="16">
        <f>V3763*N3763*O3763</f>
        <v/>
      </c>
      <c r="X3763" s="12">
        <f>IF(LEFT(I3763,2)="MV",2*N3763*IF(L3763="1/C",O3763,1),0)</f>
        <v/>
      </c>
      <c r="Y3763" s="12">
        <f>IF(OR(LEFT(K3763,4)="LVAX",LEFT(K3763,6)="MV15AX",LEFT(K3763,4)="CTAX",LEFT(K3763,2)="W|"),2*N3763*O3763,0)</f>
        <v/>
      </c>
      <c r="Z3763" s="12" t="inlineStr"/>
      <c r="AA3763" s="12">
        <f>N3763*O3763</f>
        <v/>
      </c>
    </row>
    <row r="3764">
      <c r="A3764" s="12" t="inlineStr">
        <is>
          <t>H-C-0069</t>
        </is>
      </c>
      <c r="B3764" s="12" t="inlineStr">
        <is>
          <t>H</t>
        </is>
      </c>
      <c r="C3764" s="12" t="inlineStr">
        <is>
          <t>BESS</t>
        </is>
      </c>
      <c r="D3764" s="12" t="inlineStr">
        <is>
          <t>Motor 2 of 6: control / local station</t>
        </is>
      </c>
      <c r="E3764" s="12" t="inlineStr"/>
      <c r="F3764" s="12" t="inlineStr">
        <is>
          <t>BESS auxiliary transformer</t>
        </is>
      </c>
      <c r="G3764" s="12" t="inlineStr">
        <is>
          <t>BESS MPT</t>
        </is>
      </c>
      <c r="H3764" s="12" t="inlineStr">
        <is>
          <t>BESS main power transformer 34.5/230 kV (to D4 upper)</t>
        </is>
      </c>
      <c r="I3764" s="12" t="inlineStr">
        <is>
          <t>Control</t>
        </is>
      </c>
      <c r="J3764" s="12" t="inlineStr">
        <is>
          <t>Control cable 600 V Type TC-ER, Cu #14 AWG, PVC jacket</t>
        </is>
      </c>
      <c r="K3764" s="12" t="inlineStr">
        <is>
          <t>CT|7/C|14</t>
        </is>
      </c>
      <c r="L3764" s="12" t="inlineStr">
        <is>
          <t>7/C</t>
        </is>
      </c>
      <c r="M3764" s="12" t="inlineStr">
        <is>
          <t>14</t>
        </is>
      </c>
      <c r="N3764" s="12" t="n">
        <v>1</v>
      </c>
      <c r="O3764" s="12" t="n">
        <v>1</v>
      </c>
      <c r="P3764" s="12" t="n"/>
      <c r="Q3764" s="12" t="n"/>
      <c r="R3764" s="12" t="n"/>
      <c r="S3764" s="12" t="inlineStr">
        <is>
          <t>Duct bank</t>
        </is>
      </c>
      <c r="T3764" s="16" t="n">
        <v>180</v>
      </c>
      <c r="U3764" s="16" t="n">
        <v>32</v>
      </c>
      <c r="V3764" s="16">
        <f>ROUNDUP((T3764+U3764+2*'Read Me'!$B$13)*(1+'Read Me'!$B$12),-1)</f>
        <v/>
      </c>
      <c r="W3764" s="16">
        <f>V3764*N3764*O3764</f>
        <v/>
      </c>
      <c r="X3764" s="12">
        <f>IF(LEFT(I3764,2)="MV",2*N3764*IF(L3764="1/C",O3764,1),0)</f>
        <v/>
      </c>
      <c r="Y3764" s="12">
        <f>IF(OR(LEFT(K3764,4)="LVAX",LEFT(K3764,6)="MV15AX",LEFT(K3764,4)="CTAX",LEFT(K3764,2)="W|"),2*N3764*O3764,0)</f>
        <v/>
      </c>
      <c r="Z3764" s="12" t="inlineStr"/>
      <c r="AA3764" s="12">
        <f>N3764*O3764</f>
        <v/>
      </c>
    </row>
    <row r="3765">
      <c r="A3765" s="12" t="inlineStr">
        <is>
          <t>H-C-0070</t>
        </is>
      </c>
      <c r="B3765" s="12" t="inlineStr">
        <is>
          <t>H</t>
        </is>
      </c>
      <c r="C3765" s="12" t="inlineStr">
        <is>
          <t>BESS</t>
        </is>
      </c>
      <c r="D3765" s="12" t="inlineStr">
        <is>
          <t>Motor 3 of 6: control / local station</t>
        </is>
      </c>
      <c r="E3765" s="12" t="inlineStr"/>
      <c r="F3765" s="12" t="inlineStr">
        <is>
          <t>BESS auxiliary transformer</t>
        </is>
      </c>
      <c r="G3765" s="12" t="inlineStr">
        <is>
          <t>BESS MPT</t>
        </is>
      </c>
      <c r="H3765" s="12" t="inlineStr">
        <is>
          <t>BESS main power transformer 34.5/230 kV (to D4 upper)</t>
        </is>
      </c>
      <c r="I3765" s="12" t="inlineStr">
        <is>
          <t>Control</t>
        </is>
      </c>
      <c r="J3765" s="12" t="inlineStr">
        <is>
          <t>Control cable 600 V Type TC-ER, Cu #14 AWG, PVC jacket</t>
        </is>
      </c>
      <c r="K3765" s="12" t="inlineStr">
        <is>
          <t>CT|7/C|14</t>
        </is>
      </c>
      <c r="L3765" s="12" t="inlineStr">
        <is>
          <t>7/C</t>
        </is>
      </c>
      <c r="M3765" s="12" t="inlineStr">
        <is>
          <t>14</t>
        </is>
      </c>
      <c r="N3765" s="12" t="n">
        <v>1</v>
      </c>
      <c r="O3765" s="12" t="n">
        <v>1</v>
      </c>
      <c r="P3765" s="12" t="n"/>
      <c r="Q3765" s="12" t="n"/>
      <c r="R3765" s="12" t="n"/>
      <c r="S3765" s="12" t="inlineStr">
        <is>
          <t>Duct bank</t>
        </is>
      </c>
      <c r="T3765" s="16" t="n">
        <v>180</v>
      </c>
      <c r="U3765" s="16" t="n">
        <v>32</v>
      </c>
      <c r="V3765" s="16">
        <f>ROUNDUP((T3765+U3765+2*'Read Me'!$B$13)*(1+'Read Me'!$B$12),-1)</f>
        <v/>
      </c>
      <c r="W3765" s="16">
        <f>V3765*N3765*O3765</f>
        <v/>
      </c>
      <c r="X3765" s="12">
        <f>IF(LEFT(I3765,2)="MV",2*N3765*IF(L3765="1/C",O3765,1),0)</f>
        <v/>
      </c>
      <c r="Y3765" s="12">
        <f>IF(OR(LEFT(K3765,4)="LVAX",LEFT(K3765,6)="MV15AX",LEFT(K3765,4)="CTAX",LEFT(K3765,2)="W|"),2*N3765*O3765,0)</f>
        <v/>
      </c>
      <c r="Z3765" s="12" t="inlineStr"/>
      <c r="AA3765" s="12">
        <f>N3765*O3765</f>
        <v/>
      </c>
    </row>
    <row r="3766">
      <c r="A3766" s="12" t="inlineStr">
        <is>
          <t>H-C-0071</t>
        </is>
      </c>
      <c r="B3766" s="12" t="inlineStr">
        <is>
          <t>H</t>
        </is>
      </c>
      <c r="C3766" s="12" t="inlineStr">
        <is>
          <t>BESS</t>
        </is>
      </c>
      <c r="D3766" s="12" t="inlineStr">
        <is>
          <t>Motor 4 of 6: control / local station</t>
        </is>
      </c>
      <c r="E3766" s="12" t="inlineStr"/>
      <c r="F3766" s="12" t="inlineStr">
        <is>
          <t>BESS auxiliary transformer</t>
        </is>
      </c>
      <c r="G3766" s="12" t="inlineStr">
        <is>
          <t>BESS MPT</t>
        </is>
      </c>
      <c r="H3766" s="12" t="inlineStr">
        <is>
          <t>BESS main power transformer 34.5/230 kV (to D4 upper)</t>
        </is>
      </c>
      <c r="I3766" s="12" t="inlineStr">
        <is>
          <t>Control</t>
        </is>
      </c>
      <c r="J3766" s="12" t="inlineStr">
        <is>
          <t>Control cable 600 V Type TC-ER, Cu #14 AWG, PVC jacket</t>
        </is>
      </c>
      <c r="K3766" s="12" t="inlineStr">
        <is>
          <t>CT|7/C|14</t>
        </is>
      </c>
      <c r="L3766" s="12" t="inlineStr">
        <is>
          <t>7/C</t>
        </is>
      </c>
      <c r="M3766" s="12" t="inlineStr">
        <is>
          <t>14</t>
        </is>
      </c>
      <c r="N3766" s="12" t="n">
        <v>1</v>
      </c>
      <c r="O3766" s="12" t="n">
        <v>1</v>
      </c>
      <c r="P3766" s="12" t="n"/>
      <c r="Q3766" s="12" t="n"/>
      <c r="R3766" s="12" t="n"/>
      <c r="S3766" s="12" t="inlineStr">
        <is>
          <t>Duct bank</t>
        </is>
      </c>
      <c r="T3766" s="16" t="n">
        <v>180</v>
      </c>
      <c r="U3766" s="16" t="n">
        <v>32</v>
      </c>
      <c r="V3766" s="16">
        <f>ROUNDUP((T3766+U3766+2*'Read Me'!$B$13)*(1+'Read Me'!$B$12),-1)</f>
        <v/>
      </c>
      <c r="W3766" s="16">
        <f>V3766*N3766*O3766</f>
        <v/>
      </c>
      <c r="X3766" s="12">
        <f>IF(LEFT(I3766,2)="MV",2*N3766*IF(L3766="1/C",O3766,1),0)</f>
        <v/>
      </c>
      <c r="Y3766" s="12">
        <f>IF(OR(LEFT(K3766,4)="LVAX",LEFT(K3766,6)="MV15AX",LEFT(K3766,4)="CTAX",LEFT(K3766,2)="W|"),2*N3766*O3766,0)</f>
        <v/>
      </c>
      <c r="Z3766" s="12" t="inlineStr"/>
      <c r="AA3766" s="12">
        <f>N3766*O3766</f>
        <v/>
      </c>
    </row>
    <row r="3767">
      <c r="A3767" s="12" t="inlineStr">
        <is>
          <t>H-C-0072</t>
        </is>
      </c>
      <c r="B3767" s="12" t="inlineStr">
        <is>
          <t>H</t>
        </is>
      </c>
      <c r="C3767" s="12" t="inlineStr">
        <is>
          <t>BESS</t>
        </is>
      </c>
      <c r="D3767" s="12" t="inlineStr">
        <is>
          <t>Motor 5 of 6: control / local station</t>
        </is>
      </c>
      <c r="E3767" s="12" t="inlineStr"/>
      <c r="F3767" s="12" t="inlineStr">
        <is>
          <t>BESS auxiliary transformer</t>
        </is>
      </c>
      <c r="G3767" s="12" t="inlineStr">
        <is>
          <t>BESS MPT</t>
        </is>
      </c>
      <c r="H3767" s="12" t="inlineStr">
        <is>
          <t>BESS main power transformer 34.5/230 kV (to D4 upper)</t>
        </is>
      </c>
      <c r="I3767" s="12" t="inlineStr">
        <is>
          <t>Control</t>
        </is>
      </c>
      <c r="J3767" s="12" t="inlineStr">
        <is>
          <t>Control cable 600 V Type TC-ER, Cu #14 AWG, PVC jacket</t>
        </is>
      </c>
      <c r="K3767" s="12" t="inlineStr">
        <is>
          <t>CT|7/C|14</t>
        </is>
      </c>
      <c r="L3767" s="12" t="inlineStr">
        <is>
          <t>7/C</t>
        </is>
      </c>
      <c r="M3767" s="12" t="inlineStr">
        <is>
          <t>14</t>
        </is>
      </c>
      <c r="N3767" s="12" t="n">
        <v>1</v>
      </c>
      <c r="O3767" s="12" t="n">
        <v>1</v>
      </c>
      <c r="P3767" s="12" t="n"/>
      <c r="Q3767" s="12" t="n"/>
      <c r="R3767" s="12" t="n"/>
      <c r="S3767" s="12" t="inlineStr">
        <is>
          <t>Duct bank</t>
        </is>
      </c>
      <c r="T3767" s="16" t="n">
        <v>180</v>
      </c>
      <c r="U3767" s="16" t="n">
        <v>32</v>
      </c>
      <c r="V3767" s="16">
        <f>ROUNDUP((T3767+U3767+2*'Read Me'!$B$13)*(1+'Read Me'!$B$12),-1)</f>
        <v/>
      </c>
      <c r="W3767" s="16">
        <f>V3767*N3767*O3767</f>
        <v/>
      </c>
      <c r="X3767" s="12">
        <f>IF(LEFT(I3767,2)="MV",2*N3767*IF(L3767="1/C",O3767,1),0)</f>
        <v/>
      </c>
      <c r="Y3767" s="12">
        <f>IF(OR(LEFT(K3767,4)="LVAX",LEFT(K3767,6)="MV15AX",LEFT(K3767,4)="CTAX",LEFT(K3767,2)="W|"),2*N3767*O3767,0)</f>
        <v/>
      </c>
      <c r="Z3767" s="12" t="inlineStr"/>
      <c r="AA3767" s="12">
        <f>N3767*O3767</f>
        <v/>
      </c>
    </row>
    <row r="3768">
      <c r="A3768" s="12" t="inlineStr">
        <is>
          <t>H-C-0073</t>
        </is>
      </c>
      <c r="B3768" s="12" t="inlineStr">
        <is>
          <t>H</t>
        </is>
      </c>
      <c r="C3768" s="12" t="inlineStr">
        <is>
          <t>BESS</t>
        </is>
      </c>
      <c r="D3768" s="12" t="inlineStr">
        <is>
          <t>Motor 6 of 6: control / local station</t>
        </is>
      </c>
      <c r="E3768" s="12" t="inlineStr"/>
      <c r="F3768" s="12" t="inlineStr">
        <is>
          <t>BESS auxiliary transformer</t>
        </is>
      </c>
      <c r="G3768" s="12" t="inlineStr">
        <is>
          <t>BESS MPT</t>
        </is>
      </c>
      <c r="H3768" s="12" t="inlineStr">
        <is>
          <t>BESS main power transformer 34.5/230 kV (to D4 upper)</t>
        </is>
      </c>
      <c r="I3768" s="12" t="inlineStr">
        <is>
          <t>Control</t>
        </is>
      </c>
      <c r="J3768" s="12" t="inlineStr">
        <is>
          <t>Control cable 600 V Type TC-ER, Cu #14 AWG, PVC jacket</t>
        </is>
      </c>
      <c r="K3768" s="12" t="inlineStr">
        <is>
          <t>CT|7/C|14</t>
        </is>
      </c>
      <c r="L3768" s="12" t="inlineStr">
        <is>
          <t>7/C</t>
        </is>
      </c>
      <c r="M3768" s="12" t="inlineStr">
        <is>
          <t>14</t>
        </is>
      </c>
      <c r="N3768" s="12" t="n">
        <v>1</v>
      </c>
      <c r="O3768" s="12" t="n">
        <v>1</v>
      </c>
      <c r="P3768" s="12" t="n"/>
      <c r="Q3768" s="12" t="n"/>
      <c r="R3768" s="12" t="n"/>
      <c r="S3768" s="12" t="inlineStr">
        <is>
          <t>Duct bank</t>
        </is>
      </c>
      <c r="T3768" s="16" t="n">
        <v>180</v>
      </c>
      <c r="U3768" s="16" t="n">
        <v>32</v>
      </c>
      <c r="V3768" s="16">
        <f>ROUNDUP((T3768+U3768+2*'Read Me'!$B$13)*(1+'Read Me'!$B$12),-1)</f>
        <v/>
      </c>
      <c r="W3768" s="16">
        <f>V3768*N3768*O3768</f>
        <v/>
      </c>
      <c r="X3768" s="12">
        <f>IF(LEFT(I3768,2)="MV",2*N3768*IF(L3768="1/C",O3768,1),0)</f>
        <v/>
      </c>
      <c r="Y3768" s="12">
        <f>IF(OR(LEFT(K3768,4)="LVAX",LEFT(K3768,6)="MV15AX",LEFT(K3768,4)="CTAX",LEFT(K3768,2)="W|"),2*N3768*O3768,0)</f>
        <v/>
      </c>
      <c r="Z3768" s="12" t="inlineStr"/>
      <c r="AA3768" s="12">
        <f>N3768*O3768</f>
        <v/>
      </c>
    </row>
    <row r="3769">
      <c r="A3769" s="12" t="inlineStr">
        <is>
          <t>H-C-0074</t>
        </is>
      </c>
      <c r="B3769" s="12" t="inlineStr">
        <is>
          <t>H</t>
        </is>
      </c>
      <c r="C3769" s="12" t="inlineStr">
        <is>
          <t>BESS</t>
        </is>
      </c>
      <c r="D3769" s="12" t="inlineStr">
        <is>
          <t>Control</t>
        </is>
      </c>
      <c r="E3769" s="12" t="inlineStr"/>
      <c r="F3769" s="12" t="inlineStr">
        <is>
          <t>BESS EMS / SCADA and revenue metering</t>
        </is>
      </c>
      <c r="G3769" s="12" t="inlineStr">
        <is>
          <t>BESS MPT</t>
        </is>
      </c>
      <c r="H3769" s="12" t="inlineStr">
        <is>
          <t>BESS main power transformer 34.5/230 kV (to D4 upper)</t>
        </is>
      </c>
      <c r="I3769" s="12" t="inlineStr">
        <is>
          <t>Control</t>
        </is>
      </c>
      <c r="J3769" s="12" t="inlineStr">
        <is>
          <t>Control cable 600 V Type TC-ER, Cu #14 AWG, PVC jacket</t>
        </is>
      </c>
      <c r="K3769" s="12" t="inlineStr">
        <is>
          <t>CT|7/C|14</t>
        </is>
      </c>
      <c r="L3769" s="12" t="inlineStr">
        <is>
          <t>7/C</t>
        </is>
      </c>
      <c r="M3769" s="12" t="inlineStr">
        <is>
          <t>14</t>
        </is>
      </c>
      <c r="N3769" s="12" t="n">
        <v>1</v>
      </c>
      <c r="O3769" s="12" t="n">
        <v>1</v>
      </c>
      <c r="P3769" s="12" t="n"/>
      <c r="Q3769" s="12" t="n"/>
      <c r="R3769" s="12" t="n"/>
      <c r="S3769" s="12" t="inlineStr">
        <is>
          <t>Duct bank</t>
        </is>
      </c>
      <c r="T3769" s="16" t="n">
        <v>162</v>
      </c>
      <c r="U3769" s="16" t="n">
        <v>32</v>
      </c>
      <c r="V3769" s="16">
        <f>ROUNDUP((T3769+U3769+2*'Read Me'!$B$13)*(1+'Read Me'!$B$12),-1)</f>
        <v/>
      </c>
      <c r="W3769" s="16">
        <f>V3769*N3769*O3769</f>
        <v/>
      </c>
      <c r="X3769" s="12">
        <f>IF(LEFT(I3769,2)="MV",2*N3769*IF(L3769="1/C",O3769,1),0)</f>
        <v/>
      </c>
      <c r="Y3769" s="12">
        <f>IF(OR(LEFT(K3769,4)="LVAX",LEFT(K3769,6)="MV15AX",LEFT(K3769,4)="CTAX",LEFT(K3769,2)="W|"),2*N3769*O3769,0)</f>
        <v/>
      </c>
      <c r="Z3769" s="12" t="inlineStr"/>
      <c r="AA3769" s="12">
        <f>N3769*O3769</f>
        <v/>
      </c>
    </row>
    <row r="3770">
      <c r="A3770" s="12" t="inlineStr">
        <is>
          <t>H-C-0075</t>
        </is>
      </c>
      <c r="B3770" s="12" t="inlineStr">
        <is>
          <t>H</t>
        </is>
      </c>
      <c r="C3770" s="12" t="inlineStr">
        <is>
          <t>BESS</t>
        </is>
      </c>
      <c r="D3770" s="12" t="inlineStr">
        <is>
          <t>Control</t>
        </is>
      </c>
      <c r="E3770" s="12" t="inlineStr"/>
      <c r="F3770" s="12" t="inlineStr">
        <is>
          <t>BESS EMS / SCADA and revenue metering</t>
        </is>
      </c>
      <c r="G3770" s="12" t="inlineStr">
        <is>
          <t>BESS MPT</t>
        </is>
      </c>
      <c r="H3770" s="12" t="inlineStr">
        <is>
          <t>BESS main power transformer 34.5/230 kV (to D4 upper)</t>
        </is>
      </c>
      <c r="I3770" s="12" t="inlineStr">
        <is>
          <t>Control</t>
        </is>
      </c>
      <c r="J3770" s="12" t="inlineStr">
        <is>
          <t>Control cable 600 V Type TC-ER, Cu #14 AWG, PVC jacket</t>
        </is>
      </c>
      <c r="K3770" s="12" t="inlineStr">
        <is>
          <t>CT|12/C|14</t>
        </is>
      </c>
      <c r="L3770" s="12" t="inlineStr">
        <is>
          <t>12/C</t>
        </is>
      </c>
      <c r="M3770" s="12" t="inlineStr">
        <is>
          <t>14</t>
        </is>
      </c>
      <c r="N3770" s="12" t="n">
        <v>1</v>
      </c>
      <c r="O3770" s="12" t="n">
        <v>1</v>
      </c>
      <c r="P3770" s="12" t="n"/>
      <c r="Q3770" s="12" t="n"/>
      <c r="R3770" s="12" t="n"/>
      <c r="S3770" s="12" t="inlineStr">
        <is>
          <t>Duct bank</t>
        </is>
      </c>
      <c r="T3770" s="16" t="n">
        <v>162</v>
      </c>
      <c r="U3770" s="16" t="n">
        <v>32</v>
      </c>
      <c r="V3770" s="16">
        <f>ROUNDUP((T3770+U3770+2*'Read Me'!$B$13)*(1+'Read Me'!$B$12),-1)</f>
        <v/>
      </c>
      <c r="W3770" s="16">
        <f>V3770*N3770*O3770</f>
        <v/>
      </c>
      <c r="X3770" s="12">
        <f>IF(LEFT(I3770,2)="MV",2*N3770*IF(L3770="1/C",O3770,1),0)</f>
        <v/>
      </c>
      <c r="Y3770" s="12">
        <f>IF(OR(LEFT(K3770,4)="LVAX",LEFT(K3770,6)="MV15AX",LEFT(K3770,4)="CTAX",LEFT(K3770,2)="W|"),2*N3770*O3770,0)</f>
        <v/>
      </c>
      <c r="Z3770" s="12" t="inlineStr"/>
      <c r="AA3770" s="12">
        <f>N3770*O3770</f>
        <v/>
      </c>
    </row>
    <row r="3771">
      <c r="A3771" s="12" t="inlineStr">
        <is>
          <t>H-C-0076</t>
        </is>
      </c>
      <c r="B3771" s="12" t="inlineStr">
        <is>
          <t>H</t>
        </is>
      </c>
      <c r="C3771" s="12" t="inlineStr">
        <is>
          <t>BESS</t>
        </is>
      </c>
      <c r="D3771" s="12" t="inlineStr">
        <is>
          <t>CT / VT</t>
        </is>
      </c>
      <c r="E3771" s="12" t="inlineStr"/>
      <c r="F3771" s="12" t="inlineStr">
        <is>
          <t>BESS EMS / SCADA and revenue metering</t>
        </is>
      </c>
      <c r="G3771" s="12" t="inlineStr">
        <is>
          <t>BESS MPT</t>
        </is>
      </c>
      <c r="H3771" s="12" t="inlineStr">
        <is>
          <t>BESS main power transformer 34.5/230 kV (to D4 upper)</t>
        </is>
      </c>
      <c r="I3771" s="12" t="inlineStr">
        <is>
          <t>Control</t>
        </is>
      </c>
      <c r="J3771" s="12" t="inlineStr">
        <is>
          <t>Control cable 600 V Type TC-ER, Cu #10 AWG (CT / VT circuits)</t>
        </is>
      </c>
      <c r="K3771" s="12" t="inlineStr">
        <is>
          <t>CTCT|4/C|10</t>
        </is>
      </c>
      <c r="L3771" s="12" t="inlineStr">
        <is>
          <t>4/C</t>
        </is>
      </c>
      <c r="M3771" s="12" t="inlineStr">
        <is>
          <t>10</t>
        </is>
      </c>
      <c r="N3771" s="12" t="n">
        <v>1</v>
      </c>
      <c r="O3771" s="12" t="n">
        <v>1</v>
      </c>
      <c r="P3771" s="12" t="n"/>
      <c r="Q3771" s="12" t="n"/>
      <c r="R3771" s="12" t="n"/>
      <c r="S3771" s="12" t="inlineStr">
        <is>
          <t>Duct bank</t>
        </is>
      </c>
      <c r="T3771" s="16" t="n">
        <v>162</v>
      </c>
      <c r="U3771" s="16" t="n">
        <v>32</v>
      </c>
      <c r="V3771" s="16">
        <f>ROUNDUP((T3771+U3771+2*'Read Me'!$B$13)*(1+'Read Me'!$B$12),-1)</f>
        <v/>
      </c>
      <c r="W3771" s="16">
        <f>V3771*N3771*O3771</f>
        <v/>
      </c>
      <c r="X3771" s="12">
        <f>IF(LEFT(I3771,2)="MV",2*N3771*IF(L3771="1/C",O3771,1),0)</f>
        <v/>
      </c>
      <c r="Y3771" s="12">
        <f>IF(OR(LEFT(K3771,4)="LVAX",LEFT(K3771,6)="MV15AX",LEFT(K3771,4)="CTAX",LEFT(K3771,2)="W|"),2*N3771*O3771,0)</f>
        <v/>
      </c>
      <c r="Z3771" s="12" t="inlineStr"/>
      <c r="AA3771" s="12">
        <f>N3771*O3771</f>
        <v/>
      </c>
    </row>
    <row r="3772">
      <c r="A3772" s="12" t="inlineStr">
        <is>
          <t>H-C-0077</t>
        </is>
      </c>
      <c r="B3772" s="12" t="inlineStr">
        <is>
          <t>H</t>
        </is>
      </c>
      <c r="C3772" s="12" t="inlineStr">
        <is>
          <t>BESS</t>
        </is>
      </c>
      <c r="D3772" s="12" t="inlineStr">
        <is>
          <t>CT / VT</t>
        </is>
      </c>
      <c r="E3772" s="12" t="inlineStr"/>
      <c r="F3772" s="12" t="inlineStr">
        <is>
          <t>BESS EMS / SCADA and revenue metering</t>
        </is>
      </c>
      <c r="G3772" s="12" t="inlineStr">
        <is>
          <t>BESS MPT</t>
        </is>
      </c>
      <c r="H3772" s="12" t="inlineStr">
        <is>
          <t>BESS main power transformer 34.5/230 kV (to D4 upper)</t>
        </is>
      </c>
      <c r="I3772" s="12" t="inlineStr">
        <is>
          <t>Control</t>
        </is>
      </c>
      <c r="J3772" s="12" t="inlineStr">
        <is>
          <t>Control cable 600 V Type TC-ER, Cu #10 AWG (CT / VT circuits)</t>
        </is>
      </c>
      <c r="K3772" s="12" t="inlineStr">
        <is>
          <t>CTCT|4/C|10</t>
        </is>
      </c>
      <c r="L3772" s="12" t="inlineStr">
        <is>
          <t>4/C</t>
        </is>
      </c>
      <c r="M3772" s="12" t="inlineStr">
        <is>
          <t>10</t>
        </is>
      </c>
      <c r="N3772" s="12" t="n">
        <v>1</v>
      </c>
      <c r="O3772" s="12" t="n">
        <v>1</v>
      </c>
      <c r="P3772" s="12" t="n"/>
      <c r="Q3772" s="12" t="n"/>
      <c r="R3772" s="12" t="n"/>
      <c r="S3772" s="12" t="inlineStr">
        <is>
          <t>Duct bank</t>
        </is>
      </c>
      <c r="T3772" s="16" t="n">
        <v>162</v>
      </c>
      <c r="U3772" s="16" t="n">
        <v>32</v>
      </c>
      <c r="V3772" s="16">
        <f>ROUNDUP((T3772+U3772+2*'Read Me'!$B$13)*(1+'Read Me'!$B$12),-1)</f>
        <v/>
      </c>
      <c r="W3772" s="16">
        <f>V3772*N3772*O3772</f>
        <v/>
      </c>
      <c r="X3772" s="12">
        <f>IF(LEFT(I3772,2)="MV",2*N3772*IF(L3772="1/C",O3772,1),0)</f>
        <v/>
      </c>
      <c r="Y3772" s="12">
        <f>IF(OR(LEFT(K3772,4)="LVAX",LEFT(K3772,6)="MV15AX",LEFT(K3772,4)="CTAX",LEFT(K3772,2)="W|"),2*N3772*O3772,0)</f>
        <v/>
      </c>
      <c r="Z3772" s="12" t="inlineStr"/>
      <c r="AA3772" s="12">
        <f>N3772*O3772</f>
        <v/>
      </c>
    </row>
    <row r="3773">
      <c r="A3773" s="12" t="inlineStr">
        <is>
          <t>H-C-0078</t>
        </is>
      </c>
      <c r="B3773" s="12" t="inlineStr">
        <is>
          <t>H</t>
        </is>
      </c>
      <c r="C3773" s="12" t="inlineStr">
        <is>
          <t>BESS</t>
        </is>
      </c>
      <c r="D3773" s="12" t="inlineStr">
        <is>
          <t>Control</t>
        </is>
      </c>
      <c r="E3773" s="12" t="inlineStr"/>
      <c r="F3773" s="12" t="inlineStr">
        <is>
          <t>BESS EMS / SCADA and revenue metering</t>
        </is>
      </c>
      <c r="G3773" s="12" t="inlineStr"/>
      <c r="H3773" s="12" t="inlineStr">
        <is>
          <t>CONDITIONAL: grounding transformer</t>
        </is>
      </c>
      <c r="I3773" s="12" t="inlineStr">
        <is>
          <t>Control</t>
        </is>
      </c>
      <c r="J3773" s="12" t="inlineStr">
        <is>
          <t>Control cable 600 V Type TC-ER, Cu #14 AWG, PVC jacket</t>
        </is>
      </c>
      <c r="K3773" s="12" t="inlineStr">
        <is>
          <t>CT|7/C|14</t>
        </is>
      </c>
      <c r="L3773" s="12" t="inlineStr">
        <is>
          <t>7/C</t>
        </is>
      </c>
      <c r="M3773" s="12" t="inlineStr">
        <is>
          <t>14</t>
        </is>
      </c>
      <c r="N3773" s="12" t="n">
        <v>1</v>
      </c>
      <c r="O3773" s="12" t="n">
        <v>1</v>
      </c>
      <c r="P3773" s="12" t="n"/>
      <c r="Q3773" s="12" t="n"/>
      <c r="R3773" s="12" t="n"/>
      <c r="S3773" s="12" t="inlineStr">
        <is>
          <t>Duct bank</t>
        </is>
      </c>
      <c r="T3773" s="16" t="n">
        <v>280</v>
      </c>
      <c r="U3773" s="16" t="n">
        <v>87</v>
      </c>
      <c r="V3773" s="16">
        <f>ROUNDUP((T3773+U3773+2*'Read Me'!$B$13)*(1+'Read Me'!$B$12),-1)</f>
        <v/>
      </c>
      <c r="W3773" s="16">
        <f>V3773*N3773*O3773</f>
        <v/>
      </c>
      <c r="X3773" s="12">
        <f>IF(LEFT(I3773,2)="MV",2*N3773*IF(L3773="1/C",O3773,1),0)</f>
        <v/>
      </c>
      <c r="Y3773" s="12">
        <f>IF(OR(LEFT(K3773,4)="LVAX",LEFT(K3773,6)="MV15AX",LEFT(K3773,4)="CTAX",LEFT(K3773,2)="W|"),2*N3773*O3773,0)</f>
        <v/>
      </c>
      <c r="Z3773" s="12" t="inlineStr"/>
      <c r="AA3773" s="12">
        <f>N3773*O3773</f>
        <v/>
      </c>
    </row>
    <row r="3774">
      <c r="A3774" s="12" t="inlineStr">
        <is>
          <t>H-C-0079</t>
        </is>
      </c>
      <c r="B3774" s="12" t="inlineStr">
        <is>
          <t>H</t>
        </is>
      </c>
      <c r="C3774" s="12" t="inlineStr">
        <is>
          <t>BESS</t>
        </is>
      </c>
      <c r="D3774" s="12" t="inlineStr">
        <is>
          <t>Control</t>
        </is>
      </c>
      <c r="E3774" s="12" t="inlineStr"/>
      <c r="F3774" s="12" t="inlineStr">
        <is>
          <t>BESS EMS / SCADA and revenue metering</t>
        </is>
      </c>
      <c r="G3774" s="12" t="inlineStr"/>
      <c r="H3774" s="12" t="inlineStr">
        <is>
          <t>CONDITIONAL: grounding transformer</t>
        </is>
      </c>
      <c r="I3774" s="12" t="inlineStr">
        <is>
          <t>Control</t>
        </is>
      </c>
      <c r="J3774" s="12" t="inlineStr">
        <is>
          <t>Control cable 600 V Type TC-ER, Cu #14 AWG, PVC jacket</t>
        </is>
      </c>
      <c r="K3774" s="12" t="inlineStr">
        <is>
          <t>CT|12/C|14</t>
        </is>
      </c>
      <c r="L3774" s="12" t="inlineStr">
        <is>
          <t>12/C</t>
        </is>
      </c>
      <c r="M3774" s="12" t="inlineStr">
        <is>
          <t>14</t>
        </is>
      </c>
      <c r="N3774" s="12" t="n">
        <v>1</v>
      </c>
      <c r="O3774" s="12" t="n">
        <v>1</v>
      </c>
      <c r="P3774" s="12" t="n"/>
      <c r="Q3774" s="12" t="n"/>
      <c r="R3774" s="12" t="n"/>
      <c r="S3774" s="12" t="inlineStr">
        <is>
          <t>Duct bank</t>
        </is>
      </c>
      <c r="T3774" s="16" t="n">
        <v>280</v>
      </c>
      <c r="U3774" s="16" t="n">
        <v>87</v>
      </c>
      <c r="V3774" s="16">
        <f>ROUNDUP((T3774+U3774+2*'Read Me'!$B$13)*(1+'Read Me'!$B$12),-1)</f>
        <v/>
      </c>
      <c r="W3774" s="16">
        <f>V3774*N3774*O3774</f>
        <v/>
      </c>
      <c r="X3774" s="12">
        <f>IF(LEFT(I3774,2)="MV",2*N3774*IF(L3774="1/C",O3774,1),0)</f>
        <v/>
      </c>
      <c r="Y3774" s="12">
        <f>IF(OR(LEFT(K3774,4)="LVAX",LEFT(K3774,6)="MV15AX",LEFT(K3774,4)="CTAX",LEFT(K3774,2)="W|"),2*N3774*O3774,0)</f>
        <v/>
      </c>
      <c r="Z3774" s="12" t="inlineStr"/>
      <c r="AA3774" s="12">
        <f>N3774*O3774</f>
        <v/>
      </c>
    </row>
    <row r="3775">
      <c r="A3775" s="12" t="inlineStr">
        <is>
          <t>H-C-0080</t>
        </is>
      </c>
      <c r="B3775" s="12" t="inlineStr">
        <is>
          <t>H</t>
        </is>
      </c>
      <c r="C3775" s="12" t="inlineStr">
        <is>
          <t>BESS</t>
        </is>
      </c>
      <c r="D3775" s="12" t="inlineStr">
        <is>
          <t>CT / VT</t>
        </is>
      </c>
      <c r="E3775" s="12" t="inlineStr"/>
      <c r="F3775" s="12" t="inlineStr">
        <is>
          <t>BESS EMS / SCADA and revenue metering</t>
        </is>
      </c>
      <c r="G3775" s="12" t="inlineStr"/>
      <c r="H3775" s="12" t="inlineStr">
        <is>
          <t>CONDITIONAL: grounding transformer</t>
        </is>
      </c>
      <c r="I3775" s="12" t="inlineStr">
        <is>
          <t>Control</t>
        </is>
      </c>
      <c r="J3775" s="12" t="inlineStr">
        <is>
          <t>Control cable 600 V Type TC-ER, Cu #10 AWG (CT / VT circuits)</t>
        </is>
      </c>
      <c r="K3775" s="12" t="inlineStr">
        <is>
          <t>CTCT|4/C|10</t>
        </is>
      </c>
      <c r="L3775" s="12" t="inlineStr">
        <is>
          <t>4/C</t>
        </is>
      </c>
      <c r="M3775" s="12" t="inlineStr">
        <is>
          <t>10</t>
        </is>
      </c>
      <c r="N3775" s="12" t="n">
        <v>1</v>
      </c>
      <c r="O3775" s="12" t="n">
        <v>1</v>
      </c>
      <c r="P3775" s="12" t="n"/>
      <c r="Q3775" s="12" t="n"/>
      <c r="R3775" s="12" t="n"/>
      <c r="S3775" s="12" t="inlineStr">
        <is>
          <t>Duct bank</t>
        </is>
      </c>
      <c r="T3775" s="16" t="n">
        <v>280</v>
      </c>
      <c r="U3775" s="16" t="n">
        <v>87</v>
      </c>
      <c r="V3775" s="16">
        <f>ROUNDUP((T3775+U3775+2*'Read Me'!$B$13)*(1+'Read Me'!$B$12),-1)</f>
        <v/>
      </c>
      <c r="W3775" s="16">
        <f>V3775*N3775*O3775</f>
        <v/>
      </c>
      <c r="X3775" s="12">
        <f>IF(LEFT(I3775,2)="MV",2*N3775*IF(L3775="1/C",O3775,1),0)</f>
        <v/>
      </c>
      <c r="Y3775" s="12">
        <f>IF(OR(LEFT(K3775,4)="LVAX",LEFT(K3775,6)="MV15AX",LEFT(K3775,4)="CTAX",LEFT(K3775,2)="W|"),2*N3775*O3775,0)</f>
        <v/>
      </c>
      <c r="Z3775" s="12" t="inlineStr"/>
      <c r="AA3775" s="12">
        <f>N3775*O3775</f>
        <v/>
      </c>
    </row>
    <row r="3776">
      <c r="A3776" s="12" t="inlineStr">
        <is>
          <t>H-C-0081</t>
        </is>
      </c>
      <c r="B3776" s="12" t="inlineStr">
        <is>
          <t>H</t>
        </is>
      </c>
      <c r="C3776" s="12" t="inlineStr">
        <is>
          <t>BESS</t>
        </is>
      </c>
      <c r="D3776" s="12" t="inlineStr">
        <is>
          <t>CT / VT</t>
        </is>
      </c>
      <c r="E3776" s="12" t="inlineStr"/>
      <c r="F3776" s="12" t="inlineStr">
        <is>
          <t>BESS EMS / SCADA and revenue metering</t>
        </is>
      </c>
      <c r="G3776" s="12" t="inlineStr"/>
      <c r="H3776" s="12" t="inlineStr">
        <is>
          <t>CONDITIONAL: grounding transformer</t>
        </is>
      </c>
      <c r="I3776" s="12" t="inlineStr">
        <is>
          <t>Control</t>
        </is>
      </c>
      <c r="J3776" s="12" t="inlineStr">
        <is>
          <t>Control cable 600 V Type TC-ER, Cu #10 AWG (CT / VT circuits)</t>
        </is>
      </c>
      <c r="K3776" s="12" t="inlineStr">
        <is>
          <t>CTCT|4/C|10</t>
        </is>
      </c>
      <c r="L3776" s="12" t="inlineStr">
        <is>
          <t>4/C</t>
        </is>
      </c>
      <c r="M3776" s="12" t="inlineStr">
        <is>
          <t>10</t>
        </is>
      </c>
      <c r="N3776" s="12" t="n">
        <v>1</v>
      </c>
      <c r="O3776" s="12" t="n">
        <v>1</v>
      </c>
      <c r="P3776" s="12" t="n"/>
      <c r="Q3776" s="12" t="n"/>
      <c r="R3776" s="12" t="n"/>
      <c r="S3776" s="12" t="inlineStr">
        <is>
          <t>Duct bank</t>
        </is>
      </c>
      <c r="T3776" s="16" t="n">
        <v>280</v>
      </c>
      <c r="U3776" s="16" t="n">
        <v>87</v>
      </c>
      <c r="V3776" s="16">
        <f>ROUNDUP((T3776+U3776+2*'Read Me'!$B$13)*(1+'Read Me'!$B$12),-1)</f>
        <v/>
      </c>
      <c r="W3776" s="16">
        <f>V3776*N3776*O3776</f>
        <v/>
      </c>
      <c r="X3776" s="12">
        <f>IF(LEFT(I3776,2)="MV",2*N3776*IF(L3776="1/C",O3776,1),0)</f>
        <v/>
      </c>
      <c r="Y3776" s="12">
        <f>IF(OR(LEFT(K3776,4)="LVAX",LEFT(K3776,6)="MV15AX",LEFT(K3776,4)="CTAX",LEFT(K3776,2)="W|"),2*N3776*O3776,0)</f>
        <v/>
      </c>
      <c r="Z3776" s="12" t="inlineStr"/>
      <c r="AA3776" s="12">
        <f>N3776*O3776</f>
        <v/>
      </c>
    </row>
    <row r="3777">
      <c r="A3777" s="12" t="inlineStr">
        <is>
          <t>H-DC-0001</t>
        </is>
      </c>
      <c r="B3777" s="12" t="inlineStr">
        <is>
          <t>H</t>
        </is>
      </c>
      <c r="C3777" s="12" t="inlineStr">
        <is>
          <t>BESS</t>
        </is>
      </c>
      <c r="D3777" s="12" t="inlineStr">
        <is>
          <t>DC 1,500 V: container to PCS (2 x 1/C per pole pair)</t>
        </is>
      </c>
      <c r="E3777" s="12" t="inlineStr"/>
      <c r="F3777" s="12" t="inlineStr">
        <is>
          <t>BESS container (ISO 40 ft high cube)</t>
        </is>
      </c>
      <c r="G3777" s="12" t="inlineStr"/>
      <c r="H3777" s="12" t="inlineStr">
        <is>
          <t>BESS PCS / MV skid</t>
        </is>
      </c>
      <c r="I3777" s="12" t="inlineStr">
        <is>
          <t>DC 2 kV</t>
        </is>
      </c>
      <c r="J3777" s="12" t="inlineStr">
        <is>
          <t>PV / RHW-2 2 kV 1/C Cu, XLPE (DC)</t>
        </is>
      </c>
      <c r="K3777" s="12" t="inlineStr">
        <is>
          <t>PV|1/C|500</t>
        </is>
      </c>
      <c r="L3777" s="12" t="inlineStr">
        <is>
          <t>1/C</t>
        </is>
      </c>
      <c r="M3777" s="12" t="inlineStr">
        <is>
          <t>500 kcmil</t>
        </is>
      </c>
      <c r="N3777" s="12" t="n">
        <v>4</v>
      </c>
      <c r="O3777" s="12" t="n">
        <v>2</v>
      </c>
      <c r="P3777" s="12" t="n">
        <v>1500</v>
      </c>
      <c r="Q3777" s="12" t="n">
        <v>4000</v>
      </c>
      <c r="R3777" s="12" t="n"/>
      <c r="S3777" s="12" t="inlineStr">
        <is>
          <t>Duct bank</t>
        </is>
      </c>
      <c r="T3777" s="16" t="n">
        <v>10</v>
      </c>
      <c r="U3777" s="16" t="n">
        <v>150</v>
      </c>
      <c r="V3777" s="16">
        <f>ROUNDUP((T3777+U3777+2*'Read Me'!$B$13)*(1+'Read Me'!$B$12),-1)</f>
        <v/>
      </c>
      <c r="W3777" s="16">
        <f>V3777*N3777*O3777</f>
        <v/>
      </c>
      <c r="X3777" s="12">
        <f>IF(LEFT(I3777,2)="MV",2*N3777*IF(L3777="1/C",O3777,1),0)</f>
        <v/>
      </c>
      <c r="Y3777" s="12">
        <f>IF(OR(LEFT(K3777,4)="LVAX",LEFT(K3777,6)="MV15AX",LEFT(K3777,4)="CTAX",LEFT(K3777,2)="W|"),2*N3777*O3777,0)</f>
        <v/>
      </c>
      <c r="Z3777" s="12" t="inlineStr">
        <is>
          <t>4 sets of +/- per container (typ.)</t>
        </is>
      </c>
      <c r="AA3777" s="12">
        <f>N3777*O3777</f>
        <v/>
      </c>
    </row>
    <row r="3778">
      <c r="A3778" s="12" t="inlineStr">
        <is>
          <t>H-DC-0002</t>
        </is>
      </c>
      <c r="B3778" s="12" t="inlineStr">
        <is>
          <t>H</t>
        </is>
      </c>
      <c r="C3778" s="12" t="inlineStr">
        <is>
          <t>BESS</t>
        </is>
      </c>
      <c r="D3778" s="12" t="inlineStr">
        <is>
          <t>DC 1,500 V: container to PCS (2 x 1/C per pole pair)</t>
        </is>
      </c>
      <c r="E3778" s="12" t="inlineStr"/>
      <c r="F3778" s="12" t="inlineStr">
        <is>
          <t>BESS container (ISO 40 ft high cube)</t>
        </is>
      </c>
      <c r="G3778" s="12" t="inlineStr"/>
      <c r="H3778" s="12" t="inlineStr">
        <is>
          <t>BESS PCS / MV skid</t>
        </is>
      </c>
      <c r="I3778" s="12" t="inlineStr">
        <is>
          <t>DC 2 kV</t>
        </is>
      </c>
      <c r="J3778" s="12" t="inlineStr">
        <is>
          <t>PV / RHW-2 2 kV 1/C Cu, XLPE (DC)</t>
        </is>
      </c>
      <c r="K3778" s="12" t="inlineStr">
        <is>
          <t>PV|1/C|500</t>
        </is>
      </c>
      <c r="L3778" s="12" t="inlineStr">
        <is>
          <t>1/C</t>
        </is>
      </c>
      <c r="M3778" s="12" t="inlineStr">
        <is>
          <t>500 kcmil</t>
        </is>
      </c>
      <c r="N3778" s="12" t="n">
        <v>4</v>
      </c>
      <c r="O3778" s="12" t="n">
        <v>2</v>
      </c>
      <c r="P3778" s="12" t="n">
        <v>1500</v>
      </c>
      <c r="Q3778" s="12" t="n">
        <v>4000</v>
      </c>
      <c r="R3778" s="12" t="n"/>
      <c r="S3778" s="12" t="inlineStr">
        <is>
          <t>Tray</t>
        </is>
      </c>
      <c r="T3778" s="16" t="n">
        <v>0</v>
      </c>
      <c r="U3778" s="16" t="n">
        <v>160</v>
      </c>
      <c r="V3778" s="16">
        <f>ROUNDUP((T3778+U3778+2*'Read Me'!$B$13)*(1+'Read Me'!$B$12),-1)</f>
        <v/>
      </c>
      <c r="W3778" s="16">
        <f>V3778*N3778*O3778</f>
        <v/>
      </c>
      <c r="X3778" s="12">
        <f>IF(LEFT(I3778,2)="MV",2*N3778*IF(L3778="1/C",O3778,1),0)</f>
        <v/>
      </c>
      <c r="Y3778" s="12">
        <f>IF(OR(LEFT(K3778,4)="LVAX",LEFT(K3778,6)="MV15AX",LEFT(K3778,4)="CTAX",LEFT(K3778,2)="W|"),2*N3778*O3778,0)</f>
        <v/>
      </c>
      <c r="Z3778" s="12" t="inlineStr">
        <is>
          <t>4 sets of +/- per container (typ.)</t>
        </is>
      </c>
      <c r="AA3778" s="12">
        <f>N3778*O3778</f>
        <v/>
      </c>
    </row>
    <row r="3779">
      <c r="A3779" s="12" t="inlineStr">
        <is>
          <t>H-DC-0003</t>
        </is>
      </c>
      <c r="B3779" s="12" t="inlineStr">
        <is>
          <t>H</t>
        </is>
      </c>
      <c r="C3779" s="12" t="inlineStr">
        <is>
          <t>BESS</t>
        </is>
      </c>
      <c r="D3779" s="12" t="inlineStr">
        <is>
          <t>DC 1,500 V: container to PCS (2 x 1/C per pole pair)</t>
        </is>
      </c>
      <c r="E3779" s="12" t="inlineStr"/>
      <c r="F3779" s="12" t="inlineStr">
        <is>
          <t>BESS container (ISO 40 ft high cube)</t>
        </is>
      </c>
      <c r="G3779" s="12" t="inlineStr"/>
      <c r="H3779" s="12" t="inlineStr">
        <is>
          <t>BESS PCS / MV skid</t>
        </is>
      </c>
      <c r="I3779" s="12" t="inlineStr">
        <is>
          <t>DC 2 kV</t>
        </is>
      </c>
      <c r="J3779" s="12" t="inlineStr">
        <is>
          <t>PV / RHW-2 2 kV 1/C Cu, XLPE (DC)</t>
        </is>
      </c>
      <c r="K3779" s="12" t="inlineStr">
        <is>
          <t>PV|1/C|500</t>
        </is>
      </c>
      <c r="L3779" s="12" t="inlineStr">
        <is>
          <t>1/C</t>
        </is>
      </c>
      <c r="M3779" s="12" t="inlineStr">
        <is>
          <t>500 kcmil</t>
        </is>
      </c>
      <c r="N3779" s="12" t="n">
        <v>4</v>
      </c>
      <c r="O3779" s="12" t="n">
        <v>2</v>
      </c>
      <c r="P3779" s="12" t="n">
        <v>1500</v>
      </c>
      <c r="Q3779" s="12" t="n">
        <v>4000</v>
      </c>
      <c r="R3779" s="12" t="n"/>
      <c r="S3779" s="12" t="inlineStr">
        <is>
          <t>Tray</t>
        </is>
      </c>
      <c r="T3779" s="16" t="n">
        <v>0</v>
      </c>
      <c r="U3779" s="16" t="n">
        <v>200</v>
      </c>
      <c r="V3779" s="16">
        <f>ROUNDUP((T3779+U3779+2*'Read Me'!$B$13)*(1+'Read Me'!$B$12),-1)</f>
        <v/>
      </c>
      <c r="W3779" s="16">
        <f>V3779*N3779*O3779</f>
        <v/>
      </c>
      <c r="X3779" s="12">
        <f>IF(LEFT(I3779,2)="MV",2*N3779*IF(L3779="1/C",O3779,1),0)</f>
        <v/>
      </c>
      <c r="Y3779" s="12">
        <f>IF(OR(LEFT(K3779,4)="LVAX",LEFT(K3779,6)="MV15AX",LEFT(K3779,4)="CTAX",LEFT(K3779,2)="W|"),2*N3779*O3779,0)</f>
        <v/>
      </c>
      <c r="Z3779" s="12" t="inlineStr">
        <is>
          <t>4 sets of +/- per container (typ.)</t>
        </is>
      </c>
      <c r="AA3779" s="12">
        <f>N3779*O3779</f>
        <v/>
      </c>
    </row>
    <row r="3780">
      <c r="A3780" s="12" t="inlineStr">
        <is>
          <t>H-DC-0004</t>
        </is>
      </c>
      <c r="B3780" s="12" t="inlineStr">
        <is>
          <t>H</t>
        </is>
      </c>
      <c r="C3780" s="12" t="inlineStr">
        <is>
          <t>BESS</t>
        </is>
      </c>
      <c r="D3780" s="12" t="inlineStr">
        <is>
          <t>DC 1,500 V: container to PCS (2 x 1/C per pole pair)</t>
        </is>
      </c>
      <c r="E3780" s="12" t="inlineStr"/>
      <c r="F3780" s="12" t="inlineStr">
        <is>
          <t>BESS container (ISO 40 ft high cube)</t>
        </is>
      </c>
      <c r="G3780" s="12" t="inlineStr"/>
      <c r="H3780" s="12" t="inlineStr">
        <is>
          <t>BESS PCS / MV skid</t>
        </is>
      </c>
      <c r="I3780" s="12" t="inlineStr">
        <is>
          <t>DC 2 kV</t>
        </is>
      </c>
      <c r="J3780" s="12" t="inlineStr">
        <is>
          <t>PV / RHW-2 2 kV 1/C Cu, XLPE (DC)</t>
        </is>
      </c>
      <c r="K3780" s="12" t="inlineStr">
        <is>
          <t>PV|1/C|500</t>
        </is>
      </c>
      <c r="L3780" s="12" t="inlineStr">
        <is>
          <t>1/C</t>
        </is>
      </c>
      <c r="M3780" s="12" t="inlineStr">
        <is>
          <t>500 kcmil</t>
        </is>
      </c>
      <c r="N3780" s="12" t="n">
        <v>4</v>
      </c>
      <c r="O3780" s="12" t="n">
        <v>2</v>
      </c>
      <c r="P3780" s="12" t="n">
        <v>1500</v>
      </c>
      <c r="Q3780" s="12" t="n">
        <v>4000</v>
      </c>
      <c r="R3780" s="12" t="n"/>
      <c r="S3780" s="12" t="inlineStr">
        <is>
          <t>Tray</t>
        </is>
      </c>
      <c r="T3780" s="16" t="n">
        <v>0</v>
      </c>
      <c r="U3780" s="16" t="n">
        <v>200</v>
      </c>
      <c r="V3780" s="16">
        <f>ROUNDUP((T3780+U3780+2*'Read Me'!$B$13)*(1+'Read Me'!$B$12),-1)</f>
        <v/>
      </c>
      <c r="W3780" s="16">
        <f>V3780*N3780*O3780</f>
        <v/>
      </c>
      <c r="X3780" s="12">
        <f>IF(LEFT(I3780,2)="MV",2*N3780*IF(L3780="1/C",O3780,1),0)</f>
        <v/>
      </c>
      <c r="Y3780" s="12">
        <f>IF(OR(LEFT(K3780,4)="LVAX",LEFT(K3780,6)="MV15AX",LEFT(K3780,4)="CTAX",LEFT(K3780,2)="W|"),2*N3780*O3780,0)</f>
        <v/>
      </c>
      <c r="Z3780" s="12" t="inlineStr">
        <is>
          <t>4 sets of +/- per container (typ.)</t>
        </is>
      </c>
      <c r="AA3780" s="12">
        <f>N3780*O3780</f>
        <v/>
      </c>
    </row>
    <row r="3781">
      <c r="A3781" s="12" t="inlineStr">
        <is>
          <t>H-DC-0005</t>
        </is>
      </c>
      <c r="B3781" s="12" t="inlineStr">
        <is>
          <t>H</t>
        </is>
      </c>
      <c r="C3781" s="12" t="inlineStr">
        <is>
          <t>BESS</t>
        </is>
      </c>
      <c r="D3781" s="12" t="inlineStr">
        <is>
          <t>DC 1,500 V: container to PCS (2 x 1/C per pole pair)</t>
        </is>
      </c>
      <c r="E3781" s="12" t="inlineStr"/>
      <c r="F3781" s="12" t="inlineStr">
        <is>
          <t>BESS container (ISO 40 ft high cube)</t>
        </is>
      </c>
      <c r="G3781" s="12" t="inlineStr"/>
      <c r="H3781" s="12" t="inlineStr">
        <is>
          <t>BESS PCS / MV skid</t>
        </is>
      </c>
      <c r="I3781" s="12" t="inlineStr">
        <is>
          <t>DC 2 kV</t>
        </is>
      </c>
      <c r="J3781" s="12" t="inlineStr">
        <is>
          <t>PV / RHW-2 2 kV 1/C Cu, XLPE (DC)</t>
        </is>
      </c>
      <c r="K3781" s="12" t="inlineStr">
        <is>
          <t>PV|1/C|500</t>
        </is>
      </c>
      <c r="L3781" s="12" t="inlineStr">
        <is>
          <t>1/C</t>
        </is>
      </c>
      <c r="M3781" s="12" t="inlineStr">
        <is>
          <t>500 kcmil</t>
        </is>
      </c>
      <c r="N3781" s="12" t="n">
        <v>4</v>
      </c>
      <c r="O3781" s="12" t="n">
        <v>2</v>
      </c>
      <c r="P3781" s="12" t="n">
        <v>1500</v>
      </c>
      <c r="Q3781" s="12" t="n">
        <v>4000</v>
      </c>
      <c r="R3781" s="12" t="n"/>
      <c r="S3781" s="12" t="inlineStr">
        <is>
          <t>Tray</t>
        </is>
      </c>
      <c r="T3781" s="16" t="n">
        <v>0</v>
      </c>
      <c r="U3781" s="16" t="n">
        <v>168</v>
      </c>
      <c r="V3781" s="16">
        <f>ROUNDUP((T3781+U3781+2*'Read Me'!$B$13)*(1+'Read Me'!$B$12),-1)</f>
        <v/>
      </c>
      <c r="W3781" s="16">
        <f>V3781*N3781*O3781</f>
        <v/>
      </c>
      <c r="X3781" s="12">
        <f>IF(LEFT(I3781,2)="MV",2*N3781*IF(L3781="1/C",O3781,1),0)</f>
        <v/>
      </c>
      <c r="Y3781" s="12">
        <f>IF(OR(LEFT(K3781,4)="LVAX",LEFT(K3781,6)="MV15AX",LEFT(K3781,4)="CTAX",LEFT(K3781,2)="W|"),2*N3781*O3781,0)</f>
        <v/>
      </c>
      <c r="Z3781" s="12" t="inlineStr">
        <is>
          <t>4 sets of +/- per container (typ.)</t>
        </is>
      </c>
      <c r="AA3781" s="12">
        <f>N3781*O3781</f>
        <v/>
      </c>
    </row>
    <row r="3782">
      <c r="A3782" s="12" t="inlineStr">
        <is>
          <t>H-DC-0006</t>
        </is>
      </c>
      <c r="B3782" s="12" t="inlineStr">
        <is>
          <t>H</t>
        </is>
      </c>
      <c r="C3782" s="12" t="inlineStr">
        <is>
          <t>BESS</t>
        </is>
      </c>
      <c r="D3782" s="12" t="inlineStr">
        <is>
          <t>DC 1,500 V: container to PCS (2 x 1/C per pole pair)</t>
        </is>
      </c>
      <c r="E3782" s="12" t="inlineStr"/>
      <c r="F3782" s="12" t="inlineStr">
        <is>
          <t>BESS container (ISO 40 ft high cube)</t>
        </is>
      </c>
      <c r="G3782" s="12" t="inlineStr"/>
      <c r="H3782" s="12" t="inlineStr">
        <is>
          <t>BESS PCS / MV skid</t>
        </is>
      </c>
      <c r="I3782" s="12" t="inlineStr">
        <is>
          <t>DC 2 kV</t>
        </is>
      </c>
      <c r="J3782" s="12" t="inlineStr">
        <is>
          <t>PV / RHW-2 2 kV 1/C Cu, XLPE (DC)</t>
        </is>
      </c>
      <c r="K3782" s="12" t="inlineStr">
        <is>
          <t>PV|1/C|500</t>
        </is>
      </c>
      <c r="L3782" s="12" t="inlineStr">
        <is>
          <t>1/C</t>
        </is>
      </c>
      <c r="M3782" s="12" t="inlineStr">
        <is>
          <t>500 kcmil</t>
        </is>
      </c>
      <c r="N3782" s="12" t="n">
        <v>4</v>
      </c>
      <c r="O3782" s="12" t="n">
        <v>2</v>
      </c>
      <c r="P3782" s="12" t="n">
        <v>1500</v>
      </c>
      <c r="Q3782" s="12" t="n">
        <v>4000</v>
      </c>
      <c r="R3782" s="12" t="n"/>
      <c r="S3782" s="12" t="inlineStr">
        <is>
          <t>Duct bank</t>
        </is>
      </c>
      <c r="T3782" s="16" t="n">
        <v>10</v>
      </c>
      <c r="U3782" s="16" t="n">
        <v>158</v>
      </c>
      <c r="V3782" s="16">
        <f>ROUNDUP((T3782+U3782+2*'Read Me'!$B$13)*(1+'Read Me'!$B$12),-1)</f>
        <v/>
      </c>
      <c r="W3782" s="16">
        <f>V3782*N3782*O3782</f>
        <v/>
      </c>
      <c r="X3782" s="12">
        <f>IF(LEFT(I3782,2)="MV",2*N3782*IF(L3782="1/C",O3782,1),0)</f>
        <v/>
      </c>
      <c r="Y3782" s="12">
        <f>IF(OR(LEFT(K3782,4)="LVAX",LEFT(K3782,6)="MV15AX",LEFT(K3782,4)="CTAX",LEFT(K3782,2)="W|"),2*N3782*O3782,0)</f>
        <v/>
      </c>
      <c r="Z3782" s="12" t="inlineStr">
        <is>
          <t>4 sets of +/- per container (typ.)</t>
        </is>
      </c>
      <c r="AA3782" s="12">
        <f>N3782*O3782</f>
        <v/>
      </c>
    </row>
    <row r="3783">
      <c r="A3783" s="12" t="inlineStr">
        <is>
          <t>H-DC-0007</t>
        </is>
      </c>
      <c r="B3783" s="12" t="inlineStr">
        <is>
          <t>H</t>
        </is>
      </c>
      <c r="C3783" s="12" t="inlineStr">
        <is>
          <t>BESS</t>
        </is>
      </c>
      <c r="D3783" s="12" t="inlineStr">
        <is>
          <t>DC 1,500 V: container to PCS (2 x 1/C per pole pair)</t>
        </is>
      </c>
      <c r="E3783" s="12" t="inlineStr"/>
      <c r="F3783" s="12" t="inlineStr">
        <is>
          <t>BESS container (ISO 40 ft high cube)</t>
        </is>
      </c>
      <c r="G3783" s="12" t="inlineStr"/>
      <c r="H3783" s="12" t="inlineStr">
        <is>
          <t>BESS PCS / MV skid</t>
        </is>
      </c>
      <c r="I3783" s="12" t="inlineStr">
        <is>
          <t>DC 2 kV</t>
        </is>
      </c>
      <c r="J3783" s="12" t="inlineStr">
        <is>
          <t>PV / RHW-2 2 kV 1/C Cu, XLPE (DC)</t>
        </is>
      </c>
      <c r="K3783" s="12" t="inlineStr">
        <is>
          <t>PV|1/C|500</t>
        </is>
      </c>
      <c r="L3783" s="12" t="inlineStr">
        <is>
          <t>1/C</t>
        </is>
      </c>
      <c r="M3783" s="12" t="inlineStr">
        <is>
          <t>500 kcmil</t>
        </is>
      </c>
      <c r="N3783" s="12" t="n">
        <v>4</v>
      </c>
      <c r="O3783" s="12" t="n">
        <v>2</v>
      </c>
      <c r="P3783" s="12" t="n">
        <v>1500</v>
      </c>
      <c r="Q3783" s="12" t="n">
        <v>4000</v>
      </c>
      <c r="R3783" s="12" t="n"/>
      <c r="S3783" s="12" t="inlineStr">
        <is>
          <t>Duct bank</t>
        </is>
      </c>
      <c r="T3783" s="16" t="n">
        <v>10</v>
      </c>
      <c r="U3783" s="16" t="n">
        <v>266</v>
      </c>
      <c r="V3783" s="16">
        <f>ROUNDUP((T3783+U3783+2*'Read Me'!$B$13)*(1+'Read Me'!$B$12),-1)</f>
        <v/>
      </c>
      <c r="W3783" s="16">
        <f>V3783*N3783*O3783</f>
        <v/>
      </c>
      <c r="X3783" s="12">
        <f>IF(LEFT(I3783,2)="MV",2*N3783*IF(L3783="1/C",O3783,1),0)</f>
        <v/>
      </c>
      <c r="Y3783" s="12">
        <f>IF(OR(LEFT(K3783,4)="LVAX",LEFT(K3783,6)="MV15AX",LEFT(K3783,4)="CTAX",LEFT(K3783,2)="W|"),2*N3783*O3783,0)</f>
        <v/>
      </c>
      <c r="Z3783" s="12" t="inlineStr">
        <is>
          <t>4 sets of +/- per container (typ.)</t>
        </is>
      </c>
      <c r="AA3783" s="12">
        <f>N3783*O3783</f>
        <v/>
      </c>
    </row>
    <row r="3784">
      <c r="A3784" s="12" t="inlineStr">
        <is>
          <t>H-DC-0008</t>
        </is>
      </c>
      <c r="B3784" s="12" t="inlineStr">
        <is>
          <t>H</t>
        </is>
      </c>
      <c r="C3784" s="12" t="inlineStr">
        <is>
          <t>BESS</t>
        </is>
      </c>
      <c r="D3784" s="12" t="inlineStr">
        <is>
          <t>DC 1,500 V: container to PCS (2 x 1/C per pole pair)</t>
        </is>
      </c>
      <c r="E3784" s="12" t="inlineStr"/>
      <c r="F3784" s="12" t="inlineStr">
        <is>
          <t>BESS container (ISO 40 ft high cube)</t>
        </is>
      </c>
      <c r="G3784" s="12" t="inlineStr"/>
      <c r="H3784" s="12" t="inlineStr">
        <is>
          <t>BESS PCS / MV skid</t>
        </is>
      </c>
      <c r="I3784" s="12" t="inlineStr">
        <is>
          <t>DC 2 kV</t>
        </is>
      </c>
      <c r="J3784" s="12" t="inlineStr">
        <is>
          <t>PV / RHW-2 2 kV 1/C Cu, XLPE (DC)</t>
        </is>
      </c>
      <c r="K3784" s="12" t="inlineStr">
        <is>
          <t>PV|1/C|500</t>
        </is>
      </c>
      <c r="L3784" s="12" t="inlineStr">
        <is>
          <t>1/C</t>
        </is>
      </c>
      <c r="M3784" s="12" t="inlineStr">
        <is>
          <t>500 kcmil</t>
        </is>
      </c>
      <c r="N3784" s="12" t="n">
        <v>4</v>
      </c>
      <c r="O3784" s="12" t="n">
        <v>2</v>
      </c>
      <c r="P3784" s="12" t="n">
        <v>1500</v>
      </c>
      <c r="Q3784" s="12" t="n">
        <v>4000</v>
      </c>
      <c r="R3784" s="12" t="n"/>
      <c r="S3784" s="12" t="inlineStr">
        <is>
          <t>Tray</t>
        </is>
      </c>
      <c r="T3784" s="16" t="n">
        <v>0</v>
      </c>
      <c r="U3784" s="16" t="n">
        <v>276</v>
      </c>
      <c r="V3784" s="16">
        <f>ROUNDUP((T3784+U3784+2*'Read Me'!$B$13)*(1+'Read Me'!$B$12),-1)</f>
        <v/>
      </c>
      <c r="W3784" s="16">
        <f>V3784*N3784*O3784</f>
        <v/>
      </c>
      <c r="X3784" s="12">
        <f>IF(LEFT(I3784,2)="MV",2*N3784*IF(L3784="1/C",O3784,1),0)</f>
        <v/>
      </c>
      <c r="Y3784" s="12">
        <f>IF(OR(LEFT(K3784,4)="LVAX",LEFT(K3784,6)="MV15AX",LEFT(K3784,4)="CTAX",LEFT(K3784,2)="W|"),2*N3784*O3784,0)</f>
        <v/>
      </c>
      <c r="Z3784" s="12" t="inlineStr">
        <is>
          <t>4 sets of +/- per container (typ.)</t>
        </is>
      </c>
      <c r="AA3784" s="12">
        <f>N3784*O3784</f>
        <v/>
      </c>
    </row>
    <row r="3785">
      <c r="A3785" s="12" t="inlineStr">
        <is>
          <t>H-DC-0009</t>
        </is>
      </c>
      <c r="B3785" s="12" t="inlineStr">
        <is>
          <t>H</t>
        </is>
      </c>
      <c r="C3785" s="12" t="inlineStr">
        <is>
          <t>BESS</t>
        </is>
      </c>
      <c r="D3785" s="12" t="inlineStr">
        <is>
          <t>DC 1,500 V: container to PCS (2 x 1/C per pole pair)</t>
        </is>
      </c>
      <c r="E3785" s="12" t="inlineStr"/>
      <c r="F3785" s="12" t="inlineStr">
        <is>
          <t>BESS container (ISO 40 ft high cube)</t>
        </is>
      </c>
      <c r="G3785" s="12" t="inlineStr"/>
      <c r="H3785" s="12" t="inlineStr">
        <is>
          <t>BESS PCS / MV skid</t>
        </is>
      </c>
      <c r="I3785" s="12" t="inlineStr">
        <is>
          <t>DC 2 kV</t>
        </is>
      </c>
      <c r="J3785" s="12" t="inlineStr">
        <is>
          <t>PV / RHW-2 2 kV 1/C Cu, XLPE (DC)</t>
        </is>
      </c>
      <c r="K3785" s="12" t="inlineStr">
        <is>
          <t>PV|1/C|500</t>
        </is>
      </c>
      <c r="L3785" s="12" t="inlineStr">
        <is>
          <t>1/C</t>
        </is>
      </c>
      <c r="M3785" s="12" t="inlineStr">
        <is>
          <t>500 kcmil</t>
        </is>
      </c>
      <c r="N3785" s="12" t="n">
        <v>4</v>
      </c>
      <c r="O3785" s="12" t="n">
        <v>2</v>
      </c>
      <c r="P3785" s="12" t="n">
        <v>1500</v>
      </c>
      <c r="Q3785" s="12" t="n">
        <v>4000</v>
      </c>
      <c r="R3785" s="12" t="n"/>
      <c r="S3785" s="12" t="inlineStr">
        <is>
          <t>Tray</t>
        </is>
      </c>
      <c r="T3785" s="16" t="n">
        <v>0</v>
      </c>
      <c r="U3785" s="16" t="n">
        <v>316</v>
      </c>
      <c r="V3785" s="16">
        <f>ROUNDUP((T3785+U3785+2*'Read Me'!$B$13)*(1+'Read Me'!$B$12),-1)</f>
        <v/>
      </c>
      <c r="W3785" s="16">
        <f>V3785*N3785*O3785</f>
        <v/>
      </c>
      <c r="X3785" s="12">
        <f>IF(LEFT(I3785,2)="MV",2*N3785*IF(L3785="1/C",O3785,1),0)</f>
        <v/>
      </c>
      <c r="Y3785" s="12">
        <f>IF(OR(LEFT(K3785,4)="LVAX",LEFT(K3785,6)="MV15AX",LEFT(K3785,4)="CTAX",LEFT(K3785,2)="W|"),2*N3785*O3785,0)</f>
        <v/>
      </c>
      <c r="Z3785" s="12" t="inlineStr">
        <is>
          <t>4 sets of +/- per container (typ.)</t>
        </is>
      </c>
      <c r="AA3785" s="12">
        <f>N3785*O3785</f>
        <v/>
      </c>
    </row>
    <row r="3786">
      <c r="A3786" s="12" t="inlineStr">
        <is>
          <t>H-DC-0010</t>
        </is>
      </c>
      <c r="B3786" s="12" t="inlineStr">
        <is>
          <t>H</t>
        </is>
      </c>
      <c r="C3786" s="12" t="inlineStr">
        <is>
          <t>BESS</t>
        </is>
      </c>
      <c r="D3786" s="12" t="inlineStr">
        <is>
          <t>DC 1,500 V: container to PCS (2 x 1/C per pole pair)</t>
        </is>
      </c>
      <c r="E3786" s="12" t="inlineStr"/>
      <c r="F3786" s="12" t="inlineStr">
        <is>
          <t>BESS container (ISO 40 ft high cube)</t>
        </is>
      </c>
      <c r="G3786" s="12" t="inlineStr"/>
      <c r="H3786" s="12" t="inlineStr">
        <is>
          <t>BESS PCS / MV skid</t>
        </is>
      </c>
      <c r="I3786" s="12" t="inlineStr">
        <is>
          <t>DC 2 kV</t>
        </is>
      </c>
      <c r="J3786" s="12" t="inlineStr">
        <is>
          <t>PV / RHW-2 2 kV 1/C Cu, XLPE (DC)</t>
        </is>
      </c>
      <c r="K3786" s="12" t="inlineStr">
        <is>
          <t>PV|1/C|500</t>
        </is>
      </c>
      <c r="L3786" s="12" t="inlineStr">
        <is>
          <t>1/C</t>
        </is>
      </c>
      <c r="M3786" s="12" t="inlineStr">
        <is>
          <t>500 kcmil</t>
        </is>
      </c>
      <c r="N3786" s="12" t="n">
        <v>4</v>
      </c>
      <c r="O3786" s="12" t="n">
        <v>2</v>
      </c>
      <c r="P3786" s="12" t="n">
        <v>1500</v>
      </c>
      <c r="Q3786" s="12" t="n">
        <v>4000</v>
      </c>
      <c r="R3786" s="12" t="n"/>
      <c r="S3786" s="12" t="inlineStr">
        <is>
          <t>Tray</t>
        </is>
      </c>
      <c r="T3786" s="16" t="n">
        <v>0</v>
      </c>
      <c r="U3786" s="16" t="n">
        <v>316</v>
      </c>
      <c r="V3786" s="16">
        <f>ROUNDUP((T3786+U3786+2*'Read Me'!$B$13)*(1+'Read Me'!$B$12),-1)</f>
        <v/>
      </c>
      <c r="W3786" s="16">
        <f>V3786*N3786*O3786</f>
        <v/>
      </c>
      <c r="X3786" s="12">
        <f>IF(LEFT(I3786,2)="MV",2*N3786*IF(L3786="1/C",O3786,1),0)</f>
        <v/>
      </c>
      <c r="Y3786" s="12">
        <f>IF(OR(LEFT(K3786,4)="LVAX",LEFT(K3786,6)="MV15AX",LEFT(K3786,4)="CTAX",LEFT(K3786,2)="W|"),2*N3786*O3786,0)</f>
        <v/>
      </c>
      <c r="Z3786" s="12" t="inlineStr">
        <is>
          <t>4 sets of +/- per container (typ.)</t>
        </is>
      </c>
      <c r="AA3786" s="12">
        <f>N3786*O3786</f>
        <v/>
      </c>
    </row>
    <row r="3787">
      <c r="A3787" s="12" t="inlineStr">
        <is>
          <t>H-DC-0011</t>
        </is>
      </c>
      <c r="B3787" s="12" t="inlineStr">
        <is>
          <t>H</t>
        </is>
      </c>
      <c r="C3787" s="12" t="inlineStr">
        <is>
          <t>BESS</t>
        </is>
      </c>
      <c r="D3787" s="12" t="inlineStr">
        <is>
          <t>DC 1,500 V: container to PCS (2 x 1/C per pole pair)</t>
        </is>
      </c>
      <c r="E3787" s="12" t="inlineStr"/>
      <c r="F3787" s="12" t="inlineStr">
        <is>
          <t>BESS container (ISO 40 ft high cube)</t>
        </is>
      </c>
      <c r="G3787" s="12" t="inlineStr"/>
      <c r="H3787" s="12" t="inlineStr">
        <is>
          <t>BESS PCS / MV skid</t>
        </is>
      </c>
      <c r="I3787" s="12" t="inlineStr">
        <is>
          <t>DC 2 kV</t>
        </is>
      </c>
      <c r="J3787" s="12" t="inlineStr">
        <is>
          <t>PV / RHW-2 2 kV 1/C Cu, XLPE (DC)</t>
        </is>
      </c>
      <c r="K3787" s="12" t="inlineStr">
        <is>
          <t>PV|1/C|500</t>
        </is>
      </c>
      <c r="L3787" s="12" t="inlineStr">
        <is>
          <t>1/C</t>
        </is>
      </c>
      <c r="M3787" s="12" t="inlineStr">
        <is>
          <t>500 kcmil</t>
        </is>
      </c>
      <c r="N3787" s="12" t="n">
        <v>4</v>
      </c>
      <c r="O3787" s="12" t="n">
        <v>2</v>
      </c>
      <c r="P3787" s="12" t="n">
        <v>1500</v>
      </c>
      <c r="Q3787" s="12" t="n">
        <v>4000</v>
      </c>
      <c r="R3787" s="12" t="n"/>
      <c r="S3787" s="12" t="inlineStr">
        <is>
          <t>Tray</t>
        </is>
      </c>
      <c r="T3787" s="16" t="n">
        <v>0</v>
      </c>
      <c r="U3787" s="16" t="n">
        <v>284</v>
      </c>
      <c r="V3787" s="16">
        <f>ROUNDUP((T3787+U3787+2*'Read Me'!$B$13)*(1+'Read Me'!$B$12),-1)</f>
        <v/>
      </c>
      <c r="W3787" s="16">
        <f>V3787*N3787*O3787</f>
        <v/>
      </c>
      <c r="X3787" s="12">
        <f>IF(LEFT(I3787,2)="MV",2*N3787*IF(L3787="1/C",O3787,1),0)</f>
        <v/>
      </c>
      <c r="Y3787" s="12">
        <f>IF(OR(LEFT(K3787,4)="LVAX",LEFT(K3787,6)="MV15AX",LEFT(K3787,4)="CTAX",LEFT(K3787,2)="W|"),2*N3787*O3787,0)</f>
        <v/>
      </c>
      <c r="Z3787" s="12" t="inlineStr">
        <is>
          <t>4 sets of +/- per container (typ.)</t>
        </is>
      </c>
      <c r="AA3787" s="12">
        <f>N3787*O3787</f>
        <v/>
      </c>
    </row>
    <row r="3788">
      <c r="A3788" s="12" t="inlineStr">
        <is>
          <t>H-DC-0012</t>
        </is>
      </c>
      <c r="B3788" s="12" t="inlineStr">
        <is>
          <t>H</t>
        </is>
      </c>
      <c r="C3788" s="12" t="inlineStr">
        <is>
          <t>BESS</t>
        </is>
      </c>
      <c r="D3788" s="12" t="inlineStr">
        <is>
          <t>DC 1,500 V: container to PCS (2 x 1/C per pole pair)</t>
        </is>
      </c>
      <c r="E3788" s="12" t="inlineStr"/>
      <c r="F3788" s="12" t="inlineStr">
        <is>
          <t>BESS container (ISO 40 ft high cube)</t>
        </is>
      </c>
      <c r="G3788" s="12" t="inlineStr"/>
      <c r="H3788" s="12" t="inlineStr">
        <is>
          <t>BESS PCS / MV skid</t>
        </is>
      </c>
      <c r="I3788" s="12" t="inlineStr">
        <is>
          <t>DC 2 kV</t>
        </is>
      </c>
      <c r="J3788" s="12" t="inlineStr">
        <is>
          <t>PV / RHW-2 2 kV 1/C Cu, XLPE (DC)</t>
        </is>
      </c>
      <c r="K3788" s="12" t="inlineStr">
        <is>
          <t>PV|1/C|500</t>
        </is>
      </c>
      <c r="L3788" s="12" t="inlineStr">
        <is>
          <t>1/C</t>
        </is>
      </c>
      <c r="M3788" s="12" t="inlineStr">
        <is>
          <t>500 kcmil</t>
        </is>
      </c>
      <c r="N3788" s="12" t="n">
        <v>4</v>
      </c>
      <c r="O3788" s="12" t="n">
        <v>2</v>
      </c>
      <c r="P3788" s="12" t="n">
        <v>1500</v>
      </c>
      <c r="Q3788" s="12" t="n">
        <v>4000</v>
      </c>
      <c r="R3788" s="12" t="n"/>
      <c r="S3788" s="12" t="inlineStr">
        <is>
          <t>Duct bank</t>
        </is>
      </c>
      <c r="T3788" s="16" t="n">
        <v>10</v>
      </c>
      <c r="U3788" s="16" t="n">
        <v>274</v>
      </c>
      <c r="V3788" s="16">
        <f>ROUNDUP((T3788+U3788+2*'Read Me'!$B$13)*(1+'Read Me'!$B$12),-1)</f>
        <v/>
      </c>
      <c r="W3788" s="16">
        <f>V3788*N3788*O3788</f>
        <v/>
      </c>
      <c r="X3788" s="12">
        <f>IF(LEFT(I3788,2)="MV",2*N3788*IF(L3788="1/C",O3788,1),0)</f>
        <v/>
      </c>
      <c r="Y3788" s="12">
        <f>IF(OR(LEFT(K3788,4)="LVAX",LEFT(K3788,6)="MV15AX",LEFT(K3788,4)="CTAX",LEFT(K3788,2)="W|"),2*N3788*O3788,0)</f>
        <v/>
      </c>
      <c r="Z3788" s="12" t="inlineStr">
        <is>
          <t>4 sets of +/- per container (typ.)</t>
        </is>
      </c>
      <c r="AA3788" s="12">
        <f>N3788*O3788</f>
        <v/>
      </c>
    </row>
    <row r="3789">
      <c r="A3789" s="12" t="inlineStr">
        <is>
          <t>H-DC-0013</t>
        </is>
      </c>
      <c r="B3789" s="12" t="inlineStr">
        <is>
          <t>H</t>
        </is>
      </c>
      <c r="C3789" s="12" t="inlineStr">
        <is>
          <t>BESS</t>
        </is>
      </c>
      <c r="D3789" s="12" t="inlineStr">
        <is>
          <t>DC 1,500 V: container to PCS (2 x 1/C per pole pair)</t>
        </is>
      </c>
      <c r="E3789" s="12" t="inlineStr"/>
      <c r="F3789" s="12" t="inlineStr">
        <is>
          <t>BESS container (ISO 40 ft high cube)</t>
        </is>
      </c>
      <c r="G3789" s="12" t="inlineStr"/>
      <c r="H3789" s="12" t="inlineStr">
        <is>
          <t>BESS PCS / MV skid</t>
        </is>
      </c>
      <c r="I3789" s="12" t="inlineStr">
        <is>
          <t>DC 2 kV</t>
        </is>
      </c>
      <c r="J3789" s="12" t="inlineStr">
        <is>
          <t>PV / RHW-2 2 kV 1/C Cu, XLPE (DC)</t>
        </is>
      </c>
      <c r="K3789" s="12" t="inlineStr">
        <is>
          <t>PV|1/C|500</t>
        </is>
      </c>
      <c r="L3789" s="12" t="inlineStr">
        <is>
          <t>1/C</t>
        </is>
      </c>
      <c r="M3789" s="12" t="inlineStr">
        <is>
          <t>500 kcmil</t>
        </is>
      </c>
      <c r="N3789" s="12" t="n">
        <v>4</v>
      </c>
      <c r="O3789" s="12" t="n">
        <v>2</v>
      </c>
      <c r="P3789" s="12" t="n">
        <v>1500</v>
      </c>
      <c r="Q3789" s="12" t="n">
        <v>4000</v>
      </c>
      <c r="R3789" s="12" t="n"/>
      <c r="S3789" s="12" t="inlineStr">
        <is>
          <t>Tray</t>
        </is>
      </c>
      <c r="T3789" s="16" t="n">
        <v>0</v>
      </c>
      <c r="U3789" s="16" t="n">
        <v>290</v>
      </c>
      <c r="V3789" s="16">
        <f>ROUNDUP((T3789+U3789+2*'Read Me'!$B$13)*(1+'Read Me'!$B$12),-1)</f>
        <v/>
      </c>
      <c r="W3789" s="16">
        <f>V3789*N3789*O3789</f>
        <v/>
      </c>
      <c r="X3789" s="12">
        <f>IF(LEFT(I3789,2)="MV",2*N3789*IF(L3789="1/C",O3789,1),0)</f>
        <v/>
      </c>
      <c r="Y3789" s="12">
        <f>IF(OR(LEFT(K3789,4)="LVAX",LEFT(K3789,6)="MV15AX",LEFT(K3789,4)="CTAX",LEFT(K3789,2)="W|"),2*N3789*O3789,0)</f>
        <v/>
      </c>
      <c r="Z3789" s="12" t="inlineStr">
        <is>
          <t>4 sets of +/- per container (typ.)</t>
        </is>
      </c>
      <c r="AA3789" s="12">
        <f>N3789*O3789</f>
        <v/>
      </c>
    </row>
    <row r="3790">
      <c r="A3790" s="12" t="inlineStr">
        <is>
          <t>H-DC-0014</t>
        </is>
      </c>
      <c r="B3790" s="12" t="inlineStr">
        <is>
          <t>H</t>
        </is>
      </c>
      <c r="C3790" s="12" t="inlineStr">
        <is>
          <t>BESS</t>
        </is>
      </c>
      <c r="D3790" s="12" t="inlineStr">
        <is>
          <t>DC 1,500 V: container to PCS (2 x 1/C per pole pair)</t>
        </is>
      </c>
      <c r="E3790" s="12" t="inlineStr"/>
      <c r="F3790" s="12" t="inlineStr">
        <is>
          <t>BESS container (ISO 40 ft high cube)</t>
        </is>
      </c>
      <c r="G3790" s="12" t="inlineStr"/>
      <c r="H3790" s="12" t="inlineStr">
        <is>
          <t>BESS PCS / MV skid</t>
        </is>
      </c>
      <c r="I3790" s="12" t="inlineStr">
        <is>
          <t>DC 2 kV</t>
        </is>
      </c>
      <c r="J3790" s="12" t="inlineStr">
        <is>
          <t>PV / RHW-2 2 kV 1/C Cu, XLPE (DC)</t>
        </is>
      </c>
      <c r="K3790" s="12" t="inlineStr">
        <is>
          <t>PV|1/C|500</t>
        </is>
      </c>
      <c r="L3790" s="12" t="inlineStr">
        <is>
          <t>1/C</t>
        </is>
      </c>
      <c r="M3790" s="12" t="inlineStr">
        <is>
          <t>500 kcmil</t>
        </is>
      </c>
      <c r="N3790" s="12" t="n">
        <v>4</v>
      </c>
      <c r="O3790" s="12" t="n">
        <v>2</v>
      </c>
      <c r="P3790" s="12" t="n">
        <v>1500</v>
      </c>
      <c r="Q3790" s="12" t="n">
        <v>4000</v>
      </c>
      <c r="R3790" s="12" t="n"/>
      <c r="S3790" s="12" t="inlineStr">
        <is>
          <t>Tray</t>
        </is>
      </c>
      <c r="T3790" s="16" t="n">
        <v>0</v>
      </c>
      <c r="U3790" s="16" t="n">
        <v>290</v>
      </c>
      <c r="V3790" s="16">
        <f>ROUNDUP((T3790+U3790+2*'Read Me'!$B$13)*(1+'Read Me'!$B$12),-1)</f>
        <v/>
      </c>
      <c r="W3790" s="16">
        <f>V3790*N3790*O3790</f>
        <v/>
      </c>
      <c r="X3790" s="12">
        <f>IF(LEFT(I3790,2)="MV",2*N3790*IF(L3790="1/C",O3790,1),0)</f>
        <v/>
      </c>
      <c r="Y3790" s="12">
        <f>IF(OR(LEFT(K3790,4)="LVAX",LEFT(K3790,6)="MV15AX",LEFT(K3790,4)="CTAX",LEFT(K3790,2)="W|"),2*N3790*O3790,0)</f>
        <v/>
      </c>
      <c r="Z3790" s="12" t="inlineStr">
        <is>
          <t>4 sets of +/- per container (typ.)</t>
        </is>
      </c>
      <c r="AA3790" s="12">
        <f>N3790*O3790</f>
        <v/>
      </c>
    </row>
    <row r="3791">
      <c r="A3791" s="12" t="inlineStr">
        <is>
          <t>H-DC-0015</t>
        </is>
      </c>
      <c r="B3791" s="12" t="inlineStr">
        <is>
          <t>H</t>
        </is>
      </c>
      <c r="C3791" s="12" t="inlineStr">
        <is>
          <t>BESS</t>
        </is>
      </c>
      <c r="D3791" s="12" t="inlineStr">
        <is>
          <t>DC 1,500 V: container to PCS (2 x 1/C per pole pair)</t>
        </is>
      </c>
      <c r="E3791" s="12" t="inlineStr"/>
      <c r="F3791" s="12" t="inlineStr">
        <is>
          <t>BESS container (ISO 40 ft high cube)</t>
        </is>
      </c>
      <c r="G3791" s="12" t="inlineStr"/>
      <c r="H3791" s="12" t="inlineStr">
        <is>
          <t>BESS PCS / MV skid</t>
        </is>
      </c>
      <c r="I3791" s="12" t="inlineStr">
        <is>
          <t>DC 2 kV</t>
        </is>
      </c>
      <c r="J3791" s="12" t="inlineStr">
        <is>
          <t>PV / RHW-2 2 kV 1/C Cu, XLPE (DC)</t>
        </is>
      </c>
      <c r="K3791" s="12" t="inlineStr">
        <is>
          <t>PV|1/C|500</t>
        </is>
      </c>
      <c r="L3791" s="12" t="inlineStr">
        <is>
          <t>1/C</t>
        </is>
      </c>
      <c r="M3791" s="12" t="inlineStr">
        <is>
          <t>500 kcmil</t>
        </is>
      </c>
      <c r="N3791" s="12" t="n">
        <v>4</v>
      </c>
      <c r="O3791" s="12" t="n">
        <v>2</v>
      </c>
      <c r="P3791" s="12" t="n">
        <v>1500</v>
      </c>
      <c r="Q3791" s="12" t="n">
        <v>4000</v>
      </c>
      <c r="R3791" s="12" t="n"/>
      <c r="S3791" s="12" t="inlineStr">
        <is>
          <t>Tray</t>
        </is>
      </c>
      <c r="T3791" s="16" t="n">
        <v>0</v>
      </c>
      <c r="U3791" s="16" t="n">
        <v>290</v>
      </c>
      <c r="V3791" s="16">
        <f>ROUNDUP((T3791+U3791+2*'Read Me'!$B$13)*(1+'Read Me'!$B$12),-1)</f>
        <v/>
      </c>
      <c r="W3791" s="16">
        <f>V3791*N3791*O3791</f>
        <v/>
      </c>
      <c r="X3791" s="12">
        <f>IF(LEFT(I3791,2)="MV",2*N3791*IF(L3791="1/C",O3791,1),0)</f>
        <v/>
      </c>
      <c r="Y3791" s="12">
        <f>IF(OR(LEFT(K3791,4)="LVAX",LEFT(K3791,6)="MV15AX",LEFT(K3791,4)="CTAX",LEFT(K3791,2)="W|"),2*N3791*O3791,0)</f>
        <v/>
      </c>
      <c r="Z3791" s="12" t="inlineStr">
        <is>
          <t>4 sets of +/- per container (typ.)</t>
        </is>
      </c>
      <c r="AA3791" s="12">
        <f>N3791*O3791</f>
        <v/>
      </c>
    </row>
    <row r="3792">
      <c r="A3792" s="12" t="inlineStr">
        <is>
          <t>H-DC-0016</t>
        </is>
      </c>
      <c r="B3792" s="12" t="inlineStr">
        <is>
          <t>H</t>
        </is>
      </c>
      <c r="C3792" s="12" t="inlineStr">
        <is>
          <t>BESS</t>
        </is>
      </c>
      <c r="D3792" s="12" t="inlineStr">
        <is>
          <t>DC 1,500 V: container to PCS (2 x 1/C per pole pair)</t>
        </is>
      </c>
      <c r="E3792" s="12" t="inlineStr"/>
      <c r="F3792" s="12" t="inlineStr">
        <is>
          <t>BESS container (ISO 40 ft high cube)</t>
        </is>
      </c>
      <c r="G3792" s="12" t="inlineStr"/>
      <c r="H3792" s="12" t="inlineStr">
        <is>
          <t>BESS PCS / MV skid</t>
        </is>
      </c>
      <c r="I3792" s="12" t="inlineStr">
        <is>
          <t>DC 2 kV</t>
        </is>
      </c>
      <c r="J3792" s="12" t="inlineStr">
        <is>
          <t>PV / RHW-2 2 kV 1/C Cu, XLPE (DC)</t>
        </is>
      </c>
      <c r="K3792" s="12" t="inlineStr">
        <is>
          <t>PV|1/C|500</t>
        </is>
      </c>
      <c r="L3792" s="12" t="inlineStr">
        <is>
          <t>1/C</t>
        </is>
      </c>
      <c r="M3792" s="12" t="inlineStr">
        <is>
          <t>500 kcmil</t>
        </is>
      </c>
      <c r="N3792" s="12" t="n">
        <v>4</v>
      </c>
      <c r="O3792" s="12" t="n">
        <v>2</v>
      </c>
      <c r="P3792" s="12" t="n">
        <v>1500</v>
      </c>
      <c r="Q3792" s="12" t="n">
        <v>4000</v>
      </c>
      <c r="R3792" s="12" t="n"/>
      <c r="S3792" s="12" t="inlineStr">
        <is>
          <t>Tray</t>
        </is>
      </c>
      <c r="T3792" s="16" t="n">
        <v>0</v>
      </c>
      <c r="U3792" s="16" t="n">
        <v>290</v>
      </c>
      <c r="V3792" s="16">
        <f>ROUNDUP((T3792+U3792+2*'Read Me'!$B$13)*(1+'Read Me'!$B$12),-1)</f>
        <v/>
      </c>
      <c r="W3792" s="16">
        <f>V3792*N3792*O3792</f>
        <v/>
      </c>
      <c r="X3792" s="12">
        <f>IF(LEFT(I3792,2)="MV",2*N3792*IF(L3792="1/C",O3792,1),0)</f>
        <v/>
      </c>
      <c r="Y3792" s="12">
        <f>IF(OR(LEFT(K3792,4)="LVAX",LEFT(K3792,6)="MV15AX",LEFT(K3792,4)="CTAX",LEFT(K3792,2)="W|"),2*N3792*O3792,0)</f>
        <v/>
      </c>
      <c r="Z3792" s="12" t="inlineStr">
        <is>
          <t>4 sets of +/- per container (typ.)</t>
        </is>
      </c>
      <c r="AA3792" s="12">
        <f>N3792*O3792</f>
        <v/>
      </c>
    </row>
    <row r="3793">
      <c r="A3793" s="12" t="inlineStr">
        <is>
          <t>H-DC-0017</t>
        </is>
      </c>
      <c r="B3793" s="12" t="inlineStr">
        <is>
          <t>H</t>
        </is>
      </c>
      <c r="C3793" s="12" t="inlineStr">
        <is>
          <t>BESS</t>
        </is>
      </c>
      <c r="D3793" s="12" t="inlineStr">
        <is>
          <t>DC 1,500 V: container to PCS (2 x 1/C per pole pair)</t>
        </is>
      </c>
      <c r="E3793" s="12" t="inlineStr"/>
      <c r="F3793" s="12" t="inlineStr">
        <is>
          <t>BESS container (ISO 40 ft high cube)</t>
        </is>
      </c>
      <c r="G3793" s="12" t="inlineStr"/>
      <c r="H3793" s="12" t="inlineStr">
        <is>
          <t>BESS PCS / MV skid</t>
        </is>
      </c>
      <c r="I3793" s="12" t="inlineStr">
        <is>
          <t>DC 2 kV</t>
        </is>
      </c>
      <c r="J3793" s="12" t="inlineStr">
        <is>
          <t>PV / RHW-2 2 kV 1/C Cu, XLPE (DC)</t>
        </is>
      </c>
      <c r="K3793" s="12" t="inlineStr">
        <is>
          <t>PV|1/C|500</t>
        </is>
      </c>
      <c r="L3793" s="12" t="inlineStr">
        <is>
          <t>1/C</t>
        </is>
      </c>
      <c r="M3793" s="12" t="inlineStr">
        <is>
          <t>500 kcmil</t>
        </is>
      </c>
      <c r="N3793" s="12" t="n">
        <v>4</v>
      </c>
      <c r="O3793" s="12" t="n">
        <v>2</v>
      </c>
      <c r="P3793" s="12" t="n">
        <v>1500</v>
      </c>
      <c r="Q3793" s="12" t="n">
        <v>4000</v>
      </c>
      <c r="R3793" s="12" t="n"/>
      <c r="S3793" s="12" t="inlineStr">
        <is>
          <t>Tray</t>
        </is>
      </c>
      <c r="T3793" s="16" t="n">
        <v>0</v>
      </c>
      <c r="U3793" s="16" t="n">
        <v>290</v>
      </c>
      <c r="V3793" s="16">
        <f>ROUNDUP((T3793+U3793+2*'Read Me'!$B$13)*(1+'Read Me'!$B$12),-1)</f>
        <v/>
      </c>
      <c r="W3793" s="16">
        <f>V3793*N3793*O3793</f>
        <v/>
      </c>
      <c r="X3793" s="12">
        <f>IF(LEFT(I3793,2)="MV",2*N3793*IF(L3793="1/C",O3793,1),0)</f>
        <v/>
      </c>
      <c r="Y3793" s="12">
        <f>IF(OR(LEFT(K3793,4)="LVAX",LEFT(K3793,6)="MV15AX",LEFT(K3793,4)="CTAX",LEFT(K3793,2)="W|"),2*N3793*O3793,0)</f>
        <v/>
      </c>
      <c r="Z3793" s="12" t="inlineStr">
        <is>
          <t>4 sets of +/- per container (typ.)</t>
        </is>
      </c>
      <c r="AA3793" s="12">
        <f>N3793*O3793</f>
        <v/>
      </c>
    </row>
    <row r="3794">
      <c r="A3794" s="12" t="inlineStr">
        <is>
          <t>H-DC-0018</t>
        </is>
      </c>
      <c r="B3794" s="12" t="inlineStr">
        <is>
          <t>H</t>
        </is>
      </c>
      <c r="C3794" s="12" t="inlineStr">
        <is>
          <t>BESS</t>
        </is>
      </c>
      <c r="D3794" s="12" t="inlineStr">
        <is>
          <t>DC 1,500 V: container to PCS (2 x 1/C per pole pair)</t>
        </is>
      </c>
      <c r="E3794" s="12" t="inlineStr"/>
      <c r="F3794" s="12" t="inlineStr">
        <is>
          <t>BESS container (ISO 40 ft high cube)</t>
        </is>
      </c>
      <c r="G3794" s="12" t="inlineStr"/>
      <c r="H3794" s="12" t="inlineStr">
        <is>
          <t>BESS PCS / MV skid</t>
        </is>
      </c>
      <c r="I3794" s="12" t="inlineStr">
        <is>
          <t>DC 2 kV</t>
        </is>
      </c>
      <c r="J3794" s="12" t="inlineStr">
        <is>
          <t>PV / RHW-2 2 kV 1/C Cu, XLPE (DC)</t>
        </is>
      </c>
      <c r="K3794" s="12" t="inlineStr">
        <is>
          <t>PV|1/C|500</t>
        </is>
      </c>
      <c r="L3794" s="12" t="inlineStr">
        <is>
          <t>1/C</t>
        </is>
      </c>
      <c r="M3794" s="12" t="inlineStr">
        <is>
          <t>500 kcmil</t>
        </is>
      </c>
      <c r="N3794" s="12" t="n">
        <v>4</v>
      </c>
      <c r="O3794" s="12" t="n">
        <v>2</v>
      </c>
      <c r="P3794" s="12" t="n">
        <v>1500</v>
      </c>
      <c r="Q3794" s="12" t="n">
        <v>4000</v>
      </c>
      <c r="R3794" s="12" t="n"/>
      <c r="S3794" s="12" t="inlineStr">
        <is>
          <t>Tray</t>
        </is>
      </c>
      <c r="T3794" s="16" t="n">
        <v>27</v>
      </c>
      <c r="U3794" s="16" t="n">
        <v>263</v>
      </c>
      <c r="V3794" s="16">
        <f>ROUNDUP((T3794+U3794+2*'Read Me'!$B$13)*(1+'Read Me'!$B$12),-1)</f>
        <v/>
      </c>
      <c r="W3794" s="16">
        <f>V3794*N3794*O3794</f>
        <v/>
      </c>
      <c r="X3794" s="12">
        <f>IF(LEFT(I3794,2)="MV",2*N3794*IF(L3794="1/C",O3794,1),0)</f>
        <v/>
      </c>
      <c r="Y3794" s="12">
        <f>IF(OR(LEFT(K3794,4)="LVAX",LEFT(K3794,6)="MV15AX",LEFT(K3794,4)="CTAX",LEFT(K3794,2)="W|"),2*N3794*O3794,0)</f>
        <v/>
      </c>
      <c r="Z3794" s="12" t="inlineStr">
        <is>
          <t>4 sets of +/- per container (typ.)</t>
        </is>
      </c>
      <c r="AA3794" s="12">
        <f>N3794*O3794</f>
        <v/>
      </c>
    </row>
    <row r="3795">
      <c r="A3795" s="12" t="inlineStr">
        <is>
          <t>H-DC-0019</t>
        </is>
      </c>
      <c r="B3795" s="12" t="inlineStr">
        <is>
          <t>H</t>
        </is>
      </c>
      <c r="C3795" s="12" t="inlineStr">
        <is>
          <t>BESS</t>
        </is>
      </c>
      <c r="D3795" s="12" t="inlineStr">
        <is>
          <t>DC 1,500 V: container to PCS (2 x 1/C per pole pair)</t>
        </is>
      </c>
      <c r="E3795" s="12" t="inlineStr"/>
      <c r="F3795" s="12" t="inlineStr">
        <is>
          <t>BESS container (ISO 40 ft high cube)</t>
        </is>
      </c>
      <c r="G3795" s="12" t="inlineStr"/>
      <c r="H3795" s="12" t="inlineStr">
        <is>
          <t>BESS PCS / MV skid</t>
        </is>
      </c>
      <c r="I3795" s="12" t="inlineStr">
        <is>
          <t>DC 2 kV</t>
        </is>
      </c>
      <c r="J3795" s="12" t="inlineStr">
        <is>
          <t>PV / RHW-2 2 kV 1/C Cu, XLPE (DC)</t>
        </is>
      </c>
      <c r="K3795" s="12" t="inlineStr">
        <is>
          <t>PV|1/C|500</t>
        </is>
      </c>
      <c r="L3795" s="12" t="inlineStr">
        <is>
          <t>1/C</t>
        </is>
      </c>
      <c r="M3795" s="12" t="inlineStr">
        <is>
          <t>500 kcmil</t>
        </is>
      </c>
      <c r="N3795" s="12" t="n">
        <v>4</v>
      </c>
      <c r="O3795" s="12" t="n">
        <v>2</v>
      </c>
      <c r="P3795" s="12" t="n">
        <v>1500</v>
      </c>
      <c r="Q3795" s="12" t="n">
        <v>4000</v>
      </c>
      <c r="R3795" s="12" t="n"/>
      <c r="S3795" s="12" t="inlineStr">
        <is>
          <t>Tray</t>
        </is>
      </c>
      <c r="T3795" s="16" t="n">
        <v>0</v>
      </c>
      <c r="U3795" s="16" t="n">
        <v>174</v>
      </c>
      <c r="V3795" s="16">
        <f>ROUNDUP((T3795+U3795+2*'Read Me'!$B$13)*(1+'Read Me'!$B$12),-1)</f>
        <v/>
      </c>
      <c r="W3795" s="16">
        <f>V3795*N3795*O3795</f>
        <v/>
      </c>
      <c r="X3795" s="12">
        <f>IF(LEFT(I3795,2)="MV",2*N3795*IF(L3795="1/C",O3795,1),0)</f>
        <v/>
      </c>
      <c r="Y3795" s="12">
        <f>IF(OR(LEFT(K3795,4)="LVAX",LEFT(K3795,6)="MV15AX",LEFT(K3795,4)="CTAX",LEFT(K3795,2)="W|"),2*N3795*O3795,0)</f>
        <v/>
      </c>
      <c r="Z3795" s="12" t="inlineStr">
        <is>
          <t>4 sets of +/- per container (typ.)</t>
        </is>
      </c>
      <c r="AA3795" s="12">
        <f>N3795*O3795</f>
        <v/>
      </c>
    </row>
    <row r="3796">
      <c r="A3796" s="12" t="inlineStr">
        <is>
          <t>H-DC-0020</t>
        </is>
      </c>
      <c r="B3796" s="12" t="inlineStr">
        <is>
          <t>H</t>
        </is>
      </c>
      <c r="C3796" s="12" t="inlineStr">
        <is>
          <t>BESS</t>
        </is>
      </c>
      <c r="D3796" s="12" t="inlineStr">
        <is>
          <t>DC 1,500 V: container to PCS (2 x 1/C per pole pair)</t>
        </is>
      </c>
      <c r="E3796" s="12" t="inlineStr"/>
      <c r="F3796" s="12" t="inlineStr">
        <is>
          <t>BESS container (ISO 40 ft high cube)</t>
        </is>
      </c>
      <c r="G3796" s="12" t="inlineStr"/>
      <c r="H3796" s="12" t="inlineStr">
        <is>
          <t>BESS PCS / MV skid</t>
        </is>
      </c>
      <c r="I3796" s="12" t="inlineStr">
        <is>
          <t>DC 2 kV</t>
        </is>
      </c>
      <c r="J3796" s="12" t="inlineStr">
        <is>
          <t>PV / RHW-2 2 kV 1/C Cu, XLPE (DC)</t>
        </is>
      </c>
      <c r="K3796" s="12" t="inlineStr">
        <is>
          <t>PV|1/C|500</t>
        </is>
      </c>
      <c r="L3796" s="12" t="inlineStr">
        <is>
          <t>1/C</t>
        </is>
      </c>
      <c r="M3796" s="12" t="inlineStr">
        <is>
          <t>500 kcmil</t>
        </is>
      </c>
      <c r="N3796" s="12" t="n">
        <v>4</v>
      </c>
      <c r="O3796" s="12" t="n">
        <v>2</v>
      </c>
      <c r="P3796" s="12" t="n">
        <v>1500</v>
      </c>
      <c r="Q3796" s="12" t="n">
        <v>4000</v>
      </c>
      <c r="R3796" s="12" t="n"/>
      <c r="S3796" s="12" t="inlineStr">
        <is>
          <t>Tray</t>
        </is>
      </c>
      <c r="T3796" s="16" t="n">
        <v>0</v>
      </c>
      <c r="U3796" s="16" t="n">
        <v>174</v>
      </c>
      <c r="V3796" s="16">
        <f>ROUNDUP((T3796+U3796+2*'Read Me'!$B$13)*(1+'Read Me'!$B$12),-1)</f>
        <v/>
      </c>
      <c r="W3796" s="16">
        <f>V3796*N3796*O3796</f>
        <v/>
      </c>
      <c r="X3796" s="12">
        <f>IF(LEFT(I3796,2)="MV",2*N3796*IF(L3796="1/C",O3796,1),0)</f>
        <v/>
      </c>
      <c r="Y3796" s="12">
        <f>IF(OR(LEFT(K3796,4)="LVAX",LEFT(K3796,6)="MV15AX",LEFT(K3796,4)="CTAX",LEFT(K3796,2)="W|"),2*N3796*O3796,0)</f>
        <v/>
      </c>
      <c r="Z3796" s="12" t="inlineStr">
        <is>
          <t>4 sets of +/- per container (typ.)</t>
        </is>
      </c>
      <c r="AA3796" s="12">
        <f>N3796*O3796</f>
        <v/>
      </c>
    </row>
    <row r="3797">
      <c r="A3797" s="12" t="inlineStr">
        <is>
          <t>H-DC-0021</t>
        </is>
      </c>
      <c r="B3797" s="12" t="inlineStr">
        <is>
          <t>H</t>
        </is>
      </c>
      <c r="C3797" s="12" t="inlineStr">
        <is>
          <t>BESS</t>
        </is>
      </c>
      <c r="D3797" s="12" t="inlineStr">
        <is>
          <t>DC 1,500 V: container to PCS (2 x 1/C per pole pair)</t>
        </is>
      </c>
      <c r="E3797" s="12" t="inlineStr"/>
      <c r="F3797" s="12" t="inlineStr">
        <is>
          <t>BESS container (ISO 40 ft high cube)</t>
        </is>
      </c>
      <c r="G3797" s="12" t="inlineStr"/>
      <c r="H3797" s="12" t="inlineStr">
        <is>
          <t>BESS PCS / MV skid</t>
        </is>
      </c>
      <c r="I3797" s="12" t="inlineStr">
        <is>
          <t>DC 2 kV</t>
        </is>
      </c>
      <c r="J3797" s="12" t="inlineStr">
        <is>
          <t>PV / RHW-2 2 kV 1/C Cu, XLPE (DC)</t>
        </is>
      </c>
      <c r="K3797" s="12" t="inlineStr">
        <is>
          <t>PV|1/C|500</t>
        </is>
      </c>
      <c r="L3797" s="12" t="inlineStr">
        <is>
          <t>1/C</t>
        </is>
      </c>
      <c r="M3797" s="12" t="inlineStr">
        <is>
          <t>500 kcmil</t>
        </is>
      </c>
      <c r="N3797" s="12" t="n">
        <v>4</v>
      </c>
      <c r="O3797" s="12" t="n">
        <v>2</v>
      </c>
      <c r="P3797" s="12" t="n">
        <v>1500</v>
      </c>
      <c r="Q3797" s="12" t="n">
        <v>4000</v>
      </c>
      <c r="R3797" s="12" t="n"/>
      <c r="S3797" s="12" t="inlineStr">
        <is>
          <t>Tray</t>
        </is>
      </c>
      <c r="T3797" s="16" t="n">
        <v>0</v>
      </c>
      <c r="U3797" s="16" t="n">
        <v>174</v>
      </c>
      <c r="V3797" s="16">
        <f>ROUNDUP((T3797+U3797+2*'Read Me'!$B$13)*(1+'Read Me'!$B$12),-1)</f>
        <v/>
      </c>
      <c r="W3797" s="16">
        <f>V3797*N3797*O3797</f>
        <v/>
      </c>
      <c r="X3797" s="12">
        <f>IF(LEFT(I3797,2)="MV",2*N3797*IF(L3797="1/C",O3797,1),0)</f>
        <v/>
      </c>
      <c r="Y3797" s="12">
        <f>IF(OR(LEFT(K3797,4)="LVAX",LEFT(K3797,6)="MV15AX",LEFT(K3797,4)="CTAX",LEFT(K3797,2)="W|"),2*N3797*O3797,0)</f>
        <v/>
      </c>
      <c r="Z3797" s="12" t="inlineStr">
        <is>
          <t>4 sets of +/- per container (typ.)</t>
        </is>
      </c>
      <c r="AA3797" s="12">
        <f>N3797*O3797</f>
        <v/>
      </c>
    </row>
    <row r="3798">
      <c r="A3798" s="12" t="inlineStr">
        <is>
          <t>H-DC-0022</t>
        </is>
      </c>
      <c r="B3798" s="12" t="inlineStr">
        <is>
          <t>H</t>
        </is>
      </c>
      <c r="C3798" s="12" t="inlineStr">
        <is>
          <t>BESS</t>
        </is>
      </c>
      <c r="D3798" s="12" t="inlineStr">
        <is>
          <t>DC 1,500 V: container to PCS (2 x 1/C per pole pair)</t>
        </is>
      </c>
      <c r="E3798" s="12" t="inlineStr"/>
      <c r="F3798" s="12" t="inlineStr">
        <is>
          <t>BESS container (ISO 40 ft high cube)</t>
        </is>
      </c>
      <c r="G3798" s="12" t="inlineStr"/>
      <c r="H3798" s="12" t="inlineStr">
        <is>
          <t>BESS PCS / MV skid</t>
        </is>
      </c>
      <c r="I3798" s="12" t="inlineStr">
        <is>
          <t>DC 2 kV</t>
        </is>
      </c>
      <c r="J3798" s="12" t="inlineStr">
        <is>
          <t>PV / RHW-2 2 kV 1/C Cu, XLPE (DC)</t>
        </is>
      </c>
      <c r="K3798" s="12" t="inlineStr">
        <is>
          <t>PV|1/C|500</t>
        </is>
      </c>
      <c r="L3798" s="12" t="inlineStr">
        <is>
          <t>1/C</t>
        </is>
      </c>
      <c r="M3798" s="12" t="inlineStr">
        <is>
          <t>500 kcmil</t>
        </is>
      </c>
      <c r="N3798" s="12" t="n">
        <v>4</v>
      </c>
      <c r="O3798" s="12" t="n">
        <v>2</v>
      </c>
      <c r="P3798" s="12" t="n">
        <v>1500</v>
      </c>
      <c r="Q3798" s="12" t="n">
        <v>4000</v>
      </c>
      <c r="R3798" s="12" t="n"/>
      <c r="S3798" s="12" t="inlineStr">
        <is>
          <t>Tray</t>
        </is>
      </c>
      <c r="T3798" s="16" t="n">
        <v>0</v>
      </c>
      <c r="U3798" s="16" t="n">
        <v>174</v>
      </c>
      <c r="V3798" s="16">
        <f>ROUNDUP((T3798+U3798+2*'Read Me'!$B$13)*(1+'Read Me'!$B$12),-1)</f>
        <v/>
      </c>
      <c r="W3798" s="16">
        <f>V3798*N3798*O3798</f>
        <v/>
      </c>
      <c r="X3798" s="12">
        <f>IF(LEFT(I3798,2)="MV",2*N3798*IF(L3798="1/C",O3798,1),0)</f>
        <v/>
      </c>
      <c r="Y3798" s="12">
        <f>IF(OR(LEFT(K3798,4)="LVAX",LEFT(K3798,6)="MV15AX",LEFT(K3798,4)="CTAX",LEFT(K3798,2)="W|"),2*N3798*O3798,0)</f>
        <v/>
      </c>
      <c r="Z3798" s="12" t="inlineStr">
        <is>
          <t>4 sets of +/- per container (typ.)</t>
        </is>
      </c>
      <c r="AA3798" s="12">
        <f>N3798*O3798</f>
        <v/>
      </c>
    </row>
    <row r="3799">
      <c r="A3799" s="12" t="inlineStr">
        <is>
          <t>H-DC-0023</t>
        </is>
      </c>
      <c r="B3799" s="12" t="inlineStr">
        <is>
          <t>H</t>
        </is>
      </c>
      <c r="C3799" s="12" t="inlineStr">
        <is>
          <t>BESS</t>
        </is>
      </c>
      <c r="D3799" s="12" t="inlineStr">
        <is>
          <t>DC 1,500 V: container to PCS (2 x 1/C per pole pair)</t>
        </is>
      </c>
      <c r="E3799" s="12" t="inlineStr"/>
      <c r="F3799" s="12" t="inlineStr">
        <is>
          <t>BESS container (ISO 40 ft high cube)</t>
        </is>
      </c>
      <c r="G3799" s="12" t="inlineStr"/>
      <c r="H3799" s="12" t="inlineStr">
        <is>
          <t>BESS PCS / MV skid</t>
        </is>
      </c>
      <c r="I3799" s="12" t="inlineStr">
        <is>
          <t>DC 2 kV</t>
        </is>
      </c>
      <c r="J3799" s="12" t="inlineStr">
        <is>
          <t>PV / RHW-2 2 kV 1/C Cu, XLPE (DC)</t>
        </is>
      </c>
      <c r="K3799" s="12" t="inlineStr">
        <is>
          <t>PV|1/C|500</t>
        </is>
      </c>
      <c r="L3799" s="12" t="inlineStr">
        <is>
          <t>1/C</t>
        </is>
      </c>
      <c r="M3799" s="12" t="inlineStr">
        <is>
          <t>500 kcmil</t>
        </is>
      </c>
      <c r="N3799" s="12" t="n">
        <v>4</v>
      </c>
      <c r="O3799" s="12" t="n">
        <v>2</v>
      </c>
      <c r="P3799" s="12" t="n">
        <v>1500</v>
      </c>
      <c r="Q3799" s="12" t="n">
        <v>4000</v>
      </c>
      <c r="R3799" s="12" t="n"/>
      <c r="S3799" s="12" t="inlineStr">
        <is>
          <t>Tray</t>
        </is>
      </c>
      <c r="T3799" s="16" t="n">
        <v>0</v>
      </c>
      <c r="U3799" s="16" t="n">
        <v>174</v>
      </c>
      <c r="V3799" s="16">
        <f>ROUNDUP((T3799+U3799+2*'Read Me'!$B$13)*(1+'Read Me'!$B$12),-1)</f>
        <v/>
      </c>
      <c r="W3799" s="16">
        <f>V3799*N3799*O3799</f>
        <v/>
      </c>
      <c r="X3799" s="12">
        <f>IF(LEFT(I3799,2)="MV",2*N3799*IF(L3799="1/C",O3799,1),0)</f>
        <v/>
      </c>
      <c r="Y3799" s="12">
        <f>IF(OR(LEFT(K3799,4)="LVAX",LEFT(K3799,6)="MV15AX",LEFT(K3799,4)="CTAX",LEFT(K3799,2)="W|"),2*N3799*O3799,0)</f>
        <v/>
      </c>
      <c r="Z3799" s="12" t="inlineStr">
        <is>
          <t>4 sets of +/- per container (typ.)</t>
        </is>
      </c>
      <c r="AA3799" s="12">
        <f>N3799*O3799</f>
        <v/>
      </c>
    </row>
    <row r="3800">
      <c r="A3800" s="12" t="inlineStr">
        <is>
          <t>H-DC-0024</t>
        </is>
      </c>
      <c r="B3800" s="12" t="inlineStr">
        <is>
          <t>H</t>
        </is>
      </c>
      <c r="C3800" s="12" t="inlineStr">
        <is>
          <t>BESS</t>
        </is>
      </c>
      <c r="D3800" s="12" t="inlineStr">
        <is>
          <t>DC 1,500 V: container to PCS (2 x 1/C per pole pair)</t>
        </is>
      </c>
      <c r="E3800" s="12" t="inlineStr"/>
      <c r="F3800" s="12" t="inlineStr">
        <is>
          <t>BESS container (ISO 40 ft high cube)</t>
        </is>
      </c>
      <c r="G3800" s="12" t="inlineStr"/>
      <c r="H3800" s="12" t="inlineStr">
        <is>
          <t>BESS PCS / MV skid</t>
        </is>
      </c>
      <c r="I3800" s="12" t="inlineStr">
        <is>
          <t>DC 2 kV</t>
        </is>
      </c>
      <c r="J3800" s="12" t="inlineStr">
        <is>
          <t>PV / RHW-2 2 kV 1/C Cu, XLPE (DC)</t>
        </is>
      </c>
      <c r="K3800" s="12" t="inlineStr">
        <is>
          <t>PV|1/C|500</t>
        </is>
      </c>
      <c r="L3800" s="12" t="inlineStr">
        <is>
          <t>1/C</t>
        </is>
      </c>
      <c r="M3800" s="12" t="inlineStr">
        <is>
          <t>500 kcmil</t>
        </is>
      </c>
      <c r="N3800" s="12" t="n">
        <v>4</v>
      </c>
      <c r="O3800" s="12" t="n">
        <v>2</v>
      </c>
      <c r="P3800" s="12" t="n">
        <v>1500</v>
      </c>
      <c r="Q3800" s="12" t="n">
        <v>4000</v>
      </c>
      <c r="R3800" s="12" t="n"/>
      <c r="S3800" s="12" t="inlineStr">
        <is>
          <t>Tray</t>
        </is>
      </c>
      <c r="T3800" s="16" t="n">
        <v>0</v>
      </c>
      <c r="U3800" s="16" t="n">
        <v>174</v>
      </c>
      <c r="V3800" s="16">
        <f>ROUNDUP((T3800+U3800+2*'Read Me'!$B$13)*(1+'Read Me'!$B$12),-1)</f>
        <v/>
      </c>
      <c r="W3800" s="16">
        <f>V3800*N3800*O3800</f>
        <v/>
      </c>
      <c r="X3800" s="12">
        <f>IF(LEFT(I3800,2)="MV",2*N3800*IF(L3800="1/C",O3800,1),0)</f>
        <v/>
      </c>
      <c r="Y3800" s="12">
        <f>IF(OR(LEFT(K3800,4)="LVAX",LEFT(K3800,6)="MV15AX",LEFT(K3800,4)="CTAX",LEFT(K3800,2)="W|"),2*N3800*O3800,0)</f>
        <v/>
      </c>
      <c r="Z3800" s="12" t="inlineStr">
        <is>
          <t>4 sets of +/- per container (typ.)</t>
        </is>
      </c>
      <c r="AA3800" s="12">
        <f>N3800*O3800</f>
        <v/>
      </c>
    </row>
    <row r="3801">
      <c r="A3801" s="12" t="inlineStr">
        <is>
          <t>H-DC-0025</t>
        </is>
      </c>
      <c r="B3801" s="12" t="inlineStr">
        <is>
          <t>H</t>
        </is>
      </c>
      <c r="C3801" s="12" t="inlineStr">
        <is>
          <t>BESS</t>
        </is>
      </c>
      <c r="D3801" s="12" t="inlineStr">
        <is>
          <t>DC 1,500 V: container to PCS (2 x 1/C per pole pair)</t>
        </is>
      </c>
      <c r="E3801" s="12" t="inlineStr"/>
      <c r="F3801" s="12" t="inlineStr">
        <is>
          <t>BESS container (ISO 40 ft high cube)</t>
        </is>
      </c>
      <c r="G3801" s="12" t="inlineStr"/>
      <c r="H3801" s="12" t="inlineStr">
        <is>
          <t>BESS PCS / MV skid</t>
        </is>
      </c>
      <c r="I3801" s="12" t="inlineStr">
        <is>
          <t>DC 2 kV</t>
        </is>
      </c>
      <c r="J3801" s="12" t="inlineStr">
        <is>
          <t>PV / RHW-2 2 kV 1/C Cu, XLPE (DC)</t>
        </is>
      </c>
      <c r="K3801" s="12" t="inlineStr">
        <is>
          <t>PV|1/C|500</t>
        </is>
      </c>
      <c r="L3801" s="12" t="inlineStr">
        <is>
          <t>1/C</t>
        </is>
      </c>
      <c r="M3801" s="12" t="inlineStr">
        <is>
          <t>500 kcmil</t>
        </is>
      </c>
      <c r="N3801" s="12" t="n">
        <v>4</v>
      </c>
      <c r="O3801" s="12" t="n">
        <v>2</v>
      </c>
      <c r="P3801" s="12" t="n">
        <v>1500</v>
      </c>
      <c r="Q3801" s="12" t="n">
        <v>4000</v>
      </c>
      <c r="R3801" s="12" t="n"/>
      <c r="S3801" s="12" t="inlineStr">
        <is>
          <t>Tray</t>
        </is>
      </c>
      <c r="T3801" s="16" t="n">
        <v>0</v>
      </c>
      <c r="U3801" s="16" t="n">
        <v>62</v>
      </c>
      <c r="V3801" s="16">
        <f>ROUNDUP((T3801+U3801+2*'Read Me'!$B$13)*(1+'Read Me'!$B$12),-1)</f>
        <v/>
      </c>
      <c r="W3801" s="16">
        <f>V3801*N3801*O3801</f>
        <v/>
      </c>
      <c r="X3801" s="12">
        <f>IF(LEFT(I3801,2)="MV",2*N3801*IF(L3801="1/C",O3801,1),0)</f>
        <v/>
      </c>
      <c r="Y3801" s="12">
        <f>IF(OR(LEFT(K3801,4)="LVAX",LEFT(K3801,6)="MV15AX",LEFT(K3801,4)="CTAX",LEFT(K3801,2)="W|"),2*N3801*O3801,0)</f>
        <v/>
      </c>
      <c r="Z3801" s="12" t="inlineStr">
        <is>
          <t>4 sets of +/- per container (typ.)</t>
        </is>
      </c>
      <c r="AA3801" s="12">
        <f>N3801*O3801</f>
        <v/>
      </c>
    </row>
    <row r="3802">
      <c r="A3802" s="12" t="inlineStr">
        <is>
          <t>H-DC-0026</t>
        </is>
      </c>
      <c r="B3802" s="12" t="inlineStr">
        <is>
          <t>H</t>
        </is>
      </c>
      <c r="C3802" s="12" t="inlineStr">
        <is>
          <t>BESS</t>
        </is>
      </c>
      <c r="D3802" s="12" t="inlineStr">
        <is>
          <t>DC 1,500 V: container to PCS (2 x 1/C per pole pair)</t>
        </is>
      </c>
      <c r="E3802" s="12" t="inlineStr"/>
      <c r="F3802" s="12" t="inlineStr">
        <is>
          <t>BESS container (ISO 40 ft high cube)</t>
        </is>
      </c>
      <c r="G3802" s="12" t="inlineStr"/>
      <c r="H3802" s="12" t="inlineStr">
        <is>
          <t>BESS PCS / MV skid</t>
        </is>
      </c>
      <c r="I3802" s="12" t="inlineStr">
        <is>
          <t>DC 2 kV</t>
        </is>
      </c>
      <c r="J3802" s="12" t="inlineStr">
        <is>
          <t>PV / RHW-2 2 kV 1/C Cu, XLPE (DC)</t>
        </is>
      </c>
      <c r="K3802" s="12" t="inlineStr">
        <is>
          <t>PV|1/C|500</t>
        </is>
      </c>
      <c r="L3802" s="12" t="inlineStr">
        <is>
          <t>1/C</t>
        </is>
      </c>
      <c r="M3802" s="12" t="inlineStr">
        <is>
          <t>500 kcmil</t>
        </is>
      </c>
      <c r="N3802" s="12" t="n">
        <v>4</v>
      </c>
      <c r="O3802" s="12" t="n">
        <v>2</v>
      </c>
      <c r="P3802" s="12" t="n">
        <v>1500</v>
      </c>
      <c r="Q3802" s="12" t="n">
        <v>4000</v>
      </c>
      <c r="R3802" s="12" t="n"/>
      <c r="S3802" s="12" t="inlineStr">
        <is>
          <t>Tray</t>
        </is>
      </c>
      <c r="T3802" s="16" t="n">
        <v>0</v>
      </c>
      <c r="U3802" s="16" t="n">
        <v>62</v>
      </c>
      <c r="V3802" s="16">
        <f>ROUNDUP((T3802+U3802+2*'Read Me'!$B$13)*(1+'Read Me'!$B$12),-1)</f>
        <v/>
      </c>
      <c r="W3802" s="16">
        <f>V3802*N3802*O3802</f>
        <v/>
      </c>
      <c r="X3802" s="12">
        <f>IF(LEFT(I3802,2)="MV",2*N3802*IF(L3802="1/C",O3802,1),0)</f>
        <v/>
      </c>
      <c r="Y3802" s="12">
        <f>IF(OR(LEFT(K3802,4)="LVAX",LEFT(K3802,6)="MV15AX",LEFT(K3802,4)="CTAX",LEFT(K3802,2)="W|"),2*N3802*O3802,0)</f>
        <v/>
      </c>
      <c r="Z3802" s="12" t="inlineStr">
        <is>
          <t>4 sets of +/- per container (typ.)</t>
        </is>
      </c>
      <c r="AA3802" s="12">
        <f>N3802*O3802</f>
        <v/>
      </c>
    </row>
    <row r="3803">
      <c r="A3803" s="12" t="inlineStr">
        <is>
          <t>H-DC-0027</t>
        </is>
      </c>
      <c r="B3803" s="12" t="inlineStr">
        <is>
          <t>H</t>
        </is>
      </c>
      <c r="C3803" s="12" t="inlineStr">
        <is>
          <t>BESS</t>
        </is>
      </c>
      <c r="D3803" s="12" t="inlineStr">
        <is>
          <t>DC 1,500 V: container to PCS (2 x 1/C per pole pair)</t>
        </is>
      </c>
      <c r="E3803" s="12" t="inlineStr"/>
      <c r="F3803" s="12" t="inlineStr">
        <is>
          <t>BESS container (ISO 40 ft high cube)</t>
        </is>
      </c>
      <c r="G3803" s="12" t="inlineStr"/>
      <c r="H3803" s="12" t="inlineStr">
        <is>
          <t>BESS PCS / MV skid</t>
        </is>
      </c>
      <c r="I3803" s="12" t="inlineStr">
        <is>
          <t>DC 2 kV</t>
        </is>
      </c>
      <c r="J3803" s="12" t="inlineStr">
        <is>
          <t>PV / RHW-2 2 kV 1/C Cu, XLPE (DC)</t>
        </is>
      </c>
      <c r="K3803" s="12" t="inlineStr">
        <is>
          <t>PV|1/C|500</t>
        </is>
      </c>
      <c r="L3803" s="12" t="inlineStr">
        <is>
          <t>1/C</t>
        </is>
      </c>
      <c r="M3803" s="12" t="inlineStr">
        <is>
          <t>500 kcmil</t>
        </is>
      </c>
      <c r="N3803" s="12" t="n">
        <v>4</v>
      </c>
      <c r="O3803" s="12" t="n">
        <v>2</v>
      </c>
      <c r="P3803" s="12" t="n">
        <v>1500</v>
      </c>
      <c r="Q3803" s="12" t="n">
        <v>4000</v>
      </c>
      <c r="R3803" s="12" t="n"/>
      <c r="S3803" s="12" t="inlineStr">
        <is>
          <t>Tray</t>
        </is>
      </c>
      <c r="T3803" s="16" t="n">
        <v>0</v>
      </c>
      <c r="U3803" s="16" t="n">
        <v>62</v>
      </c>
      <c r="V3803" s="16">
        <f>ROUNDUP((T3803+U3803+2*'Read Me'!$B$13)*(1+'Read Me'!$B$12),-1)</f>
        <v/>
      </c>
      <c r="W3803" s="16">
        <f>V3803*N3803*O3803</f>
        <v/>
      </c>
      <c r="X3803" s="12">
        <f>IF(LEFT(I3803,2)="MV",2*N3803*IF(L3803="1/C",O3803,1),0)</f>
        <v/>
      </c>
      <c r="Y3803" s="12">
        <f>IF(OR(LEFT(K3803,4)="LVAX",LEFT(K3803,6)="MV15AX",LEFT(K3803,4)="CTAX",LEFT(K3803,2)="W|"),2*N3803*O3803,0)</f>
        <v/>
      </c>
      <c r="Z3803" s="12" t="inlineStr">
        <is>
          <t>4 sets of +/- per container (typ.)</t>
        </is>
      </c>
      <c r="AA3803" s="12">
        <f>N3803*O3803</f>
        <v/>
      </c>
    </row>
    <row r="3804">
      <c r="A3804" s="12" t="inlineStr">
        <is>
          <t>H-DC-0028</t>
        </is>
      </c>
      <c r="B3804" s="12" t="inlineStr">
        <is>
          <t>H</t>
        </is>
      </c>
      <c r="C3804" s="12" t="inlineStr">
        <is>
          <t>BESS</t>
        </is>
      </c>
      <c r="D3804" s="12" t="inlineStr">
        <is>
          <t>DC 1,500 V: container to PCS (2 x 1/C per pole pair)</t>
        </is>
      </c>
      <c r="E3804" s="12" t="inlineStr"/>
      <c r="F3804" s="12" t="inlineStr">
        <is>
          <t>BESS container (ISO 40 ft high cube)</t>
        </is>
      </c>
      <c r="G3804" s="12" t="inlineStr"/>
      <c r="H3804" s="12" t="inlineStr">
        <is>
          <t>BESS PCS / MV skid</t>
        </is>
      </c>
      <c r="I3804" s="12" t="inlineStr">
        <is>
          <t>DC 2 kV</t>
        </is>
      </c>
      <c r="J3804" s="12" t="inlineStr">
        <is>
          <t>PV / RHW-2 2 kV 1/C Cu, XLPE (DC)</t>
        </is>
      </c>
      <c r="K3804" s="12" t="inlineStr">
        <is>
          <t>PV|1/C|500</t>
        </is>
      </c>
      <c r="L3804" s="12" t="inlineStr">
        <is>
          <t>1/C</t>
        </is>
      </c>
      <c r="M3804" s="12" t="inlineStr">
        <is>
          <t>500 kcmil</t>
        </is>
      </c>
      <c r="N3804" s="12" t="n">
        <v>4</v>
      </c>
      <c r="O3804" s="12" t="n">
        <v>2</v>
      </c>
      <c r="P3804" s="12" t="n">
        <v>1500</v>
      </c>
      <c r="Q3804" s="12" t="n">
        <v>4000</v>
      </c>
      <c r="R3804" s="12" t="n"/>
      <c r="S3804" s="12" t="inlineStr">
        <is>
          <t>Tray</t>
        </is>
      </c>
      <c r="T3804" s="16" t="n">
        <v>0</v>
      </c>
      <c r="U3804" s="16" t="n">
        <v>62</v>
      </c>
      <c r="V3804" s="16">
        <f>ROUNDUP((T3804+U3804+2*'Read Me'!$B$13)*(1+'Read Me'!$B$12),-1)</f>
        <v/>
      </c>
      <c r="W3804" s="16">
        <f>V3804*N3804*O3804</f>
        <v/>
      </c>
      <c r="X3804" s="12">
        <f>IF(LEFT(I3804,2)="MV",2*N3804*IF(L3804="1/C",O3804,1),0)</f>
        <v/>
      </c>
      <c r="Y3804" s="12">
        <f>IF(OR(LEFT(K3804,4)="LVAX",LEFT(K3804,6)="MV15AX",LEFT(K3804,4)="CTAX",LEFT(K3804,2)="W|"),2*N3804*O3804,0)</f>
        <v/>
      </c>
      <c r="Z3804" s="12" t="inlineStr">
        <is>
          <t>4 sets of +/- per container (typ.)</t>
        </is>
      </c>
      <c r="AA3804" s="12">
        <f>N3804*O3804</f>
        <v/>
      </c>
    </row>
    <row r="3805">
      <c r="A3805" s="12" t="inlineStr">
        <is>
          <t>H-DC-0029</t>
        </is>
      </c>
      <c r="B3805" s="12" t="inlineStr">
        <is>
          <t>H</t>
        </is>
      </c>
      <c r="C3805" s="12" t="inlineStr">
        <is>
          <t>BESS</t>
        </is>
      </c>
      <c r="D3805" s="12" t="inlineStr">
        <is>
          <t>DC 1,500 V: container to PCS (2 x 1/C per pole pair)</t>
        </is>
      </c>
      <c r="E3805" s="12" t="inlineStr"/>
      <c r="F3805" s="12" t="inlineStr">
        <is>
          <t>BESS container (ISO 40 ft high cube)</t>
        </is>
      </c>
      <c r="G3805" s="12" t="inlineStr"/>
      <c r="H3805" s="12" t="inlineStr">
        <is>
          <t>BESS PCS / MV skid</t>
        </is>
      </c>
      <c r="I3805" s="12" t="inlineStr">
        <is>
          <t>DC 2 kV</t>
        </is>
      </c>
      <c r="J3805" s="12" t="inlineStr">
        <is>
          <t>PV / RHW-2 2 kV 1/C Cu, XLPE (DC)</t>
        </is>
      </c>
      <c r="K3805" s="12" t="inlineStr">
        <is>
          <t>PV|1/C|500</t>
        </is>
      </c>
      <c r="L3805" s="12" t="inlineStr">
        <is>
          <t>1/C</t>
        </is>
      </c>
      <c r="M3805" s="12" t="inlineStr">
        <is>
          <t>500 kcmil</t>
        </is>
      </c>
      <c r="N3805" s="12" t="n">
        <v>4</v>
      </c>
      <c r="O3805" s="12" t="n">
        <v>2</v>
      </c>
      <c r="P3805" s="12" t="n">
        <v>1500</v>
      </c>
      <c r="Q3805" s="12" t="n">
        <v>4000</v>
      </c>
      <c r="R3805" s="12" t="n"/>
      <c r="S3805" s="12" t="inlineStr">
        <is>
          <t>Tray</t>
        </is>
      </c>
      <c r="T3805" s="16" t="n">
        <v>0</v>
      </c>
      <c r="U3805" s="16" t="n">
        <v>62</v>
      </c>
      <c r="V3805" s="16">
        <f>ROUNDUP((T3805+U3805+2*'Read Me'!$B$13)*(1+'Read Me'!$B$12),-1)</f>
        <v/>
      </c>
      <c r="W3805" s="16">
        <f>V3805*N3805*O3805</f>
        <v/>
      </c>
      <c r="X3805" s="12">
        <f>IF(LEFT(I3805,2)="MV",2*N3805*IF(L3805="1/C",O3805,1),0)</f>
        <v/>
      </c>
      <c r="Y3805" s="12">
        <f>IF(OR(LEFT(K3805,4)="LVAX",LEFT(K3805,6)="MV15AX",LEFT(K3805,4)="CTAX",LEFT(K3805,2)="W|"),2*N3805*O3805,0)</f>
        <v/>
      </c>
      <c r="Z3805" s="12" t="inlineStr">
        <is>
          <t>4 sets of +/- per container (typ.)</t>
        </is>
      </c>
      <c r="AA3805" s="12">
        <f>N3805*O3805</f>
        <v/>
      </c>
    </row>
    <row r="3806">
      <c r="A3806" s="12" t="inlineStr">
        <is>
          <t>H-DC-0030</t>
        </is>
      </c>
      <c r="B3806" s="12" t="inlineStr">
        <is>
          <t>H</t>
        </is>
      </c>
      <c r="C3806" s="12" t="inlineStr">
        <is>
          <t>BESS</t>
        </is>
      </c>
      <c r="D3806" s="12" t="inlineStr">
        <is>
          <t>DC 1,500 V: container to PCS (2 x 1/C per pole pair)</t>
        </is>
      </c>
      <c r="E3806" s="12" t="inlineStr"/>
      <c r="F3806" s="12" t="inlineStr">
        <is>
          <t>BESS container (ISO 40 ft high cube)</t>
        </is>
      </c>
      <c r="G3806" s="12" t="inlineStr"/>
      <c r="H3806" s="12" t="inlineStr">
        <is>
          <t>BESS PCS / MV skid</t>
        </is>
      </c>
      <c r="I3806" s="12" t="inlineStr">
        <is>
          <t>DC 2 kV</t>
        </is>
      </c>
      <c r="J3806" s="12" t="inlineStr">
        <is>
          <t>PV / RHW-2 2 kV 1/C Cu, XLPE (DC)</t>
        </is>
      </c>
      <c r="K3806" s="12" t="inlineStr">
        <is>
          <t>PV|1/C|500</t>
        </is>
      </c>
      <c r="L3806" s="12" t="inlineStr">
        <is>
          <t>1/C</t>
        </is>
      </c>
      <c r="M3806" s="12" t="inlineStr">
        <is>
          <t>500 kcmil</t>
        </is>
      </c>
      <c r="N3806" s="12" t="n">
        <v>4</v>
      </c>
      <c r="O3806" s="12" t="n">
        <v>2</v>
      </c>
      <c r="P3806" s="12" t="n">
        <v>1500</v>
      </c>
      <c r="Q3806" s="12" t="n">
        <v>4000</v>
      </c>
      <c r="R3806" s="12" t="n"/>
      <c r="S3806" s="12" t="inlineStr">
        <is>
          <t>Tray</t>
        </is>
      </c>
      <c r="T3806" s="16" t="n">
        <v>0</v>
      </c>
      <c r="U3806" s="16" t="n">
        <v>62</v>
      </c>
      <c r="V3806" s="16">
        <f>ROUNDUP((T3806+U3806+2*'Read Me'!$B$13)*(1+'Read Me'!$B$12),-1)</f>
        <v/>
      </c>
      <c r="W3806" s="16">
        <f>V3806*N3806*O3806</f>
        <v/>
      </c>
      <c r="X3806" s="12">
        <f>IF(LEFT(I3806,2)="MV",2*N3806*IF(L3806="1/C",O3806,1),0)</f>
        <v/>
      </c>
      <c r="Y3806" s="12">
        <f>IF(OR(LEFT(K3806,4)="LVAX",LEFT(K3806,6)="MV15AX",LEFT(K3806,4)="CTAX",LEFT(K3806,2)="W|"),2*N3806*O3806,0)</f>
        <v/>
      </c>
      <c r="Z3806" s="12" t="inlineStr">
        <is>
          <t>4 sets of +/- per container (typ.)</t>
        </is>
      </c>
      <c r="AA3806" s="12">
        <f>N3806*O3806</f>
        <v/>
      </c>
    </row>
    <row r="3807">
      <c r="A3807" s="12" t="inlineStr">
        <is>
          <t>H-F-0001</t>
        </is>
      </c>
      <c r="B3807" s="12" t="inlineStr">
        <is>
          <t>H</t>
        </is>
      </c>
      <c r="C3807" s="12" t="inlineStr">
        <is>
          <t>BESS</t>
        </is>
      </c>
      <c r="D3807" s="12" t="inlineStr">
        <is>
          <t>Plant network / DCS fibre</t>
        </is>
      </c>
      <c r="E3807" s="12" t="inlineStr">
        <is>
          <t>CR</t>
        </is>
      </c>
      <c r="F3807" s="12" t="inlineStr">
        <is>
          <t>Control / admin building (main control room)</t>
        </is>
      </c>
      <c r="G3807" s="12" t="inlineStr"/>
      <c r="H3807" s="12" t="inlineStr">
        <is>
          <t>34.5 kV collector e-house (arc-resistant)</t>
        </is>
      </c>
      <c r="I3807" s="12" t="inlineStr">
        <is>
          <t>Fibre / data</t>
        </is>
      </c>
      <c r="J3807" s="12" t="inlineStr">
        <is>
          <t>Fibre optic, single-mode, 12-fibre, armored, orange jacket</t>
        </is>
      </c>
      <c r="K3807" s="12" t="inlineStr">
        <is>
          <t>FO|12 SM|-</t>
        </is>
      </c>
      <c r="L3807" s="12" t="inlineStr">
        <is>
          <t>12 SM</t>
        </is>
      </c>
      <c r="M3807" s="12" t="inlineStr">
        <is>
          <t>-</t>
        </is>
      </c>
      <c r="N3807" s="12" t="n">
        <v>1</v>
      </c>
      <c r="O3807" s="12" t="n">
        <v>1</v>
      </c>
      <c r="P3807" s="12" t="n"/>
      <c r="Q3807" s="12" t="n"/>
      <c r="R3807" s="12" t="n"/>
      <c r="S3807" s="12" t="inlineStr">
        <is>
          <t>Trench</t>
        </is>
      </c>
      <c r="T3807" s="16" t="n">
        <v>2496</v>
      </c>
      <c r="U3807" s="16" t="n">
        <v>36</v>
      </c>
      <c r="V3807" s="16">
        <f>ROUNDUP((T3807+U3807+2*'Read Me'!$B$13)*(1+'Read Me'!$B$12),-1)</f>
        <v/>
      </c>
      <c r="W3807" s="16">
        <f>V3807*N3807*O3807</f>
        <v/>
      </c>
      <c r="X3807" s="12">
        <f>IF(LEFT(I3807,2)="MV",2*N3807*IF(L3807="1/C",O3807,1),0)</f>
        <v/>
      </c>
      <c r="Y3807" s="12">
        <f>IF(OR(LEFT(K3807,4)="LVAX",LEFT(K3807,6)="MV15AX",LEFT(K3807,4)="CTAX",LEFT(K3807,2)="W|"),2*N3807*O3807,0)</f>
        <v/>
      </c>
      <c r="Z3807" s="12" t="inlineStr"/>
      <c r="AA3807" s="12">
        <f>N3807*O3807</f>
        <v/>
      </c>
    </row>
    <row r="3808">
      <c r="A3808" s="12" t="inlineStr">
        <is>
          <t>H-F-0002</t>
        </is>
      </c>
      <c r="B3808" s="12" t="inlineStr">
        <is>
          <t>H</t>
        </is>
      </c>
      <c r="C3808" s="12" t="inlineStr">
        <is>
          <t>BESS</t>
        </is>
      </c>
      <c r="D3808" s="12" t="inlineStr">
        <is>
          <t>Plant network / DCS fibre</t>
        </is>
      </c>
      <c r="E3808" s="12" t="inlineStr">
        <is>
          <t>CR</t>
        </is>
      </c>
      <c r="F3808" s="12" t="inlineStr">
        <is>
          <t>Control / admin building (main control room)</t>
        </is>
      </c>
      <c r="G3808" s="12" t="inlineStr"/>
      <c r="H3808" s="12" t="inlineStr">
        <is>
          <t>BESS EMS / SCADA and revenue metering</t>
        </is>
      </c>
      <c r="I3808" s="12" t="inlineStr">
        <is>
          <t>Fibre / data</t>
        </is>
      </c>
      <c r="J3808" s="12" t="inlineStr">
        <is>
          <t>Fibre optic, single-mode, 12-fibre, armored, orange jacket</t>
        </is>
      </c>
      <c r="K3808" s="12" t="inlineStr">
        <is>
          <t>FO|12 SM|-</t>
        </is>
      </c>
      <c r="L3808" s="12" t="inlineStr">
        <is>
          <t>12 SM</t>
        </is>
      </c>
      <c r="M3808" s="12" t="inlineStr">
        <is>
          <t>-</t>
        </is>
      </c>
      <c r="N3808" s="12" t="n">
        <v>1</v>
      </c>
      <c r="O3808" s="12" t="n">
        <v>1</v>
      </c>
      <c r="P3808" s="12" t="n"/>
      <c r="Q3808" s="12" t="n"/>
      <c r="R3808" s="12" t="n"/>
      <c r="S3808" s="12" t="inlineStr">
        <is>
          <t>Trench</t>
        </is>
      </c>
      <c r="T3808" s="16" t="n">
        <v>2583</v>
      </c>
      <c r="U3808" s="16" t="n">
        <v>76</v>
      </c>
      <c r="V3808" s="16">
        <f>ROUNDUP((T3808+U3808+2*'Read Me'!$B$13)*(1+'Read Me'!$B$12),-1)</f>
        <v/>
      </c>
      <c r="W3808" s="16">
        <f>V3808*N3808*O3808</f>
        <v/>
      </c>
      <c r="X3808" s="12">
        <f>IF(LEFT(I3808,2)="MV",2*N3808*IF(L3808="1/C",O3808,1),0)</f>
        <v/>
      </c>
      <c r="Y3808" s="12">
        <f>IF(OR(LEFT(K3808,4)="LVAX",LEFT(K3808,6)="MV15AX",LEFT(K3808,4)="CTAX",LEFT(K3808,2)="W|"),2*N3808*O3808,0)</f>
        <v/>
      </c>
      <c r="Z3808" s="12" t="inlineStr"/>
      <c r="AA3808" s="12">
        <f>N3808*O3808</f>
        <v/>
      </c>
    </row>
    <row r="3809">
      <c r="A3809" s="12" t="inlineStr">
        <is>
          <t>H-FA-0001</t>
        </is>
      </c>
      <c r="B3809" s="12" t="inlineStr">
        <is>
          <t>H</t>
        </is>
      </c>
      <c r="C3809" s="12" t="inlineStr">
        <is>
          <t>BESS</t>
        </is>
      </c>
      <c r="D3809" s="12" t="inlineStr">
        <is>
          <t>Fire alarm / F&amp;G loop (to the local FACP / F&amp;G node)</t>
        </is>
      </c>
      <c r="E3809" s="12" t="inlineStr"/>
      <c r="F3809" s="12" t="inlineStr">
        <is>
          <t>BESS EMS / SCADA and revenue metering</t>
        </is>
      </c>
      <c r="G3809" s="12" t="inlineStr"/>
      <c r="H3809" s="12" t="inlineStr">
        <is>
          <t>34.5 kV collector e-house (arc-resistant)</t>
        </is>
      </c>
      <c r="I3809" s="12" t="inlineStr">
        <is>
          <t>Fire alarm</t>
        </is>
      </c>
      <c r="J3809" s="12" t="inlineStr">
        <is>
          <t>Fire alarm FPLR 2/C #14 shielded, red jacket (NEC 760)</t>
        </is>
      </c>
      <c r="K3809" s="12" t="inlineStr">
        <is>
          <t>FA|2/C|14</t>
        </is>
      </c>
      <c r="L3809" s="12" t="inlineStr">
        <is>
          <t>2/C</t>
        </is>
      </c>
      <c r="M3809" s="12" t="inlineStr">
        <is>
          <t>14</t>
        </is>
      </c>
      <c r="N3809" s="12" t="n">
        <v>1</v>
      </c>
      <c r="O3809" s="12" t="n">
        <v>1</v>
      </c>
      <c r="P3809" s="12" t="n"/>
      <c r="Q3809" s="12" t="n"/>
      <c r="R3809" s="12" t="n"/>
      <c r="S3809" s="12" t="inlineStr">
        <is>
          <t>Duct bank</t>
        </is>
      </c>
      <c r="T3809" s="16" t="n">
        <v>68</v>
      </c>
      <c r="U3809" s="16" t="n">
        <v>37</v>
      </c>
      <c r="V3809" s="16">
        <f>ROUNDUP((T3809+U3809+2*'Read Me'!$B$13)*(1+'Read Me'!$B$12),-1)</f>
        <v/>
      </c>
      <c r="W3809" s="16">
        <f>V3809*N3809*O3809</f>
        <v/>
      </c>
      <c r="X3809" s="12">
        <f>IF(LEFT(I3809,2)="MV",2*N3809*IF(L3809="1/C",O3809,1),0)</f>
        <v/>
      </c>
      <c r="Y3809" s="12">
        <f>IF(OR(LEFT(K3809,4)="LVAX",LEFT(K3809,6)="MV15AX",LEFT(K3809,4)="CTAX",LEFT(K3809,2)="W|"),2*N3809*O3809,0)</f>
        <v/>
      </c>
      <c r="Z3809" s="12" t="inlineStr"/>
      <c r="AA3809" s="12">
        <f>N3809*O3809</f>
        <v/>
      </c>
    </row>
    <row r="3810">
      <c r="A3810" s="12" t="inlineStr">
        <is>
          <t>H-FA-0002</t>
        </is>
      </c>
      <c r="B3810" s="12" t="inlineStr">
        <is>
          <t>H</t>
        </is>
      </c>
      <c r="C3810" s="12" t="inlineStr">
        <is>
          <t>BESS</t>
        </is>
      </c>
      <c r="D3810" s="12" t="inlineStr">
        <is>
          <t>Fire alarm / F&amp;G loop (to the local FACP / F&amp;G node)</t>
        </is>
      </c>
      <c r="E3810" s="12" t="inlineStr"/>
      <c r="F3810" s="12" t="inlineStr">
        <is>
          <t>BESS EMS / SCADA and revenue metering</t>
        </is>
      </c>
      <c r="G3810" s="12" t="inlineStr"/>
      <c r="H3810" s="12" t="inlineStr">
        <is>
          <t>BESS EMS / SCADA and revenue metering</t>
        </is>
      </c>
      <c r="I3810" s="12" t="inlineStr">
        <is>
          <t>Fire alarm</t>
        </is>
      </c>
      <c r="J3810" s="12" t="inlineStr">
        <is>
          <t>Fire alarm FPLR 2/C #14 shielded, red jacket (NEC 760)</t>
        </is>
      </c>
      <c r="K3810" s="12" t="inlineStr">
        <is>
          <t>FA|2/C|14</t>
        </is>
      </c>
      <c r="L3810" s="12" t="inlineStr">
        <is>
          <t>2/C</t>
        </is>
      </c>
      <c r="M3810" s="12" t="inlineStr">
        <is>
          <t>14</t>
        </is>
      </c>
      <c r="N3810" s="12" t="n">
        <v>1</v>
      </c>
      <c r="O3810" s="12" t="n">
        <v>1</v>
      </c>
      <c r="P3810" s="12" t="n"/>
      <c r="Q3810" s="12" t="n"/>
      <c r="R3810" s="12" t="n"/>
      <c r="S3810" s="12" t="inlineStr">
        <is>
          <t>Tray</t>
        </is>
      </c>
      <c r="T3810" s="16" t="n">
        <v>0</v>
      </c>
      <c r="U3810" s="16" t="n">
        <v>32</v>
      </c>
      <c r="V3810" s="16">
        <f>ROUNDUP((T3810+U3810+2*'Read Me'!$B$13)*(1+'Read Me'!$B$12),-1)</f>
        <v/>
      </c>
      <c r="W3810" s="16">
        <f>V3810*N3810*O3810</f>
        <v/>
      </c>
      <c r="X3810" s="12">
        <f>IF(LEFT(I3810,2)="MV",2*N3810*IF(L3810="1/C",O3810,1),0)</f>
        <v/>
      </c>
      <c r="Y3810" s="12">
        <f>IF(OR(LEFT(K3810,4)="LVAX",LEFT(K3810,6)="MV15AX",LEFT(K3810,4)="CTAX",LEFT(K3810,2)="W|"),2*N3810*O3810,0)</f>
        <v/>
      </c>
      <c r="Z3810" s="12" t="inlineStr"/>
      <c r="AA3810" s="12">
        <f>N3810*O3810</f>
        <v/>
      </c>
    </row>
    <row r="3811">
      <c r="A3811" s="12" t="inlineStr">
        <is>
          <t>H-FA-0003</t>
        </is>
      </c>
      <c r="B3811" s="12" t="inlineStr">
        <is>
          <t>H</t>
        </is>
      </c>
      <c r="C3811" s="12" t="inlineStr">
        <is>
          <t>BESS</t>
        </is>
      </c>
      <c r="D3811" s="12" t="inlineStr">
        <is>
          <t>Fire alarm / F&amp;G loop (to the local FACP / F&amp;G node)</t>
        </is>
      </c>
      <c r="E3811" s="12" t="inlineStr"/>
      <c r="F3811" s="12" t="inlineStr">
        <is>
          <t>BESS EMS / SCADA and revenue metering</t>
        </is>
      </c>
      <c r="G3811" s="12" t="inlineStr">
        <is>
          <t>BESS</t>
        </is>
      </c>
      <c r="H3811" s="12" t="inlineStr">
        <is>
          <t>BESS blocks: 30 containers + 15 PCS / MV skids</t>
        </is>
      </c>
      <c r="I3811" s="12" t="inlineStr">
        <is>
          <t>Fire alarm</t>
        </is>
      </c>
      <c r="J3811" s="12" t="inlineStr">
        <is>
          <t>Fire alarm FPLR 2/C #14 shielded, red jacket (NEC 760)</t>
        </is>
      </c>
      <c r="K3811" s="12" t="inlineStr">
        <is>
          <t>FA|2/C|14</t>
        </is>
      </c>
      <c r="L3811" s="12" t="inlineStr">
        <is>
          <t>2/C</t>
        </is>
      </c>
      <c r="M3811" s="12" t="inlineStr">
        <is>
          <t>14</t>
        </is>
      </c>
      <c r="N3811" s="12" t="n">
        <v>1</v>
      </c>
      <c r="O3811" s="12" t="n">
        <v>1</v>
      </c>
      <c r="P3811" s="12" t="n"/>
      <c r="Q3811" s="12" t="n"/>
      <c r="R3811" s="12" t="n"/>
      <c r="S3811" s="12" t="inlineStr">
        <is>
          <t>Duct bank</t>
        </is>
      </c>
      <c r="T3811" s="16" t="n">
        <v>336</v>
      </c>
      <c r="U3811" s="16" t="n">
        <v>32</v>
      </c>
      <c r="V3811" s="16">
        <f>ROUNDUP((T3811+U3811+2*'Read Me'!$B$13)*(1+'Read Me'!$B$12),-1)</f>
        <v/>
      </c>
      <c r="W3811" s="16">
        <f>V3811*N3811*O3811</f>
        <v/>
      </c>
      <c r="X3811" s="12">
        <f>IF(LEFT(I3811,2)="MV",2*N3811*IF(L3811="1/C",O3811,1),0)</f>
        <v/>
      </c>
      <c r="Y3811" s="12">
        <f>IF(OR(LEFT(K3811,4)="LVAX",LEFT(K3811,6)="MV15AX",LEFT(K3811,4)="CTAX",LEFT(K3811,2)="W|"),2*N3811*O3811,0)</f>
        <v/>
      </c>
      <c r="Z3811" s="12" t="inlineStr"/>
      <c r="AA3811" s="12">
        <f>N3811*O3811</f>
        <v/>
      </c>
    </row>
    <row r="3812">
      <c r="A3812" s="12" t="inlineStr">
        <is>
          <t>H-FA-0004</t>
        </is>
      </c>
      <c r="B3812" s="12" t="inlineStr">
        <is>
          <t>H</t>
        </is>
      </c>
      <c r="C3812" s="12" t="inlineStr">
        <is>
          <t>BESS</t>
        </is>
      </c>
      <c r="D3812" s="12" t="inlineStr">
        <is>
          <t>Fire alarm / F&amp;G loop (to the local FACP / F&amp;G node)</t>
        </is>
      </c>
      <c r="E3812" s="12" t="inlineStr"/>
      <c r="F3812" s="12" t="inlineStr">
        <is>
          <t>BESS EMS / SCADA and revenue metering</t>
        </is>
      </c>
      <c r="G3812" s="12" t="inlineStr"/>
      <c r="H3812" s="12" t="inlineStr">
        <is>
          <t>BESS container (ISO 40 ft high cube)</t>
        </is>
      </c>
      <c r="I3812" s="12" t="inlineStr">
        <is>
          <t>Fire alarm</t>
        </is>
      </c>
      <c r="J3812" s="12" t="inlineStr">
        <is>
          <t>Fire alarm FPLR 2/C #14 shielded, red jacket (NEC 760)</t>
        </is>
      </c>
      <c r="K3812" s="12" t="inlineStr">
        <is>
          <t>FA|2/C|14</t>
        </is>
      </c>
      <c r="L3812" s="12" t="inlineStr">
        <is>
          <t>2/C</t>
        </is>
      </c>
      <c r="M3812" s="12" t="inlineStr">
        <is>
          <t>14</t>
        </is>
      </c>
      <c r="N3812" s="12" t="n">
        <v>1</v>
      </c>
      <c r="O3812" s="12" t="n">
        <v>1</v>
      </c>
      <c r="P3812" s="12" t="n"/>
      <c r="Q3812" s="12" t="n"/>
      <c r="R3812" s="12" t="n"/>
      <c r="S3812" s="12" t="inlineStr">
        <is>
          <t>Duct bank</t>
        </is>
      </c>
      <c r="T3812" s="16" t="n">
        <v>300</v>
      </c>
      <c r="U3812" s="16" t="n">
        <v>89</v>
      </c>
      <c r="V3812" s="16">
        <f>ROUNDUP((T3812+U3812+2*'Read Me'!$B$13)*(1+'Read Me'!$B$12),-1)</f>
        <v/>
      </c>
      <c r="W3812" s="16">
        <f>V3812*N3812*O3812</f>
        <v/>
      </c>
      <c r="X3812" s="12">
        <f>IF(LEFT(I3812,2)="MV",2*N3812*IF(L3812="1/C",O3812,1),0)</f>
        <v/>
      </c>
      <c r="Y3812" s="12">
        <f>IF(OR(LEFT(K3812,4)="LVAX",LEFT(K3812,6)="MV15AX",LEFT(K3812,4)="CTAX",LEFT(K3812,2)="W|"),2*N3812*O3812,0)</f>
        <v/>
      </c>
      <c r="Z3812" s="12" t="inlineStr"/>
      <c r="AA3812" s="12">
        <f>N3812*O3812</f>
        <v/>
      </c>
    </row>
    <row r="3813">
      <c r="A3813" s="12" t="inlineStr">
        <is>
          <t>H-FA-0005</t>
        </is>
      </c>
      <c r="B3813" s="12" t="inlineStr">
        <is>
          <t>H</t>
        </is>
      </c>
      <c r="C3813" s="12" t="inlineStr">
        <is>
          <t>BESS</t>
        </is>
      </c>
      <c r="D3813" s="12" t="inlineStr">
        <is>
          <t>Fire alarm / F&amp;G loop (to the local FACP / F&amp;G node)</t>
        </is>
      </c>
      <c r="E3813" s="12" t="inlineStr"/>
      <c r="F3813" s="12" t="inlineStr">
        <is>
          <t>BESS EMS / SCADA and revenue metering</t>
        </is>
      </c>
      <c r="G3813" s="12" t="inlineStr"/>
      <c r="H3813" s="12" t="inlineStr">
        <is>
          <t>BESS container (ISO 40 ft high cube)</t>
        </is>
      </c>
      <c r="I3813" s="12" t="inlineStr">
        <is>
          <t>Fire alarm</t>
        </is>
      </c>
      <c r="J3813" s="12" t="inlineStr">
        <is>
          <t>Fire alarm FPLR 2/C #14 shielded, red jacket (NEC 760)</t>
        </is>
      </c>
      <c r="K3813" s="12" t="inlineStr">
        <is>
          <t>FA|2/C|14</t>
        </is>
      </c>
      <c r="L3813" s="12" t="inlineStr">
        <is>
          <t>2/C</t>
        </is>
      </c>
      <c r="M3813" s="12" t="inlineStr">
        <is>
          <t>14</t>
        </is>
      </c>
      <c r="N3813" s="12" t="n">
        <v>1</v>
      </c>
      <c r="O3813" s="12" t="n">
        <v>1</v>
      </c>
      <c r="P3813" s="12" t="n"/>
      <c r="Q3813" s="12" t="n"/>
      <c r="R3813" s="12" t="n"/>
      <c r="S3813" s="12" t="inlineStr">
        <is>
          <t>Duct bank</t>
        </is>
      </c>
      <c r="T3813" s="16" t="n">
        <v>160</v>
      </c>
      <c r="U3813" s="16" t="n">
        <v>169</v>
      </c>
      <c r="V3813" s="16">
        <f>ROUNDUP((T3813+U3813+2*'Read Me'!$B$13)*(1+'Read Me'!$B$12),-1)</f>
        <v/>
      </c>
      <c r="W3813" s="16">
        <f>V3813*N3813*O3813</f>
        <v/>
      </c>
      <c r="X3813" s="12">
        <f>IF(LEFT(I3813,2)="MV",2*N3813*IF(L3813="1/C",O3813,1),0)</f>
        <v/>
      </c>
      <c r="Y3813" s="12">
        <f>IF(OR(LEFT(K3813,4)="LVAX",LEFT(K3813,6)="MV15AX",LEFT(K3813,4)="CTAX",LEFT(K3813,2)="W|"),2*N3813*O3813,0)</f>
        <v/>
      </c>
      <c r="Z3813" s="12" t="inlineStr"/>
      <c r="AA3813" s="12">
        <f>N3813*O3813</f>
        <v/>
      </c>
    </row>
    <row r="3814">
      <c r="A3814" s="12" t="inlineStr">
        <is>
          <t>H-FA-0006</t>
        </is>
      </c>
      <c r="B3814" s="12" t="inlineStr">
        <is>
          <t>H</t>
        </is>
      </c>
      <c r="C3814" s="12" t="inlineStr">
        <is>
          <t>BESS</t>
        </is>
      </c>
      <c r="D3814" s="12" t="inlineStr">
        <is>
          <t>Fire alarm / F&amp;G loop (to the local FACP / F&amp;G node)</t>
        </is>
      </c>
      <c r="E3814" s="12" t="inlineStr"/>
      <c r="F3814" s="12" t="inlineStr">
        <is>
          <t>BESS EMS / SCADA and revenue metering</t>
        </is>
      </c>
      <c r="G3814" s="12" t="inlineStr"/>
      <c r="H3814" s="12" t="inlineStr">
        <is>
          <t>BESS container (ISO 40 ft high cube)</t>
        </is>
      </c>
      <c r="I3814" s="12" t="inlineStr">
        <is>
          <t>Fire alarm</t>
        </is>
      </c>
      <c r="J3814" s="12" t="inlineStr">
        <is>
          <t>Fire alarm FPLR 2/C #14 shielded, red jacket (NEC 760)</t>
        </is>
      </c>
      <c r="K3814" s="12" t="inlineStr">
        <is>
          <t>FA|2/C|14</t>
        </is>
      </c>
      <c r="L3814" s="12" t="inlineStr">
        <is>
          <t>2/C</t>
        </is>
      </c>
      <c r="M3814" s="12" t="inlineStr">
        <is>
          <t>14</t>
        </is>
      </c>
      <c r="N3814" s="12" t="n">
        <v>1</v>
      </c>
      <c r="O3814" s="12" t="n">
        <v>1</v>
      </c>
      <c r="P3814" s="12" t="n"/>
      <c r="Q3814" s="12" t="n"/>
      <c r="R3814" s="12" t="n"/>
      <c r="S3814" s="12" t="inlineStr">
        <is>
          <t>Duct bank</t>
        </is>
      </c>
      <c r="T3814" s="16" t="n">
        <v>160</v>
      </c>
      <c r="U3814" s="16" t="n">
        <v>109</v>
      </c>
      <c r="V3814" s="16">
        <f>ROUNDUP((T3814+U3814+2*'Read Me'!$B$13)*(1+'Read Me'!$B$12),-1)</f>
        <v/>
      </c>
      <c r="W3814" s="16">
        <f>V3814*N3814*O3814</f>
        <v/>
      </c>
      <c r="X3814" s="12">
        <f>IF(LEFT(I3814,2)="MV",2*N3814*IF(L3814="1/C",O3814,1),0)</f>
        <v/>
      </c>
      <c r="Y3814" s="12">
        <f>IF(OR(LEFT(K3814,4)="LVAX",LEFT(K3814,6)="MV15AX",LEFT(K3814,4)="CTAX",LEFT(K3814,2)="W|"),2*N3814*O3814,0)</f>
        <v/>
      </c>
      <c r="Z3814" s="12" t="inlineStr"/>
      <c r="AA3814" s="12">
        <f>N3814*O3814</f>
        <v/>
      </c>
    </row>
    <row r="3815">
      <c r="A3815" s="12" t="inlineStr">
        <is>
          <t>H-FA-0007</t>
        </is>
      </c>
      <c r="B3815" s="12" t="inlineStr">
        <is>
          <t>H</t>
        </is>
      </c>
      <c r="C3815" s="12" t="inlineStr">
        <is>
          <t>BESS</t>
        </is>
      </c>
      <c r="D3815" s="12" t="inlineStr">
        <is>
          <t>Fire alarm / F&amp;G loop (to the local FACP / F&amp;G node)</t>
        </is>
      </c>
      <c r="E3815" s="12" t="inlineStr"/>
      <c r="F3815" s="12" t="inlineStr">
        <is>
          <t>BESS EMS / SCADA and revenue metering</t>
        </is>
      </c>
      <c r="G3815" s="12" t="inlineStr"/>
      <c r="H3815" s="12" t="inlineStr">
        <is>
          <t>BESS container (ISO 40 ft high cube)</t>
        </is>
      </c>
      <c r="I3815" s="12" t="inlineStr">
        <is>
          <t>Fire alarm</t>
        </is>
      </c>
      <c r="J3815" s="12" t="inlineStr">
        <is>
          <t>Fire alarm FPLR 2/C #14 shielded, red jacket (NEC 760)</t>
        </is>
      </c>
      <c r="K3815" s="12" t="inlineStr">
        <is>
          <t>FA|2/C|14</t>
        </is>
      </c>
      <c r="L3815" s="12" t="inlineStr">
        <is>
          <t>2/C</t>
        </is>
      </c>
      <c r="M3815" s="12" t="inlineStr">
        <is>
          <t>14</t>
        </is>
      </c>
      <c r="N3815" s="12" t="n">
        <v>1</v>
      </c>
      <c r="O3815" s="12" t="n">
        <v>1</v>
      </c>
      <c r="P3815" s="12" t="n"/>
      <c r="Q3815" s="12" t="n"/>
      <c r="R3815" s="12" t="n"/>
      <c r="S3815" s="12" t="inlineStr">
        <is>
          <t>Duct bank</t>
        </is>
      </c>
      <c r="T3815" s="16" t="n">
        <v>70</v>
      </c>
      <c r="U3815" s="16" t="n">
        <v>139</v>
      </c>
      <c r="V3815" s="16">
        <f>ROUNDUP((T3815+U3815+2*'Read Me'!$B$13)*(1+'Read Me'!$B$12),-1)</f>
        <v/>
      </c>
      <c r="W3815" s="16">
        <f>V3815*N3815*O3815</f>
        <v/>
      </c>
      <c r="X3815" s="12">
        <f>IF(LEFT(I3815,2)="MV",2*N3815*IF(L3815="1/C",O3815,1),0)</f>
        <v/>
      </c>
      <c r="Y3815" s="12">
        <f>IF(OR(LEFT(K3815,4)="LVAX",LEFT(K3815,6)="MV15AX",LEFT(K3815,4)="CTAX",LEFT(K3815,2)="W|"),2*N3815*O3815,0)</f>
        <v/>
      </c>
      <c r="Z3815" s="12" t="inlineStr"/>
      <c r="AA3815" s="12">
        <f>N3815*O3815</f>
        <v/>
      </c>
    </row>
    <row r="3816">
      <c r="A3816" s="12" t="inlineStr">
        <is>
          <t>H-FA-0008</t>
        </is>
      </c>
      <c r="B3816" s="12" t="inlineStr">
        <is>
          <t>H</t>
        </is>
      </c>
      <c r="C3816" s="12" t="inlineStr">
        <is>
          <t>BESS</t>
        </is>
      </c>
      <c r="D3816" s="12" t="inlineStr">
        <is>
          <t>Fire alarm / F&amp;G loop (to the local FACP / F&amp;G node)</t>
        </is>
      </c>
      <c r="E3816" s="12" t="inlineStr"/>
      <c r="F3816" s="12" t="inlineStr">
        <is>
          <t>BESS EMS / SCADA and revenue metering</t>
        </is>
      </c>
      <c r="G3816" s="12" t="inlineStr"/>
      <c r="H3816" s="12" t="inlineStr">
        <is>
          <t>BESS container (ISO 40 ft high cube)</t>
        </is>
      </c>
      <c r="I3816" s="12" t="inlineStr">
        <is>
          <t>Fire alarm</t>
        </is>
      </c>
      <c r="J3816" s="12" t="inlineStr">
        <is>
          <t>Fire alarm FPLR 2/C #14 shielded, red jacket (NEC 760)</t>
        </is>
      </c>
      <c r="K3816" s="12" t="inlineStr">
        <is>
          <t>FA|2/C|14</t>
        </is>
      </c>
      <c r="L3816" s="12" t="inlineStr">
        <is>
          <t>2/C</t>
        </is>
      </c>
      <c r="M3816" s="12" t="inlineStr">
        <is>
          <t>14</t>
        </is>
      </c>
      <c r="N3816" s="12" t="n">
        <v>1</v>
      </c>
      <c r="O3816" s="12" t="n">
        <v>1</v>
      </c>
      <c r="P3816" s="12" t="n"/>
      <c r="Q3816" s="12" t="n"/>
      <c r="R3816" s="12" t="n"/>
      <c r="S3816" s="12" t="inlineStr">
        <is>
          <t>Duct bank</t>
        </is>
      </c>
      <c r="T3816" s="16" t="n">
        <v>30</v>
      </c>
      <c r="U3816" s="16" t="n">
        <v>93</v>
      </c>
      <c r="V3816" s="16">
        <f>ROUNDUP((T3816+U3816+2*'Read Me'!$B$13)*(1+'Read Me'!$B$12),-1)</f>
        <v/>
      </c>
      <c r="W3816" s="16">
        <f>V3816*N3816*O3816</f>
        <v/>
      </c>
      <c r="X3816" s="12">
        <f>IF(LEFT(I3816,2)="MV",2*N3816*IF(L3816="1/C",O3816,1),0)</f>
        <v/>
      </c>
      <c r="Y3816" s="12">
        <f>IF(OR(LEFT(K3816,4)="LVAX",LEFT(K3816,6)="MV15AX",LEFT(K3816,4)="CTAX",LEFT(K3816,2)="W|"),2*N3816*O3816,0)</f>
        <v/>
      </c>
      <c r="Z3816" s="12" t="inlineStr"/>
      <c r="AA3816" s="12">
        <f>N3816*O3816</f>
        <v/>
      </c>
    </row>
    <row r="3817">
      <c r="A3817" s="12" t="inlineStr">
        <is>
          <t>H-FA-0009</t>
        </is>
      </c>
      <c r="B3817" s="12" t="inlineStr">
        <is>
          <t>H</t>
        </is>
      </c>
      <c r="C3817" s="12" t="inlineStr">
        <is>
          <t>BESS</t>
        </is>
      </c>
      <c r="D3817" s="12" t="inlineStr">
        <is>
          <t>Fire alarm / F&amp;G loop (to the local FACP / F&amp;G node)</t>
        </is>
      </c>
      <c r="E3817" s="12" t="inlineStr"/>
      <c r="F3817" s="12" t="inlineStr">
        <is>
          <t>BESS EMS / SCADA and revenue metering</t>
        </is>
      </c>
      <c r="G3817" s="12" t="inlineStr"/>
      <c r="H3817" s="12" t="inlineStr">
        <is>
          <t>BESS container (ISO 40 ft high cube)</t>
        </is>
      </c>
      <c r="I3817" s="12" t="inlineStr">
        <is>
          <t>Fire alarm</t>
        </is>
      </c>
      <c r="J3817" s="12" t="inlineStr">
        <is>
          <t>Fire alarm FPLR 2/C #14 shielded, red jacket (NEC 760)</t>
        </is>
      </c>
      <c r="K3817" s="12" t="inlineStr">
        <is>
          <t>FA|2/C|14</t>
        </is>
      </c>
      <c r="L3817" s="12" t="inlineStr">
        <is>
          <t>2/C</t>
        </is>
      </c>
      <c r="M3817" s="12" t="inlineStr">
        <is>
          <t>14</t>
        </is>
      </c>
      <c r="N3817" s="12" t="n">
        <v>1</v>
      </c>
      <c r="O3817" s="12" t="n">
        <v>1</v>
      </c>
      <c r="P3817" s="12" t="n"/>
      <c r="Q3817" s="12" t="n"/>
      <c r="R3817" s="12" t="n"/>
      <c r="S3817" s="12" t="inlineStr">
        <is>
          <t>Tray</t>
        </is>
      </c>
      <c r="T3817" s="16" t="n">
        <v>0</v>
      </c>
      <c r="U3817" s="16" t="n">
        <v>83</v>
      </c>
      <c r="V3817" s="16">
        <f>ROUNDUP((T3817+U3817+2*'Read Me'!$B$13)*(1+'Read Me'!$B$12),-1)</f>
        <v/>
      </c>
      <c r="W3817" s="16">
        <f>V3817*N3817*O3817</f>
        <v/>
      </c>
      <c r="X3817" s="12">
        <f>IF(LEFT(I3817,2)="MV",2*N3817*IF(L3817="1/C",O3817,1),0)</f>
        <v/>
      </c>
      <c r="Y3817" s="12">
        <f>IF(OR(LEFT(K3817,4)="LVAX",LEFT(K3817,6)="MV15AX",LEFT(K3817,4)="CTAX",LEFT(K3817,2)="W|"),2*N3817*O3817,0)</f>
        <v/>
      </c>
      <c r="Z3817" s="12" t="inlineStr"/>
      <c r="AA3817" s="12">
        <f>N3817*O3817</f>
        <v/>
      </c>
    </row>
    <row r="3818">
      <c r="A3818" s="12" t="inlineStr">
        <is>
          <t>H-FA-0010</t>
        </is>
      </c>
      <c r="B3818" s="12" t="inlineStr">
        <is>
          <t>H</t>
        </is>
      </c>
      <c r="C3818" s="12" t="inlineStr">
        <is>
          <t>BESS</t>
        </is>
      </c>
      <c r="D3818" s="12" t="inlineStr">
        <is>
          <t>Fire alarm / F&amp;G loop (to the local FACP / F&amp;G node)</t>
        </is>
      </c>
      <c r="E3818" s="12" t="inlineStr"/>
      <c r="F3818" s="12" t="inlineStr">
        <is>
          <t>BESS EMS / SCADA and revenue metering</t>
        </is>
      </c>
      <c r="G3818" s="12" t="inlineStr"/>
      <c r="H3818" s="12" t="inlineStr">
        <is>
          <t>BESS container (ISO 40 ft high cube)</t>
        </is>
      </c>
      <c r="I3818" s="12" t="inlineStr">
        <is>
          <t>Fire alarm</t>
        </is>
      </c>
      <c r="J3818" s="12" t="inlineStr">
        <is>
          <t>Fire alarm FPLR 2/C #14 shielded, red jacket (NEC 760)</t>
        </is>
      </c>
      <c r="K3818" s="12" t="inlineStr">
        <is>
          <t>FA|2/C|14</t>
        </is>
      </c>
      <c r="L3818" s="12" t="inlineStr">
        <is>
          <t>2/C</t>
        </is>
      </c>
      <c r="M3818" s="12" t="inlineStr">
        <is>
          <t>14</t>
        </is>
      </c>
      <c r="N3818" s="12" t="n">
        <v>1</v>
      </c>
      <c r="O3818" s="12" t="n">
        <v>1</v>
      </c>
      <c r="P3818" s="12" t="n"/>
      <c r="Q3818" s="12" t="n"/>
      <c r="R3818" s="12" t="n"/>
      <c r="S3818" s="12" t="inlineStr">
        <is>
          <t>Duct bank</t>
        </is>
      </c>
      <c r="T3818" s="16" t="n">
        <v>300</v>
      </c>
      <c r="U3818" s="16" t="n">
        <v>147</v>
      </c>
      <c r="V3818" s="16">
        <f>ROUNDUP((T3818+U3818+2*'Read Me'!$B$13)*(1+'Read Me'!$B$12),-1)</f>
        <v/>
      </c>
      <c r="W3818" s="16">
        <f>V3818*N3818*O3818</f>
        <v/>
      </c>
      <c r="X3818" s="12">
        <f>IF(LEFT(I3818,2)="MV",2*N3818*IF(L3818="1/C",O3818,1),0)</f>
        <v/>
      </c>
      <c r="Y3818" s="12">
        <f>IF(OR(LEFT(K3818,4)="LVAX",LEFT(K3818,6)="MV15AX",LEFT(K3818,4)="CTAX",LEFT(K3818,2)="W|"),2*N3818*O3818,0)</f>
        <v/>
      </c>
      <c r="Z3818" s="12" t="inlineStr"/>
      <c r="AA3818" s="12">
        <f>N3818*O3818</f>
        <v/>
      </c>
    </row>
    <row r="3819">
      <c r="A3819" s="12" t="inlineStr">
        <is>
          <t>H-FA-0011</t>
        </is>
      </c>
      <c r="B3819" s="12" t="inlineStr">
        <is>
          <t>H</t>
        </is>
      </c>
      <c r="C3819" s="12" t="inlineStr">
        <is>
          <t>BESS</t>
        </is>
      </c>
      <c r="D3819" s="12" t="inlineStr">
        <is>
          <t>Fire alarm / F&amp;G loop (to the local FACP / F&amp;G node)</t>
        </is>
      </c>
      <c r="E3819" s="12" t="inlineStr"/>
      <c r="F3819" s="12" t="inlineStr">
        <is>
          <t>BESS EMS / SCADA and revenue metering</t>
        </is>
      </c>
      <c r="G3819" s="12" t="inlineStr"/>
      <c r="H3819" s="12" t="inlineStr">
        <is>
          <t>BESS container (ISO 40 ft high cube)</t>
        </is>
      </c>
      <c r="I3819" s="12" t="inlineStr">
        <is>
          <t>Fire alarm</t>
        </is>
      </c>
      <c r="J3819" s="12" t="inlineStr">
        <is>
          <t>Fire alarm FPLR 2/C #14 shielded, red jacket (NEC 760)</t>
        </is>
      </c>
      <c r="K3819" s="12" t="inlineStr">
        <is>
          <t>FA|2/C|14</t>
        </is>
      </c>
      <c r="L3819" s="12" t="inlineStr">
        <is>
          <t>2/C</t>
        </is>
      </c>
      <c r="M3819" s="12" t="inlineStr">
        <is>
          <t>14</t>
        </is>
      </c>
      <c r="N3819" s="12" t="n">
        <v>1</v>
      </c>
      <c r="O3819" s="12" t="n">
        <v>1</v>
      </c>
      <c r="P3819" s="12" t="n"/>
      <c r="Q3819" s="12" t="n"/>
      <c r="R3819" s="12" t="n"/>
      <c r="S3819" s="12" t="inlineStr">
        <is>
          <t>Duct bank</t>
        </is>
      </c>
      <c r="T3819" s="16" t="n">
        <v>160</v>
      </c>
      <c r="U3819" s="16" t="n">
        <v>227</v>
      </c>
      <c r="V3819" s="16">
        <f>ROUNDUP((T3819+U3819+2*'Read Me'!$B$13)*(1+'Read Me'!$B$12),-1)</f>
        <v/>
      </c>
      <c r="W3819" s="16">
        <f>V3819*N3819*O3819</f>
        <v/>
      </c>
      <c r="X3819" s="12">
        <f>IF(LEFT(I3819,2)="MV",2*N3819*IF(L3819="1/C",O3819,1),0)</f>
        <v/>
      </c>
      <c r="Y3819" s="12">
        <f>IF(OR(LEFT(K3819,4)="LVAX",LEFT(K3819,6)="MV15AX",LEFT(K3819,4)="CTAX",LEFT(K3819,2)="W|"),2*N3819*O3819,0)</f>
        <v/>
      </c>
      <c r="Z3819" s="12" t="inlineStr"/>
      <c r="AA3819" s="12">
        <f>N3819*O3819</f>
        <v/>
      </c>
    </row>
    <row r="3820">
      <c r="A3820" s="12" t="inlineStr">
        <is>
          <t>H-FA-0012</t>
        </is>
      </c>
      <c r="B3820" s="12" t="inlineStr">
        <is>
          <t>H</t>
        </is>
      </c>
      <c r="C3820" s="12" t="inlineStr">
        <is>
          <t>BESS</t>
        </is>
      </c>
      <c r="D3820" s="12" t="inlineStr">
        <is>
          <t>Fire alarm / F&amp;G loop (to the local FACP / F&amp;G node)</t>
        </is>
      </c>
      <c r="E3820" s="12" t="inlineStr"/>
      <c r="F3820" s="12" t="inlineStr">
        <is>
          <t>BESS EMS / SCADA and revenue metering</t>
        </is>
      </c>
      <c r="G3820" s="12" t="inlineStr"/>
      <c r="H3820" s="12" t="inlineStr">
        <is>
          <t>BESS container (ISO 40 ft high cube)</t>
        </is>
      </c>
      <c r="I3820" s="12" t="inlineStr">
        <is>
          <t>Fire alarm</t>
        </is>
      </c>
      <c r="J3820" s="12" t="inlineStr">
        <is>
          <t>Fire alarm FPLR 2/C #14 shielded, red jacket (NEC 760)</t>
        </is>
      </c>
      <c r="K3820" s="12" t="inlineStr">
        <is>
          <t>FA|2/C|14</t>
        </is>
      </c>
      <c r="L3820" s="12" t="inlineStr">
        <is>
          <t>2/C</t>
        </is>
      </c>
      <c r="M3820" s="12" t="inlineStr">
        <is>
          <t>14</t>
        </is>
      </c>
      <c r="N3820" s="12" t="n">
        <v>1</v>
      </c>
      <c r="O3820" s="12" t="n">
        <v>1</v>
      </c>
      <c r="P3820" s="12" t="n"/>
      <c r="Q3820" s="12" t="n"/>
      <c r="R3820" s="12" t="n"/>
      <c r="S3820" s="12" t="inlineStr">
        <is>
          <t>Duct bank</t>
        </is>
      </c>
      <c r="T3820" s="16" t="n">
        <v>160</v>
      </c>
      <c r="U3820" s="16" t="n">
        <v>167</v>
      </c>
      <c r="V3820" s="16">
        <f>ROUNDUP((T3820+U3820+2*'Read Me'!$B$13)*(1+'Read Me'!$B$12),-1)</f>
        <v/>
      </c>
      <c r="W3820" s="16">
        <f>V3820*N3820*O3820</f>
        <v/>
      </c>
      <c r="X3820" s="12">
        <f>IF(LEFT(I3820,2)="MV",2*N3820*IF(L3820="1/C",O3820,1),0)</f>
        <v/>
      </c>
      <c r="Y3820" s="12">
        <f>IF(OR(LEFT(K3820,4)="LVAX",LEFT(K3820,6)="MV15AX",LEFT(K3820,4)="CTAX",LEFT(K3820,2)="W|"),2*N3820*O3820,0)</f>
        <v/>
      </c>
      <c r="Z3820" s="12" t="inlineStr"/>
      <c r="AA3820" s="12">
        <f>N3820*O3820</f>
        <v/>
      </c>
    </row>
    <row r="3821">
      <c r="A3821" s="12" t="inlineStr">
        <is>
          <t>H-FA-0013</t>
        </is>
      </c>
      <c r="B3821" s="12" t="inlineStr">
        <is>
          <t>H</t>
        </is>
      </c>
      <c r="C3821" s="12" t="inlineStr">
        <is>
          <t>BESS</t>
        </is>
      </c>
      <c r="D3821" s="12" t="inlineStr">
        <is>
          <t>Fire alarm / F&amp;G loop (to the local FACP / F&amp;G node)</t>
        </is>
      </c>
      <c r="E3821" s="12" t="inlineStr"/>
      <c r="F3821" s="12" t="inlineStr">
        <is>
          <t>BESS EMS / SCADA and revenue metering</t>
        </is>
      </c>
      <c r="G3821" s="12" t="inlineStr"/>
      <c r="H3821" s="12" t="inlineStr">
        <is>
          <t>BESS container (ISO 40 ft high cube)</t>
        </is>
      </c>
      <c r="I3821" s="12" t="inlineStr">
        <is>
          <t>Fire alarm</t>
        </is>
      </c>
      <c r="J3821" s="12" t="inlineStr">
        <is>
          <t>Fire alarm FPLR 2/C #14 shielded, red jacket (NEC 760)</t>
        </is>
      </c>
      <c r="K3821" s="12" t="inlineStr">
        <is>
          <t>FA|2/C|14</t>
        </is>
      </c>
      <c r="L3821" s="12" t="inlineStr">
        <is>
          <t>2/C</t>
        </is>
      </c>
      <c r="M3821" s="12" t="inlineStr">
        <is>
          <t>14</t>
        </is>
      </c>
      <c r="N3821" s="12" t="n">
        <v>1</v>
      </c>
      <c r="O3821" s="12" t="n">
        <v>1</v>
      </c>
      <c r="P3821" s="12" t="n"/>
      <c r="Q3821" s="12" t="n"/>
      <c r="R3821" s="12" t="n"/>
      <c r="S3821" s="12" t="inlineStr">
        <is>
          <t>Duct bank</t>
        </is>
      </c>
      <c r="T3821" s="16" t="n">
        <v>30</v>
      </c>
      <c r="U3821" s="16" t="n">
        <v>211</v>
      </c>
      <c r="V3821" s="16">
        <f>ROUNDUP((T3821+U3821+2*'Read Me'!$B$13)*(1+'Read Me'!$B$12),-1)</f>
        <v/>
      </c>
      <c r="W3821" s="16">
        <f>V3821*N3821*O3821</f>
        <v/>
      </c>
      <c r="X3821" s="12">
        <f>IF(LEFT(I3821,2)="MV",2*N3821*IF(L3821="1/C",O3821,1),0)</f>
        <v/>
      </c>
      <c r="Y3821" s="12">
        <f>IF(OR(LEFT(K3821,4)="LVAX",LEFT(K3821,6)="MV15AX",LEFT(K3821,4)="CTAX",LEFT(K3821,2)="W|"),2*N3821*O3821,0)</f>
        <v/>
      </c>
      <c r="Z3821" s="12" t="inlineStr"/>
      <c r="AA3821" s="12">
        <f>N3821*O3821</f>
        <v/>
      </c>
    </row>
    <row r="3822">
      <c r="A3822" s="12" t="inlineStr">
        <is>
          <t>H-FA-0014</t>
        </is>
      </c>
      <c r="B3822" s="12" t="inlineStr">
        <is>
          <t>H</t>
        </is>
      </c>
      <c r="C3822" s="12" t="inlineStr">
        <is>
          <t>BESS</t>
        </is>
      </c>
      <c r="D3822" s="12" t="inlineStr">
        <is>
          <t>Fire alarm / F&amp;G loop (to the local FACP / F&amp;G node)</t>
        </is>
      </c>
      <c r="E3822" s="12" t="inlineStr"/>
      <c r="F3822" s="12" t="inlineStr">
        <is>
          <t>BESS EMS / SCADA and revenue metering</t>
        </is>
      </c>
      <c r="G3822" s="12" t="inlineStr"/>
      <c r="H3822" s="12" t="inlineStr">
        <is>
          <t>BESS container (ISO 40 ft high cube)</t>
        </is>
      </c>
      <c r="I3822" s="12" t="inlineStr">
        <is>
          <t>Fire alarm</t>
        </is>
      </c>
      <c r="J3822" s="12" t="inlineStr">
        <is>
          <t>Fire alarm FPLR 2/C #14 shielded, red jacket (NEC 760)</t>
        </is>
      </c>
      <c r="K3822" s="12" t="inlineStr">
        <is>
          <t>FA|2/C|14</t>
        </is>
      </c>
      <c r="L3822" s="12" t="inlineStr">
        <is>
          <t>2/C</t>
        </is>
      </c>
      <c r="M3822" s="12" t="inlineStr">
        <is>
          <t>14</t>
        </is>
      </c>
      <c r="N3822" s="12" t="n">
        <v>1</v>
      </c>
      <c r="O3822" s="12" t="n">
        <v>1</v>
      </c>
      <c r="P3822" s="12" t="n"/>
      <c r="Q3822" s="12" t="n"/>
      <c r="R3822" s="12" t="n"/>
      <c r="S3822" s="12" t="inlineStr">
        <is>
          <t>Duct bank</t>
        </is>
      </c>
      <c r="T3822" s="16" t="n">
        <v>30</v>
      </c>
      <c r="U3822" s="16" t="n">
        <v>151</v>
      </c>
      <c r="V3822" s="16">
        <f>ROUNDUP((T3822+U3822+2*'Read Me'!$B$13)*(1+'Read Me'!$B$12),-1)</f>
        <v/>
      </c>
      <c r="W3822" s="16">
        <f>V3822*N3822*O3822</f>
        <v/>
      </c>
      <c r="X3822" s="12">
        <f>IF(LEFT(I3822,2)="MV",2*N3822*IF(L3822="1/C",O3822,1),0)</f>
        <v/>
      </c>
      <c r="Y3822" s="12">
        <f>IF(OR(LEFT(K3822,4)="LVAX",LEFT(K3822,6)="MV15AX",LEFT(K3822,4)="CTAX",LEFT(K3822,2)="W|"),2*N3822*O3822,0)</f>
        <v/>
      </c>
      <c r="Z3822" s="12" t="inlineStr"/>
      <c r="AA3822" s="12">
        <f>N3822*O3822</f>
        <v/>
      </c>
    </row>
    <row r="3823">
      <c r="A3823" s="12" t="inlineStr">
        <is>
          <t>H-FA-0015</t>
        </is>
      </c>
      <c r="B3823" s="12" t="inlineStr">
        <is>
          <t>H</t>
        </is>
      </c>
      <c r="C3823" s="12" t="inlineStr">
        <is>
          <t>BESS</t>
        </is>
      </c>
      <c r="D3823" s="12" t="inlineStr">
        <is>
          <t>Fire alarm / F&amp;G loop (to the local FACP / F&amp;G node)</t>
        </is>
      </c>
      <c r="E3823" s="12" t="inlineStr"/>
      <c r="F3823" s="12" t="inlineStr">
        <is>
          <t>BESS EMS / SCADA and revenue metering</t>
        </is>
      </c>
      <c r="G3823" s="12" t="inlineStr"/>
      <c r="H3823" s="12" t="inlineStr">
        <is>
          <t>BESS container (ISO 40 ft high cube)</t>
        </is>
      </c>
      <c r="I3823" s="12" t="inlineStr">
        <is>
          <t>Fire alarm</t>
        </is>
      </c>
      <c r="J3823" s="12" t="inlineStr">
        <is>
          <t>Fire alarm FPLR 2/C #14 shielded, red jacket (NEC 760)</t>
        </is>
      </c>
      <c r="K3823" s="12" t="inlineStr">
        <is>
          <t>FA|2/C|14</t>
        </is>
      </c>
      <c r="L3823" s="12" t="inlineStr">
        <is>
          <t>2/C</t>
        </is>
      </c>
      <c r="M3823" s="12" t="inlineStr">
        <is>
          <t>14</t>
        </is>
      </c>
      <c r="N3823" s="12" t="n">
        <v>1</v>
      </c>
      <c r="O3823" s="12" t="n">
        <v>1</v>
      </c>
      <c r="P3823" s="12" t="n"/>
      <c r="Q3823" s="12" t="n"/>
      <c r="R3823" s="12" t="n"/>
      <c r="S3823" s="12" t="inlineStr">
        <is>
          <t>Tray</t>
        </is>
      </c>
      <c r="T3823" s="16" t="n">
        <v>0</v>
      </c>
      <c r="U3823" s="16" t="n">
        <v>141</v>
      </c>
      <c r="V3823" s="16">
        <f>ROUNDUP((T3823+U3823+2*'Read Me'!$B$13)*(1+'Read Me'!$B$12),-1)</f>
        <v/>
      </c>
      <c r="W3823" s="16">
        <f>V3823*N3823*O3823</f>
        <v/>
      </c>
      <c r="X3823" s="12">
        <f>IF(LEFT(I3823,2)="MV",2*N3823*IF(L3823="1/C",O3823,1),0)</f>
        <v/>
      </c>
      <c r="Y3823" s="12">
        <f>IF(OR(LEFT(K3823,4)="LVAX",LEFT(K3823,6)="MV15AX",LEFT(K3823,4)="CTAX",LEFT(K3823,2)="W|"),2*N3823*O3823,0)</f>
        <v/>
      </c>
      <c r="Z3823" s="12" t="inlineStr"/>
      <c r="AA3823" s="12">
        <f>N3823*O3823</f>
        <v/>
      </c>
    </row>
    <row r="3824">
      <c r="A3824" s="12" t="inlineStr">
        <is>
          <t>H-FA-0016</t>
        </is>
      </c>
      <c r="B3824" s="12" t="inlineStr">
        <is>
          <t>H</t>
        </is>
      </c>
      <c r="C3824" s="12" t="inlineStr">
        <is>
          <t>BESS</t>
        </is>
      </c>
      <c r="D3824" s="12" t="inlineStr">
        <is>
          <t>Fire alarm / F&amp;G loop (to the local FACP / F&amp;G node)</t>
        </is>
      </c>
      <c r="E3824" s="12" t="inlineStr"/>
      <c r="F3824" s="12" t="inlineStr">
        <is>
          <t>BESS EMS / SCADA and revenue metering</t>
        </is>
      </c>
      <c r="G3824" s="12" t="inlineStr"/>
      <c r="H3824" s="12" t="inlineStr">
        <is>
          <t>BESS container (ISO 40 ft high cube)</t>
        </is>
      </c>
      <c r="I3824" s="12" t="inlineStr">
        <is>
          <t>Fire alarm</t>
        </is>
      </c>
      <c r="J3824" s="12" t="inlineStr">
        <is>
          <t>Fire alarm FPLR 2/C #14 shielded, red jacket (NEC 760)</t>
        </is>
      </c>
      <c r="K3824" s="12" t="inlineStr">
        <is>
          <t>FA|2/C|14</t>
        </is>
      </c>
      <c r="L3824" s="12" t="inlineStr">
        <is>
          <t>2/C</t>
        </is>
      </c>
      <c r="M3824" s="12" t="inlineStr">
        <is>
          <t>14</t>
        </is>
      </c>
      <c r="N3824" s="12" t="n">
        <v>1</v>
      </c>
      <c r="O3824" s="12" t="n">
        <v>1</v>
      </c>
      <c r="P3824" s="12" t="n"/>
      <c r="Q3824" s="12" t="n"/>
      <c r="R3824" s="12" t="n"/>
      <c r="S3824" s="12" t="inlineStr">
        <is>
          <t>Duct bank</t>
        </is>
      </c>
      <c r="T3824" s="16" t="n">
        <v>300</v>
      </c>
      <c r="U3824" s="16" t="n">
        <v>205</v>
      </c>
      <c r="V3824" s="16">
        <f>ROUNDUP((T3824+U3824+2*'Read Me'!$B$13)*(1+'Read Me'!$B$12),-1)</f>
        <v/>
      </c>
      <c r="W3824" s="16">
        <f>V3824*N3824*O3824</f>
        <v/>
      </c>
      <c r="X3824" s="12">
        <f>IF(LEFT(I3824,2)="MV",2*N3824*IF(L3824="1/C",O3824,1),0)</f>
        <v/>
      </c>
      <c r="Y3824" s="12">
        <f>IF(OR(LEFT(K3824,4)="LVAX",LEFT(K3824,6)="MV15AX",LEFT(K3824,4)="CTAX",LEFT(K3824,2)="W|"),2*N3824*O3824,0)</f>
        <v/>
      </c>
      <c r="Z3824" s="12" t="inlineStr"/>
      <c r="AA3824" s="12">
        <f>N3824*O3824</f>
        <v/>
      </c>
    </row>
    <row r="3825">
      <c r="A3825" s="12" t="inlineStr">
        <is>
          <t>H-FA-0017</t>
        </is>
      </c>
      <c r="B3825" s="12" t="inlineStr">
        <is>
          <t>H</t>
        </is>
      </c>
      <c r="C3825" s="12" t="inlineStr">
        <is>
          <t>BESS</t>
        </is>
      </c>
      <c r="D3825" s="12" t="inlineStr">
        <is>
          <t>Fire alarm / F&amp;G loop (to the local FACP / F&amp;G node)</t>
        </is>
      </c>
      <c r="E3825" s="12" t="inlineStr"/>
      <c r="F3825" s="12" t="inlineStr">
        <is>
          <t>BESS EMS / SCADA and revenue metering</t>
        </is>
      </c>
      <c r="G3825" s="12" t="inlineStr"/>
      <c r="H3825" s="12" t="inlineStr">
        <is>
          <t>BESS container (ISO 40 ft high cube)</t>
        </is>
      </c>
      <c r="I3825" s="12" t="inlineStr">
        <is>
          <t>Fire alarm</t>
        </is>
      </c>
      <c r="J3825" s="12" t="inlineStr">
        <is>
          <t>Fire alarm FPLR 2/C #14 shielded, red jacket (NEC 760)</t>
        </is>
      </c>
      <c r="K3825" s="12" t="inlineStr">
        <is>
          <t>FA|2/C|14</t>
        </is>
      </c>
      <c r="L3825" s="12" t="inlineStr">
        <is>
          <t>2/C</t>
        </is>
      </c>
      <c r="M3825" s="12" t="inlineStr">
        <is>
          <t>14</t>
        </is>
      </c>
      <c r="N3825" s="12" t="n">
        <v>1</v>
      </c>
      <c r="O3825" s="12" t="n">
        <v>1</v>
      </c>
      <c r="P3825" s="12" t="n"/>
      <c r="Q3825" s="12" t="n"/>
      <c r="R3825" s="12" t="n"/>
      <c r="S3825" s="12" t="inlineStr">
        <is>
          <t>Duct bank</t>
        </is>
      </c>
      <c r="T3825" s="16" t="n">
        <v>300</v>
      </c>
      <c r="U3825" s="16" t="n">
        <v>205</v>
      </c>
      <c r="V3825" s="16">
        <f>ROUNDUP((T3825+U3825+2*'Read Me'!$B$13)*(1+'Read Me'!$B$12),-1)</f>
        <v/>
      </c>
      <c r="W3825" s="16">
        <f>V3825*N3825*O3825</f>
        <v/>
      </c>
      <c r="X3825" s="12">
        <f>IF(LEFT(I3825,2)="MV",2*N3825*IF(L3825="1/C",O3825,1),0)</f>
        <v/>
      </c>
      <c r="Y3825" s="12">
        <f>IF(OR(LEFT(K3825,4)="LVAX",LEFT(K3825,6)="MV15AX",LEFT(K3825,4)="CTAX",LEFT(K3825,2)="W|"),2*N3825*O3825,0)</f>
        <v/>
      </c>
      <c r="Z3825" s="12" t="inlineStr"/>
      <c r="AA3825" s="12">
        <f>N3825*O3825</f>
        <v/>
      </c>
    </row>
    <row r="3826">
      <c r="A3826" s="12" t="inlineStr">
        <is>
          <t>H-FA-0018</t>
        </is>
      </c>
      <c r="B3826" s="12" t="inlineStr">
        <is>
          <t>H</t>
        </is>
      </c>
      <c r="C3826" s="12" t="inlineStr">
        <is>
          <t>BESS</t>
        </is>
      </c>
      <c r="D3826" s="12" t="inlineStr">
        <is>
          <t>Fire alarm / F&amp;G loop (to the local FACP / F&amp;G node)</t>
        </is>
      </c>
      <c r="E3826" s="12" t="inlineStr"/>
      <c r="F3826" s="12" t="inlineStr">
        <is>
          <t>BESS EMS / SCADA and revenue metering</t>
        </is>
      </c>
      <c r="G3826" s="12" t="inlineStr"/>
      <c r="H3826" s="12" t="inlineStr">
        <is>
          <t>BESS container (ISO 40 ft high cube)</t>
        </is>
      </c>
      <c r="I3826" s="12" t="inlineStr">
        <is>
          <t>Fire alarm</t>
        </is>
      </c>
      <c r="J3826" s="12" t="inlineStr">
        <is>
          <t>Fire alarm FPLR 2/C #14 shielded, red jacket (NEC 760)</t>
        </is>
      </c>
      <c r="K3826" s="12" t="inlineStr">
        <is>
          <t>FA|2/C|14</t>
        </is>
      </c>
      <c r="L3826" s="12" t="inlineStr">
        <is>
          <t>2/C</t>
        </is>
      </c>
      <c r="M3826" s="12" t="inlineStr">
        <is>
          <t>14</t>
        </is>
      </c>
      <c r="N3826" s="12" t="n">
        <v>1</v>
      </c>
      <c r="O3826" s="12" t="n">
        <v>1</v>
      </c>
      <c r="P3826" s="12" t="n"/>
      <c r="Q3826" s="12" t="n"/>
      <c r="R3826" s="12" t="n"/>
      <c r="S3826" s="12" t="inlineStr">
        <is>
          <t>Duct bank</t>
        </is>
      </c>
      <c r="T3826" s="16" t="n">
        <v>160</v>
      </c>
      <c r="U3826" s="16" t="n">
        <v>225</v>
      </c>
      <c r="V3826" s="16">
        <f>ROUNDUP((T3826+U3826+2*'Read Me'!$B$13)*(1+'Read Me'!$B$12),-1)</f>
        <v/>
      </c>
      <c r="W3826" s="16">
        <f>V3826*N3826*O3826</f>
        <v/>
      </c>
      <c r="X3826" s="12">
        <f>IF(LEFT(I3826,2)="MV",2*N3826*IF(L3826="1/C",O3826,1),0)</f>
        <v/>
      </c>
      <c r="Y3826" s="12">
        <f>IF(OR(LEFT(K3826,4)="LVAX",LEFT(K3826,6)="MV15AX",LEFT(K3826,4)="CTAX",LEFT(K3826,2)="W|"),2*N3826*O3826,0)</f>
        <v/>
      </c>
      <c r="Z3826" s="12" t="inlineStr"/>
      <c r="AA3826" s="12">
        <f>N3826*O3826</f>
        <v/>
      </c>
    </row>
    <row r="3827">
      <c r="A3827" s="12" t="inlineStr">
        <is>
          <t>H-FA-0019</t>
        </is>
      </c>
      <c r="B3827" s="12" t="inlineStr">
        <is>
          <t>H</t>
        </is>
      </c>
      <c r="C3827" s="12" t="inlineStr">
        <is>
          <t>BESS</t>
        </is>
      </c>
      <c r="D3827" s="12" t="inlineStr">
        <is>
          <t>Fire alarm / F&amp;G loop (to the local FACP / F&amp;G node)</t>
        </is>
      </c>
      <c r="E3827" s="12" t="inlineStr"/>
      <c r="F3827" s="12" t="inlineStr">
        <is>
          <t>BESS EMS / SCADA and revenue metering</t>
        </is>
      </c>
      <c r="G3827" s="12" t="inlineStr"/>
      <c r="H3827" s="12" t="inlineStr">
        <is>
          <t>BESS container (ISO 40 ft high cube)</t>
        </is>
      </c>
      <c r="I3827" s="12" t="inlineStr">
        <is>
          <t>Fire alarm</t>
        </is>
      </c>
      <c r="J3827" s="12" t="inlineStr">
        <is>
          <t>Fire alarm FPLR 2/C #14 shielded, red jacket (NEC 760)</t>
        </is>
      </c>
      <c r="K3827" s="12" t="inlineStr">
        <is>
          <t>FA|2/C|14</t>
        </is>
      </c>
      <c r="L3827" s="12" t="inlineStr">
        <is>
          <t>2/C</t>
        </is>
      </c>
      <c r="M3827" s="12" t="inlineStr">
        <is>
          <t>14</t>
        </is>
      </c>
      <c r="N3827" s="12" t="n">
        <v>1</v>
      </c>
      <c r="O3827" s="12" t="n">
        <v>1</v>
      </c>
      <c r="P3827" s="12" t="n"/>
      <c r="Q3827" s="12" t="n"/>
      <c r="R3827" s="12" t="n"/>
      <c r="S3827" s="12" t="inlineStr">
        <is>
          <t>Duct bank</t>
        </is>
      </c>
      <c r="T3827" s="16" t="n">
        <v>160</v>
      </c>
      <c r="U3827" s="16" t="n">
        <v>225</v>
      </c>
      <c r="V3827" s="16">
        <f>ROUNDUP((T3827+U3827+2*'Read Me'!$B$13)*(1+'Read Me'!$B$12),-1)</f>
        <v/>
      </c>
      <c r="W3827" s="16">
        <f>V3827*N3827*O3827</f>
        <v/>
      </c>
      <c r="X3827" s="12">
        <f>IF(LEFT(I3827,2)="MV",2*N3827*IF(L3827="1/C",O3827,1),0)</f>
        <v/>
      </c>
      <c r="Y3827" s="12">
        <f>IF(OR(LEFT(K3827,4)="LVAX",LEFT(K3827,6)="MV15AX",LEFT(K3827,4)="CTAX",LEFT(K3827,2)="W|"),2*N3827*O3827,0)</f>
        <v/>
      </c>
      <c r="Z3827" s="12" t="inlineStr"/>
      <c r="AA3827" s="12">
        <f>N3827*O3827</f>
        <v/>
      </c>
    </row>
    <row r="3828">
      <c r="A3828" s="12" t="inlineStr">
        <is>
          <t>H-FA-0020</t>
        </is>
      </c>
      <c r="B3828" s="12" t="inlineStr">
        <is>
          <t>H</t>
        </is>
      </c>
      <c r="C3828" s="12" t="inlineStr">
        <is>
          <t>BESS</t>
        </is>
      </c>
      <c r="D3828" s="12" t="inlineStr">
        <is>
          <t>Fire alarm / F&amp;G loop (to the local FACP / F&amp;G node)</t>
        </is>
      </c>
      <c r="E3828" s="12" t="inlineStr"/>
      <c r="F3828" s="12" t="inlineStr">
        <is>
          <t>BESS EMS / SCADA and revenue metering</t>
        </is>
      </c>
      <c r="G3828" s="12" t="inlineStr"/>
      <c r="H3828" s="12" t="inlineStr">
        <is>
          <t>BESS container (ISO 40 ft high cube)</t>
        </is>
      </c>
      <c r="I3828" s="12" t="inlineStr">
        <is>
          <t>Fire alarm</t>
        </is>
      </c>
      <c r="J3828" s="12" t="inlineStr">
        <is>
          <t>Fire alarm FPLR 2/C #14 shielded, red jacket (NEC 760)</t>
        </is>
      </c>
      <c r="K3828" s="12" t="inlineStr">
        <is>
          <t>FA|2/C|14</t>
        </is>
      </c>
      <c r="L3828" s="12" t="inlineStr">
        <is>
          <t>2/C</t>
        </is>
      </c>
      <c r="M3828" s="12" t="inlineStr">
        <is>
          <t>14</t>
        </is>
      </c>
      <c r="N3828" s="12" t="n">
        <v>1</v>
      </c>
      <c r="O3828" s="12" t="n">
        <v>1</v>
      </c>
      <c r="P3828" s="12" t="n"/>
      <c r="Q3828" s="12" t="n"/>
      <c r="R3828" s="12" t="n"/>
      <c r="S3828" s="12" t="inlineStr">
        <is>
          <t>Duct bank</t>
        </is>
      </c>
      <c r="T3828" s="16" t="n">
        <v>30</v>
      </c>
      <c r="U3828" s="16" t="n">
        <v>209</v>
      </c>
      <c r="V3828" s="16">
        <f>ROUNDUP((T3828+U3828+2*'Read Me'!$B$13)*(1+'Read Me'!$B$12),-1)</f>
        <v/>
      </c>
      <c r="W3828" s="16">
        <f>V3828*N3828*O3828</f>
        <v/>
      </c>
      <c r="X3828" s="12">
        <f>IF(LEFT(I3828,2)="MV",2*N3828*IF(L3828="1/C",O3828,1),0)</f>
        <v/>
      </c>
      <c r="Y3828" s="12">
        <f>IF(OR(LEFT(K3828,4)="LVAX",LEFT(K3828,6)="MV15AX",LEFT(K3828,4)="CTAX",LEFT(K3828,2)="W|"),2*N3828*O3828,0)</f>
        <v/>
      </c>
      <c r="Z3828" s="12" t="inlineStr"/>
      <c r="AA3828" s="12">
        <f>N3828*O3828</f>
        <v/>
      </c>
    </row>
    <row r="3829">
      <c r="A3829" s="12" t="inlineStr">
        <is>
          <t>H-FA-0021</t>
        </is>
      </c>
      <c r="B3829" s="12" t="inlineStr">
        <is>
          <t>H</t>
        </is>
      </c>
      <c r="C3829" s="12" t="inlineStr">
        <is>
          <t>BESS</t>
        </is>
      </c>
      <c r="D3829" s="12" t="inlineStr">
        <is>
          <t>Fire alarm / F&amp;G loop (to the local FACP / F&amp;G node)</t>
        </is>
      </c>
      <c r="E3829" s="12" t="inlineStr"/>
      <c r="F3829" s="12" t="inlineStr">
        <is>
          <t>BESS EMS / SCADA and revenue metering</t>
        </is>
      </c>
      <c r="G3829" s="12" t="inlineStr"/>
      <c r="H3829" s="12" t="inlineStr">
        <is>
          <t>BESS container (ISO 40 ft high cube)</t>
        </is>
      </c>
      <c r="I3829" s="12" t="inlineStr">
        <is>
          <t>Fire alarm</t>
        </is>
      </c>
      <c r="J3829" s="12" t="inlineStr">
        <is>
          <t>Fire alarm FPLR 2/C #14 shielded, red jacket (NEC 760)</t>
        </is>
      </c>
      <c r="K3829" s="12" t="inlineStr">
        <is>
          <t>FA|2/C|14</t>
        </is>
      </c>
      <c r="L3829" s="12" t="inlineStr">
        <is>
          <t>2/C</t>
        </is>
      </c>
      <c r="M3829" s="12" t="inlineStr">
        <is>
          <t>14</t>
        </is>
      </c>
      <c r="N3829" s="12" t="n">
        <v>1</v>
      </c>
      <c r="O3829" s="12" t="n">
        <v>1</v>
      </c>
      <c r="P3829" s="12" t="n"/>
      <c r="Q3829" s="12" t="n"/>
      <c r="R3829" s="12" t="n"/>
      <c r="S3829" s="12" t="inlineStr">
        <is>
          <t>Duct bank</t>
        </is>
      </c>
      <c r="T3829" s="16" t="n">
        <v>336</v>
      </c>
      <c r="U3829" s="16" t="n">
        <v>173</v>
      </c>
      <c r="V3829" s="16">
        <f>ROUNDUP((T3829+U3829+2*'Read Me'!$B$13)*(1+'Read Me'!$B$12),-1)</f>
        <v/>
      </c>
      <c r="W3829" s="16">
        <f>V3829*N3829*O3829</f>
        <v/>
      </c>
      <c r="X3829" s="12">
        <f>IF(LEFT(I3829,2)="MV",2*N3829*IF(L3829="1/C",O3829,1),0)</f>
        <v/>
      </c>
      <c r="Y3829" s="12">
        <f>IF(OR(LEFT(K3829,4)="LVAX",LEFT(K3829,6)="MV15AX",LEFT(K3829,4)="CTAX",LEFT(K3829,2)="W|"),2*N3829*O3829,0)</f>
        <v/>
      </c>
      <c r="Z3829" s="12" t="inlineStr"/>
      <c r="AA3829" s="12">
        <f>N3829*O3829</f>
        <v/>
      </c>
    </row>
    <row r="3830">
      <c r="A3830" s="12" t="inlineStr">
        <is>
          <t>H-FA-0022</t>
        </is>
      </c>
      <c r="B3830" s="12" t="inlineStr">
        <is>
          <t>H</t>
        </is>
      </c>
      <c r="C3830" s="12" t="inlineStr">
        <is>
          <t>BESS</t>
        </is>
      </c>
      <c r="D3830" s="12" t="inlineStr">
        <is>
          <t>Fire alarm / F&amp;G loop (to the local FACP / F&amp;G node)</t>
        </is>
      </c>
      <c r="E3830" s="12" t="inlineStr"/>
      <c r="F3830" s="12" t="inlineStr">
        <is>
          <t>BESS EMS / SCADA and revenue metering</t>
        </is>
      </c>
      <c r="G3830" s="12" t="inlineStr"/>
      <c r="H3830" s="12" t="inlineStr">
        <is>
          <t>BESS container (ISO 40 ft high cube)</t>
        </is>
      </c>
      <c r="I3830" s="12" t="inlineStr">
        <is>
          <t>Fire alarm</t>
        </is>
      </c>
      <c r="J3830" s="12" t="inlineStr">
        <is>
          <t>Fire alarm FPLR 2/C #14 shielded, red jacket (NEC 760)</t>
        </is>
      </c>
      <c r="K3830" s="12" t="inlineStr">
        <is>
          <t>FA|2/C|14</t>
        </is>
      </c>
      <c r="L3830" s="12" t="inlineStr">
        <is>
          <t>2/C</t>
        </is>
      </c>
      <c r="M3830" s="12" t="inlineStr">
        <is>
          <t>14</t>
        </is>
      </c>
      <c r="N3830" s="12" t="n">
        <v>1</v>
      </c>
      <c r="O3830" s="12" t="n">
        <v>1</v>
      </c>
      <c r="P3830" s="12" t="n"/>
      <c r="Q3830" s="12" t="n"/>
      <c r="R3830" s="12" t="n"/>
      <c r="S3830" s="12" t="inlineStr">
        <is>
          <t>Duct bank</t>
        </is>
      </c>
      <c r="T3830" s="16" t="n">
        <v>340</v>
      </c>
      <c r="U3830" s="16" t="n">
        <v>253</v>
      </c>
      <c r="V3830" s="16">
        <f>ROUNDUP((T3830+U3830+2*'Read Me'!$B$13)*(1+'Read Me'!$B$12),-1)</f>
        <v/>
      </c>
      <c r="W3830" s="16">
        <f>V3830*N3830*O3830</f>
        <v/>
      </c>
      <c r="X3830" s="12">
        <f>IF(LEFT(I3830,2)="MV",2*N3830*IF(L3830="1/C",O3830,1),0)</f>
        <v/>
      </c>
      <c r="Y3830" s="12">
        <f>IF(OR(LEFT(K3830,4)="LVAX",LEFT(K3830,6)="MV15AX",LEFT(K3830,4)="CTAX",LEFT(K3830,2)="W|"),2*N3830*O3830,0)</f>
        <v/>
      </c>
      <c r="Z3830" s="12" t="inlineStr"/>
      <c r="AA3830" s="12">
        <f>N3830*O3830</f>
        <v/>
      </c>
    </row>
    <row r="3831">
      <c r="A3831" s="12" t="inlineStr">
        <is>
          <t>H-FA-0023</t>
        </is>
      </c>
      <c r="B3831" s="12" t="inlineStr">
        <is>
          <t>H</t>
        </is>
      </c>
      <c r="C3831" s="12" t="inlineStr">
        <is>
          <t>BESS</t>
        </is>
      </c>
      <c r="D3831" s="12" t="inlineStr">
        <is>
          <t>Fire alarm / F&amp;G loop (to the local FACP / F&amp;G node)</t>
        </is>
      </c>
      <c r="E3831" s="12" t="inlineStr"/>
      <c r="F3831" s="12" t="inlineStr">
        <is>
          <t>BESS EMS / SCADA and revenue metering</t>
        </is>
      </c>
      <c r="G3831" s="12" t="inlineStr"/>
      <c r="H3831" s="12" t="inlineStr">
        <is>
          <t>BESS container (ISO 40 ft high cube)</t>
        </is>
      </c>
      <c r="I3831" s="12" t="inlineStr">
        <is>
          <t>Fire alarm</t>
        </is>
      </c>
      <c r="J3831" s="12" t="inlineStr">
        <is>
          <t>Fire alarm FPLR 2/C #14 shielded, red jacket (NEC 760)</t>
        </is>
      </c>
      <c r="K3831" s="12" t="inlineStr">
        <is>
          <t>FA|2/C|14</t>
        </is>
      </c>
      <c r="L3831" s="12" t="inlineStr">
        <is>
          <t>2/C</t>
        </is>
      </c>
      <c r="M3831" s="12" t="inlineStr">
        <is>
          <t>14</t>
        </is>
      </c>
      <c r="N3831" s="12" t="n">
        <v>1</v>
      </c>
      <c r="O3831" s="12" t="n">
        <v>1</v>
      </c>
      <c r="P3831" s="12" t="n"/>
      <c r="Q3831" s="12" t="n"/>
      <c r="R3831" s="12" t="n"/>
      <c r="S3831" s="12" t="inlineStr">
        <is>
          <t>Duct bank</t>
        </is>
      </c>
      <c r="T3831" s="16" t="n">
        <v>300</v>
      </c>
      <c r="U3831" s="16" t="n">
        <v>263</v>
      </c>
      <c r="V3831" s="16">
        <f>ROUNDUP((T3831+U3831+2*'Read Me'!$B$13)*(1+'Read Me'!$B$12),-1)</f>
        <v/>
      </c>
      <c r="W3831" s="16">
        <f>V3831*N3831*O3831</f>
        <v/>
      </c>
      <c r="X3831" s="12">
        <f>IF(LEFT(I3831,2)="MV",2*N3831*IF(L3831="1/C",O3831,1),0)</f>
        <v/>
      </c>
      <c r="Y3831" s="12">
        <f>IF(OR(LEFT(K3831,4)="LVAX",LEFT(K3831,6)="MV15AX",LEFT(K3831,4)="CTAX",LEFT(K3831,2)="W|"),2*N3831*O3831,0)</f>
        <v/>
      </c>
      <c r="Z3831" s="12" t="inlineStr"/>
      <c r="AA3831" s="12">
        <f>N3831*O3831</f>
        <v/>
      </c>
    </row>
    <row r="3832">
      <c r="A3832" s="12" t="inlineStr">
        <is>
          <t>H-FA-0024</t>
        </is>
      </c>
      <c r="B3832" s="12" t="inlineStr">
        <is>
          <t>H</t>
        </is>
      </c>
      <c r="C3832" s="12" t="inlineStr">
        <is>
          <t>BESS</t>
        </is>
      </c>
      <c r="D3832" s="12" t="inlineStr">
        <is>
          <t>Fire alarm / F&amp;G loop (to the local FACP / F&amp;G node)</t>
        </is>
      </c>
      <c r="E3832" s="12" t="inlineStr"/>
      <c r="F3832" s="12" t="inlineStr">
        <is>
          <t>BESS EMS / SCADA and revenue metering</t>
        </is>
      </c>
      <c r="G3832" s="12" t="inlineStr"/>
      <c r="H3832" s="12" t="inlineStr">
        <is>
          <t>BESS container (ISO 40 ft high cube)</t>
        </is>
      </c>
      <c r="I3832" s="12" t="inlineStr">
        <is>
          <t>Fire alarm</t>
        </is>
      </c>
      <c r="J3832" s="12" t="inlineStr">
        <is>
          <t>Fire alarm FPLR 2/C #14 shielded, red jacket (NEC 760)</t>
        </is>
      </c>
      <c r="K3832" s="12" t="inlineStr">
        <is>
          <t>FA|2/C|14</t>
        </is>
      </c>
      <c r="L3832" s="12" t="inlineStr">
        <is>
          <t>2/C</t>
        </is>
      </c>
      <c r="M3832" s="12" t="inlineStr">
        <is>
          <t>14</t>
        </is>
      </c>
      <c r="N3832" s="12" t="n">
        <v>1</v>
      </c>
      <c r="O3832" s="12" t="n">
        <v>1</v>
      </c>
      <c r="P3832" s="12" t="n"/>
      <c r="Q3832" s="12" t="n"/>
      <c r="R3832" s="12" t="n"/>
      <c r="S3832" s="12" t="inlineStr">
        <is>
          <t>Duct bank</t>
        </is>
      </c>
      <c r="T3832" s="16" t="n">
        <v>160</v>
      </c>
      <c r="U3832" s="16" t="n">
        <v>283</v>
      </c>
      <c r="V3832" s="16">
        <f>ROUNDUP((T3832+U3832+2*'Read Me'!$B$13)*(1+'Read Me'!$B$12),-1)</f>
        <v/>
      </c>
      <c r="W3832" s="16">
        <f>V3832*N3832*O3832</f>
        <v/>
      </c>
      <c r="X3832" s="12">
        <f>IF(LEFT(I3832,2)="MV",2*N3832*IF(L3832="1/C",O3832,1),0)</f>
        <v/>
      </c>
      <c r="Y3832" s="12">
        <f>IF(OR(LEFT(K3832,4)="LVAX",LEFT(K3832,6)="MV15AX",LEFT(K3832,4)="CTAX",LEFT(K3832,2)="W|"),2*N3832*O3832,0)</f>
        <v/>
      </c>
      <c r="Z3832" s="12" t="inlineStr"/>
      <c r="AA3832" s="12">
        <f>N3832*O3832</f>
        <v/>
      </c>
    </row>
    <row r="3833">
      <c r="A3833" s="12" t="inlineStr">
        <is>
          <t>H-FA-0025</t>
        </is>
      </c>
      <c r="B3833" s="12" t="inlineStr">
        <is>
          <t>H</t>
        </is>
      </c>
      <c r="C3833" s="12" t="inlineStr">
        <is>
          <t>BESS</t>
        </is>
      </c>
      <c r="D3833" s="12" t="inlineStr">
        <is>
          <t>Fire alarm / F&amp;G loop (to the local FACP / F&amp;G node)</t>
        </is>
      </c>
      <c r="E3833" s="12" t="inlineStr"/>
      <c r="F3833" s="12" t="inlineStr">
        <is>
          <t>BESS EMS / SCADA and revenue metering</t>
        </is>
      </c>
      <c r="G3833" s="12" t="inlineStr"/>
      <c r="H3833" s="12" t="inlineStr">
        <is>
          <t>BESS container (ISO 40 ft high cube)</t>
        </is>
      </c>
      <c r="I3833" s="12" t="inlineStr">
        <is>
          <t>Fire alarm</t>
        </is>
      </c>
      <c r="J3833" s="12" t="inlineStr">
        <is>
          <t>Fire alarm FPLR 2/C #14 shielded, red jacket (NEC 760)</t>
        </is>
      </c>
      <c r="K3833" s="12" t="inlineStr">
        <is>
          <t>FA|2/C|14</t>
        </is>
      </c>
      <c r="L3833" s="12" t="inlineStr">
        <is>
          <t>2/C</t>
        </is>
      </c>
      <c r="M3833" s="12" t="inlineStr">
        <is>
          <t>14</t>
        </is>
      </c>
      <c r="N3833" s="12" t="n">
        <v>1</v>
      </c>
      <c r="O3833" s="12" t="n">
        <v>1</v>
      </c>
      <c r="P3833" s="12" t="n"/>
      <c r="Q3833" s="12" t="n"/>
      <c r="R3833" s="12" t="n"/>
      <c r="S3833" s="12" t="inlineStr">
        <is>
          <t>Duct bank</t>
        </is>
      </c>
      <c r="T3833" s="16" t="n">
        <v>160</v>
      </c>
      <c r="U3833" s="16" t="n">
        <v>283</v>
      </c>
      <c r="V3833" s="16">
        <f>ROUNDUP((T3833+U3833+2*'Read Me'!$B$13)*(1+'Read Me'!$B$12),-1)</f>
        <v/>
      </c>
      <c r="W3833" s="16">
        <f>V3833*N3833*O3833</f>
        <v/>
      </c>
      <c r="X3833" s="12">
        <f>IF(LEFT(I3833,2)="MV",2*N3833*IF(L3833="1/C",O3833,1),0)</f>
        <v/>
      </c>
      <c r="Y3833" s="12">
        <f>IF(OR(LEFT(K3833,4)="LVAX",LEFT(K3833,6)="MV15AX",LEFT(K3833,4)="CTAX",LEFT(K3833,2)="W|"),2*N3833*O3833,0)</f>
        <v/>
      </c>
      <c r="Z3833" s="12" t="inlineStr"/>
      <c r="AA3833" s="12">
        <f>N3833*O3833</f>
        <v/>
      </c>
    </row>
    <row r="3834">
      <c r="A3834" s="12" t="inlineStr">
        <is>
          <t>H-FA-0026</t>
        </is>
      </c>
      <c r="B3834" s="12" t="inlineStr">
        <is>
          <t>H</t>
        </is>
      </c>
      <c r="C3834" s="12" t="inlineStr">
        <is>
          <t>BESS</t>
        </is>
      </c>
      <c r="D3834" s="12" t="inlineStr">
        <is>
          <t>Fire alarm / F&amp;G loop (to the local FACP / F&amp;G node)</t>
        </is>
      </c>
      <c r="E3834" s="12" t="inlineStr"/>
      <c r="F3834" s="12" t="inlineStr">
        <is>
          <t>BESS EMS / SCADA and revenue metering</t>
        </is>
      </c>
      <c r="G3834" s="12" t="inlineStr"/>
      <c r="H3834" s="12" t="inlineStr">
        <is>
          <t>BESS container (ISO 40 ft high cube)</t>
        </is>
      </c>
      <c r="I3834" s="12" t="inlineStr">
        <is>
          <t>Fire alarm</t>
        </is>
      </c>
      <c r="J3834" s="12" t="inlineStr">
        <is>
          <t>Fire alarm FPLR 2/C #14 shielded, red jacket (NEC 760)</t>
        </is>
      </c>
      <c r="K3834" s="12" t="inlineStr">
        <is>
          <t>FA|2/C|14</t>
        </is>
      </c>
      <c r="L3834" s="12" t="inlineStr">
        <is>
          <t>2/C</t>
        </is>
      </c>
      <c r="M3834" s="12" t="inlineStr">
        <is>
          <t>14</t>
        </is>
      </c>
      <c r="N3834" s="12" t="n">
        <v>1</v>
      </c>
      <c r="O3834" s="12" t="n">
        <v>1</v>
      </c>
      <c r="P3834" s="12" t="n"/>
      <c r="Q3834" s="12" t="n"/>
      <c r="R3834" s="12" t="n"/>
      <c r="S3834" s="12" t="inlineStr">
        <is>
          <t>Duct bank</t>
        </is>
      </c>
      <c r="T3834" s="16" t="n">
        <v>336</v>
      </c>
      <c r="U3834" s="16" t="n">
        <v>115</v>
      </c>
      <c r="V3834" s="16">
        <f>ROUNDUP((T3834+U3834+2*'Read Me'!$B$13)*(1+'Read Me'!$B$12),-1)</f>
        <v/>
      </c>
      <c r="W3834" s="16">
        <f>V3834*N3834*O3834</f>
        <v/>
      </c>
      <c r="X3834" s="12">
        <f>IF(LEFT(I3834,2)="MV",2*N3834*IF(L3834="1/C",O3834,1),0)</f>
        <v/>
      </c>
      <c r="Y3834" s="12">
        <f>IF(OR(LEFT(K3834,4)="LVAX",LEFT(K3834,6)="MV15AX",LEFT(K3834,4)="CTAX",LEFT(K3834,2)="W|"),2*N3834*O3834,0)</f>
        <v/>
      </c>
      <c r="Z3834" s="12" t="inlineStr"/>
      <c r="AA3834" s="12">
        <f>N3834*O3834</f>
        <v/>
      </c>
    </row>
    <row r="3835">
      <c r="A3835" s="12" t="inlineStr">
        <is>
          <t>H-FA-0027</t>
        </is>
      </c>
      <c r="B3835" s="12" t="inlineStr">
        <is>
          <t>H</t>
        </is>
      </c>
      <c r="C3835" s="12" t="inlineStr">
        <is>
          <t>BESS</t>
        </is>
      </c>
      <c r="D3835" s="12" t="inlineStr">
        <is>
          <t>Fire alarm / F&amp;G loop (to the local FACP / F&amp;G node)</t>
        </is>
      </c>
      <c r="E3835" s="12" t="inlineStr"/>
      <c r="F3835" s="12" t="inlineStr">
        <is>
          <t>BESS EMS / SCADA and revenue metering</t>
        </is>
      </c>
      <c r="G3835" s="12" t="inlineStr"/>
      <c r="H3835" s="12" t="inlineStr">
        <is>
          <t>BESS container (ISO 40 ft high cube)</t>
        </is>
      </c>
      <c r="I3835" s="12" t="inlineStr">
        <is>
          <t>Fire alarm</t>
        </is>
      </c>
      <c r="J3835" s="12" t="inlineStr">
        <is>
          <t>Fire alarm FPLR 2/C #14 shielded, red jacket (NEC 760)</t>
        </is>
      </c>
      <c r="K3835" s="12" t="inlineStr">
        <is>
          <t>FA|2/C|14</t>
        </is>
      </c>
      <c r="L3835" s="12" t="inlineStr">
        <is>
          <t>2/C</t>
        </is>
      </c>
      <c r="M3835" s="12" t="inlineStr">
        <is>
          <t>14</t>
        </is>
      </c>
      <c r="N3835" s="12" t="n">
        <v>1</v>
      </c>
      <c r="O3835" s="12" t="n">
        <v>1</v>
      </c>
      <c r="P3835" s="12" t="n"/>
      <c r="Q3835" s="12" t="n"/>
      <c r="R3835" s="12" t="n"/>
      <c r="S3835" s="12" t="inlineStr">
        <is>
          <t>Duct bank</t>
        </is>
      </c>
      <c r="T3835" s="16" t="n">
        <v>336</v>
      </c>
      <c r="U3835" s="16" t="n">
        <v>115</v>
      </c>
      <c r="V3835" s="16">
        <f>ROUNDUP((T3835+U3835+2*'Read Me'!$B$13)*(1+'Read Me'!$B$12),-1)</f>
        <v/>
      </c>
      <c r="W3835" s="16">
        <f>V3835*N3835*O3835</f>
        <v/>
      </c>
      <c r="X3835" s="12">
        <f>IF(LEFT(I3835,2)="MV",2*N3835*IF(L3835="1/C",O3835,1),0)</f>
        <v/>
      </c>
      <c r="Y3835" s="12">
        <f>IF(OR(LEFT(K3835,4)="LVAX",LEFT(K3835,6)="MV15AX",LEFT(K3835,4)="CTAX",LEFT(K3835,2)="W|"),2*N3835*O3835,0)</f>
        <v/>
      </c>
      <c r="Z3835" s="12" t="inlineStr"/>
      <c r="AA3835" s="12">
        <f>N3835*O3835</f>
        <v/>
      </c>
    </row>
    <row r="3836">
      <c r="A3836" s="12" t="inlineStr">
        <is>
          <t>H-FA-0028</t>
        </is>
      </c>
      <c r="B3836" s="12" t="inlineStr">
        <is>
          <t>H</t>
        </is>
      </c>
      <c r="C3836" s="12" t="inlineStr">
        <is>
          <t>BESS</t>
        </is>
      </c>
      <c r="D3836" s="12" t="inlineStr">
        <is>
          <t>Fire alarm / F&amp;G loop (to the local FACP / F&amp;G node)</t>
        </is>
      </c>
      <c r="E3836" s="12" t="inlineStr"/>
      <c r="F3836" s="12" t="inlineStr">
        <is>
          <t>BESS EMS / SCADA and revenue metering</t>
        </is>
      </c>
      <c r="G3836" s="12" t="inlineStr"/>
      <c r="H3836" s="12" t="inlineStr">
        <is>
          <t>BESS container (ISO 40 ft high cube)</t>
        </is>
      </c>
      <c r="I3836" s="12" t="inlineStr">
        <is>
          <t>Fire alarm</t>
        </is>
      </c>
      <c r="J3836" s="12" t="inlineStr">
        <is>
          <t>Fire alarm FPLR 2/C #14 shielded, red jacket (NEC 760)</t>
        </is>
      </c>
      <c r="K3836" s="12" t="inlineStr">
        <is>
          <t>FA|2/C|14</t>
        </is>
      </c>
      <c r="L3836" s="12" t="inlineStr">
        <is>
          <t>2/C</t>
        </is>
      </c>
      <c r="M3836" s="12" t="inlineStr">
        <is>
          <t>14</t>
        </is>
      </c>
      <c r="N3836" s="12" t="n">
        <v>1</v>
      </c>
      <c r="O3836" s="12" t="n">
        <v>1</v>
      </c>
      <c r="P3836" s="12" t="n"/>
      <c r="Q3836" s="12" t="n"/>
      <c r="R3836" s="12" t="n"/>
      <c r="S3836" s="12" t="inlineStr">
        <is>
          <t>Duct bank</t>
        </is>
      </c>
      <c r="T3836" s="16" t="n">
        <v>602</v>
      </c>
      <c r="U3836" s="16" t="n">
        <v>57</v>
      </c>
      <c r="V3836" s="16">
        <f>ROUNDUP((T3836+U3836+2*'Read Me'!$B$13)*(1+'Read Me'!$B$12),-1)</f>
        <v/>
      </c>
      <c r="W3836" s="16">
        <f>V3836*N3836*O3836</f>
        <v/>
      </c>
      <c r="X3836" s="12">
        <f>IF(LEFT(I3836,2)="MV",2*N3836*IF(L3836="1/C",O3836,1),0)</f>
        <v/>
      </c>
      <c r="Y3836" s="12">
        <f>IF(OR(LEFT(K3836,4)="LVAX",LEFT(K3836,6)="MV15AX",LEFT(K3836,4)="CTAX",LEFT(K3836,2)="W|"),2*N3836*O3836,0)</f>
        <v/>
      </c>
      <c r="Z3836" s="12" t="inlineStr"/>
      <c r="AA3836" s="12">
        <f>N3836*O3836</f>
        <v/>
      </c>
    </row>
    <row r="3837">
      <c r="A3837" s="12" t="inlineStr">
        <is>
          <t>H-FA-0029</t>
        </is>
      </c>
      <c r="B3837" s="12" t="inlineStr">
        <is>
          <t>H</t>
        </is>
      </c>
      <c r="C3837" s="12" t="inlineStr">
        <is>
          <t>BESS</t>
        </is>
      </c>
      <c r="D3837" s="12" t="inlineStr">
        <is>
          <t>Fire alarm / F&amp;G loop (to the local FACP / F&amp;G node)</t>
        </is>
      </c>
      <c r="E3837" s="12" t="inlineStr"/>
      <c r="F3837" s="12" t="inlineStr">
        <is>
          <t>BESS EMS / SCADA and revenue metering</t>
        </is>
      </c>
      <c r="G3837" s="12" t="inlineStr"/>
      <c r="H3837" s="12" t="inlineStr">
        <is>
          <t>BESS container (ISO 40 ft high cube)</t>
        </is>
      </c>
      <c r="I3837" s="12" t="inlineStr">
        <is>
          <t>Fire alarm</t>
        </is>
      </c>
      <c r="J3837" s="12" t="inlineStr">
        <is>
          <t>Fire alarm FPLR 2/C #14 shielded, red jacket (NEC 760)</t>
        </is>
      </c>
      <c r="K3837" s="12" t="inlineStr">
        <is>
          <t>FA|2/C|14</t>
        </is>
      </c>
      <c r="L3837" s="12" t="inlineStr">
        <is>
          <t>2/C</t>
        </is>
      </c>
      <c r="M3837" s="12" t="inlineStr">
        <is>
          <t>14</t>
        </is>
      </c>
      <c r="N3837" s="12" t="n">
        <v>1</v>
      </c>
      <c r="O3837" s="12" t="n">
        <v>1</v>
      </c>
      <c r="P3837" s="12" t="n"/>
      <c r="Q3837" s="12" t="n"/>
      <c r="R3837" s="12" t="n"/>
      <c r="S3837" s="12" t="inlineStr">
        <is>
          <t>Duct bank</t>
        </is>
      </c>
      <c r="T3837" s="16" t="n">
        <v>482</v>
      </c>
      <c r="U3837" s="16" t="n">
        <v>117</v>
      </c>
      <c r="V3837" s="16">
        <f>ROUNDUP((T3837+U3837+2*'Read Me'!$B$13)*(1+'Read Me'!$B$12),-1)</f>
        <v/>
      </c>
      <c r="W3837" s="16">
        <f>V3837*N3837*O3837</f>
        <v/>
      </c>
      <c r="X3837" s="12">
        <f>IF(LEFT(I3837,2)="MV",2*N3837*IF(L3837="1/C",O3837,1),0)</f>
        <v/>
      </c>
      <c r="Y3837" s="12">
        <f>IF(OR(LEFT(K3837,4)="LVAX",LEFT(K3837,6)="MV15AX",LEFT(K3837,4)="CTAX",LEFT(K3837,2)="W|"),2*N3837*O3837,0)</f>
        <v/>
      </c>
      <c r="Z3837" s="12" t="inlineStr"/>
      <c r="AA3837" s="12">
        <f>N3837*O3837</f>
        <v/>
      </c>
    </row>
    <row r="3838">
      <c r="A3838" s="12" t="inlineStr">
        <is>
          <t>H-FA-0030</t>
        </is>
      </c>
      <c r="B3838" s="12" t="inlineStr">
        <is>
          <t>H</t>
        </is>
      </c>
      <c r="C3838" s="12" t="inlineStr">
        <is>
          <t>BESS</t>
        </is>
      </c>
      <c r="D3838" s="12" t="inlineStr">
        <is>
          <t>Fire alarm / F&amp;G loop (to the local FACP / F&amp;G node)</t>
        </is>
      </c>
      <c r="E3838" s="12" t="inlineStr"/>
      <c r="F3838" s="12" t="inlineStr">
        <is>
          <t>BESS EMS / SCADA and revenue metering</t>
        </is>
      </c>
      <c r="G3838" s="12" t="inlineStr"/>
      <c r="H3838" s="12" t="inlineStr">
        <is>
          <t>BESS container (ISO 40 ft high cube)</t>
        </is>
      </c>
      <c r="I3838" s="12" t="inlineStr">
        <is>
          <t>Fire alarm</t>
        </is>
      </c>
      <c r="J3838" s="12" t="inlineStr">
        <is>
          <t>Fire alarm FPLR 2/C #14 shielded, red jacket (NEC 760)</t>
        </is>
      </c>
      <c r="K3838" s="12" t="inlineStr">
        <is>
          <t>FA|2/C|14</t>
        </is>
      </c>
      <c r="L3838" s="12" t="inlineStr">
        <is>
          <t>2/C</t>
        </is>
      </c>
      <c r="M3838" s="12" t="inlineStr">
        <is>
          <t>14</t>
        </is>
      </c>
      <c r="N3838" s="12" t="n">
        <v>1</v>
      </c>
      <c r="O3838" s="12" t="n">
        <v>1</v>
      </c>
      <c r="P3838" s="12" t="n"/>
      <c r="Q3838" s="12" t="n"/>
      <c r="R3838" s="12" t="n"/>
      <c r="S3838" s="12" t="inlineStr">
        <is>
          <t>Duct bank</t>
        </is>
      </c>
      <c r="T3838" s="16" t="n">
        <v>336</v>
      </c>
      <c r="U3838" s="16" t="n">
        <v>177</v>
      </c>
      <c r="V3838" s="16">
        <f>ROUNDUP((T3838+U3838+2*'Read Me'!$B$13)*(1+'Read Me'!$B$12),-1)</f>
        <v/>
      </c>
      <c r="W3838" s="16">
        <f>V3838*N3838*O3838</f>
        <v/>
      </c>
      <c r="X3838" s="12">
        <f>IF(LEFT(I3838,2)="MV",2*N3838*IF(L3838="1/C",O3838,1),0)</f>
        <v/>
      </c>
      <c r="Y3838" s="12">
        <f>IF(OR(LEFT(K3838,4)="LVAX",LEFT(K3838,6)="MV15AX",LEFT(K3838,4)="CTAX",LEFT(K3838,2)="W|"),2*N3838*O3838,0)</f>
        <v/>
      </c>
      <c r="Z3838" s="12" t="inlineStr"/>
      <c r="AA3838" s="12">
        <f>N3838*O3838</f>
        <v/>
      </c>
    </row>
    <row r="3839">
      <c r="A3839" s="12" t="inlineStr">
        <is>
          <t>H-FA-0031</t>
        </is>
      </c>
      <c r="B3839" s="12" t="inlineStr">
        <is>
          <t>H</t>
        </is>
      </c>
      <c r="C3839" s="12" t="inlineStr">
        <is>
          <t>BESS</t>
        </is>
      </c>
      <c r="D3839" s="12" t="inlineStr">
        <is>
          <t>Fire alarm / F&amp;G loop (to the local FACP / F&amp;G node)</t>
        </is>
      </c>
      <c r="E3839" s="12" t="inlineStr"/>
      <c r="F3839" s="12" t="inlineStr">
        <is>
          <t>BESS EMS / SCADA and revenue metering</t>
        </is>
      </c>
      <c r="G3839" s="12" t="inlineStr"/>
      <c r="H3839" s="12" t="inlineStr">
        <is>
          <t>BESS container (ISO 40 ft high cube)</t>
        </is>
      </c>
      <c r="I3839" s="12" t="inlineStr">
        <is>
          <t>Fire alarm</t>
        </is>
      </c>
      <c r="J3839" s="12" t="inlineStr">
        <is>
          <t>Fire alarm FPLR 2/C #14 shielded, red jacket (NEC 760)</t>
        </is>
      </c>
      <c r="K3839" s="12" t="inlineStr">
        <is>
          <t>FA|2/C|14</t>
        </is>
      </c>
      <c r="L3839" s="12" t="inlineStr">
        <is>
          <t>2/C</t>
        </is>
      </c>
      <c r="M3839" s="12" t="inlineStr">
        <is>
          <t>14</t>
        </is>
      </c>
      <c r="N3839" s="12" t="n">
        <v>1</v>
      </c>
      <c r="O3839" s="12" t="n">
        <v>1</v>
      </c>
      <c r="P3839" s="12" t="n"/>
      <c r="Q3839" s="12" t="n"/>
      <c r="R3839" s="12" t="n"/>
      <c r="S3839" s="12" t="inlineStr">
        <is>
          <t>Duct bank</t>
        </is>
      </c>
      <c r="T3839" s="16" t="n">
        <v>336</v>
      </c>
      <c r="U3839" s="16" t="n">
        <v>117</v>
      </c>
      <c r="V3839" s="16">
        <f>ROUNDUP((T3839+U3839+2*'Read Me'!$B$13)*(1+'Read Me'!$B$12),-1)</f>
        <v/>
      </c>
      <c r="W3839" s="16">
        <f>V3839*N3839*O3839</f>
        <v/>
      </c>
      <c r="X3839" s="12">
        <f>IF(LEFT(I3839,2)="MV",2*N3839*IF(L3839="1/C",O3839,1),0)</f>
        <v/>
      </c>
      <c r="Y3839" s="12">
        <f>IF(OR(LEFT(K3839,4)="LVAX",LEFT(K3839,6)="MV15AX",LEFT(K3839,4)="CTAX",LEFT(K3839,2)="W|"),2*N3839*O3839,0)</f>
        <v/>
      </c>
      <c r="Z3839" s="12" t="inlineStr"/>
      <c r="AA3839" s="12">
        <f>N3839*O3839</f>
        <v/>
      </c>
    </row>
    <row r="3840">
      <c r="A3840" s="12" t="inlineStr">
        <is>
          <t>H-FA-0032</t>
        </is>
      </c>
      <c r="B3840" s="12" t="inlineStr">
        <is>
          <t>H</t>
        </is>
      </c>
      <c r="C3840" s="12" t="inlineStr">
        <is>
          <t>BESS</t>
        </is>
      </c>
      <c r="D3840" s="12" t="inlineStr">
        <is>
          <t>Fire alarm / F&amp;G loop (to the local FACP / F&amp;G node)</t>
        </is>
      </c>
      <c r="E3840" s="12" t="inlineStr"/>
      <c r="F3840" s="12" t="inlineStr">
        <is>
          <t>BESS EMS / SCADA and revenue metering</t>
        </is>
      </c>
      <c r="G3840" s="12" t="inlineStr"/>
      <c r="H3840" s="12" t="inlineStr">
        <is>
          <t>BESS container (ISO 40 ft high cube)</t>
        </is>
      </c>
      <c r="I3840" s="12" t="inlineStr">
        <is>
          <t>Fire alarm</t>
        </is>
      </c>
      <c r="J3840" s="12" t="inlineStr">
        <is>
          <t>Fire alarm FPLR 2/C #14 shielded, red jacket (NEC 760)</t>
        </is>
      </c>
      <c r="K3840" s="12" t="inlineStr">
        <is>
          <t>FA|2/C|14</t>
        </is>
      </c>
      <c r="L3840" s="12" t="inlineStr">
        <is>
          <t>2/C</t>
        </is>
      </c>
      <c r="M3840" s="12" t="inlineStr">
        <is>
          <t>14</t>
        </is>
      </c>
      <c r="N3840" s="12" t="n">
        <v>1</v>
      </c>
      <c r="O3840" s="12" t="n">
        <v>1</v>
      </c>
      <c r="P3840" s="12" t="n"/>
      <c r="Q3840" s="12" t="n"/>
      <c r="R3840" s="12" t="n"/>
      <c r="S3840" s="12" t="inlineStr">
        <is>
          <t>Duct bank</t>
        </is>
      </c>
      <c r="T3840" s="16" t="n">
        <v>336</v>
      </c>
      <c r="U3840" s="16" t="n">
        <v>57</v>
      </c>
      <c r="V3840" s="16">
        <f>ROUNDUP((T3840+U3840+2*'Read Me'!$B$13)*(1+'Read Me'!$B$12),-1)</f>
        <v/>
      </c>
      <c r="W3840" s="16">
        <f>V3840*N3840*O3840</f>
        <v/>
      </c>
      <c r="X3840" s="12">
        <f>IF(LEFT(I3840,2)="MV",2*N3840*IF(L3840="1/C",O3840,1),0)</f>
        <v/>
      </c>
      <c r="Y3840" s="12">
        <f>IF(OR(LEFT(K3840,4)="LVAX",LEFT(K3840,6)="MV15AX",LEFT(K3840,4)="CTAX",LEFT(K3840,2)="W|"),2*N3840*O3840,0)</f>
        <v/>
      </c>
      <c r="Z3840" s="12" t="inlineStr"/>
      <c r="AA3840" s="12">
        <f>N3840*O3840</f>
        <v/>
      </c>
    </row>
    <row r="3841">
      <c r="A3841" s="12" t="inlineStr">
        <is>
          <t>H-FA-0033</t>
        </is>
      </c>
      <c r="B3841" s="12" t="inlineStr">
        <is>
          <t>H</t>
        </is>
      </c>
      <c r="C3841" s="12" t="inlineStr">
        <is>
          <t>BESS</t>
        </is>
      </c>
      <c r="D3841" s="12" t="inlineStr">
        <is>
          <t>Fire alarm / F&amp;G loop (to the local FACP / F&amp;G node)</t>
        </is>
      </c>
      <c r="E3841" s="12" t="inlineStr"/>
      <c r="F3841" s="12" t="inlineStr">
        <is>
          <t>BESS EMS / SCADA and revenue metering</t>
        </is>
      </c>
      <c r="G3841" s="12" t="inlineStr"/>
      <c r="H3841" s="12" t="inlineStr">
        <is>
          <t>BESS container (ISO 40 ft high cube)</t>
        </is>
      </c>
      <c r="I3841" s="12" t="inlineStr">
        <is>
          <t>Fire alarm</t>
        </is>
      </c>
      <c r="J3841" s="12" t="inlineStr">
        <is>
          <t>Fire alarm FPLR 2/C #14 shielded, red jacket (NEC 760)</t>
        </is>
      </c>
      <c r="K3841" s="12" t="inlineStr">
        <is>
          <t>FA|2/C|14</t>
        </is>
      </c>
      <c r="L3841" s="12" t="inlineStr">
        <is>
          <t>2/C</t>
        </is>
      </c>
      <c r="M3841" s="12" t="inlineStr">
        <is>
          <t>14</t>
        </is>
      </c>
      <c r="N3841" s="12" t="n">
        <v>1</v>
      </c>
      <c r="O3841" s="12" t="n">
        <v>1</v>
      </c>
      <c r="P3841" s="12" t="n"/>
      <c r="Q3841" s="12" t="n"/>
      <c r="R3841" s="12" t="n"/>
      <c r="S3841" s="12" t="inlineStr">
        <is>
          <t>Duct bank</t>
        </is>
      </c>
      <c r="T3841" s="16" t="n">
        <v>336</v>
      </c>
      <c r="U3841" s="16" t="n">
        <v>57</v>
      </c>
      <c r="V3841" s="16">
        <f>ROUNDUP((T3841+U3841+2*'Read Me'!$B$13)*(1+'Read Me'!$B$12),-1)</f>
        <v/>
      </c>
      <c r="W3841" s="16">
        <f>V3841*N3841*O3841</f>
        <v/>
      </c>
      <c r="X3841" s="12">
        <f>IF(LEFT(I3841,2)="MV",2*N3841*IF(L3841="1/C",O3841,1),0)</f>
        <v/>
      </c>
      <c r="Y3841" s="12">
        <f>IF(OR(LEFT(K3841,4)="LVAX",LEFT(K3841,6)="MV15AX",LEFT(K3841,4)="CTAX",LEFT(K3841,2)="W|"),2*N3841*O3841,0)</f>
        <v/>
      </c>
      <c r="Z3841" s="12" t="inlineStr"/>
      <c r="AA3841" s="12">
        <f>N3841*O3841</f>
        <v/>
      </c>
    </row>
    <row r="3842">
      <c r="A3842" s="12" t="inlineStr">
        <is>
          <t>H-I-0001</t>
        </is>
      </c>
      <c r="B3842" s="12" t="inlineStr">
        <is>
          <t>H</t>
        </is>
      </c>
      <c r="C3842" s="12" t="inlineStr">
        <is>
          <t>BESS</t>
        </is>
      </c>
      <c r="D3842" s="12" t="inlineStr">
        <is>
          <t>Analog instrument to JB JB-BESS PCS / MV skid-AI01: 6 x 1 pr (field cables)</t>
        </is>
      </c>
      <c r="E3842" s="12" t="inlineStr"/>
      <c r="F3842" s="12" t="inlineStr">
        <is>
          <t>BESS PCS / MV skid</t>
        </is>
      </c>
      <c r="G3842" s="12" t="inlineStr">
        <is>
          <t>JB-BESS PCS / MV skid-AI01</t>
        </is>
      </c>
      <c r="H3842" s="12" t="inlineStr">
        <is>
          <t>BESS PCS / MV skid</t>
        </is>
      </c>
      <c r="I3842" s="12" t="inlineStr">
        <is>
          <t>Instrumentation</t>
        </is>
      </c>
      <c r="J3842" s="12" t="inlineStr">
        <is>
          <t>Instrumentation PLTC / TC-ER 300 V, #18 twisted shielded pairs, overall shield</t>
        </is>
      </c>
      <c r="K3842" s="12" t="inlineStr">
        <is>
          <t>PLTC|1 pr|16</t>
        </is>
      </c>
      <c r="L3842" s="12" t="inlineStr">
        <is>
          <t>1 pr</t>
        </is>
      </c>
      <c r="M3842" s="12" t="inlineStr">
        <is>
          <t>16</t>
        </is>
      </c>
      <c r="N3842" s="12" t="n">
        <v>6</v>
      </c>
      <c r="O3842" s="12" t="n">
        <v>1</v>
      </c>
      <c r="P3842" s="12" t="n"/>
      <c r="Q3842" s="12" t="n"/>
      <c r="R3842" s="12" t="n"/>
      <c r="S3842" s="12" t="inlineStr">
        <is>
          <t>Tray / conduit</t>
        </is>
      </c>
      <c r="T3842" s="16" t="n">
        <v>43</v>
      </c>
      <c r="U3842" s="16" t="n">
        <v>10</v>
      </c>
      <c r="V3842" s="16">
        <f>ROUNDUP((T3842+U3842+2*'Read Me'!$B$13)*(1+'Read Me'!$B$12),-1)</f>
        <v/>
      </c>
      <c r="W3842" s="16">
        <f>V3842*N3842*O3842</f>
        <v/>
      </c>
      <c r="X3842" s="12">
        <f>IF(LEFT(I3842,2)="MV",2*N3842*IF(L3842="1/C",O3842,1),0)</f>
        <v/>
      </c>
      <c r="Y3842" s="12">
        <f>IF(OR(LEFT(K3842,4)="LVAX",LEFT(K3842,6)="MV15AX",LEFT(K3842,4)="CTAX",LEFT(K3842,2)="W|"),2*N3842*O3842,0)</f>
        <v/>
      </c>
      <c r="Z3842" s="12" t="inlineStr">
        <is>
          <t>device-to-JB field wiring, one cable per device</t>
        </is>
      </c>
      <c r="AA3842" s="12">
        <f>N3842*O3842</f>
        <v/>
      </c>
    </row>
    <row r="3843">
      <c r="A3843" s="12" t="inlineStr">
        <is>
          <t>H-I-0002</t>
        </is>
      </c>
      <c r="B3843" s="12" t="inlineStr">
        <is>
          <t>H</t>
        </is>
      </c>
      <c r="C3843" s="12" t="inlineStr">
        <is>
          <t>BESS</t>
        </is>
      </c>
      <c r="D3843" s="12" t="inlineStr">
        <is>
          <t>Home run JB-BESS PCS / MV skid-AI01 to the control / marshalling room</t>
        </is>
      </c>
      <c r="E3843" s="12" t="inlineStr"/>
      <c r="F3843" s="12" t="inlineStr">
        <is>
          <t>BESS EMS / SCADA and revenue metering</t>
        </is>
      </c>
      <c r="G3843" s="12" t="inlineStr">
        <is>
          <t>JB-BESS PCS / MV skid-AI01</t>
        </is>
      </c>
      <c r="H3843" s="12" t="inlineStr">
        <is>
          <t>BESS PCS / MV skid</t>
        </is>
      </c>
      <c r="I3843" s="12" t="inlineStr">
        <is>
          <t>Instrumentation</t>
        </is>
      </c>
      <c r="J3843" s="12" t="inlineStr">
        <is>
          <t>Instrumentation PLTC / TC-ER 300 V, #18 twisted shielded pairs, overall shield</t>
        </is>
      </c>
      <c r="K3843" s="12" t="inlineStr">
        <is>
          <t>PLTC|24 pr|18</t>
        </is>
      </c>
      <c r="L3843" s="12" t="inlineStr">
        <is>
          <t>24 pr</t>
        </is>
      </c>
      <c r="M3843" s="12" t="inlineStr">
        <is>
          <t>18</t>
        </is>
      </c>
      <c r="N3843" s="12" t="n">
        <v>1</v>
      </c>
      <c r="O3843" s="12" t="n">
        <v>1</v>
      </c>
      <c r="P3843" s="12" t="n"/>
      <c r="Q3843" s="12" t="n"/>
      <c r="R3843" s="12" t="n"/>
      <c r="S3843" s="12" t="inlineStr">
        <is>
          <t>Duct bank</t>
        </is>
      </c>
      <c r="T3843" s="16" t="n">
        <v>300</v>
      </c>
      <c r="U3843" s="16" t="n">
        <v>103</v>
      </c>
      <c r="V3843" s="16">
        <f>ROUNDUP((T3843+U3843+2*'Read Me'!$B$13)*(1+'Read Me'!$B$12),-1)</f>
        <v/>
      </c>
      <c r="W3843" s="16">
        <f>V3843*N3843*O3843</f>
        <v/>
      </c>
      <c r="X3843" s="12">
        <f>IF(LEFT(I3843,2)="MV",2*N3843*IF(L3843="1/C",O3843,1),0)</f>
        <v/>
      </c>
      <c r="Y3843" s="12">
        <f>IF(OR(LEFT(K3843,4)="LVAX",LEFT(K3843,6)="MV15AX",LEFT(K3843,4)="CTAX",LEFT(K3843,2)="W|"),2*N3843*O3843,0)</f>
        <v/>
      </c>
      <c r="Z3843" s="12" t="inlineStr"/>
      <c r="AA3843" s="12">
        <f>N3843*O3843</f>
        <v/>
      </c>
    </row>
    <row r="3844">
      <c r="A3844" s="12" t="inlineStr">
        <is>
          <t>H-I-0003</t>
        </is>
      </c>
      <c r="B3844" s="12" t="inlineStr">
        <is>
          <t>H</t>
        </is>
      </c>
      <c r="C3844" s="12" t="inlineStr">
        <is>
          <t>BESS</t>
        </is>
      </c>
      <c r="D3844" s="12" t="inlineStr">
        <is>
          <t>Discrete device to JB JB-BESS PCS / MV skid-DI01: 10 x 1 pr (field cables)</t>
        </is>
      </c>
      <c r="E3844" s="12" t="inlineStr"/>
      <c r="F3844" s="12" t="inlineStr">
        <is>
          <t>BESS PCS / MV skid</t>
        </is>
      </c>
      <c r="G3844" s="12" t="inlineStr">
        <is>
          <t>JB-BESS PCS / MV skid-DI01</t>
        </is>
      </c>
      <c r="H3844" s="12" t="inlineStr">
        <is>
          <t>BESS PCS / MV skid</t>
        </is>
      </c>
      <c r="I3844" s="12" t="inlineStr">
        <is>
          <t>Instrumentation</t>
        </is>
      </c>
      <c r="J3844" s="12" t="inlineStr">
        <is>
          <t>Instrumentation PLTC / TC-ER 300 V, #18 twisted shielded pairs, overall shield</t>
        </is>
      </c>
      <c r="K3844" s="12" t="inlineStr">
        <is>
          <t>PLTC|1 pr|16</t>
        </is>
      </c>
      <c r="L3844" s="12" t="inlineStr">
        <is>
          <t>1 pr</t>
        </is>
      </c>
      <c r="M3844" s="12" t="inlineStr">
        <is>
          <t>16</t>
        </is>
      </c>
      <c r="N3844" s="12" t="n">
        <v>10</v>
      </c>
      <c r="O3844" s="12" t="n">
        <v>1</v>
      </c>
      <c r="P3844" s="12" t="n"/>
      <c r="Q3844" s="12" t="n"/>
      <c r="R3844" s="12" t="n"/>
      <c r="S3844" s="12" t="inlineStr">
        <is>
          <t>Tray / conduit</t>
        </is>
      </c>
      <c r="T3844" s="16" t="n">
        <v>43</v>
      </c>
      <c r="U3844" s="16" t="n">
        <v>10</v>
      </c>
      <c r="V3844" s="16">
        <f>ROUNDUP((T3844+U3844+2*'Read Me'!$B$13)*(1+'Read Me'!$B$12),-1)</f>
        <v/>
      </c>
      <c r="W3844" s="16">
        <f>V3844*N3844*O3844</f>
        <v/>
      </c>
      <c r="X3844" s="12">
        <f>IF(LEFT(I3844,2)="MV",2*N3844*IF(L3844="1/C",O3844,1),0)</f>
        <v/>
      </c>
      <c r="Y3844" s="12">
        <f>IF(OR(LEFT(K3844,4)="LVAX",LEFT(K3844,6)="MV15AX",LEFT(K3844,4)="CTAX",LEFT(K3844,2)="W|"),2*N3844*O3844,0)</f>
        <v/>
      </c>
      <c r="Z3844" s="12" t="inlineStr">
        <is>
          <t>device-to-JB field wiring, one cable per device</t>
        </is>
      </c>
      <c r="AA3844" s="12">
        <f>N3844*O3844</f>
        <v/>
      </c>
    </row>
    <row r="3845">
      <c r="A3845" s="12" t="inlineStr">
        <is>
          <t>H-I-0004</t>
        </is>
      </c>
      <c r="B3845" s="12" t="inlineStr">
        <is>
          <t>H</t>
        </is>
      </c>
      <c r="C3845" s="12" t="inlineStr">
        <is>
          <t>BESS</t>
        </is>
      </c>
      <c r="D3845" s="12" t="inlineStr">
        <is>
          <t>Home run JB-BESS PCS / MV skid-DI01 to the control / marshalling room</t>
        </is>
      </c>
      <c r="E3845" s="12" t="inlineStr"/>
      <c r="F3845" s="12" t="inlineStr">
        <is>
          <t>BESS EMS / SCADA and revenue metering</t>
        </is>
      </c>
      <c r="G3845" s="12" t="inlineStr">
        <is>
          <t>JB-BESS PCS / MV skid-DI01</t>
        </is>
      </c>
      <c r="H3845" s="12" t="inlineStr">
        <is>
          <t>BESS PCS / MV skid</t>
        </is>
      </c>
      <c r="I3845" s="12" t="inlineStr">
        <is>
          <t>Instrumentation</t>
        </is>
      </c>
      <c r="J3845" s="12" t="inlineStr">
        <is>
          <t>Instrumentation PLTC / TC-ER 300 V, #18 twisted shielded pairs, overall shield</t>
        </is>
      </c>
      <c r="K3845" s="12" t="inlineStr">
        <is>
          <t>PLTC|24 pr|18</t>
        </is>
      </c>
      <c r="L3845" s="12" t="inlineStr">
        <is>
          <t>24 pr</t>
        </is>
      </c>
      <c r="M3845" s="12" t="inlineStr">
        <is>
          <t>18</t>
        </is>
      </c>
      <c r="N3845" s="12" t="n">
        <v>1</v>
      </c>
      <c r="O3845" s="12" t="n">
        <v>1</v>
      </c>
      <c r="P3845" s="12" t="n"/>
      <c r="Q3845" s="12" t="n"/>
      <c r="R3845" s="12" t="n"/>
      <c r="S3845" s="12" t="inlineStr">
        <is>
          <t>Duct bank</t>
        </is>
      </c>
      <c r="T3845" s="16" t="n">
        <v>300</v>
      </c>
      <c r="U3845" s="16" t="n">
        <v>103</v>
      </c>
      <c r="V3845" s="16">
        <f>ROUNDUP((T3845+U3845+2*'Read Me'!$B$13)*(1+'Read Me'!$B$12),-1)</f>
        <v/>
      </c>
      <c r="W3845" s="16">
        <f>V3845*N3845*O3845</f>
        <v/>
      </c>
      <c r="X3845" s="12">
        <f>IF(LEFT(I3845,2)="MV",2*N3845*IF(L3845="1/C",O3845,1),0)</f>
        <v/>
      </c>
      <c r="Y3845" s="12">
        <f>IF(OR(LEFT(K3845,4)="LVAX",LEFT(K3845,6)="MV15AX",LEFT(K3845,4)="CTAX",LEFT(K3845,2)="W|"),2*N3845*O3845,0)</f>
        <v/>
      </c>
      <c r="Z3845" s="12" t="inlineStr"/>
      <c r="AA3845" s="12">
        <f>N3845*O3845</f>
        <v/>
      </c>
    </row>
    <row r="3846">
      <c r="A3846" s="12" t="inlineStr">
        <is>
          <t>H-I-0005</t>
        </is>
      </c>
      <c r="B3846" s="12" t="inlineStr">
        <is>
          <t>H</t>
        </is>
      </c>
      <c r="C3846" s="12" t="inlineStr">
        <is>
          <t>BESS</t>
        </is>
      </c>
      <c r="D3846" s="12" t="inlineStr">
        <is>
          <t>Analog instrument to JB JB-BESS PCS / MV skid-AI01: 6 x 1 pr (field cables)</t>
        </is>
      </c>
      <c r="E3846" s="12" t="inlineStr"/>
      <c r="F3846" s="12" t="inlineStr">
        <is>
          <t>BESS PCS / MV skid</t>
        </is>
      </c>
      <c r="G3846" s="12" t="inlineStr">
        <is>
          <t>JB-BESS PCS / MV skid-AI01</t>
        </is>
      </c>
      <c r="H3846" s="12" t="inlineStr">
        <is>
          <t>BESS PCS / MV skid</t>
        </is>
      </c>
      <c r="I3846" s="12" t="inlineStr">
        <is>
          <t>Instrumentation</t>
        </is>
      </c>
      <c r="J3846" s="12" t="inlineStr">
        <is>
          <t>Instrumentation PLTC / TC-ER 300 V, #18 twisted shielded pairs, overall shield</t>
        </is>
      </c>
      <c r="K3846" s="12" t="inlineStr">
        <is>
          <t>PLTC|1 pr|16</t>
        </is>
      </c>
      <c r="L3846" s="12" t="inlineStr">
        <is>
          <t>1 pr</t>
        </is>
      </c>
      <c r="M3846" s="12" t="inlineStr">
        <is>
          <t>16</t>
        </is>
      </c>
      <c r="N3846" s="12" t="n">
        <v>6</v>
      </c>
      <c r="O3846" s="12" t="n">
        <v>1</v>
      </c>
      <c r="P3846" s="12" t="n"/>
      <c r="Q3846" s="12" t="n"/>
      <c r="R3846" s="12" t="n"/>
      <c r="S3846" s="12" t="inlineStr">
        <is>
          <t>Tray / conduit</t>
        </is>
      </c>
      <c r="T3846" s="16" t="n">
        <v>43</v>
      </c>
      <c r="U3846" s="16" t="n">
        <v>10</v>
      </c>
      <c r="V3846" s="16">
        <f>ROUNDUP((T3846+U3846+2*'Read Me'!$B$13)*(1+'Read Me'!$B$12),-1)</f>
        <v/>
      </c>
      <c r="W3846" s="16">
        <f>V3846*N3846*O3846</f>
        <v/>
      </c>
      <c r="X3846" s="12">
        <f>IF(LEFT(I3846,2)="MV",2*N3846*IF(L3846="1/C",O3846,1),0)</f>
        <v/>
      </c>
      <c r="Y3846" s="12">
        <f>IF(OR(LEFT(K3846,4)="LVAX",LEFT(K3846,6)="MV15AX",LEFT(K3846,4)="CTAX",LEFT(K3846,2)="W|"),2*N3846*O3846,0)</f>
        <v/>
      </c>
      <c r="Z3846" s="12" t="inlineStr">
        <is>
          <t>device-to-JB field wiring, one cable per device</t>
        </is>
      </c>
      <c r="AA3846" s="12">
        <f>N3846*O3846</f>
        <v/>
      </c>
    </row>
    <row r="3847">
      <c r="A3847" s="12" t="inlineStr">
        <is>
          <t>H-I-0006</t>
        </is>
      </c>
      <c r="B3847" s="12" t="inlineStr">
        <is>
          <t>H</t>
        </is>
      </c>
      <c r="C3847" s="12" t="inlineStr">
        <is>
          <t>BESS</t>
        </is>
      </c>
      <c r="D3847" s="12" t="inlineStr">
        <is>
          <t>Home run JB-BESS PCS / MV skid-AI01 to the control / marshalling room</t>
        </is>
      </c>
      <c r="E3847" s="12" t="inlineStr"/>
      <c r="F3847" s="12" t="inlineStr">
        <is>
          <t>BESS EMS / SCADA and revenue metering</t>
        </is>
      </c>
      <c r="G3847" s="12" t="inlineStr">
        <is>
          <t>JB-BESS PCS / MV skid-AI01</t>
        </is>
      </c>
      <c r="H3847" s="12" t="inlineStr">
        <is>
          <t>BESS PCS / MV skid</t>
        </is>
      </c>
      <c r="I3847" s="12" t="inlineStr">
        <is>
          <t>Instrumentation</t>
        </is>
      </c>
      <c r="J3847" s="12" t="inlineStr">
        <is>
          <t>Instrumentation PLTC / TC-ER 300 V, #18 twisted shielded pairs, overall shield</t>
        </is>
      </c>
      <c r="K3847" s="12" t="inlineStr">
        <is>
          <t>PLTC|24 pr|18</t>
        </is>
      </c>
      <c r="L3847" s="12" t="inlineStr">
        <is>
          <t>24 pr</t>
        </is>
      </c>
      <c r="M3847" s="12" t="inlineStr">
        <is>
          <t>18</t>
        </is>
      </c>
      <c r="N3847" s="12" t="n">
        <v>1</v>
      </c>
      <c r="O3847" s="12" t="n">
        <v>1</v>
      </c>
      <c r="P3847" s="12" t="n"/>
      <c r="Q3847" s="12" t="n"/>
      <c r="R3847" s="12" t="n"/>
      <c r="S3847" s="12" t="inlineStr">
        <is>
          <t>Duct bank</t>
        </is>
      </c>
      <c r="T3847" s="16" t="n">
        <v>160</v>
      </c>
      <c r="U3847" s="16" t="n">
        <v>123</v>
      </c>
      <c r="V3847" s="16">
        <f>ROUNDUP((T3847+U3847+2*'Read Me'!$B$13)*(1+'Read Me'!$B$12),-1)</f>
        <v/>
      </c>
      <c r="W3847" s="16">
        <f>V3847*N3847*O3847</f>
        <v/>
      </c>
      <c r="X3847" s="12">
        <f>IF(LEFT(I3847,2)="MV",2*N3847*IF(L3847="1/C",O3847,1),0)</f>
        <v/>
      </c>
      <c r="Y3847" s="12">
        <f>IF(OR(LEFT(K3847,4)="LVAX",LEFT(K3847,6)="MV15AX",LEFT(K3847,4)="CTAX",LEFT(K3847,2)="W|"),2*N3847*O3847,0)</f>
        <v/>
      </c>
      <c r="Z3847" s="12" t="inlineStr"/>
      <c r="AA3847" s="12">
        <f>N3847*O3847</f>
        <v/>
      </c>
    </row>
    <row r="3848">
      <c r="A3848" s="12" t="inlineStr">
        <is>
          <t>H-I-0007</t>
        </is>
      </c>
      <c r="B3848" s="12" t="inlineStr">
        <is>
          <t>H</t>
        </is>
      </c>
      <c r="C3848" s="12" t="inlineStr">
        <is>
          <t>BESS</t>
        </is>
      </c>
      <c r="D3848" s="12" t="inlineStr">
        <is>
          <t>Discrete device to JB JB-BESS PCS / MV skid-DI01: 10 x 1 pr (field cables)</t>
        </is>
      </c>
      <c r="E3848" s="12" t="inlineStr"/>
      <c r="F3848" s="12" t="inlineStr">
        <is>
          <t>BESS PCS / MV skid</t>
        </is>
      </c>
      <c r="G3848" s="12" t="inlineStr">
        <is>
          <t>JB-BESS PCS / MV skid-DI01</t>
        </is>
      </c>
      <c r="H3848" s="12" t="inlineStr">
        <is>
          <t>BESS PCS / MV skid</t>
        </is>
      </c>
      <c r="I3848" s="12" t="inlineStr">
        <is>
          <t>Instrumentation</t>
        </is>
      </c>
      <c r="J3848" s="12" t="inlineStr">
        <is>
          <t>Instrumentation PLTC / TC-ER 300 V, #18 twisted shielded pairs, overall shield</t>
        </is>
      </c>
      <c r="K3848" s="12" t="inlineStr">
        <is>
          <t>PLTC|1 pr|16</t>
        </is>
      </c>
      <c r="L3848" s="12" t="inlineStr">
        <is>
          <t>1 pr</t>
        </is>
      </c>
      <c r="M3848" s="12" t="inlineStr">
        <is>
          <t>16</t>
        </is>
      </c>
      <c r="N3848" s="12" t="n">
        <v>10</v>
      </c>
      <c r="O3848" s="12" t="n">
        <v>1</v>
      </c>
      <c r="P3848" s="12" t="n"/>
      <c r="Q3848" s="12" t="n"/>
      <c r="R3848" s="12" t="n"/>
      <c r="S3848" s="12" t="inlineStr">
        <is>
          <t>Tray / conduit</t>
        </is>
      </c>
      <c r="T3848" s="16" t="n">
        <v>43</v>
      </c>
      <c r="U3848" s="16" t="n">
        <v>10</v>
      </c>
      <c r="V3848" s="16">
        <f>ROUNDUP((T3848+U3848+2*'Read Me'!$B$13)*(1+'Read Me'!$B$12),-1)</f>
        <v/>
      </c>
      <c r="W3848" s="16">
        <f>V3848*N3848*O3848</f>
        <v/>
      </c>
      <c r="X3848" s="12">
        <f>IF(LEFT(I3848,2)="MV",2*N3848*IF(L3848="1/C",O3848,1),0)</f>
        <v/>
      </c>
      <c r="Y3848" s="12">
        <f>IF(OR(LEFT(K3848,4)="LVAX",LEFT(K3848,6)="MV15AX",LEFT(K3848,4)="CTAX",LEFT(K3848,2)="W|"),2*N3848*O3848,0)</f>
        <v/>
      </c>
      <c r="Z3848" s="12" t="inlineStr">
        <is>
          <t>device-to-JB field wiring, one cable per device</t>
        </is>
      </c>
      <c r="AA3848" s="12">
        <f>N3848*O3848</f>
        <v/>
      </c>
    </row>
    <row r="3849">
      <c r="A3849" s="12" t="inlineStr">
        <is>
          <t>H-I-0008</t>
        </is>
      </c>
      <c r="B3849" s="12" t="inlineStr">
        <is>
          <t>H</t>
        </is>
      </c>
      <c r="C3849" s="12" t="inlineStr">
        <is>
          <t>BESS</t>
        </is>
      </c>
      <c r="D3849" s="12" t="inlineStr">
        <is>
          <t>Home run JB-BESS PCS / MV skid-DI01 to the control / marshalling room</t>
        </is>
      </c>
      <c r="E3849" s="12" t="inlineStr"/>
      <c r="F3849" s="12" t="inlineStr">
        <is>
          <t>BESS EMS / SCADA and revenue metering</t>
        </is>
      </c>
      <c r="G3849" s="12" t="inlineStr">
        <is>
          <t>JB-BESS PCS / MV skid-DI01</t>
        </is>
      </c>
      <c r="H3849" s="12" t="inlineStr">
        <is>
          <t>BESS PCS / MV skid</t>
        </is>
      </c>
      <c r="I3849" s="12" t="inlineStr">
        <is>
          <t>Instrumentation</t>
        </is>
      </c>
      <c r="J3849" s="12" t="inlineStr">
        <is>
          <t>Instrumentation PLTC / TC-ER 300 V, #18 twisted shielded pairs, overall shield</t>
        </is>
      </c>
      <c r="K3849" s="12" t="inlineStr">
        <is>
          <t>PLTC|24 pr|18</t>
        </is>
      </c>
      <c r="L3849" s="12" t="inlineStr">
        <is>
          <t>24 pr</t>
        </is>
      </c>
      <c r="M3849" s="12" t="inlineStr">
        <is>
          <t>18</t>
        </is>
      </c>
      <c r="N3849" s="12" t="n">
        <v>1</v>
      </c>
      <c r="O3849" s="12" t="n">
        <v>1</v>
      </c>
      <c r="P3849" s="12" t="n"/>
      <c r="Q3849" s="12" t="n"/>
      <c r="R3849" s="12" t="n"/>
      <c r="S3849" s="12" t="inlineStr">
        <is>
          <t>Duct bank</t>
        </is>
      </c>
      <c r="T3849" s="16" t="n">
        <v>160</v>
      </c>
      <c r="U3849" s="16" t="n">
        <v>123</v>
      </c>
      <c r="V3849" s="16">
        <f>ROUNDUP((T3849+U3849+2*'Read Me'!$B$13)*(1+'Read Me'!$B$12),-1)</f>
        <v/>
      </c>
      <c r="W3849" s="16">
        <f>V3849*N3849*O3849</f>
        <v/>
      </c>
      <c r="X3849" s="12">
        <f>IF(LEFT(I3849,2)="MV",2*N3849*IF(L3849="1/C",O3849,1),0)</f>
        <v/>
      </c>
      <c r="Y3849" s="12">
        <f>IF(OR(LEFT(K3849,4)="LVAX",LEFT(K3849,6)="MV15AX",LEFT(K3849,4)="CTAX",LEFT(K3849,2)="W|"),2*N3849*O3849,0)</f>
        <v/>
      </c>
      <c r="Z3849" s="12" t="inlineStr"/>
      <c r="AA3849" s="12">
        <f>N3849*O3849</f>
        <v/>
      </c>
    </row>
    <row r="3850">
      <c r="A3850" s="12" t="inlineStr">
        <is>
          <t>H-I-0009</t>
        </is>
      </c>
      <c r="B3850" s="12" t="inlineStr">
        <is>
          <t>H</t>
        </is>
      </c>
      <c r="C3850" s="12" t="inlineStr">
        <is>
          <t>BESS</t>
        </is>
      </c>
      <c r="D3850" s="12" t="inlineStr">
        <is>
          <t>Analog instrument to JB JB-BESS PCS / MV skid-AI01: 6 x 1 pr (field cables)</t>
        </is>
      </c>
      <c r="E3850" s="12" t="inlineStr"/>
      <c r="F3850" s="12" t="inlineStr">
        <is>
          <t>BESS PCS / MV skid</t>
        </is>
      </c>
      <c r="G3850" s="12" t="inlineStr">
        <is>
          <t>JB-BESS PCS / MV skid-AI01</t>
        </is>
      </c>
      <c r="H3850" s="12" t="inlineStr">
        <is>
          <t>BESS PCS / MV skid</t>
        </is>
      </c>
      <c r="I3850" s="12" t="inlineStr">
        <is>
          <t>Instrumentation</t>
        </is>
      </c>
      <c r="J3850" s="12" t="inlineStr">
        <is>
          <t>Instrumentation PLTC / TC-ER 300 V, #18 twisted shielded pairs, overall shield</t>
        </is>
      </c>
      <c r="K3850" s="12" t="inlineStr">
        <is>
          <t>PLTC|1 pr|16</t>
        </is>
      </c>
      <c r="L3850" s="12" t="inlineStr">
        <is>
          <t>1 pr</t>
        </is>
      </c>
      <c r="M3850" s="12" t="inlineStr">
        <is>
          <t>16</t>
        </is>
      </c>
      <c r="N3850" s="12" t="n">
        <v>6</v>
      </c>
      <c r="O3850" s="12" t="n">
        <v>1</v>
      </c>
      <c r="P3850" s="12" t="n"/>
      <c r="Q3850" s="12" t="n"/>
      <c r="R3850" s="12" t="n"/>
      <c r="S3850" s="12" t="inlineStr">
        <is>
          <t>Tray / conduit</t>
        </is>
      </c>
      <c r="T3850" s="16" t="n">
        <v>43</v>
      </c>
      <c r="U3850" s="16" t="n">
        <v>10</v>
      </c>
      <c r="V3850" s="16">
        <f>ROUNDUP((T3850+U3850+2*'Read Me'!$B$13)*(1+'Read Me'!$B$12),-1)</f>
        <v/>
      </c>
      <c r="W3850" s="16">
        <f>V3850*N3850*O3850</f>
        <v/>
      </c>
      <c r="X3850" s="12">
        <f>IF(LEFT(I3850,2)="MV",2*N3850*IF(L3850="1/C",O3850,1),0)</f>
        <v/>
      </c>
      <c r="Y3850" s="12">
        <f>IF(OR(LEFT(K3850,4)="LVAX",LEFT(K3850,6)="MV15AX",LEFT(K3850,4)="CTAX",LEFT(K3850,2)="W|"),2*N3850*O3850,0)</f>
        <v/>
      </c>
      <c r="Z3850" s="12" t="inlineStr">
        <is>
          <t>device-to-JB field wiring, one cable per device</t>
        </is>
      </c>
      <c r="AA3850" s="12">
        <f>N3850*O3850</f>
        <v/>
      </c>
    </row>
    <row r="3851">
      <c r="A3851" s="12" t="inlineStr">
        <is>
          <t>H-I-0010</t>
        </is>
      </c>
      <c r="B3851" s="12" t="inlineStr">
        <is>
          <t>H</t>
        </is>
      </c>
      <c r="C3851" s="12" t="inlineStr">
        <is>
          <t>BESS</t>
        </is>
      </c>
      <c r="D3851" s="12" t="inlineStr">
        <is>
          <t>Home run JB-BESS PCS / MV skid-AI01 to the control / marshalling room</t>
        </is>
      </c>
      <c r="E3851" s="12" t="inlineStr"/>
      <c r="F3851" s="12" t="inlineStr">
        <is>
          <t>BESS EMS / SCADA and revenue metering</t>
        </is>
      </c>
      <c r="G3851" s="12" t="inlineStr">
        <is>
          <t>JB-BESS PCS / MV skid-AI01</t>
        </is>
      </c>
      <c r="H3851" s="12" t="inlineStr">
        <is>
          <t>BESS PCS / MV skid</t>
        </is>
      </c>
      <c r="I3851" s="12" t="inlineStr">
        <is>
          <t>Instrumentation</t>
        </is>
      </c>
      <c r="J3851" s="12" t="inlineStr">
        <is>
          <t>Instrumentation PLTC / TC-ER 300 V, #18 twisted shielded pairs, overall shield</t>
        </is>
      </c>
      <c r="K3851" s="12" t="inlineStr">
        <is>
          <t>PLTC|24 pr|18</t>
        </is>
      </c>
      <c r="L3851" s="12" t="inlineStr">
        <is>
          <t>24 pr</t>
        </is>
      </c>
      <c r="M3851" s="12" t="inlineStr">
        <is>
          <t>18</t>
        </is>
      </c>
      <c r="N3851" s="12" t="n">
        <v>1</v>
      </c>
      <c r="O3851" s="12" t="n">
        <v>1</v>
      </c>
      <c r="P3851" s="12" t="n"/>
      <c r="Q3851" s="12" t="n"/>
      <c r="R3851" s="12" t="n"/>
      <c r="S3851" s="12" t="inlineStr">
        <is>
          <t>Duct bank</t>
        </is>
      </c>
      <c r="T3851" s="16" t="n">
        <v>30</v>
      </c>
      <c r="U3851" s="16" t="n">
        <v>107</v>
      </c>
      <c r="V3851" s="16">
        <f>ROUNDUP((T3851+U3851+2*'Read Me'!$B$13)*(1+'Read Me'!$B$12),-1)</f>
        <v/>
      </c>
      <c r="W3851" s="16">
        <f>V3851*N3851*O3851</f>
        <v/>
      </c>
      <c r="X3851" s="12">
        <f>IF(LEFT(I3851,2)="MV",2*N3851*IF(L3851="1/C",O3851,1),0)</f>
        <v/>
      </c>
      <c r="Y3851" s="12">
        <f>IF(OR(LEFT(K3851,4)="LVAX",LEFT(K3851,6)="MV15AX",LEFT(K3851,4)="CTAX",LEFT(K3851,2)="W|"),2*N3851*O3851,0)</f>
        <v/>
      </c>
      <c r="Z3851" s="12" t="inlineStr"/>
      <c r="AA3851" s="12">
        <f>N3851*O3851</f>
        <v/>
      </c>
    </row>
    <row r="3852">
      <c r="A3852" s="12" t="inlineStr">
        <is>
          <t>H-I-0011</t>
        </is>
      </c>
      <c r="B3852" s="12" t="inlineStr">
        <is>
          <t>H</t>
        </is>
      </c>
      <c r="C3852" s="12" t="inlineStr">
        <is>
          <t>BESS</t>
        </is>
      </c>
      <c r="D3852" s="12" t="inlineStr">
        <is>
          <t>Discrete device to JB JB-BESS PCS / MV skid-DI01: 10 x 1 pr (field cables)</t>
        </is>
      </c>
      <c r="E3852" s="12" t="inlineStr"/>
      <c r="F3852" s="12" t="inlineStr">
        <is>
          <t>BESS PCS / MV skid</t>
        </is>
      </c>
      <c r="G3852" s="12" t="inlineStr">
        <is>
          <t>JB-BESS PCS / MV skid-DI01</t>
        </is>
      </c>
      <c r="H3852" s="12" t="inlineStr">
        <is>
          <t>BESS PCS / MV skid</t>
        </is>
      </c>
      <c r="I3852" s="12" t="inlineStr">
        <is>
          <t>Instrumentation</t>
        </is>
      </c>
      <c r="J3852" s="12" t="inlineStr">
        <is>
          <t>Instrumentation PLTC / TC-ER 300 V, #18 twisted shielded pairs, overall shield</t>
        </is>
      </c>
      <c r="K3852" s="12" t="inlineStr">
        <is>
          <t>PLTC|1 pr|16</t>
        </is>
      </c>
      <c r="L3852" s="12" t="inlineStr">
        <is>
          <t>1 pr</t>
        </is>
      </c>
      <c r="M3852" s="12" t="inlineStr">
        <is>
          <t>16</t>
        </is>
      </c>
      <c r="N3852" s="12" t="n">
        <v>10</v>
      </c>
      <c r="O3852" s="12" t="n">
        <v>1</v>
      </c>
      <c r="P3852" s="12" t="n"/>
      <c r="Q3852" s="12" t="n"/>
      <c r="R3852" s="12" t="n"/>
      <c r="S3852" s="12" t="inlineStr">
        <is>
          <t>Tray / conduit</t>
        </is>
      </c>
      <c r="T3852" s="16" t="n">
        <v>43</v>
      </c>
      <c r="U3852" s="16" t="n">
        <v>10</v>
      </c>
      <c r="V3852" s="16">
        <f>ROUNDUP((T3852+U3852+2*'Read Me'!$B$13)*(1+'Read Me'!$B$12),-1)</f>
        <v/>
      </c>
      <c r="W3852" s="16">
        <f>V3852*N3852*O3852</f>
        <v/>
      </c>
      <c r="X3852" s="12">
        <f>IF(LEFT(I3852,2)="MV",2*N3852*IF(L3852="1/C",O3852,1),0)</f>
        <v/>
      </c>
      <c r="Y3852" s="12">
        <f>IF(OR(LEFT(K3852,4)="LVAX",LEFT(K3852,6)="MV15AX",LEFT(K3852,4)="CTAX",LEFT(K3852,2)="W|"),2*N3852*O3852,0)</f>
        <v/>
      </c>
      <c r="Z3852" s="12" t="inlineStr">
        <is>
          <t>device-to-JB field wiring, one cable per device</t>
        </is>
      </c>
      <c r="AA3852" s="12">
        <f>N3852*O3852</f>
        <v/>
      </c>
    </row>
    <row r="3853">
      <c r="A3853" s="12" t="inlineStr">
        <is>
          <t>H-I-0012</t>
        </is>
      </c>
      <c r="B3853" s="12" t="inlineStr">
        <is>
          <t>H</t>
        </is>
      </c>
      <c r="C3853" s="12" t="inlineStr">
        <is>
          <t>BESS</t>
        </is>
      </c>
      <c r="D3853" s="12" t="inlineStr">
        <is>
          <t>Home run JB-BESS PCS / MV skid-DI01 to the control / marshalling room</t>
        </is>
      </c>
      <c r="E3853" s="12" t="inlineStr"/>
      <c r="F3853" s="12" t="inlineStr">
        <is>
          <t>BESS EMS / SCADA and revenue metering</t>
        </is>
      </c>
      <c r="G3853" s="12" t="inlineStr">
        <is>
          <t>JB-BESS PCS / MV skid-DI01</t>
        </is>
      </c>
      <c r="H3853" s="12" t="inlineStr">
        <is>
          <t>BESS PCS / MV skid</t>
        </is>
      </c>
      <c r="I3853" s="12" t="inlineStr">
        <is>
          <t>Instrumentation</t>
        </is>
      </c>
      <c r="J3853" s="12" t="inlineStr">
        <is>
          <t>Instrumentation PLTC / TC-ER 300 V, #18 twisted shielded pairs, overall shield</t>
        </is>
      </c>
      <c r="K3853" s="12" t="inlineStr">
        <is>
          <t>PLTC|24 pr|18</t>
        </is>
      </c>
      <c r="L3853" s="12" t="inlineStr">
        <is>
          <t>24 pr</t>
        </is>
      </c>
      <c r="M3853" s="12" t="inlineStr">
        <is>
          <t>18</t>
        </is>
      </c>
      <c r="N3853" s="12" t="n">
        <v>1</v>
      </c>
      <c r="O3853" s="12" t="n">
        <v>1</v>
      </c>
      <c r="P3853" s="12" t="n"/>
      <c r="Q3853" s="12" t="n"/>
      <c r="R3853" s="12" t="n"/>
      <c r="S3853" s="12" t="inlineStr">
        <is>
          <t>Duct bank</t>
        </is>
      </c>
      <c r="T3853" s="16" t="n">
        <v>30</v>
      </c>
      <c r="U3853" s="16" t="n">
        <v>107</v>
      </c>
      <c r="V3853" s="16">
        <f>ROUNDUP((T3853+U3853+2*'Read Me'!$B$13)*(1+'Read Me'!$B$12),-1)</f>
        <v/>
      </c>
      <c r="W3853" s="16">
        <f>V3853*N3853*O3853</f>
        <v/>
      </c>
      <c r="X3853" s="12">
        <f>IF(LEFT(I3853,2)="MV",2*N3853*IF(L3853="1/C",O3853,1),0)</f>
        <v/>
      </c>
      <c r="Y3853" s="12">
        <f>IF(OR(LEFT(K3853,4)="LVAX",LEFT(K3853,6)="MV15AX",LEFT(K3853,4)="CTAX",LEFT(K3853,2)="W|"),2*N3853*O3853,0)</f>
        <v/>
      </c>
      <c r="Z3853" s="12" t="inlineStr"/>
      <c r="AA3853" s="12">
        <f>N3853*O3853</f>
        <v/>
      </c>
    </row>
    <row r="3854">
      <c r="A3854" s="12" t="inlineStr">
        <is>
          <t>H-I-0013</t>
        </is>
      </c>
      <c r="B3854" s="12" t="inlineStr">
        <is>
          <t>H</t>
        </is>
      </c>
      <c r="C3854" s="12" t="inlineStr">
        <is>
          <t>BESS</t>
        </is>
      </c>
      <c r="D3854" s="12" t="inlineStr">
        <is>
          <t>Analog instrument to JB JB-BESS PCS / MV skid-AI01: 6 x 1 pr (field cables)</t>
        </is>
      </c>
      <c r="E3854" s="12" t="inlineStr"/>
      <c r="F3854" s="12" t="inlineStr">
        <is>
          <t>BESS PCS / MV skid</t>
        </is>
      </c>
      <c r="G3854" s="12" t="inlineStr">
        <is>
          <t>JB-BESS PCS / MV skid-AI01</t>
        </is>
      </c>
      <c r="H3854" s="12" t="inlineStr">
        <is>
          <t>BESS PCS / MV skid</t>
        </is>
      </c>
      <c r="I3854" s="12" t="inlineStr">
        <is>
          <t>Instrumentation</t>
        </is>
      </c>
      <c r="J3854" s="12" t="inlineStr">
        <is>
          <t>Instrumentation PLTC / TC-ER 300 V, #18 twisted shielded pairs, overall shield</t>
        </is>
      </c>
      <c r="K3854" s="12" t="inlineStr">
        <is>
          <t>PLTC|1 pr|16</t>
        </is>
      </c>
      <c r="L3854" s="12" t="inlineStr">
        <is>
          <t>1 pr</t>
        </is>
      </c>
      <c r="M3854" s="12" t="inlineStr">
        <is>
          <t>16</t>
        </is>
      </c>
      <c r="N3854" s="12" t="n">
        <v>6</v>
      </c>
      <c r="O3854" s="12" t="n">
        <v>1</v>
      </c>
      <c r="P3854" s="12" t="n"/>
      <c r="Q3854" s="12" t="n"/>
      <c r="R3854" s="12" t="n"/>
      <c r="S3854" s="12" t="inlineStr">
        <is>
          <t>Tray / conduit</t>
        </is>
      </c>
      <c r="T3854" s="16" t="n">
        <v>43</v>
      </c>
      <c r="U3854" s="16" t="n">
        <v>10</v>
      </c>
      <c r="V3854" s="16">
        <f>ROUNDUP((T3854+U3854+2*'Read Me'!$B$13)*(1+'Read Me'!$B$12),-1)</f>
        <v/>
      </c>
      <c r="W3854" s="16">
        <f>V3854*N3854*O3854</f>
        <v/>
      </c>
      <c r="X3854" s="12">
        <f>IF(LEFT(I3854,2)="MV",2*N3854*IF(L3854="1/C",O3854,1),0)</f>
        <v/>
      </c>
      <c r="Y3854" s="12">
        <f>IF(OR(LEFT(K3854,4)="LVAX",LEFT(K3854,6)="MV15AX",LEFT(K3854,4)="CTAX",LEFT(K3854,2)="W|"),2*N3854*O3854,0)</f>
        <v/>
      </c>
      <c r="Z3854" s="12" t="inlineStr">
        <is>
          <t>device-to-JB field wiring, one cable per device</t>
        </is>
      </c>
      <c r="AA3854" s="12">
        <f>N3854*O3854</f>
        <v/>
      </c>
    </row>
    <row r="3855">
      <c r="A3855" s="12" t="inlineStr">
        <is>
          <t>H-I-0014</t>
        </is>
      </c>
      <c r="B3855" s="12" t="inlineStr">
        <is>
          <t>H</t>
        </is>
      </c>
      <c r="C3855" s="12" t="inlineStr">
        <is>
          <t>BESS</t>
        </is>
      </c>
      <c r="D3855" s="12" t="inlineStr">
        <is>
          <t>Home run JB-BESS PCS / MV skid-AI01 to the control / marshalling room</t>
        </is>
      </c>
      <c r="E3855" s="12" t="inlineStr"/>
      <c r="F3855" s="12" t="inlineStr">
        <is>
          <t>BESS EMS / SCADA and revenue metering</t>
        </is>
      </c>
      <c r="G3855" s="12" t="inlineStr">
        <is>
          <t>JB-BESS PCS / MV skid-AI01</t>
        </is>
      </c>
      <c r="H3855" s="12" t="inlineStr">
        <is>
          <t>BESS PCS / MV skid</t>
        </is>
      </c>
      <c r="I3855" s="12" t="inlineStr">
        <is>
          <t>Instrumentation</t>
        </is>
      </c>
      <c r="J3855" s="12" t="inlineStr">
        <is>
          <t>Instrumentation PLTC / TC-ER 300 V, #18 twisted shielded pairs, overall shield</t>
        </is>
      </c>
      <c r="K3855" s="12" t="inlineStr">
        <is>
          <t>PLTC|24 pr|18</t>
        </is>
      </c>
      <c r="L3855" s="12" t="inlineStr">
        <is>
          <t>24 pr</t>
        </is>
      </c>
      <c r="M3855" s="12" t="inlineStr">
        <is>
          <t>18</t>
        </is>
      </c>
      <c r="N3855" s="12" t="n">
        <v>1</v>
      </c>
      <c r="O3855" s="12" t="n">
        <v>1</v>
      </c>
      <c r="P3855" s="12" t="n"/>
      <c r="Q3855" s="12" t="n"/>
      <c r="R3855" s="12" t="n"/>
      <c r="S3855" s="12" t="inlineStr">
        <is>
          <t>Duct bank</t>
        </is>
      </c>
      <c r="T3855" s="16" t="n">
        <v>300</v>
      </c>
      <c r="U3855" s="16" t="n">
        <v>161</v>
      </c>
      <c r="V3855" s="16">
        <f>ROUNDUP((T3855+U3855+2*'Read Me'!$B$13)*(1+'Read Me'!$B$12),-1)</f>
        <v/>
      </c>
      <c r="W3855" s="16">
        <f>V3855*N3855*O3855</f>
        <v/>
      </c>
      <c r="X3855" s="12">
        <f>IF(LEFT(I3855,2)="MV",2*N3855*IF(L3855="1/C",O3855,1),0)</f>
        <v/>
      </c>
      <c r="Y3855" s="12">
        <f>IF(OR(LEFT(K3855,4)="LVAX",LEFT(K3855,6)="MV15AX",LEFT(K3855,4)="CTAX",LEFT(K3855,2)="W|"),2*N3855*O3855,0)</f>
        <v/>
      </c>
      <c r="Z3855" s="12" t="inlineStr"/>
      <c r="AA3855" s="12">
        <f>N3855*O3855</f>
        <v/>
      </c>
    </row>
    <row r="3856">
      <c r="A3856" s="12" t="inlineStr">
        <is>
          <t>H-I-0015</t>
        </is>
      </c>
      <c r="B3856" s="12" t="inlineStr">
        <is>
          <t>H</t>
        </is>
      </c>
      <c r="C3856" s="12" t="inlineStr">
        <is>
          <t>BESS</t>
        </is>
      </c>
      <c r="D3856" s="12" t="inlineStr">
        <is>
          <t>Discrete device to JB JB-BESS PCS / MV skid-DI01: 10 x 1 pr (field cables)</t>
        </is>
      </c>
      <c r="E3856" s="12" t="inlineStr"/>
      <c r="F3856" s="12" t="inlineStr">
        <is>
          <t>BESS PCS / MV skid</t>
        </is>
      </c>
      <c r="G3856" s="12" t="inlineStr">
        <is>
          <t>JB-BESS PCS / MV skid-DI01</t>
        </is>
      </c>
      <c r="H3856" s="12" t="inlineStr">
        <is>
          <t>BESS PCS / MV skid</t>
        </is>
      </c>
      <c r="I3856" s="12" t="inlineStr">
        <is>
          <t>Instrumentation</t>
        </is>
      </c>
      <c r="J3856" s="12" t="inlineStr">
        <is>
          <t>Instrumentation PLTC / TC-ER 300 V, #18 twisted shielded pairs, overall shield</t>
        </is>
      </c>
      <c r="K3856" s="12" t="inlineStr">
        <is>
          <t>PLTC|1 pr|16</t>
        </is>
      </c>
      <c r="L3856" s="12" t="inlineStr">
        <is>
          <t>1 pr</t>
        </is>
      </c>
      <c r="M3856" s="12" t="inlineStr">
        <is>
          <t>16</t>
        </is>
      </c>
      <c r="N3856" s="12" t="n">
        <v>10</v>
      </c>
      <c r="O3856" s="12" t="n">
        <v>1</v>
      </c>
      <c r="P3856" s="12" t="n"/>
      <c r="Q3856" s="12" t="n"/>
      <c r="R3856" s="12" t="n"/>
      <c r="S3856" s="12" t="inlineStr">
        <is>
          <t>Tray / conduit</t>
        </is>
      </c>
      <c r="T3856" s="16" t="n">
        <v>43</v>
      </c>
      <c r="U3856" s="16" t="n">
        <v>10</v>
      </c>
      <c r="V3856" s="16">
        <f>ROUNDUP((T3856+U3856+2*'Read Me'!$B$13)*(1+'Read Me'!$B$12),-1)</f>
        <v/>
      </c>
      <c r="W3856" s="16">
        <f>V3856*N3856*O3856</f>
        <v/>
      </c>
      <c r="X3856" s="12">
        <f>IF(LEFT(I3856,2)="MV",2*N3856*IF(L3856="1/C",O3856,1),0)</f>
        <v/>
      </c>
      <c r="Y3856" s="12">
        <f>IF(OR(LEFT(K3856,4)="LVAX",LEFT(K3856,6)="MV15AX",LEFT(K3856,4)="CTAX",LEFT(K3856,2)="W|"),2*N3856*O3856,0)</f>
        <v/>
      </c>
      <c r="Z3856" s="12" t="inlineStr">
        <is>
          <t>device-to-JB field wiring, one cable per device</t>
        </is>
      </c>
      <c r="AA3856" s="12">
        <f>N3856*O3856</f>
        <v/>
      </c>
    </row>
    <row r="3857">
      <c r="A3857" s="12" t="inlineStr">
        <is>
          <t>H-I-0016</t>
        </is>
      </c>
      <c r="B3857" s="12" t="inlineStr">
        <is>
          <t>H</t>
        </is>
      </c>
      <c r="C3857" s="12" t="inlineStr">
        <is>
          <t>BESS</t>
        </is>
      </c>
      <c r="D3857" s="12" t="inlineStr">
        <is>
          <t>Home run JB-BESS PCS / MV skid-DI01 to the control / marshalling room</t>
        </is>
      </c>
      <c r="E3857" s="12" t="inlineStr"/>
      <c r="F3857" s="12" t="inlineStr">
        <is>
          <t>BESS EMS / SCADA and revenue metering</t>
        </is>
      </c>
      <c r="G3857" s="12" t="inlineStr">
        <is>
          <t>JB-BESS PCS / MV skid-DI01</t>
        </is>
      </c>
      <c r="H3857" s="12" t="inlineStr">
        <is>
          <t>BESS PCS / MV skid</t>
        </is>
      </c>
      <c r="I3857" s="12" t="inlineStr">
        <is>
          <t>Instrumentation</t>
        </is>
      </c>
      <c r="J3857" s="12" t="inlineStr">
        <is>
          <t>Instrumentation PLTC / TC-ER 300 V, #18 twisted shielded pairs, overall shield</t>
        </is>
      </c>
      <c r="K3857" s="12" t="inlineStr">
        <is>
          <t>PLTC|24 pr|18</t>
        </is>
      </c>
      <c r="L3857" s="12" t="inlineStr">
        <is>
          <t>24 pr</t>
        </is>
      </c>
      <c r="M3857" s="12" t="inlineStr">
        <is>
          <t>18</t>
        </is>
      </c>
      <c r="N3857" s="12" t="n">
        <v>1</v>
      </c>
      <c r="O3857" s="12" t="n">
        <v>1</v>
      </c>
      <c r="P3857" s="12" t="n"/>
      <c r="Q3857" s="12" t="n"/>
      <c r="R3857" s="12" t="n"/>
      <c r="S3857" s="12" t="inlineStr">
        <is>
          <t>Duct bank</t>
        </is>
      </c>
      <c r="T3857" s="16" t="n">
        <v>300</v>
      </c>
      <c r="U3857" s="16" t="n">
        <v>161</v>
      </c>
      <c r="V3857" s="16">
        <f>ROUNDUP((T3857+U3857+2*'Read Me'!$B$13)*(1+'Read Me'!$B$12),-1)</f>
        <v/>
      </c>
      <c r="W3857" s="16">
        <f>V3857*N3857*O3857</f>
        <v/>
      </c>
      <c r="X3857" s="12">
        <f>IF(LEFT(I3857,2)="MV",2*N3857*IF(L3857="1/C",O3857,1),0)</f>
        <v/>
      </c>
      <c r="Y3857" s="12">
        <f>IF(OR(LEFT(K3857,4)="LVAX",LEFT(K3857,6)="MV15AX",LEFT(K3857,4)="CTAX",LEFT(K3857,2)="W|"),2*N3857*O3857,0)</f>
        <v/>
      </c>
      <c r="Z3857" s="12" t="inlineStr"/>
      <c r="AA3857" s="12">
        <f>N3857*O3857</f>
        <v/>
      </c>
    </row>
    <row r="3858">
      <c r="A3858" s="12" t="inlineStr">
        <is>
          <t>H-I-0017</t>
        </is>
      </c>
      <c r="B3858" s="12" t="inlineStr">
        <is>
          <t>H</t>
        </is>
      </c>
      <c r="C3858" s="12" t="inlineStr">
        <is>
          <t>BESS</t>
        </is>
      </c>
      <c r="D3858" s="12" t="inlineStr">
        <is>
          <t>Analog instrument to JB JB-BESS PCS / MV skid-AI01: 6 x 1 pr (field cables)</t>
        </is>
      </c>
      <c r="E3858" s="12" t="inlineStr"/>
      <c r="F3858" s="12" t="inlineStr">
        <is>
          <t>BESS PCS / MV skid</t>
        </is>
      </c>
      <c r="G3858" s="12" t="inlineStr">
        <is>
          <t>JB-BESS PCS / MV skid-AI01</t>
        </is>
      </c>
      <c r="H3858" s="12" t="inlineStr">
        <is>
          <t>BESS PCS / MV skid</t>
        </is>
      </c>
      <c r="I3858" s="12" t="inlineStr">
        <is>
          <t>Instrumentation</t>
        </is>
      </c>
      <c r="J3858" s="12" t="inlineStr">
        <is>
          <t>Instrumentation PLTC / TC-ER 300 V, #18 twisted shielded pairs, overall shield</t>
        </is>
      </c>
      <c r="K3858" s="12" t="inlineStr">
        <is>
          <t>PLTC|1 pr|16</t>
        </is>
      </c>
      <c r="L3858" s="12" t="inlineStr">
        <is>
          <t>1 pr</t>
        </is>
      </c>
      <c r="M3858" s="12" t="inlineStr">
        <is>
          <t>16</t>
        </is>
      </c>
      <c r="N3858" s="12" t="n">
        <v>6</v>
      </c>
      <c r="O3858" s="12" t="n">
        <v>1</v>
      </c>
      <c r="P3858" s="12" t="n"/>
      <c r="Q3858" s="12" t="n"/>
      <c r="R3858" s="12" t="n"/>
      <c r="S3858" s="12" t="inlineStr">
        <is>
          <t>Tray / conduit</t>
        </is>
      </c>
      <c r="T3858" s="16" t="n">
        <v>43</v>
      </c>
      <c r="U3858" s="16" t="n">
        <v>10</v>
      </c>
      <c r="V3858" s="16">
        <f>ROUNDUP((T3858+U3858+2*'Read Me'!$B$13)*(1+'Read Me'!$B$12),-1)</f>
        <v/>
      </c>
      <c r="W3858" s="16">
        <f>V3858*N3858*O3858</f>
        <v/>
      </c>
      <c r="X3858" s="12">
        <f>IF(LEFT(I3858,2)="MV",2*N3858*IF(L3858="1/C",O3858,1),0)</f>
        <v/>
      </c>
      <c r="Y3858" s="12">
        <f>IF(OR(LEFT(K3858,4)="LVAX",LEFT(K3858,6)="MV15AX",LEFT(K3858,4)="CTAX",LEFT(K3858,2)="W|"),2*N3858*O3858,0)</f>
        <v/>
      </c>
      <c r="Z3858" s="12" t="inlineStr">
        <is>
          <t>device-to-JB field wiring, one cable per device</t>
        </is>
      </c>
      <c r="AA3858" s="12">
        <f>N3858*O3858</f>
        <v/>
      </c>
    </row>
    <row r="3859">
      <c r="A3859" s="12" t="inlineStr">
        <is>
          <t>H-I-0018</t>
        </is>
      </c>
      <c r="B3859" s="12" t="inlineStr">
        <is>
          <t>H</t>
        </is>
      </c>
      <c r="C3859" s="12" t="inlineStr">
        <is>
          <t>BESS</t>
        </is>
      </c>
      <c r="D3859" s="12" t="inlineStr">
        <is>
          <t>Home run JB-BESS PCS / MV skid-AI01 to the control / marshalling room</t>
        </is>
      </c>
      <c r="E3859" s="12" t="inlineStr"/>
      <c r="F3859" s="12" t="inlineStr">
        <is>
          <t>BESS EMS / SCADA and revenue metering</t>
        </is>
      </c>
      <c r="G3859" s="12" t="inlineStr">
        <is>
          <t>JB-BESS PCS / MV skid-AI01</t>
        </is>
      </c>
      <c r="H3859" s="12" t="inlineStr">
        <is>
          <t>BESS PCS / MV skid</t>
        </is>
      </c>
      <c r="I3859" s="12" t="inlineStr">
        <is>
          <t>Instrumentation</t>
        </is>
      </c>
      <c r="J3859" s="12" t="inlineStr">
        <is>
          <t>Instrumentation PLTC / TC-ER 300 V, #18 twisted shielded pairs, overall shield</t>
        </is>
      </c>
      <c r="K3859" s="12" t="inlineStr">
        <is>
          <t>PLTC|24 pr|18</t>
        </is>
      </c>
      <c r="L3859" s="12" t="inlineStr">
        <is>
          <t>24 pr</t>
        </is>
      </c>
      <c r="M3859" s="12" t="inlineStr">
        <is>
          <t>18</t>
        </is>
      </c>
      <c r="N3859" s="12" t="n">
        <v>1</v>
      </c>
      <c r="O3859" s="12" t="n">
        <v>1</v>
      </c>
      <c r="P3859" s="12" t="n"/>
      <c r="Q3859" s="12" t="n"/>
      <c r="R3859" s="12" t="n"/>
      <c r="S3859" s="12" t="inlineStr">
        <is>
          <t>Duct bank</t>
        </is>
      </c>
      <c r="T3859" s="16" t="n">
        <v>160</v>
      </c>
      <c r="U3859" s="16" t="n">
        <v>181</v>
      </c>
      <c r="V3859" s="16">
        <f>ROUNDUP((T3859+U3859+2*'Read Me'!$B$13)*(1+'Read Me'!$B$12),-1)</f>
        <v/>
      </c>
      <c r="W3859" s="16">
        <f>V3859*N3859*O3859</f>
        <v/>
      </c>
      <c r="X3859" s="12">
        <f>IF(LEFT(I3859,2)="MV",2*N3859*IF(L3859="1/C",O3859,1),0)</f>
        <v/>
      </c>
      <c r="Y3859" s="12">
        <f>IF(OR(LEFT(K3859,4)="LVAX",LEFT(K3859,6)="MV15AX",LEFT(K3859,4)="CTAX",LEFT(K3859,2)="W|"),2*N3859*O3859,0)</f>
        <v/>
      </c>
      <c r="Z3859" s="12" t="inlineStr"/>
      <c r="AA3859" s="12">
        <f>N3859*O3859</f>
        <v/>
      </c>
    </row>
    <row r="3860">
      <c r="A3860" s="12" t="inlineStr">
        <is>
          <t>H-I-0019</t>
        </is>
      </c>
      <c r="B3860" s="12" t="inlineStr">
        <is>
          <t>H</t>
        </is>
      </c>
      <c r="C3860" s="12" t="inlineStr">
        <is>
          <t>BESS</t>
        </is>
      </c>
      <c r="D3860" s="12" t="inlineStr">
        <is>
          <t>Discrete device to JB JB-BESS PCS / MV skid-DI01: 10 x 1 pr (field cables)</t>
        </is>
      </c>
      <c r="E3860" s="12" t="inlineStr"/>
      <c r="F3860" s="12" t="inlineStr">
        <is>
          <t>BESS PCS / MV skid</t>
        </is>
      </c>
      <c r="G3860" s="12" t="inlineStr">
        <is>
          <t>JB-BESS PCS / MV skid-DI01</t>
        </is>
      </c>
      <c r="H3860" s="12" t="inlineStr">
        <is>
          <t>BESS PCS / MV skid</t>
        </is>
      </c>
      <c r="I3860" s="12" t="inlineStr">
        <is>
          <t>Instrumentation</t>
        </is>
      </c>
      <c r="J3860" s="12" t="inlineStr">
        <is>
          <t>Instrumentation PLTC / TC-ER 300 V, #18 twisted shielded pairs, overall shield</t>
        </is>
      </c>
      <c r="K3860" s="12" t="inlineStr">
        <is>
          <t>PLTC|1 pr|16</t>
        </is>
      </c>
      <c r="L3860" s="12" t="inlineStr">
        <is>
          <t>1 pr</t>
        </is>
      </c>
      <c r="M3860" s="12" t="inlineStr">
        <is>
          <t>16</t>
        </is>
      </c>
      <c r="N3860" s="12" t="n">
        <v>10</v>
      </c>
      <c r="O3860" s="12" t="n">
        <v>1</v>
      </c>
      <c r="P3860" s="12" t="n"/>
      <c r="Q3860" s="12" t="n"/>
      <c r="R3860" s="12" t="n"/>
      <c r="S3860" s="12" t="inlineStr">
        <is>
          <t>Tray / conduit</t>
        </is>
      </c>
      <c r="T3860" s="16" t="n">
        <v>43</v>
      </c>
      <c r="U3860" s="16" t="n">
        <v>10</v>
      </c>
      <c r="V3860" s="16">
        <f>ROUNDUP((T3860+U3860+2*'Read Me'!$B$13)*(1+'Read Me'!$B$12),-1)</f>
        <v/>
      </c>
      <c r="W3860" s="16">
        <f>V3860*N3860*O3860</f>
        <v/>
      </c>
      <c r="X3860" s="12">
        <f>IF(LEFT(I3860,2)="MV",2*N3860*IF(L3860="1/C",O3860,1),0)</f>
        <v/>
      </c>
      <c r="Y3860" s="12">
        <f>IF(OR(LEFT(K3860,4)="LVAX",LEFT(K3860,6)="MV15AX",LEFT(K3860,4)="CTAX",LEFT(K3860,2)="W|"),2*N3860*O3860,0)</f>
        <v/>
      </c>
      <c r="Z3860" s="12" t="inlineStr">
        <is>
          <t>device-to-JB field wiring, one cable per device</t>
        </is>
      </c>
      <c r="AA3860" s="12">
        <f>N3860*O3860</f>
        <v/>
      </c>
    </row>
    <row r="3861">
      <c r="A3861" s="12" t="inlineStr">
        <is>
          <t>H-I-0020</t>
        </is>
      </c>
      <c r="B3861" s="12" t="inlineStr">
        <is>
          <t>H</t>
        </is>
      </c>
      <c r="C3861" s="12" t="inlineStr">
        <is>
          <t>BESS</t>
        </is>
      </c>
      <c r="D3861" s="12" t="inlineStr">
        <is>
          <t>Home run JB-BESS PCS / MV skid-DI01 to the control / marshalling room</t>
        </is>
      </c>
      <c r="E3861" s="12" t="inlineStr"/>
      <c r="F3861" s="12" t="inlineStr">
        <is>
          <t>BESS EMS / SCADA and revenue metering</t>
        </is>
      </c>
      <c r="G3861" s="12" t="inlineStr">
        <is>
          <t>JB-BESS PCS / MV skid-DI01</t>
        </is>
      </c>
      <c r="H3861" s="12" t="inlineStr">
        <is>
          <t>BESS PCS / MV skid</t>
        </is>
      </c>
      <c r="I3861" s="12" t="inlineStr">
        <is>
          <t>Instrumentation</t>
        </is>
      </c>
      <c r="J3861" s="12" t="inlineStr">
        <is>
          <t>Instrumentation PLTC / TC-ER 300 V, #18 twisted shielded pairs, overall shield</t>
        </is>
      </c>
      <c r="K3861" s="12" t="inlineStr">
        <is>
          <t>PLTC|24 pr|18</t>
        </is>
      </c>
      <c r="L3861" s="12" t="inlineStr">
        <is>
          <t>24 pr</t>
        </is>
      </c>
      <c r="M3861" s="12" t="inlineStr">
        <is>
          <t>18</t>
        </is>
      </c>
      <c r="N3861" s="12" t="n">
        <v>1</v>
      </c>
      <c r="O3861" s="12" t="n">
        <v>1</v>
      </c>
      <c r="P3861" s="12" t="n"/>
      <c r="Q3861" s="12" t="n"/>
      <c r="R3861" s="12" t="n"/>
      <c r="S3861" s="12" t="inlineStr">
        <is>
          <t>Duct bank</t>
        </is>
      </c>
      <c r="T3861" s="16" t="n">
        <v>160</v>
      </c>
      <c r="U3861" s="16" t="n">
        <v>181</v>
      </c>
      <c r="V3861" s="16">
        <f>ROUNDUP((T3861+U3861+2*'Read Me'!$B$13)*(1+'Read Me'!$B$12),-1)</f>
        <v/>
      </c>
      <c r="W3861" s="16">
        <f>V3861*N3861*O3861</f>
        <v/>
      </c>
      <c r="X3861" s="12">
        <f>IF(LEFT(I3861,2)="MV",2*N3861*IF(L3861="1/C",O3861,1),0)</f>
        <v/>
      </c>
      <c r="Y3861" s="12">
        <f>IF(OR(LEFT(K3861,4)="LVAX",LEFT(K3861,6)="MV15AX",LEFT(K3861,4)="CTAX",LEFT(K3861,2)="W|"),2*N3861*O3861,0)</f>
        <v/>
      </c>
      <c r="Z3861" s="12" t="inlineStr"/>
      <c r="AA3861" s="12">
        <f>N3861*O3861</f>
        <v/>
      </c>
    </row>
    <row r="3862">
      <c r="A3862" s="12" t="inlineStr">
        <is>
          <t>H-I-0021</t>
        </is>
      </c>
      <c r="B3862" s="12" t="inlineStr">
        <is>
          <t>H</t>
        </is>
      </c>
      <c r="C3862" s="12" t="inlineStr">
        <is>
          <t>BESS</t>
        </is>
      </c>
      <c r="D3862" s="12" t="inlineStr">
        <is>
          <t>Analog instrument to JB JB-BESS PCS / MV skid-AI01: 6 x 1 pr (field cables)</t>
        </is>
      </c>
      <c r="E3862" s="12" t="inlineStr"/>
      <c r="F3862" s="12" t="inlineStr">
        <is>
          <t>BESS PCS / MV skid</t>
        </is>
      </c>
      <c r="G3862" s="12" t="inlineStr">
        <is>
          <t>JB-BESS PCS / MV skid-AI01</t>
        </is>
      </c>
      <c r="H3862" s="12" t="inlineStr">
        <is>
          <t>BESS PCS / MV skid</t>
        </is>
      </c>
      <c r="I3862" s="12" t="inlineStr">
        <is>
          <t>Instrumentation</t>
        </is>
      </c>
      <c r="J3862" s="12" t="inlineStr">
        <is>
          <t>Instrumentation PLTC / TC-ER 300 V, #18 twisted shielded pairs, overall shield</t>
        </is>
      </c>
      <c r="K3862" s="12" t="inlineStr">
        <is>
          <t>PLTC|1 pr|16</t>
        </is>
      </c>
      <c r="L3862" s="12" t="inlineStr">
        <is>
          <t>1 pr</t>
        </is>
      </c>
      <c r="M3862" s="12" t="inlineStr">
        <is>
          <t>16</t>
        </is>
      </c>
      <c r="N3862" s="12" t="n">
        <v>6</v>
      </c>
      <c r="O3862" s="12" t="n">
        <v>1</v>
      </c>
      <c r="P3862" s="12" t="n"/>
      <c r="Q3862" s="12" t="n"/>
      <c r="R3862" s="12" t="n"/>
      <c r="S3862" s="12" t="inlineStr">
        <is>
          <t>Tray / conduit</t>
        </is>
      </c>
      <c r="T3862" s="16" t="n">
        <v>43</v>
      </c>
      <c r="U3862" s="16" t="n">
        <v>10</v>
      </c>
      <c r="V3862" s="16">
        <f>ROUNDUP((T3862+U3862+2*'Read Me'!$B$13)*(1+'Read Me'!$B$12),-1)</f>
        <v/>
      </c>
      <c r="W3862" s="16">
        <f>V3862*N3862*O3862</f>
        <v/>
      </c>
      <c r="X3862" s="12">
        <f>IF(LEFT(I3862,2)="MV",2*N3862*IF(L3862="1/C",O3862,1),0)</f>
        <v/>
      </c>
      <c r="Y3862" s="12">
        <f>IF(OR(LEFT(K3862,4)="LVAX",LEFT(K3862,6)="MV15AX",LEFT(K3862,4)="CTAX",LEFT(K3862,2)="W|"),2*N3862*O3862,0)</f>
        <v/>
      </c>
      <c r="Z3862" s="12" t="inlineStr">
        <is>
          <t>device-to-JB field wiring, one cable per device</t>
        </is>
      </c>
      <c r="AA3862" s="12">
        <f>N3862*O3862</f>
        <v/>
      </c>
    </row>
    <row r="3863">
      <c r="A3863" s="12" t="inlineStr">
        <is>
          <t>H-I-0022</t>
        </is>
      </c>
      <c r="B3863" s="12" t="inlineStr">
        <is>
          <t>H</t>
        </is>
      </c>
      <c r="C3863" s="12" t="inlineStr">
        <is>
          <t>BESS</t>
        </is>
      </c>
      <c r="D3863" s="12" t="inlineStr">
        <is>
          <t>Home run JB-BESS PCS / MV skid-AI01 to the control / marshalling room</t>
        </is>
      </c>
      <c r="E3863" s="12" t="inlineStr"/>
      <c r="F3863" s="12" t="inlineStr">
        <is>
          <t>BESS EMS / SCADA and revenue metering</t>
        </is>
      </c>
      <c r="G3863" s="12" t="inlineStr">
        <is>
          <t>JB-BESS PCS / MV skid-AI01</t>
        </is>
      </c>
      <c r="H3863" s="12" t="inlineStr">
        <is>
          <t>BESS PCS / MV skid</t>
        </is>
      </c>
      <c r="I3863" s="12" t="inlineStr">
        <is>
          <t>Instrumentation</t>
        </is>
      </c>
      <c r="J3863" s="12" t="inlineStr">
        <is>
          <t>Instrumentation PLTC / TC-ER 300 V, #18 twisted shielded pairs, overall shield</t>
        </is>
      </c>
      <c r="K3863" s="12" t="inlineStr">
        <is>
          <t>PLTC|24 pr|18</t>
        </is>
      </c>
      <c r="L3863" s="12" t="inlineStr">
        <is>
          <t>24 pr</t>
        </is>
      </c>
      <c r="M3863" s="12" t="inlineStr">
        <is>
          <t>18</t>
        </is>
      </c>
      <c r="N3863" s="12" t="n">
        <v>1</v>
      </c>
      <c r="O3863" s="12" t="n">
        <v>1</v>
      </c>
      <c r="P3863" s="12" t="n"/>
      <c r="Q3863" s="12" t="n"/>
      <c r="R3863" s="12" t="n"/>
      <c r="S3863" s="12" t="inlineStr">
        <is>
          <t>Duct bank</t>
        </is>
      </c>
      <c r="T3863" s="16" t="n">
        <v>30</v>
      </c>
      <c r="U3863" s="16" t="n">
        <v>165</v>
      </c>
      <c r="V3863" s="16">
        <f>ROUNDUP((T3863+U3863+2*'Read Me'!$B$13)*(1+'Read Me'!$B$12),-1)</f>
        <v/>
      </c>
      <c r="W3863" s="16">
        <f>V3863*N3863*O3863</f>
        <v/>
      </c>
      <c r="X3863" s="12">
        <f>IF(LEFT(I3863,2)="MV",2*N3863*IF(L3863="1/C",O3863,1),0)</f>
        <v/>
      </c>
      <c r="Y3863" s="12">
        <f>IF(OR(LEFT(K3863,4)="LVAX",LEFT(K3863,6)="MV15AX",LEFT(K3863,4)="CTAX",LEFT(K3863,2)="W|"),2*N3863*O3863,0)</f>
        <v/>
      </c>
      <c r="Z3863" s="12" t="inlineStr"/>
      <c r="AA3863" s="12">
        <f>N3863*O3863</f>
        <v/>
      </c>
    </row>
    <row r="3864">
      <c r="A3864" s="12" t="inlineStr">
        <is>
          <t>H-I-0023</t>
        </is>
      </c>
      <c r="B3864" s="12" t="inlineStr">
        <is>
          <t>H</t>
        </is>
      </c>
      <c r="C3864" s="12" t="inlineStr">
        <is>
          <t>BESS</t>
        </is>
      </c>
      <c r="D3864" s="12" t="inlineStr">
        <is>
          <t>Discrete device to JB JB-BESS PCS / MV skid-DI01: 10 x 1 pr (field cables)</t>
        </is>
      </c>
      <c r="E3864" s="12" t="inlineStr"/>
      <c r="F3864" s="12" t="inlineStr">
        <is>
          <t>BESS PCS / MV skid</t>
        </is>
      </c>
      <c r="G3864" s="12" t="inlineStr">
        <is>
          <t>JB-BESS PCS / MV skid-DI01</t>
        </is>
      </c>
      <c r="H3864" s="12" t="inlineStr">
        <is>
          <t>BESS PCS / MV skid</t>
        </is>
      </c>
      <c r="I3864" s="12" t="inlineStr">
        <is>
          <t>Instrumentation</t>
        </is>
      </c>
      <c r="J3864" s="12" t="inlineStr">
        <is>
          <t>Instrumentation PLTC / TC-ER 300 V, #18 twisted shielded pairs, overall shield</t>
        </is>
      </c>
      <c r="K3864" s="12" t="inlineStr">
        <is>
          <t>PLTC|1 pr|16</t>
        </is>
      </c>
      <c r="L3864" s="12" t="inlineStr">
        <is>
          <t>1 pr</t>
        </is>
      </c>
      <c r="M3864" s="12" t="inlineStr">
        <is>
          <t>16</t>
        </is>
      </c>
      <c r="N3864" s="12" t="n">
        <v>10</v>
      </c>
      <c r="O3864" s="12" t="n">
        <v>1</v>
      </c>
      <c r="P3864" s="12" t="n"/>
      <c r="Q3864" s="12" t="n"/>
      <c r="R3864" s="12" t="n"/>
      <c r="S3864" s="12" t="inlineStr">
        <is>
          <t>Tray / conduit</t>
        </is>
      </c>
      <c r="T3864" s="16" t="n">
        <v>43</v>
      </c>
      <c r="U3864" s="16" t="n">
        <v>10</v>
      </c>
      <c r="V3864" s="16">
        <f>ROUNDUP((T3864+U3864+2*'Read Me'!$B$13)*(1+'Read Me'!$B$12),-1)</f>
        <v/>
      </c>
      <c r="W3864" s="16">
        <f>V3864*N3864*O3864</f>
        <v/>
      </c>
      <c r="X3864" s="12">
        <f>IF(LEFT(I3864,2)="MV",2*N3864*IF(L3864="1/C",O3864,1),0)</f>
        <v/>
      </c>
      <c r="Y3864" s="12">
        <f>IF(OR(LEFT(K3864,4)="LVAX",LEFT(K3864,6)="MV15AX",LEFT(K3864,4)="CTAX",LEFT(K3864,2)="W|"),2*N3864*O3864,0)</f>
        <v/>
      </c>
      <c r="Z3864" s="12" t="inlineStr">
        <is>
          <t>device-to-JB field wiring, one cable per device</t>
        </is>
      </c>
      <c r="AA3864" s="12">
        <f>N3864*O3864</f>
        <v/>
      </c>
    </row>
    <row r="3865">
      <c r="A3865" s="12" t="inlineStr">
        <is>
          <t>H-I-0024</t>
        </is>
      </c>
      <c r="B3865" s="12" t="inlineStr">
        <is>
          <t>H</t>
        </is>
      </c>
      <c r="C3865" s="12" t="inlineStr">
        <is>
          <t>BESS</t>
        </is>
      </c>
      <c r="D3865" s="12" t="inlineStr">
        <is>
          <t>Home run JB-BESS PCS / MV skid-DI01 to the control / marshalling room</t>
        </is>
      </c>
      <c r="E3865" s="12" t="inlineStr"/>
      <c r="F3865" s="12" t="inlineStr">
        <is>
          <t>BESS EMS / SCADA and revenue metering</t>
        </is>
      </c>
      <c r="G3865" s="12" t="inlineStr">
        <is>
          <t>JB-BESS PCS / MV skid-DI01</t>
        </is>
      </c>
      <c r="H3865" s="12" t="inlineStr">
        <is>
          <t>BESS PCS / MV skid</t>
        </is>
      </c>
      <c r="I3865" s="12" t="inlineStr">
        <is>
          <t>Instrumentation</t>
        </is>
      </c>
      <c r="J3865" s="12" t="inlineStr">
        <is>
          <t>Instrumentation PLTC / TC-ER 300 V, #18 twisted shielded pairs, overall shield</t>
        </is>
      </c>
      <c r="K3865" s="12" t="inlineStr">
        <is>
          <t>PLTC|24 pr|18</t>
        </is>
      </c>
      <c r="L3865" s="12" t="inlineStr">
        <is>
          <t>24 pr</t>
        </is>
      </c>
      <c r="M3865" s="12" t="inlineStr">
        <is>
          <t>18</t>
        </is>
      </c>
      <c r="N3865" s="12" t="n">
        <v>1</v>
      </c>
      <c r="O3865" s="12" t="n">
        <v>1</v>
      </c>
      <c r="P3865" s="12" t="n"/>
      <c r="Q3865" s="12" t="n"/>
      <c r="R3865" s="12" t="n"/>
      <c r="S3865" s="12" t="inlineStr">
        <is>
          <t>Duct bank</t>
        </is>
      </c>
      <c r="T3865" s="16" t="n">
        <v>30</v>
      </c>
      <c r="U3865" s="16" t="n">
        <v>165</v>
      </c>
      <c r="V3865" s="16">
        <f>ROUNDUP((T3865+U3865+2*'Read Me'!$B$13)*(1+'Read Me'!$B$12),-1)</f>
        <v/>
      </c>
      <c r="W3865" s="16">
        <f>V3865*N3865*O3865</f>
        <v/>
      </c>
      <c r="X3865" s="12">
        <f>IF(LEFT(I3865,2)="MV",2*N3865*IF(L3865="1/C",O3865,1),0)</f>
        <v/>
      </c>
      <c r="Y3865" s="12">
        <f>IF(OR(LEFT(K3865,4)="LVAX",LEFT(K3865,6)="MV15AX",LEFT(K3865,4)="CTAX",LEFT(K3865,2)="W|"),2*N3865*O3865,0)</f>
        <v/>
      </c>
      <c r="Z3865" s="12" t="inlineStr"/>
      <c r="AA3865" s="12">
        <f>N3865*O3865</f>
        <v/>
      </c>
    </row>
    <row r="3866">
      <c r="A3866" s="12" t="inlineStr">
        <is>
          <t>H-I-0025</t>
        </is>
      </c>
      <c r="B3866" s="12" t="inlineStr">
        <is>
          <t>H</t>
        </is>
      </c>
      <c r="C3866" s="12" t="inlineStr">
        <is>
          <t>BESS</t>
        </is>
      </c>
      <c r="D3866" s="12" t="inlineStr">
        <is>
          <t>Analog instrument to JB JB-BESS PCS / MV skid-AI01: 6 x 1 pr (field cables)</t>
        </is>
      </c>
      <c r="E3866" s="12" t="inlineStr"/>
      <c r="F3866" s="12" t="inlineStr">
        <is>
          <t>BESS PCS / MV skid</t>
        </is>
      </c>
      <c r="G3866" s="12" t="inlineStr">
        <is>
          <t>JB-BESS PCS / MV skid-AI01</t>
        </is>
      </c>
      <c r="H3866" s="12" t="inlineStr">
        <is>
          <t>BESS PCS / MV skid</t>
        </is>
      </c>
      <c r="I3866" s="12" t="inlineStr">
        <is>
          <t>Instrumentation</t>
        </is>
      </c>
      <c r="J3866" s="12" t="inlineStr">
        <is>
          <t>Instrumentation PLTC / TC-ER 300 V, #18 twisted shielded pairs, overall shield</t>
        </is>
      </c>
      <c r="K3866" s="12" t="inlineStr">
        <is>
          <t>PLTC|1 pr|16</t>
        </is>
      </c>
      <c r="L3866" s="12" t="inlineStr">
        <is>
          <t>1 pr</t>
        </is>
      </c>
      <c r="M3866" s="12" t="inlineStr">
        <is>
          <t>16</t>
        </is>
      </c>
      <c r="N3866" s="12" t="n">
        <v>6</v>
      </c>
      <c r="O3866" s="12" t="n">
        <v>1</v>
      </c>
      <c r="P3866" s="12" t="n"/>
      <c r="Q3866" s="12" t="n"/>
      <c r="R3866" s="12" t="n"/>
      <c r="S3866" s="12" t="inlineStr">
        <is>
          <t>Tray / conduit</t>
        </is>
      </c>
      <c r="T3866" s="16" t="n">
        <v>43</v>
      </c>
      <c r="U3866" s="16" t="n">
        <v>10</v>
      </c>
      <c r="V3866" s="16">
        <f>ROUNDUP((T3866+U3866+2*'Read Me'!$B$13)*(1+'Read Me'!$B$12),-1)</f>
        <v/>
      </c>
      <c r="W3866" s="16">
        <f>V3866*N3866*O3866</f>
        <v/>
      </c>
      <c r="X3866" s="12">
        <f>IF(LEFT(I3866,2)="MV",2*N3866*IF(L3866="1/C",O3866,1),0)</f>
        <v/>
      </c>
      <c r="Y3866" s="12">
        <f>IF(OR(LEFT(K3866,4)="LVAX",LEFT(K3866,6)="MV15AX",LEFT(K3866,4)="CTAX",LEFT(K3866,2)="W|"),2*N3866*O3866,0)</f>
        <v/>
      </c>
      <c r="Z3866" s="12" t="inlineStr">
        <is>
          <t>device-to-JB field wiring, one cable per device</t>
        </is>
      </c>
      <c r="AA3866" s="12">
        <f>N3866*O3866</f>
        <v/>
      </c>
    </row>
    <row r="3867">
      <c r="A3867" s="12" t="inlineStr">
        <is>
          <t>H-I-0026</t>
        </is>
      </c>
      <c r="B3867" s="12" t="inlineStr">
        <is>
          <t>H</t>
        </is>
      </c>
      <c r="C3867" s="12" t="inlineStr">
        <is>
          <t>BESS</t>
        </is>
      </c>
      <c r="D3867" s="12" t="inlineStr">
        <is>
          <t>Home run JB-BESS PCS / MV skid-AI01 to the control / marshalling room</t>
        </is>
      </c>
      <c r="E3867" s="12" t="inlineStr"/>
      <c r="F3867" s="12" t="inlineStr">
        <is>
          <t>BESS EMS / SCADA and revenue metering</t>
        </is>
      </c>
      <c r="G3867" s="12" t="inlineStr">
        <is>
          <t>JB-BESS PCS / MV skid-AI01</t>
        </is>
      </c>
      <c r="H3867" s="12" t="inlineStr">
        <is>
          <t>BESS PCS / MV skid</t>
        </is>
      </c>
      <c r="I3867" s="12" t="inlineStr">
        <is>
          <t>Instrumentation</t>
        </is>
      </c>
      <c r="J3867" s="12" t="inlineStr">
        <is>
          <t>Instrumentation PLTC / TC-ER 300 V, #18 twisted shielded pairs, overall shield</t>
        </is>
      </c>
      <c r="K3867" s="12" t="inlineStr">
        <is>
          <t>PLTC|24 pr|18</t>
        </is>
      </c>
      <c r="L3867" s="12" t="inlineStr">
        <is>
          <t>24 pr</t>
        </is>
      </c>
      <c r="M3867" s="12" t="inlineStr">
        <is>
          <t>18</t>
        </is>
      </c>
      <c r="N3867" s="12" t="n">
        <v>1</v>
      </c>
      <c r="O3867" s="12" t="n">
        <v>1</v>
      </c>
      <c r="P3867" s="12" t="n"/>
      <c r="Q3867" s="12" t="n"/>
      <c r="R3867" s="12" t="n"/>
      <c r="S3867" s="12" t="inlineStr">
        <is>
          <t>Duct bank</t>
        </is>
      </c>
      <c r="T3867" s="16" t="n">
        <v>300</v>
      </c>
      <c r="U3867" s="16" t="n">
        <v>219</v>
      </c>
      <c r="V3867" s="16">
        <f>ROUNDUP((T3867+U3867+2*'Read Me'!$B$13)*(1+'Read Me'!$B$12),-1)</f>
        <v/>
      </c>
      <c r="W3867" s="16">
        <f>V3867*N3867*O3867</f>
        <v/>
      </c>
      <c r="X3867" s="12">
        <f>IF(LEFT(I3867,2)="MV",2*N3867*IF(L3867="1/C",O3867,1),0)</f>
        <v/>
      </c>
      <c r="Y3867" s="12">
        <f>IF(OR(LEFT(K3867,4)="LVAX",LEFT(K3867,6)="MV15AX",LEFT(K3867,4)="CTAX",LEFT(K3867,2)="W|"),2*N3867*O3867,0)</f>
        <v/>
      </c>
      <c r="Z3867" s="12" t="inlineStr"/>
      <c r="AA3867" s="12">
        <f>N3867*O3867</f>
        <v/>
      </c>
    </row>
    <row r="3868">
      <c r="A3868" s="12" t="inlineStr">
        <is>
          <t>H-I-0027</t>
        </is>
      </c>
      <c r="B3868" s="12" t="inlineStr">
        <is>
          <t>H</t>
        </is>
      </c>
      <c r="C3868" s="12" t="inlineStr">
        <is>
          <t>BESS</t>
        </is>
      </c>
      <c r="D3868" s="12" t="inlineStr">
        <is>
          <t>Discrete device to JB JB-BESS PCS / MV skid-DI01: 10 x 1 pr (field cables)</t>
        </is>
      </c>
      <c r="E3868" s="12" t="inlineStr"/>
      <c r="F3868" s="12" t="inlineStr">
        <is>
          <t>BESS PCS / MV skid</t>
        </is>
      </c>
      <c r="G3868" s="12" t="inlineStr">
        <is>
          <t>JB-BESS PCS / MV skid-DI01</t>
        </is>
      </c>
      <c r="H3868" s="12" t="inlineStr">
        <is>
          <t>BESS PCS / MV skid</t>
        </is>
      </c>
      <c r="I3868" s="12" t="inlineStr">
        <is>
          <t>Instrumentation</t>
        </is>
      </c>
      <c r="J3868" s="12" t="inlineStr">
        <is>
          <t>Instrumentation PLTC / TC-ER 300 V, #18 twisted shielded pairs, overall shield</t>
        </is>
      </c>
      <c r="K3868" s="12" t="inlineStr">
        <is>
          <t>PLTC|1 pr|16</t>
        </is>
      </c>
      <c r="L3868" s="12" t="inlineStr">
        <is>
          <t>1 pr</t>
        </is>
      </c>
      <c r="M3868" s="12" t="inlineStr">
        <is>
          <t>16</t>
        </is>
      </c>
      <c r="N3868" s="12" t="n">
        <v>10</v>
      </c>
      <c r="O3868" s="12" t="n">
        <v>1</v>
      </c>
      <c r="P3868" s="12" t="n"/>
      <c r="Q3868" s="12" t="n"/>
      <c r="R3868" s="12" t="n"/>
      <c r="S3868" s="12" t="inlineStr">
        <is>
          <t>Tray / conduit</t>
        </is>
      </c>
      <c r="T3868" s="16" t="n">
        <v>43</v>
      </c>
      <c r="U3868" s="16" t="n">
        <v>10</v>
      </c>
      <c r="V3868" s="16">
        <f>ROUNDUP((T3868+U3868+2*'Read Me'!$B$13)*(1+'Read Me'!$B$12),-1)</f>
        <v/>
      </c>
      <c r="W3868" s="16">
        <f>V3868*N3868*O3868</f>
        <v/>
      </c>
      <c r="X3868" s="12">
        <f>IF(LEFT(I3868,2)="MV",2*N3868*IF(L3868="1/C",O3868,1),0)</f>
        <v/>
      </c>
      <c r="Y3868" s="12">
        <f>IF(OR(LEFT(K3868,4)="LVAX",LEFT(K3868,6)="MV15AX",LEFT(K3868,4)="CTAX",LEFT(K3868,2)="W|"),2*N3868*O3868,0)</f>
        <v/>
      </c>
      <c r="Z3868" s="12" t="inlineStr">
        <is>
          <t>device-to-JB field wiring, one cable per device</t>
        </is>
      </c>
      <c r="AA3868" s="12">
        <f>N3868*O3868</f>
        <v/>
      </c>
    </row>
    <row r="3869">
      <c r="A3869" s="12" t="inlineStr">
        <is>
          <t>H-I-0028</t>
        </is>
      </c>
      <c r="B3869" s="12" t="inlineStr">
        <is>
          <t>H</t>
        </is>
      </c>
      <c r="C3869" s="12" t="inlineStr">
        <is>
          <t>BESS</t>
        </is>
      </c>
      <c r="D3869" s="12" t="inlineStr">
        <is>
          <t>Home run JB-BESS PCS / MV skid-DI01 to the control / marshalling room</t>
        </is>
      </c>
      <c r="E3869" s="12" t="inlineStr"/>
      <c r="F3869" s="12" t="inlineStr">
        <is>
          <t>BESS EMS / SCADA and revenue metering</t>
        </is>
      </c>
      <c r="G3869" s="12" t="inlineStr">
        <is>
          <t>JB-BESS PCS / MV skid-DI01</t>
        </is>
      </c>
      <c r="H3869" s="12" t="inlineStr">
        <is>
          <t>BESS PCS / MV skid</t>
        </is>
      </c>
      <c r="I3869" s="12" t="inlineStr">
        <is>
          <t>Instrumentation</t>
        </is>
      </c>
      <c r="J3869" s="12" t="inlineStr">
        <is>
          <t>Instrumentation PLTC / TC-ER 300 V, #18 twisted shielded pairs, overall shield</t>
        </is>
      </c>
      <c r="K3869" s="12" t="inlineStr">
        <is>
          <t>PLTC|24 pr|18</t>
        </is>
      </c>
      <c r="L3869" s="12" t="inlineStr">
        <is>
          <t>24 pr</t>
        </is>
      </c>
      <c r="M3869" s="12" t="inlineStr">
        <is>
          <t>18</t>
        </is>
      </c>
      <c r="N3869" s="12" t="n">
        <v>1</v>
      </c>
      <c r="O3869" s="12" t="n">
        <v>1</v>
      </c>
      <c r="P3869" s="12" t="n"/>
      <c r="Q3869" s="12" t="n"/>
      <c r="R3869" s="12" t="n"/>
      <c r="S3869" s="12" t="inlineStr">
        <is>
          <t>Duct bank</t>
        </is>
      </c>
      <c r="T3869" s="16" t="n">
        <v>300</v>
      </c>
      <c r="U3869" s="16" t="n">
        <v>219</v>
      </c>
      <c r="V3869" s="16">
        <f>ROUNDUP((T3869+U3869+2*'Read Me'!$B$13)*(1+'Read Me'!$B$12),-1)</f>
        <v/>
      </c>
      <c r="W3869" s="16">
        <f>V3869*N3869*O3869</f>
        <v/>
      </c>
      <c r="X3869" s="12">
        <f>IF(LEFT(I3869,2)="MV",2*N3869*IF(L3869="1/C",O3869,1),0)</f>
        <v/>
      </c>
      <c r="Y3869" s="12">
        <f>IF(OR(LEFT(K3869,4)="LVAX",LEFT(K3869,6)="MV15AX",LEFT(K3869,4)="CTAX",LEFT(K3869,2)="W|"),2*N3869*O3869,0)</f>
        <v/>
      </c>
      <c r="Z3869" s="12" t="inlineStr"/>
      <c r="AA3869" s="12">
        <f>N3869*O3869</f>
        <v/>
      </c>
    </row>
    <row r="3870">
      <c r="A3870" s="12" t="inlineStr">
        <is>
          <t>H-I-0029</t>
        </is>
      </c>
      <c r="B3870" s="12" t="inlineStr">
        <is>
          <t>H</t>
        </is>
      </c>
      <c r="C3870" s="12" t="inlineStr">
        <is>
          <t>BESS</t>
        </is>
      </c>
      <c r="D3870" s="12" t="inlineStr">
        <is>
          <t>Analog instrument to JB JB-BESS PCS / MV skid-AI01: 6 x 1 pr (field cables)</t>
        </is>
      </c>
      <c r="E3870" s="12" t="inlineStr"/>
      <c r="F3870" s="12" t="inlineStr">
        <is>
          <t>BESS PCS / MV skid</t>
        </is>
      </c>
      <c r="G3870" s="12" t="inlineStr">
        <is>
          <t>JB-BESS PCS / MV skid-AI01</t>
        </is>
      </c>
      <c r="H3870" s="12" t="inlineStr">
        <is>
          <t>BESS PCS / MV skid</t>
        </is>
      </c>
      <c r="I3870" s="12" t="inlineStr">
        <is>
          <t>Instrumentation</t>
        </is>
      </c>
      <c r="J3870" s="12" t="inlineStr">
        <is>
          <t>Instrumentation PLTC / TC-ER 300 V, #18 twisted shielded pairs, overall shield</t>
        </is>
      </c>
      <c r="K3870" s="12" t="inlineStr">
        <is>
          <t>PLTC|1 pr|16</t>
        </is>
      </c>
      <c r="L3870" s="12" t="inlineStr">
        <is>
          <t>1 pr</t>
        </is>
      </c>
      <c r="M3870" s="12" t="inlineStr">
        <is>
          <t>16</t>
        </is>
      </c>
      <c r="N3870" s="12" t="n">
        <v>6</v>
      </c>
      <c r="O3870" s="12" t="n">
        <v>1</v>
      </c>
      <c r="P3870" s="12" t="n"/>
      <c r="Q3870" s="12" t="n"/>
      <c r="R3870" s="12" t="n"/>
      <c r="S3870" s="12" t="inlineStr">
        <is>
          <t>Tray / conduit</t>
        </is>
      </c>
      <c r="T3870" s="16" t="n">
        <v>43</v>
      </c>
      <c r="U3870" s="16" t="n">
        <v>10</v>
      </c>
      <c r="V3870" s="16">
        <f>ROUNDUP((T3870+U3870+2*'Read Me'!$B$13)*(1+'Read Me'!$B$12),-1)</f>
        <v/>
      </c>
      <c r="W3870" s="16">
        <f>V3870*N3870*O3870</f>
        <v/>
      </c>
      <c r="X3870" s="12">
        <f>IF(LEFT(I3870,2)="MV",2*N3870*IF(L3870="1/C",O3870,1),0)</f>
        <v/>
      </c>
      <c r="Y3870" s="12">
        <f>IF(OR(LEFT(K3870,4)="LVAX",LEFT(K3870,6)="MV15AX",LEFT(K3870,4)="CTAX",LEFT(K3870,2)="W|"),2*N3870*O3870,0)</f>
        <v/>
      </c>
      <c r="Z3870" s="12" t="inlineStr">
        <is>
          <t>device-to-JB field wiring, one cable per device</t>
        </is>
      </c>
      <c r="AA3870" s="12">
        <f>N3870*O3870</f>
        <v/>
      </c>
    </row>
    <row r="3871">
      <c r="A3871" s="12" t="inlineStr">
        <is>
          <t>H-I-0030</t>
        </is>
      </c>
      <c r="B3871" s="12" t="inlineStr">
        <is>
          <t>H</t>
        </is>
      </c>
      <c r="C3871" s="12" t="inlineStr">
        <is>
          <t>BESS</t>
        </is>
      </c>
      <c r="D3871" s="12" t="inlineStr">
        <is>
          <t>Home run JB-BESS PCS / MV skid-AI01 to the control / marshalling room</t>
        </is>
      </c>
      <c r="E3871" s="12" t="inlineStr"/>
      <c r="F3871" s="12" t="inlineStr">
        <is>
          <t>BESS EMS / SCADA and revenue metering</t>
        </is>
      </c>
      <c r="G3871" s="12" t="inlineStr">
        <is>
          <t>JB-BESS PCS / MV skid-AI01</t>
        </is>
      </c>
      <c r="H3871" s="12" t="inlineStr">
        <is>
          <t>BESS PCS / MV skid</t>
        </is>
      </c>
      <c r="I3871" s="12" t="inlineStr">
        <is>
          <t>Instrumentation</t>
        </is>
      </c>
      <c r="J3871" s="12" t="inlineStr">
        <is>
          <t>Instrumentation PLTC / TC-ER 300 V, #18 twisted shielded pairs, overall shield</t>
        </is>
      </c>
      <c r="K3871" s="12" t="inlineStr">
        <is>
          <t>PLTC|24 pr|18</t>
        </is>
      </c>
      <c r="L3871" s="12" t="inlineStr">
        <is>
          <t>24 pr</t>
        </is>
      </c>
      <c r="M3871" s="12" t="inlineStr">
        <is>
          <t>18</t>
        </is>
      </c>
      <c r="N3871" s="12" t="n">
        <v>1</v>
      </c>
      <c r="O3871" s="12" t="n">
        <v>1</v>
      </c>
      <c r="P3871" s="12" t="n"/>
      <c r="Q3871" s="12" t="n"/>
      <c r="R3871" s="12" t="n"/>
      <c r="S3871" s="12" t="inlineStr">
        <is>
          <t>Duct bank</t>
        </is>
      </c>
      <c r="T3871" s="16" t="n">
        <v>160</v>
      </c>
      <c r="U3871" s="16" t="n">
        <v>239</v>
      </c>
      <c r="V3871" s="16">
        <f>ROUNDUP((T3871+U3871+2*'Read Me'!$B$13)*(1+'Read Me'!$B$12),-1)</f>
        <v/>
      </c>
      <c r="W3871" s="16">
        <f>V3871*N3871*O3871</f>
        <v/>
      </c>
      <c r="X3871" s="12">
        <f>IF(LEFT(I3871,2)="MV",2*N3871*IF(L3871="1/C",O3871,1),0)</f>
        <v/>
      </c>
      <c r="Y3871" s="12">
        <f>IF(OR(LEFT(K3871,4)="LVAX",LEFT(K3871,6)="MV15AX",LEFT(K3871,4)="CTAX",LEFT(K3871,2)="W|"),2*N3871*O3871,0)</f>
        <v/>
      </c>
      <c r="Z3871" s="12" t="inlineStr"/>
      <c r="AA3871" s="12">
        <f>N3871*O3871</f>
        <v/>
      </c>
    </row>
    <row r="3872">
      <c r="A3872" s="12" t="inlineStr">
        <is>
          <t>H-I-0031</t>
        </is>
      </c>
      <c r="B3872" s="12" t="inlineStr">
        <is>
          <t>H</t>
        </is>
      </c>
      <c r="C3872" s="12" t="inlineStr">
        <is>
          <t>BESS</t>
        </is>
      </c>
      <c r="D3872" s="12" t="inlineStr">
        <is>
          <t>Discrete device to JB JB-BESS PCS / MV skid-DI01: 10 x 1 pr (field cables)</t>
        </is>
      </c>
      <c r="E3872" s="12" t="inlineStr"/>
      <c r="F3872" s="12" t="inlineStr">
        <is>
          <t>BESS PCS / MV skid</t>
        </is>
      </c>
      <c r="G3872" s="12" t="inlineStr">
        <is>
          <t>JB-BESS PCS / MV skid-DI01</t>
        </is>
      </c>
      <c r="H3872" s="12" t="inlineStr">
        <is>
          <t>BESS PCS / MV skid</t>
        </is>
      </c>
      <c r="I3872" s="12" t="inlineStr">
        <is>
          <t>Instrumentation</t>
        </is>
      </c>
      <c r="J3872" s="12" t="inlineStr">
        <is>
          <t>Instrumentation PLTC / TC-ER 300 V, #18 twisted shielded pairs, overall shield</t>
        </is>
      </c>
      <c r="K3872" s="12" t="inlineStr">
        <is>
          <t>PLTC|1 pr|16</t>
        </is>
      </c>
      <c r="L3872" s="12" t="inlineStr">
        <is>
          <t>1 pr</t>
        </is>
      </c>
      <c r="M3872" s="12" t="inlineStr">
        <is>
          <t>16</t>
        </is>
      </c>
      <c r="N3872" s="12" t="n">
        <v>10</v>
      </c>
      <c r="O3872" s="12" t="n">
        <v>1</v>
      </c>
      <c r="P3872" s="12" t="n"/>
      <c r="Q3872" s="12" t="n"/>
      <c r="R3872" s="12" t="n"/>
      <c r="S3872" s="12" t="inlineStr">
        <is>
          <t>Tray / conduit</t>
        </is>
      </c>
      <c r="T3872" s="16" t="n">
        <v>43</v>
      </c>
      <c r="U3872" s="16" t="n">
        <v>10</v>
      </c>
      <c r="V3872" s="16">
        <f>ROUNDUP((T3872+U3872+2*'Read Me'!$B$13)*(1+'Read Me'!$B$12),-1)</f>
        <v/>
      </c>
      <c r="W3872" s="16">
        <f>V3872*N3872*O3872</f>
        <v/>
      </c>
      <c r="X3872" s="12">
        <f>IF(LEFT(I3872,2)="MV",2*N3872*IF(L3872="1/C",O3872,1),0)</f>
        <v/>
      </c>
      <c r="Y3872" s="12">
        <f>IF(OR(LEFT(K3872,4)="LVAX",LEFT(K3872,6)="MV15AX",LEFT(K3872,4)="CTAX",LEFT(K3872,2)="W|"),2*N3872*O3872,0)</f>
        <v/>
      </c>
      <c r="Z3872" s="12" t="inlineStr">
        <is>
          <t>device-to-JB field wiring, one cable per device</t>
        </is>
      </c>
      <c r="AA3872" s="12">
        <f>N3872*O3872</f>
        <v/>
      </c>
    </row>
    <row r="3873">
      <c r="A3873" s="12" t="inlineStr">
        <is>
          <t>H-I-0032</t>
        </is>
      </c>
      <c r="B3873" s="12" t="inlineStr">
        <is>
          <t>H</t>
        </is>
      </c>
      <c r="C3873" s="12" t="inlineStr">
        <is>
          <t>BESS</t>
        </is>
      </c>
      <c r="D3873" s="12" t="inlineStr">
        <is>
          <t>Home run JB-BESS PCS / MV skid-DI01 to the control / marshalling room</t>
        </is>
      </c>
      <c r="E3873" s="12" t="inlineStr"/>
      <c r="F3873" s="12" t="inlineStr">
        <is>
          <t>BESS EMS / SCADA and revenue metering</t>
        </is>
      </c>
      <c r="G3873" s="12" t="inlineStr">
        <is>
          <t>JB-BESS PCS / MV skid-DI01</t>
        </is>
      </c>
      <c r="H3873" s="12" t="inlineStr">
        <is>
          <t>BESS PCS / MV skid</t>
        </is>
      </c>
      <c r="I3873" s="12" t="inlineStr">
        <is>
          <t>Instrumentation</t>
        </is>
      </c>
      <c r="J3873" s="12" t="inlineStr">
        <is>
          <t>Instrumentation PLTC / TC-ER 300 V, #18 twisted shielded pairs, overall shield</t>
        </is>
      </c>
      <c r="K3873" s="12" t="inlineStr">
        <is>
          <t>PLTC|24 pr|18</t>
        </is>
      </c>
      <c r="L3873" s="12" t="inlineStr">
        <is>
          <t>24 pr</t>
        </is>
      </c>
      <c r="M3873" s="12" t="inlineStr">
        <is>
          <t>18</t>
        </is>
      </c>
      <c r="N3873" s="12" t="n">
        <v>1</v>
      </c>
      <c r="O3873" s="12" t="n">
        <v>1</v>
      </c>
      <c r="P3873" s="12" t="n"/>
      <c r="Q3873" s="12" t="n"/>
      <c r="R3873" s="12" t="n"/>
      <c r="S3873" s="12" t="inlineStr">
        <is>
          <t>Duct bank</t>
        </is>
      </c>
      <c r="T3873" s="16" t="n">
        <v>160</v>
      </c>
      <c r="U3873" s="16" t="n">
        <v>239</v>
      </c>
      <c r="V3873" s="16">
        <f>ROUNDUP((T3873+U3873+2*'Read Me'!$B$13)*(1+'Read Me'!$B$12),-1)</f>
        <v/>
      </c>
      <c r="W3873" s="16">
        <f>V3873*N3873*O3873</f>
        <v/>
      </c>
      <c r="X3873" s="12">
        <f>IF(LEFT(I3873,2)="MV",2*N3873*IF(L3873="1/C",O3873,1),0)</f>
        <v/>
      </c>
      <c r="Y3873" s="12">
        <f>IF(OR(LEFT(K3873,4)="LVAX",LEFT(K3873,6)="MV15AX",LEFT(K3873,4)="CTAX",LEFT(K3873,2)="W|"),2*N3873*O3873,0)</f>
        <v/>
      </c>
      <c r="Z3873" s="12" t="inlineStr"/>
      <c r="AA3873" s="12">
        <f>N3873*O3873</f>
        <v/>
      </c>
    </row>
    <row r="3874">
      <c r="A3874" s="12" t="inlineStr">
        <is>
          <t>H-I-0033</t>
        </is>
      </c>
      <c r="B3874" s="12" t="inlineStr">
        <is>
          <t>H</t>
        </is>
      </c>
      <c r="C3874" s="12" t="inlineStr">
        <is>
          <t>BESS</t>
        </is>
      </c>
      <c r="D3874" s="12" t="inlineStr">
        <is>
          <t>Analog instrument to JB JB-BESS PCS / MV skid-AI01: 6 x 1 pr (field cables)</t>
        </is>
      </c>
      <c r="E3874" s="12" t="inlineStr"/>
      <c r="F3874" s="12" t="inlineStr">
        <is>
          <t>BESS PCS / MV skid</t>
        </is>
      </c>
      <c r="G3874" s="12" t="inlineStr">
        <is>
          <t>JB-BESS PCS / MV skid-AI01</t>
        </is>
      </c>
      <c r="H3874" s="12" t="inlineStr">
        <is>
          <t>BESS PCS / MV skid</t>
        </is>
      </c>
      <c r="I3874" s="12" t="inlineStr">
        <is>
          <t>Instrumentation</t>
        </is>
      </c>
      <c r="J3874" s="12" t="inlineStr">
        <is>
          <t>Instrumentation PLTC / TC-ER 300 V, #18 twisted shielded pairs, overall shield</t>
        </is>
      </c>
      <c r="K3874" s="12" t="inlineStr">
        <is>
          <t>PLTC|1 pr|16</t>
        </is>
      </c>
      <c r="L3874" s="12" t="inlineStr">
        <is>
          <t>1 pr</t>
        </is>
      </c>
      <c r="M3874" s="12" t="inlineStr">
        <is>
          <t>16</t>
        </is>
      </c>
      <c r="N3874" s="12" t="n">
        <v>6</v>
      </c>
      <c r="O3874" s="12" t="n">
        <v>1</v>
      </c>
      <c r="P3874" s="12" t="n"/>
      <c r="Q3874" s="12" t="n"/>
      <c r="R3874" s="12" t="n"/>
      <c r="S3874" s="12" t="inlineStr">
        <is>
          <t>Tray / conduit</t>
        </is>
      </c>
      <c r="T3874" s="16" t="n">
        <v>43</v>
      </c>
      <c r="U3874" s="16" t="n">
        <v>10</v>
      </c>
      <c r="V3874" s="16">
        <f>ROUNDUP((T3874+U3874+2*'Read Me'!$B$13)*(1+'Read Me'!$B$12),-1)</f>
        <v/>
      </c>
      <c r="W3874" s="16">
        <f>V3874*N3874*O3874</f>
        <v/>
      </c>
      <c r="X3874" s="12">
        <f>IF(LEFT(I3874,2)="MV",2*N3874*IF(L3874="1/C",O3874,1),0)</f>
        <v/>
      </c>
      <c r="Y3874" s="12">
        <f>IF(OR(LEFT(K3874,4)="LVAX",LEFT(K3874,6)="MV15AX",LEFT(K3874,4)="CTAX",LEFT(K3874,2)="W|"),2*N3874*O3874,0)</f>
        <v/>
      </c>
      <c r="Z3874" s="12" t="inlineStr">
        <is>
          <t>device-to-JB field wiring, one cable per device</t>
        </is>
      </c>
      <c r="AA3874" s="12">
        <f>N3874*O3874</f>
        <v/>
      </c>
    </row>
    <row r="3875">
      <c r="A3875" s="12" t="inlineStr">
        <is>
          <t>H-I-0034</t>
        </is>
      </c>
      <c r="B3875" s="12" t="inlineStr">
        <is>
          <t>H</t>
        </is>
      </c>
      <c r="C3875" s="12" t="inlineStr">
        <is>
          <t>BESS</t>
        </is>
      </c>
      <c r="D3875" s="12" t="inlineStr">
        <is>
          <t>Home run JB-BESS PCS / MV skid-AI01 to the control / marshalling room</t>
        </is>
      </c>
      <c r="E3875" s="12" t="inlineStr"/>
      <c r="F3875" s="12" t="inlineStr">
        <is>
          <t>BESS EMS / SCADA and revenue metering</t>
        </is>
      </c>
      <c r="G3875" s="12" t="inlineStr">
        <is>
          <t>JB-BESS PCS / MV skid-AI01</t>
        </is>
      </c>
      <c r="H3875" s="12" t="inlineStr">
        <is>
          <t>BESS PCS / MV skid</t>
        </is>
      </c>
      <c r="I3875" s="12" t="inlineStr">
        <is>
          <t>Instrumentation</t>
        </is>
      </c>
      <c r="J3875" s="12" t="inlineStr">
        <is>
          <t>Instrumentation PLTC / TC-ER 300 V, #18 twisted shielded pairs, overall shield</t>
        </is>
      </c>
      <c r="K3875" s="12" t="inlineStr">
        <is>
          <t>PLTC|24 pr|18</t>
        </is>
      </c>
      <c r="L3875" s="12" t="inlineStr">
        <is>
          <t>24 pr</t>
        </is>
      </c>
      <c r="M3875" s="12" t="inlineStr">
        <is>
          <t>18</t>
        </is>
      </c>
      <c r="N3875" s="12" t="n">
        <v>1</v>
      </c>
      <c r="O3875" s="12" t="n">
        <v>1</v>
      </c>
      <c r="P3875" s="12" t="n"/>
      <c r="Q3875" s="12" t="n"/>
      <c r="R3875" s="12" t="n"/>
      <c r="S3875" s="12" t="inlineStr">
        <is>
          <t>Duct bank</t>
        </is>
      </c>
      <c r="T3875" s="16" t="n">
        <v>336</v>
      </c>
      <c r="U3875" s="16" t="n">
        <v>149</v>
      </c>
      <c r="V3875" s="16">
        <f>ROUNDUP((T3875+U3875+2*'Read Me'!$B$13)*(1+'Read Me'!$B$12),-1)</f>
        <v/>
      </c>
      <c r="W3875" s="16">
        <f>V3875*N3875*O3875</f>
        <v/>
      </c>
      <c r="X3875" s="12">
        <f>IF(LEFT(I3875,2)="MV",2*N3875*IF(L3875="1/C",O3875,1),0)</f>
        <v/>
      </c>
      <c r="Y3875" s="12">
        <f>IF(OR(LEFT(K3875,4)="LVAX",LEFT(K3875,6)="MV15AX",LEFT(K3875,4)="CTAX",LEFT(K3875,2)="W|"),2*N3875*O3875,0)</f>
        <v/>
      </c>
      <c r="Z3875" s="12" t="inlineStr"/>
      <c r="AA3875" s="12">
        <f>N3875*O3875</f>
        <v/>
      </c>
    </row>
    <row r="3876">
      <c r="A3876" s="12" t="inlineStr">
        <is>
          <t>H-I-0035</t>
        </is>
      </c>
      <c r="B3876" s="12" t="inlineStr">
        <is>
          <t>H</t>
        </is>
      </c>
      <c r="C3876" s="12" t="inlineStr">
        <is>
          <t>BESS</t>
        </is>
      </c>
      <c r="D3876" s="12" t="inlineStr">
        <is>
          <t>Discrete device to JB JB-BESS PCS / MV skid-DI01: 10 x 1 pr (field cables)</t>
        </is>
      </c>
      <c r="E3876" s="12" t="inlineStr"/>
      <c r="F3876" s="12" t="inlineStr">
        <is>
          <t>BESS PCS / MV skid</t>
        </is>
      </c>
      <c r="G3876" s="12" t="inlineStr">
        <is>
          <t>JB-BESS PCS / MV skid-DI01</t>
        </is>
      </c>
      <c r="H3876" s="12" t="inlineStr">
        <is>
          <t>BESS PCS / MV skid</t>
        </is>
      </c>
      <c r="I3876" s="12" t="inlineStr">
        <is>
          <t>Instrumentation</t>
        </is>
      </c>
      <c r="J3876" s="12" t="inlineStr">
        <is>
          <t>Instrumentation PLTC / TC-ER 300 V, #18 twisted shielded pairs, overall shield</t>
        </is>
      </c>
      <c r="K3876" s="12" t="inlineStr">
        <is>
          <t>PLTC|1 pr|16</t>
        </is>
      </c>
      <c r="L3876" s="12" t="inlineStr">
        <is>
          <t>1 pr</t>
        </is>
      </c>
      <c r="M3876" s="12" t="inlineStr">
        <is>
          <t>16</t>
        </is>
      </c>
      <c r="N3876" s="12" t="n">
        <v>10</v>
      </c>
      <c r="O3876" s="12" t="n">
        <v>1</v>
      </c>
      <c r="P3876" s="12" t="n"/>
      <c r="Q3876" s="12" t="n"/>
      <c r="R3876" s="12" t="n"/>
      <c r="S3876" s="12" t="inlineStr">
        <is>
          <t>Tray / conduit</t>
        </is>
      </c>
      <c r="T3876" s="16" t="n">
        <v>43</v>
      </c>
      <c r="U3876" s="16" t="n">
        <v>10</v>
      </c>
      <c r="V3876" s="16">
        <f>ROUNDUP((T3876+U3876+2*'Read Me'!$B$13)*(1+'Read Me'!$B$12),-1)</f>
        <v/>
      </c>
      <c r="W3876" s="16">
        <f>V3876*N3876*O3876</f>
        <v/>
      </c>
      <c r="X3876" s="12">
        <f>IF(LEFT(I3876,2)="MV",2*N3876*IF(L3876="1/C",O3876,1),0)</f>
        <v/>
      </c>
      <c r="Y3876" s="12">
        <f>IF(OR(LEFT(K3876,4)="LVAX",LEFT(K3876,6)="MV15AX",LEFT(K3876,4)="CTAX",LEFT(K3876,2)="W|"),2*N3876*O3876,0)</f>
        <v/>
      </c>
      <c r="Z3876" s="12" t="inlineStr">
        <is>
          <t>device-to-JB field wiring, one cable per device</t>
        </is>
      </c>
      <c r="AA3876" s="12">
        <f>N3876*O3876</f>
        <v/>
      </c>
    </row>
    <row r="3877">
      <c r="A3877" s="12" t="inlineStr">
        <is>
          <t>H-I-0036</t>
        </is>
      </c>
      <c r="B3877" s="12" t="inlineStr">
        <is>
          <t>H</t>
        </is>
      </c>
      <c r="C3877" s="12" t="inlineStr">
        <is>
          <t>BESS</t>
        </is>
      </c>
      <c r="D3877" s="12" t="inlineStr">
        <is>
          <t>Home run JB-BESS PCS / MV skid-DI01 to the control / marshalling room</t>
        </is>
      </c>
      <c r="E3877" s="12" t="inlineStr"/>
      <c r="F3877" s="12" t="inlineStr">
        <is>
          <t>BESS EMS / SCADA and revenue metering</t>
        </is>
      </c>
      <c r="G3877" s="12" t="inlineStr">
        <is>
          <t>JB-BESS PCS / MV skid-DI01</t>
        </is>
      </c>
      <c r="H3877" s="12" t="inlineStr">
        <is>
          <t>BESS PCS / MV skid</t>
        </is>
      </c>
      <c r="I3877" s="12" t="inlineStr">
        <is>
          <t>Instrumentation</t>
        </is>
      </c>
      <c r="J3877" s="12" t="inlineStr">
        <is>
          <t>Instrumentation PLTC / TC-ER 300 V, #18 twisted shielded pairs, overall shield</t>
        </is>
      </c>
      <c r="K3877" s="12" t="inlineStr">
        <is>
          <t>PLTC|24 pr|18</t>
        </is>
      </c>
      <c r="L3877" s="12" t="inlineStr">
        <is>
          <t>24 pr</t>
        </is>
      </c>
      <c r="M3877" s="12" t="inlineStr">
        <is>
          <t>18</t>
        </is>
      </c>
      <c r="N3877" s="12" t="n">
        <v>1</v>
      </c>
      <c r="O3877" s="12" t="n">
        <v>1</v>
      </c>
      <c r="P3877" s="12" t="n"/>
      <c r="Q3877" s="12" t="n"/>
      <c r="R3877" s="12" t="n"/>
      <c r="S3877" s="12" t="inlineStr">
        <is>
          <t>Duct bank</t>
        </is>
      </c>
      <c r="T3877" s="16" t="n">
        <v>336</v>
      </c>
      <c r="U3877" s="16" t="n">
        <v>149</v>
      </c>
      <c r="V3877" s="16">
        <f>ROUNDUP((T3877+U3877+2*'Read Me'!$B$13)*(1+'Read Me'!$B$12),-1)</f>
        <v/>
      </c>
      <c r="W3877" s="16">
        <f>V3877*N3877*O3877</f>
        <v/>
      </c>
      <c r="X3877" s="12">
        <f>IF(LEFT(I3877,2)="MV",2*N3877*IF(L3877="1/C",O3877,1),0)</f>
        <v/>
      </c>
      <c r="Y3877" s="12">
        <f>IF(OR(LEFT(K3877,4)="LVAX",LEFT(K3877,6)="MV15AX",LEFT(K3877,4)="CTAX",LEFT(K3877,2)="W|"),2*N3877*O3877,0)</f>
        <v/>
      </c>
      <c r="Z3877" s="12" t="inlineStr"/>
      <c r="AA3877" s="12">
        <f>N3877*O3877</f>
        <v/>
      </c>
    </row>
    <row r="3878">
      <c r="A3878" s="12" t="inlineStr">
        <is>
          <t>H-I-0037</t>
        </is>
      </c>
      <c r="B3878" s="12" t="inlineStr">
        <is>
          <t>H</t>
        </is>
      </c>
      <c r="C3878" s="12" t="inlineStr">
        <is>
          <t>BESS</t>
        </is>
      </c>
      <c r="D3878" s="12" t="inlineStr">
        <is>
          <t>Analog instrument to JB JB-BESS PCS / MV skid-AI01: 6 x 1 pr (field cables)</t>
        </is>
      </c>
      <c r="E3878" s="12" t="inlineStr"/>
      <c r="F3878" s="12" t="inlineStr">
        <is>
          <t>BESS PCS / MV skid</t>
        </is>
      </c>
      <c r="G3878" s="12" t="inlineStr">
        <is>
          <t>JB-BESS PCS / MV skid-AI01</t>
        </is>
      </c>
      <c r="H3878" s="12" t="inlineStr">
        <is>
          <t>BESS PCS / MV skid</t>
        </is>
      </c>
      <c r="I3878" s="12" t="inlineStr">
        <is>
          <t>Instrumentation</t>
        </is>
      </c>
      <c r="J3878" s="12" t="inlineStr">
        <is>
          <t>Instrumentation PLTC / TC-ER 300 V, #18 twisted shielded pairs, overall shield</t>
        </is>
      </c>
      <c r="K3878" s="12" t="inlineStr">
        <is>
          <t>PLTC|1 pr|16</t>
        </is>
      </c>
      <c r="L3878" s="12" t="inlineStr">
        <is>
          <t>1 pr</t>
        </is>
      </c>
      <c r="M3878" s="12" t="inlineStr">
        <is>
          <t>16</t>
        </is>
      </c>
      <c r="N3878" s="12" t="n">
        <v>6</v>
      </c>
      <c r="O3878" s="12" t="n">
        <v>1</v>
      </c>
      <c r="P3878" s="12" t="n"/>
      <c r="Q3878" s="12" t="n"/>
      <c r="R3878" s="12" t="n"/>
      <c r="S3878" s="12" t="inlineStr">
        <is>
          <t>Tray / conduit</t>
        </is>
      </c>
      <c r="T3878" s="16" t="n">
        <v>43</v>
      </c>
      <c r="U3878" s="16" t="n">
        <v>10</v>
      </c>
      <c r="V3878" s="16">
        <f>ROUNDUP((T3878+U3878+2*'Read Me'!$B$13)*(1+'Read Me'!$B$12),-1)</f>
        <v/>
      </c>
      <c r="W3878" s="16">
        <f>V3878*N3878*O3878</f>
        <v/>
      </c>
      <c r="X3878" s="12">
        <f>IF(LEFT(I3878,2)="MV",2*N3878*IF(L3878="1/C",O3878,1),0)</f>
        <v/>
      </c>
      <c r="Y3878" s="12">
        <f>IF(OR(LEFT(K3878,4)="LVAX",LEFT(K3878,6)="MV15AX",LEFT(K3878,4)="CTAX",LEFT(K3878,2)="W|"),2*N3878*O3878,0)</f>
        <v/>
      </c>
      <c r="Z3878" s="12" t="inlineStr">
        <is>
          <t>device-to-JB field wiring, one cable per device</t>
        </is>
      </c>
      <c r="AA3878" s="12">
        <f>N3878*O3878</f>
        <v/>
      </c>
    </row>
    <row r="3879">
      <c r="A3879" s="12" t="inlineStr">
        <is>
          <t>H-I-0038</t>
        </is>
      </c>
      <c r="B3879" s="12" t="inlineStr">
        <is>
          <t>H</t>
        </is>
      </c>
      <c r="C3879" s="12" t="inlineStr">
        <is>
          <t>BESS</t>
        </is>
      </c>
      <c r="D3879" s="12" t="inlineStr">
        <is>
          <t>Home run JB-BESS PCS / MV skid-AI01 to the control / marshalling room</t>
        </is>
      </c>
      <c r="E3879" s="12" t="inlineStr"/>
      <c r="F3879" s="12" t="inlineStr">
        <is>
          <t>BESS EMS / SCADA and revenue metering</t>
        </is>
      </c>
      <c r="G3879" s="12" t="inlineStr">
        <is>
          <t>JB-BESS PCS / MV skid-AI01</t>
        </is>
      </c>
      <c r="H3879" s="12" t="inlineStr">
        <is>
          <t>BESS PCS / MV skid</t>
        </is>
      </c>
      <c r="I3879" s="12" t="inlineStr">
        <is>
          <t>Instrumentation</t>
        </is>
      </c>
      <c r="J3879" s="12" t="inlineStr">
        <is>
          <t>Instrumentation PLTC / TC-ER 300 V, #18 twisted shielded pairs, overall shield</t>
        </is>
      </c>
      <c r="K3879" s="12" t="inlineStr">
        <is>
          <t>PLTC|24 pr|18</t>
        </is>
      </c>
      <c r="L3879" s="12" t="inlineStr">
        <is>
          <t>24 pr</t>
        </is>
      </c>
      <c r="M3879" s="12" t="inlineStr">
        <is>
          <t>18</t>
        </is>
      </c>
      <c r="N3879" s="12" t="n">
        <v>1</v>
      </c>
      <c r="O3879" s="12" t="n">
        <v>1</v>
      </c>
      <c r="P3879" s="12" t="n"/>
      <c r="Q3879" s="12" t="n"/>
      <c r="R3879" s="12" t="n"/>
      <c r="S3879" s="12" t="inlineStr">
        <is>
          <t>Duct bank</t>
        </is>
      </c>
      <c r="T3879" s="16" t="n">
        <v>602</v>
      </c>
      <c r="U3879" s="16" t="n">
        <v>91</v>
      </c>
      <c r="V3879" s="16">
        <f>ROUNDUP((T3879+U3879+2*'Read Me'!$B$13)*(1+'Read Me'!$B$12),-1)</f>
        <v/>
      </c>
      <c r="W3879" s="16">
        <f>V3879*N3879*O3879</f>
        <v/>
      </c>
      <c r="X3879" s="12">
        <f>IF(LEFT(I3879,2)="MV",2*N3879*IF(L3879="1/C",O3879,1),0)</f>
        <v/>
      </c>
      <c r="Y3879" s="12">
        <f>IF(OR(LEFT(K3879,4)="LVAX",LEFT(K3879,6)="MV15AX",LEFT(K3879,4)="CTAX",LEFT(K3879,2)="W|"),2*N3879*O3879,0)</f>
        <v/>
      </c>
      <c r="Z3879" s="12" t="inlineStr"/>
      <c r="AA3879" s="12">
        <f>N3879*O3879</f>
        <v/>
      </c>
    </row>
    <row r="3880">
      <c r="A3880" s="12" t="inlineStr">
        <is>
          <t>H-I-0039</t>
        </is>
      </c>
      <c r="B3880" s="12" t="inlineStr">
        <is>
          <t>H</t>
        </is>
      </c>
      <c r="C3880" s="12" t="inlineStr">
        <is>
          <t>BESS</t>
        </is>
      </c>
      <c r="D3880" s="12" t="inlineStr">
        <is>
          <t>Discrete device to JB JB-BESS PCS / MV skid-DI01: 10 x 1 pr (field cables)</t>
        </is>
      </c>
      <c r="E3880" s="12" t="inlineStr"/>
      <c r="F3880" s="12" t="inlineStr">
        <is>
          <t>BESS PCS / MV skid</t>
        </is>
      </c>
      <c r="G3880" s="12" t="inlineStr">
        <is>
          <t>JB-BESS PCS / MV skid-DI01</t>
        </is>
      </c>
      <c r="H3880" s="12" t="inlineStr">
        <is>
          <t>BESS PCS / MV skid</t>
        </is>
      </c>
      <c r="I3880" s="12" t="inlineStr">
        <is>
          <t>Instrumentation</t>
        </is>
      </c>
      <c r="J3880" s="12" t="inlineStr">
        <is>
          <t>Instrumentation PLTC / TC-ER 300 V, #18 twisted shielded pairs, overall shield</t>
        </is>
      </c>
      <c r="K3880" s="12" t="inlineStr">
        <is>
          <t>PLTC|1 pr|16</t>
        </is>
      </c>
      <c r="L3880" s="12" t="inlineStr">
        <is>
          <t>1 pr</t>
        </is>
      </c>
      <c r="M3880" s="12" t="inlineStr">
        <is>
          <t>16</t>
        </is>
      </c>
      <c r="N3880" s="12" t="n">
        <v>10</v>
      </c>
      <c r="O3880" s="12" t="n">
        <v>1</v>
      </c>
      <c r="P3880" s="12" t="n"/>
      <c r="Q3880" s="12" t="n"/>
      <c r="R3880" s="12" t="n"/>
      <c r="S3880" s="12" t="inlineStr">
        <is>
          <t>Tray / conduit</t>
        </is>
      </c>
      <c r="T3880" s="16" t="n">
        <v>43</v>
      </c>
      <c r="U3880" s="16" t="n">
        <v>10</v>
      </c>
      <c r="V3880" s="16">
        <f>ROUNDUP((T3880+U3880+2*'Read Me'!$B$13)*(1+'Read Me'!$B$12),-1)</f>
        <v/>
      </c>
      <c r="W3880" s="16">
        <f>V3880*N3880*O3880</f>
        <v/>
      </c>
      <c r="X3880" s="12">
        <f>IF(LEFT(I3880,2)="MV",2*N3880*IF(L3880="1/C",O3880,1),0)</f>
        <v/>
      </c>
      <c r="Y3880" s="12">
        <f>IF(OR(LEFT(K3880,4)="LVAX",LEFT(K3880,6)="MV15AX",LEFT(K3880,4)="CTAX",LEFT(K3880,2)="W|"),2*N3880*O3880,0)</f>
        <v/>
      </c>
      <c r="Z3880" s="12" t="inlineStr">
        <is>
          <t>device-to-JB field wiring, one cable per device</t>
        </is>
      </c>
      <c r="AA3880" s="12">
        <f>N3880*O3880</f>
        <v/>
      </c>
    </row>
    <row r="3881">
      <c r="A3881" s="12" t="inlineStr">
        <is>
          <t>H-I-0040</t>
        </is>
      </c>
      <c r="B3881" s="12" t="inlineStr">
        <is>
          <t>H</t>
        </is>
      </c>
      <c r="C3881" s="12" t="inlineStr">
        <is>
          <t>BESS</t>
        </is>
      </c>
      <c r="D3881" s="12" t="inlineStr">
        <is>
          <t>Home run JB-BESS PCS / MV skid-DI01 to the control / marshalling room</t>
        </is>
      </c>
      <c r="E3881" s="12" t="inlineStr"/>
      <c r="F3881" s="12" t="inlineStr">
        <is>
          <t>BESS EMS / SCADA and revenue metering</t>
        </is>
      </c>
      <c r="G3881" s="12" t="inlineStr">
        <is>
          <t>JB-BESS PCS / MV skid-DI01</t>
        </is>
      </c>
      <c r="H3881" s="12" t="inlineStr">
        <is>
          <t>BESS PCS / MV skid</t>
        </is>
      </c>
      <c r="I3881" s="12" t="inlineStr">
        <is>
          <t>Instrumentation</t>
        </is>
      </c>
      <c r="J3881" s="12" t="inlineStr">
        <is>
          <t>Instrumentation PLTC / TC-ER 300 V, #18 twisted shielded pairs, overall shield</t>
        </is>
      </c>
      <c r="K3881" s="12" t="inlineStr">
        <is>
          <t>PLTC|24 pr|18</t>
        </is>
      </c>
      <c r="L3881" s="12" t="inlineStr">
        <is>
          <t>24 pr</t>
        </is>
      </c>
      <c r="M3881" s="12" t="inlineStr">
        <is>
          <t>18</t>
        </is>
      </c>
      <c r="N3881" s="12" t="n">
        <v>1</v>
      </c>
      <c r="O3881" s="12" t="n">
        <v>1</v>
      </c>
      <c r="P3881" s="12" t="n"/>
      <c r="Q3881" s="12" t="n"/>
      <c r="R3881" s="12" t="n"/>
      <c r="S3881" s="12" t="inlineStr">
        <is>
          <t>Duct bank</t>
        </is>
      </c>
      <c r="T3881" s="16" t="n">
        <v>602</v>
      </c>
      <c r="U3881" s="16" t="n">
        <v>91</v>
      </c>
      <c r="V3881" s="16">
        <f>ROUNDUP((T3881+U3881+2*'Read Me'!$B$13)*(1+'Read Me'!$B$12),-1)</f>
        <v/>
      </c>
      <c r="W3881" s="16">
        <f>V3881*N3881*O3881</f>
        <v/>
      </c>
      <c r="X3881" s="12">
        <f>IF(LEFT(I3881,2)="MV",2*N3881*IF(L3881="1/C",O3881,1),0)</f>
        <v/>
      </c>
      <c r="Y3881" s="12">
        <f>IF(OR(LEFT(K3881,4)="LVAX",LEFT(K3881,6)="MV15AX",LEFT(K3881,4)="CTAX",LEFT(K3881,2)="W|"),2*N3881*O3881,0)</f>
        <v/>
      </c>
      <c r="Z3881" s="12" t="inlineStr"/>
      <c r="AA3881" s="12">
        <f>N3881*O3881</f>
        <v/>
      </c>
    </row>
    <row r="3882">
      <c r="A3882" s="12" t="inlineStr">
        <is>
          <t>H-I-0041</t>
        </is>
      </c>
      <c r="B3882" s="12" t="inlineStr">
        <is>
          <t>H</t>
        </is>
      </c>
      <c r="C3882" s="12" t="inlineStr">
        <is>
          <t>BESS</t>
        </is>
      </c>
      <c r="D3882" s="12" t="inlineStr">
        <is>
          <t>Analog instrument to JB JB-BESS PCS / MV skid-AI01: 6 x 1 pr (field cables)</t>
        </is>
      </c>
      <c r="E3882" s="12" t="inlineStr"/>
      <c r="F3882" s="12" t="inlineStr">
        <is>
          <t>BESS PCS / MV skid</t>
        </is>
      </c>
      <c r="G3882" s="12" t="inlineStr">
        <is>
          <t>JB-BESS PCS / MV skid-AI01</t>
        </is>
      </c>
      <c r="H3882" s="12" t="inlineStr">
        <is>
          <t>BESS PCS / MV skid</t>
        </is>
      </c>
      <c r="I3882" s="12" t="inlineStr">
        <is>
          <t>Instrumentation</t>
        </is>
      </c>
      <c r="J3882" s="12" t="inlineStr">
        <is>
          <t>Instrumentation PLTC / TC-ER 300 V, #18 twisted shielded pairs, overall shield</t>
        </is>
      </c>
      <c r="K3882" s="12" t="inlineStr">
        <is>
          <t>PLTC|1 pr|16</t>
        </is>
      </c>
      <c r="L3882" s="12" t="inlineStr">
        <is>
          <t>1 pr</t>
        </is>
      </c>
      <c r="M3882" s="12" t="inlineStr">
        <is>
          <t>16</t>
        </is>
      </c>
      <c r="N3882" s="12" t="n">
        <v>6</v>
      </c>
      <c r="O3882" s="12" t="n">
        <v>1</v>
      </c>
      <c r="P3882" s="12" t="n"/>
      <c r="Q3882" s="12" t="n"/>
      <c r="R3882" s="12" t="n"/>
      <c r="S3882" s="12" t="inlineStr">
        <is>
          <t>Tray / conduit</t>
        </is>
      </c>
      <c r="T3882" s="16" t="n">
        <v>43</v>
      </c>
      <c r="U3882" s="16" t="n">
        <v>10</v>
      </c>
      <c r="V3882" s="16">
        <f>ROUNDUP((T3882+U3882+2*'Read Me'!$B$13)*(1+'Read Me'!$B$12),-1)</f>
        <v/>
      </c>
      <c r="W3882" s="16">
        <f>V3882*N3882*O3882</f>
        <v/>
      </c>
      <c r="X3882" s="12">
        <f>IF(LEFT(I3882,2)="MV",2*N3882*IF(L3882="1/C",O3882,1),0)</f>
        <v/>
      </c>
      <c r="Y3882" s="12">
        <f>IF(OR(LEFT(K3882,4)="LVAX",LEFT(K3882,6)="MV15AX",LEFT(K3882,4)="CTAX",LEFT(K3882,2)="W|"),2*N3882*O3882,0)</f>
        <v/>
      </c>
      <c r="Z3882" s="12" t="inlineStr">
        <is>
          <t>device-to-JB field wiring, one cable per device</t>
        </is>
      </c>
      <c r="AA3882" s="12">
        <f>N3882*O3882</f>
        <v/>
      </c>
    </row>
    <row r="3883">
      <c r="A3883" s="12" t="inlineStr">
        <is>
          <t>H-I-0042</t>
        </is>
      </c>
      <c r="B3883" s="12" t="inlineStr">
        <is>
          <t>H</t>
        </is>
      </c>
      <c r="C3883" s="12" t="inlineStr">
        <is>
          <t>BESS</t>
        </is>
      </c>
      <c r="D3883" s="12" t="inlineStr">
        <is>
          <t>Home run JB-BESS PCS / MV skid-AI01 to the control / marshalling room</t>
        </is>
      </c>
      <c r="E3883" s="12" t="inlineStr"/>
      <c r="F3883" s="12" t="inlineStr">
        <is>
          <t>BESS EMS / SCADA and revenue metering</t>
        </is>
      </c>
      <c r="G3883" s="12" t="inlineStr">
        <is>
          <t>JB-BESS PCS / MV skid-AI01</t>
        </is>
      </c>
      <c r="H3883" s="12" t="inlineStr">
        <is>
          <t>BESS PCS / MV skid</t>
        </is>
      </c>
      <c r="I3883" s="12" t="inlineStr">
        <is>
          <t>Instrumentation</t>
        </is>
      </c>
      <c r="J3883" s="12" t="inlineStr">
        <is>
          <t>Instrumentation PLTC / TC-ER 300 V, #18 twisted shielded pairs, overall shield</t>
        </is>
      </c>
      <c r="K3883" s="12" t="inlineStr">
        <is>
          <t>PLTC|24 pr|18</t>
        </is>
      </c>
      <c r="L3883" s="12" t="inlineStr">
        <is>
          <t>24 pr</t>
        </is>
      </c>
      <c r="M3883" s="12" t="inlineStr">
        <is>
          <t>18</t>
        </is>
      </c>
      <c r="N3883" s="12" t="n">
        <v>1</v>
      </c>
      <c r="O3883" s="12" t="n">
        <v>1</v>
      </c>
      <c r="P3883" s="12" t="n"/>
      <c r="Q3883" s="12" t="n"/>
      <c r="R3883" s="12" t="n"/>
      <c r="S3883" s="12" t="inlineStr">
        <is>
          <t>Duct bank</t>
        </is>
      </c>
      <c r="T3883" s="16" t="n">
        <v>336</v>
      </c>
      <c r="U3883" s="16" t="n">
        <v>211</v>
      </c>
      <c r="V3883" s="16">
        <f>ROUNDUP((T3883+U3883+2*'Read Me'!$B$13)*(1+'Read Me'!$B$12),-1)</f>
        <v/>
      </c>
      <c r="W3883" s="16">
        <f>V3883*N3883*O3883</f>
        <v/>
      </c>
      <c r="X3883" s="12">
        <f>IF(LEFT(I3883,2)="MV",2*N3883*IF(L3883="1/C",O3883,1),0)</f>
        <v/>
      </c>
      <c r="Y3883" s="12">
        <f>IF(OR(LEFT(K3883,4)="LVAX",LEFT(K3883,6)="MV15AX",LEFT(K3883,4)="CTAX",LEFT(K3883,2)="W|"),2*N3883*O3883,0)</f>
        <v/>
      </c>
      <c r="Z3883" s="12" t="inlineStr"/>
      <c r="AA3883" s="12">
        <f>N3883*O3883</f>
        <v/>
      </c>
    </row>
    <row r="3884">
      <c r="A3884" s="12" t="inlineStr">
        <is>
          <t>H-I-0043</t>
        </is>
      </c>
      <c r="B3884" s="12" t="inlineStr">
        <is>
          <t>H</t>
        </is>
      </c>
      <c r="C3884" s="12" t="inlineStr">
        <is>
          <t>BESS</t>
        </is>
      </c>
      <c r="D3884" s="12" t="inlineStr">
        <is>
          <t>Discrete device to JB JB-BESS PCS / MV skid-DI01: 10 x 1 pr (field cables)</t>
        </is>
      </c>
      <c r="E3884" s="12" t="inlineStr"/>
      <c r="F3884" s="12" t="inlineStr">
        <is>
          <t>BESS PCS / MV skid</t>
        </is>
      </c>
      <c r="G3884" s="12" t="inlineStr">
        <is>
          <t>JB-BESS PCS / MV skid-DI01</t>
        </is>
      </c>
      <c r="H3884" s="12" t="inlineStr">
        <is>
          <t>BESS PCS / MV skid</t>
        </is>
      </c>
      <c r="I3884" s="12" t="inlineStr">
        <is>
          <t>Instrumentation</t>
        </is>
      </c>
      <c r="J3884" s="12" t="inlineStr">
        <is>
          <t>Instrumentation PLTC / TC-ER 300 V, #18 twisted shielded pairs, overall shield</t>
        </is>
      </c>
      <c r="K3884" s="12" t="inlineStr">
        <is>
          <t>PLTC|1 pr|16</t>
        </is>
      </c>
      <c r="L3884" s="12" t="inlineStr">
        <is>
          <t>1 pr</t>
        </is>
      </c>
      <c r="M3884" s="12" t="inlineStr">
        <is>
          <t>16</t>
        </is>
      </c>
      <c r="N3884" s="12" t="n">
        <v>10</v>
      </c>
      <c r="O3884" s="12" t="n">
        <v>1</v>
      </c>
      <c r="P3884" s="12" t="n"/>
      <c r="Q3884" s="12" t="n"/>
      <c r="R3884" s="12" t="n"/>
      <c r="S3884" s="12" t="inlineStr">
        <is>
          <t>Tray / conduit</t>
        </is>
      </c>
      <c r="T3884" s="16" t="n">
        <v>43</v>
      </c>
      <c r="U3884" s="16" t="n">
        <v>10</v>
      </c>
      <c r="V3884" s="16">
        <f>ROUNDUP((T3884+U3884+2*'Read Me'!$B$13)*(1+'Read Me'!$B$12),-1)</f>
        <v/>
      </c>
      <c r="W3884" s="16">
        <f>V3884*N3884*O3884</f>
        <v/>
      </c>
      <c r="X3884" s="12">
        <f>IF(LEFT(I3884,2)="MV",2*N3884*IF(L3884="1/C",O3884,1),0)</f>
        <v/>
      </c>
      <c r="Y3884" s="12">
        <f>IF(OR(LEFT(K3884,4)="LVAX",LEFT(K3884,6)="MV15AX",LEFT(K3884,4)="CTAX",LEFT(K3884,2)="W|"),2*N3884*O3884,0)</f>
        <v/>
      </c>
      <c r="Z3884" s="12" t="inlineStr">
        <is>
          <t>device-to-JB field wiring, one cable per device</t>
        </is>
      </c>
      <c r="AA3884" s="12">
        <f>N3884*O3884</f>
        <v/>
      </c>
    </row>
    <row r="3885">
      <c r="A3885" s="12" t="inlineStr">
        <is>
          <t>H-I-0044</t>
        </is>
      </c>
      <c r="B3885" s="12" t="inlineStr">
        <is>
          <t>H</t>
        </is>
      </c>
      <c r="C3885" s="12" t="inlineStr">
        <is>
          <t>BESS</t>
        </is>
      </c>
      <c r="D3885" s="12" t="inlineStr">
        <is>
          <t>Home run JB-BESS PCS / MV skid-DI01 to the control / marshalling room</t>
        </is>
      </c>
      <c r="E3885" s="12" t="inlineStr"/>
      <c r="F3885" s="12" t="inlineStr">
        <is>
          <t>BESS EMS / SCADA and revenue metering</t>
        </is>
      </c>
      <c r="G3885" s="12" t="inlineStr">
        <is>
          <t>JB-BESS PCS / MV skid-DI01</t>
        </is>
      </c>
      <c r="H3885" s="12" t="inlineStr">
        <is>
          <t>BESS PCS / MV skid</t>
        </is>
      </c>
      <c r="I3885" s="12" t="inlineStr">
        <is>
          <t>Instrumentation</t>
        </is>
      </c>
      <c r="J3885" s="12" t="inlineStr">
        <is>
          <t>Instrumentation PLTC / TC-ER 300 V, #18 twisted shielded pairs, overall shield</t>
        </is>
      </c>
      <c r="K3885" s="12" t="inlineStr">
        <is>
          <t>PLTC|24 pr|18</t>
        </is>
      </c>
      <c r="L3885" s="12" t="inlineStr">
        <is>
          <t>24 pr</t>
        </is>
      </c>
      <c r="M3885" s="12" t="inlineStr">
        <is>
          <t>18</t>
        </is>
      </c>
      <c r="N3885" s="12" t="n">
        <v>1</v>
      </c>
      <c r="O3885" s="12" t="n">
        <v>1</v>
      </c>
      <c r="P3885" s="12" t="n"/>
      <c r="Q3885" s="12" t="n"/>
      <c r="R3885" s="12" t="n"/>
      <c r="S3885" s="12" t="inlineStr">
        <is>
          <t>Duct bank</t>
        </is>
      </c>
      <c r="T3885" s="16" t="n">
        <v>336</v>
      </c>
      <c r="U3885" s="16" t="n">
        <v>211</v>
      </c>
      <c r="V3885" s="16">
        <f>ROUNDUP((T3885+U3885+2*'Read Me'!$B$13)*(1+'Read Me'!$B$12),-1)</f>
        <v/>
      </c>
      <c r="W3885" s="16">
        <f>V3885*N3885*O3885</f>
        <v/>
      </c>
      <c r="X3885" s="12">
        <f>IF(LEFT(I3885,2)="MV",2*N3885*IF(L3885="1/C",O3885,1),0)</f>
        <v/>
      </c>
      <c r="Y3885" s="12">
        <f>IF(OR(LEFT(K3885,4)="LVAX",LEFT(K3885,6)="MV15AX",LEFT(K3885,4)="CTAX",LEFT(K3885,2)="W|"),2*N3885*O3885,0)</f>
        <v/>
      </c>
      <c r="Z3885" s="12" t="inlineStr"/>
      <c r="AA3885" s="12">
        <f>N3885*O3885</f>
        <v/>
      </c>
    </row>
    <row r="3886">
      <c r="A3886" s="12" t="inlineStr">
        <is>
          <t>H-I-0045</t>
        </is>
      </c>
      <c r="B3886" s="12" t="inlineStr">
        <is>
          <t>H</t>
        </is>
      </c>
      <c r="C3886" s="12" t="inlineStr">
        <is>
          <t>BESS</t>
        </is>
      </c>
      <c r="D3886" s="12" t="inlineStr">
        <is>
          <t>Analog instrument to JB JB-BESS PCS / MV skid-AI01: 6 x 1 pr (field cables)</t>
        </is>
      </c>
      <c r="E3886" s="12" t="inlineStr"/>
      <c r="F3886" s="12" t="inlineStr">
        <is>
          <t>BESS PCS / MV skid</t>
        </is>
      </c>
      <c r="G3886" s="12" t="inlineStr">
        <is>
          <t>JB-BESS PCS / MV skid-AI01</t>
        </is>
      </c>
      <c r="H3886" s="12" t="inlineStr">
        <is>
          <t>BESS PCS / MV skid</t>
        </is>
      </c>
      <c r="I3886" s="12" t="inlineStr">
        <is>
          <t>Instrumentation</t>
        </is>
      </c>
      <c r="J3886" s="12" t="inlineStr">
        <is>
          <t>Instrumentation PLTC / TC-ER 300 V, #18 twisted shielded pairs, overall shield</t>
        </is>
      </c>
      <c r="K3886" s="12" t="inlineStr">
        <is>
          <t>PLTC|1 pr|16</t>
        </is>
      </c>
      <c r="L3886" s="12" t="inlineStr">
        <is>
          <t>1 pr</t>
        </is>
      </c>
      <c r="M3886" s="12" t="inlineStr">
        <is>
          <t>16</t>
        </is>
      </c>
      <c r="N3886" s="12" t="n">
        <v>6</v>
      </c>
      <c r="O3886" s="12" t="n">
        <v>1</v>
      </c>
      <c r="P3886" s="12" t="n"/>
      <c r="Q3886" s="12" t="n"/>
      <c r="R3886" s="12" t="n"/>
      <c r="S3886" s="12" t="inlineStr">
        <is>
          <t>Tray / conduit</t>
        </is>
      </c>
      <c r="T3886" s="16" t="n">
        <v>43</v>
      </c>
      <c r="U3886" s="16" t="n">
        <v>10</v>
      </c>
      <c r="V3886" s="16">
        <f>ROUNDUP((T3886+U3886+2*'Read Me'!$B$13)*(1+'Read Me'!$B$12),-1)</f>
        <v/>
      </c>
      <c r="W3886" s="16">
        <f>V3886*N3886*O3886</f>
        <v/>
      </c>
      <c r="X3886" s="12">
        <f>IF(LEFT(I3886,2)="MV",2*N3886*IF(L3886="1/C",O3886,1),0)</f>
        <v/>
      </c>
      <c r="Y3886" s="12">
        <f>IF(OR(LEFT(K3886,4)="LVAX",LEFT(K3886,6)="MV15AX",LEFT(K3886,4)="CTAX",LEFT(K3886,2)="W|"),2*N3886*O3886,0)</f>
        <v/>
      </c>
      <c r="Z3886" s="12" t="inlineStr">
        <is>
          <t>device-to-JB field wiring, one cable per device</t>
        </is>
      </c>
      <c r="AA3886" s="12">
        <f>N3886*O3886</f>
        <v/>
      </c>
    </row>
    <row r="3887">
      <c r="A3887" s="12" t="inlineStr">
        <is>
          <t>H-I-0046</t>
        </is>
      </c>
      <c r="B3887" s="12" t="inlineStr">
        <is>
          <t>H</t>
        </is>
      </c>
      <c r="C3887" s="12" t="inlineStr">
        <is>
          <t>BESS</t>
        </is>
      </c>
      <c r="D3887" s="12" t="inlineStr">
        <is>
          <t>Home run JB-BESS PCS / MV skid-AI01 to the control / marshalling room</t>
        </is>
      </c>
      <c r="E3887" s="12" t="inlineStr"/>
      <c r="F3887" s="12" t="inlineStr">
        <is>
          <t>BESS EMS / SCADA and revenue metering</t>
        </is>
      </c>
      <c r="G3887" s="12" t="inlineStr">
        <is>
          <t>JB-BESS PCS / MV skid-AI01</t>
        </is>
      </c>
      <c r="H3887" s="12" t="inlineStr">
        <is>
          <t>BESS PCS / MV skid</t>
        </is>
      </c>
      <c r="I3887" s="12" t="inlineStr">
        <is>
          <t>Instrumentation</t>
        </is>
      </c>
      <c r="J3887" s="12" t="inlineStr">
        <is>
          <t>Instrumentation PLTC / TC-ER 300 V, #18 twisted shielded pairs, overall shield</t>
        </is>
      </c>
      <c r="K3887" s="12" t="inlineStr">
        <is>
          <t>PLTC|24 pr|18</t>
        </is>
      </c>
      <c r="L3887" s="12" t="inlineStr">
        <is>
          <t>24 pr</t>
        </is>
      </c>
      <c r="M3887" s="12" t="inlineStr">
        <is>
          <t>18</t>
        </is>
      </c>
      <c r="N3887" s="12" t="n">
        <v>1</v>
      </c>
      <c r="O3887" s="12" t="n">
        <v>1</v>
      </c>
      <c r="P3887" s="12" t="n"/>
      <c r="Q3887" s="12" t="n"/>
      <c r="R3887" s="12" t="n"/>
      <c r="S3887" s="12" t="inlineStr">
        <is>
          <t>Duct bank</t>
        </is>
      </c>
      <c r="T3887" s="16" t="n">
        <v>336</v>
      </c>
      <c r="U3887" s="16" t="n">
        <v>91</v>
      </c>
      <c r="V3887" s="16">
        <f>ROUNDUP((T3887+U3887+2*'Read Me'!$B$13)*(1+'Read Me'!$B$12),-1)</f>
        <v/>
      </c>
      <c r="W3887" s="16">
        <f>V3887*N3887*O3887</f>
        <v/>
      </c>
      <c r="X3887" s="12">
        <f>IF(LEFT(I3887,2)="MV",2*N3887*IF(L3887="1/C",O3887,1),0)</f>
        <v/>
      </c>
      <c r="Y3887" s="12">
        <f>IF(OR(LEFT(K3887,4)="LVAX",LEFT(K3887,6)="MV15AX",LEFT(K3887,4)="CTAX",LEFT(K3887,2)="W|"),2*N3887*O3887,0)</f>
        <v/>
      </c>
      <c r="Z3887" s="12" t="inlineStr"/>
      <c r="AA3887" s="12">
        <f>N3887*O3887</f>
        <v/>
      </c>
    </row>
    <row r="3888">
      <c r="A3888" s="12" t="inlineStr">
        <is>
          <t>H-I-0047</t>
        </is>
      </c>
      <c r="B3888" s="12" t="inlineStr">
        <is>
          <t>H</t>
        </is>
      </c>
      <c r="C3888" s="12" t="inlineStr">
        <is>
          <t>BESS</t>
        </is>
      </c>
      <c r="D3888" s="12" t="inlineStr">
        <is>
          <t>Discrete device to JB JB-BESS PCS / MV skid-DI01: 10 x 1 pr (field cables)</t>
        </is>
      </c>
      <c r="E3888" s="12" t="inlineStr"/>
      <c r="F3888" s="12" t="inlineStr">
        <is>
          <t>BESS PCS / MV skid</t>
        </is>
      </c>
      <c r="G3888" s="12" t="inlineStr">
        <is>
          <t>JB-BESS PCS / MV skid-DI01</t>
        </is>
      </c>
      <c r="H3888" s="12" t="inlineStr">
        <is>
          <t>BESS PCS / MV skid</t>
        </is>
      </c>
      <c r="I3888" s="12" t="inlineStr">
        <is>
          <t>Instrumentation</t>
        </is>
      </c>
      <c r="J3888" s="12" t="inlineStr">
        <is>
          <t>Instrumentation PLTC / TC-ER 300 V, #18 twisted shielded pairs, overall shield</t>
        </is>
      </c>
      <c r="K3888" s="12" t="inlineStr">
        <is>
          <t>PLTC|1 pr|16</t>
        </is>
      </c>
      <c r="L3888" s="12" t="inlineStr">
        <is>
          <t>1 pr</t>
        </is>
      </c>
      <c r="M3888" s="12" t="inlineStr">
        <is>
          <t>16</t>
        </is>
      </c>
      <c r="N3888" s="12" t="n">
        <v>10</v>
      </c>
      <c r="O3888" s="12" t="n">
        <v>1</v>
      </c>
      <c r="P3888" s="12" t="n"/>
      <c r="Q3888" s="12" t="n"/>
      <c r="R3888" s="12" t="n"/>
      <c r="S3888" s="12" t="inlineStr">
        <is>
          <t>Tray / conduit</t>
        </is>
      </c>
      <c r="T3888" s="16" t="n">
        <v>43</v>
      </c>
      <c r="U3888" s="16" t="n">
        <v>10</v>
      </c>
      <c r="V3888" s="16">
        <f>ROUNDUP((T3888+U3888+2*'Read Me'!$B$13)*(1+'Read Me'!$B$12),-1)</f>
        <v/>
      </c>
      <c r="W3888" s="16">
        <f>V3888*N3888*O3888</f>
        <v/>
      </c>
      <c r="X3888" s="12">
        <f>IF(LEFT(I3888,2)="MV",2*N3888*IF(L3888="1/C",O3888,1),0)</f>
        <v/>
      </c>
      <c r="Y3888" s="12">
        <f>IF(OR(LEFT(K3888,4)="LVAX",LEFT(K3888,6)="MV15AX",LEFT(K3888,4)="CTAX",LEFT(K3888,2)="W|"),2*N3888*O3888,0)</f>
        <v/>
      </c>
      <c r="Z3888" s="12" t="inlineStr">
        <is>
          <t>device-to-JB field wiring, one cable per device</t>
        </is>
      </c>
      <c r="AA3888" s="12">
        <f>N3888*O3888</f>
        <v/>
      </c>
    </row>
    <row r="3889">
      <c r="A3889" s="12" t="inlineStr">
        <is>
          <t>H-I-0048</t>
        </is>
      </c>
      <c r="B3889" s="12" t="inlineStr">
        <is>
          <t>H</t>
        </is>
      </c>
      <c r="C3889" s="12" t="inlineStr">
        <is>
          <t>BESS</t>
        </is>
      </c>
      <c r="D3889" s="12" t="inlineStr">
        <is>
          <t>Home run JB-BESS PCS / MV skid-DI01 to the control / marshalling room</t>
        </is>
      </c>
      <c r="E3889" s="12" t="inlineStr"/>
      <c r="F3889" s="12" t="inlineStr">
        <is>
          <t>BESS EMS / SCADA and revenue metering</t>
        </is>
      </c>
      <c r="G3889" s="12" t="inlineStr">
        <is>
          <t>JB-BESS PCS / MV skid-DI01</t>
        </is>
      </c>
      <c r="H3889" s="12" t="inlineStr">
        <is>
          <t>BESS PCS / MV skid</t>
        </is>
      </c>
      <c r="I3889" s="12" t="inlineStr">
        <is>
          <t>Instrumentation</t>
        </is>
      </c>
      <c r="J3889" s="12" t="inlineStr">
        <is>
          <t>Instrumentation PLTC / TC-ER 300 V, #18 twisted shielded pairs, overall shield</t>
        </is>
      </c>
      <c r="K3889" s="12" t="inlineStr">
        <is>
          <t>PLTC|24 pr|18</t>
        </is>
      </c>
      <c r="L3889" s="12" t="inlineStr">
        <is>
          <t>24 pr</t>
        </is>
      </c>
      <c r="M3889" s="12" t="inlineStr">
        <is>
          <t>18</t>
        </is>
      </c>
      <c r="N3889" s="12" t="n">
        <v>1</v>
      </c>
      <c r="O3889" s="12" t="n">
        <v>1</v>
      </c>
      <c r="P3889" s="12" t="n"/>
      <c r="Q3889" s="12" t="n"/>
      <c r="R3889" s="12" t="n"/>
      <c r="S3889" s="12" t="inlineStr">
        <is>
          <t>Duct bank</t>
        </is>
      </c>
      <c r="T3889" s="16" t="n">
        <v>336</v>
      </c>
      <c r="U3889" s="16" t="n">
        <v>91</v>
      </c>
      <c r="V3889" s="16">
        <f>ROUNDUP((T3889+U3889+2*'Read Me'!$B$13)*(1+'Read Me'!$B$12),-1)</f>
        <v/>
      </c>
      <c r="W3889" s="16">
        <f>V3889*N3889*O3889</f>
        <v/>
      </c>
      <c r="X3889" s="12">
        <f>IF(LEFT(I3889,2)="MV",2*N3889*IF(L3889="1/C",O3889,1),0)</f>
        <v/>
      </c>
      <c r="Y3889" s="12">
        <f>IF(OR(LEFT(K3889,4)="LVAX",LEFT(K3889,6)="MV15AX",LEFT(K3889,4)="CTAX",LEFT(K3889,2)="W|"),2*N3889*O3889,0)</f>
        <v/>
      </c>
      <c r="Z3889" s="12" t="inlineStr"/>
      <c r="AA3889" s="12">
        <f>N3889*O3889</f>
        <v/>
      </c>
    </row>
    <row r="3890">
      <c r="A3890" s="12" t="inlineStr">
        <is>
          <t>H-I-0049</t>
        </is>
      </c>
      <c r="B3890" s="12" t="inlineStr">
        <is>
          <t>H</t>
        </is>
      </c>
      <c r="C3890" s="12" t="inlineStr">
        <is>
          <t>BESS</t>
        </is>
      </c>
      <c r="D3890" s="12" t="inlineStr">
        <is>
          <t>Analog instrument to JB JB-BESS PCS / MV skid-AI01: 6 x 1 pr (field cables)</t>
        </is>
      </c>
      <c r="E3890" s="12" t="inlineStr"/>
      <c r="F3890" s="12" t="inlineStr">
        <is>
          <t>BESS PCS / MV skid</t>
        </is>
      </c>
      <c r="G3890" s="12" t="inlineStr">
        <is>
          <t>JB-BESS PCS / MV skid-AI01</t>
        </is>
      </c>
      <c r="H3890" s="12" t="inlineStr">
        <is>
          <t>BESS PCS / MV skid</t>
        </is>
      </c>
      <c r="I3890" s="12" t="inlineStr">
        <is>
          <t>Instrumentation</t>
        </is>
      </c>
      <c r="J3890" s="12" t="inlineStr">
        <is>
          <t>Instrumentation PLTC / TC-ER 300 V, #18 twisted shielded pairs, overall shield</t>
        </is>
      </c>
      <c r="K3890" s="12" t="inlineStr">
        <is>
          <t>PLTC|1 pr|16</t>
        </is>
      </c>
      <c r="L3890" s="12" t="inlineStr">
        <is>
          <t>1 pr</t>
        </is>
      </c>
      <c r="M3890" s="12" t="inlineStr">
        <is>
          <t>16</t>
        </is>
      </c>
      <c r="N3890" s="12" t="n">
        <v>6</v>
      </c>
      <c r="O3890" s="12" t="n">
        <v>1</v>
      </c>
      <c r="P3890" s="12" t="n"/>
      <c r="Q3890" s="12" t="n"/>
      <c r="R3890" s="12" t="n"/>
      <c r="S3890" s="12" t="inlineStr">
        <is>
          <t>Tray / conduit</t>
        </is>
      </c>
      <c r="T3890" s="16" t="n">
        <v>43</v>
      </c>
      <c r="U3890" s="16" t="n">
        <v>10</v>
      </c>
      <c r="V3890" s="16">
        <f>ROUNDUP((T3890+U3890+2*'Read Me'!$B$13)*(1+'Read Me'!$B$12),-1)</f>
        <v/>
      </c>
      <c r="W3890" s="16">
        <f>V3890*N3890*O3890</f>
        <v/>
      </c>
      <c r="X3890" s="12">
        <f>IF(LEFT(I3890,2)="MV",2*N3890*IF(L3890="1/C",O3890,1),0)</f>
        <v/>
      </c>
      <c r="Y3890" s="12">
        <f>IF(OR(LEFT(K3890,4)="LVAX",LEFT(K3890,6)="MV15AX",LEFT(K3890,4)="CTAX",LEFT(K3890,2)="W|"),2*N3890*O3890,0)</f>
        <v/>
      </c>
      <c r="Z3890" s="12" t="inlineStr">
        <is>
          <t>device-to-JB field wiring, one cable per device</t>
        </is>
      </c>
      <c r="AA3890" s="12">
        <f>N3890*O3890</f>
        <v/>
      </c>
    </row>
    <row r="3891">
      <c r="A3891" s="12" t="inlineStr">
        <is>
          <t>H-I-0050</t>
        </is>
      </c>
      <c r="B3891" s="12" t="inlineStr">
        <is>
          <t>H</t>
        </is>
      </c>
      <c r="C3891" s="12" t="inlineStr">
        <is>
          <t>BESS</t>
        </is>
      </c>
      <c r="D3891" s="12" t="inlineStr">
        <is>
          <t>Home run JB-BESS PCS / MV skid-AI01 to the control / marshalling room</t>
        </is>
      </c>
      <c r="E3891" s="12" t="inlineStr"/>
      <c r="F3891" s="12" t="inlineStr">
        <is>
          <t>BESS EMS / SCADA and revenue metering</t>
        </is>
      </c>
      <c r="G3891" s="12" t="inlineStr">
        <is>
          <t>JB-BESS PCS / MV skid-AI01</t>
        </is>
      </c>
      <c r="H3891" s="12" t="inlineStr">
        <is>
          <t>BESS PCS / MV skid</t>
        </is>
      </c>
      <c r="I3891" s="12" t="inlineStr">
        <is>
          <t>Instrumentation</t>
        </is>
      </c>
      <c r="J3891" s="12" t="inlineStr">
        <is>
          <t>Instrumentation PLTC / TC-ER 300 V, #18 twisted shielded pairs, overall shield</t>
        </is>
      </c>
      <c r="K3891" s="12" t="inlineStr">
        <is>
          <t>PLTC|24 pr|18</t>
        </is>
      </c>
      <c r="L3891" s="12" t="inlineStr">
        <is>
          <t>24 pr</t>
        </is>
      </c>
      <c r="M3891" s="12" t="inlineStr">
        <is>
          <t>18</t>
        </is>
      </c>
      <c r="N3891" s="12" t="n">
        <v>1</v>
      </c>
      <c r="O3891" s="12" t="n">
        <v>1</v>
      </c>
      <c r="P3891" s="12" t="n"/>
      <c r="Q3891" s="12" t="n"/>
      <c r="R3891" s="12" t="n"/>
      <c r="S3891" s="12" t="inlineStr">
        <is>
          <t>Duct bank</t>
        </is>
      </c>
      <c r="T3891" s="16" t="n">
        <v>602</v>
      </c>
      <c r="U3891" s="16" t="n">
        <v>37</v>
      </c>
      <c r="V3891" s="16">
        <f>ROUNDUP((T3891+U3891+2*'Read Me'!$B$13)*(1+'Read Me'!$B$12),-1)</f>
        <v/>
      </c>
      <c r="W3891" s="16">
        <f>V3891*N3891*O3891</f>
        <v/>
      </c>
      <c r="X3891" s="12">
        <f>IF(LEFT(I3891,2)="MV",2*N3891*IF(L3891="1/C",O3891,1),0)</f>
        <v/>
      </c>
      <c r="Y3891" s="12">
        <f>IF(OR(LEFT(K3891,4)="LVAX",LEFT(K3891,6)="MV15AX",LEFT(K3891,4)="CTAX",LEFT(K3891,2)="W|"),2*N3891*O3891,0)</f>
        <v/>
      </c>
      <c r="Z3891" s="12" t="inlineStr"/>
      <c r="AA3891" s="12">
        <f>N3891*O3891</f>
        <v/>
      </c>
    </row>
    <row r="3892">
      <c r="A3892" s="12" t="inlineStr">
        <is>
          <t>H-I-0051</t>
        </is>
      </c>
      <c r="B3892" s="12" t="inlineStr">
        <is>
          <t>H</t>
        </is>
      </c>
      <c r="C3892" s="12" t="inlineStr">
        <is>
          <t>BESS</t>
        </is>
      </c>
      <c r="D3892" s="12" t="inlineStr">
        <is>
          <t>Discrete device to JB JB-BESS PCS / MV skid-DI01: 10 x 1 pr (field cables)</t>
        </is>
      </c>
      <c r="E3892" s="12" t="inlineStr"/>
      <c r="F3892" s="12" t="inlineStr">
        <is>
          <t>BESS PCS / MV skid</t>
        </is>
      </c>
      <c r="G3892" s="12" t="inlineStr">
        <is>
          <t>JB-BESS PCS / MV skid-DI01</t>
        </is>
      </c>
      <c r="H3892" s="12" t="inlineStr">
        <is>
          <t>BESS PCS / MV skid</t>
        </is>
      </c>
      <c r="I3892" s="12" t="inlineStr">
        <is>
          <t>Instrumentation</t>
        </is>
      </c>
      <c r="J3892" s="12" t="inlineStr">
        <is>
          <t>Instrumentation PLTC / TC-ER 300 V, #18 twisted shielded pairs, overall shield</t>
        </is>
      </c>
      <c r="K3892" s="12" t="inlineStr">
        <is>
          <t>PLTC|1 pr|16</t>
        </is>
      </c>
      <c r="L3892" s="12" t="inlineStr">
        <is>
          <t>1 pr</t>
        </is>
      </c>
      <c r="M3892" s="12" t="inlineStr">
        <is>
          <t>16</t>
        </is>
      </c>
      <c r="N3892" s="12" t="n">
        <v>10</v>
      </c>
      <c r="O3892" s="12" t="n">
        <v>1</v>
      </c>
      <c r="P3892" s="12" t="n"/>
      <c r="Q3892" s="12" t="n"/>
      <c r="R3892" s="12" t="n"/>
      <c r="S3892" s="12" t="inlineStr">
        <is>
          <t>Tray / conduit</t>
        </is>
      </c>
      <c r="T3892" s="16" t="n">
        <v>43</v>
      </c>
      <c r="U3892" s="16" t="n">
        <v>10</v>
      </c>
      <c r="V3892" s="16">
        <f>ROUNDUP((T3892+U3892+2*'Read Me'!$B$13)*(1+'Read Me'!$B$12),-1)</f>
        <v/>
      </c>
      <c r="W3892" s="16">
        <f>V3892*N3892*O3892</f>
        <v/>
      </c>
      <c r="X3892" s="12">
        <f>IF(LEFT(I3892,2)="MV",2*N3892*IF(L3892="1/C",O3892,1),0)</f>
        <v/>
      </c>
      <c r="Y3892" s="12">
        <f>IF(OR(LEFT(K3892,4)="LVAX",LEFT(K3892,6)="MV15AX",LEFT(K3892,4)="CTAX",LEFT(K3892,2)="W|"),2*N3892*O3892,0)</f>
        <v/>
      </c>
      <c r="Z3892" s="12" t="inlineStr">
        <is>
          <t>device-to-JB field wiring, one cable per device</t>
        </is>
      </c>
      <c r="AA3892" s="12">
        <f>N3892*O3892</f>
        <v/>
      </c>
    </row>
    <row r="3893">
      <c r="A3893" s="12" t="inlineStr">
        <is>
          <t>H-I-0052</t>
        </is>
      </c>
      <c r="B3893" s="12" t="inlineStr">
        <is>
          <t>H</t>
        </is>
      </c>
      <c r="C3893" s="12" t="inlineStr">
        <is>
          <t>BESS</t>
        </is>
      </c>
      <c r="D3893" s="12" t="inlineStr">
        <is>
          <t>Home run JB-BESS PCS / MV skid-DI01 to the control / marshalling room</t>
        </is>
      </c>
      <c r="E3893" s="12" t="inlineStr"/>
      <c r="F3893" s="12" t="inlineStr">
        <is>
          <t>BESS EMS / SCADA and revenue metering</t>
        </is>
      </c>
      <c r="G3893" s="12" t="inlineStr">
        <is>
          <t>JB-BESS PCS / MV skid-DI01</t>
        </is>
      </c>
      <c r="H3893" s="12" t="inlineStr">
        <is>
          <t>BESS PCS / MV skid</t>
        </is>
      </c>
      <c r="I3893" s="12" t="inlineStr">
        <is>
          <t>Instrumentation</t>
        </is>
      </c>
      <c r="J3893" s="12" t="inlineStr">
        <is>
          <t>Instrumentation PLTC / TC-ER 300 V, #18 twisted shielded pairs, overall shield</t>
        </is>
      </c>
      <c r="K3893" s="12" t="inlineStr">
        <is>
          <t>PLTC|24 pr|18</t>
        </is>
      </c>
      <c r="L3893" s="12" t="inlineStr">
        <is>
          <t>24 pr</t>
        </is>
      </c>
      <c r="M3893" s="12" t="inlineStr">
        <is>
          <t>18</t>
        </is>
      </c>
      <c r="N3893" s="12" t="n">
        <v>1</v>
      </c>
      <c r="O3893" s="12" t="n">
        <v>1</v>
      </c>
      <c r="P3893" s="12" t="n"/>
      <c r="Q3893" s="12" t="n"/>
      <c r="R3893" s="12" t="n"/>
      <c r="S3893" s="12" t="inlineStr">
        <is>
          <t>Duct bank</t>
        </is>
      </c>
      <c r="T3893" s="16" t="n">
        <v>602</v>
      </c>
      <c r="U3893" s="16" t="n">
        <v>37</v>
      </c>
      <c r="V3893" s="16">
        <f>ROUNDUP((T3893+U3893+2*'Read Me'!$B$13)*(1+'Read Me'!$B$12),-1)</f>
        <v/>
      </c>
      <c r="W3893" s="16">
        <f>V3893*N3893*O3893</f>
        <v/>
      </c>
      <c r="X3893" s="12">
        <f>IF(LEFT(I3893,2)="MV",2*N3893*IF(L3893="1/C",O3893,1),0)</f>
        <v/>
      </c>
      <c r="Y3893" s="12">
        <f>IF(OR(LEFT(K3893,4)="LVAX",LEFT(K3893,6)="MV15AX",LEFT(K3893,4)="CTAX",LEFT(K3893,2)="W|"),2*N3893*O3893,0)</f>
        <v/>
      </c>
      <c r="Z3893" s="12" t="inlineStr"/>
      <c r="AA3893" s="12">
        <f>N3893*O3893</f>
        <v/>
      </c>
    </row>
    <row r="3894">
      <c r="A3894" s="12" t="inlineStr">
        <is>
          <t>H-I-0053</t>
        </is>
      </c>
      <c r="B3894" s="12" t="inlineStr">
        <is>
          <t>H</t>
        </is>
      </c>
      <c r="C3894" s="12" t="inlineStr">
        <is>
          <t>BESS</t>
        </is>
      </c>
      <c r="D3894" s="12" t="inlineStr">
        <is>
          <t>Analog instrument to JB JB-BESS PCS / MV skid-AI01: 6 x 1 pr (field cables)</t>
        </is>
      </c>
      <c r="E3894" s="12" t="inlineStr"/>
      <c r="F3894" s="12" t="inlineStr">
        <is>
          <t>BESS PCS / MV skid</t>
        </is>
      </c>
      <c r="G3894" s="12" t="inlineStr">
        <is>
          <t>JB-BESS PCS / MV skid-AI01</t>
        </is>
      </c>
      <c r="H3894" s="12" t="inlineStr">
        <is>
          <t>BESS PCS / MV skid</t>
        </is>
      </c>
      <c r="I3894" s="12" t="inlineStr">
        <is>
          <t>Instrumentation</t>
        </is>
      </c>
      <c r="J3894" s="12" t="inlineStr">
        <is>
          <t>Instrumentation PLTC / TC-ER 300 V, #18 twisted shielded pairs, overall shield</t>
        </is>
      </c>
      <c r="K3894" s="12" t="inlineStr">
        <is>
          <t>PLTC|1 pr|16</t>
        </is>
      </c>
      <c r="L3894" s="12" t="inlineStr">
        <is>
          <t>1 pr</t>
        </is>
      </c>
      <c r="M3894" s="12" t="inlineStr">
        <is>
          <t>16</t>
        </is>
      </c>
      <c r="N3894" s="12" t="n">
        <v>6</v>
      </c>
      <c r="O3894" s="12" t="n">
        <v>1</v>
      </c>
      <c r="P3894" s="12" t="n"/>
      <c r="Q3894" s="12" t="n"/>
      <c r="R3894" s="12" t="n"/>
      <c r="S3894" s="12" t="inlineStr">
        <is>
          <t>Tray / conduit</t>
        </is>
      </c>
      <c r="T3894" s="16" t="n">
        <v>43</v>
      </c>
      <c r="U3894" s="16" t="n">
        <v>10</v>
      </c>
      <c r="V3894" s="16">
        <f>ROUNDUP((T3894+U3894+2*'Read Me'!$B$13)*(1+'Read Me'!$B$12),-1)</f>
        <v/>
      </c>
      <c r="W3894" s="16">
        <f>V3894*N3894*O3894</f>
        <v/>
      </c>
      <c r="X3894" s="12">
        <f>IF(LEFT(I3894,2)="MV",2*N3894*IF(L3894="1/C",O3894,1),0)</f>
        <v/>
      </c>
      <c r="Y3894" s="12">
        <f>IF(OR(LEFT(K3894,4)="LVAX",LEFT(K3894,6)="MV15AX",LEFT(K3894,4)="CTAX",LEFT(K3894,2)="W|"),2*N3894*O3894,0)</f>
        <v/>
      </c>
      <c r="Z3894" s="12" t="inlineStr">
        <is>
          <t>device-to-JB field wiring, one cable per device</t>
        </is>
      </c>
      <c r="AA3894" s="12">
        <f>N3894*O3894</f>
        <v/>
      </c>
    </row>
    <row r="3895">
      <c r="A3895" s="12" t="inlineStr">
        <is>
          <t>H-I-0054</t>
        </is>
      </c>
      <c r="B3895" s="12" t="inlineStr">
        <is>
          <t>H</t>
        </is>
      </c>
      <c r="C3895" s="12" t="inlineStr">
        <is>
          <t>BESS</t>
        </is>
      </c>
      <c r="D3895" s="12" t="inlineStr">
        <is>
          <t>Home run JB-BESS PCS / MV skid-AI01 to the control / marshalling room</t>
        </is>
      </c>
      <c r="E3895" s="12" t="inlineStr"/>
      <c r="F3895" s="12" t="inlineStr">
        <is>
          <t>BESS EMS / SCADA and revenue metering</t>
        </is>
      </c>
      <c r="G3895" s="12" t="inlineStr">
        <is>
          <t>JB-BESS PCS / MV skid-AI01</t>
        </is>
      </c>
      <c r="H3895" s="12" t="inlineStr">
        <is>
          <t>BESS PCS / MV skid</t>
        </is>
      </c>
      <c r="I3895" s="12" t="inlineStr">
        <is>
          <t>Instrumentation</t>
        </is>
      </c>
      <c r="J3895" s="12" t="inlineStr">
        <is>
          <t>Instrumentation PLTC / TC-ER 300 V, #18 twisted shielded pairs, overall shield</t>
        </is>
      </c>
      <c r="K3895" s="12" t="inlineStr">
        <is>
          <t>PLTC|24 pr|18</t>
        </is>
      </c>
      <c r="L3895" s="12" t="inlineStr">
        <is>
          <t>24 pr</t>
        </is>
      </c>
      <c r="M3895" s="12" t="inlineStr">
        <is>
          <t>18</t>
        </is>
      </c>
      <c r="N3895" s="12" t="n">
        <v>1</v>
      </c>
      <c r="O3895" s="12" t="n">
        <v>1</v>
      </c>
      <c r="P3895" s="12" t="n"/>
      <c r="Q3895" s="12" t="n"/>
      <c r="R3895" s="12" t="n"/>
      <c r="S3895" s="12" t="inlineStr">
        <is>
          <t>Duct bank</t>
        </is>
      </c>
      <c r="T3895" s="16" t="n">
        <v>336</v>
      </c>
      <c r="U3895" s="16" t="n">
        <v>157</v>
      </c>
      <c r="V3895" s="16">
        <f>ROUNDUP((T3895+U3895+2*'Read Me'!$B$13)*(1+'Read Me'!$B$12),-1)</f>
        <v/>
      </c>
      <c r="W3895" s="16">
        <f>V3895*N3895*O3895</f>
        <v/>
      </c>
      <c r="X3895" s="12">
        <f>IF(LEFT(I3895,2)="MV",2*N3895*IF(L3895="1/C",O3895,1),0)</f>
        <v/>
      </c>
      <c r="Y3895" s="12">
        <f>IF(OR(LEFT(K3895,4)="LVAX",LEFT(K3895,6)="MV15AX",LEFT(K3895,4)="CTAX",LEFT(K3895,2)="W|"),2*N3895*O3895,0)</f>
        <v/>
      </c>
      <c r="Z3895" s="12" t="inlineStr"/>
      <c r="AA3895" s="12">
        <f>N3895*O3895</f>
        <v/>
      </c>
    </row>
    <row r="3896">
      <c r="A3896" s="12" t="inlineStr">
        <is>
          <t>H-I-0055</t>
        </is>
      </c>
      <c r="B3896" s="12" t="inlineStr">
        <is>
          <t>H</t>
        </is>
      </c>
      <c r="C3896" s="12" t="inlineStr">
        <is>
          <t>BESS</t>
        </is>
      </c>
      <c r="D3896" s="12" t="inlineStr">
        <is>
          <t>Discrete device to JB JB-BESS PCS / MV skid-DI01: 10 x 1 pr (field cables)</t>
        </is>
      </c>
      <c r="E3896" s="12" t="inlineStr"/>
      <c r="F3896" s="12" t="inlineStr">
        <is>
          <t>BESS PCS / MV skid</t>
        </is>
      </c>
      <c r="G3896" s="12" t="inlineStr">
        <is>
          <t>JB-BESS PCS / MV skid-DI01</t>
        </is>
      </c>
      <c r="H3896" s="12" t="inlineStr">
        <is>
          <t>BESS PCS / MV skid</t>
        </is>
      </c>
      <c r="I3896" s="12" t="inlineStr">
        <is>
          <t>Instrumentation</t>
        </is>
      </c>
      <c r="J3896" s="12" t="inlineStr">
        <is>
          <t>Instrumentation PLTC / TC-ER 300 V, #18 twisted shielded pairs, overall shield</t>
        </is>
      </c>
      <c r="K3896" s="12" t="inlineStr">
        <is>
          <t>PLTC|1 pr|16</t>
        </is>
      </c>
      <c r="L3896" s="12" t="inlineStr">
        <is>
          <t>1 pr</t>
        </is>
      </c>
      <c r="M3896" s="12" t="inlineStr">
        <is>
          <t>16</t>
        </is>
      </c>
      <c r="N3896" s="12" t="n">
        <v>10</v>
      </c>
      <c r="O3896" s="12" t="n">
        <v>1</v>
      </c>
      <c r="P3896" s="12" t="n"/>
      <c r="Q3896" s="12" t="n"/>
      <c r="R3896" s="12" t="n"/>
      <c r="S3896" s="12" t="inlineStr">
        <is>
          <t>Tray / conduit</t>
        </is>
      </c>
      <c r="T3896" s="16" t="n">
        <v>43</v>
      </c>
      <c r="U3896" s="16" t="n">
        <v>10</v>
      </c>
      <c r="V3896" s="16">
        <f>ROUNDUP((T3896+U3896+2*'Read Me'!$B$13)*(1+'Read Me'!$B$12),-1)</f>
        <v/>
      </c>
      <c r="W3896" s="16">
        <f>V3896*N3896*O3896</f>
        <v/>
      </c>
      <c r="X3896" s="12">
        <f>IF(LEFT(I3896,2)="MV",2*N3896*IF(L3896="1/C",O3896,1),0)</f>
        <v/>
      </c>
      <c r="Y3896" s="12">
        <f>IF(OR(LEFT(K3896,4)="LVAX",LEFT(K3896,6)="MV15AX",LEFT(K3896,4)="CTAX",LEFT(K3896,2)="W|"),2*N3896*O3896,0)</f>
        <v/>
      </c>
      <c r="Z3896" s="12" t="inlineStr">
        <is>
          <t>device-to-JB field wiring, one cable per device</t>
        </is>
      </c>
      <c r="AA3896" s="12">
        <f>N3896*O3896</f>
        <v/>
      </c>
    </row>
    <row r="3897">
      <c r="A3897" s="12" t="inlineStr">
        <is>
          <t>H-I-0056</t>
        </is>
      </c>
      <c r="B3897" s="12" t="inlineStr">
        <is>
          <t>H</t>
        </is>
      </c>
      <c r="C3897" s="12" t="inlineStr">
        <is>
          <t>BESS</t>
        </is>
      </c>
      <c r="D3897" s="12" t="inlineStr">
        <is>
          <t>Home run JB-BESS PCS / MV skid-DI01 to the control / marshalling room</t>
        </is>
      </c>
      <c r="E3897" s="12" t="inlineStr"/>
      <c r="F3897" s="12" t="inlineStr">
        <is>
          <t>BESS EMS / SCADA and revenue metering</t>
        </is>
      </c>
      <c r="G3897" s="12" t="inlineStr">
        <is>
          <t>JB-BESS PCS / MV skid-DI01</t>
        </is>
      </c>
      <c r="H3897" s="12" t="inlineStr">
        <is>
          <t>BESS PCS / MV skid</t>
        </is>
      </c>
      <c r="I3897" s="12" t="inlineStr">
        <is>
          <t>Instrumentation</t>
        </is>
      </c>
      <c r="J3897" s="12" t="inlineStr">
        <is>
          <t>Instrumentation PLTC / TC-ER 300 V, #18 twisted shielded pairs, overall shield</t>
        </is>
      </c>
      <c r="K3897" s="12" t="inlineStr">
        <is>
          <t>PLTC|24 pr|18</t>
        </is>
      </c>
      <c r="L3897" s="12" t="inlineStr">
        <is>
          <t>24 pr</t>
        </is>
      </c>
      <c r="M3897" s="12" t="inlineStr">
        <is>
          <t>18</t>
        </is>
      </c>
      <c r="N3897" s="12" t="n">
        <v>1</v>
      </c>
      <c r="O3897" s="12" t="n">
        <v>1</v>
      </c>
      <c r="P3897" s="12" t="n"/>
      <c r="Q3897" s="12" t="n"/>
      <c r="R3897" s="12" t="n"/>
      <c r="S3897" s="12" t="inlineStr">
        <is>
          <t>Duct bank</t>
        </is>
      </c>
      <c r="T3897" s="16" t="n">
        <v>336</v>
      </c>
      <c r="U3897" s="16" t="n">
        <v>157</v>
      </c>
      <c r="V3897" s="16">
        <f>ROUNDUP((T3897+U3897+2*'Read Me'!$B$13)*(1+'Read Me'!$B$12),-1)</f>
        <v/>
      </c>
      <c r="W3897" s="16">
        <f>V3897*N3897*O3897</f>
        <v/>
      </c>
      <c r="X3897" s="12">
        <f>IF(LEFT(I3897,2)="MV",2*N3897*IF(L3897="1/C",O3897,1),0)</f>
        <v/>
      </c>
      <c r="Y3897" s="12">
        <f>IF(OR(LEFT(K3897,4)="LVAX",LEFT(K3897,6)="MV15AX",LEFT(K3897,4)="CTAX",LEFT(K3897,2)="W|"),2*N3897*O3897,0)</f>
        <v/>
      </c>
      <c r="Z3897" s="12" t="inlineStr"/>
      <c r="AA3897" s="12">
        <f>N3897*O3897</f>
        <v/>
      </c>
    </row>
    <row r="3898">
      <c r="A3898" s="12" t="inlineStr">
        <is>
          <t>H-I-0057</t>
        </is>
      </c>
      <c r="B3898" s="12" t="inlineStr">
        <is>
          <t>H</t>
        </is>
      </c>
      <c r="C3898" s="12" t="inlineStr">
        <is>
          <t>BESS</t>
        </is>
      </c>
      <c r="D3898" s="12" t="inlineStr">
        <is>
          <t>Analog instrument to JB JB-BESS PCS / MV skid-AI01: 6 x 1 pr (field cables)</t>
        </is>
      </c>
      <c r="E3898" s="12" t="inlineStr"/>
      <c r="F3898" s="12" t="inlineStr">
        <is>
          <t>BESS PCS / MV skid</t>
        </is>
      </c>
      <c r="G3898" s="12" t="inlineStr">
        <is>
          <t>JB-BESS PCS / MV skid-AI01</t>
        </is>
      </c>
      <c r="H3898" s="12" t="inlineStr">
        <is>
          <t>BESS PCS / MV skid</t>
        </is>
      </c>
      <c r="I3898" s="12" t="inlineStr">
        <is>
          <t>Instrumentation</t>
        </is>
      </c>
      <c r="J3898" s="12" t="inlineStr">
        <is>
          <t>Instrumentation PLTC / TC-ER 300 V, #18 twisted shielded pairs, overall shield</t>
        </is>
      </c>
      <c r="K3898" s="12" t="inlineStr">
        <is>
          <t>PLTC|1 pr|16</t>
        </is>
      </c>
      <c r="L3898" s="12" t="inlineStr">
        <is>
          <t>1 pr</t>
        </is>
      </c>
      <c r="M3898" s="12" t="inlineStr">
        <is>
          <t>16</t>
        </is>
      </c>
      <c r="N3898" s="12" t="n">
        <v>6</v>
      </c>
      <c r="O3898" s="12" t="n">
        <v>1</v>
      </c>
      <c r="P3898" s="12" t="n"/>
      <c r="Q3898" s="12" t="n"/>
      <c r="R3898" s="12" t="n"/>
      <c r="S3898" s="12" t="inlineStr">
        <is>
          <t>Tray / conduit</t>
        </is>
      </c>
      <c r="T3898" s="16" t="n">
        <v>43</v>
      </c>
      <c r="U3898" s="16" t="n">
        <v>10</v>
      </c>
      <c r="V3898" s="16">
        <f>ROUNDUP((T3898+U3898+2*'Read Me'!$B$13)*(1+'Read Me'!$B$12),-1)</f>
        <v/>
      </c>
      <c r="W3898" s="16">
        <f>V3898*N3898*O3898</f>
        <v/>
      </c>
      <c r="X3898" s="12">
        <f>IF(LEFT(I3898,2)="MV",2*N3898*IF(L3898="1/C",O3898,1),0)</f>
        <v/>
      </c>
      <c r="Y3898" s="12">
        <f>IF(OR(LEFT(K3898,4)="LVAX",LEFT(K3898,6)="MV15AX",LEFT(K3898,4)="CTAX",LEFT(K3898,2)="W|"),2*N3898*O3898,0)</f>
        <v/>
      </c>
      <c r="Z3898" s="12" t="inlineStr">
        <is>
          <t>device-to-JB field wiring, one cable per device</t>
        </is>
      </c>
      <c r="AA3898" s="12">
        <f>N3898*O3898</f>
        <v/>
      </c>
    </row>
    <row r="3899">
      <c r="A3899" s="12" t="inlineStr">
        <is>
          <t>H-I-0058</t>
        </is>
      </c>
      <c r="B3899" s="12" t="inlineStr">
        <is>
          <t>H</t>
        </is>
      </c>
      <c r="C3899" s="12" t="inlineStr">
        <is>
          <t>BESS</t>
        </is>
      </c>
      <c r="D3899" s="12" t="inlineStr">
        <is>
          <t>Home run JB-BESS PCS / MV skid-AI01 to the control / marshalling room</t>
        </is>
      </c>
      <c r="E3899" s="12" t="inlineStr"/>
      <c r="F3899" s="12" t="inlineStr">
        <is>
          <t>BESS EMS / SCADA and revenue metering</t>
        </is>
      </c>
      <c r="G3899" s="12" t="inlineStr">
        <is>
          <t>JB-BESS PCS / MV skid-AI01</t>
        </is>
      </c>
      <c r="H3899" s="12" t="inlineStr">
        <is>
          <t>BESS PCS / MV skid</t>
        </is>
      </c>
      <c r="I3899" s="12" t="inlineStr">
        <is>
          <t>Instrumentation</t>
        </is>
      </c>
      <c r="J3899" s="12" t="inlineStr">
        <is>
          <t>Instrumentation PLTC / TC-ER 300 V, #18 twisted shielded pairs, overall shield</t>
        </is>
      </c>
      <c r="K3899" s="12" t="inlineStr">
        <is>
          <t>PLTC|24 pr|18</t>
        </is>
      </c>
      <c r="L3899" s="12" t="inlineStr">
        <is>
          <t>24 pr</t>
        </is>
      </c>
      <c r="M3899" s="12" t="inlineStr">
        <is>
          <t>18</t>
        </is>
      </c>
      <c r="N3899" s="12" t="n">
        <v>1</v>
      </c>
      <c r="O3899" s="12" t="n">
        <v>1</v>
      </c>
      <c r="P3899" s="12" t="n"/>
      <c r="Q3899" s="12" t="n"/>
      <c r="R3899" s="12" t="n"/>
      <c r="S3899" s="12" t="inlineStr">
        <is>
          <t>Duct bank</t>
        </is>
      </c>
      <c r="T3899" s="16" t="n">
        <v>336</v>
      </c>
      <c r="U3899" s="16" t="n">
        <v>37</v>
      </c>
      <c r="V3899" s="16">
        <f>ROUNDUP((T3899+U3899+2*'Read Me'!$B$13)*(1+'Read Me'!$B$12),-1)</f>
        <v/>
      </c>
      <c r="W3899" s="16">
        <f>V3899*N3899*O3899</f>
        <v/>
      </c>
      <c r="X3899" s="12">
        <f>IF(LEFT(I3899,2)="MV",2*N3899*IF(L3899="1/C",O3899,1),0)</f>
        <v/>
      </c>
      <c r="Y3899" s="12">
        <f>IF(OR(LEFT(K3899,4)="LVAX",LEFT(K3899,6)="MV15AX",LEFT(K3899,4)="CTAX",LEFT(K3899,2)="W|"),2*N3899*O3899,0)</f>
        <v/>
      </c>
      <c r="Z3899" s="12" t="inlineStr"/>
      <c r="AA3899" s="12">
        <f>N3899*O3899</f>
        <v/>
      </c>
    </row>
    <row r="3900">
      <c r="A3900" s="12" t="inlineStr">
        <is>
          <t>H-I-0059</t>
        </is>
      </c>
      <c r="B3900" s="12" t="inlineStr">
        <is>
          <t>H</t>
        </is>
      </c>
      <c r="C3900" s="12" t="inlineStr">
        <is>
          <t>BESS</t>
        </is>
      </c>
      <c r="D3900" s="12" t="inlineStr">
        <is>
          <t>Discrete device to JB JB-BESS PCS / MV skid-DI01: 10 x 1 pr (field cables)</t>
        </is>
      </c>
      <c r="E3900" s="12" t="inlineStr"/>
      <c r="F3900" s="12" t="inlineStr">
        <is>
          <t>BESS PCS / MV skid</t>
        </is>
      </c>
      <c r="G3900" s="12" t="inlineStr">
        <is>
          <t>JB-BESS PCS / MV skid-DI01</t>
        </is>
      </c>
      <c r="H3900" s="12" t="inlineStr">
        <is>
          <t>BESS PCS / MV skid</t>
        </is>
      </c>
      <c r="I3900" s="12" t="inlineStr">
        <is>
          <t>Instrumentation</t>
        </is>
      </c>
      <c r="J3900" s="12" t="inlineStr">
        <is>
          <t>Instrumentation PLTC / TC-ER 300 V, #18 twisted shielded pairs, overall shield</t>
        </is>
      </c>
      <c r="K3900" s="12" t="inlineStr">
        <is>
          <t>PLTC|1 pr|16</t>
        </is>
      </c>
      <c r="L3900" s="12" t="inlineStr">
        <is>
          <t>1 pr</t>
        </is>
      </c>
      <c r="M3900" s="12" t="inlineStr">
        <is>
          <t>16</t>
        </is>
      </c>
      <c r="N3900" s="12" t="n">
        <v>10</v>
      </c>
      <c r="O3900" s="12" t="n">
        <v>1</v>
      </c>
      <c r="P3900" s="12" t="n"/>
      <c r="Q3900" s="12" t="n"/>
      <c r="R3900" s="12" t="n"/>
      <c r="S3900" s="12" t="inlineStr">
        <is>
          <t>Tray / conduit</t>
        </is>
      </c>
      <c r="T3900" s="16" t="n">
        <v>43</v>
      </c>
      <c r="U3900" s="16" t="n">
        <v>10</v>
      </c>
      <c r="V3900" s="16">
        <f>ROUNDUP((T3900+U3900+2*'Read Me'!$B$13)*(1+'Read Me'!$B$12),-1)</f>
        <v/>
      </c>
      <c r="W3900" s="16">
        <f>V3900*N3900*O3900</f>
        <v/>
      </c>
      <c r="X3900" s="12">
        <f>IF(LEFT(I3900,2)="MV",2*N3900*IF(L3900="1/C",O3900,1),0)</f>
        <v/>
      </c>
      <c r="Y3900" s="12">
        <f>IF(OR(LEFT(K3900,4)="LVAX",LEFT(K3900,6)="MV15AX",LEFT(K3900,4)="CTAX",LEFT(K3900,2)="W|"),2*N3900*O3900,0)</f>
        <v/>
      </c>
      <c r="Z3900" s="12" t="inlineStr">
        <is>
          <t>device-to-JB field wiring, one cable per device</t>
        </is>
      </c>
      <c r="AA3900" s="12">
        <f>N3900*O3900</f>
        <v/>
      </c>
    </row>
    <row r="3901">
      <c r="A3901" s="12" t="inlineStr">
        <is>
          <t>H-I-0060</t>
        </is>
      </c>
      <c r="B3901" s="12" t="inlineStr">
        <is>
          <t>H</t>
        </is>
      </c>
      <c r="C3901" s="12" t="inlineStr">
        <is>
          <t>BESS</t>
        </is>
      </c>
      <c r="D3901" s="12" t="inlineStr">
        <is>
          <t>Home run JB-BESS PCS / MV skid-DI01 to the control / marshalling room</t>
        </is>
      </c>
      <c r="E3901" s="12" t="inlineStr"/>
      <c r="F3901" s="12" t="inlineStr">
        <is>
          <t>BESS EMS / SCADA and revenue metering</t>
        </is>
      </c>
      <c r="G3901" s="12" t="inlineStr">
        <is>
          <t>JB-BESS PCS / MV skid-DI01</t>
        </is>
      </c>
      <c r="H3901" s="12" t="inlineStr">
        <is>
          <t>BESS PCS / MV skid</t>
        </is>
      </c>
      <c r="I3901" s="12" t="inlineStr">
        <is>
          <t>Instrumentation</t>
        </is>
      </c>
      <c r="J3901" s="12" t="inlineStr">
        <is>
          <t>Instrumentation PLTC / TC-ER 300 V, #18 twisted shielded pairs, overall shield</t>
        </is>
      </c>
      <c r="K3901" s="12" t="inlineStr">
        <is>
          <t>PLTC|24 pr|18</t>
        </is>
      </c>
      <c r="L3901" s="12" t="inlineStr">
        <is>
          <t>24 pr</t>
        </is>
      </c>
      <c r="M3901" s="12" t="inlineStr">
        <is>
          <t>18</t>
        </is>
      </c>
      <c r="N3901" s="12" t="n">
        <v>1</v>
      </c>
      <c r="O3901" s="12" t="n">
        <v>1</v>
      </c>
      <c r="P3901" s="12" t="n"/>
      <c r="Q3901" s="12" t="n"/>
      <c r="R3901" s="12" t="n"/>
      <c r="S3901" s="12" t="inlineStr">
        <is>
          <t>Duct bank</t>
        </is>
      </c>
      <c r="T3901" s="16" t="n">
        <v>336</v>
      </c>
      <c r="U3901" s="16" t="n">
        <v>37</v>
      </c>
      <c r="V3901" s="16">
        <f>ROUNDUP((T3901+U3901+2*'Read Me'!$B$13)*(1+'Read Me'!$B$12),-1)</f>
        <v/>
      </c>
      <c r="W3901" s="16">
        <f>V3901*N3901*O3901</f>
        <v/>
      </c>
      <c r="X3901" s="12">
        <f>IF(LEFT(I3901,2)="MV",2*N3901*IF(L3901="1/C",O3901,1),0)</f>
        <v/>
      </c>
      <c r="Y3901" s="12">
        <f>IF(OR(LEFT(K3901,4)="LVAX",LEFT(K3901,6)="MV15AX",LEFT(K3901,4)="CTAX",LEFT(K3901,2)="W|"),2*N3901*O3901,0)</f>
        <v/>
      </c>
      <c r="Z3901" s="12" t="inlineStr"/>
      <c r="AA3901" s="12">
        <f>N3901*O3901</f>
        <v/>
      </c>
    </row>
    <row r="3902">
      <c r="A3902" s="12" t="inlineStr">
        <is>
          <t>H-I-0061</t>
        </is>
      </c>
      <c r="B3902" s="12" t="inlineStr">
        <is>
          <t>H</t>
        </is>
      </c>
      <c r="C3902" s="12" t="inlineStr">
        <is>
          <t>BESS</t>
        </is>
      </c>
      <c r="D3902" s="12" t="inlineStr">
        <is>
          <t>Instrumentation</t>
        </is>
      </c>
      <c r="E3902" s="12" t="inlineStr"/>
      <c r="F3902" s="12" t="inlineStr">
        <is>
          <t>BESS EMS / SCADA and revenue metering</t>
        </is>
      </c>
      <c r="G3902" s="12" t="inlineStr"/>
      <c r="H3902" s="12" t="inlineStr">
        <is>
          <t>BESS auxiliary transformer</t>
        </is>
      </c>
      <c r="I3902" s="12" t="inlineStr">
        <is>
          <t>Instrumentation</t>
        </is>
      </c>
      <c r="J3902" s="12" t="inlineStr">
        <is>
          <t>Instrumentation PLTC / TC-ER 300 V, #18 twisted shielded pairs, overall shield</t>
        </is>
      </c>
      <c r="K3902" s="12" t="inlineStr">
        <is>
          <t>PLTC|4 pr|18</t>
        </is>
      </c>
      <c r="L3902" s="12" t="inlineStr">
        <is>
          <t>4 pr</t>
        </is>
      </c>
      <c r="M3902" s="12" t="inlineStr">
        <is>
          <t>18</t>
        </is>
      </c>
      <c r="N3902" s="12" t="n">
        <v>1</v>
      </c>
      <c r="O3902" s="12" t="n">
        <v>1</v>
      </c>
      <c r="P3902" s="12" t="n"/>
      <c r="Q3902" s="12" t="n"/>
      <c r="R3902" s="12" t="n"/>
      <c r="S3902" s="12" t="inlineStr">
        <is>
          <t>Tray</t>
        </is>
      </c>
      <c r="T3902" s="16" t="n">
        <v>38</v>
      </c>
      <c r="U3902" s="16" t="n">
        <v>32</v>
      </c>
      <c r="V3902" s="16">
        <f>ROUNDUP((T3902+U3902+2*'Read Me'!$B$13)*(1+'Read Me'!$B$12),-1)</f>
        <v/>
      </c>
      <c r="W3902" s="16">
        <f>V3902*N3902*O3902</f>
        <v/>
      </c>
      <c r="X3902" s="12">
        <f>IF(LEFT(I3902,2)="MV",2*N3902*IF(L3902="1/C",O3902,1),0)</f>
        <v/>
      </c>
      <c r="Y3902" s="12">
        <f>IF(OR(LEFT(K3902,4)="LVAX",LEFT(K3902,6)="MV15AX",LEFT(K3902,4)="CTAX",LEFT(K3902,2)="W|"),2*N3902*O3902,0)</f>
        <v/>
      </c>
      <c r="Z3902" s="12" t="inlineStr"/>
      <c r="AA3902" s="12">
        <f>N3902*O3902</f>
        <v/>
      </c>
    </row>
    <row r="3903">
      <c r="A3903" s="12" t="inlineStr">
        <is>
          <t>H-I-0062</t>
        </is>
      </c>
      <c r="B3903" s="12" t="inlineStr">
        <is>
          <t>H</t>
        </is>
      </c>
      <c r="C3903" s="12" t="inlineStr">
        <is>
          <t>BESS</t>
        </is>
      </c>
      <c r="D3903" s="12" t="inlineStr">
        <is>
          <t>Instrumentation</t>
        </is>
      </c>
      <c r="E3903" s="12" t="inlineStr"/>
      <c r="F3903" s="12" t="inlineStr">
        <is>
          <t>BESS EMS / SCADA and revenue metering</t>
        </is>
      </c>
      <c r="G3903" s="12" t="inlineStr">
        <is>
          <t>BESS</t>
        </is>
      </c>
      <c r="H3903" s="12" t="inlineStr">
        <is>
          <t>BESS blocks: 30 containers + 15 PCS / MV skids</t>
        </is>
      </c>
      <c r="I3903" s="12" t="inlineStr">
        <is>
          <t>Instrumentation</t>
        </is>
      </c>
      <c r="J3903" s="12" t="inlineStr">
        <is>
          <t>Instrumentation PLTC / TC-ER 300 V, #18 twisted shielded pairs, overall shield</t>
        </is>
      </c>
      <c r="K3903" s="12" t="inlineStr">
        <is>
          <t>PLTC|4 pr|18</t>
        </is>
      </c>
      <c r="L3903" s="12" t="inlineStr">
        <is>
          <t>4 pr</t>
        </is>
      </c>
      <c r="M3903" s="12" t="inlineStr">
        <is>
          <t>18</t>
        </is>
      </c>
      <c r="N3903" s="12" t="n">
        <v>1</v>
      </c>
      <c r="O3903" s="12" t="n">
        <v>1</v>
      </c>
      <c r="P3903" s="12" t="n"/>
      <c r="Q3903" s="12" t="n"/>
      <c r="R3903" s="12" t="n"/>
      <c r="S3903" s="12" t="inlineStr">
        <is>
          <t>Duct bank</t>
        </is>
      </c>
      <c r="T3903" s="16" t="n">
        <v>336</v>
      </c>
      <c r="U3903" s="16" t="n">
        <v>32</v>
      </c>
      <c r="V3903" s="16">
        <f>ROUNDUP((T3903+U3903+2*'Read Me'!$B$13)*(1+'Read Me'!$B$12),-1)</f>
        <v/>
      </c>
      <c r="W3903" s="16">
        <f>V3903*N3903*O3903</f>
        <v/>
      </c>
      <c r="X3903" s="12">
        <f>IF(LEFT(I3903,2)="MV",2*N3903*IF(L3903="1/C",O3903,1),0)</f>
        <v/>
      </c>
      <c r="Y3903" s="12">
        <f>IF(OR(LEFT(K3903,4)="LVAX",LEFT(K3903,6)="MV15AX",LEFT(K3903,4)="CTAX",LEFT(K3903,2)="W|"),2*N3903*O3903,0)</f>
        <v/>
      </c>
      <c r="Z3903" s="12" t="inlineStr"/>
      <c r="AA3903" s="12">
        <f>N3903*O3903</f>
        <v/>
      </c>
    </row>
    <row r="3904">
      <c r="A3904" s="12" t="inlineStr">
        <is>
          <t>H-I-0063</t>
        </is>
      </c>
      <c r="B3904" s="12" t="inlineStr">
        <is>
          <t>H</t>
        </is>
      </c>
      <c r="C3904" s="12" t="inlineStr">
        <is>
          <t>BESS</t>
        </is>
      </c>
      <c r="D3904" s="12" t="inlineStr">
        <is>
          <t>Instrumentation</t>
        </is>
      </c>
      <c r="E3904" s="12" t="inlineStr"/>
      <c r="F3904" s="12" t="inlineStr">
        <is>
          <t>BESS EMS / SCADA and revenue metering</t>
        </is>
      </c>
      <c r="G3904" s="12" t="inlineStr">
        <is>
          <t>BESS</t>
        </is>
      </c>
      <c r="H3904" s="12" t="inlineStr">
        <is>
          <t>BESS blocks: 30 containers + 15 PCS / MV skids</t>
        </is>
      </c>
      <c r="I3904" s="12" t="inlineStr">
        <is>
          <t>Instrumentation</t>
        </is>
      </c>
      <c r="J3904" s="12" t="inlineStr">
        <is>
          <t>Instrumentation PLTC / TC-ER 300 V, #18 twisted shielded pairs, overall shield</t>
        </is>
      </c>
      <c r="K3904" s="12" t="inlineStr">
        <is>
          <t>PLTC|12 pr|18</t>
        </is>
      </c>
      <c r="L3904" s="12" t="inlineStr">
        <is>
          <t>12 pr</t>
        </is>
      </c>
      <c r="M3904" s="12" t="inlineStr">
        <is>
          <t>18</t>
        </is>
      </c>
      <c r="N3904" s="12" t="n">
        <v>1</v>
      </c>
      <c r="O3904" s="12" t="n">
        <v>1</v>
      </c>
      <c r="P3904" s="12" t="n"/>
      <c r="Q3904" s="12" t="n"/>
      <c r="R3904" s="12" t="n"/>
      <c r="S3904" s="12" t="inlineStr">
        <is>
          <t>Duct bank</t>
        </is>
      </c>
      <c r="T3904" s="16" t="n">
        <v>336</v>
      </c>
      <c r="U3904" s="16" t="n">
        <v>32</v>
      </c>
      <c r="V3904" s="16">
        <f>ROUNDUP((T3904+U3904+2*'Read Me'!$B$13)*(1+'Read Me'!$B$12),-1)</f>
        <v/>
      </c>
      <c r="W3904" s="16">
        <f>V3904*N3904*O3904</f>
        <v/>
      </c>
      <c r="X3904" s="12">
        <f>IF(LEFT(I3904,2)="MV",2*N3904*IF(L3904="1/C",O3904,1),0)</f>
        <v/>
      </c>
      <c r="Y3904" s="12">
        <f>IF(OR(LEFT(K3904,4)="LVAX",LEFT(K3904,6)="MV15AX",LEFT(K3904,4)="CTAX",LEFT(K3904,2)="W|"),2*N3904*O3904,0)</f>
        <v/>
      </c>
      <c r="Z3904" s="12" t="inlineStr"/>
      <c r="AA3904" s="12">
        <f>N3904*O3904</f>
        <v/>
      </c>
    </row>
    <row r="3905">
      <c r="A3905" s="12" t="inlineStr">
        <is>
          <t>H-I-0064</t>
        </is>
      </c>
      <c r="B3905" s="12" t="inlineStr">
        <is>
          <t>H</t>
        </is>
      </c>
      <c r="C3905" s="12" t="inlineStr">
        <is>
          <t>BESS</t>
        </is>
      </c>
      <c r="D3905" s="12" t="inlineStr">
        <is>
          <t>Thermocouples</t>
        </is>
      </c>
      <c r="E3905" s="12" t="inlineStr"/>
      <c r="F3905" s="12" t="inlineStr">
        <is>
          <t>BESS EMS / SCADA and revenue metering</t>
        </is>
      </c>
      <c r="G3905" s="12" t="inlineStr">
        <is>
          <t>BESS</t>
        </is>
      </c>
      <c r="H3905" s="12" t="inlineStr">
        <is>
          <t>BESS blocks: 30 containers + 15 PCS / MV skids</t>
        </is>
      </c>
      <c r="I3905" s="12" t="inlineStr">
        <is>
          <t>Instrumentation</t>
        </is>
      </c>
      <c r="J3905" s="12" t="inlineStr">
        <is>
          <t>Thermocouple extension KX, #16 shielded pairs, PLTC</t>
        </is>
      </c>
      <c r="K3905" s="12" t="inlineStr">
        <is>
          <t>TCX|12 pr|16</t>
        </is>
      </c>
      <c r="L3905" s="12" t="inlineStr">
        <is>
          <t>12 pr</t>
        </is>
      </c>
      <c r="M3905" s="12" t="inlineStr">
        <is>
          <t>16</t>
        </is>
      </c>
      <c r="N3905" s="12" t="n">
        <v>1</v>
      </c>
      <c r="O3905" s="12" t="n">
        <v>1</v>
      </c>
      <c r="P3905" s="12" t="n"/>
      <c r="Q3905" s="12" t="n"/>
      <c r="R3905" s="12" t="n"/>
      <c r="S3905" s="12" t="inlineStr">
        <is>
          <t>Duct bank</t>
        </is>
      </c>
      <c r="T3905" s="16" t="n">
        <v>336</v>
      </c>
      <c r="U3905" s="16" t="n">
        <v>32</v>
      </c>
      <c r="V3905" s="16">
        <f>ROUNDUP((T3905+U3905+2*'Read Me'!$B$13)*(1+'Read Me'!$B$12),-1)</f>
        <v/>
      </c>
      <c r="W3905" s="16">
        <f>V3905*N3905*O3905</f>
        <v/>
      </c>
      <c r="X3905" s="12">
        <f>IF(LEFT(I3905,2)="MV",2*N3905*IF(L3905="1/C",O3905,1),0)</f>
        <v/>
      </c>
      <c r="Y3905" s="12">
        <f>IF(OR(LEFT(K3905,4)="LVAX",LEFT(K3905,6)="MV15AX",LEFT(K3905,4)="CTAX",LEFT(K3905,2)="W|"),2*N3905*O3905,0)</f>
        <v/>
      </c>
      <c r="Z3905" s="12" t="inlineStr"/>
      <c r="AA3905" s="12">
        <f>N3905*O3905</f>
        <v/>
      </c>
    </row>
    <row r="3906">
      <c r="A3906" s="12" t="inlineStr">
        <is>
          <t>H-I-0065</t>
        </is>
      </c>
      <c r="B3906" s="12" t="inlineStr">
        <is>
          <t>H</t>
        </is>
      </c>
      <c r="C3906" s="12" t="inlineStr">
        <is>
          <t>BESS</t>
        </is>
      </c>
      <c r="D3906" s="12" t="inlineStr">
        <is>
          <t>Thermocouples</t>
        </is>
      </c>
      <c r="E3906" s="12" t="inlineStr"/>
      <c r="F3906" s="12" t="inlineStr">
        <is>
          <t>BESS EMS / SCADA and revenue metering</t>
        </is>
      </c>
      <c r="G3906" s="12" t="inlineStr">
        <is>
          <t>BESS</t>
        </is>
      </c>
      <c r="H3906" s="12" t="inlineStr">
        <is>
          <t>BESS blocks: 30 containers + 15 PCS / MV skids</t>
        </is>
      </c>
      <c r="I3906" s="12" t="inlineStr">
        <is>
          <t>Instrumentation</t>
        </is>
      </c>
      <c r="J3906" s="12" t="inlineStr">
        <is>
          <t>Thermocouple extension KX, #16 shielded pairs, PLTC</t>
        </is>
      </c>
      <c r="K3906" s="12" t="inlineStr">
        <is>
          <t>TCX|12 pr|16</t>
        </is>
      </c>
      <c r="L3906" s="12" t="inlineStr">
        <is>
          <t>12 pr</t>
        </is>
      </c>
      <c r="M3906" s="12" t="inlineStr">
        <is>
          <t>16</t>
        </is>
      </c>
      <c r="N3906" s="12" t="n">
        <v>1</v>
      </c>
      <c r="O3906" s="12" t="n">
        <v>1</v>
      </c>
      <c r="P3906" s="12" t="n"/>
      <c r="Q3906" s="12" t="n"/>
      <c r="R3906" s="12" t="n"/>
      <c r="S3906" s="12" t="inlineStr">
        <is>
          <t>Duct bank</t>
        </is>
      </c>
      <c r="T3906" s="16" t="n">
        <v>336</v>
      </c>
      <c r="U3906" s="16" t="n">
        <v>32</v>
      </c>
      <c r="V3906" s="16">
        <f>ROUNDUP((T3906+U3906+2*'Read Me'!$B$13)*(1+'Read Me'!$B$12),-1)</f>
        <v/>
      </c>
      <c r="W3906" s="16">
        <f>V3906*N3906*O3906</f>
        <v/>
      </c>
      <c r="X3906" s="12">
        <f>IF(LEFT(I3906,2)="MV",2*N3906*IF(L3906="1/C",O3906,1),0)</f>
        <v/>
      </c>
      <c r="Y3906" s="12">
        <f>IF(OR(LEFT(K3906,4)="LVAX",LEFT(K3906,6)="MV15AX",LEFT(K3906,4)="CTAX",LEFT(K3906,2)="W|"),2*N3906*O3906,0)</f>
        <v/>
      </c>
      <c r="Z3906" s="12" t="inlineStr"/>
      <c r="AA3906" s="12">
        <f>N3906*O3906</f>
        <v/>
      </c>
    </row>
    <row r="3907">
      <c r="A3907" s="12" t="inlineStr">
        <is>
          <t>H-I-0066</t>
        </is>
      </c>
      <c r="B3907" s="12" t="inlineStr">
        <is>
          <t>H</t>
        </is>
      </c>
      <c r="C3907" s="12" t="inlineStr">
        <is>
          <t>BESS</t>
        </is>
      </c>
      <c r="D3907" s="12" t="inlineStr">
        <is>
          <t>Instrumentation</t>
        </is>
      </c>
      <c r="E3907" s="12" t="inlineStr"/>
      <c r="F3907" s="12" t="inlineStr">
        <is>
          <t>BESS PCS / MV skid</t>
        </is>
      </c>
      <c r="G3907" s="12" t="inlineStr"/>
      <c r="H3907" s="12" t="inlineStr">
        <is>
          <t>BESS container (ISO 40 ft high cube)</t>
        </is>
      </c>
      <c r="I3907" s="12" t="inlineStr">
        <is>
          <t>Instrumentation</t>
        </is>
      </c>
      <c r="J3907" s="12" t="inlineStr">
        <is>
          <t>Instrumentation PLTC / TC-ER 300 V, #18 twisted shielded pairs, overall shield</t>
        </is>
      </c>
      <c r="K3907" s="12" t="inlineStr">
        <is>
          <t>PLTC|4 pr|18</t>
        </is>
      </c>
      <c r="L3907" s="12" t="inlineStr">
        <is>
          <t>4 pr</t>
        </is>
      </c>
      <c r="M3907" s="12" t="inlineStr">
        <is>
          <t>18</t>
        </is>
      </c>
      <c r="N3907" s="12" t="n">
        <v>1</v>
      </c>
      <c r="O3907" s="12" t="n">
        <v>1</v>
      </c>
      <c r="P3907" s="12" t="n"/>
      <c r="Q3907" s="12" t="n"/>
      <c r="R3907" s="12" t="n"/>
      <c r="S3907" s="12" t="inlineStr">
        <is>
          <t>Duct bank</t>
        </is>
      </c>
      <c r="T3907" s="16" t="n">
        <v>10</v>
      </c>
      <c r="U3907" s="16" t="n">
        <v>150</v>
      </c>
      <c r="V3907" s="16">
        <f>ROUNDUP((T3907+U3907+2*'Read Me'!$B$13)*(1+'Read Me'!$B$12),-1)</f>
        <v/>
      </c>
      <c r="W3907" s="16">
        <f>V3907*N3907*O3907</f>
        <v/>
      </c>
      <c r="X3907" s="12">
        <f>IF(LEFT(I3907,2)="MV",2*N3907*IF(L3907="1/C",O3907,1),0)</f>
        <v/>
      </c>
      <c r="Y3907" s="12">
        <f>IF(OR(LEFT(K3907,4)="LVAX",LEFT(K3907,6)="MV15AX",LEFT(K3907,4)="CTAX",LEFT(K3907,2)="W|"),2*N3907*O3907,0)</f>
        <v/>
      </c>
      <c r="Z3907" s="12" t="inlineStr"/>
      <c r="AA3907" s="12">
        <f>N3907*O3907</f>
        <v/>
      </c>
    </row>
    <row r="3908">
      <c r="A3908" s="12" t="inlineStr">
        <is>
          <t>H-I-0067</t>
        </is>
      </c>
      <c r="B3908" s="12" t="inlineStr">
        <is>
          <t>H</t>
        </is>
      </c>
      <c r="C3908" s="12" t="inlineStr">
        <is>
          <t>BESS</t>
        </is>
      </c>
      <c r="D3908" s="12" t="inlineStr">
        <is>
          <t>Instrumentation</t>
        </is>
      </c>
      <c r="E3908" s="12" t="inlineStr"/>
      <c r="F3908" s="12" t="inlineStr">
        <is>
          <t>BESS PCS / MV skid</t>
        </is>
      </c>
      <c r="G3908" s="12" t="inlineStr"/>
      <c r="H3908" s="12" t="inlineStr">
        <is>
          <t>BESS container (ISO 40 ft high cube)</t>
        </is>
      </c>
      <c r="I3908" s="12" t="inlineStr">
        <is>
          <t>Instrumentation</t>
        </is>
      </c>
      <c r="J3908" s="12" t="inlineStr">
        <is>
          <t>Instrumentation PLTC / TC-ER 300 V, #18 twisted shielded pairs, overall shield</t>
        </is>
      </c>
      <c r="K3908" s="12" t="inlineStr">
        <is>
          <t>PLTC|4 pr|18</t>
        </is>
      </c>
      <c r="L3908" s="12" t="inlineStr">
        <is>
          <t>4 pr</t>
        </is>
      </c>
      <c r="M3908" s="12" t="inlineStr">
        <is>
          <t>18</t>
        </is>
      </c>
      <c r="N3908" s="12" t="n">
        <v>1</v>
      </c>
      <c r="O3908" s="12" t="n">
        <v>1</v>
      </c>
      <c r="P3908" s="12" t="n"/>
      <c r="Q3908" s="12" t="n"/>
      <c r="R3908" s="12" t="n"/>
      <c r="S3908" s="12" t="inlineStr">
        <is>
          <t>Tray</t>
        </is>
      </c>
      <c r="T3908" s="16" t="n">
        <v>0</v>
      </c>
      <c r="U3908" s="16" t="n">
        <v>160</v>
      </c>
      <c r="V3908" s="16">
        <f>ROUNDUP((T3908+U3908+2*'Read Me'!$B$13)*(1+'Read Me'!$B$12),-1)</f>
        <v/>
      </c>
      <c r="W3908" s="16">
        <f>V3908*N3908*O3908</f>
        <v/>
      </c>
      <c r="X3908" s="12">
        <f>IF(LEFT(I3908,2)="MV",2*N3908*IF(L3908="1/C",O3908,1),0)</f>
        <v/>
      </c>
      <c r="Y3908" s="12">
        <f>IF(OR(LEFT(K3908,4)="LVAX",LEFT(K3908,6)="MV15AX",LEFT(K3908,4)="CTAX",LEFT(K3908,2)="W|"),2*N3908*O3908,0)</f>
        <v/>
      </c>
      <c r="Z3908" s="12" t="inlineStr"/>
      <c r="AA3908" s="12">
        <f>N3908*O3908</f>
        <v/>
      </c>
    </row>
    <row r="3909">
      <c r="A3909" s="12" t="inlineStr">
        <is>
          <t>H-I-0068</t>
        </is>
      </c>
      <c r="B3909" s="12" t="inlineStr">
        <is>
          <t>H</t>
        </is>
      </c>
      <c r="C3909" s="12" t="inlineStr">
        <is>
          <t>BESS</t>
        </is>
      </c>
      <c r="D3909" s="12" t="inlineStr">
        <is>
          <t>Instrumentation</t>
        </is>
      </c>
      <c r="E3909" s="12" t="inlineStr"/>
      <c r="F3909" s="12" t="inlineStr">
        <is>
          <t>BESS PCS / MV skid</t>
        </is>
      </c>
      <c r="G3909" s="12" t="inlineStr"/>
      <c r="H3909" s="12" t="inlineStr">
        <is>
          <t>BESS container (ISO 40 ft high cube)</t>
        </is>
      </c>
      <c r="I3909" s="12" t="inlineStr">
        <is>
          <t>Instrumentation</t>
        </is>
      </c>
      <c r="J3909" s="12" t="inlineStr">
        <is>
          <t>Instrumentation PLTC / TC-ER 300 V, #18 twisted shielded pairs, overall shield</t>
        </is>
      </c>
      <c r="K3909" s="12" t="inlineStr">
        <is>
          <t>PLTC|4 pr|18</t>
        </is>
      </c>
      <c r="L3909" s="12" t="inlineStr">
        <is>
          <t>4 pr</t>
        </is>
      </c>
      <c r="M3909" s="12" t="inlineStr">
        <is>
          <t>18</t>
        </is>
      </c>
      <c r="N3909" s="12" t="n">
        <v>1</v>
      </c>
      <c r="O3909" s="12" t="n">
        <v>1</v>
      </c>
      <c r="P3909" s="12" t="n"/>
      <c r="Q3909" s="12" t="n"/>
      <c r="R3909" s="12" t="n"/>
      <c r="S3909" s="12" t="inlineStr">
        <is>
          <t>Tray</t>
        </is>
      </c>
      <c r="T3909" s="16" t="n">
        <v>0</v>
      </c>
      <c r="U3909" s="16" t="n">
        <v>200</v>
      </c>
      <c r="V3909" s="16">
        <f>ROUNDUP((T3909+U3909+2*'Read Me'!$B$13)*(1+'Read Me'!$B$12),-1)</f>
        <v/>
      </c>
      <c r="W3909" s="16">
        <f>V3909*N3909*O3909</f>
        <v/>
      </c>
      <c r="X3909" s="12">
        <f>IF(LEFT(I3909,2)="MV",2*N3909*IF(L3909="1/C",O3909,1),0)</f>
        <v/>
      </c>
      <c r="Y3909" s="12">
        <f>IF(OR(LEFT(K3909,4)="LVAX",LEFT(K3909,6)="MV15AX",LEFT(K3909,4)="CTAX",LEFT(K3909,2)="W|"),2*N3909*O3909,0)</f>
        <v/>
      </c>
      <c r="Z3909" s="12" t="inlineStr"/>
      <c r="AA3909" s="12">
        <f>N3909*O3909</f>
        <v/>
      </c>
    </row>
    <row r="3910">
      <c r="A3910" s="12" t="inlineStr">
        <is>
          <t>H-I-0069</t>
        </is>
      </c>
      <c r="B3910" s="12" t="inlineStr">
        <is>
          <t>H</t>
        </is>
      </c>
      <c r="C3910" s="12" t="inlineStr">
        <is>
          <t>BESS</t>
        </is>
      </c>
      <c r="D3910" s="12" t="inlineStr">
        <is>
          <t>Instrumentation</t>
        </is>
      </c>
      <c r="E3910" s="12" t="inlineStr"/>
      <c r="F3910" s="12" t="inlineStr">
        <is>
          <t>BESS PCS / MV skid</t>
        </is>
      </c>
      <c r="G3910" s="12" t="inlineStr"/>
      <c r="H3910" s="12" t="inlineStr">
        <is>
          <t>BESS container (ISO 40 ft high cube)</t>
        </is>
      </c>
      <c r="I3910" s="12" t="inlineStr">
        <is>
          <t>Instrumentation</t>
        </is>
      </c>
      <c r="J3910" s="12" t="inlineStr">
        <is>
          <t>Instrumentation PLTC / TC-ER 300 V, #18 twisted shielded pairs, overall shield</t>
        </is>
      </c>
      <c r="K3910" s="12" t="inlineStr">
        <is>
          <t>PLTC|4 pr|18</t>
        </is>
      </c>
      <c r="L3910" s="12" t="inlineStr">
        <is>
          <t>4 pr</t>
        </is>
      </c>
      <c r="M3910" s="12" t="inlineStr">
        <is>
          <t>18</t>
        </is>
      </c>
      <c r="N3910" s="12" t="n">
        <v>1</v>
      </c>
      <c r="O3910" s="12" t="n">
        <v>1</v>
      </c>
      <c r="P3910" s="12" t="n"/>
      <c r="Q3910" s="12" t="n"/>
      <c r="R3910" s="12" t="n"/>
      <c r="S3910" s="12" t="inlineStr">
        <is>
          <t>Tray</t>
        </is>
      </c>
      <c r="T3910" s="16" t="n">
        <v>0</v>
      </c>
      <c r="U3910" s="16" t="n">
        <v>200</v>
      </c>
      <c r="V3910" s="16">
        <f>ROUNDUP((T3910+U3910+2*'Read Me'!$B$13)*(1+'Read Me'!$B$12),-1)</f>
        <v/>
      </c>
      <c r="W3910" s="16">
        <f>V3910*N3910*O3910</f>
        <v/>
      </c>
      <c r="X3910" s="12">
        <f>IF(LEFT(I3910,2)="MV",2*N3910*IF(L3910="1/C",O3910,1),0)</f>
        <v/>
      </c>
      <c r="Y3910" s="12">
        <f>IF(OR(LEFT(K3910,4)="LVAX",LEFT(K3910,6)="MV15AX",LEFT(K3910,4)="CTAX",LEFT(K3910,2)="W|"),2*N3910*O3910,0)</f>
        <v/>
      </c>
      <c r="Z3910" s="12" t="inlineStr"/>
      <c r="AA3910" s="12">
        <f>N3910*O3910</f>
        <v/>
      </c>
    </row>
    <row r="3911">
      <c r="A3911" s="12" t="inlineStr">
        <is>
          <t>H-I-0070</t>
        </is>
      </c>
      <c r="B3911" s="12" t="inlineStr">
        <is>
          <t>H</t>
        </is>
      </c>
      <c r="C3911" s="12" t="inlineStr">
        <is>
          <t>BESS</t>
        </is>
      </c>
      <c r="D3911" s="12" t="inlineStr">
        <is>
          <t>Instrumentation</t>
        </is>
      </c>
      <c r="E3911" s="12" t="inlineStr"/>
      <c r="F3911" s="12" t="inlineStr">
        <is>
          <t>BESS PCS / MV skid</t>
        </is>
      </c>
      <c r="G3911" s="12" t="inlineStr"/>
      <c r="H3911" s="12" t="inlineStr">
        <is>
          <t>BESS container (ISO 40 ft high cube)</t>
        </is>
      </c>
      <c r="I3911" s="12" t="inlineStr">
        <is>
          <t>Instrumentation</t>
        </is>
      </c>
      <c r="J3911" s="12" t="inlineStr">
        <is>
          <t>Instrumentation PLTC / TC-ER 300 V, #18 twisted shielded pairs, overall shield</t>
        </is>
      </c>
      <c r="K3911" s="12" t="inlineStr">
        <is>
          <t>PLTC|4 pr|18</t>
        </is>
      </c>
      <c r="L3911" s="12" t="inlineStr">
        <is>
          <t>4 pr</t>
        </is>
      </c>
      <c r="M3911" s="12" t="inlineStr">
        <is>
          <t>18</t>
        </is>
      </c>
      <c r="N3911" s="12" t="n">
        <v>1</v>
      </c>
      <c r="O3911" s="12" t="n">
        <v>1</v>
      </c>
      <c r="P3911" s="12" t="n"/>
      <c r="Q3911" s="12" t="n"/>
      <c r="R3911" s="12" t="n"/>
      <c r="S3911" s="12" t="inlineStr">
        <is>
          <t>Tray</t>
        </is>
      </c>
      <c r="T3911" s="16" t="n">
        <v>0</v>
      </c>
      <c r="U3911" s="16" t="n">
        <v>168</v>
      </c>
      <c r="V3911" s="16">
        <f>ROUNDUP((T3911+U3911+2*'Read Me'!$B$13)*(1+'Read Me'!$B$12),-1)</f>
        <v/>
      </c>
      <c r="W3911" s="16">
        <f>V3911*N3911*O3911</f>
        <v/>
      </c>
      <c r="X3911" s="12">
        <f>IF(LEFT(I3911,2)="MV",2*N3911*IF(L3911="1/C",O3911,1),0)</f>
        <v/>
      </c>
      <c r="Y3911" s="12">
        <f>IF(OR(LEFT(K3911,4)="LVAX",LEFT(K3911,6)="MV15AX",LEFT(K3911,4)="CTAX",LEFT(K3911,2)="W|"),2*N3911*O3911,0)</f>
        <v/>
      </c>
      <c r="Z3911" s="12" t="inlineStr"/>
      <c r="AA3911" s="12">
        <f>N3911*O3911</f>
        <v/>
      </c>
    </row>
    <row r="3912">
      <c r="A3912" s="12" t="inlineStr">
        <is>
          <t>H-I-0071</t>
        </is>
      </c>
      <c r="B3912" s="12" t="inlineStr">
        <is>
          <t>H</t>
        </is>
      </c>
      <c r="C3912" s="12" t="inlineStr">
        <is>
          <t>BESS</t>
        </is>
      </c>
      <c r="D3912" s="12" t="inlineStr">
        <is>
          <t>Instrumentation</t>
        </is>
      </c>
      <c r="E3912" s="12" t="inlineStr"/>
      <c r="F3912" s="12" t="inlineStr">
        <is>
          <t>BESS PCS / MV skid</t>
        </is>
      </c>
      <c r="G3912" s="12" t="inlineStr"/>
      <c r="H3912" s="12" t="inlineStr">
        <is>
          <t>BESS container (ISO 40 ft high cube)</t>
        </is>
      </c>
      <c r="I3912" s="12" t="inlineStr">
        <is>
          <t>Instrumentation</t>
        </is>
      </c>
      <c r="J3912" s="12" t="inlineStr">
        <is>
          <t>Instrumentation PLTC / TC-ER 300 V, #18 twisted shielded pairs, overall shield</t>
        </is>
      </c>
      <c r="K3912" s="12" t="inlineStr">
        <is>
          <t>PLTC|4 pr|18</t>
        </is>
      </c>
      <c r="L3912" s="12" t="inlineStr">
        <is>
          <t>4 pr</t>
        </is>
      </c>
      <c r="M3912" s="12" t="inlineStr">
        <is>
          <t>18</t>
        </is>
      </c>
      <c r="N3912" s="12" t="n">
        <v>1</v>
      </c>
      <c r="O3912" s="12" t="n">
        <v>1</v>
      </c>
      <c r="P3912" s="12" t="n"/>
      <c r="Q3912" s="12" t="n"/>
      <c r="R3912" s="12" t="n"/>
      <c r="S3912" s="12" t="inlineStr">
        <is>
          <t>Tray</t>
        </is>
      </c>
      <c r="T3912" s="16" t="n">
        <v>0</v>
      </c>
      <c r="U3912" s="16" t="n">
        <v>168</v>
      </c>
      <c r="V3912" s="16">
        <f>ROUNDUP((T3912+U3912+2*'Read Me'!$B$13)*(1+'Read Me'!$B$12),-1)</f>
        <v/>
      </c>
      <c r="W3912" s="16">
        <f>V3912*N3912*O3912</f>
        <v/>
      </c>
      <c r="X3912" s="12">
        <f>IF(LEFT(I3912,2)="MV",2*N3912*IF(L3912="1/C",O3912,1),0)</f>
        <v/>
      </c>
      <c r="Y3912" s="12">
        <f>IF(OR(LEFT(K3912,4)="LVAX",LEFT(K3912,6)="MV15AX",LEFT(K3912,4)="CTAX",LEFT(K3912,2)="W|"),2*N3912*O3912,0)</f>
        <v/>
      </c>
      <c r="Z3912" s="12" t="inlineStr"/>
      <c r="AA3912" s="12">
        <f>N3912*O3912</f>
        <v/>
      </c>
    </row>
    <row r="3913">
      <c r="A3913" s="12" t="inlineStr">
        <is>
          <t>H-I-0072</t>
        </is>
      </c>
      <c r="B3913" s="12" t="inlineStr">
        <is>
          <t>H</t>
        </is>
      </c>
      <c r="C3913" s="12" t="inlineStr">
        <is>
          <t>BESS</t>
        </is>
      </c>
      <c r="D3913" s="12" t="inlineStr">
        <is>
          <t>Instrumentation</t>
        </is>
      </c>
      <c r="E3913" s="12" t="inlineStr"/>
      <c r="F3913" s="12" t="inlineStr">
        <is>
          <t>BESS PCS / MV skid</t>
        </is>
      </c>
      <c r="G3913" s="12" t="inlineStr"/>
      <c r="H3913" s="12" t="inlineStr">
        <is>
          <t>BESS container (ISO 40 ft high cube)</t>
        </is>
      </c>
      <c r="I3913" s="12" t="inlineStr">
        <is>
          <t>Instrumentation</t>
        </is>
      </c>
      <c r="J3913" s="12" t="inlineStr">
        <is>
          <t>Instrumentation PLTC / TC-ER 300 V, #18 twisted shielded pairs, overall shield</t>
        </is>
      </c>
      <c r="K3913" s="12" t="inlineStr">
        <is>
          <t>PLTC|4 pr|18</t>
        </is>
      </c>
      <c r="L3913" s="12" t="inlineStr">
        <is>
          <t>4 pr</t>
        </is>
      </c>
      <c r="M3913" s="12" t="inlineStr">
        <is>
          <t>18</t>
        </is>
      </c>
      <c r="N3913" s="12" t="n">
        <v>1</v>
      </c>
      <c r="O3913" s="12" t="n">
        <v>1</v>
      </c>
      <c r="P3913" s="12" t="n"/>
      <c r="Q3913" s="12" t="n"/>
      <c r="R3913" s="12" t="n"/>
      <c r="S3913" s="12" t="inlineStr">
        <is>
          <t>Duct bank</t>
        </is>
      </c>
      <c r="T3913" s="16" t="n">
        <v>10</v>
      </c>
      <c r="U3913" s="16" t="n">
        <v>266</v>
      </c>
      <c r="V3913" s="16">
        <f>ROUNDUP((T3913+U3913+2*'Read Me'!$B$13)*(1+'Read Me'!$B$12),-1)</f>
        <v/>
      </c>
      <c r="W3913" s="16">
        <f>V3913*N3913*O3913</f>
        <v/>
      </c>
      <c r="X3913" s="12">
        <f>IF(LEFT(I3913,2)="MV",2*N3913*IF(L3913="1/C",O3913,1),0)</f>
        <v/>
      </c>
      <c r="Y3913" s="12">
        <f>IF(OR(LEFT(K3913,4)="LVAX",LEFT(K3913,6)="MV15AX",LEFT(K3913,4)="CTAX",LEFT(K3913,2)="W|"),2*N3913*O3913,0)</f>
        <v/>
      </c>
      <c r="Z3913" s="12" t="inlineStr"/>
      <c r="AA3913" s="12">
        <f>N3913*O3913</f>
        <v/>
      </c>
    </row>
    <row r="3914">
      <c r="A3914" s="12" t="inlineStr">
        <is>
          <t>H-I-0073</t>
        </is>
      </c>
      <c r="B3914" s="12" t="inlineStr">
        <is>
          <t>H</t>
        </is>
      </c>
      <c r="C3914" s="12" t="inlineStr">
        <is>
          <t>BESS</t>
        </is>
      </c>
      <c r="D3914" s="12" t="inlineStr">
        <is>
          <t>Instrumentation</t>
        </is>
      </c>
      <c r="E3914" s="12" t="inlineStr"/>
      <c r="F3914" s="12" t="inlineStr">
        <is>
          <t>BESS PCS / MV skid</t>
        </is>
      </c>
      <c r="G3914" s="12" t="inlineStr"/>
      <c r="H3914" s="12" t="inlineStr">
        <is>
          <t>BESS container (ISO 40 ft high cube)</t>
        </is>
      </c>
      <c r="I3914" s="12" t="inlineStr">
        <is>
          <t>Instrumentation</t>
        </is>
      </c>
      <c r="J3914" s="12" t="inlineStr">
        <is>
          <t>Instrumentation PLTC / TC-ER 300 V, #18 twisted shielded pairs, overall shield</t>
        </is>
      </c>
      <c r="K3914" s="12" t="inlineStr">
        <is>
          <t>PLTC|4 pr|18</t>
        </is>
      </c>
      <c r="L3914" s="12" t="inlineStr">
        <is>
          <t>4 pr</t>
        </is>
      </c>
      <c r="M3914" s="12" t="inlineStr">
        <is>
          <t>18</t>
        </is>
      </c>
      <c r="N3914" s="12" t="n">
        <v>1</v>
      </c>
      <c r="O3914" s="12" t="n">
        <v>1</v>
      </c>
      <c r="P3914" s="12" t="n"/>
      <c r="Q3914" s="12" t="n"/>
      <c r="R3914" s="12" t="n"/>
      <c r="S3914" s="12" t="inlineStr">
        <is>
          <t>Tray</t>
        </is>
      </c>
      <c r="T3914" s="16" t="n">
        <v>0</v>
      </c>
      <c r="U3914" s="16" t="n">
        <v>276</v>
      </c>
      <c r="V3914" s="16">
        <f>ROUNDUP((T3914+U3914+2*'Read Me'!$B$13)*(1+'Read Me'!$B$12),-1)</f>
        <v/>
      </c>
      <c r="W3914" s="16">
        <f>V3914*N3914*O3914</f>
        <v/>
      </c>
      <c r="X3914" s="12">
        <f>IF(LEFT(I3914,2)="MV",2*N3914*IF(L3914="1/C",O3914,1),0)</f>
        <v/>
      </c>
      <c r="Y3914" s="12">
        <f>IF(OR(LEFT(K3914,4)="LVAX",LEFT(K3914,6)="MV15AX",LEFT(K3914,4)="CTAX",LEFT(K3914,2)="W|"),2*N3914*O3914,0)</f>
        <v/>
      </c>
      <c r="Z3914" s="12" t="inlineStr"/>
      <c r="AA3914" s="12">
        <f>N3914*O3914</f>
        <v/>
      </c>
    </row>
    <row r="3915">
      <c r="A3915" s="12" t="inlineStr">
        <is>
          <t>H-I-0074</t>
        </is>
      </c>
      <c r="B3915" s="12" t="inlineStr">
        <is>
          <t>H</t>
        </is>
      </c>
      <c r="C3915" s="12" t="inlineStr">
        <is>
          <t>BESS</t>
        </is>
      </c>
      <c r="D3915" s="12" t="inlineStr">
        <is>
          <t>Instrumentation</t>
        </is>
      </c>
      <c r="E3915" s="12" t="inlineStr"/>
      <c r="F3915" s="12" t="inlineStr">
        <is>
          <t>BESS PCS / MV skid</t>
        </is>
      </c>
      <c r="G3915" s="12" t="inlineStr"/>
      <c r="H3915" s="12" t="inlineStr">
        <is>
          <t>BESS container (ISO 40 ft high cube)</t>
        </is>
      </c>
      <c r="I3915" s="12" t="inlineStr">
        <is>
          <t>Instrumentation</t>
        </is>
      </c>
      <c r="J3915" s="12" t="inlineStr">
        <is>
          <t>Instrumentation PLTC / TC-ER 300 V, #18 twisted shielded pairs, overall shield</t>
        </is>
      </c>
      <c r="K3915" s="12" t="inlineStr">
        <is>
          <t>PLTC|4 pr|18</t>
        </is>
      </c>
      <c r="L3915" s="12" t="inlineStr">
        <is>
          <t>4 pr</t>
        </is>
      </c>
      <c r="M3915" s="12" t="inlineStr">
        <is>
          <t>18</t>
        </is>
      </c>
      <c r="N3915" s="12" t="n">
        <v>1</v>
      </c>
      <c r="O3915" s="12" t="n">
        <v>1</v>
      </c>
      <c r="P3915" s="12" t="n"/>
      <c r="Q3915" s="12" t="n"/>
      <c r="R3915" s="12" t="n"/>
      <c r="S3915" s="12" t="inlineStr">
        <is>
          <t>Tray</t>
        </is>
      </c>
      <c r="T3915" s="16" t="n">
        <v>0</v>
      </c>
      <c r="U3915" s="16" t="n">
        <v>316</v>
      </c>
      <c r="V3915" s="16">
        <f>ROUNDUP((T3915+U3915+2*'Read Me'!$B$13)*(1+'Read Me'!$B$12),-1)</f>
        <v/>
      </c>
      <c r="W3915" s="16">
        <f>V3915*N3915*O3915</f>
        <v/>
      </c>
      <c r="X3915" s="12">
        <f>IF(LEFT(I3915,2)="MV",2*N3915*IF(L3915="1/C",O3915,1),0)</f>
        <v/>
      </c>
      <c r="Y3915" s="12">
        <f>IF(OR(LEFT(K3915,4)="LVAX",LEFT(K3915,6)="MV15AX",LEFT(K3915,4)="CTAX",LEFT(K3915,2)="W|"),2*N3915*O3915,0)</f>
        <v/>
      </c>
      <c r="Z3915" s="12" t="inlineStr"/>
      <c r="AA3915" s="12">
        <f>N3915*O3915</f>
        <v/>
      </c>
    </row>
    <row r="3916">
      <c r="A3916" s="12" t="inlineStr">
        <is>
          <t>H-I-0075</t>
        </is>
      </c>
      <c r="B3916" s="12" t="inlineStr">
        <is>
          <t>H</t>
        </is>
      </c>
      <c r="C3916" s="12" t="inlineStr">
        <is>
          <t>BESS</t>
        </is>
      </c>
      <c r="D3916" s="12" t="inlineStr">
        <is>
          <t>Instrumentation</t>
        </is>
      </c>
      <c r="E3916" s="12" t="inlineStr"/>
      <c r="F3916" s="12" t="inlineStr">
        <is>
          <t>BESS PCS / MV skid</t>
        </is>
      </c>
      <c r="G3916" s="12" t="inlineStr"/>
      <c r="H3916" s="12" t="inlineStr">
        <is>
          <t>BESS container (ISO 40 ft high cube)</t>
        </is>
      </c>
      <c r="I3916" s="12" t="inlineStr">
        <is>
          <t>Instrumentation</t>
        </is>
      </c>
      <c r="J3916" s="12" t="inlineStr">
        <is>
          <t>Instrumentation PLTC / TC-ER 300 V, #18 twisted shielded pairs, overall shield</t>
        </is>
      </c>
      <c r="K3916" s="12" t="inlineStr">
        <is>
          <t>PLTC|4 pr|18</t>
        </is>
      </c>
      <c r="L3916" s="12" t="inlineStr">
        <is>
          <t>4 pr</t>
        </is>
      </c>
      <c r="M3916" s="12" t="inlineStr">
        <is>
          <t>18</t>
        </is>
      </c>
      <c r="N3916" s="12" t="n">
        <v>1</v>
      </c>
      <c r="O3916" s="12" t="n">
        <v>1</v>
      </c>
      <c r="P3916" s="12" t="n"/>
      <c r="Q3916" s="12" t="n"/>
      <c r="R3916" s="12" t="n"/>
      <c r="S3916" s="12" t="inlineStr">
        <is>
          <t>Tray</t>
        </is>
      </c>
      <c r="T3916" s="16" t="n">
        <v>0</v>
      </c>
      <c r="U3916" s="16" t="n">
        <v>316</v>
      </c>
      <c r="V3916" s="16">
        <f>ROUNDUP((T3916+U3916+2*'Read Me'!$B$13)*(1+'Read Me'!$B$12),-1)</f>
        <v/>
      </c>
      <c r="W3916" s="16">
        <f>V3916*N3916*O3916</f>
        <v/>
      </c>
      <c r="X3916" s="12">
        <f>IF(LEFT(I3916,2)="MV",2*N3916*IF(L3916="1/C",O3916,1),0)</f>
        <v/>
      </c>
      <c r="Y3916" s="12">
        <f>IF(OR(LEFT(K3916,4)="LVAX",LEFT(K3916,6)="MV15AX",LEFT(K3916,4)="CTAX",LEFT(K3916,2)="W|"),2*N3916*O3916,0)</f>
        <v/>
      </c>
      <c r="Z3916" s="12" t="inlineStr"/>
      <c r="AA3916" s="12">
        <f>N3916*O3916</f>
        <v/>
      </c>
    </row>
    <row r="3917">
      <c r="A3917" s="12" t="inlineStr">
        <is>
          <t>H-I-0076</t>
        </is>
      </c>
      <c r="B3917" s="12" t="inlineStr">
        <is>
          <t>H</t>
        </is>
      </c>
      <c r="C3917" s="12" t="inlineStr">
        <is>
          <t>BESS</t>
        </is>
      </c>
      <c r="D3917" s="12" t="inlineStr">
        <is>
          <t>Instrumentation</t>
        </is>
      </c>
      <c r="E3917" s="12" t="inlineStr"/>
      <c r="F3917" s="12" t="inlineStr">
        <is>
          <t>BESS PCS / MV skid</t>
        </is>
      </c>
      <c r="G3917" s="12" t="inlineStr"/>
      <c r="H3917" s="12" t="inlineStr">
        <is>
          <t>BESS container (ISO 40 ft high cube)</t>
        </is>
      </c>
      <c r="I3917" s="12" t="inlineStr">
        <is>
          <t>Instrumentation</t>
        </is>
      </c>
      <c r="J3917" s="12" t="inlineStr">
        <is>
          <t>Instrumentation PLTC / TC-ER 300 V, #18 twisted shielded pairs, overall shield</t>
        </is>
      </c>
      <c r="K3917" s="12" t="inlineStr">
        <is>
          <t>PLTC|4 pr|18</t>
        </is>
      </c>
      <c r="L3917" s="12" t="inlineStr">
        <is>
          <t>4 pr</t>
        </is>
      </c>
      <c r="M3917" s="12" t="inlineStr">
        <is>
          <t>18</t>
        </is>
      </c>
      <c r="N3917" s="12" t="n">
        <v>1</v>
      </c>
      <c r="O3917" s="12" t="n">
        <v>1</v>
      </c>
      <c r="P3917" s="12" t="n"/>
      <c r="Q3917" s="12" t="n"/>
      <c r="R3917" s="12" t="n"/>
      <c r="S3917" s="12" t="inlineStr">
        <is>
          <t>Tray</t>
        </is>
      </c>
      <c r="T3917" s="16" t="n">
        <v>0</v>
      </c>
      <c r="U3917" s="16" t="n">
        <v>284</v>
      </c>
      <c r="V3917" s="16">
        <f>ROUNDUP((T3917+U3917+2*'Read Me'!$B$13)*(1+'Read Me'!$B$12),-1)</f>
        <v/>
      </c>
      <c r="W3917" s="16">
        <f>V3917*N3917*O3917</f>
        <v/>
      </c>
      <c r="X3917" s="12">
        <f>IF(LEFT(I3917,2)="MV",2*N3917*IF(L3917="1/C",O3917,1),0)</f>
        <v/>
      </c>
      <c r="Y3917" s="12">
        <f>IF(OR(LEFT(K3917,4)="LVAX",LEFT(K3917,6)="MV15AX",LEFT(K3917,4)="CTAX",LEFT(K3917,2)="W|"),2*N3917*O3917,0)</f>
        <v/>
      </c>
      <c r="Z3917" s="12" t="inlineStr"/>
      <c r="AA3917" s="12">
        <f>N3917*O3917</f>
        <v/>
      </c>
    </row>
    <row r="3918">
      <c r="A3918" s="12" t="inlineStr">
        <is>
          <t>H-I-0077</t>
        </is>
      </c>
      <c r="B3918" s="12" t="inlineStr">
        <is>
          <t>H</t>
        </is>
      </c>
      <c r="C3918" s="12" t="inlineStr">
        <is>
          <t>BESS</t>
        </is>
      </c>
      <c r="D3918" s="12" t="inlineStr">
        <is>
          <t>Instrumentation</t>
        </is>
      </c>
      <c r="E3918" s="12" t="inlineStr"/>
      <c r="F3918" s="12" t="inlineStr">
        <is>
          <t>BESS PCS / MV skid</t>
        </is>
      </c>
      <c r="G3918" s="12" t="inlineStr"/>
      <c r="H3918" s="12" t="inlineStr">
        <is>
          <t>BESS container (ISO 40 ft high cube)</t>
        </is>
      </c>
      <c r="I3918" s="12" t="inlineStr">
        <is>
          <t>Instrumentation</t>
        </is>
      </c>
      <c r="J3918" s="12" t="inlineStr">
        <is>
          <t>Instrumentation PLTC / TC-ER 300 V, #18 twisted shielded pairs, overall shield</t>
        </is>
      </c>
      <c r="K3918" s="12" t="inlineStr">
        <is>
          <t>PLTC|4 pr|18</t>
        </is>
      </c>
      <c r="L3918" s="12" t="inlineStr">
        <is>
          <t>4 pr</t>
        </is>
      </c>
      <c r="M3918" s="12" t="inlineStr">
        <is>
          <t>18</t>
        </is>
      </c>
      <c r="N3918" s="12" t="n">
        <v>1</v>
      </c>
      <c r="O3918" s="12" t="n">
        <v>1</v>
      </c>
      <c r="P3918" s="12" t="n"/>
      <c r="Q3918" s="12" t="n"/>
      <c r="R3918" s="12" t="n"/>
      <c r="S3918" s="12" t="inlineStr">
        <is>
          <t>Tray</t>
        </is>
      </c>
      <c r="T3918" s="16" t="n">
        <v>0</v>
      </c>
      <c r="U3918" s="16" t="n">
        <v>284</v>
      </c>
      <c r="V3918" s="16">
        <f>ROUNDUP((T3918+U3918+2*'Read Me'!$B$13)*(1+'Read Me'!$B$12),-1)</f>
        <v/>
      </c>
      <c r="W3918" s="16">
        <f>V3918*N3918*O3918</f>
        <v/>
      </c>
      <c r="X3918" s="12">
        <f>IF(LEFT(I3918,2)="MV",2*N3918*IF(L3918="1/C",O3918,1),0)</f>
        <v/>
      </c>
      <c r="Y3918" s="12">
        <f>IF(OR(LEFT(K3918,4)="LVAX",LEFT(K3918,6)="MV15AX",LEFT(K3918,4)="CTAX",LEFT(K3918,2)="W|"),2*N3918*O3918,0)</f>
        <v/>
      </c>
      <c r="Z3918" s="12" t="inlineStr"/>
      <c r="AA3918" s="12">
        <f>N3918*O3918</f>
        <v/>
      </c>
    </row>
    <row r="3919">
      <c r="A3919" s="12" t="inlineStr">
        <is>
          <t>H-I-0078</t>
        </is>
      </c>
      <c r="B3919" s="12" t="inlineStr">
        <is>
          <t>H</t>
        </is>
      </c>
      <c r="C3919" s="12" t="inlineStr">
        <is>
          <t>BESS</t>
        </is>
      </c>
      <c r="D3919" s="12" t="inlineStr">
        <is>
          <t>Instrumentation</t>
        </is>
      </c>
      <c r="E3919" s="12" t="inlineStr"/>
      <c r="F3919" s="12" t="inlineStr">
        <is>
          <t>BESS PCS / MV skid</t>
        </is>
      </c>
      <c r="G3919" s="12" t="inlineStr"/>
      <c r="H3919" s="12" t="inlineStr">
        <is>
          <t>BESS container (ISO 40 ft high cube)</t>
        </is>
      </c>
      <c r="I3919" s="12" t="inlineStr">
        <is>
          <t>Instrumentation</t>
        </is>
      </c>
      <c r="J3919" s="12" t="inlineStr">
        <is>
          <t>Instrumentation PLTC / TC-ER 300 V, #18 twisted shielded pairs, overall shield</t>
        </is>
      </c>
      <c r="K3919" s="12" t="inlineStr">
        <is>
          <t>PLTC|4 pr|18</t>
        </is>
      </c>
      <c r="L3919" s="12" t="inlineStr">
        <is>
          <t>4 pr</t>
        </is>
      </c>
      <c r="M3919" s="12" t="inlineStr">
        <is>
          <t>18</t>
        </is>
      </c>
      <c r="N3919" s="12" t="n">
        <v>1</v>
      </c>
      <c r="O3919" s="12" t="n">
        <v>1</v>
      </c>
      <c r="P3919" s="12" t="n"/>
      <c r="Q3919" s="12" t="n"/>
      <c r="R3919" s="12" t="n"/>
      <c r="S3919" s="12" t="inlineStr">
        <is>
          <t>Tray</t>
        </is>
      </c>
      <c r="T3919" s="16" t="n">
        <v>0</v>
      </c>
      <c r="U3919" s="16" t="n">
        <v>290</v>
      </c>
      <c r="V3919" s="16">
        <f>ROUNDUP((T3919+U3919+2*'Read Me'!$B$13)*(1+'Read Me'!$B$12),-1)</f>
        <v/>
      </c>
      <c r="W3919" s="16">
        <f>V3919*N3919*O3919</f>
        <v/>
      </c>
      <c r="X3919" s="12">
        <f>IF(LEFT(I3919,2)="MV",2*N3919*IF(L3919="1/C",O3919,1),0)</f>
        <v/>
      </c>
      <c r="Y3919" s="12">
        <f>IF(OR(LEFT(K3919,4)="LVAX",LEFT(K3919,6)="MV15AX",LEFT(K3919,4)="CTAX",LEFT(K3919,2)="W|"),2*N3919*O3919,0)</f>
        <v/>
      </c>
      <c r="Z3919" s="12" t="inlineStr"/>
      <c r="AA3919" s="12">
        <f>N3919*O3919</f>
        <v/>
      </c>
    </row>
    <row r="3920">
      <c r="A3920" s="12" t="inlineStr">
        <is>
          <t>H-I-0079</t>
        </is>
      </c>
      <c r="B3920" s="12" t="inlineStr">
        <is>
          <t>H</t>
        </is>
      </c>
      <c r="C3920" s="12" t="inlineStr">
        <is>
          <t>BESS</t>
        </is>
      </c>
      <c r="D3920" s="12" t="inlineStr">
        <is>
          <t>Instrumentation</t>
        </is>
      </c>
      <c r="E3920" s="12" t="inlineStr"/>
      <c r="F3920" s="12" t="inlineStr">
        <is>
          <t>BESS PCS / MV skid</t>
        </is>
      </c>
      <c r="G3920" s="12" t="inlineStr"/>
      <c r="H3920" s="12" t="inlineStr">
        <is>
          <t>BESS container (ISO 40 ft high cube)</t>
        </is>
      </c>
      <c r="I3920" s="12" t="inlineStr">
        <is>
          <t>Instrumentation</t>
        </is>
      </c>
      <c r="J3920" s="12" t="inlineStr">
        <is>
          <t>Instrumentation PLTC / TC-ER 300 V, #18 twisted shielded pairs, overall shield</t>
        </is>
      </c>
      <c r="K3920" s="12" t="inlineStr">
        <is>
          <t>PLTC|4 pr|18</t>
        </is>
      </c>
      <c r="L3920" s="12" t="inlineStr">
        <is>
          <t>4 pr</t>
        </is>
      </c>
      <c r="M3920" s="12" t="inlineStr">
        <is>
          <t>18</t>
        </is>
      </c>
      <c r="N3920" s="12" t="n">
        <v>1</v>
      </c>
      <c r="O3920" s="12" t="n">
        <v>1</v>
      </c>
      <c r="P3920" s="12" t="n"/>
      <c r="Q3920" s="12" t="n"/>
      <c r="R3920" s="12" t="n"/>
      <c r="S3920" s="12" t="inlineStr">
        <is>
          <t>Tray</t>
        </is>
      </c>
      <c r="T3920" s="16" t="n">
        <v>0</v>
      </c>
      <c r="U3920" s="16" t="n">
        <v>290</v>
      </c>
      <c r="V3920" s="16">
        <f>ROUNDUP((T3920+U3920+2*'Read Me'!$B$13)*(1+'Read Me'!$B$12),-1)</f>
        <v/>
      </c>
      <c r="W3920" s="16">
        <f>V3920*N3920*O3920</f>
        <v/>
      </c>
      <c r="X3920" s="12">
        <f>IF(LEFT(I3920,2)="MV",2*N3920*IF(L3920="1/C",O3920,1),0)</f>
        <v/>
      </c>
      <c r="Y3920" s="12">
        <f>IF(OR(LEFT(K3920,4)="LVAX",LEFT(K3920,6)="MV15AX",LEFT(K3920,4)="CTAX",LEFT(K3920,2)="W|"),2*N3920*O3920,0)</f>
        <v/>
      </c>
      <c r="Z3920" s="12" t="inlineStr"/>
      <c r="AA3920" s="12">
        <f>N3920*O3920</f>
        <v/>
      </c>
    </row>
    <row r="3921">
      <c r="A3921" s="12" t="inlineStr">
        <is>
          <t>H-I-0080</t>
        </is>
      </c>
      <c r="B3921" s="12" t="inlineStr">
        <is>
          <t>H</t>
        </is>
      </c>
      <c r="C3921" s="12" t="inlineStr">
        <is>
          <t>BESS</t>
        </is>
      </c>
      <c r="D3921" s="12" t="inlineStr">
        <is>
          <t>Instrumentation</t>
        </is>
      </c>
      <c r="E3921" s="12" t="inlineStr"/>
      <c r="F3921" s="12" t="inlineStr">
        <is>
          <t>BESS PCS / MV skid</t>
        </is>
      </c>
      <c r="G3921" s="12" t="inlineStr"/>
      <c r="H3921" s="12" t="inlineStr">
        <is>
          <t>BESS container (ISO 40 ft high cube)</t>
        </is>
      </c>
      <c r="I3921" s="12" t="inlineStr">
        <is>
          <t>Instrumentation</t>
        </is>
      </c>
      <c r="J3921" s="12" t="inlineStr">
        <is>
          <t>Instrumentation PLTC / TC-ER 300 V, #18 twisted shielded pairs, overall shield</t>
        </is>
      </c>
      <c r="K3921" s="12" t="inlineStr">
        <is>
          <t>PLTC|4 pr|18</t>
        </is>
      </c>
      <c r="L3921" s="12" t="inlineStr">
        <is>
          <t>4 pr</t>
        </is>
      </c>
      <c r="M3921" s="12" t="inlineStr">
        <is>
          <t>18</t>
        </is>
      </c>
      <c r="N3921" s="12" t="n">
        <v>1</v>
      </c>
      <c r="O3921" s="12" t="n">
        <v>1</v>
      </c>
      <c r="P3921" s="12" t="n"/>
      <c r="Q3921" s="12" t="n"/>
      <c r="R3921" s="12" t="n"/>
      <c r="S3921" s="12" t="inlineStr">
        <is>
          <t>Tray</t>
        </is>
      </c>
      <c r="T3921" s="16" t="n">
        <v>0</v>
      </c>
      <c r="U3921" s="16" t="n">
        <v>290</v>
      </c>
      <c r="V3921" s="16">
        <f>ROUNDUP((T3921+U3921+2*'Read Me'!$B$13)*(1+'Read Me'!$B$12),-1)</f>
        <v/>
      </c>
      <c r="W3921" s="16">
        <f>V3921*N3921*O3921</f>
        <v/>
      </c>
      <c r="X3921" s="12">
        <f>IF(LEFT(I3921,2)="MV",2*N3921*IF(L3921="1/C",O3921,1),0)</f>
        <v/>
      </c>
      <c r="Y3921" s="12">
        <f>IF(OR(LEFT(K3921,4)="LVAX",LEFT(K3921,6)="MV15AX",LEFT(K3921,4)="CTAX",LEFT(K3921,2)="W|"),2*N3921*O3921,0)</f>
        <v/>
      </c>
      <c r="Z3921" s="12" t="inlineStr"/>
      <c r="AA3921" s="12">
        <f>N3921*O3921</f>
        <v/>
      </c>
    </row>
    <row r="3922">
      <c r="A3922" s="12" t="inlineStr">
        <is>
          <t>H-I-0081</t>
        </is>
      </c>
      <c r="B3922" s="12" t="inlineStr">
        <is>
          <t>H</t>
        </is>
      </c>
      <c r="C3922" s="12" t="inlineStr">
        <is>
          <t>BESS</t>
        </is>
      </c>
      <c r="D3922" s="12" t="inlineStr">
        <is>
          <t>Instrumentation</t>
        </is>
      </c>
      <c r="E3922" s="12" t="inlineStr"/>
      <c r="F3922" s="12" t="inlineStr">
        <is>
          <t>BESS PCS / MV skid</t>
        </is>
      </c>
      <c r="G3922" s="12" t="inlineStr"/>
      <c r="H3922" s="12" t="inlineStr">
        <is>
          <t>BESS container (ISO 40 ft high cube)</t>
        </is>
      </c>
      <c r="I3922" s="12" t="inlineStr">
        <is>
          <t>Instrumentation</t>
        </is>
      </c>
      <c r="J3922" s="12" t="inlineStr">
        <is>
          <t>Instrumentation PLTC / TC-ER 300 V, #18 twisted shielded pairs, overall shield</t>
        </is>
      </c>
      <c r="K3922" s="12" t="inlineStr">
        <is>
          <t>PLTC|4 pr|18</t>
        </is>
      </c>
      <c r="L3922" s="12" t="inlineStr">
        <is>
          <t>4 pr</t>
        </is>
      </c>
      <c r="M3922" s="12" t="inlineStr">
        <is>
          <t>18</t>
        </is>
      </c>
      <c r="N3922" s="12" t="n">
        <v>1</v>
      </c>
      <c r="O3922" s="12" t="n">
        <v>1</v>
      </c>
      <c r="P3922" s="12" t="n"/>
      <c r="Q3922" s="12" t="n"/>
      <c r="R3922" s="12" t="n"/>
      <c r="S3922" s="12" t="inlineStr">
        <is>
          <t>Tray</t>
        </is>
      </c>
      <c r="T3922" s="16" t="n">
        <v>0</v>
      </c>
      <c r="U3922" s="16" t="n">
        <v>290</v>
      </c>
      <c r="V3922" s="16">
        <f>ROUNDUP((T3922+U3922+2*'Read Me'!$B$13)*(1+'Read Me'!$B$12),-1)</f>
        <v/>
      </c>
      <c r="W3922" s="16">
        <f>V3922*N3922*O3922</f>
        <v/>
      </c>
      <c r="X3922" s="12">
        <f>IF(LEFT(I3922,2)="MV",2*N3922*IF(L3922="1/C",O3922,1),0)</f>
        <v/>
      </c>
      <c r="Y3922" s="12">
        <f>IF(OR(LEFT(K3922,4)="LVAX",LEFT(K3922,6)="MV15AX",LEFT(K3922,4)="CTAX",LEFT(K3922,2)="W|"),2*N3922*O3922,0)</f>
        <v/>
      </c>
      <c r="Z3922" s="12" t="inlineStr"/>
      <c r="AA3922" s="12">
        <f>N3922*O3922</f>
        <v/>
      </c>
    </row>
    <row r="3923">
      <c r="A3923" s="12" t="inlineStr">
        <is>
          <t>H-I-0082</t>
        </is>
      </c>
      <c r="B3923" s="12" t="inlineStr">
        <is>
          <t>H</t>
        </is>
      </c>
      <c r="C3923" s="12" t="inlineStr">
        <is>
          <t>BESS</t>
        </is>
      </c>
      <c r="D3923" s="12" t="inlineStr">
        <is>
          <t>Instrumentation</t>
        </is>
      </c>
      <c r="E3923" s="12" t="inlineStr"/>
      <c r="F3923" s="12" t="inlineStr">
        <is>
          <t>BESS PCS / MV skid</t>
        </is>
      </c>
      <c r="G3923" s="12" t="inlineStr"/>
      <c r="H3923" s="12" t="inlineStr">
        <is>
          <t>BESS container (ISO 40 ft high cube)</t>
        </is>
      </c>
      <c r="I3923" s="12" t="inlineStr">
        <is>
          <t>Instrumentation</t>
        </is>
      </c>
      <c r="J3923" s="12" t="inlineStr">
        <is>
          <t>Instrumentation PLTC / TC-ER 300 V, #18 twisted shielded pairs, overall shield</t>
        </is>
      </c>
      <c r="K3923" s="12" t="inlineStr">
        <is>
          <t>PLTC|4 pr|18</t>
        </is>
      </c>
      <c r="L3923" s="12" t="inlineStr">
        <is>
          <t>4 pr</t>
        </is>
      </c>
      <c r="M3923" s="12" t="inlineStr">
        <is>
          <t>18</t>
        </is>
      </c>
      <c r="N3923" s="12" t="n">
        <v>1</v>
      </c>
      <c r="O3923" s="12" t="n">
        <v>1</v>
      </c>
      <c r="P3923" s="12" t="n"/>
      <c r="Q3923" s="12" t="n"/>
      <c r="R3923" s="12" t="n"/>
      <c r="S3923" s="12" t="inlineStr">
        <is>
          <t>Tray</t>
        </is>
      </c>
      <c r="T3923" s="16" t="n">
        <v>0</v>
      </c>
      <c r="U3923" s="16" t="n">
        <v>290</v>
      </c>
      <c r="V3923" s="16">
        <f>ROUNDUP((T3923+U3923+2*'Read Me'!$B$13)*(1+'Read Me'!$B$12),-1)</f>
        <v/>
      </c>
      <c r="W3923" s="16">
        <f>V3923*N3923*O3923</f>
        <v/>
      </c>
      <c r="X3923" s="12">
        <f>IF(LEFT(I3923,2)="MV",2*N3923*IF(L3923="1/C",O3923,1),0)</f>
        <v/>
      </c>
      <c r="Y3923" s="12">
        <f>IF(OR(LEFT(K3923,4)="LVAX",LEFT(K3923,6)="MV15AX",LEFT(K3923,4)="CTAX",LEFT(K3923,2)="W|"),2*N3923*O3923,0)</f>
        <v/>
      </c>
      <c r="Z3923" s="12" t="inlineStr"/>
      <c r="AA3923" s="12">
        <f>N3923*O3923</f>
        <v/>
      </c>
    </row>
    <row r="3924">
      <c r="A3924" s="12" t="inlineStr">
        <is>
          <t>H-I-0083</t>
        </is>
      </c>
      <c r="B3924" s="12" t="inlineStr">
        <is>
          <t>H</t>
        </is>
      </c>
      <c r="C3924" s="12" t="inlineStr">
        <is>
          <t>BESS</t>
        </is>
      </c>
      <c r="D3924" s="12" t="inlineStr">
        <is>
          <t>Instrumentation</t>
        </is>
      </c>
      <c r="E3924" s="12" t="inlineStr"/>
      <c r="F3924" s="12" t="inlineStr">
        <is>
          <t>BESS PCS / MV skid</t>
        </is>
      </c>
      <c r="G3924" s="12" t="inlineStr"/>
      <c r="H3924" s="12" t="inlineStr">
        <is>
          <t>BESS container (ISO 40 ft high cube)</t>
        </is>
      </c>
      <c r="I3924" s="12" t="inlineStr">
        <is>
          <t>Instrumentation</t>
        </is>
      </c>
      <c r="J3924" s="12" t="inlineStr">
        <is>
          <t>Instrumentation PLTC / TC-ER 300 V, #18 twisted shielded pairs, overall shield</t>
        </is>
      </c>
      <c r="K3924" s="12" t="inlineStr">
        <is>
          <t>PLTC|4 pr|18</t>
        </is>
      </c>
      <c r="L3924" s="12" t="inlineStr">
        <is>
          <t>4 pr</t>
        </is>
      </c>
      <c r="M3924" s="12" t="inlineStr">
        <is>
          <t>18</t>
        </is>
      </c>
      <c r="N3924" s="12" t="n">
        <v>1</v>
      </c>
      <c r="O3924" s="12" t="n">
        <v>1</v>
      </c>
      <c r="P3924" s="12" t="n"/>
      <c r="Q3924" s="12" t="n"/>
      <c r="R3924" s="12" t="n"/>
      <c r="S3924" s="12" t="inlineStr">
        <is>
          <t>Tray</t>
        </is>
      </c>
      <c r="T3924" s="16" t="n">
        <v>0</v>
      </c>
      <c r="U3924" s="16" t="n">
        <v>290</v>
      </c>
      <c r="V3924" s="16">
        <f>ROUNDUP((T3924+U3924+2*'Read Me'!$B$13)*(1+'Read Me'!$B$12),-1)</f>
        <v/>
      </c>
      <c r="W3924" s="16">
        <f>V3924*N3924*O3924</f>
        <v/>
      </c>
      <c r="X3924" s="12">
        <f>IF(LEFT(I3924,2)="MV",2*N3924*IF(L3924="1/C",O3924,1),0)</f>
        <v/>
      </c>
      <c r="Y3924" s="12">
        <f>IF(OR(LEFT(K3924,4)="LVAX",LEFT(K3924,6)="MV15AX",LEFT(K3924,4)="CTAX",LEFT(K3924,2)="W|"),2*N3924*O3924,0)</f>
        <v/>
      </c>
      <c r="Z3924" s="12" t="inlineStr"/>
      <c r="AA3924" s="12">
        <f>N3924*O3924</f>
        <v/>
      </c>
    </row>
    <row r="3925">
      <c r="A3925" s="12" t="inlineStr">
        <is>
          <t>H-I-0084</t>
        </is>
      </c>
      <c r="B3925" s="12" t="inlineStr">
        <is>
          <t>H</t>
        </is>
      </c>
      <c r="C3925" s="12" t="inlineStr">
        <is>
          <t>BESS</t>
        </is>
      </c>
      <c r="D3925" s="12" t="inlineStr">
        <is>
          <t>Instrumentation</t>
        </is>
      </c>
      <c r="E3925" s="12" t="inlineStr"/>
      <c r="F3925" s="12" t="inlineStr">
        <is>
          <t>BESS PCS / MV skid</t>
        </is>
      </c>
      <c r="G3925" s="12" t="inlineStr"/>
      <c r="H3925" s="12" t="inlineStr">
        <is>
          <t>BESS container (ISO 40 ft high cube)</t>
        </is>
      </c>
      <c r="I3925" s="12" t="inlineStr">
        <is>
          <t>Instrumentation</t>
        </is>
      </c>
      <c r="J3925" s="12" t="inlineStr">
        <is>
          <t>Instrumentation PLTC / TC-ER 300 V, #18 twisted shielded pairs, overall shield</t>
        </is>
      </c>
      <c r="K3925" s="12" t="inlineStr">
        <is>
          <t>PLTC|4 pr|18</t>
        </is>
      </c>
      <c r="L3925" s="12" t="inlineStr">
        <is>
          <t>4 pr</t>
        </is>
      </c>
      <c r="M3925" s="12" t="inlineStr">
        <is>
          <t>18</t>
        </is>
      </c>
      <c r="N3925" s="12" t="n">
        <v>1</v>
      </c>
      <c r="O3925" s="12" t="n">
        <v>1</v>
      </c>
      <c r="P3925" s="12" t="n"/>
      <c r="Q3925" s="12" t="n"/>
      <c r="R3925" s="12" t="n"/>
      <c r="S3925" s="12" t="inlineStr">
        <is>
          <t>Tray</t>
        </is>
      </c>
      <c r="T3925" s="16" t="n">
        <v>0</v>
      </c>
      <c r="U3925" s="16" t="n">
        <v>174</v>
      </c>
      <c r="V3925" s="16">
        <f>ROUNDUP((T3925+U3925+2*'Read Me'!$B$13)*(1+'Read Me'!$B$12),-1)</f>
        <v/>
      </c>
      <c r="W3925" s="16">
        <f>V3925*N3925*O3925</f>
        <v/>
      </c>
      <c r="X3925" s="12">
        <f>IF(LEFT(I3925,2)="MV",2*N3925*IF(L3925="1/C",O3925,1),0)</f>
        <v/>
      </c>
      <c r="Y3925" s="12">
        <f>IF(OR(LEFT(K3925,4)="LVAX",LEFT(K3925,6)="MV15AX",LEFT(K3925,4)="CTAX",LEFT(K3925,2)="W|"),2*N3925*O3925,0)</f>
        <v/>
      </c>
      <c r="Z3925" s="12" t="inlineStr"/>
      <c r="AA3925" s="12">
        <f>N3925*O3925</f>
        <v/>
      </c>
    </row>
    <row r="3926">
      <c r="A3926" s="12" t="inlineStr">
        <is>
          <t>H-I-0085</t>
        </is>
      </c>
      <c r="B3926" s="12" t="inlineStr">
        <is>
          <t>H</t>
        </is>
      </c>
      <c r="C3926" s="12" t="inlineStr">
        <is>
          <t>BESS</t>
        </is>
      </c>
      <c r="D3926" s="12" t="inlineStr">
        <is>
          <t>Instrumentation</t>
        </is>
      </c>
      <c r="E3926" s="12" t="inlineStr"/>
      <c r="F3926" s="12" t="inlineStr">
        <is>
          <t>BESS PCS / MV skid</t>
        </is>
      </c>
      <c r="G3926" s="12" t="inlineStr"/>
      <c r="H3926" s="12" t="inlineStr">
        <is>
          <t>BESS container (ISO 40 ft high cube)</t>
        </is>
      </c>
      <c r="I3926" s="12" t="inlineStr">
        <is>
          <t>Instrumentation</t>
        </is>
      </c>
      <c r="J3926" s="12" t="inlineStr">
        <is>
          <t>Instrumentation PLTC / TC-ER 300 V, #18 twisted shielded pairs, overall shield</t>
        </is>
      </c>
      <c r="K3926" s="12" t="inlineStr">
        <is>
          <t>PLTC|4 pr|18</t>
        </is>
      </c>
      <c r="L3926" s="12" t="inlineStr">
        <is>
          <t>4 pr</t>
        </is>
      </c>
      <c r="M3926" s="12" t="inlineStr">
        <is>
          <t>18</t>
        </is>
      </c>
      <c r="N3926" s="12" t="n">
        <v>1</v>
      </c>
      <c r="O3926" s="12" t="n">
        <v>1</v>
      </c>
      <c r="P3926" s="12" t="n"/>
      <c r="Q3926" s="12" t="n"/>
      <c r="R3926" s="12" t="n"/>
      <c r="S3926" s="12" t="inlineStr">
        <is>
          <t>Tray</t>
        </is>
      </c>
      <c r="T3926" s="16" t="n">
        <v>0</v>
      </c>
      <c r="U3926" s="16" t="n">
        <v>174</v>
      </c>
      <c r="V3926" s="16">
        <f>ROUNDUP((T3926+U3926+2*'Read Me'!$B$13)*(1+'Read Me'!$B$12),-1)</f>
        <v/>
      </c>
      <c r="W3926" s="16">
        <f>V3926*N3926*O3926</f>
        <v/>
      </c>
      <c r="X3926" s="12">
        <f>IF(LEFT(I3926,2)="MV",2*N3926*IF(L3926="1/C",O3926,1),0)</f>
        <v/>
      </c>
      <c r="Y3926" s="12">
        <f>IF(OR(LEFT(K3926,4)="LVAX",LEFT(K3926,6)="MV15AX",LEFT(K3926,4)="CTAX",LEFT(K3926,2)="W|"),2*N3926*O3926,0)</f>
        <v/>
      </c>
      <c r="Z3926" s="12" t="inlineStr"/>
      <c r="AA3926" s="12">
        <f>N3926*O3926</f>
        <v/>
      </c>
    </row>
    <row r="3927">
      <c r="A3927" s="12" t="inlineStr">
        <is>
          <t>H-I-0086</t>
        </is>
      </c>
      <c r="B3927" s="12" t="inlineStr">
        <is>
          <t>H</t>
        </is>
      </c>
      <c r="C3927" s="12" t="inlineStr">
        <is>
          <t>BESS</t>
        </is>
      </c>
      <c r="D3927" s="12" t="inlineStr">
        <is>
          <t>Instrumentation</t>
        </is>
      </c>
      <c r="E3927" s="12" t="inlineStr"/>
      <c r="F3927" s="12" t="inlineStr">
        <is>
          <t>BESS PCS / MV skid</t>
        </is>
      </c>
      <c r="G3927" s="12" t="inlineStr"/>
      <c r="H3927" s="12" t="inlineStr">
        <is>
          <t>BESS container (ISO 40 ft high cube)</t>
        </is>
      </c>
      <c r="I3927" s="12" t="inlineStr">
        <is>
          <t>Instrumentation</t>
        </is>
      </c>
      <c r="J3927" s="12" t="inlineStr">
        <is>
          <t>Instrumentation PLTC / TC-ER 300 V, #18 twisted shielded pairs, overall shield</t>
        </is>
      </c>
      <c r="K3927" s="12" t="inlineStr">
        <is>
          <t>PLTC|4 pr|18</t>
        </is>
      </c>
      <c r="L3927" s="12" t="inlineStr">
        <is>
          <t>4 pr</t>
        </is>
      </c>
      <c r="M3927" s="12" t="inlineStr">
        <is>
          <t>18</t>
        </is>
      </c>
      <c r="N3927" s="12" t="n">
        <v>1</v>
      </c>
      <c r="O3927" s="12" t="n">
        <v>1</v>
      </c>
      <c r="P3927" s="12" t="n"/>
      <c r="Q3927" s="12" t="n"/>
      <c r="R3927" s="12" t="n"/>
      <c r="S3927" s="12" t="inlineStr">
        <is>
          <t>Tray</t>
        </is>
      </c>
      <c r="T3927" s="16" t="n">
        <v>0</v>
      </c>
      <c r="U3927" s="16" t="n">
        <v>174</v>
      </c>
      <c r="V3927" s="16">
        <f>ROUNDUP((T3927+U3927+2*'Read Me'!$B$13)*(1+'Read Me'!$B$12),-1)</f>
        <v/>
      </c>
      <c r="W3927" s="16">
        <f>V3927*N3927*O3927</f>
        <v/>
      </c>
      <c r="X3927" s="12">
        <f>IF(LEFT(I3927,2)="MV",2*N3927*IF(L3927="1/C",O3927,1),0)</f>
        <v/>
      </c>
      <c r="Y3927" s="12">
        <f>IF(OR(LEFT(K3927,4)="LVAX",LEFT(K3927,6)="MV15AX",LEFT(K3927,4)="CTAX",LEFT(K3927,2)="W|"),2*N3927*O3927,0)</f>
        <v/>
      </c>
      <c r="Z3927" s="12" t="inlineStr"/>
      <c r="AA3927" s="12">
        <f>N3927*O3927</f>
        <v/>
      </c>
    </row>
    <row r="3928">
      <c r="A3928" s="12" t="inlineStr">
        <is>
          <t>H-I-0087</t>
        </is>
      </c>
      <c r="B3928" s="12" t="inlineStr">
        <is>
          <t>H</t>
        </is>
      </c>
      <c r="C3928" s="12" t="inlineStr">
        <is>
          <t>BESS</t>
        </is>
      </c>
      <c r="D3928" s="12" t="inlineStr">
        <is>
          <t>Instrumentation</t>
        </is>
      </c>
      <c r="E3928" s="12" t="inlineStr"/>
      <c r="F3928" s="12" t="inlineStr">
        <is>
          <t>BESS PCS / MV skid</t>
        </is>
      </c>
      <c r="G3928" s="12" t="inlineStr"/>
      <c r="H3928" s="12" t="inlineStr">
        <is>
          <t>BESS container (ISO 40 ft high cube)</t>
        </is>
      </c>
      <c r="I3928" s="12" t="inlineStr">
        <is>
          <t>Instrumentation</t>
        </is>
      </c>
      <c r="J3928" s="12" t="inlineStr">
        <is>
          <t>Instrumentation PLTC / TC-ER 300 V, #18 twisted shielded pairs, overall shield</t>
        </is>
      </c>
      <c r="K3928" s="12" t="inlineStr">
        <is>
          <t>PLTC|4 pr|18</t>
        </is>
      </c>
      <c r="L3928" s="12" t="inlineStr">
        <is>
          <t>4 pr</t>
        </is>
      </c>
      <c r="M3928" s="12" t="inlineStr">
        <is>
          <t>18</t>
        </is>
      </c>
      <c r="N3928" s="12" t="n">
        <v>1</v>
      </c>
      <c r="O3928" s="12" t="n">
        <v>1</v>
      </c>
      <c r="P3928" s="12" t="n"/>
      <c r="Q3928" s="12" t="n"/>
      <c r="R3928" s="12" t="n"/>
      <c r="S3928" s="12" t="inlineStr">
        <is>
          <t>Tray</t>
        </is>
      </c>
      <c r="T3928" s="16" t="n">
        <v>0</v>
      </c>
      <c r="U3928" s="16" t="n">
        <v>174</v>
      </c>
      <c r="V3928" s="16">
        <f>ROUNDUP((T3928+U3928+2*'Read Me'!$B$13)*(1+'Read Me'!$B$12),-1)</f>
        <v/>
      </c>
      <c r="W3928" s="16">
        <f>V3928*N3928*O3928</f>
        <v/>
      </c>
      <c r="X3928" s="12">
        <f>IF(LEFT(I3928,2)="MV",2*N3928*IF(L3928="1/C",O3928,1),0)</f>
        <v/>
      </c>
      <c r="Y3928" s="12">
        <f>IF(OR(LEFT(K3928,4)="LVAX",LEFT(K3928,6)="MV15AX",LEFT(K3928,4)="CTAX",LEFT(K3928,2)="W|"),2*N3928*O3928,0)</f>
        <v/>
      </c>
      <c r="Z3928" s="12" t="inlineStr"/>
      <c r="AA3928" s="12">
        <f>N3928*O3928</f>
        <v/>
      </c>
    </row>
    <row r="3929">
      <c r="A3929" s="12" t="inlineStr">
        <is>
          <t>H-I-0088</t>
        </is>
      </c>
      <c r="B3929" s="12" t="inlineStr">
        <is>
          <t>H</t>
        </is>
      </c>
      <c r="C3929" s="12" t="inlineStr">
        <is>
          <t>BESS</t>
        </is>
      </c>
      <c r="D3929" s="12" t="inlineStr">
        <is>
          <t>Instrumentation</t>
        </is>
      </c>
      <c r="E3929" s="12" t="inlineStr"/>
      <c r="F3929" s="12" t="inlineStr">
        <is>
          <t>BESS PCS / MV skid</t>
        </is>
      </c>
      <c r="G3929" s="12" t="inlineStr"/>
      <c r="H3929" s="12" t="inlineStr">
        <is>
          <t>BESS container (ISO 40 ft high cube)</t>
        </is>
      </c>
      <c r="I3929" s="12" t="inlineStr">
        <is>
          <t>Instrumentation</t>
        </is>
      </c>
      <c r="J3929" s="12" t="inlineStr">
        <is>
          <t>Instrumentation PLTC / TC-ER 300 V, #18 twisted shielded pairs, overall shield</t>
        </is>
      </c>
      <c r="K3929" s="12" t="inlineStr">
        <is>
          <t>PLTC|4 pr|18</t>
        </is>
      </c>
      <c r="L3929" s="12" t="inlineStr">
        <is>
          <t>4 pr</t>
        </is>
      </c>
      <c r="M3929" s="12" t="inlineStr">
        <is>
          <t>18</t>
        </is>
      </c>
      <c r="N3929" s="12" t="n">
        <v>1</v>
      </c>
      <c r="O3929" s="12" t="n">
        <v>1</v>
      </c>
      <c r="P3929" s="12" t="n"/>
      <c r="Q3929" s="12" t="n"/>
      <c r="R3929" s="12" t="n"/>
      <c r="S3929" s="12" t="inlineStr">
        <is>
          <t>Tray</t>
        </is>
      </c>
      <c r="T3929" s="16" t="n">
        <v>0</v>
      </c>
      <c r="U3929" s="16" t="n">
        <v>174</v>
      </c>
      <c r="V3929" s="16">
        <f>ROUNDUP((T3929+U3929+2*'Read Me'!$B$13)*(1+'Read Me'!$B$12),-1)</f>
        <v/>
      </c>
      <c r="W3929" s="16">
        <f>V3929*N3929*O3929</f>
        <v/>
      </c>
      <c r="X3929" s="12">
        <f>IF(LEFT(I3929,2)="MV",2*N3929*IF(L3929="1/C",O3929,1),0)</f>
        <v/>
      </c>
      <c r="Y3929" s="12">
        <f>IF(OR(LEFT(K3929,4)="LVAX",LEFT(K3929,6)="MV15AX",LEFT(K3929,4)="CTAX",LEFT(K3929,2)="W|"),2*N3929*O3929,0)</f>
        <v/>
      </c>
      <c r="Z3929" s="12" t="inlineStr"/>
      <c r="AA3929" s="12">
        <f>N3929*O3929</f>
        <v/>
      </c>
    </row>
    <row r="3930">
      <c r="A3930" s="12" t="inlineStr">
        <is>
          <t>H-I-0089</t>
        </is>
      </c>
      <c r="B3930" s="12" t="inlineStr">
        <is>
          <t>H</t>
        </is>
      </c>
      <c r="C3930" s="12" t="inlineStr">
        <is>
          <t>BESS</t>
        </is>
      </c>
      <c r="D3930" s="12" t="inlineStr">
        <is>
          <t>Instrumentation</t>
        </is>
      </c>
      <c r="E3930" s="12" t="inlineStr"/>
      <c r="F3930" s="12" t="inlineStr">
        <is>
          <t>BESS PCS / MV skid</t>
        </is>
      </c>
      <c r="G3930" s="12" t="inlineStr"/>
      <c r="H3930" s="12" t="inlineStr">
        <is>
          <t>BESS container (ISO 40 ft high cube)</t>
        </is>
      </c>
      <c r="I3930" s="12" t="inlineStr">
        <is>
          <t>Instrumentation</t>
        </is>
      </c>
      <c r="J3930" s="12" t="inlineStr">
        <is>
          <t>Instrumentation PLTC / TC-ER 300 V, #18 twisted shielded pairs, overall shield</t>
        </is>
      </c>
      <c r="K3930" s="12" t="inlineStr">
        <is>
          <t>PLTC|4 pr|18</t>
        </is>
      </c>
      <c r="L3930" s="12" t="inlineStr">
        <is>
          <t>4 pr</t>
        </is>
      </c>
      <c r="M3930" s="12" t="inlineStr">
        <is>
          <t>18</t>
        </is>
      </c>
      <c r="N3930" s="12" t="n">
        <v>1</v>
      </c>
      <c r="O3930" s="12" t="n">
        <v>1</v>
      </c>
      <c r="P3930" s="12" t="n"/>
      <c r="Q3930" s="12" t="n"/>
      <c r="R3930" s="12" t="n"/>
      <c r="S3930" s="12" t="inlineStr">
        <is>
          <t>Tray</t>
        </is>
      </c>
      <c r="T3930" s="16" t="n">
        <v>0</v>
      </c>
      <c r="U3930" s="16" t="n">
        <v>174</v>
      </c>
      <c r="V3930" s="16">
        <f>ROUNDUP((T3930+U3930+2*'Read Me'!$B$13)*(1+'Read Me'!$B$12),-1)</f>
        <v/>
      </c>
      <c r="W3930" s="16">
        <f>V3930*N3930*O3930</f>
        <v/>
      </c>
      <c r="X3930" s="12">
        <f>IF(LEFT(I3930,2)="MV",2*N3930*IF(L3930="1/C",O3930,1),0)</f>
        <v/>
      </c>
      <c r="Y3930" s="12">
        <f>IF(OR(LEFT(K3930,4)="LVAX",LEFT(K3930,6)="MV15AX",LEFT(K3930,4)="CTAX",LEFT(K3930,2)="W|"),2*N3930*O3930,0)</f>
        <v/>
      </c>
      <c r="Z3930" s="12" t="inlineStr"/>
      <c r="AA3930" s="12">
        <f>N3930*O3930</f>
        <v/>
      </c>
    </row>
    <row r="3931">
      <c r="A3931" s="12" t="inlineStr">
        <is>
          <t>H-I-0090</t>
        </is>
      </c>
      <c r="B3931" s="12" t="inlineStr">
        <is>
          <t>H</t>
        </is>
      </c>
      <c r="C3931" s="12" t="inlineStr">
        <is>
          <t>BESS</t>
        </is>
      </c>
      <c r="D3931" s="12" t="inlineStr">
        <is>
          <t>Instrumentation</t>
        </is>
      </c>
      <c r="E3931" s="12" t="inlineStr"/>
      <c r="F3931" s="12" t="inlineStr">
        <is>
          <t>BESS PCS / MV skid</t>
        </is>
      </c>
      <c r="G3931" s="12" t="inlineStr"/>
      <c r="H3931" s="12" t="inlineStr">
        <is>
          <t>BESS container (ISO 40 ft high cube)</t>
        </is>
      </c>
      <c r="I3931" s="12" t="inlineStr">
        <is>
          <t>Instrumentation</t>
        </is>
      </c>
      <c r="J3931" s="12" t="inlineStr">
        <is>
          <t>Instrumentation PLTC / TC-ER 300 V, #18 twisted shielded pairs, overall shield</t>
        </is>
      </c>
      <c r="K3931" s="12" t="inlineStr">
        <is>
          <t>PLTC|4 pr|18</t>
        </is>
      </c>
      <c r="L3931" s="12" t="inlineStr">
        <is>
          <t>4 pr</t>
        </is>
      </c>
      <c r="M3931" s="12" t="inlineStr">
        <is>
          <t>18</t>
        </is>
      </c>
      <c r="N3931" s="12" t="n">
        <v>1</v>
      </c>
      <c r="O3931" s="12" t="n">
        <v>1</v>
      </c>
      <c r="P3931" s="12" t="n"/>
      <c r="Q3931" s="12" t="n"/>
      <c r="R3931" s="12" t="n"/>
      <c r="S3931" s="12" t="inlineStr">
        <is>
          <t>Tray</t>
        </is>
      </c>
      <c r="T3931" s="16" t="n">
        <v>0</v>
      </c>
      <c r="U3931" s="16" t="n">
        <v>62</v>
      </c>
      <c r="V3931" s="16">
        <f>ROUNDUP((T3931+U3931+2*'Read Me'!$B$13)*(1+'Read Me'!$B$12),-1)</f>
        <v/>
      </c>
      <c r="W3931" s="16">
        <f>V3931*N3931*O3931</f>
        <v/>
      </c>
      <c r="X3931" s="12">
        <f>IF(LEFT(I3931,2)="MV",2*N3931*IF(L3931="1/C",O3931,1),0)</f>
        <v/>
      </c>
      <c r="Y3931" s="12">
        <f>IF(OR(LEFT(K3931,4)="LVAX",LEFT(K3931,6)="MV15AX",LEFT(K3931,4)="CTAX",LEFT(K3931,2)="W|"),2*N3931*O3931,0)</f>
        <v/>
      </c>
      <c r="Z3931" s="12" t="inlineStr"/>
      <c r="AA3931" s="12">
        <f>N3931*O3931</f>
        <v/>
      </c>
    </row>
    <row r="3932">
      <c r="A3932" s="12" t="inlineStr">
        <is>
          <t>H-I-0091</t>
        </is>
      </c>
      <c r="B3932" s="12" t="inlineStr">
        <is>
          <t>H</t>
        </is>
      </c>
      <c r="C3932" s="12" t="inlineStr">
        <is>
          <t>BESS</t>
        </is>
      </c>
      <c r="D3932" s="12" t="inlineStr">
        <is>
          <t>Instrumentation</t>
        </is>
      </c>
      <c r="E3932" s="12" t="inlineStr"/>
      <c r="F3932" s="12" t="inlineStr">
        <is>
          <t>BESS PCS / MV skid</t>
        </is>
      </c>
      <c r="G3932" s="12" t="inlineStr"/>
      <c r="H3932" s="12" t="inlineStr">
        <is>
          <t>BESS container (ISO 40 ft high cube)</t>
        </is>
      </c>
      <c r="I3932" s="12" t="inlineStr">
        <is>
          <t>Instrumentation</t>
        </is>
      </c>
      <c r="J3932" s="12" t="inlineStr">
        <is>
          <t>Instrumentation PLTC / TC-ER 300 V, #18 twisted shielded pairs, overall shield</t>
        </is>
      </c>
      <c r="K3932" s="12" t="inlineStr">
        <is>
          <t>PLTC|4 pr|18</t>
        </is>
      </c>
      <c r="L3932" s="12" t="inlineStr">
        <is>
          <t>4 pr</t>
        </is>
      </c>
      <c r="M3932" s="12" t="inlineStr">
        <is>
          <t>18</t>
        </is>
      </c>
      <c r="N3932" s="12" t="n">
        <v>1</v>
      </c>
      <c r="O3932" s="12" t="n">
        <v>1</v>
      </c>
      <c r="P3932" s="12" t="n"/>
      <c r="Q3932" s="12" t="n"/>
      <c r="R3932" s="12" t="n"/>
      <c r="S3932" s="12" t="inlineStr">
        <is>
          <t>Tray</t>
        </is>
      </c>
      <c r="T3932" s="16" t="n">
        <v>0</v>
      </c>
      <c r="U3932" s="16" t="n">
        <v>62</v>
      </c>
      <c r="V3932" s="16">
        <f>ROUNDUP((T3932+U3932+2*'Read Me'!$B$13)*(1+'Read Me'!$B$12),-1)</f>
        <v/>
      </c>
      <c r="W3932" s="16">
        <f>V3932*N3932*O3932</f>
        <v/>
      </c>
      <c r="X3932" s="12">
        <f>IF(LEFT(I3932,2)="MV",2*N3932*IF(L3932="1/C",O3932,1),0)</f>
        <v/>
      </c>
      <c r="Y3932" s="12">
        <f>IF(OR(LEFT(K3932,4)="LVAX",LEFT(K3932,6)="MV15AX",LEFT(K3932,4)="CTAX",LEFT(K3932,2)="W|"),2*N3932*O3932,0)</f>
        <v/>
      </c>
      <c r="Z3932" s="12" t="inlineStr"/>
      <c r="AA3932" s="12">
        <f>N3932*O3932</f>
        <v/>
      </c>
    </row>
    <row r="3933">
      <c r="A3933" s="12" t="inlineStr">
        <is>
          <t>H-I-0092</t>
        </is>
      </c>
      <c r="B3933" s="12" t="inlineStr">
        <is>
          <t>H</t>
        </is>
      </c>
      <c r="C3933" s="12" t="inlineStr">
        <is>
          <t>BESS</t>
        </is>
      </c>
      <c r="D3933" s="12" t="inlineStr">
        <is>
          <t>Instrumentation</t>
        </is>
      </c>
      <c r="E3933" s="12" t="inlineStr"/>
      <c r="F3933" s="12" t="inlineStr">
        <is>
          <t>BESS PCS / MV skid</t>
        </is>
      </c>
      <c r="G3933" s="12" t="inlineStr"/>
      <c r="H3933" s="12" t="inlineStr">
        <is>
          <t>BESS container (ISO 40 ft high cube)</t>
        </is>
      </c>
      <c r="I3933" s="12" t="inlineStr">
        <is>
          <t>Instrumentation</t>
        </is>
      </c>
      <c r="J3933" s="12" t="inlineStr">
        <is>
          <t>Instrumentation PLTC / TC-ER 300 V, #18 twisted shielded pairs, overall shield</t>
        </is>
      </c>
      <c r="K3933" s="12" t="inlineStr">
        <is>
          <t>PLTC|4 pr|18</t>
        </is>
      </c>
      <c r="L3933" s="12" t="inlineStr">
        <is>
          <t>4 pr</t>
        </is>
      </c>
      <c r="M3933" s="12" t="inlineStr">
        <is>
          <t>18</t>
        </is>
      </c>
      <c r="N3933" s="12" t="n">
        <v>1</v>
      </c>
      <c r="O3933" s="12" t="n">
        <v>1</v>
      </c>
      <c r="P3933" s="12" t="n"/>
      <c r="Q3933" s="12" t="n"/>
      <c r="R3933" s="12" t="n"/>
      <c r="S3933" s="12" t="inlineStr">
        <is>
          <t>Tray</t>
        </is>
      </c>
      <c r="T3933" s="16" t="n">
        <v>0</v>
      </c>
      <c r="U3933" s="16" t="n">
        <v>62</v>
      </c>
      <c r="V3933" s="16">
        <f>ROUNDUP((T3933+U3933+2*'Read Me'!$B$13)*(1+'Read Me'!$B$12),-1)</f>
        <v/>
      </c>
      <c r="W3933" s="16">
        <f>V3933*N3933*O3933</f>
        <v/>
      </c>
      <c r="X3933" s="12">
        <f>IF(LEFT(I3933,2)="MV",2*N3933*IF(L3933="1/C",O3933,1),0)</f>
        <v/>
      </c>
      <c r="Y3933" s="12">
        <f>IF(OR(LEFT(K3933,4)="LVAX",LEFT(K3933,6)="MV15AX",LEFT(K3933,4)="CTAX",LEFT(K3933,2)="W|"),2*N3933*O3933,0)</f>
        <v/>
      </c>
      <c r="Z3933" s="12" t="inlineStr"/>
      <c r="AA3933" s="12">
        <f>N3933*O3933</f>
        <v/>
      </c>
    </row>
    <row r="3934">
      <c r="A3934" s="12" t="inlineStr">
        <is>
          <t>H-I-0093</t>
        </is>
      </c>
      <c r="B3934" s="12" t="inlineStr">
        <is>
          <t>H</t>
        </is>
      </c>
      <c r="C3934" s="12" t="inlineStr">
        <is>
          <t>BESS</t>
        </is>
      </c>
      <c r="D3934" s="12" t="inlineStr">
        <is>
          <t>Instrumentation</t>
        </is>
      </c>
      <c r="E3934" s="12" t="inlineStr"/>
      <c r="F3934" s="12" t="inlineStr">
        <is>
          <t>BESS PCS / MV skid</t>
        </is>
      </c>
      <c r="G3934" s="12" t="inlineStr"/>
      <c r="H3934" s="12" t="inlineStr">
        <is>
          <t>BESS container (ISO 40 ft high cube)</t>
        </is>
      </c>
      <c r="I3934" s="12" t="inlineStr">
        <is>
          <t>Instrumentation</t>
        </is>
      </c>
      <c r="J3934" s="12" t="inlineStr">
        <is>
          <t>Instrumentation PLTC / TC-ER 300 V, #18 twisted shielded pairs, overall shield</t>
        </is>
      </c>
      <c r="K3934" s="12" t="inlineStr">
        <is>
          <t>PLTC|4 pr|18</t>
        </is>
      </c>
      <c r="L3934" s="12" t="inlineStr">
        <is>
          <t>4 pr</t>
        </is>
      </c>
      <c r="M3934" s="12" t="inlineStr">
        <is>
          <t>18</t>
        </is>
      </c>
      <c r="N3934" s="12" t="n">
        <v>1</v>
      </c>
      <c r="O3934" s="12" t="n">
        <v>1</v>
      </c>
      <c r="P3934" s="12" t="n"/>
      <c r="Q3934" s="12" t="n"/>
      <c r="R3934" s="12" t="n"/>
      <c r="S3934" s="12" t="inlineStr">
        <is>
          <t>Tray</t>
        </is>
      </c>
      <c r="T3934" s="16" t="n">
        <v>0</v>
      </c>
      <c r="U3934" s="16" t="n">
        <v>62</v>
      </c>
      <c r="V3934" s="16">
        <f>ROUNDUP((T3934+U3934+2*'Read Me'!$B$13)*(1+'Read Me'!$B$12),-1)</f>
        <v/>
      </c>
      <c r="W3934" s="16">
        <f>V3934*N3934*O3934</f>
        <v/>
      </c>
      <c r="X3934" s="12">
        <f>IF(LEFT(I3934,2)="MV",2*N3934*IF(L3934="1/C",O3934,1),0)</f>
        <v/>
      </c>
      <c r="Y3934" s="12">
        <f>IF(OR(LEFT(K3934,4)="LVAX",LEFT(K3934,6)="MV15AX",LEFT(K3934,4)="CTAX",LEFT(K3934,2)="W|"),2*N3934*O3934,0)</f>
        <v/>
      </c>
      <c r="Z3934" s="12" t="inlineStr"/>
      <c r="AA3934" s="12">
        <f>N3934*O3934</f>
        <v/>
      </c>
    </row>
    <row r="3935">
      <c r="A3935" s="12" t="inlineStr">
        <is>
          <t>H-I-0094</t>
        </is>
      </c>
      <c r="B3935" s="12" t="inlineStr">
        <is>
          <t>H</t>
        </is>
      </c>
      <c r="C3935" s="12" t="inlineStr">
        <is>
          <t>BESS</t>
        </is>
      </c>
      <c r="D3935" s="12" t="inlineStr">
        <is>
          <t>Instrumentation</t>
        </is>
      </c>
      <c r="E3935" s="12" t="inlineStr"/>
      <c r="F3935" s="12" t="inlineStr">
        <is>
          <t>BESS PCS / MV skid</t>
        </is>
      </c>
      <c r="G3935" s="12" t="inlineStr"/>
      <c r="H3935" s="12" t="inlineStr">
        <is>
          <t>BESS container (ISO 40 ft high cube)</t>
        </is>
      </c>
      <c r="I3935" s="12" t="inlineStr">
        <is>
          <t>Instrumentation</t>
        </is>
      </c>
      <c r="J3935" s="12" t="inlineStr">
        <is>
          <t>Instrumentation PLTC / TC-ER 300 V, #18 twisted shielded pairs, overall shield</t>
        </is>
      </c>
      <c r="K3935" s="12" t="inlineStr">
        <is>
          <t>PLTC|4 pr|18</t>
        </is>
      </c>
      <c r="L3935" s="12" t="inlineStr">
        <is>
          <t>4 pr</t>
        </is>
      </c>
      <c r="M3935" s="12" t="inlineStr">
        <is>
          <t>18</t>
        </is>
      </c>
      <c r="N3935" s="12" t="n">
        <v>1</v>
      </c>
      <c r="O3935" s="12" t="n">
        <v>1</v>
      </c>
      <c r="P3935" s="12" t="n"/>
      <c r="Q3935" s="12" t="n"/>
      <c r="R3935" s="12" t="n"/>
      <c r="S3935" s="12" t="inlineStr">
        <is>
          <t>Tray</t>
        </is>
      </c>
      <c r="T3935" s="16" t="n">
        <v>0</v>
      </c>
      <c r="U3935" s="16" t="n">
        <v>62</v>
      </c>
      <c r="V3935" s="16">
        <f>ROUNDUP((T3935+U3935+2*'Read Me'!$B$13)*(1+'Read Me'!$B$12),-1)</f>
        <v/>
      </c>
      <c r="W3935" s="16">
        <f>V3935*N3935*O3935</f>
        <v/>
      </c>
      <c r="X3935" s="12">
        <f>IF(LEFT(I3935,2)="MV",2*N3935*IF(L3935="1/C",O3935,1),0)</f>
        <v/>
      </c>
      <c r="Y3935" s="12">
        <f>IF(OR(LEFT(K3935,4)="LVAX",LEFT(K3935,6)="MV15AX",LEFT(K3935,4)="CTAX",LEFT(K3935,2)="W|"),2*N3935*O3935,0)</f>
        <v/>
      </c>
      <c r="Z3935" s="12" t="inlineStr"/>
      <c r="AA3935" s="12">
        <f>N3935*O3935</f>
        <v/>
      </c>
    </row>
    <row r="3936">
      <c r="A3936" s="12" t="inlineStr">
        <is>
          <t>H-I-0095</t>
        </is>
      </c>
      <c r="B3936" s="12" t="inlineStr">
        <is>
          <t>H</t>
        </is>
      </c>
      <c r="C3936" s="12" t="inlineStr">
        <is>
          <t>BESS</t>
        </is>
      </c>
      <c r="D3936" s="12" t="inlineStr">
        <is>
          <t>Instrumentation</t>
        </is>
      </c>
      <c r="E3936" s="12" t="inlineStr"/>
      <c r="F3936" s="12" t="inlineStr">
        <is>
          <t>BESS PCS / MV skid</t>
        </is>
      </c>
      <c r="G3936" s="12" t="inlineStr"/>
      <c r="H3936" s="12" t="inlineStr">
        <is>
          <t>BESS container (ISO 40 ft high cube)</t>
        </is>
      </c>
      <c r="I3936" s="12" t="inlineStr">
        <is>
          <t>Instrumentation</t>
        </is>
      </c>
      <c r="J3936" s="12" t="inlineStr">
        <is>
          <t>Instrumentation PLTC / TC-ER 300 V, #18 twisted shielded pairs, overall shield</t>
        </is>
      </c>
      <c r="K3936" s="12" t="inlineStr">
        <is>
          <t>PLTC|4 pr|18</t>
        </is>
      </c>
      <c r="L3936" s="12" t="inlineStr">
        <is>
          <t>4 pr</t>
        </is>
      </c>
      <c r="M3936" s="12" t="inlineStr">
        <is>
          <t>18</t>
        </is>
      </c>
      <c r="N3936" s="12" t="n">
        <v>1</v>
      </c>
      <c r="O3936" s="12" t="n">
        <v>1</v>
      </c>
      <c r="P3936" s="12" t="n"/>
      <c r="Q3936" s="12" t="n"/>
      <c r="R3936" s="12" t="n"/>
      <c r="S3936" s="12" t="inlineStr">
        <is>
          <t>Tray</t>
        </is>
      </c>
      <c r="T3936" s="16" t="n">
        <v>0</v>
      </c>
      <c r="U3936" s="16" t="n">
        <v>62</v>
      </c>
      <c r="V3936" s="16">
        <f>ROUNDUP((T3936+U3936+2*'Read Me'!$B$13)*(1+'Read Me'!$B$12),-1)</f>
        <v/>
      </c>
      <c r="W3936" s="16">
        <f>V3936*N3936*O3936</f>
        <v/>
      </c>
      <c r="X3936" s="12">
        <f>IF(LEFT(I3936,2)="MV",2*N3936*IF(L3936="1/C",O3936,1),0)</f>
        <v/>
      </c>
      <c r="Y3936" s="12">
        <f>IF(OR(LEFT(K3936,4)="LVAX",LEFT(K3936,6)="MV15AX",LEFT(K3936,4)="CTAX",LEFT(K3936,2)="W|"),2*N3936*O3936,0)</f>
        <v/>
      </c>
      <c r="Z3936" s="12" t="inlineStr"/>
      <c r="AA3936" s="12">
        <f>N3936*O3936</f>
        <v/>
      </c>
    </row>
    <row r="3937">
      <c r="A3937" s="12" t="inlineStr">
        <is>
          <t>H-I-0096</t>
        </is>
      </c>
      <c r="B3937" s="12" t="inlineStr">
        <is>
          <t>H</t>
        </is>
      </c>
      <c r="C3937" s="12" t="inlineStr">
        <is>
          <t>BESS</t>
        </is>
      </c>
      <c r="D3937" s="12" t="inlineStr">
        <is>
          <t>Discrete device to JB JB-BESS container (IS-DI01: 8 x 1 pr (field cables)</t>
        </is>
      </c>
      <c r="E3937" s="12" t="inlineStr"/>
      <c r="F3937" s="12" t="inlineStr">
        <is>
          <t>BESS container (ISO 40 ft high cube)</t>
        </is>
      </c>
      <c r="G3937" s="12" t="inlineStr">
        <is>
          <t>JB-BESS container (IS-DI01</t>
        </is>
      </c>
      <c r="H3937" s="12" t="inlineStr">
        <is>
          <t>BESS container (ISO 40 ft high cube)</t>
        </is>
      </c>
      <c r="I3937" s="12" t="inlineStr">
        <is>
          <t>Instrumentation</t>
        </is>
      </c>
      <c r="J3937" s="12" t="inlineStr">
        <is>
          <t>Instrumentation PLTC / TC-ER 300 V, #18 twisted shielded pairs, overall shield</t>
        </is>
      </c>
      <c r="K3937" s="12" t="inlineStr">
        <is>
          <t>PLTC|1 pr|16</t>
        </is>
      </c>
      <c r="L3937" s="12" t="inlineStr">
        <is>
          <t>1 pr</t>
        </is>
      </c>
      <c r="M3937" s="12" t="inlineStr">
        <is>
          <t>16</t>
        </is>
      </c>
      <c r="N3937" s="12" t="n">
        <v>8</v>
      </c>
      <c r="O3937" s="12" t="n">
        <v>1</v>
      </c>
      <c r="P3937" s="12" t="n"/>
      <c r="Q3937" s="12" t="n"/>
      <c r="R3937" s="12" t="n"/>
      <c r="S3937" s="12" t="inlineStr">
        <is>
          <t>Tray / conduit</t>
        </is>
      </c>
      <c r="T3937" s="16" t="n">
        <v>53</v>
      </c>
      <c r="U3937" s="16" t="n">
        <v>10</v>
      </c>
      <c r="V3937" s="16">
        <f>ROUNDUP((T3937+U3937+2*'Read Me'!$B$13)*(1+'Read Me'!$B$12),-1)</f>
        <v/>
      </c>
      <c r="W3937" s="16">
        <f>V3937*N3937*O3937</f>
        <v/>
      </c>
      <c r="X3937" s="12">
        <f>IF(LEFT(I3937,2)="MV",2*N3937*IF(L3937="1/C",O3937,1),0)</f>
        <v/>
      </c>
      <c r="Y3937" s="12">
        <f>IF(OR(LEFT(K3937,4)="LVAX",LEFT(K3937,6)="MV15AX",LEFT(K3937,4)="CTAX",LEFT(K3937,2)="W|"),2*N3937*O3937,0)</f>
        <v/>
      </c>
      <c r="Z3937" s="12" t="inlineStr">
        <is>
          <t>device-to-JB field wiring, one cable per device</t>
        </is>
      </c>
      <c r="AA3937" s="12">
        <f>N3937*O3937</f>
        <v/>
      </c>
    </row>
    <row r="3938">
      <c r="A3938" s="12" t="inlineStr">
        <is>
          <t>H-I-0097</t>
        </is>
      </c>
      <c r="B3938" s="12" t="inlineStr">
        <is>
          <t>H</t>
        </is>
      </c>
      <c r="C3938" s="12" t="inlineStr">
        <is>
          <t>BESS</t>
        </is>
      </c>
      <c r="D3938" s="12" t="inlineStr">
        <is>
          <t>Home run JB-BESS container (IS-DI01 to the control / marshalling room</t>
        </is>
      </c>
      <c r="E3938" s="12" t="inlineStr"/>
      <c r="F3938" s="12" t="inlineStr">
        <is>
          <t>BESS EMS / SCADA and revenue metering</t>
        </is>
      </c>
      <c r="G3938" s="12" t="inlineStr">
        <is>
          <t>JB-BESS container (IS-DI01</t>
        </is>
      </c>
      <c r="H3938" s="12" t="inlineStr">
        <is>
          <t>BESS container (ISO 40 ft high cube)</t>
        </is>
      </c>
      <c r="I3938" s="12" t="inlineStr">
        <is>
          <t>Instrumentation</t>
        </is>
      </c>
      <c r="J3938" s="12" t="inlineStr">
        <is>
          <t>Instrumentation PLTC / TC-ER 300 V, #18 twisted shielded pairs, overall shield</t>
        </is>
      </c>
      <c r="K3938" s="12" t="inlineStr">
        <is>
          <t>PLTC|24 pr|18</t>
        </is>
      </c>
      <c r="L3938" s="12" t="inlineStr">
        <is>
          <t>24 pr</t>
        </is>
      </c>
      <c r="M3938" s="12" t="inlineStr">
        <is>
          <t>18</t>
        </is>
      </c>
      <c r="N3938" s="12" t="n">
        <v>1</v>
      </c>
      <c r="O3938" s="12" t="n">
        <v>1</v>
      </c>
      <c r="P3938" s="12" t="n"/>
      <c r="Q3938" s="12" t="n"/>
      <c r="R3938" s="12" t="n"/>
      <c r="S3938" s="12" t="inlineStr">
        <is>
          <t>Duct bank</t>
        </is>
      </c>
      <c r="T3938" s="16" t="n">
        <v>300</v>
      </c>
      <c r="U3938" s="16" t="n">
        <v>89</v>
      </c>
      <c r="V3938" s="16">
        <f>ROUNDUP((T3938+U3938+2*'Read Me'!$B$13)*(1+'Read Me'!$B$12),-1)</f>
        <v/>
      </c>
      <c r="W3938" s="16">
        <f>V3938*N3938*O3938</f>
        <v/>
      </c>
      <c r="X3938" s="12">
        <f>IF(LEFT(I3938,2)="MV",2*N3938*IF(L3938="1/C",O3938,1),0)</f>
        <v/>
      </c>
      <c r="Y3938" s="12">
        <f>IF(OR(LEFT(K3938,4)="LVAX",LEFT(K3938,6)="MV15AX",LEFT(K3938,4)="CTAX",LEFT(K3938,2)="W|"),2*N3938*O3938,0)</f>
        <v/>
      </c>
      <c r="Z3938" s="12" t="inlineStr"/>
      <c r="AA3938" s="12">
        <f>N3938*O3938</f>
        <v/>
      </c>
    </row>
    <row r="3939">
      <c r="A3939" s="12" t="inlineStr">
        <is>
          <t>H-I-0098</t>
        </is>
      </c>
      <c r="B3939" s="12" t="inlineStr">
        <is>
          <t>H</t>
        </is>
      </c>
      <c r="C3939" s="12" t="inlineStr">
        <is>
          <t>BESS</t>
        </is>
      </c>
      <c r="D3939" s="12" t="inlineStr">
        <is>
          <t>Discrete device to JB JB-BESS container (IS-DI01: 8 x 1 pr (field cables)</t>
        </is>
      </c>
      <c r="E3939" s="12" t="inlineStr"/>
      <c r="F3939" s="12" t="inlineStr">
        <is>
          <t>BESS container (ISO 40 ft high cube)</t>
        </is>
      </c>
      <c r="G3939" s="12" t="inlineStr">
        <is>
          <t>JB-BESS container (IS-DI01</t>
        </is>
      </c>
      <c r="H3939" s="12" t="inlineStr">
        <is>
          <t>BESS container (ISO 40 ft high cube)</t>
        </is>
      </c>
      <c r="I3939" s="12" t="inlineStr">
        <is>
          <t>Instrumentation</t>
        </is>
      </c>
      <c r="J3939" s="12" t="inlineStr">
        <is>
          <t>Instrumentation PLTC / TC-ER 300 V, #18 twisted shielded pairs, overall shield</t>
        </is>
      </c>
      <c r="K3939" s="12" t="inlineStr">
        <is>
          <t>PLTC|1 pr|16</t>
        </is>
      </c>
      <c r="L3939" s="12" t="inlineStr">
        <is>
          <t>1 pr</t>
        </is>
      </c>
      <c r="M3939" s="12" t="inlineStr">
        <is>
          <t>16</t>
        </is>
      </c>
      <c r="N3939" s="12" t="n">
        <v>8</v>
      </c>
      <c r="O3939" s="12" t="n">
        <v>1</v>
      </c>
      <c r="P3939" s="12" t="n"/>
      <c r="Q3939" s="12" t="n"/>
      <c r="R3939" s="12" t="n"/>
      <c r="S3939" s="12" t="inlineStr">
        <is>
          <t>Tray / conduit</t>
        </is>
      </c>
      <c r="T3939" s="16" t="n">
        <v>53</v>
      </c>
      <c r="U3939" s="16" t="n">
        <v>10</v>
      </c>
      <c r="V3939" s="16">
        <f>ROUNDUP((T3939+U3939+2*'Read Me'!$B$13)*(1+'Read Me'!$B$12),-1)</f>
        <v/>
      </c>
      <c r="W3939" s="16">
        <f>V3939*N3939*O3939</f>
        <v/>
      </c>
      <c r="X3939" s="12">
        <f>IF(LEFT(I3939,2)="MV",2*N3939*IF(L3939="1/C",O3939,1),0)</f>
        <v/>
      </c>
      <c r="Y3939" s="12">
        <f>IF(OR(LEFT(K3939,4)="LVAX",LEFT(K3939,6)="MV15AX",LEFT(K3939,4)="CTAX",LEFT(K3939,2)="W|"),2*N3939*O3939,0)</f>
        <v/>
      </c>
      <c r="Z3939" s="12" t="inlineStr">
        <is>
          <t>device-to-JB field wiring, one cable per device</t>
        </is>
      </c>
      <c r="AA3939" s="12">
        <f>N3939*O3939</f>
        <v/>
      </c>
    </row>
    <row r="3940">
      <c r="A3940" s="12" t="inlineStr">
        <is>
          <t>H-I-0099</t>
        </is>
      </c>
      <c r="B3940" s="12" t="inlineStr">
        <is>
          <t>H</t>
        </is>
      </c>
      <c r="C3940" s="12" t="inlineStr">
        <is>
          <t>BESS</t>
        </is>
      </c>
      <c r="D3940" s="12" t="inlineStr">
        <is>
          <t>Home run JB-BESS container (IS-DI01 to the control / marshalling room</t>
        </is>
      </c>
      <c r="E3940" s="12" t="inlineStr"/>
      <c r="F3940" s="12" t="inlineStr">
        <is>
          <t>BESS EMS / SCADA and revenue metering</t>
        </is>
      </c>
      <c r="G3940" s="12" t="inlineStr">
        <is>
          <t>JB-BESS container (IS-DI01</t>
        </is>
      </c>
      <c r="H3940" s="12" t="inlineStr">
        <is>
          <t>BESS container (ISO 40 ft high cube)</t>
        </is>
      </c>
      <c r="I3940" s="12" t="inlineStr">
        <is>
          <t>Instrumentation</t>
        </is>
      </c>
      <c r="J3940" s="12" t="inlineStr">
        <is>
          <t>Instrumentation PLTC / TC-ER 300 V, #18 twisted shielded pairs, overall shield</t>
        </is>
      </c>
      <c r="K3940" s="12" t="inlineStr">
        <is>
          <t>PLTC|24 pr|18</t>
        </is>
      </c>
      <c r="L3940" s="12" t="inlineStr">
        <is>
          <t>24 pr</t>
        </is>
      </c>
      <c r="M3940" s="12" t="inlineStr">
        <is>
          <t>18</t>
        </is>
      </c>
      <c r="N3940" s="12" t="n">
        <v>1</v>
      </c>
      <c r="O3940" s="12" t="n">
        <v>1</v>
      </c>
      <c r="P3940" s="12" t="n"/>
      <c r="Q3940" s="12" t="n"/>
      <c r="R3940" s="12" t="n"/>
      <c r="S3940" s="12" t="inlineStr">
        <is>
          <t>Duct bank</t>
        </is>
      </c>
      <c r="T3940" s="16" t="n">
        <v>160</v>
      </c>
      <c r="U3940" s="16" t="n">
        <v>169</v>
      </c>
      <c r="V3940" s="16">
        <f>ROUNDUP((T3940+U3940+2*'Read Me'!$B$13)*(1+'Read Me'!$B$12),-1)</f>
        <v/>
      </c>
      <c r="W3940" s="16">
        <f>V3940*N3940*O3940</f>
        <v/>
      </c>
      <c r="X3940" s="12">
        <f>IF(LEFT(I3940,2)="MV",2*N3940*IF(L3940="1/C",O3940,1),0)</f>
        <v/>
      </c>
      <c r="Y3940" s="12">
        <f>IF(OR(LEFT(K3940,4)="LVAX",LEFT(K3940,6)="MV15AX",LEFT(K3940,4)="CTAX",LEFT(K3940,2)="W|"),2*N3940*O3940,0)</f>
        <v/>
      </c>
      <c r="Z3940" s="12" t="inlineStr"/>
      <c r="AA3940" s="12">
        <f>N3940*O3940</f>
        <v/>
      </c>
    </row>
    <row r="3941">
      <c r="A3941" s="12" t="inlineStr">
        <is>
          <t>H-I-0100</t>
        </is>
      </c>
      <c r="B3941" s="12" t="inlineStr">
        <is>
          <t>H</t>
        </is>
      </c>
      <c r="C3941" s="12" t="inlineStr">
        <is>
          <t>BESS</t>
        </is>
      </c>
      <c r="D3941" s="12" t="inlineStr">
        <is>
          <t>Discrete device to JB JB-BESS container (IS-DI01: 8 x 1 pr (field cables)</t>
        </is>
      </c>
      <c r="E3941" s="12" t="inlineStr"/>
      <c r="F3941" s="12" t="inlineStr">
        <is>
          <t>BESS container (ISO 40 ft high cube)</t>
        </is>
      </c>
      <c r="G3941" s="12" t="inlineStr">
        <is>
          <t>JB-BESS container (IS-DI01</t>
        </is>
      </c>
      <c r="H3941" s="12" t="inlineStr">
        <is>
          <t>BESS container (ISO 40 ft high cube)</t>
        </is>
      </c>
      <c r="I3941" s="12" t="inlineStr">
        <is>
          <t>Instrumentation</t>
        </is>
      </c>
      <c r="J3941" s="12" t="inlineStr">
        <is>
          <t>Instrumentation PLTC / TC-ER 300 V, #18 twisted shielded pairs, overall shield</t>
        </is>
      </c>
      <c r="K3941" s="12" t="inlineStr">
        <is>
          <t>PLTC|1 pr|16</t>
        </is>
      </c>
      <c r="L3941" s="12" t="inlineStr">
        <is>
          <t>1 pr</t>
        </is>
      </c>
      <c r="M3941" s="12" t="inlineStr">
        <is>
          <t>16</t>
        </is>
      </c>
      <c r="N3941" s="12" t="n">
        <v>8</v>
      </c>
      <c r="O3941" s="12" t="n">
        <v>1</v>
      </c>
      <c r="P3941" s="12" t="n"/>
      <c r="Q3941" s="12" t="n"/>
      <c r="R3941" s="12" t="n"/>
      <c r="S3941" s="12" t="inlineStr">
        <is>
          <t>Tray / conduit</t>
        </is>
      </c>
      <c r="T3941" s="16" t="n">
        <v>53</v>
      </c>
      <c r="U3941" s="16" t="n">
        <v>10</v>
      </c>
      <c r="V3941" s="16">
        <f>ROUNDUP((T3941+U3941+2*'Read Me'!$B$13)*(1+'Read Me'!$B$12),-1)</f>
        <v/>
      </c>
      <c r="W3941" s="16">
        <f>V3941*N3941*O3941</f>
        <v/>
      </c>
      <c r="X3941" s="12">
        <f>IF(LEFT(I3941,2)="MV",2*N3941*IF(L3941="1/C",O3941,1),0)</f>
        <v/>
      </c>
      <c r="Y3941" s="12">
        <f>IF(OR(LEFT(K3941,4)="LVAX",LEFT(K3941,6)="MV15AX",LEFT(K3941,4)="CTAX",LEFT(K3941,2)="W|"),2*N3941*O3941,0)</f>
        <v/>
      </c>
      <c r="Z3941" s="12" t="inlineStr">
        <is>
          <t>device-to-JB field wiring, one cable per device</t>
        </is>
      </c>
      <c r="AA3941" s="12">
        <f>N3941*O3941</f>
        <v/>
      </c>
    </row>
    <row r="3942">
      <c r="A3942" s="12" t="inlineStr">
        <is>
          <t>H-I-0101</t>
        </is>
      </c>
      <c r="B3942" s="12" t="inlineStr">
        <is>
          <t>H</t>
        </is>
      </c>
      <c r="C3942" s="12" t="inlineStr">
        <is>
          <t>BESS</t>
        </is>
      </c>
      <c r="D3942" s="12" t="inlineStr">
        <is>
          <t>Home run JB-BESS container (IS-DI01 to the control / marshalling room</t>
        </is>
      </c>
      <c r="E3942" s="12" t="inlineStr"/>
      <c r="F3942" s="12" t="inlineStr">
        <is>
          <t>BESS EMS / SCADA and revenue metering</t>
        </is>
      </c>
      <c r="G3942" s="12" t="inlineStr">
        <is>
          <t>JB-BESS container (IS-DI01</t>
        </is>
      </c>
      <c r="H3942" s="12" t="inlineStr">
        <is>
          <t>BESS container (ISO 40 ft high cube)</t>
        </is>
      </c>
      <c r="I3942" s="12" t="inlineStr">
        <is>
          <t>Instrumentation</t>
        </is>
      </c>
      <c r="J3942" s="12" t="inlineStr">
        <is>
          <t>Instrumentation PLTC / TC-ER 300 V, #18 twisted shielded pairs, overall shield</t>
        </is>
      </c>
      <c r="K3942" s="12" t="inlineStr">
        <is>
          <t>PLTC|24 pr|18</t>
        </is>
      </c>
      <c r="L3942" s="12" t="inlineStr">
        <is>
          <t>24 pr</t>
        </is>
      </c>
      <c r="M3942" s="12" t="inlineStr">
        <is>
          <t>18</t>
        </is>
      </c>
      <c r="N3942" s="12" t="n">
        <v>1</v>
      </c>
      <c r="O3942" s="12" t="n">
        <v>1</v>
      </c>
      <c r="P3942" s="12" t="n"/>
      <c r="Q3942" s="12" t="n"/>
      <c r="R3942" s="12" t="n"/>
      <c r="S3942" s="12" t="inlineStr">
        <is>
          <t>Duct bank</t>
        </is>
      </c>
      <c r="T3942" s="16" t="n">
        <v>160</v>
      </c>
      <c r="U3942" s="16" t="n">
        <v>109</v>
      </c>
      <c r="V3942" s="16">
        <f>ROUNDUP((T3942+U3942+2*'Read Me'!$B$13)*(1+'Read Me'!$B$12),-1)</f>
        <v/>
      </c>
      <c r="W3942" s="16">
        <f>V3942*N3942*O3942</f>
        <v/>
      </c>
      <c r="X3942" s="12">
        <f>IF(LEFT(I3942,2)="MV",2*N3942*IF(L3942="1/C",O3942,1),0)</f>
        <v/>
      </c>
      <c r="Y3942" s="12">
        <f>IF(OR(LEFT(K3942,4)="LVAX",LEFT(K3942,6)="MV15AX",LEFT(K3942,4)="CTAX",LEFT(K3942,2)="W|"),2*N3942*O3942,0)</f>
        <v/>
      </c>
      <c r="Z3942" s="12" t="inlineStr"/>
      <c r="AA3942" s="12">
        <f>N3942*O3942</f>
        <v/>
      </c>
    </row>
    <row r="3943">
      <c r="A3943" s="12" t="inlineStr">
        <is>
          <t>H-I-0102</t>
        </is>
      </c>
      <c r="B3943" s="12" t="inlineStr">
        <is>
          <t>H</t>
        </is>
      </c>
      <c r="C3943" s="12" t="inlineStr">
        <is>
          <t>BESS</t>
        </is>
      </c>
      <c r="D3943" s="12" t="inlineStr">
        <is>
          <t>Discrete device to JB JB-BESS container (IS-DI01: 8 x 1 pr (field cables)</t>
        </is>
      </c>
      <c r="E3943" s="12" t="inlineStr"/>
      <c r="F3943" s="12" t="inlineStr">
        <is>
          <t>BESS container (ISO 40 ft high cube)</t>
        </is>
      </c>
      <c r="G3943" s="12" t="inlineStr">
        <is>
          <t>JB-BESS container (IS-DI01</t>
        </is>
      </c>
      <c r="H3943" s="12" t="inlineStr">
        <is>
          <t>BESS container (ISO 40 ft high cube)</t>
        </is>
      </c>
      <c r="I3943" s="12" t="inlineStr">
        <is>
          <t>Instrumentation</t>
        </is>
      </c>
      <c r="J3943" s="12" t="inlineStr">
        <is>
          <t>Instrumentation PLTC / TC-ER 300 V, #18 twisted shielded pairs, overall shield</t>
        </is>
      </c>
      <c r="K3943" s="12" t="inlineStr">
        <is>
          <t>PLTC|1 pr|16</t>
        </is>
      </c>
      <c r="L3943" s="12" t="inlineStr">
        <is>
          <t>1 pr</t>
        </is>
      </c>
      <c r="M3943" s="12" t="inlineStr">
        <is>
          <t>16</t>
        </is>
      </c>
      <c r="N3943" s="12" t="n">
        <v>8</v>
      </c>
      <c r="O3943" s="12" t="n">
        <v>1</v>
      </c>
      <c r="P3943" s="12" t="n"/>
      <c r="Q3943" s="12" t="n"/>
      <c r="R3943" s="12" t="n"/>
      <c r="S3943" s="12" t="inlineStr">
        <is>
          <t>Tray / conduit</t>
        </is>
      </c>
      <c r="T3943" s="16" t="n">
        <v>53</v>
      </c>
      <c r="U3943" s="16" t="n">
        <v>10</v>
      </c>
      <c r="V3943" s="16">
        <f>ROUNDUP((T3943+U3943+2*'Read Me'!$B$13)*(1+'Read Me'!$B$12),-1)</f>
        <v/>
      </c>
      <c r="W3943" s="16">
        <f>V3943*N3943*O3943</f>
        <v/>
      </c>
      <c r="X3943" s="12">
        <f>IF(LEFT(I3943,2)="MV",2*N3943*IF(L3943="1/C",O3943,1),0)</f>
        <v/>
      </c>
      <c r="Y3943" s="12">
        <f>IF(OR(LEFT(K3943,4)="LVAX",LEFT(K3943,6)="MV15AX",LEFT(K3943,4)="CTAX",LEFT(K3943,2)="W|"),2*N3943*O3943,0)</f>
        <v/>
      </c>
      <c r="Z3943" s="12" t="inlineStr">
        <is>
          <t>device-to-JB field wiring, one cable per device</t>
        </is>
      </c>
      <c r="AA3943" s="12">
        <f>N3943*O3943</f>
        <v/>
      </c>
    </row>
    <row r="3944">
      <c r="A3944" s="12" t="inlineStr">
        <is>
          <t>H-I-0103</t>
        </is>
      </c>
      <c r="B3944" s="12" t="inlineStr">
        <is>
          <t>H</t>
        </is>
      </c>
      <c r="C3944" s="12" t="inlineStr">
        <is>
          <t>BESS</t>
        </is>
      </c>
      <c r="D3944" s="12" t="inlineStr">
        <is>
          <t>Home run JB-BESS container (IS-DI01 to the control / marshalling room</t>
        </is>
      </c>
      <c r="E3944" s="12" t="inlineStr"/>
      <c r="F3944" s="12" t="inlineStr">
        <is>
          <t>BESS EMS / SCADA and revenue metering</t>
        </is>
      </c>
      <c r="G3944" s="12" t="inlineStr">
        <is>
          <t>JB-BESS container (IS-DI01</t>
        </is>
      </c>
      <c r="H3944" s="12" t="inlineStr">
        <is>
          <t>BESS container (ISO 40 ft high cube)</t>
        </is>
      </c>
      <c r="I3944" s="12" t="inlineStr">
        <is>
          <t>Instrumentation</t>
        </is>
      </c>
      <c r="J3944" s="12" t="inlineStr">
        <is>
          <t>Instrumentation PLTC / TC-ER 300 V, #18 twisted shielded pairs, overall shield</t>
        </is>
      </c>
      <c r="K3944" s="12" t="inlineStr">
        <is>
          <t>PLTC|24 pr|18</t>
        </is>
      </c>
      <c r="L3944" s="12" t="inlineStr">
        <is>
          <t>24 pr</t>
        </is>
      </c>
      <c r="M3944" s="12" t="inlineStr">
        <is>
          <t>18</t>
        </is>
      </c>
      <c r="N3944" s="12" t="n">
        <v>1</v>
      </c>
      <c r="O3944" s="12" t="n">
        <v>1</v>
      </c>
      <c r="P3944" s="12" t="n"/>
      <c r="Q3944" s="12" t="n"/>
      <c r="R3944" s="12" t="n"/>
      <c r="S3944" s="12" t="inlineStr">
        <is>
          <t>Duct bank</t>
        </is>
      </c>
      <c r="T3944" s="16" t="n">
        <v>70</v>
      </c>
      <c r="U3944" s="16" t="n">
        <v>139</v>
      </c>
      <c r="V3944" s="16">
        <f>ROUNDUP((T3944+U3944+2*'Read Me'!$B$13)*(1+'Read Me'!$B$12),-1)</f>
        <v/>
      </c>
      <c r="W3944" s="16">
        <f>V3944*N3944*O3944</f>
        <v/>
      </c>
      <c r="X3944" s="12">
        <f>IF(LEFT(I3944,2)="MV",2*N3944*IF(L3944="1/C",O3944,1),0)</f>
        <v/>
      </c>
      <c r="Y3944" s="12">
        <f>IF(OR(LEFT(K3944,4)="LVAX",LEFT(K3944,6)="MV15AX",LEFT(K3944,4)="CTAX",LEFT(K3944,2)="W|"),2*N3944*O3944,0)</f>
        <v/>
      </c>
      <c r="Z3944" s="12" t="inlineStr"/>
      <c r="AA3944" s="12">
        <f>N3944*O3944</f>
        <v/>
      </c>
    </row>
    <row r="3945">
      <c r="A3945" s="12" t="inlineStr">
        <is>
          <t>H-I-0104</t>
        </is>
      </c>
      <c r="B3945" s="12" t="inlineStr">
        <is>
          <t>H</t>
        </is>
      </c>
      <c r="C3945" s="12" t="inlineStr">
        <is>
          <t>BESS</t>
        </is>
      </c>
      <c r="D3945" s="12" t="inlineStr">
        <is>
          <t>Discrete device to JB JB-BESS container (IS-DI01: 8 x 1 pr (field cables)</t>
        </is>
      </c>
      <c r="E3945" s="12" t="inlineStr"/>
      <c r="F3945" s="12" t="inlineStr">
        <is>
          <t>BESS container (ISO 40 ft high cube)</t>
        </is>
      </c>
      <c r="G3945" s="12" t="inlineStr">
        <is>
          <t>JB-BESS container (IS-DI01</t>
        </is>
      </c>
      <c r="H3945" s="12" t="inlineStr">
        <is>
          <t>BESS container (ISO 40 ft high cube)</t>
        </is>
      </c>
      <c r="I3945" s="12" t="inlineStr">
        <is>
          <t>Instrumentation</t>
        </is>
      </c>
      <c r="J3945" s="12" t="inlineStr">
        <is>
          <t>Instrumentation PLTC / TC-ER 300 V, #18 twisted shielded pairs, overall shield</t>
        </is>
      </c>
      <c r="K3945" s="12" t="inlineStr">
        <is>
          <t>PLTC|1 pr|16</t>
        </is>
      </c>
      <c r="L3945" s="12" t="inlineStr">
        <is>
          <t>1 pr</t>
        </is>
      </c>
      <c r="M3945" s="12" t="inlineStr">
        <is>
          <t>16</t>
        </is>
      </c>
      <c r="N3945" s="12" t="n">
        <v>8</v>
      </c>
      <c r="O3945" s="12" t="n">
        <v>1</v>
      </c>
      <c r="P3945" s="12" t="n"/>
      <c r="Q3945" s="12" t="n"/>
      <c r="R3945" s="12" t="n"/>
      <c r="S3945" s="12" t="inlineStr">
        <is>
          <t>Tray / conduit</t>
        </is>
      </c>
      <c r="T3945" s="16" t="n">
        <v>53</v>
      </c>
      <c r="U3945" s="16" t="n">
        <v>10</v>
      </c>
      <c r="V3945" s="16">
        <f>ROUNDUP((T3945+U3945+2*'Read Me'!$B$13)*(1+'Read Me'!$B$12),-1)</f>
        <v/>
      </c>
      <c r="W3945" s="16">
        <f>V3945*N3945*O3945</f>
        <v/>
      </c>
      <c r="X3945" s="12">
        <f>IF(LEFT(I3945,2)="MV",2*N3945*IF(L3945="1/C",O3945,1),0)</f>
        <v/>
      </c>
      <c r="Y3945" s="12">
        <f>IF(OR(LEFT(K3945,4)="LVAX",LEFT(K3945,6)="MV15AX",LEFT(K3945,4)="CTAX",LEFT(K3945,2)="W|"),2*N3945*O3945,0)</f>
        <v/>
      </c>
      <c r="Z3945" s="12" t="inlineStr">
        <is>
          <t>device-to-JB field wiring, one cable per device</t>
        </is>
      </c>
      <c r="AA3945" s="12">
        <f>N3945*O3945</f>
        <v/>
      </c>
    </row>
    <row r="3946">
      <c r="A3946" s="12" t="inlineStr">
        <is>
          <t>H-I-0105</t>
        </is>
      </c>
      <c r="B3946" s="12" t="inlineStr">
        <is>
          <t>H</t>
        </is>
      </c>
      <c r="C3946" s="12" t="inlineStr">
        <is>
          <t>BESS</t>
        </is>
      </c>
      <c r="D3946" s="12" t="inlineStr">
        <is>
          <t>Home run JB-BESS container (IS-DI01 to the control / marshalling room</t>
        </is>
      </c>
      <c r="E3946" s="12" t="inlineStr"/>
      <c r="F3946" s="12" t="inlineStr">
        <is>
          <t>BESS EMS / SCADA and revenue metering</t>
        </is>
      </c>
      <c r="G3946" s="12" t="inlineStr">
        <is>
          <t>JB-BESS container (IS-DI01</t>
        </is>
      </c>
      <c r="H3946" s="12" t="inlineStr">
        <is>
          <t>BESS container (ISO 40 ft high cube)</t>
        </is>
      </c>
      <c r="I3946" s="12" t="inlineStr">
        <is>
          <t>Instrumentation</t>
        </is>
      </c>
      <c r="J3946" s="12" t="inlineStr">
        <is>
          <t>Instrumentation PLTC / TC-ER 300 V, #18 twisted shielded pairs, overall shield</t>
        </is>
      </c>
      <c r="K3946" s="12" t="inlineStr">
        <is>
          <t>PLTC|24 pr|18</t>
        </is>
      </c>
      <c r="L3946" s="12" t="inlineStr">
        <is>
          <t>24 pr</t>
        </is>
      </c>
      <c r="M3946" s="12" t="inlineStr">
        <is>
          <t>18</t>
        </is>
      </c>
      <c r="N3946" s="12" t="n">
        <v>1</v>
      </c>
      <c r="O3946" s="12" t="n">
        <v>1</v>
      </c>
      <c r="P3946" s="12" t="n"/>
      <c r="Q3946" s="12" t="n"/>
      <c r="R3946" s="12" t="n"/>
      <c r="S3946" s="12" t="inlineStr">
        <is>
          <t>Duct bank</t>
        </is>
      </c>
      <c r="T3946" s="16" t="n">
        <v>30</v>
      </c>
      <c r="U3946" s="16" t="n">
        <v>93</v>
      </c>
      <c r="V3946" s="16">
        <f>ROUNDUP((T3946+U3946+2*'Read Me'!$B$13)*(1+'Read Me'!$B$12),-1)</f>
        <v/>
      </c>
      <c r="W3946" s="16">
        <f>V3946*N3946*O3946</f>
        <v/>
      </c>
      <c r="X3946" s="12">
        <f>IF(LEFT(I3946,2)="MV",2*N3946*IF(L3946="1/C",O3946,1),0)</f>
        <v/>
      </c>
      <c r="Y3946" s="12">
        <f>IF(OR(LEFT(K3946,4)="LVAX",LEFT(K3946,6)="MV15AX",LEFT(K3946,4)="CTAX",LEFT(K3946,2)="W|"),2*N3946*O3946,0)</f>
        <v/>
      </c>
      <c r="Z3946" s="12" t="inlineStr"/>
      <c r="AA3946" s="12">
        <f>N3946*O3946</f>
        <v/>
      </c>
    </row>
    <row r="3947">
      <c r="A3947" s="12" t="inlineStr">
        <is>
          <t>H-I-0106</t>
        </is>
      </c>
      <c r="B3947" s="12" t="inlineStr">
        <is>
          <t>H</t>
        </is>
      </c>
      <c r="C3947" s="12" t="inlineStr">
        <is>
          <t>BESS</t>
        </is>
      </c>
      <c r="D3947" s="12" t="inlineStr">
        <is>
          <t>Discrete device to JB JB-BESS container (IS-DI01: 8 x 1 pr (field cables)</t>
        </is>
      </c>
      <c r="E3947" s="12" t="inlineStr"/>
      <c r="F3947" s="12" t="inlineStr">
        <is>
          <t>BESS container (ISO 40 ft high cube)</t>
        </is>
      </c>
      <c r="G3947" s="12" t="inlineStr">
        <is>
          <t>JB-BESS container (IS-DI01</t>
        </is>
      </c>
      <c r="H3947" s="12" t="inlineStr">
        <is>
          <t>BESS container (ISO 40 ft high cube)</t>
        </is>
      </c>
      <c r="I3947" s="12" t="inlineStr">
        <is>
          <t>Instrumentation</t>
        </is>
      </c>
      <c r="J3947" s="12" t="inlineStr">
        <is>
          <t>Instrumentation PLTC / TC-ER 300 V, #18 twisted shielded pairs, overall shield</t>
        </is>
      </c>
      <c r="K3947" s="12" t="inlineStr">
        <is>
          <t>PLTC|1 pr|16</t>
        </is>
      </c>
      <c r="L3947" s="12" t="inlineStr">
        <is>
          <t>1 pr</t>
        </is>
      </c>
      <c r="M3947" s="12" t="inlineStr">
        <is>
          <t>16</t>
        </is>
      </c>
      <c r="N3947" s="12" t="n">
        <v>8</v>
      </c>
      <c r="O3947" s="12" t="n">
        <v>1</v>
      </c>
      <c r="P3947" s="12" t="n"/>
      <c r="Q3947" s="12" t="n"/>
      <c r="R3947" s="12" t="n"/>
      <c r="S3947" s="12" t="inlineStr">
        <is>
          <t>Tray / conduit</t>
        </is>
      </c>
      <c r="T3947" s="16" t="n">
        <v>53</v>
      </c>
      <c r="U3947" s="16" t="n">
        <v>10</v>
      </c>
      <c r="V3947" s="16">
        <f>ROUNDUP((T3947+U3947+2*'Read Me'!$B$13)*(1+'Read Me'!$B$12),-1)</f>
        <v/>
      </c>
      <c r="W3947" s="16">
        <f>V3947*N3947*O3947</f>
        <v/>
      </c>
      <c r="X3947" s="12">
        <f>IF(LEFT(I3947,2)="MV",2*N3947*IF(L3947="1/C",O3947,1),0)</f>
        <v/>
      </c>
      <c r="Y3947" s="12">
        <f>IF(OR(LEFT(K3947,4)="LVAX",LEFT(K3947,6)="MV15AX",LEFT(K3947,4)="CTAX",LEFT(K3947,2)="W|"),2*N3947*O3947,0)</f>
        <v/>
      </c>
      <c r="Z3947" s="12" t="inlineStr">
        <is>
          <t>device-to-JB field wiring, one cable per device</t>
        </is>
      </c>
      <c r="AA3947" s="12">
        <f>N3947*O3947</f>
        <v/>
      </c>
    </row>
    <row r="3948">
      <c r="A3948" s="12" t="inlineStr">
        <is>
          <t>H-I-0107</t>
        </is>
      </c>
      <c r="B3948" s="12" t="inlineStr">
        <is>
          <t>H</t>
        </is>
      </c>
      <c r="C3948" s="12" t="inlineStr">
        <is>
          <t>BESS</t>
        </is>
      </c>
      <c r="D3948" s="12" t="inlineStr">
        <is>
          <t>Home run JB-BESS container (IS-DI01 to the control / marshalling room</t>
        </is>
      </c>
      <c r="E3948" s="12" t="inlineStr"/>
      <c r="F3948" s="12" t="inlineStr">
        <is>
          <t>BESS EMS / SCADA and revenue metering</t>
        </is>
      </c>
      <c r="G3948" s="12" t="inlineStr">
        <is>
          <t>JB-BESS container (IS-DI01</t>
        </is>
      </c>
      <c r="H3948" s="12" t="inlineStr">
        <is>
          <t>BESS container (ISO 40 ft high cube)</t>
        </is>
      </c>
      <c r="I3948" s="12" t="inlineStr">
        <is>
          <t>Instrumentation</t>
        </is>
      </c>
      <c r="J3948" s="12" t="inlineStr">
        <is>
          <t>Instrumentation PLTC / TC-ER 300 V, #18 twisted shielded pairs, overall shield</t>
        </is>
      </c>
      <c r="K3948" s="12" t="inlineStr">
        <is>
          <t>PLTC|24 pr|18</t>
        </is>
      </c>
      <c r="L3948" s="12" t="inlineStr">
        <is>
          <t>24 pr</t>
        </is>
      </c>
      <c r="M3948" s="12" t="inlineStr">
        <is>
          <t>18</t>
        </is>
      </c>
      <c r="N3948" s="12" t="n">
        <v>1</v>
      </c>
      <c r="O3948" s="12" t="n">
        <v>1</v>
      </c>
      <c r="P3948" s="12" t="n"/>
      <c r="Q3948" s="12" t="n"/>
      <c r="R3948" s="12" t="n"/>
      <c r="S3948" s="12" t="inlineStr">
        <is>
          <t>Tray</t>
        </is>
      </c>
      <c r="T3948" s="16" t="n">
        <v>0</v>
      </c>
      <c r="U3948" s="16" t="n">
        <v>83</v>
      </c>
      <c r="V3948" s="16">
        <f>ROUNDUP((T3948+U3948+2*'Read Me'!$B$13)*(1+'Read Me'!$B$12),-1)</f>
        <v/>
      </c>
      <c r="W3948" s="16">
        <f>V3948*N3948*O3948</f>
        <v/>
      </c>
      <c r="X3948" s="12">
        <f>IF(LEFT(I3948,2)="MV",2*N3948*IF(L3948="1/C",O3948,1),0)</f>
        <v/>
      </c>
      <c r="Y3948" s="12">
        <f>IF(OR(LEFT(K3948,4)="LVAX",LEFT(K3948,6)="MV15AX",LEFT(K3948,4)="CTAX",LEFT(K3948,2)="W|"),2*N3948*O3948,0)</f>
        <v/>
      </c>
      <c r="Z3948" s="12" t="inlineStr"/>
      <c r="AA3948" s="12">
        <f>N3948*O3948</f>
        <v/>
      </c>
    </row>
    <row r="3949">
      <c r="A3949" s="12" t="inlineStr">
        <is>
          <t>H-I-0108</t>
        </is>
      </c>
      <c r="B3949" s="12" t="inlineStr">
        <is>
          <t>H</t>
        </is>
      </c>
      <c r="C3949" s="12" t="inlineStr">
        <is>
          <t>BESS</t>
        </is>
      </c>
      <c r="D3949" s="12" t="inlineStr">
        <is>
          <t>Discrete device to JB JB-BESS container (IS-DI01: 8 x 1 pr (field cables)</t>
        </is>
      </c>
      <c r="E3949" s="12" t="inlineStr"/>
      <c r="F3949" s="12" t="inlineStr">
        <is>
          <t>BESS container (ISO 40 ft high cube)</t>
        </is>
      </c>
      <c r="G3949" s="12" t="inlineStr">
        <is>
          <t>JB-BESS container (IS-DI01</t>
        </is>
      </c>
      <c r="H3949" s="12" t="inlineStr">
        <is>
          <t>BESS container (ISO 40 ft high cube)</t>
        </is>
      </c>
      <c r="I3949" s="12" t="inlineStr">
        <is>
          <t>Instrumentation</t>
        </is>
      </c>
      <c r="J3949" s="12" t="inlineStr">
        <is>
          <t>Instrumentation PLTC / TC-ER 300 V, #18 twisted shielded pairs, overall shield</t>
        </is>
      </c>
      <c r="K3949" s="12" t="inlineStr">
        <is>
          <t>PLTC|1 pr|16</t>
        </is>
      </c>
      <c r="L3949" s="12" t="inlineStr">
        <is>
          <t>1 pr</t>
        </is>
      </c>
      <c r="M3949" s="12" t="inlineStr">
        <is>
          <t>16</t>
        </is>
      </c>
      <c r="N3949" s="12" t="n">
        <v>8</v>
      </c>
      <c r="O3949" s="12" t="n">
        <v>1</v>
      </c>
      <c r="P3949" s="12" t="n"/>
      <c r="Q3949" s="12" t="n"/>
      <c r="R3949" s="12" t="n"/>
      <c r="S3949" s="12" t="inlineStr">
        <is>
          <t>Tray / conduit</t>
        </is>
      </c>
      <c r="T3949" s="16" t="n">
        <v>53</v>
      </c>
      <c r="U3949" s="16" t="n">
        <v>10</v>
      </c>
      <c r="V3949" s="16">
        <f>ROUNDUP((T3949+U3949+2*'Read Me'!$B$13)*(1+'Read Me'!$B$12),-1)</f>
        <v/>
      </c>
      <c r="W3949" s="16">
        <f>V3949*N3949*O3949</f>
        <v/>
      </c>
      <c r="X3949" s="12">
        <f>IF(LEFT(I3949,2)="MV",2*N3949*IF(L3949="1/C",O3949,1),0)</f>
        <v/>
      </c>
      <c r="Y3949" s="12">
        <f>IF(OR(LEFT(K3949,4)="LVAX",LEFT(K3949,6)="MV15AX",LEFT(K3949,4)="CTAX",LEFT(K3949,2)="W|"),2*N3949*O3949,0)</f>
        <v/>
      </c>
      <c r="Z3949" s="12" t="inlineStr">
        <is>
          <t>device-to-JB field wiring, one cable per device</t>
        </is>
      </c>
      <c r="AA3949" s="12">
        <f>N3949*O3949</f>
        <v/>
      </c>
    </row>
    <row r="3950">
      <c r="A3950" s="12" t="inlineStr">
        <is>
          <t>H-I-0109</t>
        </is>
      </c>
      <c r="B3950" s="12" t="inlineStr">
        <is>
          <t>H</t>
        </is>
      </c>
      <c r="C3950" s="12" t="inlineStr">
        <is>
          <t>BESS</t>
        </is>
      </c>
      <c r="D3950" s="12" t="inlineStr">
        <is>
          <t>Home run JB-BESS container (IS-DI01 to the control / marshalling room</t>
        </is>
      </c>
      <c r="E3950" s="12" t="inlineStr"/>
      <c r="F3950" s="12" t="inlineStr">
        <is>
          <t>BESS EMS / SCADA and revenue metering</t>
        </is>
      </c>
      <c r="G3950" s="12" t="inlineStr">
        <is>
          <t>JB-BESS container (IS-DI01</t>
        </is>
      </c>
      <c r="H3950" s="12" t="inlineStr">
        <is>
          <t>BESS container (ISO 40 ft high cube)</t>
        </is>
      </c>
      <c r="I3950" s="12" t="inlineStr">
        <is>
          <t>Instrumentation</t>
        </is>
      </c>
      <c r="J3950" s="12" t="inlineStr">
        <is>
          <t>Instrumentation PLTC / TC-ER 300 V, #18 twisted shielded pairs, overall shield</t>
        </is>
      </c>
      <c r="K3950" s="12" t="inlineStr">
        <is>
          <t>PLTC|24 pr|18</t>
        </is>
      </c>
      <c r="L3950" s="12" t="inlineStr">
        <is>
          <t>24 pr</t>
        </is>
      </c>
      <c r="M3950" s="12" t="inlineStr">
        <is>
          <t>18</t>
        </is>
      </c>
      <c r="N3950" s="12" t="n">
        <v>1</v>
      </c>
      <c r="O3950" s="12" t="n">
        <v>1</v>
      </c>
      <c r="P3950" s="12" t="n"/>
      <c r="Q3950" s="12" t="n"/>
      <c r="R3950" s="12" t="n"/>
      <c r="S3950" s="12" t="inlineStr">
        <is>
          <t>Duct bank</t>
        </is>
      </c>
      <c r="T3950" s="16" t="n">
        <v>300</v>
      </c>
      <c r="U3950" s="16" t="n">
        <v>147</v>
      </c>
      <c r="V3950" s="16">
        <f>ROUNDUP((T3950+U3950+2*'Read Me'!$B$13)*(1+'Read Me'!$B$12),-1)</f>
        <v/>
      </c>
      <c r="W3950" s="16">
        <f>V3950*N3950*O3950</f>
        <v/>
      </c>
      <c r="X3950" s="12">
        <f>IF(LEFT(I3950,2)="MV",2*N3950*IF(L3950="1/C",O3950,1),0)</f>
        <v/>
      </c>
      <c r="Y3950" s="12">
        <f>IF(OR(LEFT(K3950,4)="LVAX",LEFT(K3950,6)="MV15AX",LEFT(K3950,4)="CTAX",LEFT(K3950,2)="W|"),2*N3950*O3950,0)</f>
        <v/>
      </c>
      <c r="Z3950" s="12" t="inlineStr"/>
      <c r="AA3950" s="12">
        <f>N3950*O3950</f>
        <v/>
      </c>
    </row>
    <row r="3951">
      <c r="A3951" s="12" t="inlineStr">
        <is>
          <t>H-I-0110</t>
        </is>
      </c>
      <c r="B3951" s="12" t="inlineStr">
        <is>
          <t>H</t>
        </is>
      </c>
      <c r="C3951" s="12" t="inlineStr">
        <is>
          <t>BESS</t>
        </is>
      </c>
      <c r="D3951" s="12" t="inlineStr">
        <is>
          <t>Discrete device to JB JB-BESS container (IS-DI01: 8 x 1 pr (field cables)</t>
        </is>
      </c>
      <c r="E3951" s="12" t="inlineStr"/>
      <c r="F3951" s="12" t="inlineStr">
        <is>
          <t>BESS container (ISO 40 ft high cube)</t>
        </is>
      </c>
      <c r="G3951" s="12" t="inlineStr">
        <is>
          <t>JB-BESS container (IS-DI01</t>
        </is>
      </c>
      <c r="H3951" s="12" t="inlineStr">
        <is>
          <t>BESS container (ISO 40 ft high cube)</t>
        </is>
      </c>
      <c r="I3951" s="12" t="inlineStr">
        <is>
          <t>Instrumentation</t>
        </is>
      </c>
      <c r="J3951" s="12" t="inlineStr">
        <is>
          <t>Instrumentation PLTC / TC-ER 300 V, #18 twisted shielded pairs, overall shield</t>
        </is>
      </c>
      <c r="K3951" s="12" t="inlineStr">
        <is>
          <t>PLTC|1 pr|16</t>
        </is>
      </c>
      <c r="L3951" s="12" t="inlineStr">
        <is>
          <t>1 pr</t>
        </is>
      </c>
      <c r="M3951" s="12" t="inlineStr">
        <is>
          <t>16</t>
        </is>
      </c>
      <c r="N3951" s="12" t="n">
        <v>8</v>
      </c>
      <c r="O3951" s="12" t="n">
        <v>1</v>
      </c>
      <c r="P3951" s="12" t="n"/>
      <c r="Q3951" s="12" t="n"/>
      <c r="R3951" s="12" t="n"/>
      <c r="S3951" s="12" t="inlineStr">
        <is>
          <t>Tray / conduit</t>
        </is>
      </c>
      <c r="T3951" s="16" t="n">
        <v>53</v>
      </c>
      <c r="U3951" s="16" t="n">
        <v>10</v>
      </c>
      <c r="V3951" s="16">
        <f>ROUNDUP((T3951+U3951+2*'Read Me'!$B$13)*(1+'Read Me'!$B$12),-1)</f>
        <v/>
      </c>
      <c r="W3951" s="16">
        <f>V3951*N3951*O3951</f>
        <v/>
      </c>
      <c r="X3951" s="12">
        <f>IF(LEFT(I3951,2)="MV",2*N3951*IF(L3951="1/C",O3951,1),0)</f>
        <v/>
      </c>
      <c r="Y3951" s="12">
        <f>IF(OR(LEFT(K3951,4)="LVAX",LEFT(K3951,6)="MV15AX",LEFT(K3951,4)="CTAX",LEFT(K3951,2)="W|"),2*N3951*O3951,0)</f>
        <v/>
      </c>
      <c r="Z3951" s="12" t="inlineStr">
        <is>
          <t>device-to-JB field wiring, one cable per device</t>
        </is>
      </c>
      <c r="AA3951" s="12">
        <f>N3951*O3951</f>
        <v/>
      </c>
    </row>
    <row r="3952">
      <c r="A3952" s="12" t="inlineStr">
        <is>
          <t>H-I-0111</t>
        </is>
      </c>
      <c r="B3952" s="12" t="inlineStr">
        <is>
          <t>H</t>
        </is>
      </c>
      <c r="C3952" s="12" t="inlineStr">
        <is>
          <t>BESS</t>
        </is>
      </c>
      <c r="D3952" s="12" t="inlineStr">
        <is>
          <t>Home run JB-BESS container (IS-DI01 to the control / marshalling room</t>
        </is>
      </c>
      <c r="E3952" s="12" t="inlineStr"/>
      <c r="F3952" s="12" t="inlineStr">
        <is>
          <t>BESS EMS / SCADA and revenue metering</t>
        </is>
      </c>
      <c r="G3952" s="12" t="inlineStr">
        <is>
          <t>JB-BESS container (IS-DI01</t>
        </is>
      </c>
      <c r="H3952" s="12" t="inlineStr">
        <is>
          <t>BESS container (ISO 40 ft high cube)</t>
        </is>
      </c>
      <c r="I3952" s="12" t="inlineStr">
        <is>
          <t>Instrumentation</t>
        </is>
      </c>
      <c r="J3952" s="12" t="inlineStr">
        <is>
          <t>Instrumentation PLTC / TC-ER 300 V, #18 twisted shielded pairs, overall shield</t>
        </is>
      </c>
      <c r="K3952" s="12" t="inlineStr">
        <is>
          <t>PLTC|24 pr|18</t>
        </is>
      </c>
      <c r="L3952" s="12" t="inlineStr">
        <is>
          <t>24 pr</t>
        </is>
      </c>
      <c r="M3952" s="12" t="inlineStr">
        <is>
          <t>18</t>
        </is>
      </c>
      <c r="N3952" s="12" t="n">
        <v>1</v>
      </c>
      <c r="O3952" s="12" t="n">
        <v>1</v>
      </c>
      <c r="P3952" s="12" t="n"/>
      <c r="Q3952" s="12" t="n"/>
      <c r="R3952" s="12" t="n"/>
      <c r="S3952" s="12" t="inlineStr">
        <is>
          <t>Duct bank</t>
        </is>
      </c>
      <c r="T3952" s="16" t="n">
        <v>160</v>
      </c>
      <c r="U3952" s="16" t="n">
        <v>227</v>
      </c>
      <c r="V3952" s="16">
        <f>ROUNDUP((T3952+U3952+2*'Read Me'!$B$13)*(1+'Read Me'!$B$12),-1)</f>
        <v/>
      </c>
      <c r="W3952" s="16">
        <f>V3952*N3952*O3952</f>
        <v/>
      </c>
      <c r="X3952" s="12">
        <f>IF(LEFT(I3952,2)="MV",2*N3952*IF(L3952="1/C",O3952,1),0)</f>
        <v/>
      </c>
      <c r="Y3952" s="12">
        <f>IF(OR(LEFT(K3952,4)="LVAX",LEFT(K3952,6)="MV15AX",LEFT(K3952,4)="CTAX",LEFT(K3952,2)="W|"),2*N3952*O3952,0)</f>
        <v/>
      </c>
      <c r="Z3952" s="12" t="inlineStr"/>
      <c r="AA3952" s="12">
        <f>N3952*O3952</f>
        <v/>
      </c>
    </row>
    <row r="3953">
      <c r="A3953" s="12" t="inlineStr">
        <is>
          <t>H-I-0112</t>
        </is>
      </c>
      <c r="B3953" s="12" t="inlineStr">
        <is>
          <t>H</t>
        </is>
      </c>
      <c r="C3953" s="12" t="inlineStr">
        <is>
          <t>BESS</t>
        </is>
      </c>
      <c r="D3953" s="12" t="inlineStr">
        <is>
          <t>Discrete device to JB JB-BESS container (IS-DI01: 8 x 1 pr (field cables)</t>
        </is>
      </c>
      <c r="E3953" s="12" t="inlineStr"/>
      <c r="F3953" s="12" t="inlineStr">
        <is>
          <t>BESS container (ISO 40 ft high cube)</t>
        </is>
      </c>
      <c r="G3953" s="12" t="inlineStr">
        <is>
          <t>JB-BESS container (IS-DI01</t>
        </is>
      </c>
      <c r="H3953" s="12" t="inlineStr">
        <is>
          <t>BESS container (ISO 40 ft high cube)</t>
        </is>
      </c>
      <c r="I3953" s="12" t="inlineStr">
        <is>
          <t>Instrumentation</t>
        </is>
      </c>
      <c r="J3953" s="12" t="inlineStr">
        <is>
          <t>Instrumentation PLTC / TC-ER 300 V, #18 twisted shielded pairs, overall shield</t>
        </is>
      </c>
      <c r="K3953" s="12" t="inlineStr">
        <is>
          <t>PLTC|1 pr|16</t>
        </is>
      </c>
      <c r="L3953" s="12" t="inlineStr">
        <is>
          <t>1 pr</t>
        </is>
      </c>
      <c r="M3953" s="12" t="inlineStr">
        <is>
          <t>16</t>
        </is>
      </c>
      <c r="N3953" s="12" t="n">
        <v>8</v>
      </c>
      <c r="O3953" s="12" t="n">
        <v>1</v>
      </c>
      <c r="P3953" s="12" t="n"/>
      <c r="Q3953" s="12" t="n"/>
      <c r="R3953" s="12" t="n"/>
      <c r="S3953" s="12" t="inlineStr">
        <is>
          <t>Tray / conduit</t>
        </is>
      </c>
      <c r="T3953" s="16" t="n">
        <v>53</v>
      </c>
      <c r="U3953" s="16" t="n">
        <v>10</v>
      </c>
      <c r="V3953" s="16">
        <f>ROUNDUP((T3953+U3953+2*'Read Me'!$B$13)*(1+'Read Me'!$B$12),-1)</f>
        <v/>
      </c>
      <c r="W3953" s="16">
        <f>V3953*N3953*O3953</f>
        <v/>
      </c>
      <c r="X3953" s="12">
        <f>IF(LEFT(I3953,2)="MV",2*N3953*IF(L3953="1/C",O3953,1),0)</f>
        <v/>
      </c>
      <c r="Y3953" s="12">
        <f>IF(OR(LEFT(K3953,4)="LVAX",LEFT(K3953,6)="MV15AX",LEFT(K3953,4)="CTAX",LEFT(K3953,2)="W|"),2*N3953*O3953,0)</f>
        <v/>
      </c>
      <c r="Z3953" s="12" t="inlineStr">
        <is>
          <t>device-to-JB field wiring, one cable per device</t>
        </is>
      </c>
      <c r="AA3953" s="12">
        <f>N3953*O3953</f>
        <v/>
      </c>
    </row>
    <row r="3954">
      <c r="A3954" s="12" t="inlineStr">
        <is>
          <t>H-I-0113</t>
        </is>
      </c>
      <c r="B3954" s="12" t="inlineStr">
        <is>
          <t>H</t>
        </is>
      </c>
      <c r="C3954" s="12" t="inlineStr">
        <is>
          <t>BESS</t>
        </is>
      </c>
      <c r="D3954" s="12" t="inlineStr">
        <is>
          <t>Home run JB-BESS container (IS-DI01 to the control / marshalling room</t>
        </is>
      </c>
      <c r="E3954" s="12" t="inlineStr"/>
      <c r="F3954" s="12" t="inlineStr">
        <is>
          <t>BESS EMS / SCADA and revenue metering</t>
        </is>
      </c>
      <c r="G3954" s="12" t="inlineStr">
        <is>
          <t>JB-BESS container (IS-DI01</t>
        </is>
      </c>
      <c r="H3954" s="12" t="inlineStr">
        <is>
          <t>BESS container (ISO 40 ft high cube)</t>
        </is>
      </c>
      <c r="I3954" s="12" t="inlineStr">
        <is>
          <t>Instrumentation</t>
        </is>
      </c>
      <c r="J3954" s="12" t="inlineStr">
        <is>
          <t>Instrumentation PLTC / TC-ER 300 V, #18 twisted shielded pairs, overall shield</t>
        </is>
      </c>
      <c r="K3954" s="12" t="inlineStr">
        <is>
          <t>PLTC|24 pr|18</t>
        </is>
      </c>
      <c r="L3954" s="12" t="inlineStr">
        <is>
          <t>24 pr</t>
        </is>
      </c>
      <c r="M3954" s="12" t="inlineStr">
        <is>
          <t>18</t>
        </is>
      </c>
      <c r="N3954" s="12" t="n">
        <v>1</v>
      </c>
      <c r="O3954" s="12" t="n">
        <v>1</v>
      </c>
      <c r="P3954" s="12" t="n"/>
      <c r="Q3954" s="12" t="n"/>
      <c r="R3954" s="12" t="n"/>
      <c r="S3954" s="12" t="inlineStr">
        <is>
          <t>Duct bank</t>
        </is>
      </c>
      <c r="T3954" s="16" t="n">
        <v>160</v>
      </c>
      <c r="U3954" s="16" t="n">
        <v>167</v>
      </c>
      <c r="V3954" s="16">
        <f>ROUNDUP((T3954+U3954+2*'Read Me'!$B$13)*(1+'Read Me'!$B$12),-1)</f>
        <v/>
      </c>
      <c r="W3954" s="16">
        <f>V3954*N3954*O3954</f>
        <v/>
      </c>
      <c r="X3954" s="12">
        <f>IF(LEFT(I3954,2)="MV",2*N3954*IF(L3954="1/C",O3954,1),0)</f>
        <v/>
      </c>
      <c r="Y3954" s="12">
        <f>IF(OR(LEFT(K3954,4)="LVAX",LEFT(K3954,6)="MV15AX",LEFT(K3954,4)="CTAX",LEFT(K3954,2)="W|"),2*N3954*O3954,0)</f>
        <v/>
      </c>
      <c r="Z3954" s="12" t="inlineStr"/>
      <c r="AA3954" s="12">
        <f>N3954*O3954</f>
        <v/>
      </c>
    </row>
    <row r="3955">
      <c r="A3955" s="12" t="inlineStr">
        <is>
          <t>H-I-0114</t>
        </is>
      </c>
      <c r="B3955" s="12" t="inlineStr">
        <is>
          <t>H</t>
        </is>
      </c>
      <c r="C3955" s="12" t="inlineStr">
        <is>
          <t>BESS</t>
        </is>
      </c>
      <c r="D3955" s="12" t="inlineStr">
        <is>
          <t>Discrete device to JB JB-BESS container (IS-DI01: 8 x 1 pr (field cables)</t>
        </is>
      </c>
      <c r="E3955" s="12" t="inlineStr"/>
      <c r="F3955" s="12" t="inlineStr">
        <is>
          <t>BESS container (ISO 40 ft high cube)</t>
        </is>
      </c>
      <c r="G3955" s="12" t="inlineStr">
        <is>
          <t>JB-BESS container (IS-DI01</t>
        </is>
      </c>
      <c r="H3955" s="12" t="inlineStr">
        <is>
          <t>BESS container (ISO 40 ft high cube)</t>
        </is>
      </c>
      <c r="I3955" s="12" t="inlineStr">
        <is>
          <t>Instrumentation</t>
        </is>
      </c>
      <c r="J3955" s="12" t="inlineStr">
        <is>
          <t>Instrumentation PLTC / TC-ER 300 V, #18 twisted shielded pairs, overall shield</t>
        </is>
      </c>
      <c r="K3955" s="12" t="inlineStr">
        <is>
          <t>PLTC|1 pr|16</t>
        </is>
      </c>
      <c r="L3955" s="12" t="inlineStr">
        <is>
          <t>1 pr</t>
        </is>
      </c>
      <c r="M3955" s="12" t="inlineStr">
        <is>
          <t>16</t>
        </is>
      </c>
      <c r="N3955" s="12" t="n">
        <v>8</v>
      </c>
      <c r="O3955" s="12" t="n">
        <v>1</v>
      </c>
      <c r="P3955" s="12" t="n"/>
      <c r="Q3955" s="12" t="n"/>
      <c r="R3955" s="12" t="n"/>
      <c r="S3955" s="12" t="inlineStr">
        <is>
          <t>Tray / conduit</t>
        </is>
      </c>
      <c r="T3955" s="16" t="n">
        <v>53</v>
      </c>
      <c r="U3955" s="16" t="n">
        <v>10</v>
      </c>
      <c r="V3955" s="16">
        <f>ROUNDUP((T3955+U3955+2*'Read Me'!$B$13)*(1+'Read Me'!$B$12),-1)</f>
        <v/>
      </c>
      <c r="W3955" s="16">
        <f>V3955*N3955*O3955</f>
        <v/>
      </c>
      <c r="X3955" s="12">
        <f>IF(LEFT(I3955,2)="MV",2*N3955*IF(L3955="1/C",O3955,1),0)</f>
        <v/>
      </c>
      <c r="Y3955" s="12">
        <f>IF(OR(LEFT(K3955,4)="LVAX",LEFT(K3955,6)="MV15AX",LEFT(K3955,4)="CTAX",LEFT(K3955,2)="W|"),2*N3955*O3955,0)</f>
        <v/>
      </c>
      <c r="Z3955" s="12" t="inlineStr">
        <is>
          <t>device-to-JB field wiring, one cable per device</t>
        </is>
      </c>
      <c r="AA3955" s="12">
        <f>N3955*O3955</f>
        <v/>
      </c>
    </row>
    <row r="3956">
      <c r="A3956" s="12" t="inlineStr">
        <is>
          <t>H-I-0115</t>
        </is>
      </c>
      <c r="B3956" s="12" t="inlineStr">
        <is>
          <t>H</t>
        </is>
      </c>
      <c r="C3956" s="12" t="inlineStr">
        <is>
          <t>BESS</t>
        </is>
      </c>
      <c r="D3956" s="12" t="inlineStr">
        <is>
          <t>Home run JB-BESS container (IS-DI01 to the control / marshalling room</t>
        </is>
      </c>
      <c r="E3956" s="12" t="inlineStr"/>
      <c r="F3956" s="12" t="inlineStr">
        <is>
          <t>BESS EMS / SCADA and revenue metering</t>
        </is>
      </c>
      <c r="G3956" s="12" t="inlineStr">
        <is>
          <t>JB-BESS container (IS-DI01</t>
        </is>
      </c>
      <c r="H3956" s="12" t="inlineStr">
        <is>
          <t>BESS container (ISO 40 ft high cube)</t>
        </is>
      </c>
      <c r="I3956" s="12" t="inlineStr">
        <is>
          <t>Instrumentation</t>
        </is>
      </c>
      <c r="J3956" s="12" t="inlineStr">
        <is>
          <t>Instrumentation PLTC / TC-ER 300 V, #18 twisted shielded pairs, overall shield</t>
        </is>
      </c>
      <c r="K3956" s="12" t="inlineStr">
        <is>
          <t>PLTC|24 pr|18</t>
        </is>
      </c>
      <c r="L3956" s="12" t="inlineStr">
        <is>
          <t>24 pr</t>
        </is>
      </c>
      <c r="M3956" s="12" t="inlineStr">
        <is>
          <t>18</t>
        </is>
      </c>
      <c r="N3956" s="12" t="n">
        <v>1</v>
      </c>
      <c r="O3956" s="12" t="n">
        <v>1</v>
      </c>
      <c r="P3956" s="12" t="n"/>
      <c r="Q3956" s="12" t="n"/>
      <c r="R3956" s="12" t="n"/>
      <c r="S3956" s="12" t="inlineStr">
        <is>
          <t>Duct bank</t>
        </is>
      </c>
      <c r="T3956" s="16" t="n">
        <v>30</v>
      </c>
      <c r="U3956" s="16" t="n">
        <v>211</v>
      </c>
      <c r="V3956" s="16">
        <f>ROUNDUP((T3956+U3956+2*'Read Me'!$B$13)*(1+'Read Me'!$B$12),-1)</f>
        <v/>
      </c>
      <c r="W3956" s="16">
        <f>V3956*N3956*O3956</f>
        <v/>
      </c>
      <c r="X3956" s="12">
        <f>IF(LEFT(I3956,2)="MV",2*N3956*IF(L3956="1/C",O3956,1),0)</f>
        <v/>
      </c>
      <c r="Y3956" s="12">
        <f>IF(OR(LEFT(K3956,4)="LVAX",LEFT(K3956,6)="MV15AX",LEFT(K3956,4)="CTAX",LEFT(K3956,2)="W|"),2*N3956*O3956,0)</f>
        <v/>
      </c>
      <c r="Z3956" s="12" t="inlineStr"/>
      <c r="AA3956" s="12">
        <f>N3956*O3956</f>
        <v/>
      </c>
    </row>
    <row r="3957">
      <c r="A3957" s="12" t="inlineStr">
        <is>
          <t>H-I-0116</t>
        </is>
      </c>
      <c r="B3957" s="12" t="inlineStr">
        <is>
          <t>H</t>
        </is>
      </c>
      <c r="C3957" s="12" t="inlineStr">
        <is>
          <t>BESS</t>
        </is>
      </c>
      <c r="D3957" s="12" t="inlineStr">
        <is>
          <t>Discrete device to JB JB-BESS container (IS-DI01: 8 x 1 pr (field cables)</t>
        </is>
      </c>
      <c r="E3957" s="12" t="inlineStr"/>
      <c r="F3957" s="12" t="inlineStr">
        <is>
          <t>BESS container (ISO 40 ft high cube)</t>
        </is>
      </c>
      <c r="G3957" s="12" t="inlineStr">
        <is>
          <t>JB-BESS container (IS-DI01</t>
        </is>
      </c>
      <c r="H3957" s="12" t="inlineStr">
        <is>
          <t>BESS container (ISO 40 ft high cube)</t>
        </is>
      </c>
      <c r="I3957" s="12" t="inlineStr">
        <is>
          <t>Instrumentation</t>
        </is>
      </c>
      <c r="J3957" s="12" t="inlineStr">
        <is>
          <t>Instrumentation PLTC / TC-ER 300 V, #18 twisted shielded pairs, overall shield</t>
        </is>
      </c>
      <c r="K3957" s="12" t="inlineStr">
        <is>
          <t>PLTC|1 pr|16</t>
        </is>
      </c>
      <c r="L3957" s="12" t="inlineStr">
        <is>
          <t>1 pr</t>
        </is>
      </c>
      <c r="M3957" s="12" t="inlineStr">
        <is>
          <t>16</t>
        </is>
      </c>
      <c r="N3957" s="12" t="n">
        <v>8</v>
      </c>
      <c r="O3957" s="12" t="n">
        <v>1</v>
      </c>
      <c r="P3957" s="12" t="n"/>
      <c r="Q3957" s="12" t="n"/>
      <c r="R3957" s="12" t="n"/>
      <c r="S3957" s="12" t="inlineStr">
        <is>
          <t>Tray / conduit</t>
        </is>
      </c>
      <c r="T3957" s="16" t="n">
        <v>53</v>
      </c>
      <c r="U3957" s="16" t="n">
        <v>10</v>
      </c>
      <c r="V3957" s="16">
        <f>ROUNDUP((T3957+U3957+2*'Read Me'!$B$13)*(1+'Read Me'!$B$12),-1)</f>
        <v/>
      </c>
      <c r="W3957" s="16">
        <f>V3957*N3957*O3957</f>
        <v/>
      </c>
      <c r="X3957" s="12">
        <f>IF(LEFT(I3957,2)="MV",2*N3957*IF(L3957="1/C",O3957,1),0)</f>
        <v/>
      </c>
      <c r="Y3957" s="12">
        <f>IF(OR(LEFT(K3957,4)="LVAX",LEFT(K3957,6)="MV15AX",LEFT(K3957,4)="CTAX",LEFT(K3957,2)="W|"),2*N3957*O3957,0)</f>
        <v/>
      </c>
      <c r="Z3957" s="12" t="inlineStr">
        <is>
          <t>device-to-JB field wiring, one cable per device</t>
        </is>
      </c>
      <c r="AA3957" s="12">
        <f>N3957*O3957</f>
        <v/>
      </c>
    </row>
    <row r="3958">
      <c r="A3958" s="12" t="inlineStr">
        <is>
          <t>H-I-0117</t>
        </is>
      </c>
      <c r="B3958" s="12" t="inlineStr">
        <is>
          <t>H</t>
        </is>
      </c>
      <c r="C3958" s="12" t="inlineStr">
        <is>
          <t>BESS</t>
        </is>
      </c>
      <c r="D3958" s="12" t="inlineStr">
        <is>
          <t>Home run JB-BESS container (IS-DI01 to the control / marshalling room</t>
        </is>
      </c>
      <c r="E3958" s="12" t="inlineStr"/>
      <c r="F3958" s="12" t="inlineStr">
        <is>
          <t>BESS EMS / SCADA and revenue metering</t>
        </is>
      </c>
      <c r="G3958" s="12" t="inlineStr">
        <is>
          <t>JB-BESS container (IS-DI01</t>
        </is>
      </c>
      <c r="H3958" s="12" t="inlineStr">
        <is>
          <t>BESS container (ISO 40 ft high cube)</t>
        </is>
      </c>
      <c r="I3958" s="12" t="inlineStr">
        <is>
          <t>Instrumentation</t>
        </is>
      </c>
      <c r="J3958" s="12" t="inlineStr">
        <is>
          <t>Instrumentation PLTC / TC-ER 300 V, #18 twisted shielded pairs, overall shield</t>
        </is>
      </c>
      <c r="K3958" s="12" t="inlineStr">
        <is>
          <t>PLTC|24 pr|18</t>
        </is>
      </c>
      <c r="L3958" s="12" t="inlineStr">
        <is>
          <t>24 pr</t>
        </is>
      </c>
      <c r="M3958" s="12" t="inlineStr">
        <is>
          <t>18</t>
        </is>
      </c>
      <c r="N3958" s="12" t="n">
        <v>1</v>
      </c>
      <c r="O3958" s="12" t="n">
        <v>1</v>
      </c>
      <c r="P3958" s="12" t="n"/>
      <c r="Q3958" s="12" t="n"/>
      <c r="R3958" s="12" t="n"/>
      <c r="S3958" s="12" t="inlineStr">
        <is>
          <t>Duct bank</t>
        </is>
      </c>
      <c r="T3958" s="16" t="n">
        <v>30</v>
      </c>
      <c r="U3958" s="16" t="n">
        <v>151</v>
      </c>
      <c r="V3958" s="16">
        <f>ROUNDUP((T3958+U3958+2*'Read Me'!$B$13)*(1+'Read Me'!$B$12),-1)</f>
        <v/>
      </c>
      <c r="W3958" s="16">
        <f>V3958*N3958*O3958</f>
        <v/>
      </c>
      <c r="X3958" s="12">
        <f>IF(LEFT(I3958,2)="MV",2*N3958*IF(L3958="1/C",O3958,1),0)</f>
        <v/>
      </c>
      <c r="Y3958" s="12">
        <f>IF(OR(LEFT(K3958,4)="LVAX",LEFT(K3958,6)="MV15AX",LEFT(K3958,4)="CTAX",LEFT(K3958,2)="W|"),2*N3958*O3958,0)</f>
        <v/>
      </c>
      <c r="Z3958" s="12" t="inlineStr"/>
      <c r="AA3958" s="12">
        <f>N3958*O3958</f>
        <v/>
      </c>
    </row>
    <row r="3959">
      <c r="A3959" s="12" t="inlineStr">
        <is>
          <t>H-I-0118</t>
        </is>
      </c>
      <c r="B3959" s="12" t="inlineStr">
        <is>
          <t>H</t>
        </is>
      </c>
      <c r="C3959" s="12" t="inlineStr">
        <is>
          <t>BESS</t>
        </is>
      </c>
      <c r="D3959" s="12" t="inlineStr">
        <is>
          <t>Discrete device to JB JB-BESS container (IS-DI01: 8 x 1 pr (field cables)</t>
        </is>
      </c>
      <c r="E3959" s="12" t="inlineStr"/>
      <c r="F3959" s="12" t="inlineStr">
        <is>
          <t>BESS container (ISO 40 ft high cube)</t>
        </is>
      </c>
      <c r="G3959" s="12" t="inlineStr">
        <is>
          <t>JB-BESS container (IS-DI01</t>
        </is>
      </c>
      <c r="H3959" s="12" t="inlineStr">
        <is>
          <t>BESS container (ISO 40 ft high cube)</t>
        </is>
      </c>
      <c r="I3959" s="12" t="inlineStr">
        <is>
          <t>Instrumentation</t>
        </is>
      </c>
      <c r="J3959" s="12" t="inlineStr">
        <is>
          <t>Instrumentation PLTC / TC-ER 300 V, #18 twisted shielded pairs, overall shield</t>
        </is>
      </c>
      <c r="K3959" s="12" t="inlineStr">
        <is>
          <t>PLTC|1 pr|16</t>
        </is>
      </c>
      <c r="L3959" s="12" t="inlineStr">
        <is>
          <t>1 pr</t>
        </is>
      </c>
      <c r="M3959" s="12" t="inlineStr">
        <is>
          <t>16</t>
        </is>
      </c>
      <c r="N3959" s="12" t="n">
        <v>8</v>
      </c>
      <c r="O3959" s="12" t="n">
        <v>1</v>
      </c>
      <c r="P3959" s="12" t="n"/>
      <c r="Q3959" s="12" t="n"/>
      <c r="R3959" s="12" t="n"/>
      <c r="S3959" s="12" t="inlineStr">
        <is>
          <t>Tray / conduit</t>
        </is>
      </c>
      <c r="T3959" s="16" t="n">
        <v>53</v>
      </c>
      <c r="U3959" s="16" t="n">
        <v>10</v>
      </c>
      <c r="V3959" s="16">
        <f>ROUNDUP((T3959+U3959+2*'Read Me'!$B$13)*(1+'Read Me'!$B$12),-1)</f>
        <v/>
      </c>
      <c r="W3959" s="16">
        <f>V3959*N3959*O3959</f>
        <v/>
      </c>
      <c r="X3959" s="12">
        <f>IF(LEFT(I3959,2)="MV",2*N3959*IF(L3959="1/C",O3959,1),0)</f>
        <v/>
      </c>
      <c r="Y3959" s="12">
        <f>IF(OR(LEFT(K3959,4)="LVAX",LEFT(K3959,6)="MV15AX",LEFT(K3959,4)="CTAX",LEFT(K3959,2)="W|"),2*N3959*O3959,0)</f>
        <v/>
      </c>
      <c r="Z3959" s="12" t="inlineStr">
        <is>
          <t>device-to-JB field wiring, one cable per device</t>
        </is>
      </c>
      <c r="AA3959" s="12">
        <f>N3959*O3959</f>
        <v/>
      </c>
    </row>
    <row r="3960">
      <c r="A3960" s="12" t="inlineStr">
        <is>
          <t>H-I-0119</t>
        </is>
      </c>
      <c r="B3960" s="12" t="inlineStr">
        <is>
          <t>H</t>
        </is>
      </c>
      <c r="C3960" s="12" t="inlineStr">
        <is>
          <t>BESS</t>
        </is>
      </c>
      <c r="D3960" s="12" t="inlineStr">
        <is>
          <t>Home run JB-BESS container (IS-DI01 to the control / marshalling room</t>
        </is>
      </c>
      <c r="E3960" s="12" t="inlineStr"/>
      <c r="F3960" s="12" t="inlineStr">
        <is>
          <t>BESS EMS / SCADA and revenue metering</t>
        </is>
      </c>
      <c r="G3960" s="12" t="inlineStr">
        <is>
          <t>JB-BESS container (IS-DI01</t>
        </is>
      </c>
      <c r="H3960" s="12" t="inlineStr">
        <is>
          <t>BESS container (ISO 40 ft high cube)</t>
        </is>
      </c>
      <c r="I3960" s="12" t="inlineStr">
        <is>
          <t>Instrumentation</t>
        </is>
      </c>
      <c r="J3960" s="12" t="inlineStr">
        <is>
          <t>Instrumentation PLTC / TC-ER 300 V, #18 twisted shielded pairs, overall shield</t>
        </is>
      </c>
      <c r="K3960" s="12" t="inlineStr">
        <is>
          <t>PLTC|24 pr|18</t>
        </is>
      </c>
      <c r="L3960" s="12" t="inlineStr">
        <is>
          <t>24 pr</t>
        </is>
      </c>
      <c r="M3960" s="12" t="inlineStr">
        <is>
          <t>18</t>
        </is>
      </c>
      <c r="N3960" s="12" t="n">
        <v>1</v>
      </c>
      <c r="O3960" s="12" t="n">
        <v>1</v>
      </c>
      <c r="P3960" s="12" t="n"/>
      <c r="Q3960" s="12" t="n"/>
      <c r="R3960" s="12" t="n"/>
      <c r="S3960" s="12" t="inlineStr">
        <is>
          <t>Tray</t>
        </is>
      </c>
      <c r="T3960" s="16" t="n">
        <v>0</v>
      </c>
      <c r="U3960" s="16" t="n">
        <v>141</v>
      </c>
      <c r="V3960" s="16">
        <f>ROUNDUP((T3960+U3960+2*'Read Me'!$B$13)*(1+'Read Me'!$B$12),-1)</f>
        <v/>
      </c>
      <c r="W3960" s="16">
        <f>V3960*N3960*O3960</f>
        <v/>
      </c>
      <c r="X3960" s="12">
        <f>IF(LEFT(I3960,2)="MV",2*N3960*IF(L3960="1/C",O3960,1),0)</f>
        <v/>
      </c>
      <c r="Y3960" s="12">
        <f>IF(OR(LEFT(K3960,4)="LVAX",LEFT(K3960,6)="MV15AX",LEFT(K3960,4)="CTAX",LEFT(K3960,2)="W|"),2*N3960*O3960,0)</f>
        <v/>
      </c>
      <c r="Z3960" s="12" t="inlineStr"/>
      <c r="AA3960" s="12">
        <f>N3960*O3960</f>
        <v/>
      </c>
    </row>
    <row r="3961">
      <c r="A3961" s="12" t="inlineStr">
        <is>
          <t>H-I-0120</t>
        </is>
      </c>
      <c r="B3961" s="12" t="inlineStr">
        <is>
          <t>H</t>
        </is>
      </c>
      <c r="C3961" s="12" t="inlineStr">
        <is>
          <t>BESS</t>
        </is>
      </c>
      <c r="D3961" s="12" t="inlineStr">
        <is>
          <t>Discrete device to JB JB-BESS container (IS-DI01: 8 x 1 pr (field cables)</t>
        </is>
      </c>
      <c r="E3961" s="12" t="inlineStr"/>
      <c r="F3961" s="12" t="inlineStr">
        <is>
          <t>BESS container (ISO 40 ft high cube)</t>
        </is>
      </c>
      <c r="G3961" s="12" t="inlineStr">
        <is>
          <t>JB-BESS container (IS-DI01</t>
        </is>
      </c>
      <c r="H3961" s="12" t="inlineStr">
        <is>
          <t>BESS container (ISO 40 ft high cube)</t>
        </is>
      </c>
      <c r="I3961" s="12" t="inlineStr">
        <is>
          <t>Instrumentation</t>
        </is>
      </c>
      <c r="J3961" s="12" t="inlineStr">
        <is>
          <t>Instrumentation PLTC / TC-ER 300 V, #18 twisted shielded pairs, overall shield</t>
        </is>
      </c>
      <c r="K3961" s="12" t="inlineStr">
        <is>
          <t>PLTC|1 pr|16</t>
        </is>
      </c>
      <c r="L3961" s="12" t="inlineStr">
        <is>
          <t>1 pr</t>
        </is>
      </c>
      <c r="M3961" s="12" t="inlineStr">
        <is>
          <t>16</t>
        </is>
      </c>
      <c r="N3961" s="12" t="n">
        <v>8</v>
      </c>
      <c r="O3961" s="12" t="n">
        <v>1</v>
      </c>
      <c r="P3961" s="12" t="n"/>
      <c r="Q3961" s="12" t="n"/>
      <c r="R3961" s="12" t="n"/>
      <c r="S3961" s="12" t="inlineStr">
        <is>
          <t>Tray / conduit</t>
        </is>
      </c>
      <c r="T3961" s="16" t="n">
        <v>53</v>
      </c>
      <c r="U3961" s="16" t="n">
        <v>10</v>
      </c>
      <c r="V3961" s="16">
        <f>ROUNDUP((T3961+U3961+2*'Read Me'!$B$13)*(1+'Read Me'!$B$12),-1)</f>
        <v/>
      </c>
      <c r="W3961" s="16">
        <f>V3961*N3961*O3961</f>
        <v/>
      </c>
      <c r="X3961" s="12">
        <f>IF(LEFT(I3961,2)="MV",2*N3961*IF(L3961="1/C",O3961,1),0)</f>
        <v/>
      </c>
      <c r="Y3961" s="12">
        <f>IF(OR(LEFT(K3961,4)="LVAX",LEFT(K3961,6)="MV15AX",LEFT(K3961,4)="CTAX",LEFT(K3961,2)="W|"),2*N3961*O3961,0)</f>
        <v/>
      </c>
      <c r="Z3961" s="12" t="inlineStr">
        <is>
          <t>device-to-JB field wiring, one cable per device</t>
        </is>
      </c>
      <c r="AA3961" s="12">
        <f>N3961*O3961</f>
        <v/>
      </c>
    </row>
    <row r="3962">
      <c r="A3962" s="12" t="inlineStr">
        <is>
          <t>H-I-0121</t>
        </is>
      </c>
      <c r="B3962" s="12" t="inlineStr">
        <is>
          <t>H</t>
        </is>
      </c>
      <c r="C3962" s="12" t="inlineStr">
        <is>
          <t>BESS</t>
        </is>
      </c>
      <c r="D3962" s="12" t="inlineStr">
        <is>
          <t>Home run JB-BESS container (IS-DI01 to the control / marshalling room</t>
        </is>
      </c>
      <c r="E3962" s="12" t="inlineStr"/>
      <c r="F3962" s="12" t="inlineStr">
        <is>
          <t>BESS EMS / SCADA and revenue metering</t>
        </is>
      </c>
      <c r="G3962" s="12" t="inlineStr">
        <is>
          <t>JB-BESS container (IS-DI01</t>
        </is>
      </c>
      <c r="H3962" s="12" t="inlineStr">
        <is>
          <t>BESS container (ISO 40 ft high cube)</t>
        </is>
      </c>
      <c r="I3962" s="12" t="inlineStr">
        <is>
          <t>Instrumentation</t>
        </is>
      </c>
      <c r="J3962" s="12" t="inlineStr">
        <is>
          <t>Instrumentation PLTC / TC-ER 300 V, #18 twisted shielded pairs, overall shield</t>
        </is>
      </c>
      <c r="K3962" s="12" t="inlineStr">
        <is>
          <t>PLTC|24 pr|18</t>
        </is>
      </c>
      <c r="L3962" s="12" t="inlineStr">
        <is>
          <t>24 pr</t>
        </is>
      </c>
      <c r="M3962" s="12" t="inlineStr">
        <is>
          <t>18</t>
        </is>
      </c>
      <c r="N3962" s="12" t="n">
        <v>1</v>
      </c>
      <c r="O3962" s="12" t="n">
        <v>1</v>
      </c>
      <c r="P3962" s="12" t="n"/>
      <c r="Q3962" s="12" t="n"/>
      <c r="R3962" s="12" t="n"/>
      <c r="S3962" s="12" t="inlineStr">
        <is>
          <t>Duct bank</t>
        </is>
      </c>
      <c r="T3962" s="16" t="n">
        <v>300</v>
      </c>
      <c r="U3962" s="16" t="n">
        <v>205</v>
      </c>
      <c r="V3962" s="16">
        <f>ROUNDUP((T3962+U3962+2*'Read Me'!$B$13)*(1+'Read Me'!$B$12),-1)</f>
        <v/>
      </c>
      <c r="W3962" s="16">
        <f>V3962*N3962*O3962</f>
        <v/>
      </c>
      <c r="X3962" s="12">
        <f>IF(LEFT(I3962,2)="MV",2*N3962*IF(L3962="1/C",O3962,1),0)</f>
        <v/>
      </c>
      <c r="Y3962" s="12">
        <f>IF(OR(LEFT(K3962,4)="LVAX",LEFT(K3962,6)="MV15AX",LEFT(K3962,4)="CTAX",LEFT(K3962,2)="W|"),2*N3962*O3962,0)</f>
        <v/>
      </c>
      <c r="Z3962" s="12" t="inlineStr"/>
      <c r="AA3962" s="12">
        <f>N3962*O3962</f>
        <v/>
      </c>
    </row>
    <row r="3963">
      <c r="A3963" s="12" t="inlineStr">
        <is>
          <t>H-I-0122</t>
        </is>
      </c>
      <c r="B3963" s="12" t="inlineStr">
        <is>
          <t>H</t>
        </is>
      </c>
      <c r="C3963" s="12" t="inlineStr">
        <is>
          <t>BESS</t>
        </is>
      </c>
      <c r="D3963" s="12" t="inlineStr">
        <is>
          <t>Discrete device to JB JB-BESS container (IS-DI01: 8 x 1 pr (field cables)</t>
        </is>
      </c>
      <c r="E3963" s="12" t="inlineStr"/>
      <c r="F3963" s="12" t="inlineStr">
        <is>
          <t>BESS container (ISO 40 ft high cube)</t>
        </is>
      </c>
      <c r="G3963" s="12" t="inlineStr">
        <is>
          <t>JB-BESS container (IS-DI01</t>
        </is>
      </c>
      <c r="H3963" s="12" t="inlineStr">
        <is>
          <t>BESS container (ISO 40 ft high cube)</t>
        </is>
      </c>
      <c r="I3963" s="12" t="inlineStr">
        <is>
          <t>Instrumentation</t>
        </is>
      </c>
      <c r="J3963" s="12" t="inlineStr">
        <is>
          <t>Instrumentation PLTC / TC-ER 300 V, #18 twisted shielded pairs, overall shield</t>
        </is>
      </c>
      <c r="K3963" s="12" t="inlineStr">
        <is>
          <t>PLTC|1 pr|16</t>
        </is>
      </c>
      <c r="L3963" s="12" t="inlineStr">
        <is>
          <t>1 pr</t>
        </is>
      </c>
      <c r="M3963" s="12" t="inlineStr">
        <is>
          <t>16</t>
        </is>
      </c>
      <c r="N3963" s="12" t="n">
        <v>8</v>
      </c>
      <c r="O3963" s="12" t="n">
        <v>1</v>
      </c>
      <c r="P3963" s="12" t="n"/>
      <c r="Q3963" s="12" t="n"/>
      <c r="R3963" s="12" t="n"/>
      <c r="S3963" s="12" t="inlineStr">
        <is>
          <t>Tray / conduit</t>
        </is>
      </c>
      <c r="T3963" s="16" t="n">
        <v>53</v>
      </c>
      <c r="U3963" s="16" t="n">
        <v>10</v>
      </c>
      <c r="V3963" s="16">
        <f>ROUNDUP((T3963+U3963+2*'Read Me'!$B$13)*(1+'Read Me'!$B$12),-1)</f>
        <v/>
      </c>
      <c r="W3963" s="16">
        <f>V3963*N3963*O3963</f>
        <v/>
      </c>
      <c r="X3963" s="12">
        <f>IF(LEFT(I3963,2)="MV",2*N3963*IF(L3963="1/C",O3963,1),0)</f>
        <v/>
      </c>
      <c r="Y3963" s="12">
        <f>IF(OR(LEFT(K3963,4)="LVAX",LEFT(K3963,6)="MV15AX",LEFT(K3963,4)="CTAX",LEFT(K3963,2)="W|"),2*N3963*O3963,0)</f>
        <v/>
      </c>
      <c r="Z3963" s="12" t="inlineStr">
        <is>
          <t>device-to-JB field wiring, one cable per device</t>
        </is>
      </c>
      <c r="AA3963" s="12">
        <f>N3963*O3963</f>
        <v/>
      </c>
    </row>
    <row r="3964">
      <c r="A3964" s="12" t="inlineStr">
        <is>
          <t>H-I-0123</t>
        </is>
      </c>
      <c r="B3964" s="12" t="inlineStr">
        <is>
          <t>H</t>
        </is>
      </c>
      <c r="C3964" s="12" t="inlineStr">
        <is>
          <t>BESS</t>
        </is>
      </c>
      <c r="D3964" s="12" t="inlineStr">
        <is>
          <t>Home run JB-BESS container (IS-DI01 to the control / marshalling room</t>
        </is>
      </c>
      <c r="E3964" s="12" t="inlineStr"/>
      <c r="F3964" s="12" t="inlineStr">
        <is>
          <t>BESS EMS / SCADA and revenue metering</t>
        </is>
      </c>
      <c r="G3964" s="12" t="inlineStr">
        <is>
          <t>JB-BESS container (IS-DI01</t>
        </is>
      </c>
      <c r="H3964" s="12" t="inlineStr">
        <is>
          <t>BESS container (ISO 40 ft high cube)</t>
        </is>
      </c>
      <c r="I3964" s="12" t="inlineStr">
        <is>
          <t>Instrumentation</t>
        </is>
      </c>
      <c r="J3964" s="12" t="inlineStr">
        <is>
          <t>Instrumentation PLTC / TC-ER 300 V, #18 twisted shielded pairs, overall shield</t>
        </is>
      </c>
      <c r="K3964" s="12" t="inlineStr">
        <is>
          <t>PLTC|24 pr|18</t>
        </is>
      </c>
      <c r="L3964" s="12" t="inlineStr">
        <is>
          <t>24 pr</t>
        </is>
      </c>
      <c r="M3964" s="12" t="inlineStr">
        <is>
          <t>18</t>
        </is>
      </c>
      <c r="N3964" s="12" t="n">
        <v>1</v>
      </c>
      <c r="O3964" s="12" t="n">
        <v>1</v>
      </c>
      <c r="P3964" s="12" t="n"/>
      <c r="Q3964" s="12" t="n"/>
      <c r="R3964" s="12" t="n"/>
      <c r="S3964" s="12" t="inlineStr">
        <is>
          <t>Duct bank</t>
        </is>
      </c>
      <c r="T3964" s="16" t="n">
        <v>300</v>
      </c>
      <c r="U3964" s="16" t="n">
        <v>205</v>
      </c>
      <c r="V3964" s="16">
        <f>ROUNDUP((T3964+U3964+2*'Read Me'!$B$13)*(1+'Read Me'!$B$12),-1)</f>
        <v/>
      </c>
      <c r="W3964" s="16">
        <f>V3964*N3964*O3964</f>
        <v/>
      </c>
      <c r="X3964" s="12">
        <f>IF(LEFT(I3964,2)="MV",2*N3964*IF(L3964="1/C",O3964,1),0)</f>
        <v/>
      </c>
      <c r="Y3964" s="12">
        <f>IF(OR(LEFT(K3964,4)="LVAX",LEFT(K3964,6)="MV15AX",LEFT(K3964,4)="CTAX",LEFT(K3964,2)="W|"),2*N3964*O3964,0)</f>
        <v/>
      </c>
      <c r="Z3964" s="12" t="inlineStr"/>
      <c r="AA3964" s="12">
        <f>N3964*O3964</f>
        <v/>
      </c>
    </row>
    <row r="3965">
      <c r="A3965" s="12" t="inlineStr">
        <is>
          <t>H-I-0124</t>
        </is>
      </c>
      <c r="B3965" s="12" t="inlineStr">
        <is>
          <t>H</t>
        </is>
      </c>
      <c r="C3965" s="12" t="inlineStr">
        <is>
          <t>BESS</t>
        </is>
      </c>
      <c r="D3965" s="12" t="inlineStr">
        <is>
          <t>Discrete device to JB JB-BESS container (IS-DI01: 8 x 1 pr (field cables)</t>
        </is>
      </c>
      <c r="E3965" s="12" t="inlineStr"/>
      <c r="F3965" s="12" t="inlineStr">
        <is>
          <t>BESS container (ISO 40 ft high cube)</t>
        </is>
      </c>
      <c r="G3965" s="12" t="inlineStr">
        <is>
          <t>JB-BESS container (IS-DI01</t>
        </is>
      </c>
      <c r="H3965" s="12" t="inlineStr">
        <is>
          <t>BESS container (ISO 40 ft high cube)</t>
        </is>
      </c>
      <c r="I3965" s="12" t="inlineStr">
        <is>
          <t>Instrumentation</t>
        </is>
      </c>
      <c r="J3965" s="12" t="inlineStr">
        <is>
          <t>Instrumentation PLTC / TC-ER 300 V, #18 twisted shielded pairs, overall shield</t>
        </is>
      </c>
      <c r="K3965" s="12" t="inlineStr">
        <is>
          <t>PLTC|1 pr|16</t>
        </is>
      </c>
      <c r="L3965" s="12" t="inlineStr">
        <is>
          <t>1 pr</t>
        </is>
      </c>
      <c r="M3965" s="12" t="inlineStr">
        <is>
          <t>16</t>
        </is>
      </c>
      <c r="N3965" s="12" t="n">
        <v>8</v>
      </c>
      <c r="O3965" s="12" t="n">
        <v>1</v>
      </c>
      <c r="P3965" s="12" t="n"/>
      <c r="Q3965" s="12" t="n"/>
      <c r="R3965" s="12" t="n"/>
      <c r="S3965" s="12" t="inlineStr">
        <is>
          <t>Tray / conduit</t>
        </is>
      </c>
      <c r="T3965" s="16" t="n">
        <v>53</v>
      </c>
      <c r="U3965" s="16" t="n">
        <v>10</v>
      </c>
      <c r="V3965" s="16">
        <f>ROUNDUP((T3965+U3965+2*'Read Me'!$B$13)*(1+'Read Me'!$B$12),-1)</f>
        <v/>
      </c>
      <c r="W3965" s="16">
        <f>V3965*N3965*O3965</f>
        <v/>
      </c>
      <c r="X3965" s="12">
        <f>IF(LEFT(I3965,2)="MV",2*N3965*IF(L3965="1/C",O3965,1),0)</f>
        <v/>
      </c>
      <c r="Y3965" s="12">
        <f>IF(OR(LEFT(K3965,4)="LVAX",LEFT(K3965,6)="MV15AX",LEFT(K3965,4)="CTAX",LEFT(K3965,2)="W|"),2*N3965*O3965,0)</f>
        <v/>
      </c>
      <c r="Z3965" s="12" t="inlineStr">
        <is>
          <t>device-to-JB field wiring, one cable per device</t>
        </is>
      </c>
      <c r="AA3965" s="12">
        <f>N3965*O3965</f>
        <v/>
      </c>
    </row>
    <row r="3966">
      <c r="A3966" s="12" t="inlineStr">
        <is>
          <t>H-I-0125</t>
        </is>
      </c>
      <c r="B3966" s="12" t="inlineStr">
        <is>
          <t>H</t>
        </is>
      </c>
      <c r="C3966" s="12" t="inlineStr">
        <is>
          <t>BESS</t>
        </is>
      </c>
      <c r="D3966" s="12" t="inlineStr">
        <is>
          <t>Home run JB-BESS container (IS-DI01 to the control / marshalling room</t>
        </is>
      </c>
      <c r="E3966" s="12" t="inlineStr"/>
      <c r="F3966" s="12" t="inlineStr">
        <is>
          <t>BESS EMS / SCADA and revenue metering</t>
        </is>
      </c>
      <c r="G3966" s="12" t="inlineStr">
        <is>
          <t>JB-BESS container (IS-DI01</t>
        </is>
      </c>
      <c r="H3966" s="12" t="inlineStr">
        <is>
          <t>BESS container (ISO 40 ft high cube)</t>
        </is>
      </c>
      <c r="I3966" s="12" t="inlineStr">
        <is>
          <t>Instrumentation</t>
        </is>
      </c>
      <c r="J3966" s="12" t="inlineStr">
        <is>
          <t>Instrumentation PLTC / TC-ER 300 V, #18 twisted shielded pairs, overall shield</t>
        </is>
      </c>
      <c r="K3966" s="12" t="inlineStr">
        <is>
          <t>PLTC|24 pr|18</t>
        </is>
      </c>
      <c r="L3966" s="12" t="inlineStr">
        <is>
          <t>24 pr</t>
        </is>
      </c>
      <c r="M3966" s="12" t="inlineStr">
        <is>
          <t>18</t>
        </is>
      </c>
      <c r="N3966" s="12" t="n">
        <v>1</v>
      </c>
      <c r="O3966" s="12" t="n">
        <v>1</v>
      </c>
      <c r="P3966" s="12" t="n"/>
      <c r="Q3966" s="12" t="n"/>
      <c r="R3966" s="12" t="n"/>
      <c r="S3966" s="12" t="inlineStr">
        <is>
          <t>Duct bank</t>
        </is>
      </c>
      <c r="T3966" s="16" t="n">
        <v>160</v>
      </c>
      <c r="U3966" s="16" t="n">
        <v>225</v>
      </c>
      <c r="V3966" s="16">
        <f>ROUNDUP((T3966+U3966+2*'Read Me'!$B$13)*(1+'Read Me'!$B$12),-1)</f>
        <v/>
      </c>
      <c r="W3966" s="16">
        <f>V3966*N3966*O3966</f>
        <v/>
      </c>
      <c r="X3966" s="12">
        <f>IF(LEFT(I3966,2)="MV",2*N3966*IF(L3966="1/C",O3966,1),0)</f>
        <v/>
      </c>
      <c r="Y3966" s="12">
        <f>IF(OR(LEFT(K3966,4)="LVAX",LEFT(K3966,6)="MV15AX",LEFT(K3966,4)="CTAX",LEFT(K3966,2)="W|"),2*N3966*O3966,0)</f>
        <v/>
      </c>
      <c r="Z3966" s="12" t="inlineStr"/>
      <c r="AA3966" s="12">
        <f>N3966*O3966</f>
        <v/>
      </c>
    </row>
    <row r="3967">
      <c r="A3967" s="12" t="inlineStr">
        <is>
          <t>H-I-0126</t>
        </is>
      </c>
      <c r="B3967" s="12" t="inlineStr">
        <is>
          <t>H</t>
        </is>
      </c>
      <c r="C3967" s="12" t="inlineStr">
        <is>
          <t>BESS</t>
        </is>
      </c>
      <c r="D3967" s="12" t="inlineStr">
        <is>
          <t>Discrete device to JB JB-BESS container (IS-DI01: 8 x 1 pr (field cables)</t>
        </is>
      </c>
      <c r="E3967" s="12" t="inlineStr"/>
      <c r="F3967" s="12" t="inlineStr">
        <is>
          <t>BESS container (ISO 40 ft high cube)</t>
        </is>
      </c>
      <c r="G3967" s="12" t="inlineStr">
        <is>
          <t>JB-BESS container (IS-DI01</t>
        </is>
      </c>
      <c r="H3967" s="12" t="inlineStr">
        <is>
          <t>BESS container (ISO 40 ft high cube)</t>
        </is>
      </c>
      <c r="I3967" s="12" t="inlineStr">
        <is>
          <t>Instrumentation</t>
        </is>
      </c>
      <c r="J3967" s="12" t="inlineStr">
        <is>
          <t>Instrumentation PLTC / TC-ER 300 V, #18 twisted shielded pairs, overall shield</t>
        </is>
      </c>
      <c r="K3967" s="12" t="inlineStr">
        <is>
          <t>PLTC|1 pr|16</t>
        </is>
      </c>
      <c r="L3967" s="12" t="inlineStr">
        <is>
          <t>1 pr</t>
        </is>
      </c>
      <c r="M3967" s="12" t="inlineStr">
        <is>
          <t>16</t>
        </is>
      </c>
      <c r="N3967" s="12" t="n">
        <v>8</v>
      </c>
      <c r="O3967" s="12" t="n">
        <v>1</v>
      </c>
      <c r="P3967" s="12" t="n"/>
      <c r="Q3967" s="12" t="n"/>
      <c r="R3967" s="12" t="n"/>
      <c r="S3967" s="12" t="inlineStr">
        <is>
          <t>Tray / conduit</t>
        </is>
      </c>
      <c r="T3967" s="16" t="n">
        <v>53</v>
      </c>
      <c r="U3967" s="16" t="n">
        <v>10</v>
      </c>
      <c r="V3967" s="16">
        <f>ROUNDUP((T3967+U3967+2*'Read Me'!$B$13)*(1+'Read Me'!$B$12),-1)</f>
        <v/>
      </c>
      <c r="W3967" s="16">
        <f>V3967*N3967*O3967</f>
        <v/>
      </c>
      <c r="X3967" s="12">
        <f>IF(LEFT(I3967,2)="MV",2*N3967*IF(L3967="1/C",O3967,1),0)</f>
        <v/>
      </c>
      <c r="Y3967" s="12">
        <f>IF(OR(LEFT(K3967,4)="LVAX",LEFT(K3967,6)="MV15AX",LEFT(K3967,4)="CTAX",LEFT(K3967,2)="W|"),2*N3967*O3967,0)</f>
        <v/>
      </c>
      <c r="Z3967" s="12" t="inlineStr">
        <is>
          <t>device-to-JB field wiring, one cable per device</t>
        </is>
      </c>
      <c r="AA3967" s="12">
        <f>N3967*O3967</f>
        <v/>
      </c>
    </row>
    <row r="3968">
      <c r="A3968" s="12" t="inlineStr">
        <is>
          <t>H-I-0127</t>
        </is>
      </c>
      <c r="B3968" s="12" t="inlineStr">
        <is>
          <t>H</t>
        </is>
      </c>
      <c r="C3968" s="12" t="inlineStr">
        <is>
          <t>BESS</t>
        </is>
      </c>
      <c r="D3968" s="12" t="inlineStr">
        <is>
          <t>Home run JB-BESS container (IS-DI01 to the control / marshalling room</t>
        </is>
      </c>
      <c r="E3968" s="12" t="inlineStr"/>
      <c r="F3968" s="12" t="inlineStr">
        <is>
          <t>BESS EMS / SCADA and revenue metering</t>
        </is>
      </c>
      <c r="G3968" s="12" t="inlineStr">
        <is>
          <t>JB-BESS container (IS-DI01</t>
        </is>
      </c>
      <c r="H3968" s="12" t="inlineStr">
        <is>
          <t>BESS container (ISO 40 ft high cube)</t>
        </is>
      </c>
      <c r="I3968" s="12" t="inlineStr">
        <is>
          <t>Instrumentation</t>
        </is>
      </c>
      <c r="J3968" s="12" t="inlineStr">
        <is>
          <t>Instrumentation PLTC / TC-ER 300 V, #18 twisted shielded pairs, overall shield</t>
        </is>
      </c>
      <c r="K3968" s="12" t="inlineStr">
        <is>
          <t>PLTC|24 pr|18</t>
        </is>
      </c>
      <c r="L3968" s="12" t="inlineStr">
        <is>
          <t>24 pr</t>
        </is>
      </c>
      <c r="M3968" s="12" t="inlineStr">
        <is>
          <t>18</t>
        </is>
      </c>
      <c r="N3968" s="12" t="n">
        <v>1</v>
      </c>
      <c r="O3968" s="12" t="n">
        <v>1</v>
      </c>
      <c r="P3968" s="12" t="n"/>
      <c r="Q3968" s="12" t="n"/>
      <c r="R3968" s="12" t="n"/>
      <c r="S3968" s="12" t="inlineStr">
        <is>
          <t>Duct bank</t>
        </is>
      </c>
      <c r="T3968" s="16" t="n">
        <v>160</v>
      </c>
      <c r="U3968" s="16" t="n">
        <v>225</v>
      </c>
      <c r="V3968" s="16">
        <f>ROUNDUP((T3968+U3968+2*'Read Me'!$B$13)*(1+'Read Me'!$B$12),-1)</f>
        <v/>
      </c>
      <c r="W3968" s="16">
        <f>V3968*N3968*O3968</f>
        <v/>
      </c>
      <c r="X3968" s="12">
        <f>IF(LEFT(I3968,2)="MV",2*N3968*IF(L3968="1/C",O3968,1),0)</f>
        <v/>
      </c>
      <c r="Y3968" s="12">
        <f>IF(OR(LEFT(K3968,4)="LVAX",LEFT(K3968,6)="MV15AX",LEFT(K3968,4)="CTAX",LEFT(K3968,2)="W|"),2*N3968*O3968,0)</f>
        <v/>
      </c>
      <c r="Z3968" s="12" t="inlineStr"/>
      <c r="AA3968" s="12">
        <f>N3968*O3968</f>
        <v/>
      </c>
    </row>
    <row r="3969">
      <c r="A3969" s="12" t="inlineStr">
        <is>
          <t>H-I-0128</t>
        </is>
      </c>
      <c r="B3969" s="12" t="inlineStr">
        <is>
          <t>H</t>
        </is>
      </c>
      <c r="C3969" s="12" t="inlineStr">
        <is>
          <t>BESS</t>
        </is>
      </c>
      <c r="D3969" s="12" t="inlineStr">
        <is>
          <t>Discrete device to JB JB-BESS container (IS-DI01: 8 x 1 pr (field cables)</t>
        </is>
      </c>
      <c r="E3969" s="12" t="inlineStr"/>
      <c r="F3969" s="12" t="inlineStr">
        <is>
          <t>BESS container (ISO 40 ft high cube)</t>
        </is>
      </c>
      <c r="G3969" s="12" t="inlineStr">
        <is>
          <t>JB-BESS container (IS-DI01</t>
        </is>
      </c>
      <c r="H3969" s="12" t="inlineStr">
        <is>
          <t>BESS container (ISO 40 ft high cube)</t>
        </is>
      </c>
      <c r="I3969" s="12" t="inlineStr">
        <is>
          <t>Instrumentation</t>
        </is>
      </c>
      <c r="J3969" s="12" t="inlineStr">
        <is>
          <t>Instrumentation PLTC / TC-ER 300 V, #18 twisted shielded pairs, overall shield</t>
        </is>
      </c>
      <c r="K3969" s="12" t="inlineStr">
        <is>
          <t>PLTC|1 pr|16</t>
        </is>
      </c>
      <c r="L3969" s="12" t="inlineStr">
        <is>
          <t>1 pr</t>
        </is>
      </c>
      <c r="M3969" s="12" t="inlineStr">
        <is>
          <t>16</t>
        </is>
      </c>
      <c r="N3969" s="12" t="n">
        <v>8</v>
      </c>
      <c r="O3969" s="12" t="n">
        <v>1</v>
      </c>
      <c r="P3969" s="12" t="n"/>
      <c r="Q3969" s="12" t="n"/>
      <c r="R3969" s="12" t="n"/>
      <c r="S3969" s="12" t="inlineStr">
        <is>
          <t>Tray / conduit</t>
        </is>
      </c>
      <c r="T3969" s="16" t="n">
        <v>53</v>
      </c>
      <c r="U3969" s="16" t="n">
        <v>10</v>
      </c>
      <c r="V3969" s="16">
        <f>ROUNDUP((T3969+U3969+2*'Read Me'!$B$13)*(1+'Read Me'!$B$12),-1)</f>
        <v/>
      </c>
      <c r="W3969" s="16">
        <f>V3969*N3969*O3969</f>
        <v/>
      </c>
      <c r="X3969" s="12">
        <f>IF(LEFT(I3969,2)="MV",2*N3969*IF(L3969="1/C",O3969,1),0)</f>
        <v/>
      </c>
      <c r="Y3969" s="12">
        <f>IF(OR(LEFT(K3969,4)="LVAX",LEFT(K3969,6)="MV15AX",LEFT(K3969,4)="CTAX",LEFT(K3969,2)="W|"),2*N3969*O3969,0)</f>
        <v/>
      </c>
      <c r="Z3969" s="12" t="inlineStr">
        <is>
          <t>device-to-JB field wiring, one cable per device</t>
        </is>
      </c>
      <c r="AA3969" s="12">
        <f>N3969*O3969</f>
        <v/>
      </c>
    </row>
    <row r="3970">
      <c r="A3970" s="12" t="inlineStr">
        <is>
          <t>H-I-0129</t>
        </is>
      </c>
      <c r="B3970" s="12" t="inlineStr">
        <is>
          <t>H</t>
        </is>
      </c>
      <c r="C3970" s="12" t="inlineStr">
        <is>
          <t>BESS</t>
        </is>
      </c>
      <c r="D3970" s="12" t="inlineStr">
        <is>
          <t>Home run JB-BESS container (IS-DI01 to the control / marshalling room</t>
        </is>
      </c>
      <c r="E3970" s="12" t="inlineStr"/>
      <c r="F3970" s="12" t="inlineStr">
        <is>
          <t>BESS EMS / SCADA and revenue metering</t>
        </is>
      </c>
      <c r="G3970" s="12" t="inlineStr">
        <is>
          <t>JB-BESS container (IS-DI01</t>
        </is>
      </c>
      <c r="H3970" s="12" t="inlineStr">
        <is>
          <t>BESS container (ISO 40 ft high cube)</t>
        </is>
      </c>
      <c r="I3970" s="12" t="inlineStr">
        <is>
          <t>Instrumentation</t>
        </is>
      </c>
      <c r="J3970" s="12" t="inlineStr">
        <is>
          <t>Instrumentation PLTC / TC-ER 300 V, #18 twisted shielded pairs, overall shield</t>
        </is>
      </c>
      <c r="K3970" s="12" t="inlineStr">
        <is>
          <t>PLTC|24 pr|18</t>
        </is>
      </c>
      <c r="L3970" s="12" t="inlineStr">
        <is>
          <t>24 pr</t>
        </is>
      </c>
      <c r="M3970" s="12" t="inlineStr">
        <is>
          <t>18</t>
        </is>
      </c>
      <c r="N3970" s="12" t="n">
        <v>1</v>
      </c>
      <c r="O3970" s="12" t="n">
        <v>1</v>
      </c>
      <c r="P3970" s="12" t="n"/>
      <c r="Q3970" s="12" t="n"/>
      <c r="R3970" s="12" t="n"/>
      <c r="S3970" s="12" t="inlineStr">
        <is>
          <t>Duct bank</t>
        </is>
      </c>
      <c r="T3970" s="16" t="n">
        <v>30</v>
      </c>
      <c r="U3970" s="16" t="n">
        <v>209</v>
      </c>
      <c r="V3970" s="16">
        <f>ROUNDUP((T3970+U3970+2*'Read Me'!$B$13)*(1+'Read Me'!$B$12),-1)</f>
        <v/>
      </c>
      <c r="W3970" s="16">
        <f>V3970*N3970*O3970</f>
        <v/>
      </c>
      <c r="X3970" s="12">
        <f>IF(LEFT(I3970,2)="MV",2*N3970*IF(L3970="1/C",O3970,1),0)</f>
        <v/>
      </c>
      <c r="Y3970" s="12">
        <f>IF(OR(LEFT(K3970,4)="LVAX",LEFT(K3970,6)="MV15AX",LEFT(K3970,4)="CTAX",LEFT(K3970,2)="W|"),2*N3970*O3970,0)</f>
        <v/>
      </c>
      <c r="Z3970" s="12" t="inlineStr"/>
      <c r="AA3970" s="12">
        <f>N3970*O3970</f>
        <v/>
      </c>
    </row>
    <row r="3971">
      <c r="A3971" s="12" t="inlineStr">
        <is>
          <t>H-I-0130</t>
        </is>
      </c>
      <c r="B3971" s="12" t="inlineStr">
        <is>
          <t>H</t>
        </is>
      </c>
      <c r="C3971" s="12" t="inlineStr">
        <is>
          <t>BESS</t>
        </is>
      </c>
      <c r="D3971" s="12" t="inlineStr">
        <is>
          <t>Discrete device to JB JB-BESS container (IS-DI01: 8 x 1 pr (field cables)</t>
        </is>
      </c>
      <c r="E3971" s="12" t="inlineStr"/>
      <c r="F3971" s="12" t="inlineStr">
        <is>
          <t>BESS container (ISO 40 ft high cube)</t>
        </is>
      </c>
      <c r="G3971" s="12" t="inlineStr">
        <is>
          <t>JB-BESS container (IS-DI01</t>
        </is>
      </c>
      <c r="H3971" s="12" t="inlineStr">
        <is>
          <t>BESS container (ISO 40 ft high cube)</t>
        </is>
      </c>
      <c r="I3971" s="12" t="inlineStr">
        <is>
          <t>Instrumentation</t>
        </is>
      </c>
      <c r="J3971" s="12" t="inlineStr">
        <is>
          <t>Instrumentation PLTC / TC-ER 300 V, #18 twisted shielded pairs, overall shield</t>
        </is>
      </c>
      <c r="K3971" s="12" t="inlineStr">
        <is>
          <t>PLTC|1 pr|16</t>
        </is>
      </c>
      <c r="L3971" s="12" t="inlineStr">
        <is>
          <t>1 pr</t>
        </is>
      </c>
      <c r="M3971" s="12" t="inlineStr">
        <is>
          <t>16</t>
        </is>
      </c>
      <c r="N3971" s="12" t="n">
        <v>8</v>
      </c>
      <c r="O3971" s="12" t="n">
        <v>1</v>
      </c>
      <c r="P3971" s="12" t="n"/>
      <c r="Q3971" s="12" t="n"/>
      <c r="R3971" s="12" t="n"/>
      <c r="S3971" s="12" t="inlineStr">
        <is>
          <t>Tray / conduit</t>
        </is>
      </c>
      <c r="T3971" s="16" t="n">
        <v>53</v>
      </c>
      <c r="U3971" s="16" t="n">
        <v>10</v>
      </c>
      <c r="V3971" s="16">
        <f>ROUNDUP((T3971+U3971+2*'Read Me'!$B$13)*(1+'Read Me'!$B$12),-1)</f>
        <v/>
      </c>
      <c r="W3971" s="16">
        <f>V3971*N3971*O3971</f>
        <v/>
      </c>
      <c r="X3971" s="12">
        <f>IF(LEFT(I3971,2)="MV",2*N3971*IF(L3971="1/C",O3971,1),0)</f>
        <v/>
      </c>
      <c r="Y3971" s="12">
        <f>IF(OR(LEFT(K3971,4)="LVAX",LEFT(K3971,6)="MV15AX",LEFT(K3971,4)="CTAX",LEFT(K3971,2)="W|"),2*N3971*O3971,0)</f>
        <v/>
      </c>
      <c r="Z3971" s="12" t="inlineStr">
        <is>
          <t>device-to-JB field wiring, one cable per device</t>
        </is>
      </c>
      <c r="AA3971" s="12">
        <f>N3971*O3971</f>
        <v/>
      </c>
    </row>
    <row r="3972">
      <c r="A3972" s="12" t="inlineStr">
        <is>
          <t>H-I-0131</t>
        </is>
      </c>
      <c r="B3972" s="12" t="inlineStr">
        <is>
          <t>H</t>
        </is>
      </c>
      <c r="C3972" s="12" t="inlineStr">
        <is>
          <t>BESS</t>
        </is>
      </c>
      <c r="D3972" s="12" t="inlineStr">
        <is>
          <t>Home run JB-BESS container (IS-DI01 to the control / marshalling room</t>
        </is>
      </c>
      <c r="E3972" s="12" t="inlineStr"/>
      <c r="F3972" s="12" t="inlineStr">
        <is>
          <t>BESS EMS / SCADA and revenue metering</t>
        </is>
      </c>
      <c r="G3972" s="12" t="inlineStr">
        <is>
          <t>JB-BESS container (IS-DI01</t>
        </is>
      </c>
      <c r="H3972" s="12" t="inlineStr">
        <is>
          <t>BESS container (ISO 40 ft high cube)</t>
        </is>
      </c>
      <c r="I3972" s="12" t="inlineStr">
        <is>
          <t>Instrumentation</t>
        </is>
      </c>
      <c r="J3972" s="12" t="inlineStr">
        <is>
          <t>Instrumentation PLTC / TC-ER 300 V, #18 twisted shielded pairs, overall shield</t>
        </is>
      </c>
      <c r="K3972" s="12" t="inlineStr">
        <is>
          <t>PLTC|24 pr|18</t>
        </is>
      </c>
      <c r="L3972" s="12" t="inlineStr">
        <is>
          <t>24 pr</t>
        </is>
      </c>
      <c r="M3972" s="12" t="inlineStr">
        <is>
          <t>18</t>
        </is>
      </c>
      <c r="N3972" s="12" t="n">
        <v>1</v>
      </c>
      <c r="O3972" s="12" t="n">
        <v>1</v>
      </c>
      <c r="P3972" s="12" t="n"/>
      <c r="Q3972" s="12" t="n"/>
      <c r="R3972" s="12" t="n"/>
      <c r="S3972" s="12" t="inlineStr">
        <is>
          <t>Duct bank</t>
        </is>
      </c>
      <c r="T3972" s="16" t="n">
        <v>336</v>
      </c>
      <c r="U3972" s="16" t="n">
        <v>173</v>
      </c>
      <c r="V3972" s="16">
        <f>ROUNDUP((T3972+U3972+2*'Read Me'!$B$13)*(1+'Read Me'!$B$12),-1)</f>
        <v/>
      </c>
      <c r="W3972" s="16">
        <f>V3972*N3972*O3972</f>
        <v/>
      </c>
      <c r="X3972" s="12">
        <f>IF(LEFT(I3972,2)="MV",2*N3972*IF(L3972="1/C",O3972,1),0)</f>
        <v/>
      </c>
      <c r="Y3972" s="12">
        <f>IF(OR(LEFT(K3972,4)="LVAX",LEFT(K3972,6)="MV15AX",LEFT(K3972,4)="CTAX",LEFT(K3972,2)="W|"),2*N3972*O3972,0)</f>
        <v/>
      </c>
      <c r="Z3972" s="12" t="inlineStr"/>
      <c r="AA3972" s="12">
        <f>N3972*O3972</f>
        <v/>
      </c>
    </row>
    <row r="3973">
      <c r="A3973" s="12" t="inlineStr">
        <is>
          <t>H-I-0132</t>
        </is>
      </c>
      <c r="B3973" s="12" t="inlineStr">
        <is>
          <t>H</t>
        </is>
      </c>
      <c r="C3973" s="12" t="inlineStr">
        <is>
          <t>BESS</t>
        </is>
      </c>
      <c r="D3973" s="12" t="inlineStr">
        <is>
          <t>Discrete device to JB JB-BESS container (IS-DI01: 8 x 1 pr (field cables)</t>
        </is>
      </c>
      <c r="E3973" s="12" t="inlineStr"/>
      <c r="F3973" s="12" t="inlineStr">
        <is>
          <t>BESS container (ISO 40 ft high cube)</t>
        </is>
      </c>
      <c r="G3973" s="12" t="inlineStr">
        <is>
          <t>JB-BESS container (IS-DI01</t>
        </is>
      </c>
      <c r="H3973" s="12" t="inlineStr">
        <is>
          <t>BESS container (ISO 40 ft high cube)</t>
        </is>
      </c>
      <c r="I3973" s="12" t="inlineStr">
        <is>
          <t>Instrumentation</t>
        </is>
      </c>
      <c r="J3973" s="12" t="inlineStr">
        <is>
          <t>Instrumentation PLTC / TC-ER 300 V, #18 twisted shielded pairs, overall shield</t>
        </is>
      </c>
      <c r="K3973" s="12" t="inlineStr">
        <is>
          <t>PLTC|1 pr|16</t>
        </is>
      </c>
      <c r="L3973" s="12" t="inlineStr">
        <is>
          <t>1 pr</t>
        </is>
      </c>
      <c r="M3973" s="12" t="inlineStr">
        <is>
          <t>16</t>
        </is>
      </c>
      <c r="N3973" s="12" t="n">
        <v>8</v>
      </c>
      <c r="O3973" s="12" t="n">
        <v>1</v>
      </c>
      <c r="P3973" s="12" t="n"/>
      <c r="Q3973" s="12" t="n"/>
      <c r="R3973" s="12" t="n"/>
      <c r="S3973" s="12" t="inlineStr">
        <is>
          <t>Tray / conduit</t>
        </is>
      </c>
      <c r="T3973" s="16" t="n">
        <v>53</v>
      </c>
      <c r="U3973" s="16" t="n">
        <v>10</v>
      </c>
      <c r="V3973" s="16">
        <f>ROUNDUP((T3973+U3973+2*'Read Me'!$B$13)*(1+'Read Me'!$B$12),-1)</f>
        <v/>
      </c>
      <c r="W3973" s="16">
        <f>V3973*N3973*O3973</f>
        <v/>
      </c>
      <c r="X3973" s="12">
        <f>IF(LEFT(I3973,2)="MV",2*N3973*IF(L3973="1/C",O3973,1),0)</f>
        <v/>
      </c>
      <c r="Y3973" s="12">
        <f>IF(OR(LEFT(K3973,4)="LVAX",LEFT(K3973,6)="MV15AX",LEFT(K3973,4)="CTAX",LEFT(K3973,2)="W|"),2*N3973*O3973,0)</f>
        <v/>
      </c>
      <c r="Z3973" s="12" t="inlineStr">
        <is>
          <t>device-to-JB field wiring, one cable per device</t>
        </is>
      </c>
      <c r="AA3973" s="12">
        <f>N3973*O3973</f>
        <v/>
      </c>
    </row>
    <row r="3974">
      <c r="A3974" s="12" t="inlineStr">
        <is>
          <t>H-I-0133</t>
        </is>
      </c>
      <c r="B3974" s="12" t="inlineStr">
        <is>
          <t>H</t>
        </is>
      </c>
      <c r="C3974" s="12" t="inlineStr">
        <is>
          <t>BESS</t>
        </is>
      </c>
      <c r="D3974" s="12" t="inlineStr">
        <is>
          <t>Home run JB-BESS container (IS-DI01 to the control / marshalling room</t>
        </is>
      </c>
      <c r="E3974" s="12" t="inlineStr"/>
      <c r="F3974" s="12" t="inlineStr">
        <is>
          <t>BESS EMS / SCADA and revenue metering</t>
        </is>
      </c>
      <c r="G3974" s="12" t="inlineStr">
        <is>
          <t>JB-BESS container (IS-DI01</t>
        </is>
      </c>
      <c r="H3974" s="12" t="inlineStr">
        <is>
          <t>BESS container (ISO 40 ft high cube)</t>
        </is>
      </c>
      <c r="I3974" s="12" t="inlineStr">
        <is>
          <t>Instrumentation</t>
        </is>
      </c>
      <c r="J3974" s="12" t="inlineStr">
        <is>
          <t>Instrumentation PLTC / TC-ER 300 V, #18 twisted shielded pairs, overall shield</t>
        </is>
      </c>
      <c r="K3974" s="12" t="inlineStr">
        <is>
          <t>PLTC|24 pr|18</t>
        </is>
      </c>
      <c r="L3974" s="12" t="inlineStr">
        <is>
          <t>24 pr</t>
        </is>
      </c>
      <c r="M3974" s="12" t="inlineStr">
        <is>
          <t>18</t>
        </is>
      </c>
      <c r="N3974" s="12" t="n">
        <v>1</v>
      </c>
      <c r="O3974" s="12" t="n">
        <v>1</v>
      </c>
      <c r="P3974" s="12" t="n"/>
      <c r="Q3974" s="12" t="n"/>
      <c r="R3974" s="12" t="n"/>
      <c r="S3974" s="12" t="inlineStr">
        <is>
          <t>Duct bank</t>
        </is>
      </c>
      <c r="T3974" s="16" t="n">
        <v>340</v>
      </c>
      <c r="U3974" s="16" t="n">
        <v>253</v>
      </c>
      <c r="V3974" s="16">
        <f>ROUNDUP((T3974+U3974+2*'Read Me'!$B$13)*(1+'Read Me'!$B$12),-1)</f>
        <v/>
      </c>
      <c r="W3974" s="16">
        <f>V3974*N3974*O3974</f>
        <v/>
      </c>
      <c r="X3974" s="12">
        <f>IF(LEFT(I3974,2)="MV",2*N3974*IF(L3974="1/C",O3974,1),0)</f>
        <v/>
      </c>
      <c r="Y3974" s="12">
        <f>IF(OR(LEFT(K3974,4)="LVAX",LEFT(K3974,6)="MV15AX",LEFT(K3974,4)="CTAX",LEFT(K3974,2)="W|"),2*N3974*O3974,0)</f>
        <v/>
      </c>
      <c r="Z3974" s="12" t="inlineStr"/>
      <c r="AA3974" s="12">
        <f>N3974*O3974</f>
        <v/>
      </c>
    </row>
    <row r="3975">
      <c r="A3975" s="12" t="inlineStr">
        <is>
          <t>H-I-0134</t>
        </is>
      </c>
      <c r="B3975" s="12" t="inlineStr">
        <is>
          <t>H</t>
        </is>
      </c>
      <c r="C3975" s="12" t="inlineStr">
        <is>
          <t>BESS</t>
        </is>
      </c>
      <c r="D3975" s="12" t="inlineStr">
        <is>
          <t>Discrete device to JB JB-BESS container (IS-DI01: 8 x 1 pr (field cables)</t>
        </is>
      </c>
      <c r="E3975" s="12" t="inlineStr"/>
      <c r="F3975" s="12" t="inlineStr">
        <is>
          <t>BESS container (ISO 40 ft high cube)</t>
        </is>
      </c>
      <c r="G3975" s="12" t="inlineStr">
        <is>
          <t>JB-BESS container (IS-DI01</t>
        </is>
      </c>
      <c r="H3975" s="12" t="inlineStr">
        <is>
          <t>BESS container (ISO 40 ft high cube)</t>
        </is>
      </c>
      <c r="I3975" s="12" t="inlineStr">
        <is>
          <t>Instrumentation</t>
        </is>
      </c>
      <c r="J3975" s="12" t="inlineStr">
        <is>
          <t>Instrumentation PLTC / TC-ER 300 V, #18 twisted shielded pairs, overall shield</t>
        </is>
      </c>
      <c r="K3975" s="12" t="inlineStr">
        <is>
          <t>PLTC|1 pr|16</t>
        </is>
      </c>
      <c r="L3975" s="12" t="inlineStr">
        <is>
          <t>1 pr</t>
        </is>
      </c>
      <c r="M3975" s="12" t="inlineStr">
        <is>
          <t>16</t>
        </is>
      </c>
      <c r="N3975" s="12" t="n">
        <v>8</v>
      </c>
      <c r="O3975" s="12" t="n">
        <v>1</v>
      </c>
      <c r="P3975" s="12" t="n"/>
      <c r="Q3975" s="12" t="n"/>
      <c r="R3975" s="12" t="n"/>
      <c r="S3975" s="12" t="inlineStr">
        <is>
          <t>Tray / conduit</t>
        </is>
      </c>
      <c r="T3975" s="16" t="n">
        <v>53</v>
      </c>
      <c r="U3975" s="16" t="n">
        <v>10</v>
      </c>
      <c r="V3975" s="16">
        <f>ROUNDUP((T3975+U3975+2*'Read Me'!$B$13)*(1+'Read Me'!$B$12),-1)</f>
        <v/>
      </c>
      <c r="W3975" s="16">
        <f>V3975*N3975*O3975</f>
        <v/>
      </c>
      <c r="X3975" s="12">
        <f>IF(LEFT(I3975,2)="MV",2*N3975*IF(L3975="1/C",O3975,1),0)</f>
        <v/>
      </c>
      <c r="Y3975" s="12">
        <f>IF(OR(LEFT(K3975,4)="LVAX",LEFT(K3975,6)="MV15AX",LEFT(K3975,4)="CTAX",LEFT(K3975,2)="W|"),2*N3975*O3975,0)</f>
        <v/>
      </c>
      <c r="Z3975" s="12" t="inlineStr">
        <is>
          <t>device-to-JB field wiring, one cable per device</t>
        </is>
      </c>
      <c r="AA3975" s="12">
        <f>N3975*O3975</f>
        <v/>
      </c>
    </row>
    <row r="3976">
      <c r="A3976" s="12" t="inlineStr">
        <is>
          <t>H-I-0135</t>
        </is>
      </c>
      <c r="B3976" s="12" t="inlineStr">
        <is>
          <t>H</t>
        </is>
      </c>
      <c r="C3976" s="12" t="inlineStr">
        <is>
          <t>BESS</t>
        </is>
      </c>
      <c r="D3976" s="12" t="inlineStr">
        <is>
          <t>Home run JB-BESS container (IS-DI01 to the control / marshalling room</t>
        </is>
      </c>
      <c r="E3976" s="12" t="inlineStr"/>
      <c r="F3976" s="12" t="inlineStr">
        <is>
          <t>BESS EMS / SCADA and revenue metering</t>
        </is>
      </c>
      <c r="G3976" s="12" t="inlineStr">
        <is>
          <t>JB-BESS container (IS-DI01</t>
        </is>
      </c>
      <c r="H3976" s="12" t="inlineStr">
        <is>
          <t>BESS container (ISO 40 ft high cube)</t>
        </is>
      </c>
      <c r="I3976" s="12" t="inlineStr">
        <is>
          <t>Instrumentation</t>
        </is>
      </c>
      <c r="J3976" s="12" t="inlineStr">
        <is>
          <t>Instrumentation PLTC / TC-ER 300 V, #18 twisted shielded pairs, overall shield</t>
        </is>
      </c>
      <c r="K3976" s="12" t="inlineStr">
        <is>
          <t>PLTC|24 pr|18</t>
        </is>
      </c>
      <c r="L3976" s="12" t="inlineStr">
        <is>
          <t>24 pr</t>
        </is>
      </c>
      <c r="M3976" s="12" t="inlineStr">
        <is>
          <t>18</t>
        </is>
      </c>
      <c r="N3976" s="12" t="n">
        <v>1</v>
      </c>
      <c r="O3976" s="12" t="n">
        <v>1</v>
      </c>
      <c r="P3976" s="12" t="n"/>
      <c r="Q3976" s="12" t="n"/>
      <c r="R3976" s="12" t="n"/>
      <c r="S3976" s="12" t="inlineStr">
        <is>
          <t>Duct bank</t>
        </is>
      </c>
      <c r="T3976" s="16" t="n">
        <v>300</v>
      </c>
      <c r="U3976" s="16" t="n">
        <v>263</v>
      </c>
      <c r="V3976" s="16">
        <f>ROUNDUP((T3976+U3976+2*'Read Me'!$B$13)*(1+'Read Me'!$B$12),-1)</f>
        <v/>
      </c>
      <c r="W3976" s="16">
        <f>V3976*N3976*O3976</f>
        <v/>
      </c>
      <c r="X3976" s="12">
        <f>IF(LEFT(I3976,2)="MV",2*N3976*IF(L3976="1/C",O3976,1),0)</f>
        <v/>
      </c>
      <c r="Y3976" s="12">
        <f>IF(OR(LEFT(K3976,4)="LVAX",LEFT(K3976,6)="MV15AX",LEFT(K3976,4)="CTAX",LEFT(K3976,2)="W|"),2*N3976*O3976,0)</f>
        <v/>
      </c>
      <c r="Z3976" s="12" t="inlineStr"/>
      <c r="AA3976" s="12">
        <f>N3976*O3976</f>
        <v/>
      </c>
    </row>
    <row r="3977">
      <c r="A3977" s="12" t="inlineStr">
        <is>
          <t>H-I-0136</t>
        </is>
      </c>
      <c r="B3977" s="12" t="inlineStr">
        <is>
          <t>H</t>
        </is>
      </c>
      <c r="C3977" s="12" t="inlineStr">
        <is>
          <t>BESS</t>
        </is>
      </c>
      <c r="D3977" s="12" t="inlineStr">
        <is>
          <t>Discrete device to JB JB-BESS container (IS-DI01: 8 x 1 pr (field cables)</t>
        </is>
      </c>
      <c r="E3977" s="12" t="inlineStr"/>
      <c r="F3977" s="12" t="inlineStr">
        <is>
          <t>BESS container (ISO 40 ft high cube)</t>
        </is>
      </c>
      <c r="G3977" s="12" t="inlineStr">
        <is>
          <t>JB-BESS container (IS-DI01</t>
        </is>
      </c>
      <c r="H3977" s="12" t="inlineStr">
        <is>
          <t>BESS container (ISO 40 ft high cube)</t>
        </is>
      </c>
      <c r="I3977" s="12" t="inlineStr">
        <is>
          <t>Instrumentation</t>
        </is>
      </c>
      <c r="J3977" s="12" t="inlineStr">
        <is>
          <t>Instrumentation PLTC / TC-ER 300 V, #18 twisted shielded pairs, overall shield</t>
        </is>
      </c>
      <c r="K3977" s="12" t="inlineStr">
        <is>
          <t>PLTC|1 pr|16</t>
        </is>
      </c>
      <c r="L3977" s="12" t="inlineStr">
        <is>
          <t>1 pr</t>
        </is>
      </c>
      <c r="M3977" s="12" t="inlineStr">
        <is>
          <t>16</t>
        </is>
      </c>
      <c r="N3977" s="12" t="n">
        <v>8</v>
      </c>
      <c r="O3977" s="12" t="n">
        <v>1</v>
      </c>
      <c r="P3977" s="12" t="n"/>
      <c r="Q3977" s="12" t="n"/>
      <c r="R3977" s="12" t="n"/>
      <c r="S3977" s="12" t="inlineStr">
        <is>
          <t>Tray / conduit</t>
        </is>
      </c>
      <c r="T3977" s="16" t="n">
        <v>53</v>
      </c>
      <c r="U3977" s="16" t="n">
        <v>10</v>
      </c>
      <c r="V3977" s="16">
        <f>ROUNDUP((T3977+U3977+2*'Read Me'!$B$13)*(1+'Read Me'!$B$12),-1)</f>
        <v/>
      </c>
      <c r="W3977" s="16">
        <f>V3977*N3977*O3977</f>
        <v/>
      </c>
      <c r="X3977" s="12">
        <f>IF(LEFT(I3977,2)="MV",2*N3977*IF(L3977="1/C",O3977,1),0)</f>
        <v/>
      </c>
      <c r="Y3977" s="12">
        <f>IF(OR(LEFT(K3977,4)="LVAX",LEFT(K3977,6)="MV15AX",LEFT(K3977,4)="CTAX",LEFT(K3977,2)="W|"),2*N3977*O3977,0)</f>
        <v/>
      </c>
      <c r="Z3977" s="12" t="inlineStr">
        <is>
          <t>device-to-JB field wiring, one cable per device</t>
        </is>
      </c>
      <c r="AA3977" s="12">
        <f>N3977*O3977</f>
        <v/>
      </c>
    </row>
    <row r="3978">
      <c r="A3978" s="12" t="inlineStr">
        <is>
          <t>H-I-0137</t>
        </is>
      </c>
      <c r="B3978" s="12" t="inlineStr">
        <is>
          <t>H</t>
        </is>
      </c>
      <c r="C3978" s="12" t="inlineStr">
        <is>
          <t>BESS</t>
        </is>
      </c>
      <c r="D3978" s="12" t="inlineStr">
        <is>
          <t>Home run JB-BESS container (IS-DI01 to the control / marshalling room</t>
        </is>
      </c>
      <c r="E3978" s="12" t="inlineStr"/>
      <c r="F3978" s="12" t="inlineStr">
        <is>
          <t>BESS EMS / SCADA and revenue metering</t>
        </is>
      </c>
      <c r="G3978" s="12" t="inlineStr">
        <is>
          <t>JB-BESS container (IS-DI01</t>
        </is>
      </c>
      <c r="H3978" s="12" t="inlineStr">
        <is>
          <t>BESS container (ISO 40 ft high cube)</t>
        </is>
      </c>
      <c r="I3978" s="12" t="inlineStr">
        <is>
          <t>Instrumentation</t>
        </is>
      </c>
      <c r="J3978" s="12" t="inlineStr">
        <is>
          <t>Instrumentation PLTC / TC-ER 300 V, #18 twisted shielded pairs, overall shield</t>
        </is>
      </c>
      <c r="K3978" s="12" t="inlineStr">
        <is>
          <t>PLTC|24 pr|18</t>
        </is>
      </c>
      <c r="L3978" s="12" t="inlineStr">
        <is>
          <t>24 pr</t>
        </is>
      </c>
      <c r="M3978" s="12" t="inlineStr">
        <is>
          <t>18</t>
        </is>
      </c>
      <c r="N3978" s="12" t="n">
        <v>1</v>
      </c>
      <c r="O3978" s="12" t="n">
        <v>1</v>
      </c>
      <c r="P3978" s="12" t="n"/>
      <c r="Q3978" s="12" t="n"/>
      <c r="R3978" s="12" t="n"/>
      <c r="S3978" s="12" t="inlineStr">
        <is>
          <t>Duct bank</t>
        </is>
      </c>
      <c r="T3978" s="16" t="n">
        <v>160</v>
      </c>
      <c r="U3978" s="16" t="n">
        <v>283</v>
      </c>
      <c r="V3978" s="16">
        <f>ROUNDUP((T3978+U3978+2*'Read Me'!$B$13)*(1+'Read Me'!$B$12),-1)</f>
        <v/>
      </c>
      <c r="W3978" s="16">
        <f>V3978*N3978*O3978</f>
        <v/>
      </c>
      <c r="X3978" s="12">
        <f>IF(LEFT(I3978,2)="MV",2*N3978*IF(L3978="1/C",O3978,1),0)</f>
        <v/>
      </c>
      <c r="Y3978" s="12">
        <f>IF(OR(LEFT(K3978,4)="LVAX",LEFT(K3978,6)="MV15AX",LEFT(K3978,4)="CTAX",LEFT(K3978,2)="W|"),2*N3978*O3978,0)</f>
        <v/>
      </c>
      <c r="Z3978" s="12" t="inlineStr"/>
      <c r="AA3978" s="12">
        <f>N3978*O3978</f>
        <v/>
      </c>
    </row>
    <row r="3979">
      <c r="A3979" s="12" t="inlineStr">
        <is>
          <t>H-I-0138</t>
        </is>
      </c>
      <c r="B3979" s="12" t="inlineStr">
        <is>
          <t>H</t>
        </is>
      </c>
      <c r="C3979" s="12" t="inlineStr">
        <is>
          <t>BESS</t>
        </is>
      </c>
      <c r="D3979" s="12" t="inlineStr">
        <is>
          <t>Discrete device to JB JB-BESS container (IS-DI01: 8 x 1 pr (field cables)</t>
        </is>
      </c>
      <c r="E3979" s="12" t="inlineStr"/>
      <c r="F3979" s="12" t="inlineStr">
        <is>
          <t>BESS container (ISO 40 ft high cube)</t>
        </is>
      </c>
      <c r="G3979" s="12" t="inlineStr">
        <is>
          <t>JB-BESS container (IS-DI01</t>
        </is>
      </c>
      <c r="H3979" s="12" t="inlineStr">
        <is>
          <t>BESS container (ISO 40 ft high cube)</t>
        </is>
      </c>
      <c r="I3979" s="12" t="inlineStr">
        <is>
          <t>Instrumentation</t>
        </is>
      </c>
      <c r="J3979" s="12" t="inlineStr">
        <is>
          <t>Instrumentation PLTC / TC-ER 300 V, #18 twisted shielded pairs, overall shield</t>
        </is>
      </c>
      <c r="K3979" s="12" t="inlineStr">
        <is>
          <t>PLTC|1 pr|16</t>
        </is>
      </c>
      <c r="L3979" s="12" t="inlineStr">
        <is>
          <t>1 pr</t>
        </is>
      </c>
      <c r="M3979" s="12" t="inlineStr">
        <is>
          <t>16</t>
        </is>
      </c>
      <c r="N3979" s="12" t="n">
        <v>8</v>
      </c>
      <c r="O3979" s="12" t="n">
        <v>1</v>
      </c>
      <c r="P3979" s="12" t="n"/>
      <c r="Q3979" s="12" t="n"/>
      <c r="R3979" s="12" t="n"/>
      <c r="S3979" s="12" t="inlineStr">
        <is>
          <t>Tray / conduit</t>
        </is>
      </c>
      <c r="T3979" s="16" t="n">
        <v>53</v>
      </c>
      <c r="U3979" s="16" t="n">
        <v>10</v>
      </c>
      <c r="V3979" s="16">
        <f>ROUNDUP((T3979+U3979+2*'Read Me'!$B$13)*(1+'Read Me'!$B$12),-1)</f>
        <v/>
      </c>
      <c r="W3979" s="16">
        <f>V3979*N3979*O3979</f>
        <v/>
      </c>
      <c r="X3979" s="12">
        <f>IF(LEFT(I3979,2)="MV",2*N3979*IF(L3979="1/C",O3979,1),0)</f>
        <v/>
      </c>
      <c r="Y3979" s="12">
        <f>IF(OR(LEFT(K3979,4)="LVAX",LEFT(K3979,6)="MV15AX",LEFT(K3979,4)="CTAX",LEFT(K3979,2)="W|"),2*N3979*O3979,0)</f>
        <v/>
      </c>
      <c r="Z3979" s="12" t="inlineStr">
        <is>
          <t>device-to-JB field wiring, one cable per device</t>
        </is>
      </c>
      <c r="AA3979" s="12">
        <f>N3979*O3979</f>
        <v/>
      </c>
    </row>
    <row r="3980">
      <c r="A3980" s="12" t="inlineStr">
        <is>
          <t>H-I-0139</t>
        </is>
      </c>
      <c r="B3980" s="12" t="inlineStr">
        <is>
          <t>H</t>
        </is>
      </c>
      <c r="C3980" s="12" t="inlineStr">
        <is>
          <t>BESS</t>
        </is>
      </c>
      <c r="D3980" s="12" t="inlineStr">
        <is>
          <t>Home run JB-BESS container (IS-DI01 to the control / marshalling room</t>
        </is>
      </c>
      <c r="E3980" s="12" t="inlineStr"/>
      <c r="F3980" s="12" t="inlineStr">
        <is>
          <t>BESS EMS / SCADA and revenue metering</t>
        </is>
      </c>
      <c r="G3980" s="12" t="inlineStr">
        <is>
          <t>JB-BESS container (IS-DI01</t>
        </is>
      </c>
      <c r="H3980" s="12" t="inlineStr">
        <is>
          <t>BESS container (ISO 40 ft high cube)</t>
        </is>
      </c>
      <c r="I3980" s="12" t="inlineStr">
        <is>
          <t>Instrumentation</t>
        </is>
      </c>
      <c r="J3980" s="12" t="inlineStr">
        <is>
          <t>Instrumentation PLTC / TC-ER 300 V, #18 twisted shielded pairs, overall shield</t>
        </is>
      </c>
      <c r="K3980" s="12" t="inlineStr">
        <is>
          <t>PLTC|24 pr|18</t>
        </is>
      </c>
      <c r="L3980" s="12" t="inlineStr">
        <is>
          <t>24 pr</t>
        </is>
      </c>
      <c r="M3980" s="12" t="inlineStr">
        <is>
          <t>18</t>
        </is>
      </c>
      <c r="N3980" s="12" t="n">
        <v>1</v>
      </c>
      <c r="O3980" s="12" t="n">
        <v>1</v>
      </c>
      <c r="P3980" s="12" t="n"/>
      <c r="Q3980" s="12" t="n"/>
      <c r="R3980" s="12" t="n"/>
      <c r="S3980" s="12" t="inlineStr">
        <is>
          <t>Duct bank</t>
        </is>
      </c>
      <c r="T3980" s="16" t="n">
        <v>160</v>
      </c>
      <c r="U3980" s="16" t="n">
        <v>283</v>
      </c>
      <c r="V3980" s="16">
        <f>ROUNDUP((T3980+U3980+2*'Read Me'!$B$13)*(1+'Read Me'!$B$12),-1)</f>
        <v/>
      </c>
      <c r="W3980" s="16">
        <f>V3980*N3980*O3980</f>
        <v/>
      </c>
      <c r="X3980" s="12">
        <f>IF(LEFT(I3980,2)="MV",2*N3980*IF(L3980="1/C",O3980,1),0)</f>
        <v/>
      </c>
      <c r="Y3980" s="12">
        <f>IF(OR(LEFT(K3980,4)="LVAX",LEFT(K3980,6)="MV15AX",LEFT(K3980,4)="CTAX",LEFT(K3980,2)="W|"),2*N3980*O3980,0)</f>
        <v/>
      </c>
      <c r="Z3980" s="12" t="inlineStr"/>
      <c r="AA3980" s="12">
        <f>N3980*O3980</f>
        <v/>
      </c>
    </row>
    <row r="3981">
      <c r="A3981" s="12" t="inlineStr">
        <is>
          <t>H-I-0140</t>
        </is>
      </c>
      <c r="B3981" s="12" t="inlineStr">
        <is>
          <t>H</t>
        </is>
      </c>
      <c r="C3981" s="12" t="inlineStr">
        <is>
          <t>BESS</t>
        </is>
      </c>
      <c r="D3981" s="12" t="inlineStr">
        <is>
          <t>Discrete device to JB JB-BESS container (IS-DI01: 8 x 1 pr (field cables)</t>
        </is>
      </c>
      <c r="E3981" s="12" t="inlineStr"/>
      <c r="F3981" s="12" t="inlineStr">
        <is>
          <t>BESS container (ISO 40 ft high cube)</t>
        </is>
      </c>
      <c r="G3981" s="12" t="inlineStr">
        <is>
          <t>JB-BESS container (IS-DI01</t>
        </is>
      </c>
      <c r="H3981" s="12" t="inlineStr">
        <is>
          <t>BESS container (ISO 40 ft high cube)</t>
        </is>
      </c>
      <c r="I3981" s="12" t="inlineStr">
        <is>
          <t>Instrumentation</t>
        </is>
      </c>
      <c r="J3981" s="12" t="inlineStr">
        <is>
          <t>Instrumentation PLTC / TC-ER 300 V, #18 twisted shielded pairs, overall shield</t>
        </is>
      </c>
      <c r="K3981" s="12" t="inlineStr">
        <is>
          <t>PLTC|1 pr|16</t>
        </is>
      </c>
      <c r="L3981" s="12" t="inlineStr">
        <is>
          <t>1 pr</t>
        </is>
      </c>
      <c r="M3981" s="12" t="inlineStr">
        <is>
          <t>16</t>
        </is>
      </c>
      <c r="N3981" s="12" t="n">
        <v>8</v>
      </c>
      <c r="O3981" s="12" t="n">
        <v>1</v>
      </c>
      <c r="P3981" s="12" t="n"/>
      <c r="Q3981" s="12" t="n"/>
      <c r="R3981" s="12" t="n"/>
      <c r="S3981" s="12" t="inlineStr">
        <is>
          <t>Tray / conduit</t>
        </is>
      </c>
      <c r="T3981" s="16" t="n">
        <v>53</v>
      </c>
      <c r="U3981" s="16" t="n">
        <v>10</v>
      </c>
      <c r="V3981" s="16">
        <f>ROUNDUP((T3981+U3981+2*'Read Me'!$B$13)*(1+'Read Me'!$B$12),-1)</f>
        <v/>
      </c>
      <c r="W3981" s="16">
        <f>V3981*N3981*O3981</f>
        <v/>
      </c>
      <c r="X3981" s="12">
        <f>IF(LEFT(I3981,2)="MV",2*N3981*IF(L3981="1/C",O3981,1),0)</f>
        <v/>
      </c>
      <c r="Y3981" s="12">
        <f>IF(OR(LEFT(K3981,4)="LVAX",LEFT(K3981,6)="MV15AX",LEFT(K3981,4)="CTAX",LEFT(K3981,2)="W|"),2*N3981*O3981,0)</f>
        <v/>
      </c>
      <c r="Z3981" s="12" t="inlineStr">
        <is>
          <t>device-to-JB field wiring, one cable per device</t>
        </is>
      </c>
      <c r="AA3981" s="12">
        <f>N3981*O3981</f>
        <v/>
      </c>
    </row>
    <row r="3982">
      <c r="A3982" s="12" t="inlineStr">
        <is>
          <t>H-I-0141</t>
        </is>
      </c>
      <c r="B3982" s="12" t="inlineStr">
        <is>
          <t>H</t>
        </is>
      </c>
      <c r="C3982" s="12" t="inlineStr">
        <is>
          <t>BESS</t>
        </is>
      </c>
      <c r="D3982" s="12" t="inlineStr">
        <is>
          <t>Home run JB-BESS container (IS-DI01 to the control / marshalling room</t>
        </is>
      </c>
      <c r="E3982" s="12" t="inlineStr"/>
      <c r="F3982" s="12" t="inlineStr">
        <is>
          <t>BESS EMS / SCADA and revenue metering</t>
        </is>
      </c>
      <c r="G3982" s="12" t="inlineStr">
        <is>
          <t>JB-BESS container (IS-DI01</t>
        </is>
      </c>
      <c r="H3982" s="12" t="inlineStr">
        <is>
          <t>BESS container (ISO 40 ft high cube)</t>
        </is>
      </c>
      <c r="I3982" s="12" t="inlineStr">
        <is>
          <t>Instrumentation</t>
        </is>
      </c>
      <c r="J3982" s="12" t="inlineStr">
        <is>
          <t>Instrumentation PLTC / TC-ER 300 V, #18 twisted shielded pairs, overall shield</t>
        </is>
      </c>
      <c r="K3982" s="12" t="inlineStr">
        <is>
          <t>PLTC|24 pr|18</t>
        </is>
      </c>
      <c r="L3982" s="12" t="inlineStr">
        <is>
          <t>24 pr</t>
        </is>
      </c>
      <c r="M3982" s="12" t="inlineStr">
        <is>
          <t>18</t>
        </is>
      </c>
      <c r="N3982" s="12" t="n">
        <v>1</v>
      </c>
      <c r="O3982" s="12" t="n">
        <v>1</v>
      </c>
      <c r="P3982" s="12" t="n"/>
      <c r="Q3982" s="12" t="n"/>
      <c r="R3982" s="12" t="n"/>
      <c r="S3982" s="12" t="inlineStr">
        <is>
          <t>Duct bank</t>
        </is>
      </c>
      <c r="T3982" s="16" t="n">
        <v>336</v>
      </c>
      <c r="U3982" s="16" t="n">
        <v>115</v>
      </c>
      <c r="V3982" s="16">
        <f>ROUNDUP((T3982+U3982+2*'Read Me'!$B$13)*(1+'Read Me'!$B$12),-1)</f>
        <v/>
      </c>
      <c r="W3982" s="16">
        <f>V3982*N3982*O3982</f>
        <v/>
      </c>
      <c r="X3982" s="12">
        <f>IF(LEFT(I3982,2)="MV",2*N3982*IF(L3982="1/C",O3982,1),0)</f>
        <v/>
      </c>
      <c r="Y3982" s="12">
        <f>IF(OR(LEFT(K3982,4)="LVAX",LEFT(K3982,6)="MV15AX",LEFT(K3982,4)="CTAX",LEFT(K3982,2)="W|"),2*N3982*O3982,0)</f>
        <v/>
      </c>
      <c r="Z3982" s="12" t="inlineStr"/>
      <c r="AA3982" s="12">
        <f>N3982*O3982</f>
        <v/>
      </c>
    </row>
    <row r="3983">
      <c r="A3983" s="12" t="inlineStr">
        <is>
          <t>H-I-0142</t>
        </is>
      </c>
      <c r="B3983" s="12" t="inlineStr">
        <is>
          <t>H</t>
        </is>
      </c>
      <c r="C3983" s="12" t="inlineStr">
        <is>
          <t>BESS</t>
        </is>
      </c>
      <c r="D3983" s="12" t="inlineStr">
        <is>
          <t>Discrete device to JB JB-BESS container (IS-DI01: 8 x 1 pr (field cables)</t>
        </is>
      </c>
      <c r="E3983" s="12" t="inlineStr"/>
      <c r="F3983" s="12" t="inlineStr">
        <is>
          <t>BESS container (ISO 40 ft high cube)</t>
        </is>
      </c>
      <c r="G3983" s="12" t="inlineStr">
        <is>
          <t>JB-BESS container (IS-DI01</t>
        </is>
      </c>
      <c r="H3983" s="12" t="inlineStr">
        <is>
          <t>BESS container (ISO 40 ft high cube)</t>
        </is>
      </c>
      <c r="I3983" s="12" t="inlineStr">
        <is>
          <t>Instrumentation</t>
        </is>
      </c>
      <c r="J3983" s="12" t="inlineStr">
        <is>
          <t>Instrumentation PLTC / TC-ER 300 V, #18 twisted shielded pairs, overall shield</t>
        </is>
      </c>
      <c r="K3983" s="12" t="inlineStr">
        <is>
          <t>PLTC|1 pr|16</t>
        </is>
      </c>
      <c r="L3983" s="12" t="inlineStr">
        <is>
          <t>1 pr</t>
        </is>
      </c>
      <c r="M3983" s="12" t="inlineStr">
        <is>
          <t>16</t>
        </is>
      </c>
      <c r="N3983" s="12" t="n">
        <v>8</v>
      </c>
      <c r="O3983" s="12" t="n">
        <v>1</v>
      </c>
      <c r="P3983" s="12" t="n"/>
      <c r="Q3983" s="12" t="n"/>
      <c r="R3983" s="12" t="n"/>
      <c r="S3983" s="12" t="inlineStr">
        <is>
          <t>Tray / conduit</t>
        </is>
      </c>
      <c r="T3983" s="16" t="n">
        <v>53</v>
      </c>
      <c r="U3983" s="16" t="n">
        <v>10</v>
      </c>
      <c r="V3983" s="16">
        <f>ROUNDUP((T3983+U3983+2*'Read Me'!$B$13)*(1+'Read Me'!$B$12),-1)</f>
        <v/>
      </c>
      <c r="W3983" s="16">
        <f>V3983*N3983*O3983</f>
        <v/>
      </c>
      <c r="X3983" s="12">
        <f>IF(LEFT(I3983,2)="MV",2*N3983*IF(L3983="1/C",O3983,1),0)</f>
        <v/>
      </c>
      <c r="Y3983" s="12">
        <f>IF(OR(LEFT(K3983,4)="LVAX",LEFT(K3983,6)="MV15AX",LEFT(K3983,4)="CTAX",LEFT(K3983,2)="W|"),2*N3983*O3983,0)</f>
        <v/>
      </c>
      <c r="Z3983" s="12" t="inlineStr">
        <is>
          <t>device-to-JB field wiring, one cable per device</t>
        </is>
      </c>
      <c r="AA3983" s="12">
        <f>N3983*O3983</f>
        <v/>
      </c>
    </row>
    <row r="3984">
      <c r="A3984" s="12" t="inlineStr">
        <is>
          <t>H-I-0143</t>
        </is>
      </c>
      <c r="B3984" s="12" t="inlineStr">
        <is>
          <t>H</t>
        </is>
      </c>
      <c r="C3984" s="12" t="inlineStr">
        <is>
          <t>BESS</t>
        </is>
      </c>
      <c r="D3984" s="12" t="inlineStr">
        <is>
          <t>Home run JB-BESS container (IS-DI01 to the control / marshalling room</t>
        </is>
      </c>
      <c r="E3984" s="12" t="inlineStr"/>
      <c r="F3984" s="12" t="inlineStr">
        <is>
          <t>BESS EMS / SCADA and revenue metering</t>
        </is>
      </c>
      <c r="G3984" s="12" t="inlineStr">
        <is>
          <t>JB-BESS container (IS-DI01</t>
        </is>
      </c>
      <c r="H3984" s="12" t="inlineStr">
        <is>
          <t>BESS container (ISO 40 ft high cube)</t>
        </is>
      </c>
      <c r="I3984" s="12" t="inlineStr">
        <is>
          <t>Instrumentation</t>
        </is>
      </c>
      <c r="J3984" s="12" t="inlineStr">
        <is>
          <t>Instrumentation PLTC / TC-ER 300 V, #18 twisted shielded pairs, overall shield</t>
        </is>
      </c>
      <c r="K3984" s="12" t="inlineStr">
        <is>
          <t>PLTC|24 pr|18</t>
        </is>
      </c>
      <c r="L3984" s="12" t="inlineStr">
        <is>
          <t>24 pr</t>
        </is>
      </c>
      <c r="M3984" s="12" t="inlineStr">
        <is>
          <t>18</t>
        </is>
      </c>
      <c r="N3984" s="12" t="n">
        <v>1</v>
      </c>
      <c r="O3984" s="12" t="n">
        <v>1</v>
      </c>
      <c r="P3984" s="12" t="n"/>
      <c r="Q3984" s="12" t="n"/>
      <c r="R3984" s="12" t="n"/>
      <c r="S3984" s="12" t="inlineStr">
        <is>
          <t>Duct bank</t>
        </is>
      </c>
      <c r="T3984" s="16" t="n">
        <v>336</v>
      </c>
      <c r="U3984" s="16" t="n">
        <v>115</v>
      </c>
      <c r="V3984" s="16">
        <f>ROUNDUP((T3984+U3984+2*'Read Me'!$B$13)*(1+'Read Me'!$B$12),-1)</f>
        <v/>
      </c>
      <c r="W3984" s="16">
        <f>V3984*N3984*O3984</f>
        <v/>
      </c>
      <c r="X3984" s="12">
        <f>IF(LEFT(I3984,2)="MV",2*N3984*IF(L3984="1/C",O3984,1),0)</f>
        <v/>
      </c>
      <c r="Y3984" s="12">
        <f>IF(OR(LEFT(K3984,4)="LVAX",LEFT(K3984,6)="MV15AX",LEFT(K3984,4)="CTAX",LEFT(K3984,2)="W|"),2*N3984*O3984,0)</f>
        <v/>
      </c>
      <c r="Z3984" s="12" t="inlineStr"/>
      <c r="AA3984" s="12">
        <f>N3984*O3984</f>
        <v/>
      </c>
    </row>
    <row r="3985">
      <c r="A3985" s="12" t="inlineStr">
        <is>
          <t>H-I-0144</t>
        </is>
      </c>
      <c r="B3985" s="12" t="inlineStr">
        <is>
          <t>H</t>
        </is>
      </c>
      <c r="C3985" s="12" t="inlineStr">
        <is>
          <t>BESS</t>
        </is>
      </c>
      <c r="D3985" s="12" t="inlineStr">
        <is>
          <t>Discrete device to JB JB-BESS container (IS-DI01: 8 x 1 pr (field cables)</t>
        </is>
      </c>
      <c r="E3985" s="12" t="inlineStr"/>
      <c r="F3985" s="12" t="inlineStr">
        <is>
          <t>BESS container (ISO 40 ft high cube)</t>
        </is>
      </c>
      <c r="G3985" s="12" t="inlineStr">
        <is>
          <t>JB-BESS container (IS-DI01</t>
        </is>
      </c>
      <c r="H3985" s="12" t="inlineStr">
        <is>
          <t>BESS container (ISO 40 ft high cube)</t>
        </is>
      </c>
      <c r="I3985" s="12" t="inlineStr">
        <is>
          <t>Instrumentation</t>
        </is>
      </c>
      <c r="J3985" s="12" t="inlineStr">
        <is>
          <t>Instrumentation PLTC / TC-ER 300 V, #18 twisted shielded pairs, overall shield</t>
        </is>
      </c>
      <c r="K3985" s="12" t="inlineStr">
        <is>
          <t>PLTC|1 pr|16</t>
        </is>
      </c>
      <c r="L3985" s="12" t="inlineStr">
        <is>
          <t>1 pr</t>
        </is>
      </c>
      <c r="M3985" s="12" t="inlineStr">
        <is>
          <t>16</t>
        </is>
      </c>
      <c r="N3985" s="12" t="n">
        <v>8</v>
      </c>
      <c r="O3985" s="12" t="n">
        <v>1</v>
      </c>
      <c r="P3985" s="12" t="n"/>
      <c r="Q3985" s="12" t="n"/>
      <c r="R3985" s="12" t="n"/>
      <c r="S3985" s="12" t="inlineStr">
        <is>
          <t>Tray / conduit</t>
        </is>
      </c>
      <c r="T3985" s="16" t="n">
        <v>53</v>
      </c>
      <c r="U3985" s="16" t="n">
        <v>10</v>
      </c>
      <c r="V3985" s="16">
        <f>ROUNDUP((T3985+U3985+2*'Read Me'!$B$13)*(1+'Read Me'!$B$12),-1)</f>
        <v/>
      </c>
      <c r="W3985" s="16">
        <f>V3985*N3985*O3985</f>
        <v/>
      </c>
      <c r="X3985" s="12">
        <f>IF(LEFT(I3985,2)="MV",2*N3985*IF(L3985="1/C",O3985,1),0)</f>
        <v/>
      </c>
      <c r="Y3985" s="12">
        <f>IF(OR(LEFT(K3985,4)="LVAX",LEFT(K3985,6)="MV15AX",LEFT(K3985,4)="CTAX",LEFT(K3985,2)="W|"),2*N3985*O3985,0)</f>
        <v/>
      </c>
      <c r="Z3985" s="12" t="inlineStr">
        <is>
          <t>device-to-JB field wiring, one cable per device</t>
        </is>
      </c>
      <c r="AA3985" s="12">
        <f>N3985*O3985</f>
        <v/>
      </c>
    </row>
    <row r="3986">
      <c r="A3986" s="12" t="inlineStr">
        <is>
          <t>H-I-0145</t>
        </is>
      </c>
      <c r="B3986" s="12" t="inlineStr">
        <is>
          <t>H</t>
        </is>
      </c>
      <c r="C3986" s="12" t="inlineStr">
        <is>
          <t>BESS</t>
        </is>
      </c>
      <c r="D3986" s="12" t="inlineStr">
        <is>
          <t>Home run JB-BESS container (IS-DI01 to the control / marshalling room</t>
        </is>
      </c>
      <c r="E3986" s="12" t="inlineStr"/>
      <c r="F3986" s="12" t="inlineStr">
        <is>
          <t>BESS EMS / SCADA and revenue metering</t>
        </is>
      </c>
      <c r="G3986" s="12" t="inlineStr">
        <is>
          <t>JB-BESS container (IS-DI01</t>
        </is>
      </c>
      <c r="H3986" s="12" t="inlineStr">
        <is>
          <t>BESS container (ISO 40 ft high cube)</t>
        </is>
      </c>
      <c r="I3986" s="12" t="inlineStr">
        <is>
          <t>Instrumentation</t>
        </is>
      </c>
      <c r="J3986" s="12" t="inlineStr">
        <is>
          <t>Instrumentation PLTC / TC-ER 300 V, #18 twisted shielded pairs, overall shield</t>
        </is>
      </c>
      <c r="K3986" s="12" t="inlineStr">
        <is>
          <t>PLTC|24 pr|18</t>
        </is>
      </c>
      <c r="L3986" s="12" t="inlineStr">
        <is>
          <t>24 pr</t>
        </is>
      </c>
      <c r="M3986" s="12" t="inlineStr">
        <is>
          <t>18</t>
        </is>
      </c>
      <c r="N3986" s="12" t="n">
        <v>1</v>
      </c>
      <c r="O3986" s="12" t="n">
        <v>1</v>
      </c>
      <c r="P3986" s="12" t="n"/>
      <c r="Q3986" s="12" t="n"/>
      <c r="R3986" s="12" t="n"/>
      <c r="S3986" s="12" t="inlineStr">
        <is>
          <t>Duct bank</t>
        </is>
      </c>
      <c r="T3986" s="16" t="n">
        <v>602</v>
      </c>
      <c r="U3986" s="16" t="n">
        <v>57</v>
      </c>
      <c r="V3986" s="16">
        <f>ROUNDUP((T3986+U3986+2*'Read Me'!$B$13)*(1+'Read Me'!$B$12),-1)</f>
        <v/>
      </c>
      <c r="W3986" s="16">
        <f>V3986*N3986*O3986</f>
        <v/>
      </c>
      <c r="X3986" s="12">
        <f>IF(LEFT(I3986,2)="MV",2*N3986*IF(L3986="1/C",O3986,1),0)</f>
        <v/>
      </c>
      <c r="Y3986" s="12">
        <f>IF(OR(LEFT(K3986,4)="LVAX",LEFT(K3986,6)="MV15AX",LEFT(K3986,4)="CTAX",LEFT(K3986,2)="W|"),2*N3986*O3986,0)</f>
        <v/>
      </c>
      <c r="Z3986" s="12" t="inlineStr"/>
      <c r="AA3986" s="12">
        <f>N3986*O3986</f>
        <v/>
      </c>
    </row>
    <row r="3987">
      <c r="A3987" s="12" t="inlineStr">
        <is>
          <t>H-I-0146</t>
        </is>
      </c>
      <c r="B3987" s="12" t="inlineStr">
        <is>
          <t>H</t>
        </is>
      </c>
      <c r="C3987" s="12" t="inlineStr">
        <is>
          <t>BESS</t>
        </is>
      </c>
      <c r="D3987" s="12" t="inlineStr">
        <is>
          <t>Discrete device to JB JB-BESS container (IS-DI01: 8 x 1 pr (field cables)</t>
        </is>
      </c>
      <c r="E3987" s="12" t="inlineStr"/>
      <c r="F3987" s="12" t="inlineStr">
        <is>
          <t>BESS container (ISO 40 ft high cube)</t>
        </is>
      </c>
      <c r="G3987" s="12" t="inlineStr">
        <is>
          <t>JB-BESS container (IS-DI01</t>
        </is>
      </c>
      <c r="H3987" s="12" t="inlineStr">
        <is>
          <t>BESS container (ISO 40 ft high cube)</t>
        </is>
      </c>
      <c r="I3987" s="12" t="inlineStr">
        <is>
          <t>Instrumentation</t>
        </is>
      </c>
      <c r="J3987" s="12" t="inlineStr">
        <is>
          <t>Instrumentation PLTC / TC-ER 300 V, #18 twisted shielded pairs, overall shield</t>
        </is>
      </c>
      <c r="K3987" s="12" t="inlineStr">
        <is>
          <t>PLTC|1 pr|16</t>
        </is>
      </c>
      <c r="L3987" s="12" t="inlineStr">
        <is>
          <t>1 pr</t>
        </is>
      </c>
      <c r="M3987" s="12" t="inlineStr">
        <is>
          <t>16</t>
        </is>
      </c>
      <c r="N3987" s="12" t="n">
        <v>8</v>
      </c>
      <c r="O3987" s="12" t="n">
        <v>1</v>
      </c>
      <c r="P3987" s="12" t="n"/>
      <c r="Q3987" s="12" t="n"/>
      <c r="R3987" s="12" t="n"/>
      <c r="S3987" s="12" t="inlineStr">
        <is>
          <t>Tray / conduit</t>
        </is>
      </c>
      <c r="T3987" s="16" t="n">
        <v>53</v>
      </c>
      <c r="U3987" s="16" t="n">
        <v>10</v>
      </c>
      <c r="V3987" s="16">
        <f>ROUNDUP((T3987+U3987+2*'Read Me'!$B$13)*(1+'Read Me'!$B$12),-1)</f>
        <v/>
      </c>
      <c r="W3987" s="16">
        <f>V3987*N3987*O3987</f>
        <v/>
      </c>
      <c r="X3987" s="12">
        <f>IF(LEFT(I3987,2)="MV",2*N3987*IF(L3987="1/C",O3987,1),0)</f>
        <v/>
      </c>
      <c r="Y3987" s="12">
        <f>IF(OR(LEFT(K3987,4)="LVAX",LEFT(K3987,6)="MV15AX",LEFT(K3987,4)="CTAX",LEFT(K3987,2)="W|"),2*N3987*O3987,0)</f>
        <v/>
      </c>
      <c r="Z3987" s="12" t="inlineStr">
        <is>
          <t>device-to-JB field wiring, one cable per device</t>
        </is>
      </c>
      <c r="AA3987" s="12">
        <f>N3987*O3987</f>
        <v/>
      </c>
    </row>
    <row r="3988">
      <c r="A3988" s="12" t="inlineStr">
        <is>
          <t>H-I-0147</t>
        </is>
      </c>
      <c r="B3988" s="12" t="inlineStr">
        <is>
          <t>H</t>
        </is>
      </c>
      <c r="C3988" s="12" t="inlineStr">
        <is>
          <t>BESS</t>
        </is>
      </c>
      <c r="D3988" s="12" t="inlineStr">
        <is>
          <t>Home run JB-BESS container (IS-DI01 to the control / marshalling room</t>
        </is>
      </c>
      <c r="E3988" s="12" t="inlineStr"/>
      <c r="F3988" s="12" t="inlineStr">
        <is>
          <t>BESS EMS / SCADA and revenue metering</t>
        </is>
      </c>
      <c r="G3988" s="12" t="inlineStr">
        <is>
          <t>JB-BESS container (IS-DI01</t>
        </is>
      </c>
      <c r="H3988" s="12" t="inlineStr">
        <is>
          <t>BESS container (ISO 40 ft high cube)</t>
        </is>
      </c>
      <c r="I3988" s="12" t="inlineStr">
        <is>
          <t>Instrumentation</t>
        </is>
      </c>
      <c r="J3988" s="12" t="inlineStr">
        <is>
          <t>Instrumentation PLTC / TC-ER 300 V, #18 twisted shielded pairs, overall shield</t>
        </is>
      </c>
      <c r="K3988" s="12" t="inlineStr">
        <is>
          <t>PLTC|24 pr|18</t>
        </is>
      </c>
      <c r="L3988" s="12" t="inlineStr">
        <is>
          <t>24 pr</t>
        </is>
      </c>
      <c r="M3988" s="12" t="inlineStr">
        <is>
          <t>18</t>
        </is>
      </c>
      <c r="N3988" s="12" t="n">
        <v>1</v>
      </c>
      <c r="O3988" s="12" t="n">
        <v>1</v>
      </c>
      <c r="P3988" s="12" t="n"/>
      <c r="Q3988" s="12" t="n"/>
      <c r="R3988" s="12" t="n"/>
      <c r="S3988" s="12" t="inlineStr">
        <is>
          <t>Duct bank</t>
        </is>
      </c>
      <c r="T3988" s="16" t="n">
        <v>482</v>
      </c>
      <c r="U3988" s="16" t="n">
        <v>117</v>
      </c>
      <c r="V3988" s="16">
        <f>ROUNDUP((T3988+U3988+2*'Read Me'!$B$13)*(1+'Read Me'!$B$12),-1)</f>
        <v/>
      </c>
      <c r="W3988" s="16">
        <f>V3988*N3988*O3988</f>
        <v/>
      </c>
      <c r="X3988" s="12">
        <f>IF(LEFT(I3988,2)="MV",2*N3988*IF(L3988="1/C",O3988,1),0)</f>
        <v/>
      </c>
      <c r="Y3988" s="12">
        <f>IF(OR(LEFT(K3988,4)="LVAX",LEFT(K3988,6)="MV15AX",LEFT(K3988,4)="CTAX",LEFT(K3988,2)="W|"),2*N3988*O3988,0)</f>
        <v/>
      </c>
      <c r="Z3988" s="12" t="inlineStr"/>
      <c r="AA3988" s="12">
        <f>N3988*O3988</f>
        <v/>
      </c>
    </row>
    <row r="3989">
      <c r="A3989" s="12" t="inlineStr">
        <is>
          <t>H-I-0148</t>
        </is>
      </c>
      <c r="B3989" s="12" t="inlineStr">
        <is>
          <t>H</t>
        </is>
      </c>
      <c r="C3989" s="12" t="inlineStr">
        <is>
          <t>BESS</t>
        </is>
      </c>
      <c r="D3989" s="12" t="inlineStr">
        <is>
          <t>Discrete device to JB JB-BESS container (IS-DI01: 8 x 1 pr (field cables)</t>
        </is>
      </c>
      <c r="E3989" s="12" t="inlineStr"/>
      <c r="F3989" s="12" t="inlineStr">
        <is>
          <t>BESS container (ISO 40 ft high cube)</t>
        </is>
      </c>
      <c r="G3989" s="12" t="inlineStr">
        <is>
          <t>JB-BESS container (IS-DI01</t>
        </is>
      </c>
      <c r="H3989" s="12" t="inlineStr">
        <is>
          <t>BESS container (ISO 40 ft high cube)</t>
        </is>
      </c>
      <c r="I3989" s="12" t="inlineStr">
        <is>
          <t>Instrumentation</t>
        </is>
      </c>
      <c r="J3989" s="12" t="inlineStr">
        <is>
          <t>Instrumentation PLTC / TC-ER 300 V, #18 twisted shielded pairs, overall shield</t>
        </is>
      </c>
      <c r="K3989" s="12" t="inlineStr">
        <is>
          <t>PLTC|1 pr|16</t>
        </is>
      </c>
      <c r="L3989" s="12" t="inlineStr">
        <is>
          <t>1 pr</t>
        </is>
      </c>
      <c r="M3989" s="12" t="inlineStr">
        <is>
          <t>16</t>
        </is>
      </c>
      <c r="N3989" s="12" t="n">
        <v>8</v>
      </c>
      <c r="O3989" s="12" t="n">
        <v>1</v>
      </c>
      <c r="P3989" s="12" t="n"/>
      <c r="Q3989" s="12" t="n"/>
      <c r="R3989" s="12" t="n"/>
      <c r="S3989" s="12" t="inlineStr">
        <is>
          <t>Tray / conduit</t>
        </is>
      </c>
      <c r="T3989" s="16" t="n">
        <v>53</v>
      </c>
      <c r="U3989" s="16" t="n">
        <v>10</v>
      </c>
      <c r="V3989" s="16">
        <f>ROUNDUP((T3989+U3989+2*'Read Me'!$B$13)*(1+'Read Me'!$B$12),-1)</f>
        <v/>
      </c>
      <c r="W3989" s="16">
        <f>V3989*N3989*O3989</f>
        <v/>
      </c>
      <c r="X3989" s="12">
        <f>IF(LEFT(I3989,2)="MV",2*N3989*IF(L3989="1/C",O3989,1),0)</f>
        <v/>
      </c>
      <c r="Y3989" s="12">
        <f>IF(OR(LEFT(K3989,4)="LVAX",LEFT(K3989,6)="MV15AX",LEFT(K3989,4)="CTAX",LEFT(K3989,2)="W|"),2*N3989*O3989,0)</f>
        <v/>
      </c>
      <c r="Z3989" s="12" t="inlineStr">
        <is>
          <t>device-to-JB field wiring, one cable per device</t>
        </is>
      </c>
      <c r="AA3989" s="12">
        <f>N3989*O3989</f>
        <v/>
      </c>
    </row>
    <row r="3990">
      <c r="A3990" s="12" t="inlineStr">
        <is>
          <t>H-I-0149</t>
        </is>
      </c>
      <c r="B3990" s="12" t="inlineStr">
        <is>
          <t>H</t>
        </is>
      </c>
      <c r="C3990" s="12" t="inlineStr">
        <is>
          <t>BESS</t>
        </is>
      </c>
      <c r="D3990" s="12" t="inlineStr">
        <is>
          <t>Home run JB-BESS container (IS-DI01 to the control / marshalling room</t>
        </is>
      </c>
      <c r="E3990" s="12" t="inlineStr"/>
      <c r="F3990" s="12" t="inlineStr">
        <is>
          <t>BESS EMS / SCADA and revenue metering</t>
        </is>
      </c>
      <c r="G3990" s="12" t="inlineStr">
        <is>
          <t>JB-BESS container (IS-DI01</t>
        </is>
      </c>
      <c r="H3990" s="12" t="inlineStr">
        <is>
          <t>BESS container (ISO 40 ft high cube)</t>
        </is>
      </c>
      <c r="I3990" s="12" t="inlineStr">
        <is>
          <t>Instrumentation</t>
        </is>
      </c>
      <c r="J3990" s="12" t="inlineStr">
        <is>
          <t>Instrumentation PLTC / TC-ER 300 V, #18 twisted shielded pairs, overall shield</t>
        </is>
      </c>
      <c r="K3990" s="12" t="inlineStr">
        <is>
          <t>PLTC|24 pr|18</t>
        </is>
      </c>
      <c r="L3990" s="12" t="inlineStr">
        <is>
          <t>24 pr</t>
        </is>
      </c>
      <c r="M3990" s="12" t="inlineStr">
        <is>
          <t>18</t>
        </is>
      </c>
      <c r="N3990" s="12" t="n">
        <v>1</v>
      </c>
      <c r="O3990" s="12" t="n">
        <v>1</v>
      </c>
      <c r="P3990" s="12" t="n"/>
      <c r="Q3990" s="12" t="n"/>
      <c r="R3990" s="12" t="n"/>
      <c r="S3990" s="12" t="inlineStr">
        <is>
          <t>Duct bank</t>
        </is>
      </c>
      <c r="T3990" s="16" t="n">
        <v>336</v>
      </c>
      <c r="U3990" s="16" t="n">
        <v>177</v>
      </c>
      <c r="V3990" s="16">
        <f>ROUNDUP((T3990+U3990+2*'Read Me'!$B$13)*(1+'Read Me'!$B$12),-1)</f>
        <v/>
      </c>
      <c r="W3990" s="16">
        <f>V3990*N3990*O3990</f>
        <v/>
      </c>
      <c r="X3990" s="12">
        <f>IF(LEFT(I3990,2)="MV",2*N3990*IF(L3990="1/C",O3990,1),0)</f>
        <v/>
      </c>
      <c r="Y3990" s="12">
        <f>IF(OR(LEFT(K3990,4)="LVAX",LEFT(K3990,6)="MV15AX",LEFT(K3990,4)="CTAX",LEFT(K3990,2)="W|"),2*N3990*O3990,0)</f>
        <v/>
      </c>
      <c r="Z3990" s="12" t="inlineStr"/>
      <c r="AA3990" s="12">
        <f>N3990*O3990</f>
        <v/>
      </c>
    </row>
    <row r="3991">
      <c r="A3991" s="12" t="inlineStr">
        <is>
          <t>H-I-0150</t>
        </is>
      </c>
      <c r="B3991" s="12" t="inlineStr">
        <is>
          <t>H</t>
        </is>
      </c>
      <c r="C3991" s="12" t="inlineStr">
        <is>
          <t>BESS</t>
        </is>
      </c>
      <c r="D3991" s="12" t="inlineStr">
        <is>
          <t>Discrete device to JB JB-BESS container (IS-DI01: 8 x 1 pr (field cables)</t>
        </is>
      </c>
      <c r="E3991" s="12" t="inlineStr"/>
      <c r="F3991" s="12" t="inlineStr">
        <is>
          <t>BESS container (ISO 40 ft high cube)</t>
        </is>
      </c>
      <c r="G3991" s="12" t="inlineStr">
        <is>
          <t>JB-BESS container (IS-DI01</t>
        </is>
      </c>
      <c r="H3991" s="12" t="inlineStr">
        <is>
          <t>BESS container (ISO 40 ft high cube)</t>
        </is>
      </c>
      <c r="I3991" s="12" t="inlineStr">
        <is>
          <t>Instrumentation</t>
        </is>
      </c>
      <c r="J3991" s="12" t="inlineStr">
        <is>
          <t>Instrumentation PLTC / TC-ER 300 V, #18 twisted shielded pairs, overall shield</t>
        </is>
      </c>
      <c r="K3991" s="12" t="inlineStr">
        <is>
          <t>PLTC|1 pr|16</t>
        </is>
      </c>
      <c r="L3991" s="12" t="inlineStr">
        <is>
          <t>1 pr</t>
        </is>
      </c>
      <c r="M3991" s="12" t="inlineStr">
        <is>
          <t>16</t>
        </is>
      </c>
      <c r="N3991" s="12" t="n">
        <v>8</v>
      </c>
      <c r="O3991" s="12" t="n">
        <v>1</v>
      </c>
      <c r="P3991" s="12" t="n"/>
      <c r="Q3991" s="12" t="n"/>
      <c r="R3991" s="12" t="n"/>
      <c r="S3991" s="12" t="inlineStr">
        <is>
          <t>Tray / conduit</t>
        </is>
      </c>
      <c r="T3991" s="16" t="n">
        <v>53</v>
      </c>
      <c r="U3991" s="16" t="n">
        <v>10</v>
      </c>
      <c r="V3991" s="16">
        <f>ROUNDUP((T3991+U3991+2*'Read Me'!$B$13)*(1+'Read Me'!$B$12),-1)</f>
        <v/>
      </c>
      <c r="W3991" s="16">
        <f>V3991*N3991*O3991</f>
        <v/>
      </c>
      <c r="X3991" s="12">
        <f>IF(LEFT(I3991,2)="MV",2*N3991*IF(L3991="1/C",O3991,1),0)</f>
        <v/>
      </c>
      <c r="Y3991" s="12">
        <f>IF(OR(LEFT(K3991,4)="LVAX",LEFT(K3991,6)="MV15AX",LEFT(K3991,4)="CTAX",LEFT(K3991,2)="W|"),2*N3991*O3991,0)</f>
        <v/>
      </c>
      <c r="Z3991" s="12" t="inlineStr">
        <is>
          <t>device-to-JB field wiring, one cable per device</t>
        </is>
      </c>
      <c r="AA3991" s="12">
        <f>N3991*O3991</f>
        <v/>
      </c>
    </row>
    <row r="3992">
      <c r="A3992" s="12" t="inlineStr">
        <is>
          <t>H-I-0151</t>
        </is>
      </c>
      <c r="B3992" s="12" t="inlineStr">
        <is>
          <t>H</t>
        </is>
      </c>
      <c r="C3992" s="12" t="inlineStr">
        <is>
          <t>BESS</t>
        </is>
      </c>
      <c r="D3992" s="12" t="inlineStr">
        <is>
          <t>Home run JB-BESS container (IS-DI01 to the control / marshalling room</t>
        </is>
      </c>
      <c r="E3992" s="12" t="inlineStr"/>
      <c r="F3992" s="12" t="inlineStr">
        <is>
          <t>BESS EMS / SCADA and revenue metering</t>
        </is>
      </c>
      <c r="G3992" s="12" t="inlineStr">
        <is>
          <t>JB-BESS container (IS-DI01</t>
        </is>
      </c>
      <c r="H3992" s="12" t="inlineStr">
        <is>
          <t>BESS container (ISO 40 ft high cube)</t>
        </is>
      </c>
      <c r="I3992" s="12" t="inlineStr">
        <is>
          <t>Instrumentation</t>
        </is>
      </c>
      <c r="J3992" s="12" t="inlineStr">
        <is>
          <t>Instrumentation PLTC / TC-ER 300 V, #18 twisted shielded pairs, overall shield</t>
        </is>
      </c>
      <c r="K3992" s="12" t="inlineStr">
        <is>
          <t>PLTC|24 pr|18</t>
        </is>
      </c>
      <c r="L3992" s="12" t="inlineStr">
        <is>
          <t>24 pr</t>
        </is>
      </c>
      <c r="M3992" s="12" t="inlineStr">
        <is>
          <t>18</t>
        </is>
      </c>
      <c r="N3992" s="12" t="n">
        <v>1</v>
      </c>
      <c r="O3992" s="12" t="n">
        <v>1</v>
      </c>
      <c r="P3992" s="12" t="n"/>
      <c r="Q3992" s="12" t="n"/>
      <c r="R3992" s="12" t="n"/>
      <c r="S3992" s="12" t="inlineStr">
        <is>
          <t>Duct bank</t>
        </is>
      </c>
      <c r="T3992" s="16" t="n">
        <v>336</v>
      </c>
      <c r="U3992" s="16" t="n">
        <v>117</v>
      </c>
      <c r="V3992" s="16">
        <f>ROUNDUP((T3992+U3992+2*'Read Me'!$B$13)*(1+'Read Me'!$B$12),-1)</f>
        <v/>
      </c>
      <c r="W3992" s="16">
        <f>V3992*N3992*O3992</f>
        <v/>
      </c>
      <c r="X3992" s="12">
        <f>IF(LEFT(I3992,2)="MV",2*N3992*IF(L3992="1/C",O3992,1),0)</f>
        <v/>
      </c>
      <c r="Y3992" s="12">
        <f>IF(OR(LEFT(K3992,4)="LVAX",LEFT(K3992,6)="MV15AX",LEFT(K3992,4)="CTAX",LEFT(K3992,2)="W|"),2*N3992*O3992,0)</f>
        <v/>
      </c>
      <c r="Z3992" s="12" t="inlineStr"/>
      <c r="AA3992" s="12">
        <f>N3992*O3992</f>
        <v/>
      </c>
    </row>
    <row r="3993">
      <c r="A3993" s="12" t="inlineStr">
        <is>
          <t>H-I-0152</t>
        </is>
      </c>
      <c r="B3993" s="12" t="inlineStr">
        <is>
          <t>H</t>
        </is>
      </c>
      <c r="C3993" s="12" t="inlineStr">
        <is>
          <t>BESS</t>
        </is>
      </c>
      <c r="D3993" s="12" t="inlineStr">
        <is>
          <t>Discrete device to JB JB-BESS container (IS-DI01: 8 x 1 pr (field cables)</t>
        </is>
      </c>
      <c r="E3993" s="12" t="inlineStr"/>
      <c r="F3993" s="12" t="inlineStr">
        <is>
          <t>BESS container (ISO 40 ft high cube)</t>
        </is>
      </c>
      <c r="G3993" s="12" t="inlineStr">
        <is>
          <t>JB-BESS container (IS-DI01</t>
        </is>
      </c>
      <c r="H3993" s="12" t="inlineStr">
        <is>
          <t>BESS container (ISO 40 ft high cube)</t>
        </is>
      </c>
      <c r="I3993" s="12" t="inlineStr">
        <is>
          <t>Instrumentation</t>
        </is>
      </c>
      <c r="J3993" s="12" t="inlineStr">
        <is>
          <t>Instrumentation PLTC / TC-ER 300 V, #18 twisted shielded pairs, overall shield</t>
        </is>
      </c>
      <c r="K3993" s="12" t="inlineStr">
        <is>
          <t>PLTC|1 pr|16</t>
        </is>
      </c>
      <c r="L3993" s="12" t="inlineStr">
        <is>
          <t>1 pr</t>
        </is>
      </c>
      <c r="M3993" s="12" t="inlineStr">
        <is>
          <t>16</t>
        </is>
      </c>
      <c r="N3993" s="12" t="n">
        <v>8</v>
      </c>
      <c r="O3993" s="12" t="n">
        <v>1</v>
      </c>
      <c r="P3993" s="12" t="n"/>
      <c r="Q3993" s="12" t="n"/>
      <c r="R3993" s="12" t="n"/>
      <c r="S3993" s="12" t="inlineStr">
        <is>
          <t>Tray / conduit</t>
        </is>
      </c>
      <c r="T3993" s="16" t="n">
        <v>53</v>
      </c>
      <c r="U3993" s="16" t="n">
        <v>10</v>
      </c>
      <c r="V3993" s="16">
        <f>ROUNDUP((T3993+U3993+2*'Read Me'!$B$13)*(1+'Read Me'!$B$12),-1)</f>
        <v/>
      </c>
      <c r="W3993" s="16">
        <f>V3993*N3993*O3993</f>
        <v/>
      </c>
      <c r="X3993" s="12">
        <f>IF(LEFT(I3993,2)="MV",2*N3993*IF(L3993="1/C",O3993,1),0)</f>
        <v/>
      </c>
      <c r="Y3993" s="12">
        <f>IF(OR(LEFT(K3993,4)="LVAX",LEFT(K3993,6)="MV15AX",LEFT(K3993,4)="CTAX",LEFT(K3993,2)="W|"),2*N3993*O3993,0)</f>
        <v/>
      </c>
      <c r="Z3993" s="12" t="inlineStr">
        <is>
          <t>device-to-JB field wiring, one cable per device</t>
        </is>
      </c>
      <c r="AA3993" s="12">
        <f>N3993*O3993</f>
        <v/>
      </c>
    </row>
    <row r="3994">
      <c r="A3994" s="12" t="inlineStr">
        <is>
          <t>H-I-0153</t>
        </is>
      </c>
      <c r="B3994" s="12" t="inlineStr">
        <is>
          <t>H</t>
        </is>
      </c>
      <c r="C3994" s="12" t="inlineStr">
        <is>
          <t>BESS</t>
        </is>
      </c>
      <c r="D3994" s="12" t="inlineStr">
        <is>
          <t>Home run JB-BESS container (IS-DI01 to the control / marshalling room</t>
        </is>
      </c>
      <c r="E3994" s="12" t="inlineStr"/>
      <c r="F3994" s="12" t="inlineStr">
        <is>
          <t>BESS EMS / SCADA and revenue metering</t>
        </is>
      </c>
      <c r="G3994" s="12" t="inlineStr">
        <is>
          <t>JB-BESS container (IS-DI01</t>
        </is>
      </c>
      <c r="H3994" s="12" t="inlineStr">
        <is>
          <t>BESS container (ISO 40 ft high cube)</t>
        </is>
      </c>
      <c r="I3994" s="12" t="inlineStr">
        <is>
          <t>Instrumentation</t>
        </is>
      </c>
      <c r="J3994" s="12" t="inlineStr">
        <is>
          <t>Instrumentation PLTC / TC-ER 300 V, #18 twisted shielded pairs, overall shield</t>
        </is>
      </c>
      <c r="K3994" s="12" t="inlineStr">
        <is>
          <t>PLTC|24 pr|18</t>
        </is>
      </c>
      <c r="L3994" s="12" t="inlineStr">
        <is>
          <t>24 pr</t>
        </is>
      </c>
      <c r="M3994" s="12" t="inlineStr">
        <is>
          <t>18</t>
        </is>
      </c>
      <c r="N3994" s="12" t="n">
        <v>1</v>
      </c>
      <c r="O3994" s="12" t="n">
        <v>1</v>
      </c>
      <c r="P3994" s="12" t="n"/>
      <c r="Q3994" s="12" t="n"/>
      <c r="R3994" s="12" t="n"/>
      <c r="S3994" s="12" t="inlineStr">
        <is>
          <t>Duct bank</t>
        </is>
      </c>
      <c r="T3994" s="16" t="n">
        <v>336</v>
      </c>
      <c r="U3994" s="16" t="n">
        <v>57</v>
      </c>
      <c r="V3994" s="16">
        <f>ROUNDUP((T3994+U3994+2*'Read Me'!$B$13)*(1+'Read Me'!$B$12),-1)</f>
        <v/>
      </c>
      <c r="W3994" s="16">
        <f>V3994*N3994*O3994</f>
        <v/>
      </c>
      <c r="X3994" s="12">
        <f>IF(LEFT(I3994,2)="MV",2*N3994*IF(L3994="1/C",O3994,1),0)</f>
        <v/>
      </c>
      <c r="Y3994" s="12">
        <f>IF(OR(LEFT(K3994,4)="LVAX",LEFT(K3994,6)="MV15AX",LEFT(K3994,4)="CTAX",LEFT(K3994,2)="W|"),2*N3994*O3994,0)</f>
        <v/>
      </c>
      <c r="Z3994" s="12" t="inlineStr"/>
      <c r="AA3994" s="12">
        <f>N3994*O3994</f>
        <v/>
      </c>
    </row>
    <row r="3995">
      <c r="A3995" s="12" t="inlineStr">
        <is>
          <t>H-I-0154</t>
        </is>
      </c>
      <c r="B3995" s="12" t="inlineStr">
        <is>
          <t>H</t>
        </is>
      </c>
      <c r="C3995" s="12" t="inlineStr">
        <is>
          <t>BESS</t>
        </is>
      </c>
      <c r="D3995" s="12" t="inlineStr">
        <is>
          <t>Discrete device to JB JB-BESS container (IS-DI01: 8 x 1 pr (field cables)</t>
        </is>
      </c>
      <c r="E3995" s="12" t="inlineStr"/>
      <c r="F3995" s="12" t="inlineStr">
        <is>
          <t>BESS container (ISO 40 ft high cube)</t>
        </is>
      </c>
      <c r="G3995" s="12" t="inlineStr">
        <is>
          <t>JB-BESS container (IS-DI01</t>
        </is>
      </c>
      <c r="H3995" s="12" t="inlineStr">
        <is>
          <t>BESS container (ISO 40 ft high cube)</t>
        </is>
      </c>
      <c r="I3995" s="12" t="inlineStr">
        <is>
          <t>Instrumentation</t>
        </is>
      </c>
      <c r="J3995" s="12" t="inlineStr">
        <is>
          <t>Instrumentation PLTC / TC-ER 300 V, #18 twisted shielded pairs, overall shield</t>
        </is>
      </c>
      <c r="K3995" s="12" t="inlineStr">
        <is>
          <t>PLTC|1 pr|16</t>
        </is>
      </c>
      <c r="L3995" s="12" t="inlineStr">
        <is>
          <t>1 pr</t>
        </is>
      </c>
      <c r="M3995" s="12" t="inlineStr">
        <is>
          <t>16</t>
        </is>
      </c>
      <c r="N3995" s="12" t="n">
        <v>8</v>
      </c>
      <c r="O3995" s="12" t="n">
        <v>1</v>
      </c>
      <c r="P3995" s="12" t="n"/>
      <c r="Q3995" s="12" t="n"/>
      <c r="R3995" s="12" t="n"/>
      <c r="S3995" s="12" t="inlineStr">
        <is>
          <t>Tray / conduit</t>
        </is>
      </c>
      <c r="T3995" s="16" t="n">
        <v>53</v>
      </c>
      <c r="U3995" s="16" t="n">
        <v>10</v>
      </c>
      <c r="V3995" s="16">
        <f>ROUNDUP((T3995+U3995+2*'Read Me'!$B$13)*(1+'Read Me'!$B$12),-1)</f>
        <v/>
      </c>
      <c r="W3995" s="16">
        <f>V3995*N3995*O3995</f>
        <v/>
      </c>
      <c r="X3995" s="12">
        <f>IF(LEFT(I3995,2)="MV",2*N3995*IF(L3995="1/C",O3995,1),0)</f>
        <v/>
      </c>
      <c r="Y3995" s="12">
        <f>IF(OR(LEFT(K3995,4)="LVAX",LEFT(K3995,6)="MV15AX",LEFT(K3995,4)="CTAX",LEFT(K3995,2)="W|"),2*N3995*O3995,0)</f>
        <v/>
      </c>
      <c r="Z3995" s="12" t="inlineStr">
        <is>
          <t>device-to-JB field wiring, one cable per device</t>
        </is>
      </c>
      <c r="AA3995" s="12">
        <f>N3995*O3995</f>
        <v/>
      </c>
    </row>
    <row r="3996">
      <c r="A3996" s="12" t="inlineStr">
        <is>
          <t>H-I-0155</t>
        </is>
      </c>
      <c r="B3996" s="12" t="inlineStr">
        <is>
          <t>H</t>
        </is>
      </c>
      <c r="C3996" s="12" t="inlineStr">
        <is>
          <t>BESS</t>
        </is>
      </c>
      <c r="D3996" s="12" t="inlineStr">
        <is>
          <t>Home run JB-BESS container (IS-DI01 to the control / marshalling room</t>
        </is>
      </c>
      <c r="E3996" s="12" t="inlineStr"/>
      <c r="F3996" s="12" t="inlineStr">
        <is>
          <t>BESS EMS / SCADA and revenue metering</t>
        </is>
      </c>
      <c r="G3996" s="12" t="inlineStr">
        <is>
          <t>JB-BESS container (IS-DI01</t>
        </is>
      </c>
      <c r="H3996" s="12" t="inlineStr">
        <is>
          <t>BESS container (ISO 40 ft high cube)</t>
        </is>
      </c>
      <c r="I3996" s="12" t="inlineStr">
        <is>
          <t>Instrumentation</t>
        </is>
      </c>
      <c r="J3996" s="12" t="inlineStr">
        <is>
          <t>Instrumentation PLTC / TC-ER 300 V, #18 twisted shielded pairs, overall shield</t>
        </is>
      </c>
      <c r="K3996" s="12" t="inlineStr">
        <is>
          <t>PLTC|24 pr|18</t>
        </is>
      </c>
      <c r="L3996" s="12" t="inlineStr">
        <is>
          <t>24 pr</t>
        </is>
      </c>
      <c r="M3996" s="12" t="inlineStr">
        <is>
          <t>18</t>
        </is>
      </c>
      <c r="N3996" s="12" t="n">
        <v>1</v>
      </c>
      <c r="O3996" s="12" t="n">
        <v>1</v>
      </c>
      <c r="P3996" s="12" t="n"/>
      <c r="Q3996" s="12" t="n"/>
      <c r="R3996" s="12" t="n"/>
      <c r="S3996" s="12" t="inlineStr">
        <is>
          <t>Duct bank</t>
        </is>
      </c>
      <c r="T3996" s="16" t="n">
        <v>336</v>
      </c>
      <c r="U3996" s="16" t="n">
        <v>57</v>
      </c>
      <c r="V3996" s="16">
        <f>ROUNDUP((T3996+U3996+2*'Read Me'!$B$13)*(1+'Read Me'!$B$12),-1)</f>
        <v/>
      </c>
      <c r="W3996" s="16">
        <f>V3996*N3996*O3996</f>
        <v/>
      </c>
      <c r="X3996" s="12">
        <f>IF(LEFT(I3996,2)="MV",2*N3996*IF(L3996="1/C",O3996,1),0)</f>
        <v/>
      </c>
      <c r="Y3996" s="12">
        <f>IF(OR(LEFT(K3996,4)="LVAX",LEFT(K3996,6)="MV15AX",LEFT(K3996,4)="CTAX",LEFT(K3996,2)="W|"),2*N3996*O3996,0)</f>
        <v/>
      </c>
      <c r="Z3996" s="12" t="inlineStr"/>
      <c r="AA3996" s="12">
        <f>N3996*O3996</f>
        <v/>
      </c>
    </row>
    <row r="3997">
      <c r="A3997" s="12" t="inlineStr">
        <is>
          <t>H-I-0156</t>
        </is>
      </c>
      <c r="B3997" s="12" t="inlineStr">
        <is>
          <t>H</t>
        </is>
      </c>
      <c r="C3997" s="12" t="inlineStr">
        <is>
          <t>BESS</t>
        </is>
      </c>
      <c r="D3997" s="12" t="inlineStr">
        <is>
          <t>Analog instrument to JB JB-BESS MPT-AI01: 8 x 1 pr (field cables)</t>
        </is>
      </c>
      <c r="E3997" s="12" t="inlineStr">
        <is>
          <t>BESS MPT</t>
        </is>
      </c>
      <c r="F3997" s="12" t="inlineStr">
        <is>
          <t>BESS main power transformer 34.5/230 kV (to D4 upper)</t>
        </is>
      </c>
      <c r="G3997" s="12" t="inlineStr">
        <is>
          <t>JB-BESS MPT-AI01</t>
        </is>
      </c>
      <c r="H3997" s="12" t="inlineStr">
        <is>
          <t>BESS main power transformer 34.5/230 kV (to D4 upper)</t>
        </is>
      </c>
      <c r="I3997" s="12" t="inlineStr">
        <is>
          <t>Instrumentation</t>
        </is>
      </c>
      <c r="J3997" s="12" t="inlineStr">
        <is>
          <t>Instrumentation PLTC / TC-ER 300 V, #18 twisted shielded pairs, overall shield</t>
        </is>
      </c>
      <c r="K3997" s="12" t="inlineStr">
        <is>
          <t>PLTC|1 pr|16</t>
        </is>
      </c>
      <c r="L3997" s="12" t="inlineStr">
        <is>
          <t>1 pr</t>
        </is>
      </c>
      <c r="M3997" s="12" t="inlineStr">
        <is>
          <t>16</t>
        </is>
      </c>
      <c r="N3997" s="12" t="n">
        <v>8</v>
      </c>
      <c r="O3997" s="12" t="n">
        <v>1</v>
      </c>
      <c r="P3997" s="12" t="n"/>
      <c r="Q3997" s="12" t="n"/>
      <c r="R3997" s="12" t="n"/>
      <c r="S3997" s="12" t="inlineStr">
        <is>
          <t>Tray / conduit</t>
        </is>
      </c>
      <c r="T3997" s="16" t="n">
        <v>77</v>
      </c>
      <c r="U3997" s="16" t="n">
        <v>10</v>
      </c>
      <c r="V3997" s="16">
        <f>ROUNDUP((T3997+U3997+2*'Read Me'!$B$13)*(1+'Read Me'!$B$12),-1)</f>
        <v/>
      </c>
      <c r="W3997" s="16">
        <f>V3997*N3997*O3997</f>
        <v/>
      </c>
      <c r="X3997" s="12">
        <f>IF(LEFT(I3997,2)="MV",2*N3997*IF(L3997="1/C",O3997,1),0)</f>
        <v/>
      </c>
      <c r="Y3997" s="12">
        <f>IF(OR(LEFT(K3997,4)="LVAX",LEFT(K3997,6)="MV15AX",LEFT(K3997,4)="CTAX",LEFT(K3997,2)="W|"),2*N3997*O3997,0)</f>
        <v/>
      </c>
      <c r="Z3997" s="12" t="inlineStr">
        <is>
          <t>device-to-JB field wiring, one cable per device</t>
        </is>
      </c>
      <c r="AA3997" s="12">
        <f>N3997*O3997</f>
        <v/>
      </c>
    </row>
    <row r="3998">
      <c r="A3998" s="12" t="inlineStr">
        <is>
          <t>H-I-0157</t>
        </is>
      </c>
      <c r="B3998" s="12" t="inlineStr">
        <is>
          <t>H</t>
        </is>
      </c>
      <c r="C3998" s="12" t="inlineStr">
        <is>
          <t>BESS</t>
        </is>
      </c>
      <c r="D3998" s="12" t="inlineStr">
        <is>
          <t>Home run JB-BESS MPT-AI01 to the control / marshalling room</t>
        </is>
      </c>
      <c r="E3998" s="12" t="inlineStr"/>
      <c r="F3998" s="12" t="inlineStr">
        <is>
          <t>BESS EMS / SCADA and revenue metering</t>
        </is>
      </c>
      <c r="G3998" s="12" t="inlineStr">
        <is>
          <t>JB-BESS MPT-AI01</t>
        </is>
      </c>
      <c r="H3998" s="12" t="inlineStr">
        <is>
          <t>BESS main power transformer 34.5/230 kV (to D4 upper)</t>
        </is>
      </c>
      <c r="I3998" s="12" t="inlineStr">
        <is>
          <t>Instrumentation</t>
        </is>
      </c>
      <c r="J3998" s="12" t="inlineStr">
        <is>
          <t>Instrumentation PLTC / TC-ER 300 V, #18 twisted shielded pairs, overall shield</t>
        </is>
      </c>
      <c r="K3998" s="12" t="inlineStr">
        <is>
          <t>PLTC|24 pr|18</t>
        </is>
      </c>
      <c r="L3998" s="12" t="inlineStr">
        <is>
          <t>24 pr</t>
        </is>
      </c>
      <c r="M3998" s="12" t="inlineStr">
        <is>
          <t>18</t>
        </is>
      </c>
      <c r="N3998" s="12" t="n">
        <v>1</v>
      </c>
      <c r="O3998" s="12" t="n">
        <v>1</v>
      </c>
      <c r="P3998" s="12" t="n"/>
      <c r="Q3998" s="12" t="n"/>
      <c r="R3998" s="12" t="n"/>
      <c r="S3998" s="12" t="inlineStr">
        <is>
          <t>Duct bank</t>
        </is>
      </c>
      <c r="T3998" s="16" t="n">
        <v>162</v>
      </c>
      <c r="U3998" s="16" t="n">
        <v>32</v>
      </c>
      <c r="V3998" s="16">
        <f>ROUNDUP((T3998+U3998+2*'Read Me'!$B$13)*(1+'Read Me'!$B$12),-1)</f>
        <v/>
      </c>
      <c r="W3998" s="16">
        <f>V3998*N3998*O3998</f>
        <v/>
      </c>
      <c r="X3998" s="12">
        <f>IF(LEFT(I3998,2)="MV",2*N3998*IF(L3998="1/C",O3998,1),0)</f>
        <v/>
      </c>
      <c r="Y3998" s="12">
        <f>IF(OR(LEFT(K3998,4)="LVAX",LEFT(K3998,6)="MV15AX",LEFT(K3998,4)="CTAX",LEFT(K3998,2)="W|"),2*N3998*O3998,0)</f>
        <v/>
      </c>
      <c r="Z3998" s="12" t="inlineStr"/>
      <c r="AA3998" s="12">
        <f>N3998*O3998</f>
        <v/>
      </c>
    </row>
    <row r="3999">
      <c r="A3999" s="12" t="inlineStr">
        <is>
          <t>H-I-0158</t>
        </is>
      </c>
      <c r="B3999" s="12" t="inlineStr">
        <is>
          <t>H</t>
        </is>
      </c>
      <c r="C3999" s="12" t="inlineStr">
        <is>
          <t>BESS</t>
        </is>
      </c>
      <c r="D3999" s="12" t="inlineStr">
        <is>
          <t>Discrete device to JB JB-BESS MPT-DI01: 16 x 1 pr (field cables)</t>
        </is>
      </c>
      <c r="E3999" s="12" t="inlineStr">
        <is>
          <t>BESS MPT</t>
        </is>
      </c>
      <c r="F3999" s="12" t="inlineStr">
        <is>
          <t>BESS main power transformer 34.5/230 kV (to D4 upper)</t>
        </is>
      </c>
      <c r="G3999" s="12" t="inlineStr">
        <is>
          <t>JB-BESS MPT-DI01</t>
        </is>
      </c>
      <c r="H3999" s="12" t="inlineStr">
        <is>
          <t>BESS main power transformer 34.5/230 kV (to D4 upper)</t>
        </is>
      </c>
      <c r="I3999" s="12" t="inlineStr">
        <is>
          <t>Instrumentation</t>
        </is>
      </c>
      <c r="J3999" s="12" t="inlineStr">
        <is>
          <t>Instrumentation PLTC / TC-ER 300 V, #18 twisted shielded pairs, overall shield</t>
        </is>
      </c>
      <c r="K3999" s="12" t="inlineStr">
        <is>
          <t>PLTC|1 pr|16</t>
        </is>
      </c>
      <c r="L3999" s="12" t="inlineStr">
        <is>
          <t>1 pr</t>
        </is>
      </c>
      <c r="M3999" s="12" t="inlineStr">
        <is>
          <t>16</t>
        </is>
      </c>
      <c r="N3999" s="12" t="n">
        <v>16</v>
      </c>
      <c r="O3999" s="12" t="n">
        <v>1</v>
      </c>
      <c r="P3999" s="12" t="n"/>
      <c r="Q3999" s="12" t="n"/>
      <c r="R3999" s="12" t="n"/>
      <c r="S3999" s="12" t="inlineStr">
        <is>
          <t>Tray / conduit</t>
        </is>
      </c>
      <c r="T3999" s="16" t="n">
        <v>77</v>
      </c>
      <c r="U3999" s="16" t="n">
        <v>10</v>
      </c>
      <c r="V3999" s="16">
        <f>ROUNDUP((T3999+U3999+2*'Read Me'!$B$13)*(1+'Read Me'!$B$12),-1)</f>
        <v/>
      </c>
      <c r="W3999" s="16">
        <f>V3999*N3999*O3999</f>
        <v/>
      </c>
      <c r="X3999" s="12">
        <f>IF(LEFT(I3999,2)="MV",2*N3999*IF(L3999="1/C",O3999,1),0)</f>
        <v/>
      </c>
      <c r="Y3999" s="12">
        <f>IF(OR(LEFT(K3999,4)="LVAX",LEFT(K3999,6)="MV15AX",LEFT(K3999,4)="CTAX",LEFT(K3999,2)="W|"),2*N3999*O3999,0)</f>
        <v/>
      </c>
      <c r="Z3999" s="12" t="inlineStr">
        <is>
          <t>device-to-JB field wiring, one cable per device</t>
        </is>
      </c>
      <c r="AA3999" s="12">
        <f>N3999*O3999</f>
        <v/>
      </c>
    </row>
    <row r="4000">
      <c r="A4000" s="12" t="inlineStr">
        <is>
          <t>H-I-0159</t>
        </is>
      </c>
      <c r="B4000" s="12" t="inlineStr">
        <is>
          <t>H</t>
        </is>
      </c>
      <c r="C4000" s="12" t="inlineStr">
        <is>
          <t>BESS</t>
        </is>
      </c>
      <c r="D4000" s="12" t="inlineStr">
        <is>
          <t>Home run JB-BESS MPT-DI01 to the control / marshalling room</t>
        </is>
      </c>
      <c r="E4000" s="12" t="inlineStr"/>
      <c r="F4000" s="12" t="inlineStr">
        <is>
          <t>BESS EMS / SCADA and revenue metering</t>
        </is>
      </c>
      <c r="G4000" s="12" t="inlineStr">
        <is>
          <t>JB-BESS MPT-DI01</t>
        </is>
      </c>
      <c r="H4000" s="12" t="inlineStr">
        <is>
          <t>BESS main power transformer 34.5/230 kV (to D4 upper)</t>
        </is>
      </c>
      <c r="I4000" s="12" t="inlineStr">
        <is>
          <t>Instrumentation</t>
        </is>
      </c>
      <c r="J4000" s="12" t="inlineStr">
        <is>
          <t>Instrumentation PLTC / TC-ER 300 V, #18 twisted shielded pairs, overall shield</t>
        </is>
      </c>
      <c r="K4000" s="12" t="inlineStr">
        <is>
          <t>PLTC|24 pr|18</t>
        </is>
      </c>
      <c r="L4000" s="12" t="inlineStr">
        <is>
          <t>24 pr</t>
        </is>
      </c>
      <c r="M4000" s="12" t="inlineStr">
        <is>
          <t>18</t>
        </is>
      </c>
      <c r="N4000" s="12" t="n">
        <v>1</v>
      </c>
      <c r="O4000" s="12" t="n">
        <v>1</v>
      </c>
      <c r="P4000" s="12" t="n"/>
      <c r="Q4000" s="12" t="n"/>
      <c r="R4000" s="12" t="n"/>
      <c r="S4000" s="12" t="inlineStr">
        <is>
          <t>Duct bank</t>
        </is>
      </c>
      <c r="T4000" s="16" t="n">
        <v>162</v>
      </c>
      <c r="U4000" s="16" t="n">
        <v>32</v>
      </c>
      <c r="V4000" s="16">
        <f>ROUNDUP((T4000+U4000+2*'Read Me'!$B$13)*(1+'Read Me'!$B$12),-1)</f>
        <v/>
      </c>
      <c r="W4000" s="16">
        <f>V4000*N4000*O4000</f>
        <v/>
      </c>
      <c r="X4000" s="12">
        <f>IF(LEFT(I4000,2)="MV",2*N4000*IF(L4000="1/C",O4000,1),0)</f>
        <v/>
      </c>
      <c r="Y4000" s="12">
        <f>IF(OR(LEFT(K4000,4)="LVAX",LEFT(K4000,6)="MV15AX",LEFT(K4000,4)="CTAX",LEFT(K4000,2)="W|"),2*N4000*O4000,0)</f>
        <v/>
      </c>
      <c r="Z4000" s="12" t="inlineStr"/>
      <c r="AA4000" s="12">
        <f>N4000*O4000</f>
        <v/>
      </c>
    </row>
    <row r="4001">
      <c r="A4001" s="12" t="inlineStr">
        <is>
          <t>H-I-0160</t>
        </is>
      </c>
      <c r="B4001" s="12" t="inlineStr">
        <is>
          <t>H</t>
        </is>
      </c>
      <c r="C4001" s="12" t="inlineStr">
        <is>
          <t>BESS</t>
        </is>
      </c>
      <c r="D4001" s="12" t="inlineStr">
        <is>
          <t>Instrumentation</t>
        </is>
      </c>
      <c r="E4001" s="12" t="inlineStr"/>
      <c r="F4001" s="12" t="inlineStr">
        <is>
          <t>BESS EMS / SCADA and revenue metering</t>
        </is>
      </c>
      <c r="G4001" s="12" t="inlineStr"/>
      <c r="H4001" s="12" t="inlineStr">
        <is>
          <t>CONDITIONAL: grounding transformer</t>
        </is>
      </c>
      <c r="I4001" s="12" t="inlineStr">
        <is>
          <t>Instrumentation</t>
        </is>
      </c>
      <c r="J4001" s="12" t="inlineStr">
        <is>
          <t>Instrumentation PLTC / TC-ER 300 V, #18 twisted shielded pairs, overall shield</t>
        </is>
      </c>
      <c r="K4001" s="12" t="inlineStr">
        <is>
          <t>PLTC|4 pr|18</t>
        </is>
      </c>
      <c r="L4001" s="12" t="inlineStr">
        <is>
          <t>4 pr</t>
        </is>
      </c>
      <c r="M4001" s="12" t="inlineStr">
        <is>
          <t>18</t>
        </is>
      </c>
      <c r="N4001" s="12" t="n">
        <v>1</v>
      </c>
      <c r="O4001" s="12" t="n">
        <v>1</v>
      </c>
      <c r="P4001" s="12" t="n"/>
      <c r="Q4001" s="12" t="n"/>
      <c r="R4001" s="12" t="n"/>
      <c r="S4001" s="12" t="inlineStr">
        <is>
          <t>Duct bank</t>
        </is>
      </c>
      <c r="T4001" s="16" t="n">
        <v>280</v>
      </c>
      <c r="U4001" s="16" t="n">
        <v>87</v>
      </c>
      <c r="V4001" s="16">
        <f>ROUNDUP((T4001+U4001+2*'Read Me'!$B$13)*(1+'Read Me'!$B$12),-1)</f>
        <v/>
      </c>
      <c r="W4001" s="16">
        <f>V4001*N4001*O4001</f>
        <v/>
      </c>
      <c r="X4001" s="12">
        <f>IF(LEFT(I4001,2)="MV",2*N4001*IF(L4001="1/C",O4001,1),0)</f>
        <v/>
      </c>
      <c r="Y4001" s="12">
        <f>IF(OR(LEFT(K4001,4)="LVAX",LEFT(K4001,6)="MV15AX",LEFT(K4001,4)="CTAX",LEFT(K4001,2)="W|"),2*N4001*O4001,0)</f>
        <v/>
      </c>
      <c r="Z4001" s="12" t="inlineStr"/>
      <c r="AA4001" s="12">
        <f>N4001*O4001</f>
        <v/>
      </c>
    </row>
    <row r="4002">
      <c r="A4002" s="12" t="inlineStr">
        <is>
          <t>H-P-0001</t>
        </is>
      </c>
      <c r="B4002" s="12" t="inlineStr">
        <is>
          <t>H</t>
        </is>
      </c>
      <c r="C4002" s="12" t="inlineStr">
        <is>
          <t>BESS</t>
        </is>
      </c>
      <c r="D4002" s="12" t="inlineStr">
        <is>
          <t>LV panel / distribution feeder</t>
        </is>
      </c>
      <c r="E4002" s="12" t="inlineStr"/>
      <c r="F4002" s="12" t="inlineStr">
        <is>
          <t>BESS auxiliary transformer</t>
        </is>
      </c>
      <c r="G4002" s="12" t="inlineStr"/>
      <c r="H4002" s="12" t="inlineStr">
        <is>
          <t>34.5 kV collector e-house (arc-resistant)</t>
        </is>
      </c>
      <c r="I4002" s="12" t="inlineStr">
        <is>
          <t>LV 600 V</t>
        </is>
      </c>
      <c r="J4002" s="12" t="inlineStr">
        <is>
          <t>Type TC-ER 600 V 3/C Cu XHHW-2 + ground, PVC jacket</t>
        </is>
      </c>
      <c r="K4002" s="12" t="inlineStr">
        <is>
          <t>LV|3/C+G|6</t>
        </is>
      </c>
      <c r="L4002" s="12" t="inlineStr">
        <is>
          <t>3/C+G</t>
        </is>
      </c>
      <c r="M4002" s="12" t="inlineStr">
        <is>
          <t>6</t>
        </is>
      </c>
      <c r="N4002" s="12" t="n">
        <v>1</v>
      </c>
      <c r="O4002" s="12" t="n">
        <v>1</v>
      </c>
      <c r="P4002" s="12" t="n">
        <v>480</v>
      </c>
      <c r="Q4002" s="12" t="n">
        <v>30</v>
      </c>
      <c r="R4002" s="12" t="n">
        <v>42.5</v>
      </c>
      <c r="S4002" s="12" t="inlineStr">
        <is>
          <t>Duct bank</t>
        </is>
      </c>
      <c r="T4002" s="16" t="n">
        <v>30</v>
      </c>
      <c r="U4002" s="16" t="n">
        <v>37</v>
      </c>
      <c r="V4002" s="16">
        <f>ROUNDUP((T4002+U4002+2*'Read Me'!$B$13)*(1+'Read Me'!$B$12),-1)</f>
        <v/>
      </c>
      <c r="W4002" s="16">
        <f>V4002*N4002*O4002</f>
        <v/>
      </c>
      <c r="X4002" s="12">
        <f>IF(LEFT(I4002,2)="MV",2*N4002*IF(L4002="1/C",O4002,1),0)</f>
        <v/>
      </c>
      <c r="Y4002" s="12">
        <f>IF(OR(LEFT(K4002,4)="LVAX",LEFT(K4002,6)="MV15AX",LEFT(K4002,4)="CTAX",LEFT(K4002,2)="W|"),2*N4002*O4002,0)</f>
        <v/>
      </c>
      <c r="Z4002" s="12" t="inlineStr">
        <is>
          <t>VD 0.6 %</t>
        </is>
      </c>
      <c r="AA4002" s="12">
        <f>N4002*O4002</f>
        <v/>
      </c>
    </row>
    <row r="4003">
      <c r="A4003" s="12" t="inlineStr">
        <is>
          <t>H-P-0002</t>
        </is>
      </c>
      <c r="B4003" s="12" t="inlineStr">
        <is>
          <t>H</t>
        </is>
      </c>
      <c r="C4003" s="12" t="inlineStr">
        <is>
          <t>BESS</t>
        </is>
      </c>
      <c r="D4003" s="12" t="inlineStr">
        <is>
          <t>LV panel / distribution feeder</t>
        </is>
      </c>
      <c r="E4003" s="12" t="inlineStr"/>
      <c r="F4003" s="12" t="inlineStr">
        <is>
          <t>BESS auxiliary transformer</t>
        </is>
      </c>
      <c r="G4003" s="12" t="inlineStr"/>
      <c r="H4003" s="12" t="inlineStr">
        <is>
          <t>BESS EMS / SCADA and revenue metering</t>
        </is>
      </c>
      <c r="I4003" s="12" t="inlineStr">
        <is>
          <t>LV 600 V</t>
        </is>
      </c>
      <c r="J4003" s="12" t="inlineStr">
        <is>
          <t>ARMOR-X MC-HL 600 V 3/C Cu XHHW-2 + ground, CWA, black PVC (Class I Div 2)</t>
        </is>
      </c>
      <c r="K4003" s="12" t="inlineStr">
        <is>
          <t>LVAX|3/C+G|6</t>
        </is>
      </c>
      <c r="L4003" s="12" t="inlineStr">
        <is>
          <t>3/C+G</t>
        </is>
      </c>
      <c r="M4003" s="12" t="inlineStr">
        <is>
          <t>6</t>
        </is>
      </c>
      <c r="N4003" s="12" t="n">
        <v>1</v>
      </c>
      <c r="O4003" s="12" t="n">
        <v>1</v>
      </c>
      <c r="P4003" s="12" t="n">
        <v>480</v>
      </c>
      <c r="Q4003" s="12" t="n">
        <v>30</v>
      </c>
      <c r="R4003" s="12" t="n">
        <v>42.5</v>
      </c>
      <c r="S4003" s="12" t="inlineStr">
        <is>
          <t>Tray</t>
        </is>
      </c>
      <c r="T4003" s="16" t="n">
        <v>0</v>
      </c>
      <c r="U4003" s="16" t="n">
        <v>70</v>
      </c>
      <c r="V4003" s="16">
        <f>ROUNDUP((T4003+U4003+2*'Read Me'!$B$13)*(1+'Read Me'!$B$12),-1)</f>
        <v/>
      </c>
      <c r="W4003" s="16">
        <f>V4003*N4003*O4003</f>
        <v/>
      </c>
      <c r="X4003" s="12">
        <f>IF(LEFT(I4003,2)="MV",2*N4003*IF(L4003="1/C",O4003,1),0)</f>
        <v/>
      </c>
      <c r="Y4003" s="12">
        <f>IF(OR(LEFT(K4003,4)="LVAX",LEFT(K4003,6)="MV15AX",LEFT(K4003,4)="CTAX",LEFT(K4003,2)="W|"),2*N4003*O4003,0)</f>
        <v/>
      </c>
      <c r="Z4003" s="12" t="inlineStr">
        <is>
          <t>VD 0.6 %</t>
        </is>
      </c>
      <c r="AA4003" s="12">
        <f>N4003*O4003</f>
        <v/>
      </c>
    </row>
    <row r="4004">
      <c r="A4004" s="12" t="inlineStr">
        <is>
          <t>H-P-0003</t>
        </is>
      </c>
      <c r="B4004" s="12" t="inlineStr">
        <is>
          <t>H</t>
        </is>
      </c>
      <c r="C4004" s="12" t="inlineStr">
        <is>
          <t>BESS</t>
        </is>
      </c>
      <c r="D4004" s="12" t="inlineStr">
        <is>
          <t>Motor 1 of 2, 7 kW</t>
        </is>
      </c>
      <c r="E4004" s="12" t="inlineStr"/>
      <c r="F4004" s="12" t="inlineStr">
        <is>
          <t>BESS auxiliary transformer</t>
        </is>
      </c>
      <c r="G4004" s="12" t="inlineStr"/>
      <c r="H4004" s="12" t="inlineStr">
        <is>
          <t>BESS PCS / MV skid</t>
        </is>
      </c>
      <c r="I4004" s="12" t="inlineStr">
        <is>
          <t>LV 600 V</t>
        </is>
      </c>
      <c r="J4004" s="12" t="inlineStr">
        <is>
          <t>Type TC-ER 600 V 3/C Cu XHHW-2 + ground, PVC jacket</t>
        </is>
      </c>
      <c r="K4004" s="12" t="inlineStr">
        <is>
          <t>LV|3/C+G|10</t>
        </is>
      </c>
      <c r="L4004" s="12" t="inlineStr">
        <is>
          <t>3/C+G</t>
        </is>
      </c>
      <c r="M4004" s="12" t="inlineStr">
        <is>
          <t>10</t>
        </is>
      </c>
      <c r="N4004" s="12" t="n">
        <v>1</v>
      </c>
      <c r="O4004" s="12" t="n">
        <v>1</v>
      </c>
      <c r="P4004" s="12" t="n">
        <v>480</v>
      </c>
      <c r="Q4004" s="12" t="n">
        <v>7</v>
      </c>
      <c r="R4004" s="12" t="n">
        <v>9.9</v>
      </c>
      <c r="S4004" s="12" t="inlineStr">
        <is>
          <t>Duct bank</t>
        </is>
      </c>
      <c r="T4004" s="16" t="n">
        <v>318</v>
      </c>
      <c r="U4004" s="16" t="n">
        <v>103</v>
      </c>
      <c r="V4004" s="16">
        <f>ROUNDUP((T4004+U4004+2*'Read Me'!$B$13)*(1+'Read Me'!$B$12),-1)</f>
        <v/>
      </c>
      <c r="W4004" s="16">
        <f>V4004*N4004*O4004</f>
        <v/>
      </c>
      <c r="X4004" s="12">
        <f>IF(LEFT(I4004,2)="MV",2*N4004*IF(L4004="1/C",O4004,1),0)</f>
        <v/>
      </c>
      <c r="Y4004" s="12">
        <f>IF(OR(LEFT(K4004,4)="LVAX",LEFT(K4004,6)="MV15AX",LEFT(K4004,4)="CTAX",LEFT(K4004,2)="W|"),2*N4004*O4004,0)</f>
        <v/>
      </c>
      <c r="Z4004" s="12" t="inlineStr">
        <is>
          <t>VD 2.0 %</t>
        </is>
      </c>
      <c r="AA4004" s="12">
        <f>N4004*O4004</f>
        <v/>
      </c>
    </row>
    <row r="4005">
      <c r="A4005" s="12" t="inlineStr">
        <is>
          <t>H-P-0004</t>
        </is>
      </c>
      <c r="B4005" s="12" t="inlineStr">
        <is>
          <t>H</t>
        </is>
      </c>
      <c r="C4005" s="12" t="inlineStr">
        <is>
          <t>BESS</t>
        </is>
      </c>
      <c r="D4005" s="12" t="inlineStr">
        <is>
          <t>Motor 2 of 2, 7 kW</t>
        </is>
      </c>
      <c r="E4005" s="12" t="inlineStr"/>
      <c r="F4005" s="12" t="inlineStr">
        <is>
          <t>BESS auxiliary transformer</t>
        </is>
      </c>
      <c r="G4005" s="12" t="inlineStr"/>
      <c r="H4005" s="12" t="inlineStr">
        <is>
          <t>BESS PCS / MV skid</t>
        </is>
      </c>
      <c r="I4005" s="12" t="inlineStr">
        <is>
          <t>LV 600 V</t>
        </is>
      </c>
      <c r="J4005" s="12" t="inlineStr">
        <is>
          <t>Type TC-ER 600 V 3/C Cu XHHW-2 + ground, PVC jacket</t>
        </is>
      </c>
      <c r="K4005" s="12" t="inlineStr">
        <is>
          <t>LV|3/C+G|10</t>
        </is>
      </c>
      <c r="L4005" s="12" t="inlineStr">
        <is>
          <t>3/C+G</t>
        </is>
      </c>
      <c r="M4005" s="12" t="inlineStr">
        <is>
          <t>10</t>
        </is>
      </c>
      <c r="N4005" s="12" t="n">
        <v>1</v>
      </c>
      <c r="O4005" s="12" t="n">
        <v>1</v>
      </c>
      <c r="P4005" s="12" t="n">
        <v>480</v>
      </c>
      <c r="Q4005" s="12" t="n">
        <v>7</v>
      </c>
      <c r="R4005" s="12" t="n">
        <v>9.9</v>
      </c>
      <c r="S4005" s="12" t="inlineStr">
        <is>
          <t>Duct bank</t>
        </is>
      </c>
      <c r="T4005" s="16" t="n">
        <v>318</v>
      </c>
      <c r="U4005" s="16" t="n">
        <v>103</v>
      </c>
      <c r="V4005" s="16">
        <f>ROUNDUP((T4005+U4005+2*'Read Me'!$B$13)*(1+'Read Me'!$B$12),-1)</f>
        <v/>
      </c>
      <c r="W4005" s="16">
        <f>V4005*N4005*O4005</f>
        <v/>
      </c>
      <c r="X4005" s="12">
        <f>IF(LEFT(I4005,2)="MV",2*N4005*IF(L4005="1/C",O4005,1),0)</f>
        <v/>
      </c>
      <c r="Y4005" s="12">
        <f>IF(OR(LEFT(K4005,4)="LVAX",LEFT(K4005,6)="MV15AX",LEFT(K4005,4)="CTAX",LEFT(K4005,2)="W|"),2*N4005*O4005,0)</f>
        <v/>
      </c>
      <c r="Z4005" s="12" t="inlineStr">
        <is>
          <t>VD 2.0 %</t>
        </is>
      </c>
      <c r="AA4005" s="12">
        <f>N4005*O4005</f>
        <v/>
      </c>
    </row>
    <row r="4006">
      <c r="A4006" s="12" t="inlineStr">
        <is>
          <t>H-P-0005</t>
        </is>
      </c>
      <c r="B4006" s="12" t="inlineStr">
        <is>
          <t>H</t>
        </is>
      </c>
      <c r="C4006" s="12" t="inlineStr">
        <is>
          <t>BESS</t>
        </is>
      </c>
      <c r="D4006" s="12" t="inlineStr">
        <is>
          <t>Motor 1 of 2, 7 kW</t>
        </is>
      </c>
      <c r="E4006" s="12" t="inlineStr"/>
      <c r="F4006" s="12" t="inlineStr">
        <is>
          <t>BESS auxiliary transformer</t>
        </is>
      </c>
      <c r="G4006" s="12" t="inlineStr"/>
      <c r="H4006" s="12" t="inlineStr">
        <is>
          <t>BESS PCS / MV skid</t>
        </is>
      </c>
      <c r="I4006" s="12" t="inlineStr">
        <is>
          <t>LV 600 V</t>
        </is>
      </c>
      <c r="J4006" s="12" t="inlineStr">
        <is>
          <t>Type TC-ER 600 V 3/C Cu XHHW-2 + ground, PVC jacket</t>
        </is>
      </c>
      <c r="K4006" s="12" t="inlineStr">
        <is>
          <t>LV|3/C+G|10</t>
        </is>
      </c>
      <c r="L4006" s="12" t="inlineStr">
        <is>
          <t>3/C+G</t>
        </is>
      </c>
      <c r="M4006" s="12" t="inlineStr">
        <is>
          <t>10</t>
        </is>
      </c>
      <c r="N4006" s="12" t="n">
        <v>1</v>
      </c>
      <c r="O4006" s="12" t="n">
        <v>1</v>
      </c>
      <c r="P4006" s="12" t="n">
        <v>480</v>
      </c>
      <c r="Q4006" s="12" t="n">
        <v>7</v>
      </c>
      <c r="R4006" s="12" t="n">
        <v>9.9</v>
      </c>
      <c r="S4006" s="12" t="inlineStr">
        <is>
          <t>Duct bank</t>
        </is>
      </c>
      <c r="T4006" s="16" t="n">
        <v>178</v>
      </c>
      <c r="U4006" s="16" t="n">
        <v>123</v>
      </c>
      <c r="V4006" s="16">
        <f>ROUNDUP((T4006+U4006+2*'Read Me'!$B$13)*(1+'Read Me'!$B$12),-1)</f>
        <v/>
      </c>
      <c r="W4006" s="16">
        <f>V4006*N4006*O4006</f>
        <v/>
      </c>
      <c r="X4006" s="12">
        <f>IF(LEFT(I4006,2)="MV",2*N4006*IF(L4006="1/C",O4006,1),0)</f>
        <v/>
      </c>
      <c r="Y4006" s="12">
        <f>IF(OR(LEFT(K4006,4)="LVAX",LEFT(K4006,6)="MV15AX",LEFT(K4006,4)="CTAX",LEFT(K4006,2)="W|"),2*N4006*O4006,0)</f>
        <v/>
      </c>
      <c r="Z4006" s="12" t="inlineStr">
        <is>
          <t>VD 1.4 %</t>
        </is>
      </c>
      <c r="AA4006" s="12">
        <f>N4006*O4006</f>
        <v/>
      </c>
    </row>
    <row r="4007">
      <c r="A4007" s="12" t="inlineStr">
        <is>
          <t>H-P-0006</t>
        </is>
      </c>
      <c r="B4007" s="12" t="inlineStr">
        <is>
          <t>H</t>
        </is>
      </c>
      <c r="C4007" s="12" t="inlineStr">
        <is>
          <t>BESS</t>
        </is>
      </c>
      <c r="D4007" s="12" t="inlineStr">
        <is>
          <t>Motor 2 of 2, 7 kW</t>
        </is>
      </c>
      <c r="E4007" s="12" t="inlineStr"/>
      <c r="F4007" s="12" t="inlineStr">
        <is>
          <t>BESS auxiliary transformer</t>
        </is>
      </c>
      <c r="G4007" s="12" t="inlineStr"/>
      <c r="H4007" s="12" t="inlineStr">
        <is>
          <t>BESS PCS / MV skid</t>
        </is>
      </c>
      <c r="I4007" s="12" t="inlineStr">
        <is>
          <t>LV 600 V</t>
        </is>
      </c>
      <c r="J4007" s="12" t="inlineStr">
        <is>
          <t>Type TC-ER 600 V 3/C Cu XHHW-2 + ground, PVC jacket</t>
        </is>
      </c>
      <c r="K4007" s="12" t="inlineStr">
        <is>
          <t>LV|3/C+G|10</t>
        </is>
      </c>
      <c r="L4007" s="12" t="inlineStr">
        <is>
          <t>3/C+G</t>
        </is>
      </c>
      <c r="M4007" s="12" t="inlineStr">
        <is>
          <t>10</t>
        </is>
      </c>
      <c r="N4007" s="12" t="n">
        <v>1</v>
      </c>
      <c r="O4007" s="12" t="n">
        <v>1</v>
      </c>
      <c r="P4007" s="12" t="n">
        <v>480</v>
      </c>
      <c r="Q4007" s="12" t="n">
        <v>7</v>
      </c>
      <c r="R4007" s="12" t="n">
        <v>9.9</v>
      </c>
      <c r="S4007" s="12" t="inlineStr">
        <is>
          <t>Duct bank</t>
        </is>
      </c>
      <c r="T4007" s="16" t="n">
        <v>178</v>
      </c>
      <c r="U4007" s="16" t="n">
        <v>123</v>
      </c>
      <c r="V4007" s="16">
        <f>ROUNDUP((T4007+U4007+2*'Read Me'!$B$13)*(1+'Read Me'!$B$12),-1)</f>
        <v/>
      </c>
      <c r="W4007" s="16">
        <f>V4007*N4007*O4007</f>
        <v/>
      </c>
      <c r="X4007" s="12">
        <f>IF(LEFT(I4007,2)="MV",2*N4007*IF(L4007="1/C",O4007,1),0)</f>
        <v/>
      </c>
      <c r="Y4007" s="12">
        <f>IF(OR(LEFT(K4007,4)="LVAX",LEFT(K4007,6)="MV15AX",LEFT(K4007,4)="CTAX",LEFT(K4007,2)="W|"),2*N4007*O4007,0)</f>
        <v/>
      </c>
      <c r="Z4007" s="12" t="inlineStr">
        <is>
          <t>VD 1.4 %</t>
        </is>
      </c>
      <c r="AA4007" s="12">
        <f>N4007*O4007</f>
        <v/>
      </c>
    </row>
    <row r="4008">
      <c r="A4008" s="12" t="inlineStr">
        <is>
          <t>H-P-0007</t>
        </is>
      </c>
      <c r="B4008" s="12" t="inlineStr">
        <is>
          <t>H</t>
        </is>
      </c>
      <c r="C4008" s="12" t="inlineStr">
        <is>
          <t>BESS</t>
        </is>
      </c>
      <c r="D4008" s="12" t="inlineStr">
        <is>
          <t>Motor 1 of 2, 7 kW</t>
        </is>
      </c>
      <c r="E4008" s="12" t="inlineStr"/>
      <c r="F4008" s="12" t="inlineStr">
        <is>
          <t>BESS auxiliary transformer</t>
        </is>
      </c>
      <c r="G4008" s="12" t="inlineStr"/>
      <c r="H4008" s="12" t="inlineStr">
        <is>
          <t>BESS PCS / MV skid</t>
        </is>
      </c>
      <c r="I4008" s="12" t="inlineStr">
        <is>
          <t>LV 600 V</t>
        </is>
      </c>
      <c r="J4008" s="12" t="inlineStr">
        <is>
          <t>Type TC-ER 600 V 3/C Cu XHHW-2 + ground, PVC jacket</t>
        </is>
      </c>
      <c r="K4008" s="12" t="inlineStr">
        <is>
          <t>LV|3/C+G|10</t>
        </is>
      </c>
      <c r="L4008" s="12" t="inlineStr">
        <is>
          <t>3/C+G</t>
        </is>
      </c>
      <c r="M4008" s="12" t="inlineStr">
        <is>
          <t>10</t>
        </is>
      </c>
      <c r="N4008" s="12" t="n">
        <v>1</v>
      </c>
      <c r="O4008" s="12" t="n">
        <v>1</v>
      </c>
      <c r="P4008" s="12" t="n">
        <v>480</v>
      </c>
      <c r="Q4008" s="12" t="n">
        <v>7</v>
      </c>
      <c r="R4008" s="12" t="n">
        <v>9.9</v>
      </c>
      <c r="S4008" s="12" t="inlineStr">
        <is>
          <t>Duct bank</t>
        </is>
      </c>
      <c r="T4008" s="16" t="n">
        <v>74</v>
      </c>
      <c r="U4008" s="16" t="n">
        <v>107</v>
      </c>
      <c r="V4008" s="16">
        <f>ROUNDUP((T4008+U4008+2*'Read Me'!$B$13)*(1+'Read Me'!$B$12),-1)</f>
        <v/>
      </c>
      <c r="W4008" s="16">
        <f>V4008*N4008*O4008</f>
        <v/>
      </c>
      <c r="X4008" s="12">
        <f>IF(LEFT(I4008,2)="MV",2*N4008*IF(L4008="1/C",O4008,1),0)</f>
        <v/>
      </c>
      <c r="Y4008" s="12">
        <f>IF(OR(LEFT(K4008,4)="LVAX",LEFT(K4008,6)="MV15AX",LEFT(K4008,4)="CTAX",LEFT(K4008,2)="W|"),2*N4008*O4008,0)</f>
        <v/>
      </c>
      <c r="Z4008" s="12" t="inlineStr">
        <is>
          <t>VD 0.9 %</t>
        </is>
      </c>
      <c r="AA4008" s="12">
        <f>N4008*O4008</f>
        <v/>
      </c>
    </row>
    <row r="4009">
      <c r="A4009" s="12" t="inlineStr">
        <is>
          <t>H-P-0008</t>
        </is>
      </c>
      <c r="B4009" s="12" t="inlineStr">
        <is>
          <t>H</t>
        </is>
      </c>
      <c r="C4009" s="12" t="inlineStr">
        <is>
          <t>BESS</t>
        </is>
      </c>
      <c r="D4009" s="12" t="inlineStr">
        <is>
          <t>Motor 2 of 2, 7 kW</t>
        </is>
      </c>
      <c r="E4009" s="12" t="inlineStr"/>
      <c r="F4009" s="12" t="inlineStr">
        <is>
          <t>BESS auxiliary transformer</t>
        </is>
      </c>
      <c r="G4009" s="12" t="inlineStr"/>
      <c r="H4009" s="12" t="inlineStr">
        <is>
          <t>BESS PCS / MV skid</t>
        </is>
      </c>
      <c r="I4009" s="12" t="inlineStr">
        <is>
          <t>LV 600 V</t>
        </is>
      </c>
      <c r="J4009" s="12" t="inlineStr">
        <is>
          <t>Type TC-ER 600 V 3/C Cu XHHW-2 + ground, PVC jacket</t>
        </is>
      </c>
      <c r="K4009" s="12" t="inlineStr">
        <is>
          <t>LV|3/C+G|10</t>
        </is>
      </c>
      <c r="L4009" s="12" t="inlineStr">
        <is>
          <t>3/C+G</t>
        </is>
      </c>
      <c r="M4009" s="12" t="inlineStr">
        <is>
          <t>10</t>
        </is>
      </c>
      <c r="N4009" s="12" t="n">
        <v>1</v>
      </c>
      <c r="O4009" s="12" t="n">
        <v>1</v>
      </c>
      <c r="P4009" s="12" t="n">
        <v>480</v>
      </c>
      <c r="Q4009" s="12" t="n">
        <v>7</v>
      </c>
      <c r="R4009" s="12" t="n">
        <v>9.9</v>
      </c>
      <c r="S4009" s="12" t="inlineStr">
        <is>
          <t>Duct bank</t>
        </is>
      </c>
      <c r="T4009" s="16" t="n">
        <v>74</v>
      </c>
      <c r="U4009" s="16" t="n">
        <v>107</v>
      </c>
      <c r="V4009" s="16">
        <f>ROUNDUP((T4009+U4009+2*'Read Me'!$B$13)*(1+'Read Me'!$B$12),-1)</f>
        <v/>
      </c>
      <c r="W4009" s="16">
        <f>V4009*N4009*O4009</f>
        <v/>
      </c>
      <c r="X4009" s="12">
        <f>IF(LEFT(I4009,2)="MV",2*N4009*IF(L4009="1/C",O4009,1),0)</f>
        <v/>
      </c>
      <c r="Y4009" s="12">
        <f>IF(OR(LEFT(K4009,4)="LVAX",LEFT(K4009,6)="MV15AX",LEFT(K4009,4)="CTAX",LEFT(K4009,2)="W|"),2*N4009*O4009,0)</f>
        <v/>
      </c>
      <c r="Z4009" s="12" t="inlineStr">
        <is>
          <t>VD 0.9 %</t>
        </is>
      </c>
      <c r="AA4009" s="12">
        <f>N4009*O4009</f>
        <v/>
      </c>
    </row>
    <row r="4010">
      <c r="A4010" s="12" t="inlineStr">
        <is>
          <t>H-P-0009</t>
        </is>
      </c>
      <c r="B4010" s="12" t="inlineStr">
        <is>
          <t>H</t>
        </is>
      </c>
      <c r="C4010" s="12" t="inlineStr">
        <is>
          <t>BESS</t>
        </is>
      </c>
      <c r="D4010" s="12" t="inlineStr">
        <is>
          <t>Motor 1 of 2, 7 kW</t>
        </is>
      </c>
      <c r="E4010" s="12" t="inlineStr"/>
      <c r="F4010" s="12" t="inlineStr">
        <is>
          <t>BESS auxiliary transformer</t>
        </is>
      </c>
      <c r="G4010" s="12" t="inlineStr"/>
      <c r="H4010" s="12" t="inlineStr">
        <is>
          <t>BESS PCS / MV skid</t>
        </is>
      </c>
      <c r="I4010" s="12" t="inlineStr">
        <is>
          <t>LV 600 V</t>
        </is>
      </c>
      <c r="J4010" s="12" t="inlineStr">
        <is>
          <t>Type TC-ER 600 V 3/C Cu XHHW-2 + ground, PVC jacket</t>
        </is>
      </c>
      <c r="K4010" s="12" t="inlineStr">
        <is>
          <t>LV|3/C+G|10</t>
        </is>
      </c>
      <c r="L4010" s="12" t="inlineStr">
        <is>
          <t>3/C+G</t>
        </is>
      </c>
      <c r="M4010" s="12" t="inlineStr">
        <is>
          <t>10</t>
        </is>
      </c>
      <c r="N4010" s="12" t="n">
        <v>1</v>
      </c>
      <c r="O4010" s="12" t="n">
        <v>1</v>
      </c>
      <c r="P4010" s="12" t="n">
        <v>480</v>
      </c>
      <c r="Q4010" s="12" t="n">
        <v>7</v>
      </c>
      <c r="R4010" s="12" t="n">
        <v>9.9</v>
      </c>
      <c r="S4010" s="12" t="inlineStr">
        <is>
          <t>Duct bank</t>
        </is>
      </c>
      <c r="T4010" s="16" t="n">
        <v>318</v>
      </c>
      <c r="U4010" s="16" t="n">
        <v>161</v>
      </c>
      <c r="V4010" s="16">
        <f>ROUNDUP((T4010+U4010+2*'Read Me'!$B$13)*(1+'Read Me'!$B$12),-1)</f>
        <v/>
      </c>
      <c r="W4010" s="16">
        <f>V4010*N4010*O4010</f>
        <v/>
      </c>
      <c r="X4010" s="12">
        <f>IF(LEFT(I4010,2)="MV",2*N4010*IF(L4010="1/C",O4010,1),0)</f>
        <v/>
      </c>
      <c r="Y4010" s="12">
        <f>IF(OR(LEFT(K4010,4)="LVAX",LEFT(K4010,6)="MV15AX",LEFT(K4010,4)="CTAX",LEFT(K4010,2)="W|"),2*N4010*O4010,0)</f>
        <v/>
      </c>
      <c r="Z4010" s="12" t="inlineStr">
        <is>
          <t>VD 2.3 %</t>
        </is>
      </c>
      <c r="AA4010" s="12">
        <f>N4010*O4010</f>
        <v/>
      </c>
    </row>
    <row r="4011">
      <c r="A4011" s="12" t="inlineStr">
        <is>
          <t>H-P-0010</t>
        </is>
      </c>
      <c r="B4011" s="12" t="inlineStr">
        <is>
          <t>H</t>
        </is>
      </c>
      <c r="C4011" s="12" t="inlineStr">
        <is>
          <t>BESS</t>
        </is>
      </c>
      <c r="D4011" s="12" t="inlineStr">
        <is>
          <t>Motor 2 of 2, 7 kW</t>
        </is>
      </c>
      <c r="E4011" s="12" t="inlineStr"/>
      <c r="F4011" s="12" t="inlineStr">
        <is>
          <t>BESS auxiliary transformer</t>
        </is>
      </c>
      <c r="G4011" s="12" t="inlineStr"/>
      <c r="H4011" s="12" t="inlineStr">
        <is>
          <t>BESS PCS / MV skid</t>
        </is>
      </c>
      <c r="I4011" s="12" t="inlineStr">
        <is>
          <t>LV 600 V</t>
        </is>
      </c>
      <c r="J4011" s="12" t="inlineStr">
        <is>
          <t>Type TC-ER 600 V 3/C Cu XHHW-2 + ground, PVC jacket</t>
        </is>
      </c>
      <c r="K4011" s="12" t="inlineStr">
        <is>
          <t>LV|3/C+G|10</t>
        </is>
      </c>
      <c r="L4011" s="12" t="inlineStr">
        <is>
          <t>3/C+G</t>
        </is>
      </c>
      <c r="M4011" s="12" t="inlineStr">
        <is>
          <t>10</t>
        </is>
      </c>
      <c r="N4011" s="12" t="n">
        <v>1</v>
      </c>
      <c r="O4011" s="12" t="n">
        <v>1</v>
      </c>
      <c r="P4011" s="12" t="n">
        <v>480</v>
      </c>
      <c r="Q4011" s="12" t="n">
        <v>7</v>
      </c>
      <c r="R4011" s="12" t="n">
        <v>9.9</v>
      </c>
      <c r="S4011" s="12" t="inlineStr">
        <is>
          <t>Duct bank</t>
        </is>
      </c>
      <c r="T4011" s="16" t="n">
        <v>318</v>
      </c>
      <c r="U4011" s="16" t="n">
        <v>161</v>
      </c>
      <c r="V4011" s="16">
        <f>ROUNDUP((T4011+U4011+2*'Read Me'!$B$13)*(1+'Read Me'!$B$12),-1)</f>
        <v/>
      </c>
      <c r="W4011" s="16">
        <f>V4011*N4011*O4011</f>
        <v/>
      </c>
      <c r="X4011" s="12">
        <f>IF(LEFT(I4011,2)="MV",2*N4011*IF(L4011="1/C",O4011,1),0)</f>
        <v/>
      </c>
      <c r="Y4011" s="12">
        <f>IF(OR(LEFT(K4011,4)="LVAX",LEFT(K4011,6)="MV15AX",LEFT(K4011,4)="CTAX",LEFT(K4011,2)="W|"),2*N4011*O4011,0)</f>
        <v/>
      </c>
      <c r="Z4011" s="12" t="inlineStr">
        <is>
          <t>VD 2.3 %</t>
        </is>
      </c>
      <c r="AA4011" s="12">
        <f>N4011*O4011</f>
        <v/>
      </c>
    </row>
    <row r="4012">
      <c r="A4012" s="12" t="inlineStr">
        <is>
          <t>H-P-0011</t>
        </is>
      </c>
      <c r="B4012" s="12" t="inlineStr">
        <is>
          <t>H</t>
        </is>
      </c>
      <c r="C4012" s="12" t="inlineStr">
        <is>
          <t>BESS</t>
        </is>
      </c>
      <c r="D4012" s="12" t="inlineStr">
        <is>
          <t>Motor 1 of 2, 7 kW</t>
        </is>
      </c>
      <c r="E4012" s="12" t="inlineStr"/>
      <c r="F4012" s="12" t="inlineStr">
        <is>
          <t>BESS auxiliary transformer</t>
        </is>
      </c>
      <c r="G4012" s="12" t="inlineStr"/>
      <c r="H4012" s="12" t="inlineStr">
        <is>
          <t>BESS PCS / MV skid</t>
        </is>
      </c>
      <c r="I4012" s="12" t="inlineStr">
        <is>
          <t>LV 600 V</t>
        </is>
      </c>
      <c r="J4012" s="12" t="inlineStr">
        <is>
          <t>Type TC-ER 600 V 3/C Cu XHHW-2 + ground, PVC jacket</t>
        </is>
      </c>
      <c r="K4012" s="12" t="inlineStr">
        <is>
          <t>LV|3/C+G|10</t>
        </is>
      </c>
      <c r="L4012" s="12" t="inlineStr">
        <is>
          <t>3/C+G</t>
        </is>
      </c>
      <c r="M4012" s="12" t="inlineStr">
        <is>
          <t>10</t>
        </is>
      </c>
      <c r="N4012" s="12" t="n">
        <v>1</v>
      </c>
      <c r="O4012" s="12" t="n">
        <v>1</v>
      </c>
      <c r="P4012" s="12" t="n">
        <v>480</v>
      </c>
      <c r="Q4012" s="12" t="n">
        <v>7</v>
      </c>
      <c r="R4012" s="12" t="n">
        <v>9.9</v>
      </c>
      <c r="S4012" s="12" t="inlineStr">
        <is>
          <t>Duct bank</t>
        </is>
      </c>
      <c r="T4012" s="16" t="n">
        <v>178</v>
      </c>
      <c r="U4012" s="16" t="n">
        <v>181</v>
      </c>
      <c r="V4012" s="16">
        <f>ROUNDUP((T4012+U4012+2*'Read Me'!$B$13)*(1+'Read Me'!$B$12),-1)</f>
        <v/>
      </c>
      <c r="W4012" s="16">
        <f>V4012*N4012*O4012</f>
        <v/>
      </c>
      <c r="X4012" s="12">
        <f>IF(LEFT(I4012,2)="MV",2*N4012*IF(L4012="1/C",O4012,1),0)</f>
        <v/>
      </c>
      <c r="Y4012" s="12">
        <f>IF(OR(LEFT(K4012,4)="LVAX",LEFT(K4012,6)="MV15AX",LEFT(K4012,4)="CTAX",LEFT(K4012,2)="W|"),2*N4012*O4012,0)</f>
        <v/>
      </c>
      <c r="Z4012" s="12" t="inlineStr">
        <is>
          <t>VD 1.7 %</t>
        </is>
      </c>
      <c r="AA4012" s="12">
        <f>N4012*O4012</f>
        <v/>
      </c>
    </row>
    <row r="4013">
      <c r="A4013" s="12" t="inlineStr">
        <is>
          <t>H-P-0012</t>
        </is>
      </c>
      <c r="B4013" s="12" t="inlineStr">
        <is>
          <t>H</t>
        </is>
      </c>
      <c r="C4013" s="12" t="inlineStr">
        <is>
          <t>BESS</t>
        </is>
      </c>
      <c r="D4013" s="12" t="inlineStr">
        <is>
          <t>Motor 2 of 2, 7 kW</t>
        </is>
      </c>
      <c r="E4013" s="12" t="inlineStr"/>
      <c r="F4013" s="12" t="inlineStr">
        <is>
          <t>BESS auxiliary transformer</t>
        </is>
      </c>
      <c r="G4013" s="12" t="inlineStr"/>
      <c r="H4013" s="12" t="inlineStr">
        <is>
          <t>BESS PCS / MV skid</t>
        </is>
      </c>
      <c r="I4013" s="12" t="inlineStr">
        <is>
          <t>LV 600 V</t>
        </is>
      </c>
      <c r="J4013" s="12" t="inlineStr">
        <is>
          <t>Type TC-ER 600 V 3/C Cu XHHW-2 + ground, PVC jacket</t>
        </is>
      </c>
      <c r="K4013" s="12" t="inlineStr">
        <is>
          <t>LV|3/C+G|10</t>
        </is>
      </c>
      <c r="L4013" s="12" t="inlineStr">
        <is>
          <t>3/C+G</t>
        </is>
      </c>
      <c r="M4013" s="12" t="inlineStr">
        <is>
          <t>10</t>
        </is>
      </c>
      <c r="N4013" s="12" t="n">
        <v>1</v>
      </c>
      <c r="O4013" s="12" t="n">
        <v>1</v>
      </c>
      <c r="P4013" s="12" t="n">
        <v>480</v>
      </c>
      <c r="Q4013" s="12" t="n">
        <v>7</v>
      </c>
      <c r="R4013" s="12" t="n">
        <v>9.9</v>
      </c>
      <c r="S4013" s="12" t="inlineStr">
        <is>
          <t>Duct bank</t>
        </is>
      </c>
      <c r="T4013" s="16" t="n">
        <v>178</v>
      </c>
      <c r="U4013" s="16" t="n">
        <v>181</v>
      </c>
      <c r="V4013" s="16">
        <f>ROUNDUP((T4013+U4013+2*'Read Me'!$B$13)*(1+'Read Me'!$B$12),-1)</f>
        <v/>
      </c>
      <c r="W4013" s="16">
        <f>V4013*N4013*O4013</f>
        <v/>
      </c>
      <c r="X4013" s="12">
        <f>IF(LEFT(I4013,2)="MV",2*N4013*IF(L4013="1/C",O4013,1),0)</f>
        <v/>
      </c>
      <c r="Y4013" s="12">
        <f>IF(OR(LEFT(K4013,4)="LVAX",LEFT(K4013,6)="MV15AX",LEFT(K4013,4)="CTAX",LEFT(K4013,2)="W|"),2*N4013*O4013,0)</f>
        <v/>
      </c>
      <c r="Z4013" s="12" t="inlineStr">
        <is>
          <t>VD 1.7 %</t>
        </is>
      </c>
      <c r="AA4013" s="12">
        <f>N4013*O4013</f>
        <v/>
      </c>
    </row>
    <row r="4014">
      <c r="A4014" s="12" t="inlineStr">
        <is>
          <t>H-P-0013</t>
        </is>
      </c>
      <c r="B4014" s="12" t="inlineStr">
        <is>
          <t>H</t>
        </is>
      </c>
      <c r="C4014" s="12" t="inlineStr">
        <is>
          <t>BESS</t>
        </is>
      </c>
      <c r="D4014" s="12" t="inlineStr">
        <is>
          <t>Motor 1 of 2, 7 kW</t>
        </is>
      </c>
      <c r="E4014" s="12" t="inlineStr"/>
      <c r="F4014" s="12" t="inlineStr">
        <is>
          <t>BESS auxiliary transformer</t>
        </is>
      </c>
      <c r="G4014" s="12" t="inlineStr"/>
      <c r="H4014" s="12" t="inlineStr">
        <is>
          <t>BESS PCS / MV skid</t>
        </is>
      </c>
      <c r="I4014" s="12" t="inlineStr">
        <is>
          <t>LV 600 V</t>
        </is>
      </c>
      <c r="J4014" s="12" t="inlineStr">
        <is>
          <t>Type TC-ER 600 V 3/C Cu XHHW-2 + ground, PVC jacket</t>
        </is>
      </c>
      <c r="K4014" s="12" t="inlineStr">
        <is>
          <t>LV|3/C+G|10</t>
        </is>
      </c>
      <c r="L4014" s="12" t="inlineStr">
        <is>
          <t>3/C+G</t>
        </is>
      </c>
      <c r="M4014" s="12" t="inlineStr">
        <is>
          <t>10</t>
        </is>
      </c>
      <c r="N4014" s="12" t="n">
        <v>1</v>
      </c>
      <c r="O4014" s="12" t="n">
        <v>1</v>
      </c>
      <c r="P4014" s="12" t="n">
        <v>480</v>
      </c>
      <c r="Q4014" s="12" t="n">
        <v>7</v>
      </c>
      <c r="R4014" s="12" t="n">
        <v>9.9</v>
      </c>
      <c r="S4014" s="12" t="inlineStr">
        <is>
          <t>Duct bank</t>
        </is>
      </c>
      <c r="T4014" s="16" t="n">
        <v>74</v>
      </c>
      <c r="U4014" s="16" t="n">
        <v>165</v>
      </c>
      <c r="V4014" s="16">
        <f>ROUNDUP((T4014+U4014+2*'Read Me'!$B$13)*(1+'Read Me'!$B$12),-1)</f>
        <v/>
      </c>
      <c r="W4014" s="16">
        <f>V4014*N4014*O4014</f>
        <v/>
      </c>
      <c r="X4014" s="12">
        <f>IF(LEFT(I4014,2)="MV",2*N4014*IF(L4014="1/C",O4014,1),0)</f>
        <v/>
      </c>
      <c r="Y4014" s="12">
        <f>IF(OR(LEFT(K4014,4)="LVAX",LEFT(K4014,6)="MV15AX",LEFT(K4014,4)="CTAX",LEFT(K4014,2)="W|"),2*N4014*O4014,0)</f>
        <v/>
      </c>
      <c r="Z4014" s="12" t="inlineStr">
        <is>
          <t>VD 1.1 %</t>
        </is>
      </c>
      <c r="AA4014" s="12">
        <f>N4014*O4014</f>
        <v/>
      </c>
    </row>
    <row r="4015">
      <c r="A4015" s="12" t="inlineStr">
        <is>
          <t>H-P-0014</t>
        </is>
      </c>
      <c r="B4015" s="12" t="inlineStr">
        <is>
          <t>H</t>
        </is>
      </c>
      <c r="C4015" s="12" t="inlineStr">
        <is>
          <t>BESS</t>
        </is>
      </c>
      <c r="D4015" s="12" t="inlineStr">
        <is>
          <t>Motor 2 of 2, 7 kW</t>
        </is>
      </c>
      <c r="E4015" s="12" t="inlineStr"/>
      <c r="F4015" s="12" t="inlineStr">
        <is>
          <t>BESS auxiliary transformer</t>
        </is>
      </c>
      <c r="G4015" s="12" t="inlineStr"/>
      <c r="H4015" s="12" t="inlineStr">
        <is>
          <t>BESS PCS / MV skid</t>
        </is>
      </c>
      <c r="I4015" s="12" t="inlineStr">
        <is>
          <t>LV 600 V</t>
        </is>
      </c>
      <c r="J4015" s="12" t="inlineStr">
        <is>
          <t>Type TC-ER 600 V 3/C Cu XHHW-2 + ground, PVC jacket</t>
        </is>
      </c>
      <c r="K4015" s="12" t="inlineStr">
        <is>
          <t>LV|3/C+G|10</t>
        </is>
      </c>
      <c r="L4015" s="12" t="inlineStr">
        <is>
          <t>3/C+G</t>
        </is>
      </c>
      <c r="M4015" s="12" t="inlineStr">
        <is>
          <t>10</t>
        </is>
      </c>
      <c r="N4015" s="12" t="n">
        <v>1</v>
      </c>
      <c r="O4015" s="12" t="n">
        <v>1</v>
      </c>
      <c r="P4015" s="12" t="n">
        <v>480</v>
      </c>
      <c r="Q4015" s="12" t="n">
        <v>7</v>
      </c>
      <c r="R4015" s="12" t="n">
        <v>9.9</v>
      </c>
      <c r="S4015" s="12" t="inlineStr">
        <is>
          <t>Duct bank</t>
        </is>
      </c>
      <c r="T4015" s="16" t="n">
        <v>74</v>
      </c>
      <c r="U4015" s="16" t="n">
        <v>165</v>
      </c>
      <c r="V4015" s="16">
        <f>ROUNDUP((T4015+U4015+2*'Read Me'!$B$13)*(1+'Read Me'!$B$12),-1)</f>
        <v/>
      </c>
      <c r="W4015" s="16">
        <f>V4015*N4015*O4015</f>
        <v/>
      </c>
      <c r="X4015" s="12">
        <f>IF(LEFT(I4015,2)="MV",2*N4015*IF(L4015="1/C",O4015,1),0)</f>
        <v/>
      </c>
      <c r="Y4015" s="12">
        <f>IF(OR(LEFT(K4015,4)="LVAX",LEFT(K4015,6)="MV15AX",LEFT(K4015,4)="CTAX",LEFT(K4015,2)="W|"),2*N4015*O4015,0)</f>
        <v/>
      </c>
      <c r="Z4015" s="12" t="inlineStr">
        <is>
          <t>VD 1.1 %</t>
        </is>
      </c>
      <c r="AA4015" s="12">
        <f>N4015*O4015</f>
        <v/>
      </c>
    </row>
    <row r="4016">
      <c r="A4016" s="12" t="inlineStr">
        <is>
          <t>H-P-0015</t>
        </is>
      </c>
      <c r="B4016" s="12" t="inlineStr">
        <is>
          <t>H</t>
        </is>
      </c>
      <c r="C4016" s="12" t="inlineStr">
        <is>
          <t>BESS</t>
        </is>
      </c>
      <c r="D4016" s="12" t="inlineStr">
        <is>
          <t>Motor 1 of 2, 7 kW</t>
        </is>
      </c>
      <c r="E4016" s="12" t="inlineStr"/>
      <c r="F4016" s="12" t="inlineStr">
        <is>
          <t>BESS auxiliary transformer</t>
        </is>
      </c>
      <c r="G4016" s="12" t="inlineStr"/>
      <c r="H4016" s="12" t="inlineStr">
        <is>
          <t>BESS PCS / MV skid</t>
        </is>
      </c>
      <c r="I4016" s="12" t="inlineStr">
        <is>
          <t>LV 600 V</t>
        </is>
      </c>
      <c r="J4016" s="12" t="inlineStr">
        <is>
          <t>Type TC-ER 600 V 3/C Cu XHHW-2 + ground, PVC jacket</t>
        </is>
      </c>
      <c r="K4016" s="12" t="inlineStr">
        <is>
          <t>LV|3/C+G|10</t>
        </is>
      </c>
      <c r="L4016" s="12" t="inlineStr">
        <is>
          <t>3/C+G</t>
        </is>
      </c>
      <c r="M4016" s="12" t="inlineStr">
        <is>
          <t>10</t>
        </is>
      </c>
      <c r="N4016" s="12" t="n">
        <v>1</v>
      </c>
      <c r="O4016" s="12" t="n">
        <v>1</v>
      </c>
      <c r="P4016" s="12" t="n">
        <v>480</v>
      </c>
      <c r="Q4016" s="12" t="n">
        <v>7</v>
      </c>
      <c r="R4016" s="12" t="n">
        <v>9.9</v>
      </c>
      <c r="S4016" s="12" t="inlineStr">
        <is>
          <t>Duct bank</t>
        </is>
      </c>
      <c r="T4016" s="16" t="n">
        <v>318</v>
      </c>
      <c r="U4016" s="16" t="n">
        <v>219</v>
      </c>
      <c r="V4016" s="16">
        <f>ROUNDUP((T4016+U4016+2*'Read Me'!$B$13)*(1+'Read Me'!$B$12),-1)</f>
        <v/>
      </c>
      <c r="W4016" s="16">
        <f>V4016*N4016*O4016</f>
        <v/>
      </c>
      <c r="X4016" s="12">
        <f>IF(LEFT(I4016,2)="MV",2*N4016*IF(L4016="1/C",O4016,1),0)</f>
        <v/>
      </c>
      <c r="Y4016" s="12">
        <f>IF(OR(LEFT(K4016,4)="LVAX",LEFT(K4016,6)="MV15AX",LEFT(K4016,4)="CTAX",LEFT(K4016,2)="W|"),2*N4016*O4016,0)</f>
        <v/>
      </c>
      <c r="Z4016" s="12" t="inlineStr">
        <is>
          <t>VD 2.6 %</t>
        </is>
      </c>
      <c r="AA4016" s="12">
        <f>N4016*O4016</f>
        <v/>
      </c>
    </row>
    <row r="4017">
      <c r="A4017" s="12" t="inlineStr">
        <is>
          <t>H-P-0016</t>
        </is>
      </c>
      <c r="B4017" s="12" t="inlineStr">
        <is>
          <t>H</t>
        </is>
      </c>
      <c r="C4017" s="12" t="inlineStr">
        <is>
          <t>BESS</t>
        </is>
      </c>
      <c r="D4017" s="12" t="inlineStr">
        <is>
          <t>Motor 2 of 2, 7 kW</t>
        </is>
      </c>
      <c r="E4017" s="12" t="inlineStr"/>
      <c r="F4017" s="12" t="inlineStr">
        <is>
          <t>BESS auxiliary transformer</t>
        </is>
      </c>
      <c r="G4017" s="12" t="inlineStr"/>
      <c r="H4017" s="12" t="inlineStr">
        <is>
          <t>BESS PCS / MV skid</t>
        </is>
      </c>
      <c r="I4017" s="12" t="inlineStr">
        <is>
          <t>LV 600 V</t>
        </is>
      </c>
      <c r="J4017" s="12" t="inlineStr">
        <is>
          <t>Type TC-ER 600 V 3/C Cu XHHW-2 + ground, PVC jacket</t>
        </is>
      </c>
      <c r="K4017" s="12" t="inlineStr">
        <is>
          <t>LV|3/C+G|10</t>
        </is>
      </c>
      <c r="L4017" s="12" t="inlineStr">
        <is>
          <t>3/C+G</t>
        </is>
      </c>
      <c r="M4017" s="12" t="inlineStr">
        <is>
          <t>10</t>
        </is>
      </c>
      <c r="N4017" s="12" t="n">
        <v>1</v>
      </c>
      <c r="O4017" s="12" t="n">
        <v>1</v>
      </c>
      <c r="P4017" s="12" t="n">
        <v>480</v>
      </c>
      <c r="Q4017" s="12" t="n">
        <v>7</v>
      </c>
      <c r="R4017" s="12" t="n">
        <v>9.9</v>
      </c>
      <c r="S4017" s="12" t="inlineStr">
        <is>
          <t>Duct bank</t>
        </is>
      </c>
      <c r="T4017" s="16" t="n">
        <v>318</v>
      </c>
      <c r="U4017" s="16" t="n">
        <v>219</v>
      </c>
      <c r="V4017" s="16">
        <f>ROUNDUP((T4017+U4017+2*'Read Me'!$B$13)*(1+'Read Me'!$B$12),-1)</f>
        <v/>
      </c>
      <c r="W4017" s="16">
        <f>V4017*N4017*O4017</f>
        <v/>
      </c>
      <c r="X4017" s="12">
        <f>IF(LEFT(I4017,2)="MV",2*N4017*IF(L4017="1/C",O4017,1),0)</f>
        <v/>
      </c>
      <c r="Y4017" s="12">
        <f>IF(OR(LEFT(K4017,4)="LVAX",LEFT(K4017,6)="MV15AX",LEFT(K4017,4)="CTAX",LEFT(K4017,2)="W|"),2*N4017*O4017,0)</f>
        <v/>
      </c>
      <c r="Z4017" s="12" t="inlineStr">
        <is>
          <t>VD 2.6 %</t>
        </is>
      </c>
      <c r="AA4017" s="12">
        <f>N4017*O4017</f>
        <v/>
      </c>
    </row>
    <row r="4018">
      <c r="A4018" s="12" t="inlineStr">
        <is>
          <t>H-P-0017</t>
        </is>
      </c>
      <c r="B4018" s="12" t="inlineStr">
        <is>
          <t>H</t>
        </is>
      </c>
      <c r="C4018" s="12" t="inlineStr">
        <is>
          <t>BESS</t>
        </is>
      </c>
      <c r="D4018" s="12" t="inlineStr">
        <is>
          <t>Motor 1 of 2, 7 kW</t>
        </is>
      </c>
      <c r="E4018" s="12" t="inlineStr"/>
      <c r="F4018" s="12" t="inlineStr">
        <is>
          <t>BESS auxiliary transformer</t>
        </is>
      </c>
      <c r="G4018" s="12" t="inlineStr"/>
      <c r="H4018" s="12" t="inlineStr">
        <is>
          <t>BESS PCS / MV skid</t>
        </is>
      </c>
      <c r="I4018" s="12" t="inlineStr">
        <is>
          <t>LV 600 V</t>
        </is>
      </c>
      <c r="J4018" s="12" t="inlineStr">
        <is>
          <t>Type TC-ER 600 V 3/C Cu XHHW-2 + ground, PVC jacket</t>
        </is>
      </c>
      <c r="K4018" s="12" t="inlineStr">
        <is>
          <t>LV|3/C+G|10</t>
        </is>
      </c>
      <c r="L4018" s="12" t="inlineStr">
        <is>
          <t>3/C+G</t>
        </is>
      </c>
      <c r="M4018" s="12" t="inlineStr">
        <is>
          <t>10</t>
        </is>
      </c>
      <c r="N4018" s="12" t="n">
        <v>1</v>
      </c>
      <c r="O4018" s="12" t="n">
        <v>1</v>
      </c>
      <c r="P4018" s="12" t="n">
        <v>480</v>
      </c>
      <c r="Q4018" s="12" t="n">
        <v>7</v>
      </c>
      <c r="R4018" s="12" t="n">
        <v>9.9</v>
      </c>
      <c r="S4018" s="12" t="inlineStr">
        <is>
          <t>Duct bank</t>
        </is>
      </c>
      <c r="T4018" s="16" t="n">
        <v>178</v>
      </c>
      <c r="U4018" s="16" t="n">
        <v>239</v>
      </c>
      <c r="V4018" s="16">
        <f>ROUNDUP((T4018+U4018+2*'Read Me'!$B$13)*(1+'Read Me'!$B$12),-1)</f>
        <v/>
      </c>
      <c r="W4018" s="16">
        <f>V4018*N4018*O4018</f>
        <v/>
      </c>
      <c r="X4018" s="12">
        <f>IF(LEFT(I4018,2)="MV",2*N4018*IF(L4018="1/C",O4018,1),0)</f>
        <v/>
      </c>
      <c r="Y4018" s="12">
        <f>IF(OR(LEFT(K4018,4)="LVAX",LEFT(K4018,6)="MV15AX",LEFT(K4018,4)="CTAX",LEFT(K4018,2)="W|"),2*N4018*O4018,0)</f>
        <v/>
      </c>
      <c r="Z4018" s="12" t="inlineStr">
        <is>
          <t>VD 2.0 %</t>
        </is>
      </c>
      <c r="AA4018" s="12">
        <f>N4018*O4018</f>
        <v/>
      </c>
    </row>
    <row r="4019">
      <c r="A4019" s="12" t="inlineStr">
        <is>
          <t>H-P-0018</t>
        </is>
      </c>
      <c r="B4019" s="12" t="inlineStr">
        <is>
          <t>H</t>
        </is>
      </c>
      <c r="C4019" s="12" t="inlineStr">
        <is>
          <t>BESS</t>
        </is>
      </c>
      <c r="D4019" s="12" t="inlineStr">
        <is>
          <t>Motor 2 of 2, 7 kW</t>
        </is>
      </c>
      <c r="E4019" s="12" t="inlineStr"/>
      <c r="F4019" s="12" t="inlineStr">
        <is>
          <t>BESS auxiliary transformer</t>
        </is>
      </c>
      <c r="G4019" s="12" t="inlineStr"/>
      <c r="H4019" s="12" t="inlineStr">
        <is>
          <t>BESS PCS / MV skid</t>
        </is>
      </c>
      <c r="I4019" s="12" t="inlineStr">
        <is>
          <t>LV 600 V</t>
        </is>
      </c>
      <c r="J4019" s="12" t="inlineStr">
        <is>
          <t>Type TC-ER 600 V 3/C Cu XHHW-2 + ground, PVC jacket</t>
        </is>
      </c>
      <c r="K4019" s="12" t="inlineStr">
        <is>
          <t>LV|3/C+G|10</t>
        </is>
      </c>
      <c r="L4019" s="12" t="inlineStr">
        <is>
          <t>3/C+G</t>
        </is>
      </c>
      <c r="M4019" s="12" t="inlineStr">
        <is>
          <t>10</t>
        </is>
      </c>
      <c r="N4019" s="12" t="n">
        <v>1</v>
      </c>
      <c r="O4019" s="12" t="n">
        <v>1</v>
      </c>
      <c r="P4019" s="12" t="n">
        <v>480</v>
      </c>
      <c r="Q4019" s="12" t="n">
        <v>7</v>
      </c>
      <c r="R4019" s="12" t="n">
        <v>9.9</v>
      </c>
      <c r="S4019" s="12" t="inlineStr">
        <is>
          <t>Duct bank</t>
        </is>
      </c>
      <c r="T4019" s="16" t="n">
        <v>178</v>
      </c>
      <c r="U4019" s="16" t="n">
        <v>239</v>
      </c>
      <c r="V4019" s="16">
        <f>ROUNDUP((T4019+U4019+2*'Read Me'!$B$13)*(1+'Read Me'!$B$12),-1)</f>
        <v/>
      </c>
      <c r="W4019" s="16">
        <f>V4019*N4019*O4019</f>
        <v/>
      </c>
      <c r="X4019" s="12">
        <f>IF(LEFT(I4019,2)="MV",2*N4019*IF(L4019="1/C",O4019,1),0)</f>
        <v/>
      </c>
      <c r="Y4019" s="12">
        <f>IF(OR(LEFT(K4019,4)="LVAX",LEFT(K4019,6)="MV15AX",LEFT(K4019,4)="CTAX",LEFT(K4019,2)="W|"),2*N4019*O4019,0)</f>
        <v/>
      </c>
      <c r="Z4019" s="12" t="inlineStr">
        <is>
          <t>VD 2.0 %</t>
        </is>
      </c>
      <c r="AA4019" s="12">
        <f>N4019*O4019</f>
        <v/>
      </c>
    </row>
    <row r="4020">
      <c r="A4020" s="12" t="inlineStr">
        <is>
          <t>H-P-0019</t>
        </is>
      </c>
      <c r="B4020" s="12" t="inlineStr">
        <is>
          <t>H</t>
        </is>
      </c>
      <c r="C4020" s="12" t="inlineStr">
        <is>
          <t>BESS</t>
        </is>
      </c>
      <c r="D4020" s="12" t="inlineStr">
        <is>
          <t>Motor 1 of 2, 7 kW</t>
        </is>
      </c>
      <c r="E4020" s="12" t="inlineStr"/>
      <c r="F4020" s="12" t="inlineStr">
        <is>
          <t>BESS auxiliary transformer</t>
        </is>
      </c>
      <c r="G4020" s="12" t="inlineStr"/>
      <c r="H4020" s="12" t="inlineStr">
        <is>
          <t>BESS PCS / MV skid</t>
        </is>
      </c>
      <c r="I4020" s="12" t="inlineStr">
        <is>
          <t>LV 600 V</t>
        </is>
      </c>
      <c r="J4020" s="12" t="inlineStr">
        <is>
          <t>Type TC-ER 600 V 3/C Cu XHHW-2 + ground, PVC jacket</t>
        </is>
      </c>
      <c r="K4020" s="12" t="inlineStr">
        <is>
          <t>LV|3/C+G|10</t>
        </is>
      </c>
      <c r="L4020" s="12" t="inlineStr">
        <is>
          <t>3/C+G</t>
        </is>
      </c>
      <c r="M4020" s="12" t="inlineStr">
        <is>
          <t>10</t>
        </is>
      </c>
      <c r="N4020" s="12" t="n">
        <v>1</v>
      </c>
      <c r="O4020" s="12" t="n">
        <v>1</v>
      </c>
      <c r="P4020" s="12" t="n">
        <v>480</v>
      </c>
      <c r="Q4020" s="12" t="n">
        <v>7</v>
      </c>
      <c r="R4020" s="12" t="n">
        <v>9.9</v>
      </c>
      <c r="S4020" s="12" t="inlineStr">
        <is>
          <t>Duct bank</t>
        </is>
      </c>
      <c r="T4020" s="16" t="n">
        <v>380</v>
      </c>
      <c r="U4020" s="16" t="n">
        <v>149</v>
      </c>
      <c r="V4020" s="16">
        <f>ROUNDUP((T4020+U4020+2*'Read Me'!$B$13)*(1+'Read Me'!$B$12),-1)</f>
        <v/>
      </c>
      <c r="W4020" s="16">
        <f>V4020*N4020*O4020</f>
        <v/>
      </c>
      <c r="X4020" s="12">
        <f>IF(LEFT(I4020,2)="MV",2*N4020*IF(L4020="1/C",O4020,1),0)</f>
        <v/>
      </c>
      <c r="Y4020" s="12">
        <f>IF(OR(LEFT(K4020,4)="LVAX",LEFT(K4020,6)="MV15AX",LEFT(K4020,4)="CTAX",LEFT(K4020,2)="W|"),2*N4020*O4020,0)</f>
        <v/>
      </c>
      <c r="Z4020" s="12" t="inlineStr">
        <is>
          <t>VD 2.5 %</t>
        </is>
      </c>
      <c r="AA4020" s="12">
        <f>N4020*O4020</f>
        <v/>
      </c>
    </row>
    <row r="4021">
      <c r="A4021" s="12" t="inlineStr">
        <is>
          <t>H-P-0020</t>
        </is>
      </c>
      <c r="B4021" s="12" t="inlineStr">
        <is>
          <t>H</t>
        </is>
      </c>
      <c r="C4021" s="12" t="inlineStr">
        <is>
          <t>BESS</t>
        </is>
      </c>
      <c r="D4021" s="12" t="inlineStr">
        <is>
          <t>Motor 2 of 2, 7 kW</t>
        </is>
      </c>
      <c r="E4021" s="12" t="inlineStr"/>
      <c r="F4021" s="12" t="inlineStr">
        <is>
          <t>BESS auxiliary transformer</t>
        </is>
      </c>
      <c r="G4021" s="12" t="inlineStr"/>
      <c r="H4021" s="12" t="inlineStr">
        <is>
          <t>BESS PCS / MV skid</t>
        </is>
      </c>
      <c r="I4021" s="12" t="inlineStr">
        <is>
          <t>LV 600 V</t>
        </is>
      </c>
      <c r="J4021" s="12" t="inlineStr">
        <is>
          <t>Type TC-ER 600 V 3/C Cu XHHW-2 + ground, PVC jacket</t>
        </is>
      </c>
      <c r="K4021" s="12" t="inlineStr">
        <is>
          <t>LV|3/C+G|10</t>
        </is>
      </c>
      <c r="L4021" s="12" t="inlineStr">
        <is>
          <t>3/C+G</t>
        </is>
      </c>
      <c r="M4021" s="12" t="inlineStr">
        <is>
          <t>10</t>
        </is>
      </c>
      <c r="N4021" s="12" t="n">
        <v>1</v>
      </c>
      <c r="O4021" s="12" t="n">
        <v>1</v>
      </c>
      <c r="P4021" s="12" t="n">
        <v>480</v>
      </c>
      <c r="Q4021" s="12" t="n">
        <v>7</v>
      </c>
      <c r="R4021" s="12" t="n">
        <v>9.9</v>
      </c>
      <c r="S4021" s="12" t="inlineStr">
        <is>
          <t>Duct bank</t>
        </is>
      </c>
      <c r="T4021" s="16" t="n">
        <v>380</v>
      </c>
      <c r="U4021" s="16" t="n">
        <v>149</v>
      </c>
      <c r="V4021" s="16">
        <f>ROUNDUP((T4021+U4021+2*'Read Me'!$B$13)*(1+'Read Me'!$B$12),-1)</f>
        <v/>
      </c>
      <c r="W4021" s="16">
        <f>V4021*N4021*O4021</f>
        <v/>
      </c>
      <c r="X4021" s="12">
        <f>IF(LEFT(I4021,2)="MV",2*N4021*IF(L4021="1/C",O4021,1),0)</f>
        <v/>
      </c>
      <c r="Y4021" s="12">
        <f>IF(OR(LEFT(K4021,4)="LVAX",LEFT(K4021,6)="MV15AX",LEFT(K4021,4)="CTAX",LEFT(K4021,2)="W|"),2*N4021*O4021,0)</f>
        <v/>
      </c>
      <c r="Z4021" s="12" t="inlineStr">
        <is>
          <t>VD 2.5 %</t>
        </is>
      </c>
      <c r="AA4021" s="12">
        <f>N4021*O4021</f>
        <v/>
      </c>
    </row>
    <row r="4022">
      <c r="A4022" s="12" t="inlineStr">
        <is>
          <t>H-P-0021</t>
        </is>
      </c>
      <c r="B4022" s="12" t="inlineStr">
        <is>
          <t>H</t>
        </is>
      </c>
      <c r="C4022" s="12" t="inlineStr">
        <is>
          <t>BESS</t>
        </is>
      </c>
      <c r="D4022" s="12" t="inlineStr">
        <is>
          <t>Motor 1 of 2, 7 kW</t>
        </is>
      </c>
      <c r="E4022" s="12" t="inlineStr"/>
      <c r="F4022" s="12" t="inlineStr">
        <is>
          <t>BESS auxiliary transformer</t>
        </is>
      </c>
      <c r="G4022" s="12" t="inlineStr"/>
      <c r="H4022" s="12" t="inlineStr">
        <is>
          <t>BESS PCS / MV skid</t>
        </is>
      </c>
      <c r="I4022" s="12" t="inlineStr">
        <is>
          <t>LV 600 V</t>
        </is>
      </c>
      <c r="J4022" s="12" t="inlineStr">
        <is>
          <t>Type TC-ER 600 V 3/C Cu XHHW-2 + ground, PVC jacket</t>
        </is>
      </c>
      <c r="K4022" s="12" t="inlineStr">
        <is>
          <t>LV|3/C+G|8</t>
        </is>
      </c>
      <c r="L4022" s="12" t="inlineStr">
        <is>
          <t>3/C+G</t>
        </is>
      </c>
      <c r="M4022" s="12" t="inlineStr">
        <is>
          <t>8</t>
        </is>
      </c>
      <c r="N4022" s="12" t="n">
        <v>1</v>
      </c>
      <c r="O4022" s="12" t="n">
        <v>1</v>
      </c>
      <c r="P4022" s="12" t="n">
        <v>480</v>
      </c>
      <c r="Q4022" s="12" t="n">
        <v>7</v>
      </c>
      <c r="R4022" s="12" t="n">
        <v>9.9</v>
      </c>
      <c r="S4022" s="12" t="inlineStr">
        <is>
          <t>Duct bank</t>
        </is>
      </c>
      <c r="T4022" s="16" t="n">
        <v>620</v>
      </c>
      <c r="U4022" s="16" t="n">
        <v>91</v>
      </c>
      <c r="V4022" s="16">
        <f>ROUNDUP((T4022+U4022+2*'Read Me'!$B$13)*(1+'Read Me'!$B$12),-1)</f>
        <v/>
      </c>
      <c r="W4022" s="16">
        <f>V4022*N4022*O4022</f>
        <v/>
      </c>
      <c r="X4022" s="12">
        <f>IF(LEFT(I4022,2)="MV",2*N4022*IF(L4022="1/C",O4022,1),0)</f>
        <v/>
      </c>
      <c r="Y4022" s="12">
        <f>IF(OR(LEFT(K4022,4)="LVAX",LEFT(K4022,6)="MV15AX",LEFT(K4022,4)="CTAX",LEFT(K4022,2)="W|"),2*N4022*O4022,0)</f>
        <v/>
      </c>
      <c r="Z4022" s="12" t="inlineStr">
        <is>
          <t>VD 2.1 %</t>
        </is>
      </c>
      <c r="AA4022" s="12">
        <f>N4022*O4022</f>
        <v/>
      </c>
    </row>
    <row r="4023">
      <c r="A4023" s="12" t="inlineStr">
        <is>
          <t>H-P-0022</t>
        </is>
      </c>
      <c r="B4023" s="12" t="inlineStr">
        <is>
          <t>H</t>
        </is>
      </c>
      <c r="C4023" s="12" t="inlineStr">
        <is>
          <t>BESS</t>
        </is>
      </c>
      <c r="D4023" s="12" t="inlineStr">
        <is>
          <t>Motor 2 of 2, 7 kW</t>
        </is>
      </c>
      <c r="E4023" s="12" t="inlineStr"/>
      <c r="F4023" s="12" t="inlineStr">
        <is>
          <t>BESS auxiliary transformer</t>
        </is>
      </c>
      <c r="G4023" s="12" t="inlineStr"/>
      <c r="H4023" s="12" t="inlineStr">
        <is>
          <t>BESS PCS / MV skid</t>
        </is>
      </c>
      <c r="I4023" s="12" t="inlineStr">
        <is>
          <t>LV 600 V</t>
        </is>
      </c>
      <c r="J4023" s="12" t="inlineStr">
        <is>
          <t>Type TC-ER 600 V 3/C Cu XHHW-2 + ground, PVC jacket</t>
        </is>
      </c>
      <c r="K4023" s="12" t="inlineStr">
        <is>
          <t>LV|3/C+G|8</t>
        </is>
      </c>
      <c r="L4023" s="12" t="inlineStr">
        <is>
          <t>3/C+G</t>
        </is>
      </c>
      <c r="M4023" s="12" t="inlineStr">
        <is>
          <t>8</t>
        </is>
      </c>
      <c r="N4023" s="12" t="n">
        <v>1</v>
      </c>
      <c r="O4023" s="12" t="n">
        <v>1</v>
      </c>
      <c r="P4023" s="12" t="n">
        <v>480</v>
      </c>
      <c r="Q4023" s="12" t="n">
        <v>7</v>
      </c>
      <c r="R4023" s="12" t="n">
        <v>9.9</v>
      </c>
      <c r="S4023" s="12" t="inlineStr">
        <is>
          <t>Duct bank</t>
        </is>
      </c>
      <c r="T4023" s="16" t="n">
        <v>620</v>
      </c>
      <c r="U4023" s="16" t="n">
        <v>91</v>
      </c>
      <c r="V4023" s="16">
        <f>ROUNDUP((T4023+U4023+2*'Read Me'!$B$13)*(1+'Read Me'!$B$12),-1)</f>
        <v/>
      </c>
      <c r="W4023" s="16">
        <f>V4023*N4023*O4023</f>
        <v/>
      </c>
      <c r="X4023" s="12">
        <f>IF(LEFT(I4023,2)="MV",2*N4023*IF(L4023="1/C",O4023,1),0)</f>
        <v/>
      </c>
      <c r="Y4023" s="12">
        <f>IF(OR(LEFT(K4023,4)="LVAX",LEFT(K4023,6)="MV15AX",LEFT(K4023,4)="CTAX",LEFT(K4023,2)="W|"),2*N4023*O4023,0)</f>
        <v/>
      </c>
      <c r="Z4023" s="12" t="inlineStr">
        <is>
          <t>VD 2.1 %</t>
        </is>
      </c>
      <c r="AA4023" s="12">
        <f>N4023*O4023</f>
        <v/>
      </c>
    </row>
    <row r="4024">
      <c r="A4024" s="12" t="inlineStr">
        <is>
          <t>H-P-0023</t>
        </is>
      </c>
      <c r="B4024" s="12" t="inlineStr">
        <is>
          <t>H</t>
        </is>
      </c>
      <c r="C4024" s="12" t="inlineStr">
        <is>
          <t>BESS</t>
        </is>
      </c>
      <c r="D4024" s="12" t="inlineStr">
        <is>
          <t>Motor 1 of 2, 7 kW</t>
        </is>
      </c>
      <c r="E4024" s="12" t="inlineStr"/>
      <c r="F4024" s="12" t="inlineStr">
        <is>
          <t>BESS auxiliary transformer</t>
        </is>
      </c>
      <c r="G4024" s="12" t="inlineStr"/>
      <c r="H4024" s="12" t="inlineStr">
        <is>
          <t>BESS PCS / MV skid</t>
        </is>
      </c>
      <c r="I4024" s="12" t="inlineStr">
        <is>
          <t>LV 600 V</t>
        </is>
      </c>
      <c r="J4024" s="12" t="inlineStr">
        <is>
          <t>Type TC-ER 600 V 3/C Cu XHHW-2 + ground, PVC jacket</t>
        </is>
      </c>
      <c r="K4024" s="12" t="inlineStr">
        <is>
          <t>LV|3/C+G|10</t>
        </is>
      </c>
      <c r="L4024" s="12" t="inlineStr">
        <is>
          <t>3/C+G</t>
        </is>
      </c>
      <c r="M4024" s="12" t="inlineStr">
        <is>
          <t>10</t>
        </is>
      </c>
      <c r="N4024" s="12" t="n">
        <v>1</v>
      </c>
      <c r="O4024" s="12" t="n">
        <v>1</v>
      </c>
      <c r="P4024" s="12" t="n">
        <v>480</v>
      </c>
      <c r="Q4024" s="12" t="n">
        <v>7</v>
      </c>
      <c r="R4024" s="12" t="n">
        <v>9.9</v>
      </c>
      <c r="S4024" s="12" t="inlineStr">
        <is>
          <t>Duct bank</t>
        </is>
      </c>
      <c r="T4024" s="16" t="n">
        <v>500</v>
      </c>
      <c r="U4024" s="16" t="n">
        <v>91</v>
      </c>
      <c r="V4024" s="16">
        <f>ROUNDUP((T4024+U4024+2*'Read Me'!$B$13)*(1+'Read Me'!$B$12),-1)</f>
        <v/>
      </c>
      <c r="W4024" s="16">
        <f>V4024*N4024*O4024</f>
        <v/>
      </c>
      <c r="X4024" s="12">
        <f>IF(LEFT(I4024,2)="MV",2*N4024*IF(L4024="1/C",O4024,1),0)</f>
        <v/>
      </c>
      <c r="Y4024" s="12">
        <f>IF(OR(LEFT(K4024,4)="LVAX",LEFT(K4024,6)="MV15AX",LEFT(K4024,4)="CTAX",LEFT(K4024,2)="W|"),2*N4024*O4024,0)</f>
        <v/>
      </c>
      <c r="Z4024" s="12" t="inlineStr">
        <is>
          <t>VD 2.8 %</t>
        </is>
      </c>
      <c r="AA4024" s="12">
        <f>N4024*O4024</f>
        <v/>
      </c>
    </row>
    <row r="4025">
      <c r="A4025" s="12" t="inlineStr">
        <is>
          <t>H-P-0024</t>
        </is>
      </c>
      <c r="B4025" s="12" t="inlineStr">
        <is>
          <t>H</t>
        </is>
      </c>
      <c r="C4025" s="12" t="inlineStr">
        <is>
          <t>BESS</t>
        </is>
      </c>
      <c r="D4025" s="12" t="inlineStr">
        <is>
          <t>Motor 2 of 2, 7 kW</t>
        </is>
      </c>
      <c r="E4025" s="12" t="inlineStr"/>
      <c r="F4025" s="12" t="inlineStr">
        <is>
          <t>BESS auxiliary transformer</t>
        </is>
      </c>
      <c r="G4025" s="12" t="inlineStr"/>
      <c r="H4025" s="12" t="inlineStr">
        <is>
          <t>BESS PCS / MV skid</t>
        </is>
      </c>
      <c r="I4025" s="12" t="inlineStr">
        <is>
          <t>LV 600 V</t>
        </is>
      </c>
      <c r="J4025" s="12" t="inlineStr">
        <is>
          <t>Type TC-ER 600 V 3/C Cu XHHW-2 + ground, PVC jacket</t>
        </is>
      </c>
      <c r="K4025" s="12" t="inlineStr">
        <is>
          <t>LV|3/C+G|10</t>
        </is>
      </c>
      <c r="L4025" s="12" t="inlineStr">
        <is>
          <t>3/C+G</t>
        </is>
      </c>
      <c r="M4025" s="12" t="inlineStr">
        <is>
          <t>10</t>
        </is>
      </c>
      <c r="N4025" s="12" t="n">
        <v>1</v>
      </c>
      <c r="O4025" s="12" t="n">
        <v>1</v>
      </c>
      <c r="P4025" s="12" t="n">
        <v>480</v>
      </c>
      <c r="Q4025" s="12" t="n">
        <v>7</v>
      </c>
      <c r="R4025" s="12" t="n">
        <v>9.9</v>
      </c>
      <c r="S4025" s="12" t="inlineStr">
        <is>
          <t>Duct bank</t>
        </is>
      </c>
      <c r="T4025" s="16" t="n">
        <v>500</v>
      </c>
      <c r="U4025" s="16" t="n">
        <v>91</v>
      </c>
      <c r="V4025" s="16">
        <f>ROUNDUP((T4025+U4025+2*'Read Me'!$B$13)*(1+'Read Me'!$B$12),-1)</f>
        <v/>
      </c>
      <c r="W4025" s="16">
        <f>V4025*N4025*O4025</f>
        <v/>
      </c>
      <c r="X4025" s="12">
        <f>IF(LEFT(I4025,2)="MV",2*N4025*IF(L4025="1/C",O4025,1),0)</f>
        <v/>
      </c>
      <c r="Y4025" s="12">
        <f>IF(OR(LEFT(K4025,4)="LVAX",LEFT(K4025,6)="MV15AX",LEFT(K4025,4)="CTAX",LEFT(K4025,2)="W|"),2*N4025*O4025,0)</f>
        <v/>
      </c>
      <c r="Z4025" s="12" t="inlineStr">
        <is>
          <t>VD 2.8 %</t>
        </is>
      </c>
      <c r="AA4025" s="12">
        <f>N4025*O4025</f>
        <v/>
      </c>
    </row>
    <row r="4026">
      <c r="A4026" s="12" t="inlineStr">
        <is>
          <t>H-P-0025</t>
        </is>
      </c>
      <c r="B4026" s="12" t="inlineStr">
        <is>
          <t>H</t>
        </is>
      </c>
      <c r="C4026" s="12" t="inlineStr">
        <is>
          <t>BESS</t>
        </is>
      </c>
      <c r="D4026" s="12" t="inlineStr">
        <is>
          <t>Motor 1 of 2, 7 kW</t>
        </is>
      </c>
      <c r="E4026" s="12" t="inlineStr"/>
      <c r="F4026" s="12" t="inlineStr">
        <is>
          <t>BESS auxiliary transformer</t>
        </is>
      </c>
      <c r="G4026" s="12" t="inlineStr"/>
      <c r="H4026" s="12" t="inlineStr">
        <is>
          <t>BESS PCS / MV skid</t>
        </is>
      </c>
      <c r="I4026" s="12" t="inlineStr">
        <is>
          <t>LV 600 V</t>
        </is>
      </c>
      <c r="J4026" s="12" t="inlineStr">
        <is>
          <t>Type TC-ER 600 V 3/C Cu XHHW-2 + ground, PVC jacket</t>
        </is>
      </c>
      <c r="K4026" s="12" t="inlineStr">
        <is>
          <t>LV|3/C+G|10</t>
        </is>
      </c>
      <c r="L4026" s="12" t="inlineStr">
        <is>
          <t>3/C+G</t>
        </is>
      </c>
      <c r="M4026" s="12" t="inlineStr">
        <is>
          <t>10</t>
        </is>
      </c>
      <c r="N4026" s="12" t="n">
        <v>1</v>
      </c>
      <c r="O4026" s="12" t="n">
        <v>1</v>
      </c>
      <c r="P4026" s="12" t="n">
        <v>480</v>
      </c>
      <c r="Q4026" s="12" t="n">
        <v>7</v>
      </c>
      <c r="R4026" s="12" t="n">
        <v>9.9</v>
      </c>
      <c r="S4026" s="12" t="inlineStr">
        <is>
          <t>Duct bank</t>
        </is>
      </c>
      <c r="T4026" s="16" t="n">
        <v>380</v>
      </c>
      <c r="U4026" s="16" t="n">
        <v>91</v>
      </c>
      <c r="V4026" s="16">
        <f>ROUNDUP((T4026+U4026+2*'Read Me'!$B$13)*(1+'Read Me'!$B$12),-1)</f>
        <v/>
      </c>
      <c r="W4026" s="16">
        <f>V4026*N4026*O4026</f>
        <v/>
      </c>
      <c r="X4026" s="12">
        <f>IF(LEFT(I4026,2)="MV",2*N4026*IF(L4026="1/C",O4026,1),0)</f>
        <v/>
      </c>
      <c r="Y4026" s="12">
        <f>IF(OR(LEFT(K4026,4)="LVAX",LEFT(K4026,6)="MV15AX",LEFT(K4026,4)="CTAX",LEFT(K4026,2)="W|"),2*N4026*O4026,0)</f>
        <v/>
      </c>
      <c r="Z4026" s="12" t="inlineStr">
        <is>
          <t>VD 2.2 %</t>
        </is>
      </c>
      <c r="AA4026" s="12">
        <f>N4026*O4026</f>
        <v/>
      </c>
    </row>
    <row r="4027">
      <c r="A4027" s="12" t="inlineStr">
        <is>
          <t>H-P-0026</t>
        </is>
      </c>
      <c r="B4027" s="12" t="inlineStr">
        <is>
          <t>H</t>
        </is>
      </c>
      <c r="C4027" s="12" t="inlineStr">
        <is>
          <t>BESS</t>
        </is>
      </c>
      <c r="D4027" s="12" t="inlineStr">
        <is>
          <t>Motor 2 of 2, 7 kW</t>
        </is>
      </c>
      <c r="E4027" s="12" t="inlineStr"/>
      <c r="F4027" s="12" t="inlineStr">
        <is>
          <t>BESS auxiliary transformer</t>
        </is>
      </c>
      <c r="G4027" s="12" t="inlineStr"/>
      <c r="H4027" s="12" t="inlineStr">
        <is>
          <t>BESS PCS / MV skid</t>
        </is>
      </c>
      <c r="I4027" s="12" t="inlineStr">
        <is>
          <t>LV 600 V</t>
        </is>
      </c>
      <c r="J4027" s="12" t="inlineStr">
        <is>
          <t>Type TC-ER 600 V 3/C Cu XHHW-2 + ground, PVC jacket</t>
        </is>
      </c>
      <c r="K4027" s="12" t="inlineStr">
        <is>
          <t>LV|3/C+G|10</t>
        </is>
      </c>
      <c r="L4027" s="12" t="inlineStr">
        <is>
          <t>3/C+G</t>
        </is>
      </c>
      <c r="M4027" s="12" t="inlineStr">
        <is>
          <t>10</t>
        </is>
      </c>
      <c r="N4027" s="12" t="n">
        <v>1</v>
      </c>
      <c r="O4027" s="12" t="n">
        <v>1</v>
      </c>
      <c r="P4027" s="12" t="n">
        <v>480</v>
      </c>
      <c r="Q4027" s="12" t="n">
        <v>7</v>
      </c>
      <c r="R4027" s="12" t="n">
        <v>9.9</v>
      </c>
      <c r="S4027" s="12" t="inlineStr">
        <is>
          <t>Duct bank</t>
        </is>
      </c>
      <c r="T4027" s="16" t="n">
        <v>380</v>
      </c>
      <c r="U4027" s="16" t="n">
        <v>91</v>
      </c>
      <c r="V4027" s="16">
        <f>ROUNDUP((T4027+U4027+2*'Read Me'!$B$13)*(1+'Read Me'!$B$12),-1)</f>
        <v/>
      </c>
      <c r="W4027" s="16">
        <f>V4027*N4027*O4027</f>
        <v/>
      </c>
      <c r="X4027" s="12">
        <f>IF(LEFT(I4027,2)="MV",2*N4027*IF(L4027="1/C",O4027,1),0)</f>
        <v/>
      </c>
      <c r="Y4027" s="12">
        <f>IF(OR(LEFT(K4027,4)="LVAX",LEFT(K4027,6)="MV15AX",LEFT(K4027,4)="CTAX",LEFT(K4027,2)="W|"),2*N4027*O4027,0)</f>
        <v/>
      </c>
      <c r="Z4027" s="12" t="inlineStr">
        <is>
          <t>VD 2.2 %</t>
        </is>
      </c>
      <c r="AA4027" s="12">
        <f>N4027*O4027</f>
        <v/>
      </c>
    </row>
    <row r="4028">
      <c r="A4028" s="12" t="inlineStr">
        <is>
          <t>H-P-0027</t>
        </is>
      </c>
      <c r="B4028" s="12" t="inlineStr">
        <is>
          <t>H</t>
        </is>
      </c>
      <c r="C4028" s="12" t="inlineStr">
        <is>
          <t>BESS</t>
        </is>
      </c>
      <c r="D4028" s="12" t="inlineStr">
        <is>
          <t>Motor 1 of 2, 7 kW</t>
        </is>
      </c>
      <c r="E4028" s="12" t="inlineStr"/>
      <c r="F4028" s="12" t="inlineStr">
        <is>
          <t>BESS auxiliary transformer</t>
        </is>
      </c>
      <c r="G4028" s="12" t="inlineStr"/>
      <c r="H4028" s="12" t="inlineStr">
        <is>
          <t>BESS PCS / MV skid</t>
        </is>
      </c>
      <c r="I4028" s="12" t="inlineStr">
        <is>
          <t>LV 600 V</t>
        </is>
      </c>
      <c r="J4028" s="12" t="inlineStr">
        <is>
          <t>Type TC-ER 600 V 3/C Cu XHHW-2 + ground, PVC jacket</t>
        </is>
      </c>
      <c r="K4028" s="12" t="inlineStr">
        <is>
          <t>LV|3/C+G|8</t>
        </is>
      </c>
      <c r="L4028" s="12" t="inlineStr">
        <is>
          <t>3/C+G</t>
        </is>
      </c>
      <c r="M4028" s="12" t="inlineStr">
        <is>
          <t>8</t>
        </is>
      </c>
      <c r="N4028" s="12" t="n">
        <v>1</v>
      </c>
      <c r="O4028" s="12" t="n">
        <v>1</v>
      </c>
      <c r="P4028" s="12" t="n">
        <v>480</v>
      </c>
      <c r="Q4028" s="12" t="n">
        <v>7</v>
      </c>
      <c r="R4028" s="12" t="n">
        <v>9.9</v>
      </c>
      <c r="S4028" s="12" t="inlineStr">
        <is>
          <t>Duct bank</t>
        </is>
      </c>
      <c r="T4028" s="16" t="n">
        <v>620</v>
      </c>
      <c r="U4028" s="16" t="n">
        <v>37</v>
      </c>
      <c r="V4028" s="16">
        <f>ROUNDUP((T4028+U4028+2*'Read Me'!$B$13)*(1+'Read Me'!$B$12),-1)</f>
        <v/>
      </c>
      <c r="W4028" s="16">
        <f>V4028*N4028*O4028</f>
        <v/>
      </c>
      <c r="X4028" s="12">
        <f>IF(LEFT(I4028,2)="MV",2*N4028*IF(L4028="1/C",O4028,1),0)</f>
        <v/>
      </c>
      <c r="Y4028" s="12">
        <f>IF(OR(LEFT(K4028,4)="LVAX",LEFT(K4028,6)="MV15AX",LEFT(K4028,4)="CTAX",LEFT(K4028,2)="W|"),2*N4028*O4028,0)</f>
        <v/>
      </c>
      <c r="Z4028" s="12" t="inlineStr">
        <is>
          <t>VD 2.0 %</t>
        </is>
      </c>
      <c r="AA4028" s="12">
        <f>N4028*O4028</f>
        <v/>
      </c>
    </row>
    <row r="4029">
      <c r="A4029" s="12" t="inlineStr">
        <is>
          <t>H-P-0028</t>
        </is>
      </c>
      <c r="B4029" s="12" t="inlineStr">
        <is>
          <t>H</t>
        </is>
      </c>
      <c r="C4029" s="12" t="inlineStr">
        <is>
          <t>BESS</t>
        </is>
      </c>
      <c r="D4029" s="12" t="inlineStr">
        <is>
          <t>Motor 2 of 2, 7 kW</t>
        </is>
      </c>
      <c r="E4029" s="12" t="inlineStr"/>
      <c r="F4029" s="12" t="inlineStr">
        <is>
          <t>BESS auxiliary transformer</t>
        </is>
      </c>
      <c r="G4029" s="12" t="inlineStr"/>
      <c r="H4029" s="12" t="inlineStr">
        <is>
          <t>BESS PCS / MV skid</t>
        </is>
      </c>
      <c r="I4029" s="12" t="inlineStr">
        <is>
          <t>LV 600 V</t>
        </is>
      </c>
      <c r="J4029" s="12" t="inlineStr">
        <is>
          <t>Type TC-ER 600 V 3/C Cu XHHW-2 + ground, PVC jacket</t>
        </is>
      </c>
      <c r="K4029" s="12" t="inlineStr">
        <is>
          <t>LV|3/C+G|8</t>
        </is>
      </c>
      <c r="L4029" s="12" t="inlineStr">
        <is>
          <t>3/C+G</t>
        </is>
      </c>
      <c r="M4029" s="12" t="inlineStr">
        <is>
          <t>8</t>
        </is>
      </c>
      <c r="N4029" s="12" t="n">
        <v>1</v>
      </c>
      <c r="O4029" s="12" t="n">
        <v>1</v>
      </c>
      <c r="P4029" s="12" t="n">
        <v>480</v>
      </c>
      <c r="Q4029" s="12" t="n">
        <v>7</v>
      </c>
      <c r="R4029" s="12" t="n">
        <v>9.9</v>
      </c>
      <c r="S4029" s="12" t="inlineStr">
        <is>
          <t>Duct bank</t>
        </is>
      </c>
      <c r="T4029" s="16" t="n">
        <v>620</v>
      </c>
      <c r="U4029" s="16" t="n">
        <v>37</v>
      </c>
      <c r="V4029" s="16">
        <f>ROUNDUP((T4029+U4029+2*'Read Me'!$B$13)*(1+'Read Me'!$B$12),-1)</f>
        <v/>
      </c>
      <c r="W4029" s="16">
        <f>V4029*N4029*O4029</f>
        <v/>
      </c>
      <c r="X4029" s="12">
        <f>IF(LEFT(I4029,2)="MV",2*N4029*IF(L4029="1/C",O4029,1),0)</f>
        <v/>
      </c>
      <c r="Y4029" s="12">
        <f>IF(OR(LEFT(K4029,4)="LVAX",LEFT(K4029,6)="MV15AX",LEFT(K4029,4)="CTAX",LEFT(K4029,2)="W|"),2*N4029*O4029,0)</f>
        <v/>
      </c>
      <c r="Z4029" s="12" t="inlineStr">
        <is>
          <t>VD 2.0 %</t>
        </is>
      </c>
      <c r="AA4029" s="12">
        <f>N4029*O4029</f>
        <v/>
      </c>
    </row>
    <row r="4030">
      <c r="A4030" s="12" t="inlineStr">
        <is>
          <t>H-P-0029</t>
        </is>
      </c>
      <c r="B4030" s="12" t="inlineStr">
        <is>
          <t>H</t>
        </is>
      </c>
      <c r="C4030" s="12" t="inlineStr">
        <is>
          <t>BESS</t>
        </is>
      </c>
      <c r="D4030" s="12" t="inlineStr">
        <is>
          <t>Motor 1 of 2, 7 kW</t>
        </is>
      </c>
      <c r="E4030" s="12" t="inlineStr"/>
      <c r="F4030" s="12" t="inlineStr">
        <is>
          <t>BESS auxiliary transformer</t>
        </is>
      </c>
      <c r="G4030" s="12" t="inlineStr"/>
      <c r="H4030" s="12" t="inlineStr">
        <is>
          <t>BESS PCS / MV skid</t>
        </is>
      </c>
      <c r="I4030" s="12" t="inlineStr">
        <is>
          <t>LV 600 V</t>
        </is>
      </c>
      <c r="J4030" s="12" t="inlineStr">
        <is>
          <t>Type TC-ER 600 V 3/C Cu XHHW-2 + ground, PVC jacket</t>
        </is>
      </c>
      <c r="K4030" s="12" t="inlineStr">
        <is>
          <t>LV|3/C+G|10</t>
        </is>
      </c>
      <c r="L4030" s="12" t="inlineStr">
        <is>
          <t>3/C+G</t>
        </is>
      </c>
      <c r="M4030" s="12" t="inlineStr">
        <is>
          <t>10</t>
        </is>
      </c>
      <c r="N4030" s="12" t="n">
        <v>1</v>
      </c>
      <c r="O4030" s="12" t="n">
        <v>1</v>
      </c>
      <c r="P4030" s="12" t="n">
        <v>480</v>
      </c>
      <c r="Q4030" s="12" t="n">
        <v>7</v>
      </c>
      <c r="R4030" s="12" t="n">
        <v>9.9</v>
      </c>
      <c r="S4030" s="12" t="inlineStr">
        <is>
          <t>Duct bank</t>
        </is>
      </c>
      <c r="T4030" s="16" t="n">
        <v>500</v>
      </c>
      <c r="U4030" s="16" t="n">
        <v>37</v>
      </c>
      <c r="V4030" s="16">
        <f>ROUNDUP((T4030+U4030+2*'Read Me'!$B$13)*(1+'Read Me'!$B$12),-1)</f>
        <v/>
      </c>
      <c r="W4030" s="16">
        <f>V4030*N4030*O4030</f>
        <v/>
      </c>
      <c r="X4030" s="12">
        <f>IF(LEFT(I4030,2)="MV",2*N4030*IF(L4030="1/C",O4030,1),0)</f>
        <v/>
      </c>
      <c r="Y4030" s="12">
        <f>IF(OR(LEFT(K4030,4)="LVAX",LEFT(K4030,6)="MV15AX",LEFT(K4030,4)="CTAX",LEFT(K4030,2)="W|"),2*N4030*O4030,0)</f>
        <v/>
      </c>
      <c r="Z4030" s="12" t="inlineStr">
        <is>
          <t>VD 2.6 %</t>
        </is>
      </c>
      <c r="AA4030" s="12">
        <f>N4030*O4030</f>
        <v/>
      </c>
    </row>
    <row r="4031">
      <c r="A4031" s="12" t="inlineStr">
        <is>
          <t>H-P-0030</t>
        </is>
      </c>
      <c r="B4031" s="12" t="inlineStr">
        <is>
          <t>H</t>
        </is>
      </c>
      <c r="C4031" s="12" t="inlineStr">
        <is>
          <t>BESS</t>
        </is>
      </c>
      <c r="D4031" s="12" t="inlineStr">
        <is>
          <t>Motor 2 of 2, 7 kW</t>
        </is>
      </c>
      <c r="E4031" s="12" t="inlineStr"/>
      <c r="F4031" s="12" t="inlineStr">
        <is>
          <t>BESS auxiliary transformer</t>
        </is>
      </c>
      <c r="G4031" s="12" t="inlineStr"/>
      <c r="H4031" s="12" t="inlineStr">
        <is>
          <t>BESS PCS / MV skid</t>
        </is>
      </c>
      <c r="I4031" s="12" t="inlineStr">
        <is>
          <t>LV 600 V</t>
        </is>
      </c>
      <c r="J4031" s="12" t="inlineStr">
        <is>
          <t>Type TC-ER 600 V 3/C Cu XHHW-2 + ground, PVC jacket</t>
        </is>
      </c>
      <c r="K4031" s="12" t="inlineStr">
        <is>
          <t>LV|3/C+G|10</t>
        </is>
      </c>
      <c r="L4031" s="12" t="inlineStr">
        <is>
          <t>3/C+G</t>
        </is>
      </c>
      <c r="M4031" s="12" t="inlineStr">
        <is>
          <t>10</t>
        </is>
      </c>
      <c r="N4031" s="12" t="n">
        <v>1</v>
      </c>
      <c r="O4031" s="12" t="n">
        <v>1</v>
      </c>
      <c r="P4031" s="12" t="n">
        <v>480</v>
      </c>
      <c r="Q4031" s="12" t="n">
        <v>7</v>
      </c>
      <c r="R4031" s="12" t="n">
        <v>9.9</v>
      </c>
      <c r="S4031" s="12" t="inlineStr">
        <is>
          <t>Duct bank</t>
        </is>
      </c>
      <c r="T4031" s="16" t="n">
        <v>500</v>
      </c>
      <c r="U4031" s="16" t="n">
        <v>37</v>
      </c>
      <c r="V4031" s="16">
        <f>ROUNDUP((T4031+U4031+2*'Read Me'!$B$13)*(1+'Read Me'!$B$12),-1)</f>
        <v/>
      </c>
      <c r="W4031" s="16">
        <f>V4031*N4031*O4031</f>
        <v/>
      </c>
      <c r="X4031" s="12">
        <f>IF(LEFT(I4031,2)="MV",2*N4031*IF(L4031="1/C",O4031,1),0)</f>
        <v/>
      </c>
      <c r="Y4031" s="12">
        <f>IF(OR(LEFT(K4031,4)="LVAX",LEFT(K4031,6)="MV15AX",LEFT(K4031,4)="CTAX",LEFT(K4031,2)="W|"),2*N4031*O4031,0)</f>
        <v/>
      </c>
      <c r="Z4031" s="12" t="inlineStr">
        <is>
          <t>VD 2.6 %</t>
        </is>
      </c>
      <c r="AA4031" s="12">
        <f>N4031*O4031</f>
        <v/>
      </c>
    </row>
    <row r="4032">
      <c r="A4032" s="12" t="inlineStr">
        <is>
          <t>H-P-0031</t>
        </is>
      </c>
      <c r="B4032" s="12" t="inlineStr">
        <is>
          <t>H</t>
        </is>
      </c>
      <c r="C4032" s="12" t="inlineStr">
        <is>
          <t>BESS</t>
        </is>
      </c>
      <c r="D4032" s="12" t="inlineStr">
        <is>
          <t>Motor 1 of 2, 7 kW</t>
        </is>
      </c>
      <c r="E4032" s="12" t="inlineStr"/>
      <c r="F4032" s="12" t="inlineStr">
        <is>
          <t>BESS auxiliary transformer</t>
        </is>
      </c>
      <c r="G4032" s="12" t="inlineStr"/>
      <c r="H4032" s="12" t="inlineStr">
        <is>
          <t>BESS PCS / MV skid</t>
        </is>
      </c>
      <c r="I4032" s="12" t="inlineStr">
        <is>
          <t>LV 600 V</t>
        </is>
      </c>
      <c r="J4032" s="12" t="inlineStr">
        <is>
          <t>Type TC-ER 600 V 3/C Cu XHHW-2 + ground, PVC jacket</t>
        </is>
      </c>
      <c r="K4032" s="12" t="inlineStr">
        <is>
          <t>LV|3/C+G|10</t>
        </is>
      </c>
      <c r="L4032" s="12" t="inlineStr">
        <is>
          <t>3/C+G</t>
        </is>
      </c>
      <c r="M4032" s="12" t="inlineStr">
        <is>
          <t>10</t>
        </is>
      </c>
      <c r="N4032" s="12" t="n">
        <v>1</v>
      </c>
      <c r="O4032" s="12" t="n">
        <v>1</v>
      </c>
      <c r="P4032" s="12" t="n">
        <v>480</v>
      </c>
      <c r="Q4032" s="12" t="n">
        <v>7</v>
      </c>
      <c r="R4032" s="12" t="n">
        <v>9.9</v>
      </c>
      <c r="S4032" s="12" t="inlineStr">
        <is>
          <t>Duct bank</t>
        </is>
      </c>
      <c r="T4032" s="16" t="n">
        <v>380</v>
      </c>
      <c r="U4032" s="16" t="n">
        <v>37</v>
      </c>
      <c r="V4032" s="16">
        <f>ROUNDUP((T4032+U4032+2*'Read Me'!$B$13)*(1+'Read Me'!$B$12),-1)</f>
        <v/>
      </c>
      <c r="W4032" s="16">
        <f>V4032*N4032*O4032</f>
        <v/>
      </c>
      <c r="X4032" s="12">
        <f>IF(LEFT(I4032,2)="MV",2*N4032*IF(L4032="1/C",O4032,1),0)</f>
        <v/>
      </c>
      <c r="Y4032" s="12">
        <f>IF(OR(LEFT(K4032,4)="LVAX",LEFT(K4032,6)="MV15AX",LEFT(K4032,4)="CTAX",LEFT(K4032,2)="W|"),2*N4032*O4032,0)</f>
        <v/>
      </c>
      <c r="Z4032" s="12" t="inlineStr">
        <is>
          <t>VD 2.0 %</t>
        </is>
      </c>
      <c r="AA4032" s="12">
        <f>N4032*O4032</f>
        <v/>
      </c>
    </row>
    <row r="4033">
      <c r="A4033" s="12" t="inlineStr">
        <is>
          <t>H-P-0032</t>
        </is>
      </c>
      <c r="B4033" s="12" t="inlineStr">
        <is>
          <t>H</t>
        </is>
      </c>
      <c r="C4033" s="12" t="inlineStr">
        <is>
          <t>BESS</t>
        </is>
      </c>
      <c r="D4033" s="12" t="inlineStr">
        <is>
          <t>Motor 2 of 2, 7 kW</t>
        </is>
      </c>
      <c r="E4033" s="12" t="inlineStr"/>
      <c r="F4033" s="12" t="inlineStr">
        <is>
          <t>BESS auxiliary transformer</t>
        </is>
      </c>
      <c r="G4033" s="12" t="inlineStr"/>
      <c r="H4033" s="12" t="inlineStr">
        <is>
          <t>BESS PCS / MV skid</t>
        </is>
      </c>
      <c r="I4033" s="12" t="inlineStr">
        <is>
          <t>LV 600 V</t>
        </is>
      </c>
      <c r="J4033" s="12" t="inlineStr">
        <is>
          <t>Type TC-ER 600 V 3/C Cu XHHW-2 + ground, PVC jacket</t>
        </is>
      </c>
      <c r="K4033" s="12" t="inlineStr">
        <is>
          <t>LV|3/C+G|10</t>
        </is>
      </c>
      <c r="L4033" s="12" t="inlineStr">
        <is>
          <t>3/C+G</t>
        </is>
      </c>
      <c r="M4033" s="12" t="inlineStr">
        <is>
          <t>10</t>
        </is>
      </c>
      <c r="N4033" s="12" t="n">
        <v>1</v>
      </c>
      <c r="O4033" s="12" t="n">
        <v>1</v>
      </c>
      <c r="P4033" s="12" t="n">
        <v>480</v>
      </c>
      <c r="Q4033" s="12" t="n">
        <v>7</v>
      </c>
      <c r="R4033" s="12" t="n">
        <v>9.9</v>
      </c>
      <c r="S4033" s="12" t="inlineStr">
        <is>
          <t>Duct bank</t>
        </is>
      </c>
      <c r="T4033" s="16" t="n">
        <v>380</v>
      </c>
      <c r="U4033" s="16" t="n">
        <v>37</v>
      </c>
      <c r="V4033" s="16">
        <f>ROUNDUP((T4033+U4033+2*'Read Me'!$B$13)*(1+'Read Me'!$B$12),-1)</f>
        <v/>
      </c>
      <c r="W4033" s="16">
        <f>V4033*N4033*O4033</f>
        <v/>
      </c>
      <c r="X4033" s="12">
        <f>IF(LEFT(I4033,2)="MV",2*N4033*IF(L4033="1/C",O4033,1),0)</f>
        <v/>
      </c>
      <c r="Y4033" s="12">
        <f>IF(OR(LEFT(K4033,4)="LVAX",LEFT(K4033,6)="MV15AX",LEFT(K4033,4)="CTAX",LEFT(K4033,2)="W|"),2*N4033*O4033,0)</f>
        <v/>
      </c>
      <c r="Z4033" s="12" t="inlineStr">
        <is>
          <t>VD 2.0 %</t>
        </is>
      </c>
      <c r="AA4033" s="12">
        <f>N4033*O4033</f>
        <v/>
      </c>
    </row>
    <row r="4034">
      <c r="A4034" s="12" t="inlineStr">
        <is>
          <t>H-P-0033</t>
        </is>
      </c>
      <c r="B4034" s="12" t="inlineStr">
        <is>
          <t>H</t>
        </is>
      </c>
      <c r="C4034" s="12" t="inlineStr">
        <is>
          <t>BESS</t>
        </is>
      </c>
      <c r="D4034" s="12" t="inlineStr">
        <is>
          <t>Container auxiliary 480 V</t>
        </is>
      </c>
      <c r="E4034" s="12" t="inlineStr"/>
      <c r="F4034" s="12" t="inlineStr">
        <is>
          <t>BESS PCS / MV skid</t>
        </is>
      </c>
      <c r="G4034" s="12" t="inlineStr"/>
      <c r="H4034" s="12" t="inlineStr">
        <is>
          <t>BESS container (ISO 40 ft high cube)</t>
        </is>
      </c>
      <c r="I4034" s="12" t="inlineStr">
        <is>
          <t>LV 600 V</t>
        </is>
      </c>
      <c r="J4034" s="12" t="inlineStr">
        <is>
          <t>Type TC-ER 600 V 3/C Cu XHHW-2 + ground, PVC jacket</t>
        </is>
      </c>
      <c r="K4034" s="12" t="inlineStr">
        <is>
          <t>LV|3/C+G|2</t>
        </is>
      </c>
      <c r="L4034" s="12" t="inlineStr">
        <is>
          <t>3/C+G</t>
        </is>
      </c>
      <c r="M4034" s="12" t="inlineStr">
        <is>
          <t>2</t>
        </is>
      </c>
      <c r="N4034" s="12" t="n">
        <v>1</v>
      </c>
      <c r="O4034" s="12" t="n">
        <v>1</v>
      </c>
      <c r="P4034" s="12" t="n">
        <v>480</v>
      </c>
      <c r="Q4034" s="12" t="n">
        <v>60</v>
      </c>
      <c r="R4034" s="12" t="n">
        <v>85</v>
      </c>
      <c r="S4034" s="12" t="inlineStr">
        <is>
          <t>Duct bank</t>
        </is>
      </c>
      <c r="T4034" s="16" t="n">
        <v>10</v>
      </c>
      <c r="U4034" s="16" t="n">
        <v>150</v>
      </c>
      <c r="V4034" s="16">
        <f>ROUNDUP((T4034+U4034+2*'Read Me'!$B$13)*(1+'Read Me'!$B$12),-1)</f>
        <v/>
      </c>
      <c r="W4034" s="16">
        <f>V4034*N4034*O4034</f>
        <v/>
      </c>
      <c r="X4034" s="12">
        <f>IF(LEFT(I4034,2)="MV",2*N4034*IF(L4034="1/C",O4034,1),0)</f>
        <v/>
      </c>
      <c r="Y4034" s="12">
        <f>IF(OR(LEFT(K4034,4)="LVAX",LEFT(K4034,6)="MV15AX",LEFT(K4034,4)="CTAX",LEFT(K4034,2)="W|"),2*N4034*O4034,0)</f>
        <v/>
      </c>
      <c r="Z4034" s="12" t="inlineStr"/>
      <c r="AA4034" s="12">
        <f>N4034*O4034</f>
        <v/>
      </c>
    </row>
    <row r="4035">
      <c r="A4035" s="12" t="inlineStr">
        <is>
          <t>H-P-0034</t>
        </is>
      </c>
      <c r="B4035" s="12" t="inlineStr">
        <is>
          <t>H</t>
        </is>
      </c>
      <c r="C4035" s="12" t="inlineStr">
        <is>
          <t>BESS</t>
        </is>
      </c>
      <c r="D4035" s="12" t="inlineStr">
        <is>
          <t>Container auxiliary 480 V</t>
        </is>
      </c>
      <c r="E4035" s="12" t="inlineStr"/>
      <c r="F4035" s="12" t="inlineStr">
        <is>
          <t>BESS PCS / MV skid</t>
        </is>
      </c>
      <c r="G4035" s="12" t="inlineStr"/>
      <c r="H4035" s="12" t="inlineStr">
        <is>
          <t>BESS container (ISO 40 ft high cube)</t>
        </is>
      </c>
      <c r="I4035" s="12" t="inlineStr">
        <is>
          <t>LV 600 V</t>
        </is>
      </c>
      <c r="J4035" s="12" t="inlineStr">
        <is>
          <t>Type TC-ER 600 V 3/C Cu XHHW-2 + ground, PVC jacket</t>
        </is>
      </c>
      <c r="K4035" s="12" t="inlineStr">
        <is>
          <t>LV|3/C+G|2</t>
        </is>
      </c>
      <c r="L4035" s="12" t="inlineStr">
        <is>
          <t>3/C+G</t>
        </is>
      </c>
      <c r="M4035" s="12" t="inlineStr">
        <is>
          <t>2</t>
        </is>
      </c>
      <c r="N4035" s="12" t="n">
        <v>1</v>
      </c>
      <c r="O4035" s="12" t="n">
        <v>1</v>
      </c>
      <c r="P4035" s="12" t="n">
        <v>480</v>
      </c>
      <c r="Q4035" s="12" t="n">
        <v>60</v>
      </c>
      <c r="R4035" s="12" t="n">
        <v>85</v>
      </c>
      <c r="S4035" s="12" t="inlineStr">
        <is>
          <t>Tray</t>
        </is>
      </c>
      <c r="T4035" s="16" t="n">
        <v>0</v>
      </c>
      <c r="U4035" s="16" t="n">
        <v>160</v>
      </c>
      <c r="V4035" s="16">
        <f>ROUNDUP((T4035+U4035+2*'Read Me'!$B$13)*(1+'Read Me'!$B$12),-1)</f>
        <v/>
      </c>
      <c r="W4035" s="16">
        <f>V4035*N4035*O4035</f>
        <v/>
      </c>
      <c r="X4035" s="12">
        <f>IF(LEFT(I4035,2)="MV",2*N4035*IF(L4035="1/C",O4035,1),0)</f>
        <v/>
      </c>
      <c r="Y4035" s="12">
        <f>IF(OR(LEFT(K4035,4)="LVAX",LEFT(K4035,6)="MV15AX",LEFT(K4035,4)="CTAX",LEFT(K4035,2)="W|"),2*N4035*O4035,0)</f>
        <v/>
      </c>
      <c r="Z4035" s="12" t="inlineStr"/>
      <c r="AA4035" s="12">
        <f>N4035*O4035</f>
        <v/>
      </c>
    </row>
    <row r="4036">
      <c r="A4036" s="12" t="inlineStr">
        <is>
          <t>H-P-0035</t>
        </is>
      </c>
      <c r="B4036" s="12" t="inlineStr">
        <is>
          <t>H</t>
        </is>
      </c>
      <c r="C4036" s="12" t="inlineStr">
        <is>
          <t>BESS</t>
        </is>
      </c>
      <c r="D4036" s="12" t="inlineStr">
        <is>
          <t>Container auxiliary 480 V</t>
        </is>
      </c>
      <c r="E4036" s="12" t="inlineStr"/>
      <c r="F4036" s="12" t="inlineStr">
        <is>
          <t>BESS PCS / MV skid</t>
        </is>
      </c>
      <c r="G4036" s="12" t="inlineStr"/>
      <c r="H4036" s="12" t="inlineStr">
        <is>
          <t>BESS container (ISO 40 ft high cube)</t>
        </is>
      </c>
      <c r="I4036" s="12" t="inlineStr">
        <is>
          <t>LV 600 V</t>
        </is>
      </c>
      <c r="J4036" s="12" t="inlineStr">
        <is>
          <t>Type TC-ER 600 V 3/C Cu XHHW-2 + ground, PVC jacket</t>
        </is>
      </c>
      <c r="K4036" s="12" t="inlineStr">
        <is>
          <t>LV|3/C+G|2</t>
        </is>
      </c>
      <c r="L4036" s="12" t="inlineStr">
        <is>
          <t>3/C+G</t>
        </is>
      </c>
      <c r="M4036" s="12" t="inlineStr">
        <is>
          <t>2</t>
        </is>
      </c>
      <c r="N4036" s="12" t="n">
        <v>1</v>
      </c>
      <c r="O4036" s="12" t="n">
        <v>1</v>
      </c>
      <c r="P4036" s="12" t="n">
        <v>480</v>
      </c>
      <c r="Q4036" s="12" t="n">
        <v>60</v>
      </c>
      <c r="R4036" s="12" t="n">
        <v>85</v>
      </c>
      <c r="S4036" s="12" t="inlineStr">
        <is>
          <t>Tray</t>
        </is>
      </c>
      <c r="T4036" s="16" t="n">
        <v>0</v>
      </c>
      <c r="U4036" s="16" t="n">
        <v>200</v>
      </c>
      <c r="V4036" s="16">
        <f>ROUNDUP((T4036+U4036+2*'Read Me'!$B$13)*(1+'Read Me'!$B$12),-1)</f>
        <v/>
      </c>
      <c r="W4036" s="16">
        <f>V4036*N4036*O4036</f>
        <v/>
      </c>
      <c r="X4036" s="12">
        <f>IF(LEFT(I4036,2)="MV",2*N4036*IF(L4036="1/C",O4036,1),0)</f>
        <v/>
      </c>
      <c r="Y4036" s="12">
        <f>IF(OR(LEFT(K4036,4)="LVAX",LEFT(K4036,6)="MV15AX",LEFT(K4036,4)="CTAX",LEFT(K4036,2)="W|"),2*N4036*O4036,0)</f>
        <v/>
      </c>
      <c r="Z4036" s="12" t="inlineStr"/>
      <c r="AA4036" s="12">
        <f>N4036*O4036</f>
        <v/>
      </c>
    </row>
    <row r="4037">
      <c r="A4037" s="12" t="inlineStr">
        <is>
          <t>H-P-0036</t>
        </is>
      </c>
      <c r="B4037" s="12" t="inlineStr">
        <is>
          <t>H</t>
        </is>
      </c>
      <c r="C4037" s="12" t="inlineStr">
        <is>
          <t>BESS</t>
        </is>
      </c>
      <c r="D4037" s="12" t="inlineStr">
        <is>
          <t>Container auxiliary 480 V</t>
        </is>
      </c>
      <c r="E4037" s="12" t="inlineStr"/>
      <c r="F4037" s="12" t="inlineStr">
        <is>
          <t>BESS PCS / MV skid</t>
        </is>
      </c>
      <c r="G4037" s="12" t="inlineStr"/>
      <c r="H4037" s="12" t="inlineStr">
        <is>
          <t>BESS container (ISO 40 ft high cube)</t>
        </is>
      </c>
      <c r="I4037" s="12" t="inlineStr">
        <is>
          <t>LV 600 V</t>
        </is>
      </c>
      <c r="J4037" s="12" t="inlineStr">
        <is>
          <t>Type TC-ER 600 V 3/C Cu XHHW-2 + ground, PVC jacket</t>
        </is>
      </c>
      <c r="K4037" s="12" t="inlineStr">
        <is>
          <t>LV|3/C+G|2</t>
        </is>
      </c>
      <c r="L4037" s="12" t="inlineStr">
        <is>
          <t>3/C+G</t>
        </is>
      </c>
      <c r="M4037" s="12" t="inlineStr">
        <is>
          <t>2</t>
        </is>
      </c>
      <c r="N4037" s="12" t="n">
        <v>1</v>
      </c>
      <c r="O4037" s="12" t="n">
        <v>1</v>
      </c>
      <c r="P4037" s="12" t="n">
        <v>480</v>
      </c>
      <c r="Q4037" s="12" t="n">
        <v>60</v>
      </c>
      <c r="R4037" s="12" t="n">
        <v>85</v>
      </c>
      <c r="S4037" s="12" t="inlineStr">
        <is>
          <t>Tray</t>
        </is>
      </c>
      <c r="T4037" s="16" t="n">
        <v>0</v>
      </c>
      <c r="U4037" s="16" t="n">
        <v>200</v>
      </c>
      <c r="V4037" s="16">
        <f>ROUNDUP((T4037+U4037+2*'Read Me'!$B$13)*(1+'Read Me'!$B$12),-1)</f>
        <v/>
      </c>
      <c r="W4037" s="16">
        <f>V4037*N4037*O4037</f>
        <v/>
      </c>
      <c r="X4037" s="12">
        <f>IF(LEFT(I4037,2)="MV",2*N4037*IF(L4037="1/C",O4037,1),0)</f>
        <v/>
      </c>
      <c r="Y4037" s="12">
        <f>IF(OR(LEFT(K4037,4)="LVAX",LEFT(K4037,6)="MV15AX",LEFT(K4037,4)="CTAX",LEFT(K4037,2)="W|"),2*N4037*O4037,0)</f>
        <v/>
      </c>
      <c r="Z4037" s="12" t="inlineStr"/>
      <c r="AA4037" s="12">
        <f>N4037*O4037</f>
        <v/>
      </c>
    </row>
    <row r="4038">
      <c r="A4038" s="12" t="inlineStr">
        <is>
          <t>H-P-0037</t>
        </is>
      </c>
      <c r="B4038" s="12" t="inlineStr">
        <is>
          <t>H</t>
        </is>
      </c>
      <c r="C4038" s="12" t="inlineStr">
        <is>
          <t>BESS</t>
        </is>
      </c>
      <c r="D4038" s="12" t="inlineStr">
        <is>
          <t>Container auxiliary 480 V</t>
        </is>
      </c>
      <c r="E4038" s="12" t="inlineStr"/>
      <c r="F4038" s="12" t="inlineStr">
        <is>
          <t>BESS PCS / MV skid</t>
        </is>
      </c>
      <c r="G4038" s="12" t="inlineStr"/>
      <c r="H4038" s="12" t="inlineStr">
        <is>
          <t>BESS container (ISO 40 ft high cube)</t>
        </is>
      </c>
      <c r="I4038" s="12" t="inlineStr">
        <is>
          <t>LV 600 V</t>
        </is>
      </c>
      <c r="J4038" s="12" t="inlineStr">
        <is>
          <t>Type TC-ER 600 V 3/C Cu XHHW-2 + ground, PVC jacket</t>
        </is>
      </c>
      <c r="K4038" s="12" t="inlineStr">
        <is>
          <t>LV|3/C+G|2</t>
        </is>
      </c>
      <c r="L4038" s="12" t="inlineStr">
        <is>
          <t>3/C+G</t>
        </is>
      </c>
      <c r="M4038" s="12" t="inlineStr">
        <is>
          <t>2</t>
        </is>
      </c>
      <c r="N4038" s="12" t="n">
        <v>1</v>
      </c>
      <c r="O4038" s="12" t="n">
        <v>1</v>
      </c>
      <c r="P4038" s="12" t="n">
        <v>480</v>
      </c>
      <c r="Q4038" s="12" t="n">
        <v>60</v>
      </c>
      <c r="R4038" s="12" t="n">
        <v>85</v>
      </c>
      <c r="S4038" s="12" t="inlineStr">
        <is>
          <t>Tray</t>
        </is>
      </c>
      <c r="T4038" s="16" t="n">
        <v>0</v>
      </c>
      <c r="U4038" s="16" t="n">
        <v>168</v>
      </c>
      <c r="V4038" s="16">
        <f>ROUNDUP((T4038+U4038+2*'Read Me'!$B$13)*(1+'Read Me'!$B$12),-1)</f>
        <v/>
      </c>
      <c r="W4038" s="16">
        <f>V4038*N4038*O4038</f>
        <v/>
      </c>
      <c r="X4038" s="12">
        <f>IF(LEFT(I4038,2)="MV",2*N4038*IF(L4038="1/C",O4038,1),0)</f>
        <v/>
      </c>
      <c r="Y4038" s="12">
        <f>IF(OR(LEFT(K4038,4)="LVAX",LEFT(K4038,6)="MV15AX",LEFT(K4038,4)="CTAX",LEFT(K4038,2)="W|"),2*N4038*O4038,0)</f>
        <v/>
      </c>
      <c r="Z4038" s="12" t="inlineStr"/>
      <c r="AA4038" s="12">
        <f>N4038*O4038</f>
        <v/>
      </c>
    </row>
    <row r="4039">
      <c r="A4039" s="12" t="inlineStr">
        <is>
          <t>H-P-0038</t>
        </is>
      </c>
      <c r="B4039" s="12" t="inlineStr">
        <is>
          <t>H</t>
        </is>
      </c>
      <c r="C4039" s="12" t="inlineStr">
        <is>
          <t>BESS</t>
        </is>
      </c>
      <c r="D4039" s="12" t="inlineStr">
        <is>
          <t>Container auxiliary 480 V</t>
        </is>
      </c>
      <c r="E4039" s="12" t="inlineStr"/>
      <c r="F4039" s="12" t="inlineStr">
        <is>
          <t>BESS PCS / MV skid</t>
        </is>
      </c>
      <c r="G4039" s="12" t="inlineStr"/>
      <c r="H4039" s="12" t="inlineStr">
        <is>
          <t>BESS container (ISO 40 ft high cube)</t>
        </is>
      </c>
      <c r="I4039" s="12" t="inlineStr">
        <is>
          <t>LV 600 V</t>
        </is>
      </c>
      <c r="J4039" s="12" t="inlineStr">
        <is>
          <t>Type TC-ER 600 V 3/C Cu XHHW-2 + ground, PVC jacket</t>
        </is>
      </c>
      <c r="K4039" s="12" t="inlineStr">
        <is>
          <t>LV|3/C+G|2</t>
        </is>
      </c>
      <c r="L4039" s="12" t="inlineStr">
        <is>
          <t>3/C+G</t>
        </is>
      </c>
      <c r="M4039" s="12" t="inlineStr">
        <is>
          <t>2</t>
        </is>
      </c>
      <c r="N4039" s="12" t="n">
        <v>1</v>
      </c>
      <c r="O4039" s="12" t="n">
        <v>1</v>
      </c>
      <c r="P4039" s="12" t="n">
        <v>480</v>
      </c>
      <c r="Q4039" s="12" t="n">
        <v>60</v>
      </c>
      <c r="R4039" s="12" t="n">
        <v>85</v>
      </c>
      <c r="S4039" s="12" t="inlineStr">
        <is>
          <t>Tray</t>
        </is>
      </c>
      <c r="T4039" s="16" t="n">
        <v>0</v>
      </c>
      <c r="U4039" s="16" t="n">
        <v>168</v>
      </c>
      <c r="V4039" s="16">
        <f>ROUNDUP((T4039+U4039+2*'Read Me'!$B$13)*(1+'Read Me'!$B$12),-1)</f>
        <v/>
      </c>
      <c r="W4039" s="16">
        <f>V4039*N4039*O4039</f>
        <v/>
      </c>
      <c r="X4039" s="12">
        <f>IF(LEFT(I4039,2)="MV",2*N4039*IF(L4039="1/C",O4039,1),0)</f>
        <v/>
      </c>
      <c r="Y4039" s="12">
        <f>IF(OR(LEFT(K4039,4)="LVAX",LEFT(K4039,6)="MV15AX",LEFT(K4039,4)="CTAX",LEFT(K4039,2)="W|"),2*N4039*O4039,0)</f>
        <v/>
      </c>
      <c r="Z4039" s="12" t="inlineStr"/>
      <c r="AA4039" s="12">
        <f>N4039*O4039</f>
        <v/>
      </c>
    </row>
    <row r="4040">
      <c r="A4040" s="12" t="inlineStr">
        <is>
          <t>H-P-0039</t>
        </is>
      </c>
      <c r="B4040" s="12" t="inlineStr">
        <is>
          <t>H</t>
        </is>
      </c>
      <c r="C4040" s="12" t="inlineStr">
        <is>
          <t>BESS</t>
        </is>
      </c>
      <c r="D4040" s="12" t="inlineStr">
        <is>
          <t>Container auxiliary 480 V</t>
        </is>
      </c>
      <c r="E4040" s="12" t="inlineStr"/>
      <c r="F4040" s="12" t="inlineStr">
        <is>
          <t>BESS PCS / MV skid</t>
        </is>
      </c>
      <c r="G4040" s="12" t="inlineStr"/>
      <c r="H4040" s="12" t="inlineStr">
        <is>
          <t>BESS container (ISO 40 ft high cube)</t>
        </is>
      </c>
      <c r="I4040" s="12" t="inlineStr">
        <is>
          <t>LV 600 V</t>
        </is>
      </c>
      <c r="J4040" s="12" t="inlineStr">
        <is>
          <t>Type TC-ER 600 V 3/C Cu XHHW-2 + ground, PVC jacket</t>
        </is>
      </c>
      <c r="K4040" s="12" t="inlineStr">
        <is>
          <t>LV|3/C+G|2</t>
        </is>
      </c>
      <c r="L4040" s="12" t="inlineStr">
        <is>
          <t>3/C+G</t>
        </is>
      </c>
      <c r="M4040" s="12" t="inlineStr">
        <is>
          <t>2</t>
        </is>
      </c>
      <c r="N4040" s="12" t="n">
        <v>1</v>
      </c>
      <c r="O4040" s="12" t="n">
        <v>1</v>
      </c>
      <c r="P4040" s="12" t="n">
        <v>480</v>
      </c>
      <c r="Q4040" s="12" t="n">
        <v>60</v>
      </c>
      <c r="R4040" s="12" t="n">
        <v>85</v>
      </c>
      <c r="S4040" s="12" t="inlineStr">
        <is>
          <t>Duct bank</t>
        </is>
      </c>
      <c r="T4040" s="16" t="n">
        <v>10</v>
      </c>
      <c r="U4040" s="16" t="n">
        <v>266</v>
      </c>
      <c r="V4040" s="16">
        <f>ROUNDUP((T4040+U4040+2*'Read Me'!$B$13)*(1+'Read Me'!$B$12),-1)</f>
        <v/>
      </c>
      <c r="W4040" s="16">
        <f>V4040*N4040*O4040</f>
        <v/>
      </c>
      <c r="X4040" s="12">
        <f>IF(LEFT(I4040,2)="MV",2*N4040*IF(L4040="1/C",O4040,1),0)</f>
        <v/>
      </c>
      <c r="Y4040" s="12">
        <f>IF(OR(LEFT(K4040,4)="LVAX",LEFT(K4040,6)="MV15AX",LEFT(K4040,4)="CTAX",LEFT(K4040,2)="W|"),2*N4040*O4040,0)</f>
        <v/>
      </c>
      <c r="Z4040" s="12" t="inlineStr"/>
      <c r="AA4040" s="12">
        <f>N4040*O4040</f>
        <v/>
      </c>
    </row>
    <row r="4041">
      <c r="A4041" s="12" t="inlineStr">
        <is>
          <t>H-P-0040</t>
        </is>
      </c>
      <c r="B4041" s="12" t="inlineStr">
        <is>
          <t>H</t>
        </is>
      </c>
      <c r="C4041" s="12" t="inlineStr">
        <is>
          <t>BESS</t>
        </is>
      </c>
      <c r="D4041" s="12" t="inlineStr">
        <is>
          <t>Container auxiliary 480 V</t>
        </is>
      </c>
      <c r="E4041" s="12" t="inlineStr"/>
      <c r="F4041" s="12" t="inlineStr">
        <is>
          <t>BESS PCS / MV skid</t>
        </is>
      </c>
      <c r="G4041" s="12" t="inlineStr"/>
      <c r="H4041" s="12" t="inlineStr">
        <is>
          <t>BESS container (ISO 40 ft high cube)</t>
        </is>
      </c>
      <c r="I4041" s="12" t="inlineStr">
        <is>
          <t>LV 600 V</t>
        </is>
      </c>
      <c r="J4041" s="12" t="inlineStr">
        <is>
          <t>Type TC-ER 600 V 3/C Cu XHHW-2 + ground, PVC jacket</t>
        </is>
      </c>
      <c r="K4041" s="12" t="inlineStr">
        <is>
          <t>LV|3/C+G|2</t>
        </is>
      </c>
      <c r="L4041" s="12" t="inlineStr">
        <is>
          <t>3/C+G</t>
        </is>
      </c>
      <c r="M4041" s="12" t="inlineStr">
        <is>
          <t>2</t>
        </is>
      </c>
      <c r="N4041" s="12" t="n">
        <v>1</v>
      </c>
      <c r="O4041" s="12" t="n">
        <v>1</v>
      </c>
      <c r="P4041" s="12" t="n">
        <v>480</v>
      </c>
      <c r="Q4041" s="12" t="n">
        <v>60</v>
      </c>
      <c r="R4041" s="12" t="n">
        <v>85</v>
      </c>
      <c r="S4041" s="12" t="inlineStr">
        <is>
          <t>Tray</t>
        </is>
      </c>
      <c r="T4041" s="16" t="n">
        <v>0</v>
      </c>
      <c r="U4041" s="16" t="n">
        <v>276</v>
      </c>
      <c r="V4041" s="16">
        <f>ROUNDUP((T4041+U4041+2*'Read Me'!$B$13)*(1+'Read Me'!$B$12),-1)</f>
        <v/>
      </c>
      <c r="W4041" s="16">
        <f>V4041*N4041*O4041</f>
        <v/>
      </c>
      <c r="X4041" s="12">
        <f>IF(LEFT(I4041,2)="MV",2*N4041*IF(L4041="1/C",O4041,1),0)</f>
        <v/>
      </c>
      <c r="Y4041" s="12">
        <f>IF(OR(LEFT(K4041,4)="LVAX",LEFT(K4041,6)="MV15AX",LEFT(K4041,4)="CTAX",LEFT(K4041,2)="W|"),2*N4041*O4041,0)</f>
        <v/>
      </c>
      <c r="Z4041" s="12" t="inlineStr"/>
      <c r="AA4041" s="12">
        <f>N4041*O4041</f>
        <v/>
      </c>
    </row>
    <row r="4042">
      <c r="A4042" s="12" t="inlineStr">
        <is>
          <t>H-P-0041</t>
        </is>
      </c>
      <c r="B4042" s="12" t="inlineStr">
        <is>
          <t>H</t>
        </is>
      </c>
      <c r="C4042" s="12" t="inlineStr">
        <is>
          <t>BESS</t>
        </is>
      </c>
      <c r="D4042" s="12" t="inlineStr">
        <is>
          <t>Container auxiliary 480 V</t>
        </is>
      </c>
      <c r="E4042" s="12" t="inlineStr"/>
      <c r="F4042" s="12" t="inlineStr">
        <is>
          <t>BESS PCS / MV skid</t>
        </is>
      </c>
      <c r="G4042" s="12" t="inlineStr"/>
      <c r="H4042" s="12" t="inlineStr">
        <is>
          <t>BESS container (ISO 40 ft high cube)</t>
        </is>
      </c>
      <c r="I4042" s="12" t="inlineStr">
        <is>
          <t>LV 600 V</t>
        </is>
      </c>
      <c r="J4042" s="12" t="inlineStr">
        <is>
          <t>Type TC-ER 600 V 3/C Cu XHHW-2 + ground, PVC jacket</t>
        </is>
      </c>
      <c r="K4042" s="12" t="inlineStr">
        <is>
          <t>LV|3/C+G|2</t>
        </is>
      </c>
      <c r="L4042" s="12" t="inlineStr">
        <is>
          <t>3/C+G</t>
        </is>
      </c>
      <c r="M4042" s="12" t="inlineStr">
        <is>
          <t>2</t>
        </is>
      </c>
      <c r="N4042" s="12" t="n">
        <v>1</v>
      </c>
      <c r="O4042" s="12" t="n">
        <v>1</v>
      </c>
      <c r="P4042" s="12" t="n">
        <v>480</v>
      </c>
      <c r="Q4042" s="12" t="n">
        <v>60</v>
      </c>
      <c r="R4042" s="12" t="n">
        <v>85</v>
      </c>
      <c r="S4042" s="12" t="inlineStr">
        <is>
          <t>Tray</t>
        </is>
      </c>
      <c r="T4042" s="16" t="n">
        <v>0</v>
      </c>
      <c r="U4042" s="16" t="n">
        <v>316</v>
      </c>
      <c r="V4042" s="16">
        <f>ROUNDUP((T4042+U4042+2*'Read Me'!$B$13)*(1+'Read Me'!$B$12),-1)</f>
        <v/>
      </c>
      <c r="W4042" s="16">
        <f>V4042*N4042*O4042</f>
        <v/>
      </c>
      <c r="X4042" s="12">
        <f>IF(LEFT(I4042,2)="MV",2*N4042*IF(L4042="1/C",O4042,1),0)</f>
        <v/>
      </c>
      <c r="Y4042" s="12">
        <f>IF(OR(LEFT(K4042,4)="LVAX",LEFT(K4042,6)="MV15AX",LEFT(K4042,4)="CTAX",LEFT(K4042,2)="W|"),2*N4042*O4042,0)</f>
        <v/>
      </c>
      <c r="Z4042" s="12" t="inlineStr"/>
      <c r="AA4042" s="12">
        <f>N4042*O4042</f>
        <v/>
      </c>
    </row>
    <row r="4043">
      <c r="A4043" s="12" t="inlineStr">
        <is>
          <t>H-P-0042</t>
        </is>
      </c>
      <c r="B4043" s="12" t="inlineStr">
        <is>
          <t>H</t>
        </is>
      </c>
      <c r="C4043" s="12" t="inlineStr">
        <is>
          <t>BESS</t>
        </is>
      </c>
      <c r="D4043" s="12" t="inlineStr">
        <is>
          <t>Container auxiliary 480 V</t>
        </is>
      </c>
      <c r="E4043" s="12" t="inlineStr"/>
      <c r="F4043" s="12" t="inlineStr">
        <is>
          <t>BESS PCS / MV skid</t>
        </is>
      </c>
      <c r="G4043" s="12" t="inlineStr"/>
      <c r="H4043" s="12" t="inlineStr">
        <is>
          <t>BESS container (ISO 40 ft high cube)</t>
        </is>
      </c>
      <c r="I4043" s="12" t="inlineStr">
        <is>
          <t>LV 600 V</t>
        </is>
      </c>
      <c r="J4043" s="12" t="inlineStr">
        <is>
          <t>Type TC-ER 600 V 3/C Cu XHHW-2 + ground, PVC jacket</t>
        </is>
      </c>
      <c r="K4043" s="12" t="inlineStr">
        <is>
          <t>LV|3/C+G|2</t>
        </is>
      </c>
      <c r="L4043" s="12" t="inlineStr">
        <is>
          <t>3/C+G</t>
        </is>
      </c>
      <c r="M4043" s="12" t="inlineStr">
        <is>
          <t>2</t>
        </is>
      </c>
      <c r="N4043" s="12" t="n">
        <v>1</v>
      </c>
      <c r="O4043" s="12" t="n">
        <v>1</v>
      </c>
      <c r="P4043" s="12" t="n">
        <v>480</v>
      </c>
      <c r="Q4043" s="12" t="n">
        <v>60</v>
      </c>
      <c r="R4043" s="12" t="n">
        <v>85</v>
      </c>
      <c r="S4043" s="12" t="inlineStr">
        <is>
          <t>Tray</t>
        </is>
      </c>
      <c r="T4043" s="16" t="n">
        <v>0</v>
      </c>
      <c r="U4043" s="16" t="n">
        <v>316</v>
      </c>
      <c r="V4043" s="16">
        <f>ROUNDUP((T4043+U4043+2*'Read Me'!$B$13)*(1+'Read Me'!$B$12),-1)</f>
        <v/>
      </c>
      <c r="W4043" s="16">
        <f>V4043*N4043*O4043</f>
        <v/>
      </c>
      <c r="X4043" s="12">
        <f>IF(LEFT(I4043,2)="MV",2*N4043*IF(L4043="1/C",O4043,1),0)</f>
        <v/>
      </c>
      <c r="Y4043" s="12">
        <f>IF(OR(LEFT(K4043,4)="LVAX",LEFT(K4043,6)="MV15AX",LEFT(K4043,4)="CTAX",LEFT(K4043,2)="W|"),2*N4043*O4043,0)</f>
        <v/>
      </c>
      <c r="Z4043" s="12" t="inlineStr"/>
      <c r="AA4043" s="12">
        <f>N4043*O4043</f>
        <v/>
      </c>
    </row>
    <row r="4044">
      <c r="A4044" s="12" t="inlineStr">
        <is>
          <t>H-P-0043</t>
        </is>
      </c>
      <c r="B4044" s="12" t="inlineStr">
        <is>
          <t>H</t>
        </is>
      </c>
      <c r="C4044" s="12" t="inlineStr">
        <is>
          <t>BESS</t>
        </is>
      </c>
      <c r="D4044" s="12" t="inlineStr">
        <is>
          <t>Container auxiliary 480 V</t>
        </is>
      </c>
      <c r="E4044" s="12" t="inlineStr"/>
      <c r="F4044" s="12" t="inlineStr">
        <is>
          <t>BESS PCS / MV skid</t>
        </is>
      </c>
      <c r="G4044" s="12" t="inlineStr"/>
      <c r="H4044" s="12" t="inlineStr">
        <is>
          <t>BESS container (ISO 40 ft high cube)</t>
        </is>
      </c>
      <c r="I4044" s="12" t="inlineStr">
        <is>
          <t>LV 600 V</t>
        </is>
      </c>
      <c r="J4044" s="12" t="inlineStr">
        <is>
          <t>Type TC-ER 600 V 3/C Cu XHHW-2 + ground, PVC jacket</t>
        </is>
      </c>
      <c r="K4044" s="12" t="inlineStr">
        <is>
          <t>LV|3/C+G|2</t>
        </is>
      </c>
      <c r="L4044" s="12" t="inlineStr">
        <is>
          <t>3/C+G</t>
        </is>
      </c>
      <c r="M4044" s="12" t="inlineStr">
        <is>
          <t>2</t>
        </is>
      </c>
      <c r="N4044" s="12" t="n">
        <v>1</v>
      </c>
      <c r="O4044" s="12" t="n">
        <v>1</v>
      </c>
      <c r="P4044" s="12" t="n">
        <v>480</v>
      </c>
      <c r="Q4044" s="12" t="n">
        <v>60</v>
      </c>
      <c r="R4044" s="12" t="n">
        <v>85</v>
      </c>
      <c r="S4044" s="12" t="inlineStr">
        <is>
          <t>Tray</t>
        </is>
      </c>
      <c r="T4044" s="16" t="n">
        <v>0</v>
      </c>
      <c r="U4044" s="16" t="n">
        <v>284</v>
      </c>
      <c r="V4044" s="16">
        <f>ROUNDUP((T4044+U4044+2*'Read Me'!$B$13)*(1+'Read Me'!$B$12),-1)</f>
        <v/>
      </c>
      <c r="W4044" s="16">
        <f>V4044*N4044*O4044</f>
        <v/>
      </c>
      <c r="X4044" s="12">
        <f>IF(LEFT(I4044,2)="MV",2*N4044*IF(L4044="1/C",O4044,1),0)</f>
        <v/>
      </c>
      <c r="Y4044" s="12">
        <f>IF(OR(LEFT(K4044,4)="LVAX",LEFT(K4044,6)="MV15AX",LEFT(K4044,4)="CTAX",LEFT(K4044,2)="W|"),2*N4044*O4044,0)</f>
        <v/>
      </c>
      <c r="Z4044" s="12" t="inlineStr"/>
      <c r="AA4044" s="12">
        <f>N4044*O4044</f>
        <v/>
      </c>
    </row>
    <row r="4045">
      <c r="A4045" s="12" t="inlineStr">
        <is>
          <t>H-P-0044</t>
        </is>
      </c>
      <c r="B4045" s="12" t="inlineStr">
        <is>
          <t>H</t>
        </is>
      </c>
      <c r="C4045" s="12" t="inlineStr">
        <is>
          <t>BESS</t>
        </is>
      </c>
      <c r="D4045" s="12" t="inlineStr">
        <is>
          <t>Container auxiliary 480 V</t>
        </is>
      </c>
      <c r="E4045" s="12" t="inlineStr"/>
      <c r="F4045" s="12" t="inlineStr">
        <is>
          <t>BESS PCS / MV skid</t>
        </is>
      </c>
      <c r="G4045" s="12" t="inlineStr"/>
      <c r="H4045" s="12" t="inlineStr">
        <is>
          <t>BESS container (ISO 40 ft high cube)</t>
        </is>
      </c>
      <c r="I4045" s="12" t="inlineStr">
        <is>
          <t>LV 600 V</t>
        </is>
      </c>
      <c r="J4045" s="12" t="inlineStr">
        <is>
          <t>Type TC-ER 600 V 3/C Cu XHHW-2 + ground, PVC jacket</t>
        </is>
      </c>
      <c r="K4045" s="12" t="inlineStr">
        <is>
          <t>LV|3/C+G|2</t>
        </is>
      </c>
      <c r="L4045" s="12" t="inlineStr">
        <is>
          <t>3/C+G</t>
        </is>
      </c>
      <c r="M4045" s="12" t="inlineStr">
        <is>
          <t>2</t>
        </is>
      </c>
      <c r="N4045" s="12" t="n">
        <v>1</v>
      </c>
      <c r="O4045" s="12" t="n">
        <v>1</v>
      </c>
      <c r="P4045" s="12" t="n">
        <v>480</v>
      </c>
      <c r="Q4045" s="12" t="n">
        <v>60</v>
      </c>
      <c r="R4045" s="12" t="n">
        <v>85</v>
      </c>
      <c r="S4045" s="12" t="inlineStr">
        <is>
          <t>Tray</t>
        </is>
      </c>
      <c r="T4045" s="16" t="n">
        <v>0</v>
      </c>
      <c r="U4045" s="16" t="n">
        <v>284</v>
      </c>
      <c r="V4045" s="16">
        <f>ROUNDUP((T4045+U4045+2*'Read Me'!$B$13)*(1+'Read Me'!$B$12),-1)</f>
        <v/>
      </c>
      <c r="W4045" s="16">
        <f>V4045*N4045*O4045</f>
        <v/>
      </c>
      <c r="X4045" s="12">
        <f>IF(LEFT(I4045,2)="MV",2*N4045*IF(L4045="1/C",O4045,1),0)</f>
        <v/>
      </c>
      <c r="Y4045" s="12">
        <f>IF(OR(LEFT(K4045,4)="LVAX",LEFT(K4045,6)="MV15AX",LEFT(K4045,4)="CTAX",LEFT(K4045,2)="W|"),2*N4045*O4045,0)</f>
        <v/>
      </c>
      <c r="Z4045" s="12" t="inlineStr"/>
      <c r="AA4045" s="12">
        <f>N4045*O4045</f>
        <v/>
      </c>
    </row>
    <row r="4046">
      <c r="A4046" s="12" t="inlineStr">
        <is>
          <t>H-P-0045</t>
        </is>
      </c>
      <c r="B4046" s="12" t="inlineStr">
        <is>
          <t>H</t>
        </is>
      </c>
      <c r="C4046" s="12" t="inlineStr">
        <is>
          <t>BESS</t>
        </is>
      </c>
      <c r="D4046" s="12" t="inlineStr">
        <is>
          <t>Container auxiliary 480 V</t>
        </is>
      </c>
      <c r="E4046" s="12" t="inlineStr"/>
      <c r="F4046" s="12" t="inlineStr">
        <is>
          <t>BESS PCS / MV skid</t>
        </is>
      </c>
      <c r="G4046" s="12" t="inlineStr"/>
      <c r="H4046" s="12" t="inlineStr">
        <is>
          <t>BESS container (ISO 40 ft high cube)</t>
        </is>
      </c>
      <c r="I4046" s="12" t="inlineStr">
        <is>
          <t>LV 600 V</t>
        </is>
      </c>
      <c r="J4046" s="12" t="inlineStr">
        <is>
          <t>Type TC-ER 600 V 3/C Cu XHHW-2 + ground, PVC jacket</t>
        </is>
      </c>
      <c r="K4046" s="12" t="inlineStr">
        <is>
          <t>LV|3/C+G|2</t>
        </is>
      </c>
      <c r="L4046" s="12" t="inlineStr">
        <is>
          <t>3/C+G</t>
        </is>
      </c>
      <c r="M4046" s="12" t="inlineStr">
        <is>
          <t>2</t>
        </is>
      </c>
      <c r="N4046" s="12" t="n">
        <v>1</v>
      </c>
      <c r="O4046" s="12" t="n">
        <v>1</v>
      </c>
      <c r="P4046" s="12" t="n">
        <v>480</v>
      </c>
      <c r="Q4046" s="12" t="n">
        <v>60</v>
      </c>
      <c r="R4046" s="12" t="n">
        <v>85</v>
      </c>
      <c r="S4046" s="12" t="inlineStr">
        <is>
          <t>Tray</t>
        </is>
      </c>
      <c r="T4046" s="16" t="n">
        <v>0</v>
      </c>
      <c r="U4046" s="16" t="n">
        <v>290</v>
      </c>
      <c r="V4046" s="16">
        <f>ROUNDUP((T4046+U4046+2*'Read Me'!$B$13)*(1+'Read Me'!$B$12),-1)</f>
        <v/>
      </c>
      <c r="W4046" s="16">
        <f>V4046*N4046*O4046</f>
        <v/>
      </c>
      <c r="X4046" s="12">
        <f>IF(LEFT(I4046,2)="MV",2*N4046*IF(L4046="1/C",O4046,1),0)</f>
        <v/>
      </c>
      <c r="Y4046" s="12">
        <f>IF(OR(LEFT(K4046,4)="LVAX",LEFT(K4046,6)="MV15AX",LEFT(K4046,4)="CTAX",LEFT(K4046,2)="W|"),2*N4046*O4046,0)</f>
        <v/>
      </c>
      <c r="Z4046" s="12" t="inlineStr"/>
      <c r="AA4046" s="12">
        <f>N4046*O4046</f>
        <v/>
      </c>
    </row>
    <row r="4047">
      <c r="A4047" s="12" t="inlineStr">
        <is>
          <t>H-P-0046</t>
        </is>
      </c>
      <c r="B4047" s="12" t="inlineStr">
        <is>
          <t>H</t>
        </is>
      </c>
      <c r="C4047" s="12" t="inlineStr">
        <is>
          <t>BESS</t>
        </is>
      </c>
      <c r="D4047" s="12" t="inlineStr">
        <is>
          <t>Container auxiliary 480 V</t>
        </is>
      </c>
      <c r="E4047" s="12" t="inlineStr"/>
      <c r="F4047" s="12" t="inlineStr">
        <is>
          <t>BESS PCS / MV skid</t>
        </is>
      </c>
      <c r="G4047" s="12" t="inlineStr"/>
      <c r="H4047" s="12" t="inlineStr">
        <is>
          <t>BESS container (ISO 40 ft high cube)</t>
        </is>
      </c>
      <c r="I4047" s="12" t="inlineStr">
        <is>
          <t>LV 600 V</t>
        </is>
      </c>
      <c r="J4047" s="12" t="inlineStr">
        <is>
          <t>Type TC-ER 600 V 3/C Cu XHHW-2 + ground, PVC jacket</t>
        </is>
      </c>
      <c r="K4047" s="12" t="inlineStr">
        <is>
          <t>LV|3/C+G|2</t>
        </is>
      </c>
      <c r="L4047" s="12" t="inlineStr">
        <is>
          <t>3/C+G</t>
        </is>
      </c>
      <c r="M4047" s="12" t="inlineStr">
        <is>
          <t>2</t>
        </is>
      </c>
      <c r="N4047" s="12" t="n">
        <v>1</v>
      </c>
      <c r="O4047" s="12" t="n">
        <v>1</v>
      </c>
      <c r="P4047" s="12" t="n">
        <v>480</v>
      </c>
      <c r="Q4047" s="12" t="n">
        <v>60</v>
      </c>
      <c r="R4047" s="12" t="n">
        <v>85</v>
      </c>
      <c r="S4047" s="12" t="inlineStr">
        <is>
          <t>Tray</t>
        </is>
      </c>
      <c r="T4047" s="16" t="n">
        <v>0</v>
      </c>
      <c r="U4047" s="16" t="n">
        <v>290</v>
      </c>
      <c r="V4047" s="16">
        <f>ROUNDUP((T4047+U4047+2*'Read Me'!$B$13)*(1+'Read Me'!$B$12),-1)</f>
        <v/>
      </c>
      <c r="W4047" s="16">
        <f>V4047*N4047*O4047</f>
        <v/>
      </c>
      <c r="X4047" s="12">
        <f>IF(LEFT(I4047,2)="MV",2*N4047*IF(L4047="1/C",O4047,1),0)</f>
        <v/>
      </c>
      <c r="Y4047" s="12">
        <f>IF(OR(LEFT(K4047,4)="LVAX",LEFT(K4047,6)="MV15AX",LEFT(K4047,4)="CTAX",LEFT(K4047,2)="W|"),2*N4047*O4047,0)</f>
        <v/>
      </c>
      <c r="Z4047" s="12" t="inlineStr"/>
      <c r="AA4047" s="12">
        <f>N4047*O4047</f>
        <v/>
      </c>
    </row>
    <row r="4048">
      <c r="A4048" s="12" t="inlineStr">
        <is>
          <t>H-P-0047</t>
        </is>
      </c>
      <c r="B4048" s="12" t="inlineStr">
        <is>
          <t>H</t>
        </is>
      </c>
      <c r="C4048" s="12" t="inlineStr">
        <is>
          <t>BESS</t>
        </is>
      </c>
      <c r="D4048" s="12" t="inlineStr">
        <is>
          <t>Container auxiliary 480 V</t>
        </is>
      </c>
      <c r="E4048" s="12" t="inlineStr"/>
      <c r="F4048" s="12" t="inlineStr">
        <is>
          <t>BESS PCS / MV skid</t>
        </is>
      </c>
      <c r="G4048" s="12" t="inlineStr"/>
      <c r="H4048" s="12" t="inlineStr">
        <is>
          <t>BESS container (ISO 40 ft high cube)</t>
        </is>
      </c>
      <c r="I4048" s="12" t="inlineStr">
        <is>
          <t>LV 600 V</t>
        </is>
      </c>
      <c r="J4048" s="12" t="inlineStr">
        <is>
          <t>Type TC-ER 600 V 3/C Cu XHHW-2 + ground, PVC jacket</t>
        </is>
      </c>
      <c r="K4048" s="12" t="inlineStr">
        <is>
          <t>LV|3/C+G|2</t>
        </is>
      </c>
      <c r="L4048" s="12" t="inlineStr">
        <is>
          <t>3/C+G</t>
        </is>
      </c>
      <c r="M4048" s="12" t="inlineStr">
        <is>
          <t>2</t>
        </is>
      </c>
      <c r="N4048" s="12" t="n">
        <v>1</v>
      </c>
      <c r="O4048" s="12" t="n">
        <v>1</v>
      </c>
      <c r="P4048" s="12" t="n">
        <v>480</v>
      </c>
      <c r="Q4048" s="12" t="n">
        <v>60</v>
      </c>
      <c r="R4048" s="12" t="n">
        <v>85</v>
      </c>
      <c r="S4048" s="12" t="inlineStr">
        <is>
          <t>Tray</t>
        </is>
      </c>
      <c r="T4048" s="16" t="n">
        <v>0</v>
      </c>
      <c r="U4048" s="16" t="n">
        <v>290</v>
      </c>
      <c r="V4048" s="16">
        <f>ROUNDUP((T4048+U4048+2*'Read Me'!$B$13)*(1+'Read Me'!$B$12),-1)</f>
        <v/>
      </c>
      <c r="W4048" s="16">
        <f>V4048*N4048*O4048</f>
        <v/>
      </c>
      <c r="X4048" s="12">
        <f>IF(LEFT(I4048,2)="MV",2*N4048*IF(L4048="1/C",O4048,1),0)</f>
        <v/>
      </c>
      <c r="Y4048" s="12">
        <f>IF(OR(LEFT(K4048,4)="LVAX",LEFT(K4048,6)="MV15AX",LEFT(K4048,4)="CTAX",LEFT(K4048,2)="W|"),2*N4048*O4048,0)</f>
        <v/>
      </c>
      <c r="Z4048" s="12" t="inlineStr"/>
      <c r="AA4048" s="12">
        <f>N4048*O4048</f>
        <v/>
      </c>
    </row>
    <row r="4049">
      <c r="A4049" s="12" t="inlineStr">
        <is>
          <t>H-P-0048</t>
        </is>
      </c>
      <c r="B4049" s="12" t="inlineStr">
        <is>
          <t>H</t>
        </is>
      </c>
      <c r="C4049" s="12" t="inlineStr">
        <is>
          <t>BESS</t>
        </is>
      </c>
      <c r="D4049" s="12" t="inlineStr">
        <is>
          <t>Container auxiliary 480 V</t>
        </is>
      </c>
      <c r="E4049" s="12" t="inlineStr"/>
      <c r="F4049" s="12" t="inlineStr">
        <is>
          <t>BESS PCS / MV skid</t>
        </is>
      </c>
      <c r="G4049" s="12" t="inlineStr"/>
      <c r="H4049" s="12" t="inlineStr">
        <is>
          <t>BESS container (ISO 40 ft high cube)</t>
        </is>
      </c>
      <c r="I4049" s="12" t="inlineStr">
        <is>
          <t>LV 600 V</t>
        </is>
      </c>
      <c r="J4049" s="12" t="inlineStr">
        <is>
          <t>Type TC-ER 600 V 3/C Cu XHHW-2 + ground, PVC jacket</t>
        </is>
      </c>
      <c r="K4049" s="12" t="inlineStr">
        <is>
          <t>LV|3/C+G|2</t>
        </is>
      </c>
      <c r="L4049" s="12" t="inlineStr">
        <is>
          <t>3/C+G</t>
        </is>
      </c>
      <c r="M4049" s="12" t="inlineStr">
        <is>
          <t>2</t>
        </is>
      </c>
      <c r="N4049" s="12" t="n">
        <v>1</v>
      </c>
      <c r="O4049" s="12" t="n">
        <v>1</v>
      </c>
      <c r="P4049" s="12" t="n">
        <v>480</v>
      </c>
      <c r="Q4049" s="12" t="n">
        <v>60</v>
      </c>
      <c r="R4049" s="12" t="n">
        <v>85</v>
      </c>
      <c r="S4049" s="12" t="inlineStr">
        <is>
          <t>Tray</t>
        </is>
      </c>
      <c r="T4049" s="16" t="n">
        <v>0</v>
      </c>
      <c r="U4049" s="16" t="n">
        <v>290</v>
      </c>
      <c r="V4049" s="16">
        <f>ROUNDUP((T4049+U4049+2*'Read Me'!$B$13)*(1+'Read Me'!$B$12),-1)</f>
        <v/>
      </c>
      <c r="W4049" s="16">
        <f>V4049*N4049*O4049</f>
        <v/>
      </c>
      <c r="X4049" s="12">
        <f>IF(LEFT(I4049,2)="MV",2*N4049*IF(L4049="1/C",O4049,1),0)</f>
        <v/>
      </c>
      <c r="Y4049" s="12">
        <f>IF(OR(LEFT(K4049,4)="LVAX",LEFT(K4049,6)="MV15AX",LEFT(K4049,4)="CTAX",LEFT(K4049,2)="W|"),2*N4049*O4049,0)</f>
        <v/>
      </c>
      <c r="Z4049" s="12" t="inlineStr"/>
      <c r="AA4049" s="12">
        <f>N4049*O4049</f>
        <v/>
      </c>
    </row>
    <row r="4050">
      <c r="A4050" s="12" t="inlineStr">
        <is>
          <t>H-P-0049</t>
        </is>
      </c>
      <c r="B4050" s="12" t="inlineStr">
        <is>
          <t>H</t>
        </is>
      </c>
      <c r="C4050" s="12" t="inlineStr">
        <is>
          <t>BESS</t>
        </is>
      </c>
      <c r="D4050" s="12" t="inlineStr">
        <is>
          <t>Container auxiliary 480 V</t>
        </is>
      </c>
      <c r="E4050" s="12" t="inlineStr"/>
      <c r="F4050" s="12" t="inlineStr">
        <is>
          <t>BESS PCS / MV skid</t>
        </is>
      </c>
      <c r="G4050" s="12" t="inlineStr"/>
      <c r="H4050" s="12" t="inlineStr">
        <is>
          <t>BESS container (ISO 40 ft high cube)</t>
        </is>
      </c>
      <c r="I4050" s="12" t="inlineStr">
        <is>
          <t>LV 600 V</t>
        </is>
      </c>
      <c r="J4050" s="12" t="inlineStr">
        <is>
          <t>Type TC-ER 600 V 3/C Cu XHHW-2 + ground, PVC jacket</t>
        </is>
      </c>
      <c r="K4050" s="12" t="inlineStr">
        <is>
          <t>LV|3/C+G|2</t>
        </is>
      </c>
      <c r="L4050" s="12" t="inlineStr">
        <is>
          <t>3/C+G</t>
        </is>
      </c>
      <c r="M4050" s="12" t="inlineStr">
        <is>
          <t>2</t>
        </is>
      </c>
      <c r="N4050" s="12" t="n">
        <v>1</v>
      </c>
      <c r="O4050" s="12" t="n">
        <v>1</v>
      </c>
      <c r="P4050" s="12" t="n">
        <v>480</v>
      </c>
      <c r="Q4050" s="12" t="n">
        <v>60</v>
      </c>
      <c r="R4050" s="12" t="n">
        <v>85</v>
      </c>
      <c r="S4050" s="12" t="inlineStr">
        <is>
          <t>Tray</t>
        </is>
      </c>
      <c r="T4050" s="16" t="n">
        <v>0</v>
      </c>
      <c r="U4050" s="16" t="n">
        <v>290</v>
      </c>
      <c r="V4050" s="16">
        <f>ROUNDUP((T4050+U4050+2*'Read Me'!$B$13)*(1+'Read Me'!$B$12),-1)</f>
        <v/>
      </c>
      <c r="W4050" s="16">
        <f>V4050*N4050*O4050</f>
        <v/>
      </c>
      <c r="X4050" s="12">
        <f>IF(LEFT(I4050,2)="MV",2*N4050*IF(L4050="1/C",O4050,1),0)</f>
        <v/>
      </c>
      <c r="Y4050" s="12">
        <f>IF(OR(LEFT(K4050,4)="LVAX",LEFT(K4050,6)="MV15AX",LEFT(K4050,4)="CTAX",LEFT(K4050,2)="W|"),2*N4050*O4050,0)</f>
        <v/>
      </c>
      <c r="Z4050" s="12" t="inlineStr"/>
      <c r="AA4050" s="12">
        <f>N4050*O4050</f>
        <v/>
      </c>
    </row>
    <row r="4051">
      <c r="A4051" s="12" t="inlineStr">
        <is>
          <t>H-P-0050</t>
        </is>
      </c>
      <c r="B4051" s="12" t="inlineStr">
        <is>
          <t>H</t>
        </is>
      </c>
      <c r="C4051" s="12" t="inlineStr">
        <is>
          <t>BESS</t>
        </is>
      </c>
      <c r="D4051" s="12" t="inlineStr">
        <is>
          <t>Container auxiliary 480 V</t>
        </is>
      </c>
      <c r="E4051" s="12" t="inlineStr"/>
      <c r="F4051" s="12" t="inlineStr">
        <is>
          <t>BESS PCS / MV skid</t>
        </is>
      </c>
      <c r="G4051" s="12" t="inlineStr"/>
      <c r="H4051" s="12" t="inlineStr">
        <is>
          <t>BESS container (ISO 40 ft high cube)</t>
        </is>
      </c>
      <c r="I4051" s="12" t="inlineStr">
        <is>
          <t>LV 600 V</t>
        </is>
      </c>
      <c r="J4051" s="12" t="inlineStr">
        <is>
          <t>Type TC-ER 600 V 3/C Cu XHHW-2 + ground, PVC jacket</t>
        </is>
      </c>
      <c r="K4051" s="12" t="inlineStr">
        <is>
          <t>LV|3/C+G|2</t>
        </is>
      </c>
      <c r="L4051" s="12" t="inlineStr">
        <is>
          <t>3/C+G</t>
        </is>
      </c>
      <c r="M4051" s="12" t="inlineStr">
        <is>
          <t>2</t>
        </is>
      </c>
      <c r="N4051" s="12" t="n">
        <v>1</v>
      </c>
      <c r="O4051" s="12" t="n">
        <v>1</v>
      </c>
      <c r="P4051" s="12" t="n">
        <v>480</v>
      </c>
      <c r="Q4051" s="12" t="n">
        <v>60</v>
      </c>
      <c r="R4051" s="12" t="n">
        <v>85</v>
      </c>
      <c r="S4051" s="12" t="inlineStr">
        <is>
          <t>Tray</t>
        </is>
      </c>
      <c r="T4051" s="16" t="n">
        <v>0</v>
      </c>
      <c r="U4051" s="16" t="n">
        <v>290</v>
      </c>
      <c r="V4051" s="16">
        <f>ROUNDUP((T4051+U4051+2*'Read Me'!$B$13)*(1+'Read Me'!$B$12),-1)</f>
        <v/>
      </c>
      <c r="W4051" s="16">
        <f>V4051*N4051*O4051</f>
        <v/>
      </c>
      <c r="X4051" s="12">
        <f>IF(LEFT(I4051,2)="MV",2*N4051*IF(L4051="1/C",O4051,1),0)</f>
        <v/>
      </c>
      <c r="Y4051" s="12">
        <f>IF(OR(LEFT(K4051,4)="LVAX",LEFT(K4051,6)="MV15AX",LEFT(K4051,4)="CTAX",LEFT(K4051,2)="W|"),2*N4051*O4051,0)</f>
        <v/>
      </c>
      <c r="Z4051" s="12" t="inlineStr"/>
      <c r="AA4051" s="12">
        <f>N4051*O4051</f>
        <v/>
      </c>
    </row>
    <row r="4052">
      <c r="A4052" s="12" t="inlineStr">
        <is>
          <t>H-P-0051</t>
        </is>
      </c>
      <c r="B4052" s="12" t="inlineStr">
        <is>
          <t>H</t>
        </is>
      </c>
      <c r="C4052" s="12" t="inlineStr">
        <is>
          <t>BESS</t>
        </is>
      </c>
      <c r="D4052" s="12" t="inlineStr">
        <is>
          <t>Container auxiliary 480 V</t>
        </is>
      </c>
      <c r="E4052" s="12" t="inlineStr"/>
      <c r="F4052" s="12" t="inlineStr">
        <is>
          <t>BESS PCS / MV skid</t>
        </is>
      </c>
      <c r="G4052" s="12" t="inlineStr"/>
      <c r="H4052" s="12" t="inlineStr">
        <is>
          <t>BESS container (ISO 40 ft high cube)</t>
        </is>
      </c>
      <c r="I4052" s="12" t="inlineStr">
        <is>
          <t>LV 600 V</t>
        </is>
      </c>
      <c r="J4052" s="12" t="inlineStr">
        <is>
          <t>Type TC-ER 600 V 3/C Cu XHHW-2 + ground, PVC jacket</t>
        </is>
      </c>
      <c r="K4052" s="12" t="inlineStr">
        <is>
          <t>LV|3/C+G|2</t>
        </is>
      </c>
      <c r="L4052" s="12" t="inlineStr">
        <is>
          <t>3/C+G</t>
        </is>
      </c>
      <c r="M4052" s="12" t="inlineStr">
        <is>
          <t>2</t>
        </is>
      </c>
      <c r="N4052" s="12" t="n">
        <v>1</v>
      </c>
      <c r="O4052" s="12" t="n">
        <v>1</v>
      </c>
      <c r="P4052" s="12" t="n">
        <v>480</v>
      </c>
      <c r="Q4052" s="12" t="n">
        <v>60</v>
      </c>
      <c r="R4052" s="12" t="n">
        <v>85</v>
      </c>
      <c r="S4052" s="12" t="inlineStr">
        <is>
          <t>Tray</t>
        </is>
      </c>
      <c r="T4052" s="16" t="n">
        <v>0</v>
      </c>
      <c r="U4052" s="16" t="n">
        <v>174</v>
      </c>
      <c r="V4052" s="16">
        <f>ROUNDUP((T4052+U4052+2*'Read Me'!$B$13)*(1+'Read Me'!$B$12),-1)</f>
        <v/>
      </c>
      <c r="W4052" s="16">
        <f>V4052*N4052*O4052</f>
        <v/>
      </c>
      <c r="X4052" s="12">
        <f>IF(LEFT(I4052,2)="MV",2*N4052*IF(L4052="1/C",O4052,1),0)</f>
        <v/>
      </c>
      <c r="Y4052" s="12">
        <f>IF(OR(LEFT(K4052,4)="LVAX",LEFT(K4052,6)="MV15AX",LEFT(K4052,4)="CTAX",LEFT(K4052,2)="W|"),2*N4052*O4052,0)</f>
        <v/>
      </c>
      <c r="Z4052" s="12" t="inlineStr"/>
      <c r="AA4052" s="12">
        <f>N4052*O4052</f>
        <v/>
      </c>
    </row>
    <row r="4053">
      <c r="A4053" s="12" t="inlineStr">
        <is>
          <t>H-P-0052</t>
        </is>
      </c>
      <c r="B4053" s="12" t="inlineStr">
        <is>
          <t>H</t>
        </is>
      </c>
      <c r="C4053" s="12" t="inlineStr">
        <is>
          <t>BESS</t>
        </is>
      </c>
      <c r="D4053" s="12" t="inlineStr">
        <is>
          <t>Container auxiliary 480 V</t>
        </is>
      </c>
      <c r="E4053" s="12" t="inlineStr"/>
      <c r="F4053" s="12" t="inlineStr">
        <is>
          <t>BESS PCS / MV skid</t>
        </is>
      </c>
      <c r="G4053" s="12" t="inlineStr"/>
      <c r="H4053" s="12" t="inlineStr">
        <is>
          <t>BESS container (ISO 40 ft high cube)</t>
        </is>
      </c>
      <c r="I4053" s="12" t="inlineStr">
        <is>
          <t>LV 600 V</t>
        </is>
      </c>
      <c r="J4053" s="12" t="inlineStr">
        <is>
          <t>Type TC-ER 600 V 3/C Cu XHHW-2 + ground, PVC jacket</t>
        </is>
      </c>
      <c r="K4053" s="12" t="inlineStr">
        <is>
          <t>LV|3/C+G|2</t>
        </is>
      </c>
      <c r="L4053" s="12" t="inlineStr">
        <is>
          <t>3/C+G</t>
        </is>
      </c>
      <c r="M4053" s="12" t="inlineStr">
        <is>
          <t>2</t>
        </is>
      </c>
      <c r="N4053" s="12" t="n">
        <v>1</v>
      </c>
      <c r="O4053" s="12" t="n">
        <v>1</v>
      </c>
      <c r="P4053" s="12" t="n">
        <v>480</v>
      </c>
      <c r="Q4053" s="12" t="n">
        <v>60</v>
      </c>
      <c r="R4053" s="12" t="n">
        <v>85</v>
      </c>
      <c r="S4053" s="12" t="inlineStr">
        <is>
          <t>Tray</t>
        </is>
      </c>
      <c r="T4053" s="16" t="n">
        <v>0</v>
      </c>
      <c r="U4053" s="16" t="n">
        <v>174</v>
      </c>
      <c r="V4053" s="16">
        <f>ROUNDUP((T4053+U4053+2*'Read Me'!$B$13)*(1+'Read Me'!$B$12),-1)</f>
        <v/>
      </c>
      <c r="W4053" s="16">
        <f>V4053*N4053*O4053</f>
        <v/>
      </c>
      <c r="X4053" s="12">
        <f>IF(LEFT(I4053,2)="MV",2*N4053*IF(L4053="1/C",O4053,1),0)</f>
        <v/>
      </c>
      <c r="Y4053" s="12">
        <f>IF(OR(LEFT(K4053,4)="LVAX",LEFT(K4053,6)="MV15AX",LEFT(K4053,4)="CTAX",LEFT(K4053,2)="W|"),2*N4053*O4053,0)</f>
        <v/>
      </c>
      <c r="Z4053" s="12" t="inlineStr"/>
      <c r="AA4053" s="12">
        <f>N4053*O4053</f>
        <v/>
      </c>
    </row>
    <row r="4054">
      <c r="A4054" s="12" t="inlineStr">
        <is>
          <t>H-P-0053</t>
        </is>
      </c>
      <c r="B4054" s="12" t="inlineStr">
        <is>
          <t>H</t>
        </is>
      </c>
      <c r="C4054" s="12" t="inlineStr">
        <is>
          <t>BESS</t>
        </is>
      </c>
      <c r="D4054" s="12" t="inlineStr">
        <is>
          <t>Container auxiliary 480 V</t>
        </is>
      </c>
      <c r="E4054" s="12" t="inlineStr"/>
      <c r="F4054" s="12" t="inlineStr">
        <is>
          <t>BESS PCS / MV skid</t>
        </is>
      </c>
      <c r="G4054" s="12" t="inlineStr"/>
      <c r="H4054" s="12" t="inlineStr">
        <is>
          <t>BESS container (ISO 40 ft high cube)</t>
        </is>
      </c>
      <c r="I4054" s="12" t="inlineStr">
        <is>
          <t>LV 600 V</t>
        </is>
      </c>
      <c r="J4054" s="12" t="inlineStr">
        <is>
          <t>Type TC-ER 600 V 3/C Cu XHHW-2 + ground, PVC jacket</t>
        </is>
      </c>
      <c r="K4054" s="12" t="inlineStr">
        <is>
          <t>LV|3/C+G|2</t>
        </is>
      </c>
      <c r="L4054" s="12" t="inlineStr">
        <is>
          <t>3/C+G</t>
        </is>
      </c>
      <c r="M4054" s="12" t="inlineStr">
        <is>
          <t>2</t>
        </is>
      </c>
      <c r="N4054" s="12" t="n">
        <v>1</v>
      </c>
      <c r="O4054" s="12" t="n">
        <v>1</v>
      </c>
      <c r="P4054" s="12" t="n">
        <v>480</v>
      </c>
      <c r="Q4054" s="12" t="n">
        <v>60</v>
      </c>
      <c r="R4054" s="12" t="n">
        <v>85</v>
      </c>
      <c r="S4054" s="12" t="inlineStr">
        <is>
          <t>Tray</t>
        </is>
      </c>
      <c r="T4054" s="16" t="n">
        <v>0</v>
      </c>
      <c r="U4054" s="16" t="n">
        <v>174</v>
      </c>
      <c r="V4054" s="16">
        <f>ROUNDUP((T4054+U4054+2*'Read Me'!$B$13)*(1+'Read Me'!$B$12),-1)</f>
        <v/>
      </c>
      <c r="W4054" s="16">
        <f>V4054*N4054*O4054</f>
        <v/>
      </c>
      <c r="X4054" s="12">
        <f>IF(LEFT(I4054,2)="MV",2*N4054*IF(L4054="1/C",O4054,1),0)</f>
        <v/>
      </c>
      <c r="Y4054" s="12">
        <f>IF(OR(LEFT(K4054,4)="LVAX",LEFT(K4054,6)="MV15AX",LEFT(K4054,4)="CTAX",LEFT(K4054,2)="W|"),2*N4054*O4054,0)</f>
        <v/>
      </c>
      <c r="Z4054" s="12" t="inlineStr"/>
      <c r="AA4054" s="12">
        <f>N4054*O4054</f>
        <v/>
      </c>
    </row>
    <row r="4055">
      <c r="A4055" s="12" t="inlineStr">
        <is>
          <t>H-P-0054</t>
        </is>
      </c>
      <c r="B4055" s="12" t="inlineStr">
        <is>
          <t>H</t>
        </is>
      </c>
      <c r="C4055" s="12" t="inlineStr">
        <is>
          <t>BESS</t>
        </is>
      </c>
      <c r="D4055" s="12" t="inlineStr">
        <is>
          <t>Container auxiliary 480 V</t>
        </is>
      </c>
      <c r="E4055" s="12" t="inlineStr"/>
      <c r="F4055" s="12" t="inlineStr">
        <is>
          <t>BESS PCS / MV skid</t>
        </is>
      </c>
      <c r="G4055" s="12" t="inlineStr"/>
      <c r="H4055" s="12" t="inlineStr">
        <is>
          <t>BESS container (ISO 40 ft high cube)</t>
        </is>
      </c>
      <c r="I4055" s="12" t="inlineStr">
        <is>
          <t>LV 600 V</t>
        </is>
      </c>
      <c r="J4055" s="12" t="inlineStr">
        <is>
          <t>Type TC-ER 600 V 3/C Cu XHHW-2 + ground, PVC jacket</t>
        </is>
      </c>
      <c r="K4055" s="12" t="inlineStr">
        <is>
          <t>LV|3/C+G|2</t>
        </is>
      </c>
      <c r="L4055" s="12" t="inlineStr">
        <is>
          <t>3/C+G</t>
        </is>
      </c>
      <c r="M4055" s="12" t="inlineStr">
        <is>
          <t>2</t>
        </is>
      </c>
      <c r="N4055" s="12" t="n">
        <v>1</v>
      </c>
      <c r="O4055" s="12" t="n">
        <v>1</v>
      </c>
      <c r="P4055" s="12" t="n">
        <v>480</v>
      </c>
      <c r="Q4055" s="12" t="n">
        <v>60</v>
      </c>
      <c r="R4055" s="12" t="n">
        <v>85</v>
      </c>
      <c r="S4055" s="12" t="inlineStr">
        <is>
          <t>Tray</t>
        </is>
      </c>
      <c r="T4055" s="16" t="n">
        <v>0</v>
      </c>
      <c r="U4055" s="16" t="n">
        <v>174</v>
      </c>
      <c r="V4055" s="16">
        <f>ROUNDUP((T4055+U4055+2*'Read Me'!$B$13)*(1+'Read Me'!$B$12),-1)</f>
        <v/>
      </c>
      <c r="W4055" s="16">
        <f>V4055*N4055*O4055</f>
        <v/>
      </c>
      <c r="X4055" s="12">
        <f>IF(LEFT(I4055,2)="MV",2*N4055*IF(L4055="1/C",O4055,1),0)</f>
        <v/>
      </c>
      <c r="Y4055" s="12">
        <f>IF(OR(LEFT(K4055,4)="LVAX",LEFT(K4055,6)="MV15AX",LEFT(K4055,4)="CTAX",LEFT(K4055,2)="W|"),2*N4055*O4055,0)</f>
        <v/>
      </c>
      <c r="Z4055" s="12" t="inlineStr"/>
      <c r="AA4055" s="12">
        <f>N4055*O4055</f>
        <v/>
      </c>
    </row>
    <row r="4056">
      <c r="A4056" s="12" t="inlineStr">
        <is>
          <t>H-P-0055</t>
        </is>
      </c>
      <c r="B4056" s="12" t="inlineStr">
        <is>
          <t>H</t>
        </is>
      </c>
      <c r="C4056" s="12" t="inlineStr">
        <is>
          <t>BESS</t>
        </is>
      </c>
      <c r="D4056" s="12" t="inlineStr">
        <is>
          <t>Container auxiliary 480 V</t>
        </is>
      </c>
      <c r="E4056" s="12" t="inlineStr"/>
      <c r="F4056" s="12" t="inlineStr">
        <is>
          <t>BESS PCS / MV skid</t>
        </is>
      </c>
      <c r="G4056" s="12" t="inlineStr"/>
      <c r="H4056" s="12" t="inlineStr">
        <is>
          <t>BESS container (ISO 40 ft high cube)</t>
        </is>
      </c>
      <c r="I4056" s="12" t="inlineStr">
        <is>
          <t>LV 600 V</t>
        </is>
      </c>
      <c r="J4056" s="12" t="inlineStr">
        <is>
          <t>Type TC-ER 600 V 3/C Cu XHHW-2 + ground, PVC jacket</t>
        </is>
      </c>
      <c r="K4056" s="12" t="inlineStr">
        <is>
          <t>LV|3/C+G|2</t>
        </is>
      </c>
      <c r="L4056" s="12" t="inlineStr">
        <is>
          <t>3/C+G</t>
        </is>
      </c>
      <c r="M4056" s="12" t="inlineStr">
        <is>
          <t>2</t>
        </is>
      </c>
      <c r="N4056" s="12" t="n">
        <v>1</v>
      </c>
      <c r="O4056" s="12" t="n">
        <v>1</v>
      </c>
      <c r="P4056" s="12" t="n">
        <v>480</v>
      </c>
      <c r="Q4056" s="12" t="n">
        <v>60</v>
      </c>
      <c r="R4056" s="12" t="n">
        <v>85</v>
      </c>
      <c r="S4056" s="12" t="inlineStr">
        <is>
          <t>Tray</t>
        </is>
      </c>
      <c r="T4056" s="16" t="n">
        <v>0</v>
      </c>
      <c r="U4056" s="16" t="n">
        <v>174</v>
      </c>
      <c r="V4056" s="16">
        <f>ROUNDUP((T4056+U4056+2*'Read Me'!$B$13)*(1+'Read Me'!$B$12),-1)</f>
        <v/>
      </c>
      <c r="W4056" s="16">
        <f>V4056*N4056*O4056</f>
        <v/>
      </c>
      <c r="X4056" s="12">
        <f>IF(LEFT(I4056,2)="MV",2*N4056*IF(L4056="1/C",O4056,1),0)</f>
        <v/>
      </c>
      <c r="Y4056" s="12">
        <f>IF(OR(LEFT(K4056,4)="LVAX",LEFT(K4056,6)="MV15AX",LEFT(K4056,4)="CTAX",LEFT(K4056,2)="W|"),2*N4056*O4056,0)</f>
        <v/>
      </c>
      <c r="Z4056" s="12" t="inlineStr"/>
      <c r="AA4056" s="12">
        <f>N4056*O4056</f>
        <v/>
      </c>
    </row>
    <row r="4057">
      <c r="A4057" s="12" t="inlineStr">
        <is>
          <t>H-P-0056</t>
        </is>
      </c>
      <c r="B4057" s="12" t="inlineStr">
        <is>
          <t>H</t>
        </is>
      </c>
      <c r="C4057" s="12" t="inlineStr">
        <is>
          <t>BESS</t>
        </is>
      </c>
      <c r="D4057" s="12" t="inlineStr">
        <is>
          <t>Container auxiliary 480 V</t>
        </is>
      </c>
      <c r="E4057" s="12" t="inlineStr"/>
      <c r="F4057" s="12" t="inlineStr">
        <is>
          <t>BESS PCS / MV skid</t>
        </is>
      </c>
      <c r="G4057" s="12" t="inlineStr"/>
      <c r="H4057" s="12" t="inlineStr">
        <is>
          <t>BESS container (ISO 40 ft high cube)</t>
        </is>
      </c>
      <c r="I4057" s="12" t="inlineStr">
        <is>
          <t>LV 600 V</t>
        </is>
      </c>
      <c r="J4057" s="12" t="inlineStr">
        <is>
          <t>Type TC-ER 600 V 3/C Cu XHHW-2 + ground, PVC jacket</t>
        </is>
      </c>
      <c r="K4057" s="12" t="inlineStr">
        <is>
          <t>LV|3/C+G|2</t>
        </is>
      </c>
      <c r="L4057" s="12" t="inlineStr">
        <is>
          <t>3/C+G</t>
        </is>
      </c>
      <c r="M4057" s="12" t="inlineStr">
        <is>
          <t>2</t>
        </is>
      </c>
      <c r="N4057" s="12" t="n">
        <v>1</v>
      </c>
      <c r="O4057" s="12" t="n">
        <v>1</v>
      </c>
      <c r="P4057" s="12" t="n">
        <v>480</v>
      </c>
      <c r="Q4057" s="12" t="n">
        <v>60</v>
      </c>
      <c r="R4057" s="12" t="n">
        <v>85</v>
      </c>
      <c r="S4057" s="12" t="inlineStr">
        <is>
          <t>Tray</t>
        </is>
      </c>
      <c r="T4057" s="16" t="n">
        <v>0</v>
      </c>
      <c r="U4057" s="16" t="n">
        <v>174</v>
      </c>
      <c r="V4057" s="16">
        <f>ROUNDUP((T4057+U4057+2*'Read Me'!$B$13)*(1+'Read Me'!$B$12),-1)</f>
        <v/>
      </c>
      <c r="W4057" s="16">
        <f>V4057*N4057*O4057</f>
        <v/>
      </c>
      <c r="X4057" s="12">
        <f>IF(LEFT(I4057,2)="MV",2*N4057*IF(L4057="1/C",O4057,1),0)</f>
        <v/>
      </c>
      <c r="Y4057" s="12">
        <f>IF(OR(LEFT(K4057,4)="LVAX",LEFT(K4057,6)="MV15AX",LEFT(K4057,4)="CTAX",LEFT(K4057,2)="W|"),2*N4057*O4057,0)</f>
        <v/>
      </c>
      <c r="Z4057" s="12" t="inlineStr"/>
      <c r="AA4057" s="12">
        <f>N4057*O4057</f>
        <v/>
      </c>
    </row>
    <row r="4058">
      <c r="A4058" s="12" t="inlineStr">
        <is>
          <t>H-P-0057</t>
        </is>
      </c>
      <c r="B4058" s="12" t="inlineStr">
        <is>
          <t>H</t>
        </is>
      </c>
      <c r="C4058" s="12" t="inlineStr">
        <is>
          <t>BESS</t>
        </is>
      </c>
      <c r="D4058" s="12" t="inlineStr">
        <is>
          <t>Container auxiliary 480 V</t>
        </is>
      </c>
      <c r="E4058" s="12" t="inlineStr"/>
      <c r="F4058" s="12" t="inlineStr">
        <is>
          <t>BESS PCS / MV skid</t>
        </is>
      </c>
      <c r="G4058" s="12" t="inlineStr"/>
      <c r="H4058" s="12" t="inlineStr">
        <is>
          <t>BESS container (ISO 40 ft high cube)</t>
        </is>
      </c>
      <c r="I4058" s="12" t="inlineStr">
        <is>
          <t>LV 600 V</t>
        </is>
      </c>
      <c r="J4058" s="12" t="inlineStr">
        <is>
          <t>Type TC-ER 600 V 3/C Cu XHHW-2 + ground, PVC jacket</t>
        </is>
      </c>
      <c r="K4058" s="12" t="inlineStr">
        <is>
          <t>LV|3/C+G|2</t>
        </is>
      </c>
      <c r="L4058" s="12" t="inlineStr">
        <is>
          <t>3/C+G</t>
        </is>
      </c>
      <c r="M4058" s="12" t="inlineStr">
        <is>
          <t>2</t>
        </is>
      </c>
      <c r="N4058" s="12" t="n">
        <v>1</v>
      </c>
      <c r="O4058" s="12" t="n">
        <v>1</v>
      </c>
      <c r="P4058" s="12" t="n">
        <v>480</v>
      </c>
      <c r="Q4058" s="12" t="n">
        <v>60</v>
      </c>
      <c r="R4058" s="12" t="n">
        <v>85</v>
      </c>
      <c r="S4058" s="12" t="inlineStr">
        <is>
          <t>Tray</t>
        </is>
      </c>
      <c r="T4058" s="16" t="n">
        <v>0</v>
      </c>
      <c r="U4058" s="16" t="n">
        <v>62</v>
      </c>
      <c r="V4058" s="16">
        <f>ROUNDUP((T4058+U4058+2*'Read Me'!$B$13)*(1+'Read Me'!$B$12),-1)</f>
        <v/>
      </c>
      <c r="W4058" s="16">
        <f>V4058*N4058*O4058</f>
        <v/>
      </c>
      <c r="X4058" s="12">
        <f>IF(LEFT(I4058,2)="MV",2*N4058*IF(L4058="1/C",O4058,1),0)</f>
        <v/>
      </c>
      <c r="Y4058" s="12">
        <f>IF(OR(LEFT(K4058,4)="LVAX",LEFT(K4058,6)="MV15AX",LEFT(K4058,4)="CTAX",LEFT(K4058,2)="W|"),2*N4058*O4058,0)</f>
        <v/>
      </c>
      <c r="Z4058" s="12" t="inlineStr"/>
      <c r="AA4058" s="12">
        <f>N4058*O4058</f>
        <v/>
      </c>
    </row>
    <row r="4059">
      <c r="A4059" s="12" t="inlineStr">
        <is>
          <t>H-P-0058</t>
        </is>
      </c>
      <c r="B4059" s="12" t="inlineStr">
        <is>
          <t>H</t>
        </is>
      </c>
      <c r="C4059" s="12" t="inlineStr">
        <is>
          <t>BESS</t>
        </is>
      </c>
      <c r="D4059" s="12" t="inlineStr">
        <is>
          <t>Container auxiliary 480 V</t>
        </is>
      </c>
      <c r="E4059" s="12" t="inlineStr"/>
      <c r="F4059" s="12" t="inlineStr">
        <is>
          <t>BESS PCS / MV skid</t>
        </is>
      </c>
      <c r="G4059" s="12" t="inlineStr"/>
      <c r="H4059" s="12" t="inlineStr">
        <is>
          <t>BESS container (ISO 40 ft high cube)</t>
        </is>
      </c>
      <c r="I4059" s="12" t="inlineStr">
        <is>
          <t>LV 600 V</t>
        </is>
      </c>
      <c r="J4059" s="12" t="inlineStr">
        <is>
          <t>Type TC-ER 600 V 3/C Cu XHHW-2 + ground, PVC jacket</t>
        </is>
      </c>
      <c r="K4059" s="12" t="inlineStr">
        <is>
          <t>LV|3/C+G|2</t>
        </is>
      </c>
      <c r="L4059" s="12" t="inlineStr">
        <is>
          <t>3/C+G</t>
        </is>
      </c>
      <c r="M4059" s="12" t="inlineStr">
        <is>
          <t>2</t>
        </is>
      </c>
      <c r="N4059" s="12" t="n">
        <v>1</v>
      </c>
      <c r="O4059" s="12" t="n">
        <v>1</v>
      </c>
      <c r="P4059" s="12" t="n">
        <v>480</v>
      </c>
      <c r="Q4059" s="12" t="n">
        <v>60</v>
      </c>
      <c r="R4059" s="12" t="n">
        <v>85</v>
      </c>
      <c r="S4059" s="12" t="inlineStr">
        <is>
          <t>Tray</t>
        </is>
      </c>
      <c r="T4059" s="16" t="n">
        <v>0</v>
      </c>
      <c r="U4059" s="16" t="n">
        <v>62</v>
      </c>
      <c r="V4059" s="16">
        <f>ROUNDUP((T4059+U4059+2*'Read Me'!$B$13)*(1+'Read Me'!$B$12),-1)</f>
        <v/>
      </c>
      <c r="W4059" s="16">
        <f>V4059*N4059*O4059</f>
        <v/>
      </c>
      <c r="X4059" s="12">
        <f>IF(LEFT(I4059,2)="MV",2*N4059*IF(L4059="1/C",O4059,1),0)</f>
        <v/>
      </c>
      <c r="Y4059" s="12">
        <f>IF(OR(LEFT(K4059,4)="LVAX",LEFT(K4059,6)="MV15AX",LEFT(K4059,4)="CTAX",LEFT(K4059,2)="W|"),2*N4059*O4059,0)</f>
        <v/>
      </c>
      <c r="Z4059" s="12" t="inlineStr"/>
      <c r="AA4059" s="12">
        <f>N4059*O4059</f>
        <v/>
      </c>
    </row>
    <row r="4060">
      <c r="A4060" s="12" t="inlineStr">
        <is>
          <t>H-P-0059</t>
        </is>
      </c>
      <c r="B4060" s="12" t="inlineStr">
        <is>
          <t>H</t>
        </is>
      </c>
      <c r="C4060" s="12" t="inlineStr">
        <is>
          <t>BESS</t>
        </is>
      </c>
      <c r="D4060" s="12" t="inlineStr">
        <is>
          <t>Container auxiliary 480 V</t>
        </is>
      </c>
      <c r="E4060" s="12" t="inlineStr"/>
      <c r="F4060" s="12" t="inlineStr">
        <is>
          <t>BESS PCS / MV skid</t>
        </is>
      </c>
      <c r="G4060" s="12" t="inlineStr"/>
      <c r="H4060" s="12" t="inlineStr">
        <is>
          <t>BESS container (ISO 40 ft high cube)</t>
        </is>
      </c>
      <c r="I4060" s="12" t="inlineStr">
        <is>
          <t>LV 600 V</t>
        </is>
      </c>
      <c r="J4060" s="12" t="inlineStr">
        <is>
          <t>Type TC-ER 600 V 3/C Cu XHHW-2 + ground, PVC jacket</t>
        </is>
      </c>
      <c r="K4060" s="12" t="inlineStr">
        <is>
          <t>LV|3/C+G|2</t>
        </is>
      </c>
      <c r="L4060" s="12" t="inlineStr">
        <is>
          <t>3/C+G</t>
        </is>
      </c>
      <c r="M4060" s="12" t="inlineStr">
        <is>
          <t>2</t>
        </is>
      </c>
      <c r="N4060" s="12" t="n">
        <v>1</v>
      </c>
      <c r="O4060" s="12" t="n">
        <v>1</v>
      </c>
      <c r="P4060" s="12" t="n">
        <v>480</v>
      </c>
      <c r="Q4060" s="12" t="n">
        <v>60</v>
      </c>
      <c r="R4060" s="12" t="n">
        <v>85</v>
      </c>
      <c r="S4060" s="12" t="inlineStr">
        <is>
          <t>Tray</t>
        </is>
      </c>
      <c r="T4060" s="16" t="n">
        <v>0</v>
      </c>
      <c r="U4060" s="16" t="n">
        <v>62</v>
      </c>
      <c r="V4060" s="16">
        <f>ROUNDUP((T4060+U4060+2*'Read Me'!$B$13)*(1+'Read Me'!$B$12),-1)</f>
        <v/>
      </c>
      <c r="W4060" s="16">
        <f>V4060*N4060*O4060</f>
        <v/>
      </c>
      <c r="X4060" s="12">
        <f>IF(LEFT(I4060,2)="MV",2*N4060*IF(L4060="1/C",O4060,1),0)</f>
        <v/>
      </c>
      <c r="Y4060" s="12">
        <f>IF(OR(LEFT(K4060,4)="LVAX",LEFT(K4060,6)="MV15AX",LEFT(K4060,4)="CTAX",LEFT(K4060,2)="W|"),2*N4060*O4060,0)</f>
        <v/>
      </c>
      <c r="Z4060" s="12" t="inlineStr"/>
      <c r="AA4060" s="12">
        <f>N4060*O4060</f>
        <v/>
      </c>
    </row>
    <row r="4061">
      <c r="A4061" s="12" t="inlineStr">
        <is>
          <t>H-P-0060</t>
        </is>
      </c>
      <c r="B4061" s="12" t="inlineStr">
        <is>
          <t>H</t>
        </is>
      </c>
      <c r="C4061" s="12" t="inlineStr">
        <is>
          <t>BESS</t>
        </is>
      </c>
      <c r="D4061" s="12" t="inlineStr">
        <is>
          <t>Container auxiliary 480 V</t>
        </is>
      </c>
      <c r="E4061" s="12" t="inlineStr"/>
      <c r="F4061" s="12" t="inlineStr">
        <is>
          <t>BESS PCS / MV skid</t>
        </is>
      </c>
      <c r="G4061" s="12" t="inlineStr"/>
      <c r="H4061" s="12" t="inlineStr">
        <is>
          <t>BESS container (ISO 40 ft high cube)</t>
        </is>
      </c>
      <c r="I4061" s="12" t="inlineStr">
        <is>
          <t>LV 600 V</t>
        </is>
      </c>
      <c r="J4061" s="12" t="inlineStr">
        <is>
          <t>Type TC-ER 600 V 3/C Cu XHHW-2 + ground, PVC jacket</t>
        </is>
      </c>
      <c r="K4061" s="12" t="inlineStr">
        <is>
          <t>LV|3/C+G|2</t>
        </is>
      </c>
      <c r="L4061" s="12" t="inlineStr">
        <is>
          <t>3/C+G</t>
        </is>
      </c>
      <c r="M4061" s="12" t="inlineStr">
        <is>
          <t>2</t>
        </is>
      </c>
      <c r="N4061" s="12" t="n">
        <v>1</v>
      </c>
      <c r="O4061" s="12" t="n">
        <v>1</v>
      </c>
      <c r="P4061" s="12" t="n">
        <v>480</v>
      </c>
      <c r="Q4061" s="12" t="n">
        <v>60</v>
      </c>
      <c r="R4061" s="12" t="n">
        <v>85</v>
      </c>
      <c r="S4061" s="12" t="inlineStr">
        <is>
          <t>Tray</t>
        </is>
      </c>
      <c r="T4061" s="16" t="n">
        <v>0</v>
      </c>
      <c r="U4061" s="16" t="n">
        <v>62</v>
      </c>
      <c r="V4061" s="16">
        <f>ROUNDUP((T4061+U4061+2*'Read Me'!$B$13)*(1+'Read Me'!$B$12),-1)</f>
        <v/>
      </c>
      <c r="W4061" s="16">
        <f>V4061*N4061*O4061</f>
        <v/>
      </c>
      <c r="X4061" s="12">
        <f>IF(LEFT(I4061,2)="MV",2*N4061*IF(L4061="1/C",O4061,1),0)</f>
        <v/>
      </c>
      <c r="Y4061" s="12">
        <f>IF(OR(LEFT(K4061,4)="LVAX",LEFT(K4061,6)="MV15AX",LEFT(K4061,4)="CTAX",LEFT(K4061,2)="W|"),2*N4061*O4061,0)</f>
        <v/>
      </c>
      <c r="Z4061" s="12" t="inlineStr"/>
      <c r="AA4061" s="12">
        <f>N4061*O4061</f>
        <v/>
      </c>
    </row>
    <row r="4062">
      <c r="A4062" s="12" t="inlineStr">
        <is>
          <t>H-P-0061</t>
        </is>
      </c>
      <c r="B4062" s="12" t="inlineStr">
        <is>
          <t>H</t>
        </is>
      </c>
      <c r="C4062" s="12" t="inlineStr">
        <is>
          <t>BESS</t>
        </is>
      </c>
      <c r="D4062" s="12" t="inlineStr">
        <is>
          <t>Container auxiliary 480 V</t>
        </is>
      </c>
      <c r="E4062" s="12" t="inlineStr"/>
      <c r="F4062" s="12" t="inlineStr">
        <is>
          <t>BESS PCS / MV skid</t>
        </is>
      </c>
      <c r="G4062" s="12" t="inlineStr"/>
      <c r="H4062" s="12" t="inlineStr">
        <is>
          <t>BESS container (ISO 40 ft high cube)</t>
        </is>
      </c>
      <c r="I4062" s="12" t="inlineStr">
        <is>
          <t>LV 600 V</t>
        </is>
      </c>
      <c r="J4062" s="12" t="inlineStr">
        <is>
          <t>Type TC-ER 600 V 3/C Cu XHHW-2 + ground, PVC jacket</t>
        </is>
      </c>
      <c r="K4062" s="12" t="inlineStr">
        <is>
          <t>LV|3/C+G|2</t>
        </is>
      </c>
      <c r="L4062" s="12" t="inlineStr">
        <is>
          <t>3/C+G</t>
        </is>
      </c>
      <c r="M4062" s="12" t="inlineStr">
        <is>
          <t>2</t>
        </is>
      </c>
      <c r="N4062" s="12" t="n">
        <v>1</v>
      </c>
      <c r="O4062" s="12" t="n">
        <v>1</v>
      </c>
      <c r="P4062" s="12" t="n">
        <v>480</v>
      </c>
      <c r="Q4062" s="12" t="n">
        <v>60</v>
      </c>
      <c r="R4062" s="12" t="n">
        <v>85</v>
      </c>
      <c r="S4062" s="12" t="inlineStr">
        <is>
          <t>Tray</t>
        </is>
      </c>
      <c r="T4062" s="16" t="n">
        <v>0</v>
      </c>
      <c r="U4062" s="16" t="n">
        <v>62</v>
      </c>
      <c r="V4062" s="16">
        <f>ROUNDUP((T4062+U4062+2*'Read Me'!$B$13)*(1+'Read Me'!$B$12),-1)</f>
        <v/>
      </c>
      <c r="W4062" s="16">
        <f>V4062*N4062*O4062</f>
        <v/>
      </c>
      <c r="X4062" s="12">
        <f>IF(LEFT(I4062,2)="MV",2*N4062*IF(L4062="1/C",O4062,1),0)</f>
        <v/>
      </c>
      <c r="Y4062" s="12">
        <f>IF(OR(LEFT(K4062,4)="LVAX",LEFT(K4062,6)="MV15AX",LEFT(K4062,4)="CTAX",LEFT(K4062,2)="W|"),2*N4062*O4062,0)</f>
        <v/>
      </c>
      <c r="Z4062" s="12" t="inlineStr"/>
      <c r="AA4062" s="12">
        <f>N4062*O4062</f>
        <v/>
      </c>
    </row>
    <row r="4063">
      <c r="A4063" s="12" t="inlineStr">
        <is>
          <t>H-P-0062</t>
        </is>
      </c>
      <c r="B4063" s="12" t="inlineStr">
        <is>
          <t>H</t>
        </is>
      </c>
      <c r="C4063" s="12" t="inlineStr">
        <is>
          <t>BESS</t>
        </is>
      </c>
      <c r="D4063" s="12" t="inlineStr">
        <is>
          <t>Container auxiliary 480 V</t>
        </is>
      </c>
      <c r="E4063" s="12" t="inlineStr"/>
      <c r="F4063" s="12" t="inlineStr">
        <is>
          <t>BESS PCS / MV skid</t>
        </is>
      </c>
      <c r="G4063" s="12" t="inlineStr"/>
      <c r="H4063" s="12" t="inlineStr">
        <is>
          <t>BESS container (ISO 40 ft high cube)</t>
        </is>
      </c>
      <c r="I4063" s="12" t="inlineStr">
        <is>
          <t>LV 600 V</t>
        </is>
      </c>
      <c r="J4063" s="12" t="inlineStr">
        <is>
          <t>Type TC-ER 600 V 3/C Cu XHHW-2 + ground, PVC jacket</t>
        </is>
      </c>
      <c r="K4063" s="12" t="inlineStr">
        <is>
          <t>LV|3/C+G|2</t>
        </is>
      </c>
      <c r="L4063" s="12" t="inlineStr">
        <is>
          <t>3/C+G</t>
        </is>
      </c>
      <c r="M4063" s="12" t="inlineStr">
        <is>
          <t>2</t>
        </is>
      </c>
      <c r="N4063" s="12" t="n">
        <v>1</v>
      </c>
      <c r="O4063" s="12" t="n">
        <v>1</v>
      </c>
      <c r="P4063" s="12" t="n">
        <v>480</v>
      </c>
      <c r="Q4063" s="12" t="n">
        <v>60</v>
      </c>
      <c r="R4063" s="12" t="n">
        <v>85</v>
      </c>
      <c r="S4063" s="12" t="inlineStr">
        <is>
          <t>Tray</t>
        </is>
      </c>
      <c r="T4063" s="16" t="n">
        <v>0</v>
      </c>
      <c r="U4063" s="16" t="n">
        <v>62</v>
      </c>
      <c r="V4063" s="16">
        <f>ROUNDUP((T4063+U4063+2*'Read Me'!$B$13)*(1+'Read Me'!$B$12),-1)</f>
        <v/>
      </c>
      <c r="W4063" s="16">
        <f>V4063*N4063*O4063</f>
        <v/>
      </c>
      <c r="X4063" s="12">
        <f>IF(LEFT(I4063,2)="MV",2*N4063*IF(L4063="1/C",O4063,1),0)</f>
        <v/>
      </c>
      <c r="Y4063" s="12">
        <f>IF(OR(LEFT(K4063,4)="LVAX",LEFT(K4063,6)="MV15AX",LEFT(K4063,4)="CTAX",LEFT(K4063,2)="W|"),2*N4063*O4063,0)</f>
        <v/>
      </c>
      <c r="Z4063" s="12" t="inlineStr"/>
      <c r="AA4063" s="12">
        <f>N4063*O4063</f>
        <v/>
      </c>
    </row>
    <row r="4064">
      <c r="A4064" s="12" t="inlineStr">
        <is>
          <t>H-P-0063</t>
        </is>
      </c>
      <c r="B4064" s="12" t="inlineStr">
        <is>
          <t>H</t>
        </is>
      </c>
      <c r="C4064" s="12" t="inlineStr">
        <is>
          <t>BESS</t>
        </is>
      </c>
      <c r="D4064" s="12" t="inlineStr">
        <is>
          <t>Motor 1 of 6, 2 kW</t>
        </is>
      </c>
      <c r="E4064" s="12" t="inlineStr"/>
      <c r="F4064" s="12" t="inlineStr">
        <is>
          <t>BESS auxiliary transformer</t>
        </is>
      </c>
      <c r="G4064" s="12" t="inlineStr">
        <is>
          <t>BESS MPT</t>
        </is>
      </c>
      <c r="H4064" s="12" t="inlineStr">
        <is>
          <t>BESS main power transformer 34.5/230 kV (to D4 upper)</t>
        </is>
      </c>
      <c r="I4064" s="12" t="inlineStr">
        <is>
          <t>LV 600 V</t>
        </is>
      </c>
      <c r="J4064" s="12" t="inlineStr">
        <is>
          <t>Type TC-ER 600 V 3/C Cu XHHW-2 + ground, PVC jacket</t>
        </is>
      </c>
      <c r="K4064" s="12" t="inlineStr">
        <is>
          <t>LV|3/C+G|10</t>
        </is>
      </c>
      <c r="L4064" s="12" t="inlineStr">
        <is>
          <t>3/C+G</t>
        </is>
      </c>
      <c r="M4064" s="12" t="inlineStr">
        <is>
          <t>10</t>
        </is>
      </c>
      <c r="N4064" s="12" t="n">
        <v>1</v>
      </c>
      <c r="O4064" s="12" t="n">
        <v>1</v>
      </c>
      <c r="P4064" s="12" t="n">
        <v>480</v>
      </c>
      <c r="Q4064" s="12" t="n">
        <v>2</v>
      </c>
      <c r="R4064" s="12" t="n">
        <v>2.8</v>
      </c>
      <c r="S4064" s="12" t="inlineStr">
        <is>
          <t>Duct bank</t>
        </is>
      </c>
      <c r="T4064" s="16" t="n">
        <v>180</v>
      </c>
      <c r="U4064" s="16" t="n">
        <v>32</v>
      </c>
      <c r="V4064" s="16">
        <f>ROUNDUP((T4064+U4064+2*'Read Me'!$B$13)*(1+'Read Me'!$B$12),-1)</f>
        <v/>
      </c>
      <c r="W4064" s="16">
        <f>V4064*N4064*O4064</f>
        <v/>
      </c>
      <c r="X4064" s="12">
        <f>IF(LEFT(I4064,2)="MV",2*N4064*IF(L4064="1/C",O4064,1),0)</f>
        <v/>
      </c>
      <c r="Y4064" s="12">
        <f>IF(OR(LEFT(K4064,4)="LVAX",LEFT(K4064,6)="MV15AX",LEFT(K4064,4)="CTAX",LEFT(K4064,2)="W|"),2*N4064*O4064,0)</f>
        <v/>
      </c>
      <c r="Z4064" s="12" t="inlineStr">
        <is>
          <t>VD 0.3 %</t>
        </is>
      </c>
      <c r="AA4064" s="12">
        <f>N4064*O4064</f>
        <v/>
      </c>
    </row>
    <row r="4065">
      <c r="A4065" s="12" t="inlineStr">
        <is>
          <t>H-P-0064</t>
        </is>
      </c>
      <c r="B4065" s="12" t="inlineStr">
        <is>
          <t>H</t>
        </is>
      </c>
      <c r="C4065" s="12" t="inlineStr">
        <is>
          <t>BESS</t>
        </is>
      </c>
      <c r="D4065" s="12" t="inlineStr">
        <is>
          <t>Motor 2 of 6, 2 kW</t>
        </is>
      </c>
      <c r="E4065" s="12" t="inlineStr"/>
      <c r="F4065" s="12" t="inlineStr">
        <is>
          <t>BESS auxiliary transformer</t>
        </is>
      </c>
      <c r="G4065" s="12" t="inlineStr">
        <is>
          <t>BESS MPT</t>
        </is>
      </c>
      <c r="H4065" s="12" t="inlineStr">
        <is>
          <t>BESS main power transformer 34.5/230 kV (to D4 upper)</t>
        </is>
      </c>
      <c r="I4065" s="12" t="inlineStr">
        <is>
          <t>LV 600 V</t>
        </is>
      </c>
      <c r="J4065" s="12" t="inlineStr">
        <is>
          <t>Type TC-ER 600 V 3/C Cu XHHW-2 + ground, PVC jacket</t>
        </is>
      </c>
      <c r="K4065" s="12" t="inlineStr">
        <is>
          <t>LV|3/C+G|10</t>
        </is>
      </c>
      <c r="L4065" s="12" t="inlineStr">
        <is>
          <t>3/C+G</t>
        </is>
      </c>
      <c r="M4065" s="12" t="inlineStr">
        <is>
          <t>10</t>
        </is>
      </c>
      <c r="N4065" s="12" t="n">
        <v>1</v>
      </c>
      <c r="O4065" s="12" t="n">
        <v>1</v>
      </c>
      <c r="P4065" s="12" t="n">
        <v>480</v>
      </c>
      <c r="Q4065" s="12" t="n">
        <v>2</v>
      </c>
      <c r="R4065" s="12" t="n">
        <v>2.8</v>
      </c>
      <c r="S4065" s="12" t="inlineStr">
        <is>
          <t>Duct bank</t>
        </is>
      </c>
      <c r="T4065" s="16" t="n">
        <v>180</v>
      </c>
      <c r="U4065" s="16" t="n">
        <v>32</v>
      </c>
      <c r="V4065" s="16">
        <f>ROUNDUP((T4065+U4065+2*'Read Me'!$B$13)*(1+'Read Me'!$B$12),-1)</f>
        <v/>
      </c>
      <c r="W4065" s="16">
        <f>V4065*N4065*O4065</f>
        <v/>
      </c>
      <c r="X4065" s="12">
        <f>IF(LEFT(I4065,2)="MV",2*N4065*IF(L4065="1/C",O4065,1),0)</f>
        <v/>
      </c>
      <c r="Y4065" s="12">
        <f>IF(OR(LEFT(K4065,4)="LVAX",LEFT(K4065,6)="MV15AX",LEFT(K4065,4)="CTAX",LEFT(K4065,2)="W|"),2*N4065*O4065,0)</f>
        <v/>
      </c>
      <c r="Z4065" s="12" t="inlineStr">
        <is>
          <t>VD 0.3 %</t>
        </is>
      </c>
      <c r="AA4065" s="12">
        <f>N4065*O4065</f>
        <v/>
      </c>
    </row>
    <row r="4066">
      <c r="A4066" s="12" t="inlineStr">
        <is>
          <t>H-P-0065</t>
        </is>
      </c>
      <c r="B4066" s="12" t="inlineStr">
        <is>
          <t>H</t>
        </is>
      </c>
      <c r="C4066" s="12" t="inlineStr">
        <is>
          <t>BESS</t>
        </is>
      </c>
      <c r="D4066" s="12" t="inlineStr">
        <is>
          <t>Motor 3 of 6, 2 kW</t>
        </is>
      </c>
      <c r="E4066" s="12" t="inlineStr"/>
      <c r="F4066" s="12" t="inlineStr">
        <is>
          <t>BESS auxiliary transformer</t>
        </is>
      </c>
      <c r="G4066" s="12" t="inlineStr">
        <is>
          <t>BESS MPT</t>
        </is>
      </c>
      <c r="H4066" s="12" t="inlineStr">
        <is>
          <t>BESS main power transformer 34.5/230 kV (to D4 upper)</t>
        </is>
      </c>
      <c r="I4066" s="12" t="inlineStr">
        <is>
          <t>LV 600 V</t>
        </is>
      </c>
      <c r="J4066" s="12" t="inlineStr">
        <is>
          <t>Type TC-ER 600 V 3/C Cu XHHW-2 + ground, PVC jacket</t>
        </is>
      </c>
      <c r="K4066" s="12" t="inlineStr">
        <is>
          <t>LV|3/C+G|10</t>
        </is>
      </c>
      <c r="L4066" s="12" t="inlineStr">
        <is>
          <t>3/C+G</t>
        </is>
      </c>
      <c r="M4066" s="12" t="inlineStr">
        <is>
          <t>10</t>
        </is>
      </c>
      <c r="N4066" s="12" t="n">
        <v>1</v>
      </c>
      <c r="O4066" s="12" t="n">
        <v>1</v>
      </c>
      <c r="P4066" s="12" t="n">
        <v>480</v>
      </c>
      <c r="Q4066" s="12" t="n">
        <v>2</v>
      </c>
      <c r="R4066" s="12" t="n">
        <v>2.8</v>
      </c>
      <c r="S4066" s="12" t="inlineStr">
        <is>
          <t>Duct bank</t>
        </is>
      </c>
      <c r="T4066" s="16" t="n">
        <v>180</v>
      </c>
      <c r="U4066" s="16" t="n">
        <v>32</v>
      </c>
      <c r="V4066" s="16">
        <f>ROUNDUP((T4066+U4066+2*'Read Me'!$B$13)*(1+'Read Me'!$B$12),-1)</f>
        <v/>
      </c>
      <c r="W4066" s="16">
        <f>V4066*N4066*O4066</f>
        <v/>
      </c>
      <c r="X4066" s="12">
        <f>IF(LEFT(I4066,2)="MV",2*N4066*IF(L4066="1/C",O4066,1),0)</f>
        <v/>
      </c>
      <c r="Y4066" s="12">
        <f>IF(OR(LEFT(K4066,4)="LVAX",LEFT(K4066,6)="MV15AX",LEFT(K4066,4)="CTAX",LEFT(K4066,2)="W|"),2*N4066*O4066,0)</f>
        <v/>
      </c>
      <c r="Z4066" s="12" t="inlineStr">
        <is>
          <t>VD 0.3 %</t>
        </is>
      </c>
      <c r="AA4066" s="12">
        <f>N4066*O4066</f>
        <v/>
      </c>
    </row>
    <row r="4067">
      <c r="A4067" s="12" t="inlineStr">
        <is>
          <t>H-P-0066</t>
        </is>
      </c>
      <c r="B4067" s="12" t="inlineStr">
        <is>
          <t>H</t>
        </is>
      </c>
      <c r="C4067" s="12" t="inlineStr">
        <is>
          <t>BESS</t>
        </is>
      </c>
      <c r="D4067" s="12" t="inlineStr">
        <is>
          <t>Motor 4 of 6, 2 kW</t>
        </is>
      </c>
      <c r="E4067" s="12" t="inlineStr"/>
      <c r="F4067" s="12" t="inlineStr">
        <is>
          <t>BESS auxiliary transformer</t>
        </is>
      </c>
      <c r="G4067" s="12" t="inlineStr">
        <is>
          <t>BESS MPT</t>
        </is>
      </c>
      <c r="H4067" s="12" t="inlineStr">
        <is>
          <t>BESS main power transformer 34.5/230 kV (to D4 upper)</t>
        </is>
      </c>
      <c r="I4067" s="12" t="inlineStr">
        <is>
          <t>LV 600 V</t>
        </is>
      </c>
      <c r="J4067" s="12" t="inlineStr">
        <is>
          <t>Type TC-ER 600 V 3/C Cu XHHW-2 + ground, PVC jacket</t>
        </is>
      </c>
      <c r="K4067" s="12" t="inlineStr">
        <is>
          <t>LV|3/C+G|10</t>
        </is>
      </c>
      <c r="L4067" s="12" t="inlineStr">
        <is>
          <t>3/C+G</t>
        </is>
      </c>
      <c r="M4067" s="12" t="inlineStr">
        <is>
          <t>10</t>
        </is>
      </c>
      <c r="N4067" s="12" t="n">
        <v>1</v>
      </c>
      <c r="O4067" s="12" t="n">
        <v>1</v>
      </c>
      <c r="P4067" s="12" t="n">
        <v>480</v>
      </c>
      <c r="Q4067" s="12" t="n">
        <v>2</v>
      </c>
      <c r="R4067" s="12" t="n">
        <v>2.8</v>
      </c>
      <c r="S4067" s="12" t="inlineStr">
        <is>
          <t>Duct bank</t>
        </is>
      </c>
      <c r="T4067" s="16" t="n">
        <v>180</v>
      </c>
      <c r="U4067" s="16" t="n">
        <v>32</v>
      </c>
      <c r="V4067" s="16">
        <f>ROUNDUP((T4067+U4067+2*'Read Me'!$B$13)*(1+'Read Me'!$B$12),-1)</f>
        <v/>
      </c>
      <c r="W4067" s="16">
        <f>V4067*N4067*O4067</f>
        <v/>
      </c>
      <c r="X4067" s="12">
        <f>IF(LEFT(I4067,2)="MV",2*N4067*IF(L4067="1/C",O4067,1),0)</f>
        <v/>
      </c>
      <c r="Y4067" s="12">
        <f>IF(OR(LEFT(K4067,4)="LVAX",LEFT(K4067,6)="MV15AX",LEFT(K4067,4)="CTAX",LEFT(K4067,2)="W|"),2*N4067*O4067,0)</f>
        <v/>
      </c>
      <c r="Z4067" s="12" t="inlineStr">
        <is>
          <t>VD 0.3 %</t>
        </is>
      </c>
      <c r="AA4067" s="12">
        <f>N4067*O4067</f>
        <v/>
      </c>
    </row>
    <row r="4068">
      <c r="A4068" s="12" t="inlineStr">
        <is>
          <t>H-P-0067</t>
        </is>
      </c>
      <c r="B4068" s="12" t="inlineStr">
        <is>
          <t>H</t>
        </is>
      </c>
      <c r="C4068" s="12" t="inlineStr">
        <is>
          <t>BESS</t>
        </is>
      </c>
      <c r="D4068" s="12" t="inlineStr">
        <is>
          <t>Motor 5 of 6, 2 kW</t>
        </is>
      </c>
      <c r="E4068" s="12" t="inlineStr"/>
      <c r="F4068" s="12" t="inlineStr">
        <is>
          <t>BESS auxiliary transformer</t>
        </is>
      </c>
      <c r="G4068" s="12" t="inlineStr">
        <is>
          <t>BESS MPT</t>
        </is>
      </c>
      <c r="H4068" s="12" t="inlineStr">
        <is>
          <t>BESS main power transformer 34.5/230 kV (to D4 upper)</t>
        </is>
      </c>
      <c r="I4068" s="12" t="inlineStr">
        <is>
          <t>LV 600 V</t>
        </is>
      </c>
      <c r="J4068" s="12" t="inlineStr">
        <is>
          <t>Type TC-ER 600 V 3/C Cu XHHW-2 + ground, PVC jacket</t>
        </is>
      </c>
      <c r="K4068" s="12" t="inlineStr">
        <is>
          <t>LV|3/C+G|10</t>
        </is>
      </c>
      <c r="L4068" s="12" t="inlineStr">
        <is>
          <t>3/C+G</t>
        </is>
      </c>
      <c r="M4068" s="12" t="inlineStr">
        <is>
          <t>10</t>
        </is>
      </c>
      <c r="N4068" s="12" t="n">
        <v>1</v>
      </c>
      <c r="O4068" s="12" t="n">
        <v>1</v>
      </c>
      <c r="P4068" s="12" t="n">
        <v>480</v>
      </c>
      <c r="Q4068" s="12" t="n">
        <v>2</v>
      </c>
      <c r="R4068" s="12" t="n">
        <v>2.8</v>
      </c>
      <c r="S4068" s="12" t="inlineStr">
        <is>
          <t>Duct bank</t>
        </is>
      </c>
      <c r="T4068" s="16" t="n">
        <v>180</v>
      </c>
      <c r="U4068" s="16" t="n">
        <v>32</v>
      </c>
      <c r="V4068" s="16">
        <f>ROUNDUP((T4068+U4068+2*'Read Me'!$B$13)*(1+'Read Me'!$B$12),-1)</f>
        <v/>
      </c>
      <c r="W4068" s="16">
        <f>V4068*N4068*O4068</f>
        <v/>
      </c>
      <c r="X4068" s="12">
        <f>IF(LEFT(I4068,2)="MV",2*N4068*IF(L4068="1/C",O4068,1),0)</f>
        <v/>
      </c>
      <c r="Y4068" s="12">
        <f>IF(OR(LEFT(K4068,4)="LVAX",LEFT(K4068,6)="MV15AX",LEFT(K4068,4)="CTAX",LEFT(K4068,2)="W|"),2*N4068*O4068,0)</f>
        <v/>
      </c>
      <c r="Z4068" s="12" t="inlineStr">
        <is>
          <t>VD 0.3 %</t>
        </is>
      </c>
      <c r="AA4068" s="12">
        <f>N4068*O4068</f>
        <v/>
      </c>
    </row>
    <row r="4069">
      <c r="A4069" s="12" t="inlineStr">
        <is>
          <t>H-P-0068</t>
        </is>
      </c>
      <c r="B4069" s="12" t="inlineStr">
        <is>
          <t>H</t>
        </is>
      </c>
      <c r="C4069" s="12" t="inlineStr">
        <is>
          <t>BESS</t>
        </is>
      </c>
      <c r="D4069" s="12" t="inlineStr">
        <is>
          <t>Motor 6 of 6, 2 kW</t>
        </is>
      </c>
      <c r="E4069" s="12" t="inlineStr"/>
      <c r="F4069" s="12" t="inlineStr">
        <is>
          <t>BESS auxiliary transformer</t>
        </is>
      </c>
      <c r="G4069" s="12" t="inlineStr">
        <is>
          <t>BESS MPT</t>
        </is>
      </c>
      <c r="H4069" s="12" t="inlineStr">
        <is>
          <t>BESS main power transformer 34.5/230 kV (to D4 upper)</t>
        </is>
      </c>
      <c r="I4069" s="12" t="inlineStr">
        <is>
          <t>LV 600 V</t>
        </is>
      </c>
      <c r="J4069" s="12" t="inlineStr">
        <is>
          <t>Type TC-ER 600 V 3/C Cu XHHW-2 + ground, PVC jacket</t>
        </is>
      </c>
      <c r="K4069" s="12" t="inlineStr">
        <is>
          <t>LV|3/C+G|10</t>
        </is>
      </c>
      <c r="L4069" s="12" t="inlineStr">
        <is>
          <t>3/C+G</t>
        </is>
      </c>
      <c r="M4069" s="12" t="inlineStr">
        <is>
          <t>10</t>
        </is>
      </c>
      <c r="N4069" s="12" t="n">
        <v>1</v>
      </c>
      <c r="O4069" s="12" t="n">
        <v>1</v>
      </c>
      <c r="P4069" s="12" t="n">
        <v>480</v>
      </c>
      <c r="Q4069" s="12" t="n">
        <v>2</v>
      </c>
      <c r="R4069" s="12" t="n">
        <v>2.8</v>
      </c>
      <c r="S4069" s="12" t="inlineStr">
        <is>
          <t>Duct bank</t>
        </is>
      </c>
      <c r="T4069" s="16" t="n">
        <v>180</v>
      </c>
      <c r="U4069" s="16" t="n">
        <v>32</v>
      </c>
      <c r="V4069" s="16">
        <f>ROUNDUP((T4069+U4069+2*'Read Me'!$B$13)*(1+'Read Me'!$B$12),-1)</f>
        <v/>
      </c>
      <c r="W4069" s="16">
        <f>V4069*N4069*O4069</f>
        <v/>
      </c>
      <c r="X4069" s="12">
        <f>IF(LEFT(I4069,2)="MV",2*N4069*IF(L4069="1/C",O4069,1),0)</f>
        <v/>
      </c>
      <c r="Y4069" s="12">
        <f>IF(OR(LEFT(K4069,4)="LVAX",LEFT(K4069,6)="MV15AX",LEFT(K4069,4)="CTAX",LEFT(K4069,2)="W|"),2*N4069*O4069,0)</f>
        <v/>
      </c>
      <c r="Z4069" s="12" t="inlineStr">
        <is>
          <t>VD 0.3 %</t>
        </is>
      </c>
      <c r="AA4069" s="12">
        <f>N4069*O4069</f>
        <v/>
      </c>
    </row>
    <row r="4070">
      <c r="A4070" s="12" t="inlineStr">
        <is>
          <t>H-P-0069</t>
        </is>
      </c>
      <c r="B4070" s="12" t="inlineStr">
        <is>
          <t>H</t>
        </is>
      </c>
      <c r="C4070" s="12" t="inlineStr">
        <is>
          <t>BESS</t>
        </is>
      </c>
      <c r="D4070" s="12" t="inlineStr">
        <is>
          <t>Yard lighting circuit 1 (10 floodlights)</t>
        </is>
      </c>
      <c r="E4070" s="12" t="inlineStr"/>
      <c r="F4070" s="12" t="inlineStr">
        <is>
          <t>BESS auxiliary transformer</t>
        </is>
      </c>
      <c r="G4070" s="12" t="inlineStr"/>
      <c r="H4070" s="12" t="inlineStr">
        <is>
          <t>BESS yard: surfacing, fence, gate, signage, lighting</t>
        </is>
      </c>
      <c r="I4070" s="12" t="inlineStr">
        <is>
          <t>LV 600 V</t>
        </is>
      </c>
      <c r="J4070" s="12" t="inlineStr">
        <is>
          <t>Type TC-ER 600 V 3/C Cu XHHW-2 + ground, PVC jacket</t>
        </is>
      </c>
      <c r="K4070" s="12" t="inlineStr">
        <is>
          <t>LV|3/C+G|8</t>
        </is>
      </c>
      <c r="L4070" s="12" t="inlineStr">
        <is>
          <t>3/C+G</t>
        </is>
      </c>
      <c r="M4070" s="12" t="inlineStr">
        <is>
          <t>8</t>
        </is>
      </c>
      <c r="N4070" s="12" t="n">
        <v>1</v>
      </c>
      <c r="O4070" s="12" t="n">
        <v>1</v>
      </c>
      <c r="P4070" s="12" t="n">
        <v>480</v>
      </c>
      <c r="Q4070" s="12" t="n">
        <v>4</v>
      </c>
      <c r="R4070" s="12" t="n">
        <v>6</v>
      </c>
      <c r="S4070" s="12" t="inlineStr">
        <is>
          <t>Buried</t>
        </is>
      </c>
      <c r="T4070" s="16" t="n">
        <v>900</v>
      </c>
      <c r="U4070" s="16" t="n">
        <v>30</v>
      </c>
      <c r="V4070" s="16">
        <f>ROUNDUP((T4070+U4070+2*'Read Me'!$B$13)*(1+'Read Me'!$B$12),-1)</f>
        <v/>
      </c>
      <c r="W4070" s="16">
        <f>V4070*N4070*O4070</f>
        <v/>
      </c>
      <c r="X4070" s="12">
        <f>IF(LEFT(I4070,2)="MV",2*N4070*IF(L4070="1/C",O4070,1),0)</f>
        <v/>
      </c>
      <c r="Y4070" s="12">
        <f>IF(OR(LEFT(K4070,4)="LVAX",LEFT(K4070,6)="MV15AX",LEFT(K4070,4)="CTAX",LEFT(K4070,2)="W|"),2*N4070*O4070,0)</f>
        <v/>
      </c>
      <c r="Z4070" s="12" t="inlineStr">
        <is>
          <t>pole to pole, buried</t>
        </is>
      </c>
      <c r="AA4070" s="12">
        <f>N4070*O4070</f>
        <v/>
      </c>
    </row>
    <row r="4071">
      <c r="A4071" s="12" t="inlineStr">
        <is>
          <t>H-P-0070</t>
        </is>
      </c>
      <c r="B4071" s="12" t="inlineStr">
        <is>
          <t>H</t>
        </is>
      </c>
      <c r="C4071" s="12" t="inlineStr">
        <is>
          <t>BESS</t>
        </is>
      </c>
      <c r="D4071" s="12" t="inlineStr">
        <is>
          <t>Yard lighting circuit 2 (10 floodlights)</t>
        </is>
      </c>
      <c r="E4071" s="12" t="inlineStr"/>
      <c r="F4071" s="12" t="inlineStr">
        <is>
          <t>BESS auxiliary transformer</t>
        </is>
      </c>
      <c r="G4071" s="12" t="inlineStr"/>
      <c r="H4071" s="12" t="inlineStr">
        <is>
          <t>BESS yard: surfacing, fence, gate, signage, lighting</t>
        </is>
      </c>
      <c r="I4071" s="12" t="inlineStr">
        <is>
          <t>LV 600 V</t>
        </is>
      </c>
      <c r="J4071" s="12" t="inlineStr">
        <is>
          <t>Type TC-ER 600 V 3/C Cu XHHW-2 + ground, PVC jacket</t>
        </is>
      </c>
      <c r="K4071" s="12" t="inlineStr">
        <is>
          <t>LV|3/C+G|8</t>
        </is>
      </c>
      <c r="L4071" s="12" t="inlineStr">
        <is>
          <t>3/C+G</t>
        </is>
      </c>
      <c r="M4071" s="12" t="inlineStr">
        <is>
          <t>8</t>
        </is>
      </c>
      <c r="N4071" s="12" t="n">
        <v>1</v>
      </c>
      <c r="O4071" s="12" t="n">
        <v>1</v>
      </c>
      <c r="P4071" s="12" t="n">
        <v>480</v>
      </c>
      <c r="Q4071" s="12" t="n">
        <v>4</v>
      </c>
      <c r="R4071" s="12" t="n">
        <v>6</v>
      </c>
      <c r="S4071" s="12" t="inlineStr">
        <is>
          <t>Buried</t>
        </is>
      </c>
      <c r="T4071" s="16" t="n">
        <v>900</v>
      </c>
      <c r="U4071" s="16" t="n">
        <v>30</v>
      </c>
      <c r="V4071" s="16">
        <f>ROUNDUP((T4071+U4071+2*'Read Me'!$B$13)*(1+'Read Me'!$B$12),-1)</f>
        <v/>
      </c>
      <c r="W4071" s="16">
        <f>V4071*N4071*O4071</f>
        <v/>
      </c>
      <c r="X4071" s="12">
        <f>IF(LEFT(I4071,2)="MV",2*N4071*IF(L4071="1/C",O4071,1),0)</f>
        <v/>
      </c>
      <c r="Y4071" s="12">
        <f>IF(OR(LEFT(K4071,4)="LVAX",LEFT(K4071,6)="MV15AX",LEFT(K4071,4)="CTAX",LEFT(K4071,2)="W|"),2*N4071*O4071,0)</f>
        <v/>
      </c>
      <c r="Z4071" s="12" t="inlineStr">
        <is>
          <t>pole to pole, buried</t>
        </is>
      </c>
      <c r="AA4071" s="12">
        <f>N4071*O4071</f>
        <v/>
      </c>
    </row>
    <row r="4072">
      <c r="A4072" s="12" t="inlineStr">
        <is>
          <t>H-P-0071</t>
        </is>
      </c>
      <c r="B4072" s="12" t="inlineStr">
        <is>
          <t>H</t>
        </is>
      </c>
      <c r="C4072" s="12" t="inlineStr">
        <is>
          <t>BESS</t>
        </is>
      </c>
      <c r="D4072" s="12" t="inlineStr">
        <is>
          <t>Yard lighting circuit 3 (4 floodlights)</t>
        </is>
      </c>
      <c r="E4072" s="12" t="inlineStr"/>
      <c r="F4072" s="12" t="inlineStr">
        <is>
          <t>BESS auxiliary transformer</t>
        </is>
      </c>
      <c r="G4072" s="12" t="inlineStr"/>
      <c r="H4072" s="12" t="inlineStr">
        <is>
          <t>BESS yard: surfacing, fence, gate, signage, lighting</t>
        </is>
      </c>
      <c r="I4072" s="12" t="inlineStr">
        <is>
          <t>LV 600 V</t>
        </is>
      </c>
      <c r="J4072" s="12" t="inlineStr">
        <is>
          <t>Type TC-ER 600 V 3/C Cu XHHW-2 + ground, PVC jacket</t>
        </is>
      </c>
      <c r="K4072" s="12" t="inlineStr">
        <is>
          <t>LV|3/C+G|8</t>
        </is>
      </c>
      <c r="L4072" s="12" t="inlineStr">
        <is>
          <t>3/C+G</t>
        </is>
      </c>
      <c r="M4072" s="12" t="inlineStr">
        <is>
          <t>8</t>
        </is>
      </c>
      <c r="N4072" s="12" t="n">
        <v>1</v>
      </c>
      <c r="O4072" s="12" t="n">
        <v>1</v>
      </c>
      <c r="P4072" s="12" t="n">
        <v>480</v>
      </c>
      <c r="Q4072" s="12" t="n">
        <v>4</v>
      </c>
      <c r="R4072" s="12" t="n">
        <v>6</v>
      </c>
      <c r="S4072" s="12" t="inlineStr">
        <is>
          <t>Buried</t>
        </is>
      </c>
      <c r="T4072" s="16" t="n">
        <v>900</v>
      </c>
      <c r="U4072" s="16" t="n">
        <v>30</v>
      </c>
      <c r="V4072" s="16">
        <f>ROUNDUP((T4072+U4072+2*'Read Me'!$B$13)*(1+'Read Me'!$B$12),-1)</f>
        <v/>
      </c>
      <c r="W4072" s="16">
        <f>V4072*N4072*O4072</f>
        <v/>
      </c>
      <c r="X4072" s="12">
        <f>IF(LEFT(I4072,2)="MV",2*N4072*IF(L4072="1/C",O4072,1),0)</f>
        <v/>
      </c>
      <c r="Y4072" s="12">
        <f>IF(OR(LEFT(K4072,4)="LVAX",LEFT(K4072,6)="MV15AX",LEFT(K4072,4)="CTAX",LEFT(K4072,2)="W|"),2*N4072*O4072,0)</f>
        <v/>
      </c>
      <c r="Z4072" s="12" t="inlineStr">
        <is>
          <t>pole to pole, buried</t>
        </is>
      </c>
      <c r="AA4072" s="12">
        <f>N4072*O4072</f>
        <v/>
      </c>
    </row>
    <row r="4073">
      <c r="A4073" s="12" t="inlineStr">
        <is>
          <t>H-MV-0001</t>
        </is>
      </c>
      <c r="B4073" s="12" t="inlineStr">
        <is>
          <t>H</t>
        </is>
      </c>
      <c r="C4073" s="12" t="inlineStr">
        <is>
          <t>BESS</t>
        </is>
      </c>
      <c r="D4073" s="12" t="inlineStr">
        <is>
          <t>34.5 kV collection loop 1</t>
        </is>
      </c>
      <c r="E4073" s="12" t="inlineStr"/>
      <c r="F4073" s="12" t="inlineStr">
        <is>
          <t>BESS PCS / MV skid</t>
        </is>
      </c>
      <c r="G4073" s="12" t="inlineStr"/>
      <c r="H4073" s="12" t="inlineStr">
        <is>
          <t>34.5 kV collector e-house (arc-resistant)</t>
        </is>
      </c>
      <c r="I4073" s="12" t="inlineStr">
        <is>
          <t>MV 35 kV</t>
        </is>
      </c>
      <c r="J4073" s="12" t="inlineStr">
        <is>
          <t>MV-105 35 kV 1/C Al, EPR 133%, 1/3 concentric neutral, LLDPE jacket</t>
        </is>
      </c>
      <c r="K4073" s="12" t="inlineStr">
        <is>
          <t>MV35|1/C|350</t>
        </is>
      </c>
      <c r="L4073" s="12" t="inlineStr">
        <is>
          <t>1/C</t>
        </is>
      </c>
      <c r="M4073" s="12" t="inlineStr">
        <is>
          <t>350 kcmil</t>
        </is>
      </c>
      <c r="N4073" s="12" t="n">
        <v>2</v>
      </c>
      <c r="O4073" s="12" t="n">
        <v>3</v>
      </c>
      <c r="P4073" s="12" t="n">
        <v>34500</v>
      </c>
      <c r="Q4073" s="12" t="n">
        <v>25000</v>
      </c>
      <c r="R4073" s="12" t="n">
        <v>418</v>
      </c>
      <c r="S4073" s="12" t="inlineStr">
        <is>
          <t>Duct bank</t>
        </is>
      </c>
      <c r="T4073" s="16" t="n">
        <v>556</v>
      </c>
      <c r="U4073" s="16" t="n">
        <v>37</v>
      </c>
      <c r="V4073" s="16">
        <f>ROUNDUP((T4073+U4073+2*'Read Me'!$B$13)*(1+'Read Me'!$B$12),-1)</f>
        <v/>
      </c>
      <c r="W4073" s="16">
        <f>V4073*N4073*O4073</f>
        <v/>
      </c>
      <c r="X4073" s="12">
        <f>IF(LEFT(I4073,2)="MV",2*N4073*IF(L4073="1/C",O4073,1),0)</f>
        <v/>
      </c>
      <c r="Y4073" s="12">
        <f>IF(OR(LEFT(K4073,4)="LVAX",LEFT(K4073,6)="MV15AX",LEFT(K4073,4)="CTAX",LEFT(K4073,2)="W|"),2*N4073*O4073,0)</f>
        <v/>
      </c>
      <c r="Z4073" s="12" t="inlineStr"/>
      <c r="AA4073" s="12">
        <f>N4073*O4073</f>
        <v/>
      </c>
    </row>
    <row r="4074">
      <c r="A4074" s="12" t="inlineStr">
        <is>
          <t>H-MV-0002</t>
        </is>
      </c>
      <c r="B4074" s="12" t="inlineStr">
        <is>
          <t>H</t>
        </is>
      </c>
      <c r="C4074" s="12" t="inlineStr">
        <is>
          <t>BESS</t>
        </is>
      </c>
      <c r="D4074" s="12" t="inlineStr">
        <is>
          <t>34.5 kV collection loop 2</t>
        </is>
      </c>
      <c r="E4074" s="12" t="inlineStr"/>
      <c r="F4074" s="12" t="inlineStr">
        <is>
          <t>BESS PCS / MV skid</t>
        </is>
      </c>
      <c r="G4074" s="12" t="inlineStr"/>
      <c r="H4074" s="12" t="inlineStr">
        <is>
          <t>34.5 kV collector e-house (arc-resistant)</t>
        </is>
      </c>
      <c r="I4074" s="12" t="inlineStr">
        <is>
          <t>MV 35 kV</t>
        </is>
      </c>
      <c r="J4074" s="12" t="inlineStr">
        <is>
          <t>MV-105 35 kV 1/C Al, EPR 133%, 1/3 concentric neutral, LLDPE jacket</t>
        </is>
      </c>
      <c r="K4074" s="12" t="inlineStr">
        <is>
          <t>MV35|1/C|350</t>
        </is>
      </c>
      <c r="L4074" s="12" t="inlineStr">
        <is>
          <t>1/C</t>
        </is>
      </c>
      <c r="M4074" s="12" t="inlineStr">
        <is>
          <t>350 kcmil</t>
        </is>
      </c>
      <c r="N4074" s="12" t="n">
        <v>2</v>
      </c>
      <c r="O4074" s="12" t="n">
        <v>3</v>
      </c>
      <c r="P4074" s="12" t="n">
        <v>34500</v>
      </c>
      <c r="Q4074" s="12" t="n">
        <v>25000</v>
      </c>
      <c r="R4074" s="12" t="n">
        <v>418</v>
      </c>
      <c r="S4074" s="12" t="inlineStr">
        <is>
          <t>Duct bank</t>
        </is>
      </c>
      <c r="T4074" s="16" t="n">
        <v>436</v>
      </c>
      <c r="U4074" s="16" t="n">
        <v>37</v>
      </c>
      <c r="V4074" s="16">
        <f>ROUNDUP((T4074+U4074+2*'Read Me'!$B$13)*(1+'Read Me'!$B$12),-1)</f>
        <v/>
      </c>
      <c r="W4074" s="16">
        <f>V4074*N4074*O4074</f>
        <v/>
      </c>
      <c r="X4074" s="12">
        <f>IF(LEFT(I4074,2)="MV",2*N4074*IF(L4074="1/C",O4074,1),0)</f>
        <v/>
      </c>
      <c r="Y4074" s="12">
        <f>IF(OR(LEFT(K4074,4)="LVAX",LEFT(K4074,6)="MV15AX",LEFT(K4074,4)="CTAX",LEFT(K4074,2)="W|"),2*N4074*O4074,0)</f>
        <v/>
      </c>
      <c r="Z4074" s="12" t="inlineStr"/>
      <c r="AA4074" s="12">
        <f>N4074*O4074</f>
        <v/>
      </c>
    </row>
    <row r="4075">
      <c r="A4075" s="12" t="inlineStr">
        <is>
          <t>H-MV-0003</t>
        </is>
      </c>
      <c r="B4075" s="12" t="inlineStr">
        <is>
          <t>H</t>
        </is>
      </c>
      <c r="C4075" s="12" t="inlineStr">
        <is>
          <t>BESS</t>
        </is>
      </c>
      <c r="D4075" s="12" t="inlineStr">
        <is>
          <t>34.5 kV collection loop 3</t>
        </is>
      </c>
      <c r="E4075" s="12" t="inlineStr"/>
      <c r="F4075" s="12" t="inlineStr">
        <is>
          <t>BESS PCS / MV skid</t>
        </is>
      </c>
      <c r="G4075" s="12" t="inlineStr"/>
      <c r="H4075" s="12" t="inlineStr">
        <is>
          <t>34.5 kV collector e-house (arc-resistant)</t>
        </is>
      </c>
      <c r="I4075" s="12" t="inlineStr">
        <is>
          <t>MV 35 kV</t>
        </is>
      </c>
      <c r="J4075" s="12" t="inlineStr">
        <is>
          <t>MV-105 35 kV 1/C Al, EPR 133%, 1/3 concentric neutral, LLDPE jacket</t>
        </is>
      </c>
      <c r="K4075" s="12" t="inlineStr">
        <is>
          <t>MV35|1/C|350</t>
        </is>
      </c>
      <c r="L4075" s="12" t="inlineStr">
        <is>
          <t>1/C</t>
        </is>
      </c>
      <c r="M4075" s="12" t="inlineStr">
        <is>
          <t>350 kcmil</t>
        </is>
      </c>
      <c r="N4075" s="12" t="n">
        <v>2</v>
      </c>
      <c r="O4075" s="12" t="n">
        <v>3</v>
      </c>
      <c r="P4075" s="12" t="n">
        <v>34500</v>
      </c>
      <c r="Q4075" s="12" t="n">
        <v>25000</v>
      </c>
      <c r="R4075" s="12" t="n">
        <v>418</v>
      </c>
      <c r="S4075" s="12" t="inlineStr">
        <is>
          <t>Duct bank</t>
        </is>
      </c>
      <c r="T4075" s="16" t="n">
        <v>350</v>
      </c>
      <c r="U4075" s="16" t="n">
        <v>42</v>
      </c>
      <c r="V4075" s="16">
        <f>ROUNDUP((T4075+U4075+2*'Read Me'!$B$13)*(1+'Read Me'!$B$12),-1)</f>
        <v/>
      </c>
      <c r="W4075" s="16">
        <f>V4075*N4075*O4075</f>
        <v/>
      </c>
      <c r="X4075" s="12">
        <f>IF(LEFT(I4075,2)="MV",2*N4075*IF(L4075="1/C",O4075,1),0)</f>
        <v/>
      </c>
      <c r="Y4075" s="12">
        <f>IF(OR(LEFT(K4075,4)="LVAX",LEFT(K4075,6)="MV15AX",LEFT(K4075,4)="CTAX",LEFT(K4075,2)="W|"),2*N4075*O4075,0)</f>
        <v/>
      </c>
      <c r="Z4075" s="12" t="inlineStr"/>
      <c r="AA4075" s="12">
        <f>N4075*O4075</f>
        <v/>
      </c>
    </row>
    <row r="4076">
      <c r="A4076" s="12" t="inlineStr">
        <is>
          <t>H-MV-0004</t>
        </is>
      </c>
      <c r="B4076" s="12" t="inlineStr">
        <is>
          <t>H</t>
        </is>
      </c>
      <c r="C4076" s="12" t="inlineStr">
        <is>
          <t>BESS</t>
        </is>
      </c>
      <c r="D4076" s="12" t="inlineStr">
        <is>
          <t>34.5 kV collection loop 1</t>
        </is>
      </c>
      <c r="E4076" s="12" t="inlineStr"/>
      <c r="F4076" s="12" t="inlineStr">
        <is>
          <t>34.5 kV collector e-house (arc-resistant)</t>
        </is>
      </c>
      <c r="G4076" s="12" t="inlineStr"/>
      <c r="H4076" s="12" t="inlineStr">
        <is>
          <t>BESS PCS / MV skid</t>
        </is>
      </c>
      <c r="I4076" s="12" t="inlineStr">
        <is>
          <t>MV 35 kV</t>
        </is>
      </c>
      <c r="J4076" s="12" t="inlineStr">
        <is>
          <t>MV-105 35 kV 1/C Al, EPR 133%, 1/3 concentric neutral, LLDPE jacket</t>
        </is>
      </c>
      <c r="K4076" s="12" t="inlineStr">
        <is>
          <t>MV35|1/C|350</t>
        </is>
      </c>
      <c r="L4076" s="12" t="inlineStr">
        <is>
          <t>1/C</t>
        </is>
      </c>
      <c r="M4076" s="12" t="inlineStr">
        <is>
          <t>350 kcmil</t>
        </is>
      </c>
      <c r="N4076" s="12" t="n">
        <v>2</v>
      </c>
      <c r="O4076" s="12" t="n">
        <v>3</v>
      </c>
      <c r="P4076" s="12" t="n">
        <v>34500</v>
      </c>
      <c r="Q4076" s="12" t="n">
        <v>25000</v>
      </c>
      <c r="R4076" s="12" t="n">
        <v>418</v>
      </c>
      <c r="S4076" s="12" t="inlineStr">
        <is>
          <t>Duct bank</t>
        </is>
      </c>
      <c r="T4076" s="16" t="n">
        <v>254</v>
      </c>
      <c r="U4076" s="16" t="n">
        <v>103</v>
      </c>
      <c r="V4076" s="16">
        <f>ROUNDUP((T4076+U4076+2*'Read Me'!$B$13)*(1+'Read Me'!$B$12),-1)</f>
        <v/>
      </c>
      <c r="W4076" s="16">
        <f>V4076*N4076*O4076</f>
        <v/>
      </c>
      <c r="X4076" s="12">
        <f>IF(LEFT(I4076,2)="MV",2*N4076*IF(L4076="1/C",O4076,1),0)</f>
        <v/>
      </c>
      <c r="Y4076" s="12">
        <f>IF(OR(LEFT(K4076,4)="LVAX",LEFT(K4076,6)="MV15AX",LEFT(K4076,4)="CTAX",LEFT(K4076,2)="W|"),2*N4076*O4076,0)</f>
        <v/>
      </c>
      <c r="Z4076" s="12" t="inlineStr"/>
      <c r="AA4076" s="12">
        <f>N4076*O4076</f>
        <v/>
      </c>
    </row>
    <row r="4077">
      <c r="A4077" s="12" t="inlineStr">
        <is>
          <t>H-MV-0005</t>
        </is>
      </c>
      <c r="B4077" s="12" t="inlineStr">
        <is>
          <t>H</t>
        </is>
      </c>
      <c r="C4077" s="12" t="inlineStr">
        <is>
          <t>BESS</t>
        </is>
      </c>
      <c r="D4077" s="12" t="inlineStr">
        <is>
          <t>34.5 kV collection loop 1</t>
        </is>
      </c>
      <c r="E4077" s="12" t="inlineStr"/>
      <c r="F4077" s="12" t="inlineStr">
        <is>
          <t>BESS PCS / MV skid</t>
        </is>
      </c>
      <c r="G4077" s="12" t="inlineStr"/>
      <c r="H4077" s="12" t="inlineStr">
        <is>
          <t>BESS PCS / MV skid</t>
        </is>
      </c>
      <c r="I4077" s="12" t="inlineStr">
        <is>
          <t>MV 35 kV</t>
        </is>
      </c>
      <c r="J4077" s="12" t="inlineStr">
        <is>
          <t>MV-105 35 kV 1/C Al, EPR 133%, 1/3 concentric neutral, LLDPE jacket</t>
        </is>
      </c>
      <c r="K4077" s="12" t="inlineStr">
        <is>
          <t>MV35|1/C|350</t>
        </is>
      </c>
      <c r="L4077" s="12" t="inlineStr">
        <is>
          <t>1/C</t>
        </is>
      </c>
      <c r="M4077" s="12" t="inlineStr">
        <is>
          <t>350 kcmil</t>
        </is>
      </c>
      <c r="N4077" s="12" t="n">
        <v>2</v>
      </c>
      <c r="O4077" s="12" t="n">
        <v>3</v>
      </c>
      <c r="P4077" s="12" t="n">
        <v>34500</v>
      </c>
      <c r="Q4077" s="12" t="n">
        <v>25000</v>
      </c>
      <c r="R4077" s="12" t="n">
        <v>418</v>
      </c>
      <c r="S4077" s="12" t="inlineStr">
        <is>
          <t>Tray</t>
        </is>
      </c>
      <c r="T4077" s="16" t="n">
        <v>0</v>
      </c>
      <c r="U4077" s="16" t="n">
        <v>232</v>
      </c>
      <c r="V4077" s="16">
        <f>ROUNDUP((T4077+U4077+2*'Read Me'!$B$13)*(1+'Read Me'!$B$12),-1)</f>
        <v/>
      </c>
      <c r="W4077" s="16">
        <f>V4077*N4077*O4077</f>
        <v/>
      </c>
      <c r="X4077" s="12">
        <f>IF(LEFT(I4077,2)="MV",2*N4077*IF(L4077="1/C",O4077,1),0)</f>
        <v/>
      </c>
      <c r="Y4077" s="12">
        <f>IF(OR(LEFT(K4077,4)="LVAX",LEFT(K4077,6)="MV15AX",LEFT(K4077,4)="CTAX",LEFT(K4077,2)="W|"),2*N4077*O4077,0)</f>
        <v/>
      </c>
      <c r="Z4077" s="12" t="inlineStr"/>
      <c r="AA4077" s="12">
        <f>N4077*O4077</f>
        <v/>
      </c>
    </row>
    <row r="4078">
      <c r="A4078" s="12" t="inlineStr">
        <is>
          <t>H-MV-0006</t>
        </is>
      </c>
      <c r="B4078" s="12" t="inlineStr">
        <is>
          <t>H</t>
        </is>
      </c>
      <c r="C4078" s="12" t="inlineStr">
        <is>
          <t>BESS</t>
        </is>
      </c>
      <c r="D4078" s="12" t="inlineStr">
        <is>
          <t>34.5 kV collection loop 1</t>
        </is>
      </c>
      <c r="E4078" s="12" t="inlineStr"/>
      <c r="F4078" s="12" t="inlineStr">
        <is>
          <t>BESS PCS / MV skid</t>
        </is>
      </c>
      <c r="G4078" s="12" t="inlineStr"/>
      <c r="H4078" s="12" t="inlineStr">
        <is>
          <t>BESS PCS / MV skid</t>
        </is>
      </c>
      <c r="I4078" s="12" t="inlineStr">
        <is>
          <t>MV 35 kV</t>
        </is>
      </c>
      <c r="J4078" s="12" t="inlineStr">
        <is>
          <t>MV-105 35 kV 1/C Al, EPR 133%, 1/3 concentric neutral, LLDPE jacket</t>
        </is>
      </c>
      <c r="K4078" s="12" t="inlineStr">
        <is>
          <t>MV35|1/C|350</t>
        </is>
      </c>
      <c r="L4078" s="12" t="inlineStr">
        <is>
          <t>1/C</t>
        </is>
      </c>
      <c r="M4078" s="12" t="inlineStr">
        <is>
          <t>350 kcmil</t>
        </is>
      </c>
      <c r="N4078" s="12" t="n">
        <v>2</v>
      </c>
      <c r="O4078" s="12" t="n">
        <v>3</v>
      </c>
      <c r="P4078" s="12" t="n">
        <v>34500</v>
      </c>
      <c r="Q4078" s="12" t="n">
        <v>25000</v>
      </c>
      <c r="R4078" s="12" t="n">
        <v>418</v>
      </c>
      <c r="S4078" s="12" t="inlineStr">
        <is>
          <t>Tray</t>
        </is>
      </c>
      <c r="T4078" s="16" t="n">
        <v>0</v>
      </c>
      <c r="U4078" s="16" t="n">
        <v>348</v>
      </c>
      <c r="V4078" s="16">
        <f>ROUNDUP((T4078+U4078+2*'Read Me'!$B$13)*(1+'Read Me'!$B$12),-1)</f>
        <v/>
      </c>
      <c r="W4078" s="16">
        <f>V4078*N4078*O4078</f>
        <v/>
      </c>
      <c r="X4078" s="12">
        <f>IF(LEFT(I4078,2)="MV",2*N4078*IF(L4078="1/C",O4078,1),0)</f>
        <v/>
      </c>
      <c r="Y4078" s="12">
        <f>IF(OR(LEFT(K4078,4)="LVAX",LEFT(K4078,6)="MV15AX",LEFT(K4078,4)="CTAX",LEFT(K4078,2)="W|"),2*N4078*O4078,0)</f>
        <v/>
      </c>
      <c r="Z4078" s="12" t="inlineStr"/>
      <c r="AA4078" s="12">
        <f>N4078*O4078</f>
        <v/>
      </c>
    </row>
    <row r="4079">
      <c r="A4079" s="12" t="inlineStr">
        <is>
          <t>H-MV-0007</t>
        </is>
      </c>
      <c r="B4079" s="12" t="inlineStr">
        <is>
          <t>H</t>
        </is>
      </c>
      <c r="C4079" s="12" t="inlineStr">
        <is>
          <t>BESS</t>
        </is>
      </c>
      <c r="D4079" s="12" t="inlineStr">
        <is>
          <t>34.5 kV collection loop 1</t>
        </is>
      </c>
      <c r="E4079" s="12" t="inlineStr"/>
      <c r="F4079" s="12" t="inlineStr">
        <is>
          <t>BESS PCS / MV skid</t>
        </is>
      </c>
      <c r="G4079" s="12" t="inlineStr"/>
      <c r="H4079" s="12" t="inlineStr">
        <is>
          <t>BESS PCS / MV skid</t>
        </is>
      </c>
      <c r="I4079" s="12" t="inlineStr">
        <is>
          <t>MV 35 kV</t>
        </is>
      </c>
      <c r="J4079" s="12" t="inlineStr">
        <is>
          <t>MV-105 35 kV 1/C Al, EPR 133%, 1/3 concentric neutral, LLDPE jacket</t>
        </is>
      </c>
      <c r="K4079" s="12" t="inlineStr">
        <is>
          <t>MV35|1/C|350</t>
        </is>
      </c>
      <c r="L4079" s="12" t="inlineStr">
        <is>
          <t>1/C</t>
        </is>
      </c>
      <c r="M4079" s="12" t="inlineStr">
        <is>
          <t>350 kcmil</t>
        </is>
      </c>
      <c r="N4079" s="12" t="n">
        <v>2</v>
      </c>
      <c r="O4079" s="12" t="n">
        <v>3</v>
      </c>
      <c r="P4079" s="12" t="n">
        <v>34500</v>
      </c>
      <c r="Q4079" s="12" t="n">
        <v>25000</v>
      </c>
      <c r="R4079" s="12" t="n">
        <v>418</v>
      </c>
      <c r="S4079" s="12" t="inlineStr">
        <is>
          <t>Tray</t>
        </is>
      </c>
      <c r="T4079" s="16" t="n">
        <v>0</v>
      </c>
      <c r="U4079" s="16" t="n">
        <v>208</v>
      </c>
      <c r="V4079" s="16">
        <f>ROUNDUP((T4079+U4079+2*'Read Me'!$B$13)*(1+'Read Me'!$B$12),-1)</f>
        <v/>
      </c>
      <c r="W4079" s="16">
        <f>V4079*N4079*O4079</f>
        <v/>
      </c>
      <c r="X4079" s="12">
        <f>IF(LEFT(I4079,2)="MV",2*N4079*IF(L4079="1/C",O4079,1),0)</f>
        <v/>
      </c>
      <c r="Y4079" s="12">
        <f>IF(OR(LEFT(K4079,4)="LVAX",LEFT(K4079,6)="MV15AX",LEFT(K4079,4)="CTAX",LEFT(K4079,2)="W|"),2*N4079*O4079,0)</f>
        <v/>
      </c>
      <c r="Z4079" s="12" t="inlineStr"/>
      <c r="AA4079" s="12">
        <f>N4079*O4079</f>
        <v/>
      </c>
    </row>
    <row r="4080">
      <c r="A4080" s="12" t="inlineStr">
        <is>
          <t>H-MV-0008</t>
        </is>
      </c>
      <c r="B4080" s="12" t="inlineStr">
        <is>
          <t>H</t>
        </is>
      </c>
      <c r="C4080" s="12" t="inlineStr">
        <is>
          <t>BESS</t>
        </is>
      </c>
      <c r="D4080" s="12" t="inlineStr">
        <is>
          <t>34.5 kV collection loop 1</t>
        </is>
      </c>
      <c r="E4080" s="12" t="inlineStr"/>
      <c r="F4080" s="12" t="inlineStr">
        <is>
          <t>BESS PCS / MV skid</t>
        </is>
      </c>
      <c r="G4080" s="12" t="inlineStr"/>
      <c r="H4080" s="12" t="inlineStr">
        <is>
          <t>BESS PCS / MV skid</t>
        </is>
      </c>
      <c r="I4080" s="12" t="inlineStr">
        <is>
          <t>MV 35 kV</t>
        </is>
      </c>
      <c r="J4080" s="12" t="inlineStr">
        <is>
          <t>MV-105 35 kV 1/C Al, EPR 133%, 1/3 concentric neutral, LLDPE jacket</t>
        </is>
      </c>
      <c r="K4080" s="12" t="inlineStr">
        <is>
          <t>MV35|1/C|350</t>
        </is>
      </c>
      <c r="L4080" s="12" t="inlineStr">
        <is>
          <t>1/C</t>
        </is>
      </c>
      <c r="M4080" s="12" t="inlineStr">
        <is>
          <t>350 kcmil</t>
        </is>
      </c>
      <c r="N4080" s="12" t="n">
        <v>2</v>
      </c>
      <c r="O4080" s="12" t="n">
        <v>3</v>
      </c>
      <c r="P4080" s="12" t="n">
        <v>34500</v>
      </c>
      <c r="Q4080" s="12" t="n">
        <v>25000</v>
      </c>
      <c r="R4080" s="12" t="n">
        <v>418</v>
      </c>
      <c r="S4080" s="12" t="inlineStr">
        <is>
          <t>Tray</t>
        </is>
      </c>
      <c r="T4080" s="16" t="n">
        <v>0</v>
      </c>
      <c r="U4080" s="16" t="n">
        <v>96</v>
      </c>
      <c r="V4080" s="16">
        <f>ROUNDUP((T4080+U4080+2*'Read Me'!$B$13)*(1+'Read Me'!$B$12),-1)</f>
        <v/>
      </c>
      <c r="W4080" s="16">
        <f>V4080*N4080*O4080</f>
        <v/>
      </c>
      <c r="X4080" s="12">
        <f>IF(LEFT(I4080,2)="MV",2*N4080*IF(L4080="1/C",O4080,1),0)</f>
        <v/>
      </c>
      <c r="Y4080" s="12">
        <f>IF(OR(LEFT(K4080,4)="LVAX",LEFT(K4080,6)="MV15AX",LEFT(K4080,4)="CTAX",LEFT(K4080,2)="W|"),2*N4080*O4080,0)</f>
        <v/>
      </c>
      <c r="Z4080" s="12" t="inlineStr"/>
      <c r="AA4080" s="12">
        <f>N4080*O4080</f>
        <v/>
      </c>
    </row>
    <row r="4081">
      <c r="A4081" s="12" t="inlineStr">
        <is>
          <t>H-MV-0009</t>
        </is>
      </c>
      <c r="B4081" s="12" t="inlineStr">
        <is>
          <t>H</t>
        </is>
      </c>
      <c r="C4081" s="12" t="inlineStr">
        <is>
          <t>BESS</t>
        </is>
      </c>
      <c r="D4081" s="12" t="inlineStr">
        <is>
          <t>34.5 kV collection loop 2</t>
        </is>
      </c>
      <c r="E4081" s="12" t="inlineStr"/>
      <c r="F4081" s="12" t="inlineStr">
        <is>
          <t>34.5 kV collector e-house (arc-resistant)</t>
        </is>
      </c>
      <c r="G4081" s="12" t="inlineStr"/>
      <c r="H4081" s="12" t="inlineStr">
        <is>
          <t>BESS PCS / MV skid</t>
        </is>
      </c>
      <c r="I4081" s="12" t="inlineStr">
        <is>
          <t>MV 35 kV</t>
        </is>
      </c>
      <c r="J4081" s="12" t="inlineStr">
        <is>
          <t>MV-105 35 kV 1/C Al, EPR 133%, 1/3 concentric neutral, LLDPE jacket</t>
        </is>
      </c>
      <c r="K4081" s="12" t="inlineStr">
        <is>
          <t>MV35|1/C|350</t>
        </is>
      </c>
      <c r="L4081" s="12" t="inlineStr">
        <is>
          <t>1/C</t>
        </is>
      </c>
      <c r="M4081" s="12" t="inlineStr">
        <is>
          <t>350 kcmil</t>
        </is>
      </c>
      <c r="N4081" s="12" t="n">
        <v>2</v>
      </c>
      <c r="O4081" s="12" t="n">
        <v>3</v>
      </c>
      <c r="P4081" s="12" t="n">
        <v>34500</v>
      </c>
      <c r="Q4081" s="12" t="n">
        <v>25000</v>
      </c>
      <c r="R4081" s="12" t="n">
        <v>418</v>
      </c>
      <c r="S4081" s="12" t="inlineStr">
        <is>
          <t>Duct bank</t>
        </is>
      </c>
      <c r="T4081" s="16" t="n">
        <v>35</v>
      </c>
      <c r="U4081" s="16" t="n">
        <v>185</v>
      </c>
      <c r="V4081" s="16">
        <f>ROUNDUP((T4081+U4081+2*'Read Me'!$B$13)*(1+'Read Me'!$B$12),-1)</f>
        <v/>
      </c>
      <c r="W4081" s="16">
        <f>V4081*N4081*O4081</f>
        <v/>
      </c>
      <c r="X4081" s="12">
        <f>IF(LEFT(I4081,2)="MV",2*N4081*IF(L4081="1/C",O4081,1),0)</f>
        <v/>
      </c>
      <c r="Y4081" s="12">
        <f>IF(OR(LEFT(K4081,4)="LVAX",LEFT(K4081,6)="MV15AX",LEFT(K4081,4)="CTAX",LEFT(K4081,2)="W|"),2*N4081*O4081,0)</f>
        <v/>
      </c>
      <c r="Z4081" s="12" t="inlineStr"/>
      <c r="AA4081" s="12">
        <f>N4081*O4081</f>
        <v/>
      </c>
    </row>
    <row r="4082">
      <c r="A4082" s="12" t="inlineStr">
        <is>
          <t>H-MV-0010</t>
        </is>
      </c>
      <c r="B4082" s="12" t="inlineStr">
        <is>
          <t>H</t>
        </is>
      </c>
      <c r="C4082" s="12" t="inlineStr">
        <is>
          <t>BESS</t>
        </is>
      </c>
      <c r="D4082" s="12" t="inlineStr">
        <is>
          <t>34.5 kV collection loop 2</t>
        </is>
      </c>
      <c r="E4082" s="12" t="inlineStr"/>
      <c r="F4082" s="12" t="inlineStr">
        <is>
          <t>BESS PCS / MV skid</t>
        </is>
      </c>
      <c r="G4082" s="12" t="inlineStr"/>
      <c r="H4082" s="12" t="inlineStr">
        <is>
          <t>BESS PCS / MV skid</t>
        </is>
      </c>
      <c r="I4082" s="12" t="inlineStr">
        <is>
          <t>MV 35 kV</t>
        </is>
      </c>
      <c r="J4082" s="12" t="inlineStr">
        <is>
          <t>MV-105 35 kV 1/C Al, EPR 133%, 1/3 concentric neutral, LLDPE jacket</t>
        </is>
      </c>
      <c r="K4082" s="12" t="inlineStr">
        <is>
          <t>MV35|1/C|350</t>
        </is>
      </c>
      <c r="L4082" s="12" t="inlineStr">
        <is>
          <t>1/C</t>
        </is>
      </c>
      <c r="M4082" s="12" t="inlineStr">
        <is>
          <t>350 kcmil</t>
        </is>
      </c>
      <c r="N4082" s="12" t="n">
        <v>2</v>
      </c>
      <c r="O4082" s="12" t="n">
        <v>3</v>
      </c>
      <c r="P4082" s="12" t="n">
        <v>34500</v>
      </c>
      <c r="Q4082" s="12" t="n">
        <v>25000</v>
      </c>
      <c r="R4082" s="12" t="n">
        <v>418</v>
      </c>
      <c r="S4082" s="12" t="inlineStr">
        <is>
          <t>Tray</t>
        </is>
      </c>
      <c r="T4082" s="16" t="n">
        <v>0</v>
      </c>
      <c r="U4082" s="16" t="n">
        <v>272</v>
      </c>
      <c r="V4082" s="16">
        <f>ROUNDUP((T4082+U4082+2*'Read Me'!$B$13)*(1+'Read Me'!$B$12),-1)</f>
        <v/>
      </c>
      <c r="W4082" s="16">
        <f>V4082*N4082*O4082</f>
        <v/>
      </c>
      <c r="X4082" s="12">
        <f>IF(LEFT(I4082,2)="MV",2*N4082*IF(L4082="1/C",O4082,1),0)</f>
        <v/>
      </c>
      <c r="Y4082" s="12">
        <f>IF(OR(LEFT(K4082,4)="LVAX",LEFT(K4082,6)="MV15AX",LEFT(K4082,4)="CTAX",LEFT(K4082,2)="W|"),2*N4082*O4082,0)</f>
        <v/>
      </c>
      <c r="Z4082" s="12" t="inlineStr"/>
      <c r="AA4082" s="12">
        <f>N4082*O4082</f>
        <v/>
      </c>
    </row>
    <row r="4083">
      <c r="A4083" s="12" t="inlineStr">
        <is>
          <t>H-MV-0011</t>
        </is>
      </c>
      <c r="B4083" s="12" t="inlineStr">
        <is>
          <t>H</t>
        </is>
      </c>
      <c r="C4083" s="12" t="inlineStr">
        <is>
          <t>BESS</t>
        </is>
      </c>
      <c r="D4083" s="12" t="inlineStr">
        <is>
          <t>34.5 kV collection loop 2</t>
        </is>
      </c>
      <c r="E4083" s="12" t="inlineStr"/>
      <c r="F4083" s="12" t="inlineStr">
        <is>
          <t>BESS PCS / MV skid</t>
        </is>
      </c>
      <c r="G4083" s="12" t="inlineStr"/>
      <c r="H4083" s="12" t="inlineStr">
        <is>
          <t>BESS PCS / MV skid</t>
        </is>
      </c>
      <c r="I4083" s="12" t="inlineStr">
        <is>
          <t>MV 35 kV</t>
        </is>
      </c>
      <c r="J4083" s="12" t="inlineStr">
        <is>
          <t>MV-105 35 kV 1/C Al, EPR 133%, 1/3 concentric neutral, LLDPE jacket</t>
        </is>
      </c>
      <c r="K4083" s="12" t="inlineStr">
        <is>
          <t>MV35|1/C|350</t>
        </is>
      </c>
      <c r="L4083" s="12" t="inlineStr">
        <is>
          <t>1/C</t>
        </is>
      </c>
      <c r="M4083" s="12" t="inlineStr">
        <is>
          <t>350 kcmil</t>
        </is>
      </c>
      <c r="N4083" s="12" t="n">
        <v>2</v>
      </c>
      <c r="O4083" s="12" t="n">
        <v>3</v>
      </c>
      <c r="P4083" s="12" t="n">
        <v>34500</v>
      </c>
      <c r="Q4083" s="12" t="n">
        <v>25000</v>
      </c>
      <c r="R4083" s="12" t="n">
        <v>418</v>
      </c>
      <c r="S4083" s="12" t="inlineStr">
        <is>
          <t>Tray</t>
        </is>
      </c>
      <c r="T4083" s="16" t="n">
        <v>0</v>
      </c>
      <c r="U4083" s="16" t="n">
        <v>388</v>
      </c>
      <c r="V4083" s="16">
        <f>ROUNDUP((T4083+U4083+2*'Read Me'!$B$13)*(1+'Read Me'!$B$12),-1)</f>
        <v/>
      </c>
      <c r="W4083" s="16">
        <f>V4083*N4083*O4083</f>
        <v/>
      </c>
      <c r="X4083" s="12">
        <f>IF(LEFT(I4083,2)="MV",2*N4083*IF(L4083="1/C",O4083,1),0)</f>
        <v/>
      </c>
      <c r="Y4083" s="12">
        <f>IF(OR(LEFT(K4083,4)="LVAX",LEFT(K4083,6)="MV15AX",LEFT(K4083,4)="CTAX",LEFT(K4083,2)="W|"),2*N4083*O4083,0)</f>
        <v/>
      </c>
      <c r="Z4083" s="12" t="inlineStr"/>
      <c r="AA4083" s="12">
        <f>N4083*O4083</f>
        <v/>
      </c>
    </row>
    <row r="4084">
      <c r="A4084" s="12" t="inlineStr">
        <is>
          <t>H-MV-0012</t>
        </is>
      </c>
      <c r="B4084" s="12" t="inlineStr">
        <is>
          <t>H</t>
        </is>
      </c>
      <c r="C4084" s="12" t="inlineStr">
        <is>
          <t>BESS</t>
        </is>
      </c>
      <c r="D4084" s="12" t="inlineStr">
        <is>
          <t>34.5 kV collection loop 2</t>
        </is>
      </c>
      <c r="E4084" s="12" t="inlineStr"/>
      <c r="F4084" s="12" t="inlineStr">
        <is>
          <t>BESS PCS / MV skid</t>
        </is>
      </c>
      <c r="G4084" s="12" t="inlineStr"/>
      <c r="H4084" s="12" t="inlineStr">
        <is>
          <t>BESS PCS / MV skid</t>
        </is>
      </c>
      <c r="I4084" s="12" t="inlineStr">
        <is>
          <t>MV 35 kV</t>
        </is>
      </c>
      <c r="J4084" s="12" t="inlineStr">
        <is>
          <t>MV-105 35 kV 1/C Al, EPR 133%, 1/3 concentric neutral, LLDPE jacket</t>
        </is>
      </c>
      <c r="K4084" s="12" t="inlineStr">
        <is>
          <t>MV35|1/C|350</t>
        </is>
      </c>
      <c r="L4084" s="12" t="inlineStr">
        <is>
          <t>1/C</t>
        </is>
      </c>
      <c r="M4084" s="12" t="inlineStr">
        <is>
          <t>350 kcmil</t>
        </is>
      </c>
      <c r="N4084" s="12" t="n">
        <v>2</v>
      </c>
      <c r="O4084" s="12" t="n">
        <v>3</v>
      </c>
      <c r="P4084" s="12" t="n">
        <v>34500</v>
      </c>
      <c r="Q4084" s="12" t="n">
        <v>25000</v>
      </c>
      <c r="R4084" s="12" t="n">
        <v>418</v>
      </c>
      <c r="S4084" s="12" t="inlineStr">
        <is>
          <t>Tray</t>
        </is>
      </c>
      <c r="T4084" s="16" t="n">
        <v>0</v>
      </c>
      <c r="U4084" s="16" t="n">
        <v>208</v>
      </c>
      <c r="V4084" s="16">
        <f>ROUNDUP((T4084+U4084+2*'Read Me'!$B$13)*(1+'Read Me'!$B$12),-1)</f>
        <v/>
      </c>
      <c r="W4084" s="16">
        <f>V4084*N4084*O4084</f>
        <v/>
      </c>
      <c r="X4084" s="12">
        <f>IF(LEFT(I4084,2)="MV",2*N4084*IF(L4084="1/C",O4084,1),0)</f>
        <v/>
      </c>
      <c r="Y4084" s="12">
        <f>IF(OR(LEFT(K4084,4)="LVAX",LEFT(K4084,6)="MV15AX",LEFT(K4084,4)="CTAX",LEFT(K4084,2)="W|"),2*N4084*O4084,0)</f>
        <v/>
      </c>
      <c r="Z4084" s="12" t="inlineStr"/>
      <c r="AA4084" s="12">
        <f>N4084*O4084</f>
        <v/>
      </c>
    </row>
    <row r="4085">
      <c r="A4085" s="12" t="inlineStr">
        <is>
          <t>H-MV-0013</t>
        </is>
      </c>
      <c r="B4085" s="12" t="inlineStr">
        <is>
          <t>H</t>
        </is>
      </c>
      <c r="C4085" s="12" t="inlineStr">
        <is>
          <t>BESS</t>
        </is>
      </c>
      <c r="D4085" s="12" t="inlineStr">
        <is>
          <t>34.5 kV collection loop 2</t>
        </is>
      </c>
      <c r="E4085" s="12" t="inlineStr"/>
      <c r="F4085" s="12" t="inlineStr">
        <is>
          <t>BESS PCS / MV skid</t>
        </is>
      </c>
      <c r="G4085" s="12" t="inlineStr"/>
      <c r="H4085" s="12" t="inlineStr">
        <is>
          <t>BESS PCS / MV skid</t>
        </is>
      </c>
      <c r="I4085" s="12" t="inlineStr">
        <is>
          <t>MV 35 kV</t>
        </is>
      </c>
      <c r="J4085" s="12" t="inlineStr">
        <is>
          <t>MV-105 35 kV 1/C Al, EPR 133%, 1/3 concentric neutral, LLDPE jacket</t>
        </is>
      </c>
      <c r="K4085" s="12" t="inlineStr">
        <is>
          <t>MV35|1/C|350</t>
        </is>
      </c>
      <c r="L4085" s="12" t="inlineStr">
        <is>
          <t>1/C</t>
        </is>
      </c>
      <c r="M4085" s="12" t="inlineStr">
        <is>
          <t>350 kcmil</t>
        </is>
      </c>
      <c r="N4085" s="12" t="n">
        <v>2</v>
      </c>
      <c r="O4085" s="12" t="n">
        <v>3</v>
      </c>
      <c r="P4085" s="12" t="n">
        <v>34500</v>
      </c>
      <c r="Q4085" s="12" t="n">
        <v>25000</v>
      </c>
      <c r="R4085" s="12" t="n">
        <v>418</v>
      </c>
      <c r="S4085" s="12" t="inlineStr">
        <is>
          <t>Tray</t>
        </is>
      </c>
      <c r="T4085" s="16" t="n">
        <v>0</v>
      </c>
      <c r="U4085" s="16" t="n">
        <v>96</v>
      </c>
      <c r="V4085" s="16">
        <f>ROUNDUP((T4085+U4085+2*'Read Me'!$B$13)*(1+'Read Me'!$B$12),-1)</f>
        <v/>
      </c>
      <c r="W4085" s="16">
        <f>V4085*N4085*O4085</f>
        <v/>
      </c>
      <c r="X4085" s="12">
        <f>IF(LEFT(I4085,2)="MV",2*N4085*IF(L4085="1/C",O4085,1),0)</f>
        <v/>
      </c>
      <c r="Y4085" s="12">
        <f>IF(OR(LEFT(K4085,4)="LVAX",LEFT(K4085,6)="MV15AX",LEFT(K4085,4)="CTAX",LEFT(K4085,2)="W|"),2*N4085*O4085,0)</f>
        <v/>
      </c>
      <c r="Z4085" s="12" t="inlineStr"/>
      <c r="AA4085" s="12">
        <f>N4085*O4085</f>
        <v/>
      </c>
    </row>
    <row r="4086">
      <c r="A4086" s="12" t="inlineStr">
        <is>
          <t>H-MV-0014</t>
        </is>
      </c>
      <c r="B4086" s="12" t="inlineStr">
        <is>
          <t>H</t>
        </is>
      </c>
      <c r="C4086" s="12" t="inlineStr">
        <is>
          <t>BESS</t>
        </is>
      </c>
      <c r="D4086" s="12" t="inlineStr">
        <is>
          <t>34.5 kV collection loop 3</t>
        </is>
      </c>
      <c r="E4086" s="12" t="inlineStr"/>
      <c r="F4086" s="12" t="inlineStr">
        <is>
          <t>34.5 kV collector e-house (arc-resistant)</t>
        </is>
      </c>
      <c r="G4086" s="12" t="inlineStr"/>
      <c r="H4086" s="12" t="inlineStr">
        <is>
          <t>BESS PCS / MV skid</t>
        </is>
      </c>
      <c r="I4086" s="12" t="inlineStr">
        <is>
          <t>MV 35 kV</t>
        </is>
      </c>
      <c r="J4086" s="12" t="inlineStr">
        <is>
          <t>MV-105 35 kV 1/C Al, EPR 133%, 1/3 concentric neutral, LLDPE jacket</t>
        </is>
      </c>
      <c r="K4086" s="12" t="inlineStr">
        <is>
          <t>MV35|1/C|350</t>
        </is>
      </c>
      <c r="L4086" s="12" t="inlineStr">
        <is>
          <t>1/C</t>
        </is>
      </c>
      <c r="M4086" s="12" t="inlineStr">
        <is>
          <t>350 kcmil</t>
        </is>
      </c>
      <c r="N4086" s="12" t="n">
        <v>2</v>
      </c>
      <c r="O4086" s="12" t="n">
        <v>3</v>
      </c>
      <c r="P4086" s="12" t="n">
        <v>34500</v>
      </c>
      <c r="Q4086" s="12" t="n">
        <v>25000</v>
      </c>
      <c r="R4086" s="12" t="n">
        <v>418</v>
      </c>
      <c r="S4086" s="12" t="inlineStr">
        <is>
          <t>Duct bank</t>
        </is>
      </c>
      <c r="T4086" s="16" t="n">
        <v>24</v>
      </c>
      <c r="U4086" s="16" t="n">
        <v>123</v>
      </c>
      <c r="V4086" s="16">
        <f>ROUNDUP((T4086+U4086+2*'Read Me'!$B$13)*(1+'Read Me'!$B$12),-1)</f>
        <v/>
      </c>
      <c r="W4086" s="16">
        <f>V4086*N4086*O4086</f>
        <v/>
      </c>
      <c r="X4086" s="12">
        <f>IF(LEFT(I4086,2)="MV",2*N4086*IF(L4086="1/C",O4086,1),0)</f>
        <v/>
      </c>
      <c r="Y4086" s="12">
        <f>IF(OR(LEFT(K4086,4)="LVAX",LEFT(K4086,6)="MV15AX",LEFT(K4086,4)="CTAX",LEFT(K4086,2)="W|"),2*N4086*O4086,0)</f>
        <v/>
      </c>
      <c r="Z4086" s="12" t="inlineStr"/>
      <c r="AA4086" s="12">
        <f>N4086*O4086</f>
        <v/>
      </c>
    </row>
    <row r="4087">
      <c r="A4087" s="12" t="inlineStr">
        <is>
          <t>H-MV-0015</t>
        </is>
      </c>
      <c r="B4087" s="12" t="inlineStr">
        <is>
          <t>H</t>
        </is>
      </c>
      <c r="C4087" s="12" t="inlineStr">
        <is>
          <t>BESS</t>
        </is>
      </c>
      <c r="D4087" s="12" t="inlineStr">
        <is>
          <t>34.5 kV collection loop 3</t>
        </is>
      </c>
      <c r="E4087" s="12" t="inlineStr"/>
      <c r="F4087" s="12" t="inlineStr">
        <is>
          <t>BESS PCS / MV skid</t>
        </is>
      </c>
      <c r="G4087" s="12" t="inlineStr"/>
      <c r="H4087" s="12" t="inlineStr">
        <is>
          <t>BESS PCS / MV skid</t>
        </is>
      </c>
      <c r="I4087" s="12" t="inlineStr">
        <is>
          <t>MV 35 kV</t>
        </is>
      </c>
      <c r="J4087" s="12" t="inlineStr">
        <is>
          <t>MV-105 35 kV 1/C Al, EPR 133%, 1/3 concentric neutral, LLDPE jacket</t>
        </is>
      </c>
      <c r="K4087" s="12" t="inlineStr">
        <is>
          <t>MV35|1/C|350</t>
        </is>
      </c>
      <c r="L4087" s="12" t="inlineStr">
        <is>
          <t>1/C</t>
        </is>
      </c>
      <c r="M4087" s="12" t="inlineStr">
        <is>
          <t>350 kcmil</t>
        </is>
      </c>
      <c r="N4087" s="12" t="n">
        <v>2</v>
      </c>
      <c r="O4087" s="12" t="n">
        <v>3</v>
      </c>
      <c r="P4087" s="12" t="n">
        <v>34500</v>
      </c>
      <c r="Q4087" s="12" t="n">
        <v>25000</v>
      </c>
      <c r="R4087" s="12" t="n">
        <v>418</v>
      </c>
      <c r="S4087" s="12" t="inlineStr">
        <is>
          <t>Tray</t>
        </is>
      </c>
      <c r="T4087" s="16" t="n">
        <v>0</v>
      </c>
      <c r="U4087" s="16" t="n">
        <v>240</v>
      </c>
      <c r="V4087" s="16">
        <f>ROUNDUP((T4087+U4087+2*'Read Me'!$B$13)*(1+'Read Me'!$B$12),-1)</f>
        <v/>
      </c>
      <c r="W4087" s="16">
        <f>V4087*N4087*O4087</f>
        <v/>
      </c>
      <c r="X4087" s="12">
        <f>IF(LEFT(I4087,2)="MV",2*N4087*IF(L4087="1/C",O4087,1),0)</f>
        <v/>
      </c>
      <c r="Y4087" s="12">
        <f>IF(OR(LEFT(K4087,4)="LVAX",LEFT(K4087,6)="MV15AX",LEFT(K4087,4)="CTAX",LEFT(K4087,2)="W|"),2*N4087*O4087,0)</f>
        <v/>
      </c>
      <c r="Z4087" s="12" t="inlineStr"/>
      <c r="AA4087" s="12">
        <f>N4087*O4087</f>
        <v/>
      </c>
    </row>
    <row r="4088">
      <c r="A4088" s="12" t="inlineStr">
        <is>
          <t>H-MV-0016</t>
        </is>
      </c>
      <c r="B4088" s="12" t="inlineStr">
        <is>
          <t>H</t>
        </is>
      </c>
      <c r="C4088" s="12" t="inlineStr">
        <is>
          <t>BESS</t>
        </is>
      </c>
      <c r="D4088" s="12" t="inlineStr">
        <is>
          <t>34.5 kV collection loop 3</t>
        </is>
      </c>
      <c r="E4088" s="12" t="inlineStr"/>
      <c r="F4088" s="12" t="inlineStr">
        <is>
          <t>BESS PCS / MV skid</t>
        </is>
      </c>
      <c r="G4088" s="12" t="inlineStr"/>
      <c r="H4088" s="12" t="inlineStr">
        <is>
          <t>BESS PCS / MV skid</t>
        </is>
      </c>
      <c r="I4088" s="12" t="inlineStr">
        <is>
          <t>MV 35 kV</t>
        </is>
      </c>
      <c r="J4088" s="12" t="inlineStr">
        <is>
          <t>MV-105 35 kV 1/C Al, EPR 133%, 1/3 concentric neutral, LLDPE jacket</t>
        </is>
      </c>
      <c r="K4088" s="12" t="inlineStr">
        <is>
          <t>MV35|1/C|350</t>
        </is>
      </c>
      <c r="L4088" s="12" t="inlineStr">
        <is>
          <t>1/C</t>
        </is>
      </c>
      <c r="M4088" s="12" t="inlineStr">
        <is>
          <t>350 kcmil</t>
        </is>
      </c>
      <c r="N4088" s="12" t="n">
        <v>2</v>
      </c>
      <c r="O4088" s="12" t="n">
        <v>3</v>
      </c>
      <c r="P4088" s="12" t="n">
        <v>34500</v>
      </c>
      <c r="Q4088" s="12" t="n">
        <v>25000</v>
      </c>
      <c r="R4088" s="12" t="n">
        <v>418</v>
      </c>
      <c r="S4088" s="12" t="inlineStr">
        <is>
          <t>Duct bank</t>
        </is>
      </c>
      <c r="T4088" s="16" t="n">
        <v>306</v>
      </c>
      <c r="U4088" s="16" t="n">
        <v>282</v>
      </c>
      <c r="V4088" s="16">
        <f>ROUNDUP((T4088+U4088+2*'Read Me'!$B$13)*(1+'Read Me'!$B$12),-1)</f>
        <v/>
      </c>
      <c r="W4088" s="16">
        <f>V4088*N4088*O4088</f>
        <v/>
      </c>
      <c r="X4088" s="12">
        <f>IF(LEFT(I4088,2)="MV",2*N4088*IF(L4088="1/C",O4088,1),0)</f>
        <v/>
      </c>
      <c r="Y4088" s="12">
        <f>IF(OR(LEFT(K4088,4)="LVAX",LEFT(K4088,6)="MV15AX",LEFT(K4088,4)="CTAX",LEFT(K4088,2)="W|"),2*N4088*O4088,0)</f>
        <v/>
      </c>
      <c r="Z4088" s="12" t="inlineStr"/>
      <c r="AA4088" s="12">
        <f>N4088*O4088</f>
        <v/>
      </c>
    </row>
    <row r="4089">
      <c r="A4089" s="12" t="inlineStr">
        <is>
          <t>H-MV-0017</t>
        </is>
      </c>
      <c r="B4089" s="12" t="inlineStr">
        <is>
          <t>H</t>
        </is>
      </c>
      <c r="C4089" s="12" t="inlineStr">
        <is>
          <t>BESS</t>
        </is>
      </c>
      <c r="D4089" s="12" t="inlineStr">
        <is>
          <t>34.5 kV collection loop 3</t>
        </is>
      </c>
      <c r="E4089" s="12" t="inlineStr"/>
      <c r="F4089" s="12" t="inlineStr">
        <is>
          <t>BESS PCS / MV skid</t>
        </is>
      </c>
      <c r="G4089" s="12" t="inlineStr"/>
      <c r="H4089" s="12" t="inlineStr">
        <is>
          <t>BESS PCS / MV skid</t>
        </is>
      </c>
      <c r="I4089" s="12" t="inlineStr">
        <is>
          <t>MV 35 kV</t>
        </is>
      </c>
      <c r="J4089" s="12" t="inlineStr">
        <is>
          <t>MV-105 35 kV 1/C Al, EPR 133%, 1/3 concentric neutral, LLDPE jacket</t>
        </is>
      </c>
      <c r="K4089" s="12" t="inlineStr">
        <is>
          <t>MV35|1/C|350</t>
        </is>
      </c>
      <c r="L4089" s="12" t="inlineStr">
        <is>
          <t>1/C</t>
        </is>
      </c>
      <c r="M4089" s="12" t="inlineStr">
        <is>
          <t>350 kcmil</t>
        </is>
      </c>
      <c r="N4089" s="12" t="n">
        <v>2</v>
      </c>
      <c r="O4089" s="12" t="n">
        <v>3</v>
      </c>
      <c r="P4089" s="12" t="n">
        <v>34500</v>
      </c>
      <c r="Q4089" s="12" t="n">
        <v>25000</v>
      </c>
      <c r="R4089" s="12" t="n">
        <v>418</v>
      </c>
      <c r="S4089" s="12" t="inlineStr">
        <is>
          <t>Tray</t>
        </is>
      </c>
      <c r="T4089" s="16" t="n">
        <v>0</v>
      </c>
      <c r="U4089" s="16" t="n">
        <v>208</v>
      </c>
      <c r="V4089" s="16">
        <f>ROUNDUP((T4089+U4089+2*'Read Me'!$B$13)*(1+'Read Me'!$B$12),-1)</f>
        <v/>
      </c>
      <c r="W4089" s="16">
        <f>V4089*N4089*O4089</f>
        <v/>
      </c>
      <c r="X4089" s="12">
        <f>IF(LEFT(I4089,2)="MV",2*N4089*IF(L4089="1/C",O4089,1),0)</f>
        <v/>
      </c>
      <c r="Y4089" s="12">
        <f>IF(OR(LEFT(K4089,4)="LVAX",LEFT(K4089,6)="MV15AX",LEFT(K4089,4)="CTAX",LEFT(K4089,2)="W|"),2*N4089*O4089,0)</f>
        <v/>
      </c>
      <c r="Z4089" s="12" t="inlineStr"/>
      <c r="AA4089" s="12">
        <f>N4089*O4089</f>
        <v/>
      </c>
    </row>
    <row r="4090">
      <c r="A4090" s="12" t="inlineStr">
        <is>
          <t>H-MV-0018</t>
        </is>
      </c>
      <c r="B4090" s="12" t="inlineStr">
        <is>
          <t>H</t>
        </is>
      </c>
      <c r="C4090" s="12" t="inlineStr">
        <is>
          <t>BESS</t>
        </is>
      </c>
      <c r="D4090" s="12" t="inlineStr">
        <is>
          <t>34.5 kV collection loop 3</t>
        </is>
      </c>
      <c r="E4090" s="12" t="inlineStr"/>
      <c r="F4090" s="12" t="inlineStr">
        <is>
          <t>BESS PCS / MV skid</t>
        </is>
      </c>
      <c r="G4090" s="12" t="inlineStr"/>
      <c r="H4090" s="12" t="inlineStr">
        <is>
          <t>BESS PCS / MV skid</t>
        </is>
      </c>
      <c r="I4090" s="12" t="inlineStr">
        <is>
          <t>MV 35 kV</t>
        </is>
      </c>
      <c r="J4090" s="12" t="inlineStr">
        <is>
          <t>MV-105 35 kV 1/C Al, EPR 133%, 1/3 concentric neutral, LLDPE jacket</t>
        </is>
      </c>
      <c r="K4090" s="12" t="inlineStr">
        <is>
          <t>MV35|1/C|350</t>
        </is>
      </c>
      <c r="L4090" s="12" t="inlineStr">
        <is>
          <t>1/C</t>
        </is>
      </c>
      <c r="M4090" s="12" t="inlineStr">
        <is>
          <t>350 kcmil</t>
        </is>
      </c>
      <c r="N4090" s="12" t="n">
        <v>2</v>
      </c>
      <c r="O4090" s="12" t="n">
        <v>3</v>
      </c>
      <c r="P4090" s="12" t="n">
        <v>34500</v>
      </c>
      <c r="Q4090" s="12" t="n">
        <v>25000</v>
      </c>
      <c r="R4090" s="12" t="n">
        <v>418</v>
      </c>
      <c r="S4090" s="12" t="inlineStr">
        <is>
          <t>Tray</t>
        </is>
      </c>
      <c r="T4090" s="16" t="n">
        <v>0</v>
      </c>
      <c r="U4090" s="16" t="n">
        <v>96</v>
      </c>
      <c r="V4090" s="16">
        <f>ROUNDUP((T4090+U4090+2*'Read Me'!$B$13)*(1+'Read Me'!$B$12),-1)</f>
        <v/>
      </c>
      <c r="W4090" s="16">
        <f>V4090*N4090*O4090</f>
        <v/>
      </c>
      <c r="X4090" s="12">
        <f>IF(LEFT(I4090,2)="MV",2*N4090*IF(L4090="1/C",O4090,1),0)</f>
        <v/>
      </c>
      <c r="Y4090" s="12">
        <f>IF(OR(LEFT(K4090,4)="LVAX",LEFT(K4090,6)="MV15AX",LEFT(K4090,4)="CTAX",LEFT(K4090,2)="W|"),2*N4090*O4090,0)</f>
        <v/>
      </c>
      <c r="Z4090" s="12" t="inlineStr"/>
      <c r="AA4090" s="12">
        <f>N4090*O4090</f>
        <v/>
      </c>
    </row>
    <row r="4091">
      <c r="A4091" s="12" t="inlineStr">
        <is>
          <t>H-MV-0019</t>
        </is>
      </c>
      <c r="B4091" s="12" t="inlineStr">
        <is>
          <t>H</t>
        </is>
      </c>
      <c r="C4091" s="12" t="inlineStr">
        <is>
          <t>BESS</t>
        </is>
      </c>
      <c r="D4091" s="12" t="inlineStr">
        <is>
          <t>BESS MPT 34.5 kV side</t>
        </is>
      </c>
      <c r="E4091" s="12" t="inlineStr"/>
      <c r="F4091" s="12" t="inlineStr">
        <is>
          <t>34.5 kV collector e-house (arc-resistant)</t>
        </is>
      </c>
      <c r="G4091" s="12" t="inlineStr">
        <is>
          <t>BESS MPT</t>
        </is>
      </c>
      <c r="H4091" s="12" t="inlineStr">
        <is>
          <t>BESS main power transformer 34.5/230 kV (to D4 upper)</t>
        </is>
      </c>
      <c r="I4091" s="12" t="inlineStr">
        <is>
          <t>MV 35 kV</t>
        </is>
      </c>
      <c r="J4091" s="12" t="inlineStr">
        <is>
          <t>MV-105 35 kV 1/C Al, EPR 133%, 1/3 concentric neutral, LLDPE jacket</t>
        </is>
      </c>
      <c r="K4091" s="12" t="inlineStr">
        <is>
          <t>MV35|1/C|750</t>
        </is>
      </c>
      <c r="L4091" s="12" t="inlineStr">
        <is>
          <t>1/C</t>
        </is>
      </c>
      <c r="M4091" s="12" t="inlineStr">
        <is>
          <t>750 kcmil</t>
        </is>
      </c>
      <c r="N4091" s="12" t="n">
        <v>5</v>
      </c>
      <c r="O4091" s="12" t="n">
        <v>3</v>
      </c>
      <c r="P4091" s="12" t="n">
        <v>34500</v>
      </c>
      <c r="Q4091" s="12" t="n">
        <v>100000</v>
      </c>
      <c r="R4091" s="12" t="n">
        <v>1674</v>
      </c>
      <c r="S4091" s="12" t="inlineStr">
        <is>
          <t>Duct bank</t>
        </is>
      </c>
      <c r="T4091" s="16" t="n">
        <v>35</v>
      </c>
      <c r="U4091" s="16" t="n">
        <v>32</v>
      </c>
      <c r="V4091" s="16">
        <f>ROUNDUP((T4091+U4091+2*'Read Me'!$B$13)*(1+'Read Me'!$B$12),-1)</f>
        <v/>
      </c>
      <c r="W4091" s="16">
        <f>V4091*N4091*O4091</f>
        <v/>
      </c>
      <c r="X4091" s="12">
        <f>IF(LEFT(I4091,2)="MV",2*N4091*IF(L4091="1/C",O4091,1),0)</f>
        <v/>
      </c>
      <c r="Y4091" s="12">
        <f>IF(OR(LEFT(K4091,4)="LVAX",LEFT(K4091,6)="MV15AX",LEFT(K4091,4)="CTAX",LEFT(K4091,2)="W|"),2*N4091*O4091,0)</f>
        <v/>
      </c>
      <c r="Z4091" s="12" t="inlineStr">
        <is>
          <t>100 MVA (typ.)</t>
        </is>
      </c>
      <c r="AA4091" s="12">
        <f>N4091*O4091</f>
        <v/>
      </c>
    </row>
    <row r="4092">
      <c r="A4092" s="12" t="inlineStr">
        <is>
          <t>H-MV-0020</t>
        </is>
      </c>
      <c r="B4092" s="12" t="inlineStr">
        <is>
          <t>H</t>
        </is>
      </c>
      <c r="C4092" s="12" t="inlineStr">
        <is>
          <t>BESS</t>
        </is>
      </c>
      <c r="D4092" s="12" t="inlineStr">
        <is>
          <t>Grounding transformer connection (34.5 kV)</t>
        </is>
      </c>
      <c r="E4092" s="12" t="inlineStr"/>
      <c r="F4092" s="12" t="inlineStr">
        <is>
          <t>34.5 kV collector e-house (arc-resistant)</t>
        </is>
      </c>
      <c r="G4092" s="12" t="inlineStr"/>
      <c r="H4092" s="12" t="inlineStr">
        <is>
          <t>CONDITIONAL: grounding transformer</t>
        </is>
      </c>
      <c r="I4092" s="12" t="inlineStr">
        <is>
          <t>MV 35 kV</t>
        </is>
      </c>
      <c r="J4092" s="12" t="inlineStr">
        <is>
          <t>MV-105 35 kV 1/C Al, EPR 133%, 1/3 concentric neutral, LLDPE jacket</t>
        </is>
      </c>
      <c r="K4092" s="12" t="inlineStr">
        <is>
          <t>MV35|1/C|2</t>
        </is>
      </c>
      <c r="L4092" s="12" t="inlineStr">
        <is>
          <t>1/C</t>
        </is>
      </c>
      <c r="M4092" s="12" t="inlineStr">
        <is>
          <t>2</t>
        </is>
      </c>
      <c r="N4092" s="12" t="n">
        <v>1</v>
      </c>
      <c r="O4092" s="12" t="n">
        <v>3</v>
      </c>
      <c r="P4092" s="12" t="n">
        <v>34500</v>
      </c>
      <c r="Q4092" s="12" t="n">
        <v>2000</v>
      </c>
      <c r="R4092" s="12" t="n">
        <v>33</v>
      </c>
      <c r="S4092" s="12" t="inlineStr">
        <is>
          <t>Duct bank</t>
        </is>
      </c>
      <c r="T4092" s="16" t="n">
        <v>234</v>
      </c>
      <c r="U4092" s="16" t="n">
        <v>87</v>
      </c>
      <c r="V4092" s="16">
        <f>ROUNDUP((T4092+U4092+2*'Read Me'!$B$13)*(1+'Read Me'!$B$12),-1)</f>
        <v/>
      </c>
      <c r="W4092" s="16">
        <f>V4092*N4092*O4092</f>
        <v/>
      </c>
      <c r="X4092" s="12">
        <f>IF(LEFT(I4092,2)="MV",2*N4092*IF(L4092="1/C",O4092,1),0)</f>
        <v/>
      </c>
      <c r="Y4092" s="12">
        <f>IF(OR(LEFT(K4092,4)="LVAX",LEFT(K4092,6)="MV15AX",LEFT(K4092,4)="CTAX",LEFT(K4092,2)="W|"),2*N4092*O4092,0)</f>
        <v/>
      </c>
      <c r="Z4092" s="12" t="inlineStr"/>
      <c r="AA4092" s="12">
        <f>N4092*O4092</f>
        <v/>
      </c>
    </row>
    <row r="4093">
      <c r="A4093" s="12" t="inlineStr">
        <is>
          <t>I-L-0001</t>
        </is>
      </c>
      <c r="B4093" s="12" t="inlineStr">
        <is>
          <t>I</t>
        </is>
      </c>
      <c r="C4093" s="12" t="inlineStr">
        <is>
          <t>Modular / portable power</t>
        </is>
      </c>
      <c r="D4093" s="12" t="inlineStr">
        <is>
          <t>Lighting, receptacles and small power branch circuits (allowance)</t>
        </is>
      </c>
      <c r="E4093" s="12" t="inlineStr"/>
      <c r="F4093" s="12" t="inlineStr">
        <is>
          <t>Lube oil / starting air / oily water building</t>
        </is>
      </c>
      <c r="G4093" s="12" t="inlineStr"/>
      <c r="H4093" s="12" t="inlineStr">
        <is>
          <t>Lube oil / starting air / oily water building</t>
        </is>
      </c>
      <c r="I4093" s="12" t="inlineStr">
        <is>
          <t>Building wire</t>
        </is>
      </c>
      <c r="J4093" s="12" t="inlineStr">
        <is>
          <t>SIMpull THHN/THWN-2 600 V 1/C Cu (lighting, receptacles, small power)</t>
        </is>
      </c>
      <c r="K4093" s="12" t="inlineStr">
        <is>
          <t>THHN|1/C|12</t>
        </is>
      </c>
      <c r="L4093" s="12" t="inlineStr">
        <is>
          <t>1/C</t>
        </is>
      </c>
      <c r="M4093" s="12" t="inlineStr">
        <is>
          <t>12</t>
        </is>
      </c>
      <c r="N4093" s="12" t="n">
        <v>1</v>
      </c>
      <c r="O4093" s="12" t="n">
        <v>1</v>
      </c>
      <c r="P4093" s="12" t="n">
        <v>277</v>
      </c>
      <c r="Q4093" s="12" t="n"/>
      <c r="R4093" s="12" t="n"/>
      <c r="S4093" s="12" t="inlineStr">
        <is>
          <t>Conduit</t>
        </is>
      </c>
      <c r="T4093" s="16" t="n">
        <v>10560</v>
      </c>
      <c r="U4093" s="16" t="n">
        <v>0</v>
      </c>
      <c r="V4093" s="16">
        <f>ROUNDUP((T4093+U4093+2*'Read Me'!$B$13)*(1+'Read Me'!$B$12),-1)</f>
        <v/>
      </c>
      <c r="W4093" s="16">
        <f>V4093*N4093*O4093</f>
        <v/>
      </c>
      <c r="X4093" s="12">
        <f>IF(LEFT(I4093,2)="MV",2*N4093*IF(L4093="1/C",O4093,1),0)</f>
        <v/>
      </c>
      <c r="Y4093" s="12">
        <f>IF(OR(LEFT(K4093,4)="LVAX",LEFT(K4093,6)="MV15AX",LEFT(K4093,4)="CTAX",LEFT(K4093,2)="W|"),2*N4093*O4093,0)</f>
        <v/>
      </c>
      <c r="Z4093" s="12" t="inlineStr">
        <is>
          <t>allowance: 1.6 ft of conductor per ft2 of floor</t>
        </is>
      </c>
      <c r="AA4093" s="12">
        <f>N4093*O4093</f>
        <v/>
      </c>
    </row>
    <row r="4094">
      <c r="A4094" s="12" t="inlineStr">
        <is>
          <t>I-L-0002</t>
        </is>
      </c>
      <c r="B4094" s="12" t="inlineStr">
        <is>
          <t>I</t>
        </is>
      </c>
      <c r="C4094" s="12" t="inlineStr">
        <is>
          <t>Modular / portable power</t>
        </is>
      </c>
      <c r="D4094" s="12" t="inlineStr">
        <is>
          <t>Lighting, receptacles and small power branch circuits (allowance)</t>
        </is>
      </c>
      <c r="E4094" s="12" t="inlineStr">
        <is>
          <t>MOD-EH</t>
        </is>
      </c>
      <c r="F4094" s="12" t="inlineStr">
        <is>
          <t>MOD-EH: 13.8 kV modular collector e-house</t>
        </is>
      </c>
      <c r="G4094" s="12" t="inlineStr">
        <is>
          <t>MOD-EH</t>
        </is>
      </c>
      <c r="H4094" s="12" t="inlineStr">
        <is>
          <t>MOD-EH: 13.8 kV modular collector e-house</t>
        </is>
      </c>
      <c r="I4094" s="12" t="inlineStr">
        <is>
          <t>Building wire</t>
        </is>
      </c>
      <c r="J4094" s="12" t="inlineStr">
        <is>
          <t>SIMpull THHN/THWN-2 600 V 1/C Cu (lighting, receptacles, small power)</t>
        </is>
      </c>
      <c r="K4094" s="12" t="inlineStr">
        <is>
          <t>THHN|1/C|12</t>
        </is>
      </c>
      <c r="L4094" s="12" t="inlineStr">
        <is>
          <t>1/C</t>
        </is>
      </c>
      <c r="M4094" s="12" t="inlineStr">
        <is>
          <t>12</t>
        </is>
      </c>
      <c r="N4094" s="12" t="n">
        <v>1</v>
      </c>
      <c r="O4094" s="12" t="n">
        <v>1</v>
      </c>
      <c r="P4094" s="12" t="n">
        <v>277</v>
      </c>
      <c r="Q4094" s="12" t="n"/>
      <c r="R4094" s="12" t="n"/>
      <c r="S4094" s="12" t="inlineStr">
        <is>
          <t>Conduit</t>
        </is>
      </c>
      <c r="T4094" s="16" t="n">
        <v>2560</v>
      </c>
      <c r="U4094" s="16" t="n">
        <v>0</v>
      </c>
      <c r="V4094" s="16">
        <f>ROUNDUP((T4094+U4094+2*'Read Me'!$B$13)*(1+'Read Me'!$B$12),-1)</f>
        <v/>
      </c>
      <c r="W4094" s="16">
        <f>V4094*N4094*O4094</f>
        <v/>
      </c>
      <c r="X4094" s="12">
        <f>IF(LEFT(I4094,2)="MV",2*N4094*IF(L4094="1/C",O4094,1),0)</f>
        <v/>
      </c>
      <c r="Y4094" s="12">
        <f>IF(OR(LEFT(K4094,4)="LVAX",LEFT(K4094,6)="MV15AX",LEFT(K4094,4)="CTAX",LEFT(K4094,2)="W|"),2*N4094*O4094,0)</f>
        <v/>
      </c>
      <c r="Z4094" s="12" t="inlineStr">
        <is>
          <t>allowance: 1.6 ft of conductor per ft2 of floor</t>
        </is>
      </c>
      <c r="AA4094" s="12">
        <f>N4094*O4094</f>
        <v/>
      </c>
    </row>
    <row r="4095">
      <c r="A4095" s="12" t="inlineStr">
        <is>
          <t>I-L-0003</t>
        </is>
      </c>
      <c r="B4095" s="12" t="inlineStr">
        <is>
          <t>I</t>
        </is>
      </c>
      <c r="C4095" s="12" t="inlineStr">
        <is>
          <t>Modular / portable power</t>
        </is>
      </c>
      <c r="D4095" s="12" t="inlineStr">
        <is>
          <t>Lighting, receptacles and small power branch circuits (allowance)</t>
        </is>
      </c>
      <c r="E4095" s="12" t="inlineStr"/>
      <c r="F4095" s="12" t="inlineStr">
        <is>
          <t>PCM: power control module</t>
        </is>
      </c>
      <c r="G4095" s="12" t="inlineStr"/>
      <c r="H4095" s="12" t="inlineStr">
        <is>
          <t>PCM: power control module</t>
        </is>
      </c>
      <c r="I4095" s="12" t="inlineStr">
        <is>
          <t>Building wire</t>
        </is>
      </c>
      <c r="J4095" s="12" t="inlineStr">
        <is>
          <t>SIMpull THHN/THWN-2 600 V 1/C Cu (lighting, receptacles, small power)</t>
        </is>
      </c>
      <c r="K4095" s="12" t="inlineStr">
        <is>
          <t>THHN|1/C|12</t>
        </is>
      </c>
      <c r="L4095" s="12" t="inlineStr">
        <is>
          <t>1/C</t>
        </is>
      </c>
      <c r="M4095" s="12" t="inlineStr">
        <is>
          <t>12</t>
        </is>
      </c>
      <c r="N4095" s="12" t="n">
        <v>1</v>
      </c>
      <c r="O4095" s="12" t="n">
        <v>1</v>
      </c>
      <c r="P4095" s="12" t="n">
        <v>277</v>
      </c>
      <c r="Q4095" s="12" t="n"/>
      <c r="R4095" s="12" t="n"/>
      <c r="S4095" s="12" t="inlineStr">
        <is>
          <t>Conduit</t>
        </is>
      </c>
      <c r="T4095" s="16" t="n">
        <v>5120</v>
      </c>
      <c r="U4095" s="16" t="n">
        <v>0</v>
      </c>
      <c r="V4095" s="16">
        <f>ROUNDUP((T4095+U4095+2*'Read Me'!$B$13)*(1+'Read Me'!$B$12),-1)</f>
        <v/>
      </c>
      <c r="W4095" s="16">
        <f>V4095*N4095*O4095</f>
        <v/>
      </c>
      <c r="X4095" s="12">
        <f>IF(LEFT(I4095,2)="MV",2*N4095*IF(L4095="1/C",O4095,1),0)</f>
        <v/>
      </c>
      <c r="Y4095" s="12">
        <f>IF(OR(LEFT(K4095,4)="LVAX",LEFT(K4095,6)="MV15AX",LEFT(K4095,4)="CTAX",LEFT(K4095,2)="W|"),2*N4095*O4095,0)</f>
        <v/>
      </c>
      <c r="Z4095" s="12" t="inlineStr">
        <is>
          <t>allowance: 1.6 ft of conductor per ft2 of floor</t>
        </is>
      </c>
      <c r="AA4095" s="12">
        <f>N4095*O4095</f>
        <v/>
      </c>
    </row>
    <row r="4096">
      <c r="A4096" s="12" t="inlineStr">
        <is>
          <t>I-L-0004</t>
        </is>
      </c>
      <c r="B4096" s="12" t="inlineStr">
        <is>
          <t>I</t>
        </is>
      </c>
      <c r="C4096" s="12" t="inlineStr">
        <is>
          <t>Modular / portable power</t>
        </is>
      </c>
      <c r="D4096" s="12" t="inlineStr">
        <is>
          <t>Lighting, receptacles and small power branch circuits (allowance)</t>
        </is>
      </c>
      <c r="E4096" s="12" t="inlineStr"/>
      <c r="F4096" s="12" t="inlineStr">
        <is>
          <t>RICE CEMS</t>
        </is>
      </c>
      <c r="G4096" s="12" t="inlineStr"/>
      <c r="H4096" s="12" t="inlineStr">
        <is>
          <t>RICE CEMS</t>
        </is>
      </c>
      <c r="I4096" s="12" t="inlineStr">
        <is>
          <t>Building wire</t>
        </is>
      </c>
      <c r="J4096" s="12" t="inlineStr">
        <is>
          <t>SIMpull THHN/THWN-2 600 V 1/C Cu (lighting, receptacles, small power)</t>
        </is>
      </c>
      <c r="K4096" s="12" t="inlineStr">
        <is>
          <t>THHN|1/C|12</t>
        </is>
      </c>
      <c r="L4096" s="12" t="inlineStr">
        <is>
          <t>1/C</t>
        </is>
      </c>
      <c r="M4096" s="12" t="inlineStr">
        <is>
          <t>12</t>
        </is>
      </c>
      <c r="N4096" s="12" t="n">
        <v>1</v>
      </c>
      <c r="O4096" s="12" t="n">
        <v>1</v>
      </c>
      <c r="P4096" s="12" t="n">
        <v>277</v>
      </c>
      <c r="Q4096" s="12" t="n"/>
      <c r="R4096" s="12" t="n"/>
      <c r="S4096" s="12" t="inlineStr">
        <is>
          <t>Conduit</t>
        </is>
      </c>
      <c r="T4096" s="16" t="n">
        <v>256</v>
      </c>
      <c r="U4096" s="16" t="n">
        <v>0</v>
      </c>
      <c r="V4096" s="16">
        <f>ROUNDUP((T4096+U4096+2*'Read Me'!$B$13)*(1+'Read Me'!$B$12),-1)</f>
        <v/>
      </c>
      <c r="W4096" s="16">
        <f>V4096*N4096*O4096</f>
        <v/>
      </c>
      <c r="X4096" s="12">
        <f>IF(LEFT(I4096,2)="MV",2*N4096*IF(L4096="1/C",O4096,1),0)</f>
        <v/>
      </c>
      <c r="Y4096" s="12">
        <f>IF(OR(LEFT(K4096,4)="LVAX",LEFT(K4096,6)="MV15AX",LEFT(K4096,4)="CTAX",LEFT(K4096,2)="W|"),2*N4096*O4096,0)</f>
        <v/>
      </c>
      <c r="Z4096" s="12" t="inlineStr">
        <is>
          <t>allowance: 1.6 ft of conductor per ft2 of floor</t>
        </is>
      </c>
      <c r="AA4096" s="12">
        <f>N4096*O4096</f>
        <v/>
      </c>
    </row>
    <row r="4097">
      <c r="A4097" s="12" t="inlineStr">
        <is>
          <t>I-C-0001</t>
        </is>
      </c>
      <c r="B4097" s="12" t="inlineStr">
        <is>
          <t>I</t>
        </is>
      </c>
      <c r="C4097" s="12" t="inlineStr">
        <is>
          <t>Modular / portable power</t>
        </is>
      </c>
      <c r="D4097" s="12" t="inlineStr">
        <is>
          <t>Control</t>
        </is>
      </c>
      <c r="E4097" s="12" t="inlineStr"/>
      <c r="F4097" s="12" t="inlineStr">
        <is>
          <t>PCM: power control module</t>
        </is>
      </c>
      <c r="G4097" s="12" t="inlineStr"/>
      <c r="H4097" s="12" t="inlineStr">
        <is>
          <t>BS black-start switchgear</t>
        </is>
      </c>
      <c r="I4097" s="12" t="inlineStr">
        <is>
          <t>Control</t>
        </is>
      </c>
      <c r="J4097" s="12" t="inlineStr">
        <is>
          <t>Control cable 600 V Type TC-ER, Cu #14 AWG, PVC jacket</t>
        </is>
      </c>
      <c r="K4097" s="12" t="inlineStr">
        <is>
          <t>CT|7/C|14</t>
        </is>
      </c>
      <c r="L4097" s="12" t="inlineStr">
        <is>
          <t>7/C</t>
        </is>
      </c>
      <c r="M4097" s="12" t="inlineStr">
        <is>
          <t>14</t>
        </is>
      </c>
      <c r="N4097" s="12" t="n">
        <v>1</v>
      </c>
      <c r="O4097" s="12" t="n">
        <v>1</v>
      </c>
      <c r="P4097" s="12" t="n"/>
      <c r="Q4097" s="12" t="n"/>
      <c r="R4097" s="12" t="n"/>
      <c r="S4097" s="12" t="inlineStr">
        <is>
          <t>Duct bank</t>
        </is>
      </c>
      <c r="T4097" s="16" t="n">
        <v>562</v>
      </c>
      <c r="U4097" s="16" t="n">
        <v>64</v>
      </c>
      <c r="V4097" s="16">
        <f>ROUNDUP((T4097+U4097+2*'Read Me'!$B$13)*(1+'Read Me'!$B$12),-1)</f>
        <v/>
      </c>
      <c r="W4097" s="16">
        <f>V4097*N4097*O4097</f>
        <v/>
      </c>
      <c r="X4097" s="12">
        <f>IF(LEFT(I4097,2)="MV",2*N4097*IF(L4097="1/C",O4097,1),0)</f>
        <v/>
      </c>
      <c r="Y4097" s="12">
        <f>IF(OR(LEFT(K4097,4)="LVAX",LEFT(K4097,6)="MV15AX",LEFT(K4097,4)="CTAX",LEFT(K4097,2)="W|"),2*N4097*O4097,0)</f>
        <v/>
      </c>
      <c r="Z4097" s="12" t="inlineStr"/>
      <c r="AA4097" s="12">
        <f>N4097*O4097</f>
        <v/>
      </c>
    </row>
    <row r="4098">
      <c r="A4098" s="12" t="inlineStr">
        <is>
          <t>I-C-0002</t>
        </is>
      </c>
      <c r="B4098" s="12" t="inlineStr">
        <is>
          <t>I</t>
        </is>
      </c>
      <c r="C4098" s="12" t="inlineStr">
        <is>
          <t>Modular / portable power</t>
        </is>
      </c>
      <c r="D4098" s="12" t="inlineStr">
        <is>
          <t>Control</t>
        </is>
      </c>
      <c r="E4098" s="12" t="inlineStr"/>
      <c r="F4098" s="12" t="inlineStr">
        <is>
          <t>PCM: power control module</t>
        </is>
      </c>
      <c r="G4098" s="12" t="inlineStr"/>
      <c r="H4098" s="12" t="inlineStr">
        <is>
          <t>CONDITIONAL: BESS black-start alternative</t>
        </is>
      </c>
      <c r="I4098" s="12" t="inlineStr">
        <is>
          <t>Control</t>
        </is>
      </c>
      <c r="J4098" s="12" t="inlineStr">
        <is>
          <t>Control cable 600 V Type TC-ER, Cu #14 AWG, PVC jacket</t>
        </is>
      </c>
      <c r="K4098" s="12" t="inlineStr">
        <is>
          <t>CT|7/C|14</t>
        </is>
      </c>
      <c r="L4098" s="12" t="inlineStr">
        <is>
          <t>7/C</t>
        </is>
      </c>
      <c r="M4098" s="12" t="inlineStr">
        <is>
          <t>14</t>
        </is>
      </c>
      <c r="N4098" s="12" t="n">
        <v>1</v>
      </c>
      <c r="O4098" s="12" t="n">
        <v>1</v>
      </c>
      <c r="P4098" s="12" t="n"/>
      <c r="Q4098" s="12" t="n"/>
      <c r="R4098" s="12" t="n"/>
      <c r="S4098" s="12" t="inlineStr">
        <is>
          <t>Duct bank</t>
        </is>
      </c>
      <c r="T4098" s="16" t="n">
        <v>550</v>
      </c>
      <c r="U4098" s="16" t="n">
        <v>32</v>
      </c>
      <c r="V4098" s="16">
        <f>ROUNDUP((T4098+U4098+2*'Read Me'!$B$13)*(1+'Read Me'!$B$12),-1)</f>
        <v/>
      </c>
      <c r="W4098" s="16">
        <f>V4098*N4098*O4098</f>
        <v/>
      </c>
      <c r="X4098" s="12">
        <f>IF(LEFT(I4098,2)="MV",2*N4098*IF(L4098="1/C",O4098,1),0)</f>
        <v/>
      </c>
      <c r="Y4098" s="12">
        <f>IF(OR(LEFT(K4098,4)="LVAX",LEFT(K4098,6)="MV15AX",LEFT(K4098,4)="CTAX",LEFT(K4098,2)="W|"),2*N4098*O4098,0)</f>
        <v/>
      </c>
      <c r="Z4098" s="12" t="inlineStr"/>
      <c r="AA4098" s="12">
        <f>N4098*O4098</f>
        <v/>
      </c>
    </row>
    <row r="4099">
      <c r="A4099" s="12" t="inlineStr">
        <is>
          <t>I-C-0003</t>
        </is>
      </c>
      <c r="B4099" s="12" t="inlineStr">
        <is>
          <t>I</t>
        </is>
      </c>
      <c r="C4099" s="12" t="inlineStr">
        <is>
          <t>Modular / portable power</t>
        </is>
      </c>
      <c r="D4099" s="12" t="inlineStr">
        <is>
          <t>Control</t>
        </is>
      </c>
      <c r="E4099" s="12" t="inlineStr"/>
      <c r="F4099" s="12" t="inlineStr">
        <is>
          <t>PCM: power control module</t>
        </is>
      </c>
      <c r="G4099" s="12" t="inlineStr"/>
      <c r="H4099" s="12" t="inlineStr">
        <is>
          <t>CONDITIONAL: SC-1 inlet chiller / evaporative cooler</t>
        </is>
      </c>
      <c r="I4099" s="12" t="inlineStr">
        <is>
          <t>Control</t>
        </is>
      </c>
      <c r="J4099" s="12" t="inlineStr">
        <is>
          <t>Control cable 600 V Type TC-ER, Cu #14 AWG, PVC jacket</t>
        </is>
      </c>
      <c r="K4099" s="12" t="inlineStr">
        <is>
          <t>CT|7/C|14</t>
        </is>
      </c>
      <c r="L4099" s="12" t="inlineStr">
        <is>
          <t>7/C</t>
        </is>
      </c>
      <c r="M4099" s="12" t="inlineStr">
        <is>
          <t>14</t>
        </is>
      </c>
      <c r="N4099" s="12" t="n">
        <v>1</v>
      </c>
      <c r="O4099" s="12" t="n">
        <v>1</v>
      </c>
      <c r="P4099" s="12" t="n"/>
      <c r="Q4099" s="12" t="n"/>
      <c r="R4099" s="12" t="n"/>
      <c r="S4099" s="12" t="inlineStr">
        <is>
          <t>Duct bank</t>
        </is>
      </c>
      <c r="T4099" s="16" t="n">
        <v>40</v>
      </c>
      <c r="U4099" s="16" t="n">
        <v>52</v>
      </c>
      <c r="V4099" s="16">
        <f>ROUNDUP((T4099+U4099+2*'Read Me'!$B$13)*(1+'Read Me'!$B$12),-1)</f>
        <v/>
      </c>
      <c r="W4099" s="16">
        <f>V4099*N4099*O4099</f>
        <v/>
      </c>
      <c r="X4099" s="12">
        <f>IF(LEFT(I4099,2)="MV",2*N4099*IF(L4099="1/C",O4099,1),0)</f>
        <v/>
      </c>
      <c r="Y4099" s="12">
        <f>IF(OR(LEFT(K4099,4)="LVAX",LEFT(K4099,6)="MV15AX",LEFT(K4099,4)="CTAX",LEFT(K4099,2)="W|"),2*N4099*O4099,0)</f>
        <v/>
      </c>
      <c r="Z4099" s="12" t="inlineStr"/>
      <c r="AA4099" s="12">
        <f>N4099*O4099</f>
        <v/>
      </c>
    </row>
    <row r="4100">
      <c r="A4100" s="12" t="inlineStr">
        <is>
          <t>I-C-0004</t>
        </is>
      </c>
      <c r="B4100" s="12" t="inlineStr">
        <is>
          <t>I</t>
        </is>
      </c>
      <c r="C4100" s="12" t="inlineStr">
        <is>
          <t>Modular / portable power</t>
        </is>
      </c>
      <c r="D4100" s="12" t="inlineStr">
        <is>
          <t>Control</t>
        </is>
      </c>
      <c r="E4100" s="12" t="inlineStr"/>
      <c r="F4100" s="12" t="inlineStr">
        <is>
          <t>PCM: power control module</t>
        </is>
      </c>
      <c r="G4100" s="12" t="inlineStr"/>
      <c r="H4100" s="12" t="inlineStr">
        <is>
          <t>CONDITIONAL: SC-2 inlet chiller / evaporative cooler</t>
        </is>
      </c>
      <c r="I4100" s="12" t="inlineStr">
        <is>
          <t>Control</t>
        </is>
      </c>
      <c r="J4100" s="12" t="inlineStr">
        <is>
          <t>Control cable 600 V Type TC-ER, Cu #14 AWG, PVC jacket</t>
        </is>
      </c>
      <c r="K4100" s="12" t="inlineStr">
        <is>
          <t>CT|7/C|14</t>
        </is>
      </c>
      <c r="L4100" s="12" t="inlineStr">
        <is>
          <t>7/C</t>
        </is>
      </c>
      <c r="M4100" s="12" t="inlineStr">
        <is>
          <t>14</t>
        </is>
      </c>
      <c r="N4100" s="12" t="n">
        <v>1</v>
      </c>
      <c r="O4100" s="12" t="n">
        <v>1</v>
      </c>
      <c r="P4100" s="12" t="n"/>
      <c r="Q4100" s="12" t="n"/>
      <c r="R4100" s="12" t="n"/>
      <c r="S4100" s="12" t="inlineStr">
        <is>
          <t>HV duct bank</t>
        </is>
      </c>
      <c r="T4100" s="16" t="n">
        <v>4528</v>
      </c>
      <c r="U4100" s="16" t="n">
        <v>38</v>
      </c>
      <c r="V4100" s="16">
        <f>ROUNDUP((T4100+U4100+2*'Read Me'!$B$13)*(1+'Read Me'!$B$12),-1)</f>
        <v/>
      </c>
      <c r="W4100" s="16">
        <f>V4100*N4100*O4100</f>
        <v/>
      </c>
      <c r="X4100" s="12">
        <f>IF(LEFT(I4100,2)="MV",2*N4100*IF(L4100="1/C",O4100,1),0)</f>
        <v/>
      </c>
      <c r="Y4100" s="12">
        <f>IF(OR(LEFT(K4100,4)="LVAX",LEFT(K4100,6)="MV15AX",LEFT(K4100,4)="CTAX",LEFT(K4100,2)="W|"),2*N4100*O4100,0)</f>
        <v/>
      </c>
      <c r="Z4100" s="12" t="inlineStr"/>
      <c r="AA4100" s="12">
        <f>N4100*O4100</f>
        <v/>
      </c>
    </row>
    <row r="4101">
      <c r="A4101" s="12" t="inlineStr">
        <is>
          <t>I-C-0005</t>
        </is>
      </c>
      <c r="B4101" s="12" t="inlineStr">
        <is>
          <t>I</t>
        </is>
      </c>
      <c r="C4101" s="12" t="inlineStr">
        <is>
          <t>Modular / portable power</t>
        </is>
      </c>
      <c r="D4101" s="12" t="inlineStr">
        <is>
          <t>Control</t>
        </is>
      </c>
      <c r="E4101" s="12" t="inlineStr">
        <is>
          <t>PAD-EH</t>
        </is>
      </c>
      <c r="F4101" s="12" t="inlineStr">
        <is>
          <t>PAD-EH 13.8 kV switchgear e-house</t>
        </is>
      </c>
      <c r="G4101" s="12" t="inlineStr"/>
      <c r="H4101" s="12" t="inlineStr">
        <is>
          <t>FC-5..12 inverter / AC cabinet / desulfurizer</t>
        </is>
      </c>
      <c r="I4101" s="12" t="inlineStr">
        <is>
          <t>Control</t>
        </is>
      </c>
      <c r="J4101" s="12" t="inlineStr">
        <is>
          <t>Control cable 600 V Type TC-ER, Cu #14 AWG, PVC jacket</t>
        </is>
      </c>
      <c r="K4101" s="12" t="inlineStr">
        <is>
          <t>CT|7/C|14</t>
        </is>
      </c>
      <c r="L4101" s="12" t="inlineStr">
        <is>
          <t>7/C</t>
        </is>
      </c>
      <c r="M4101" s="12" t="inlineStr">
        <is>
          <t>14</t>
        </is>
      </c>
      <c r="N4101" s="12" t="n">
        <v>1</v>
      </c>
      <c r="O4101" s="12" t="n">
        <v>1</v>
      </c>
      <c r="P4101" s="12" t="n"/>
      <c r="Q4101" s="12" t="n"/>
      <c r="R4101" s="12" t="n"/>
      <c r="S4101" s="12" t="inlineStr">
        <is>
          <t>Surface</t>
        </is>
      </c>
      <c r="T4101" s="16" t="n">
        <v>202</v>
      </c>
      <c r="U4101" s="16" t="n">
        <v>37</v>
      </c>
      <c r="V4101" s="16">
        <f>ROUNDUP((T4101+U4101+2*'Read Me'!$B$13)*(1+'Read Me'!$B$12),-1)</f>
        <v/>
      </c>
      <c r="W4101" s="16">
        <f>V4101*N4101*O4101</f>
        <v/>
      </c>
      <c r="X4101" s="12">
        <f>IF(LEFT(I4101,2)="MV",2*N4101*IF(L4101="1/C",O4101,1),0)</f>
        <v/>
      </c>
      <c r="Y4101" s="12">
        <f>IF(OR(LEFT(K4101,4)="LVAX",LEFT(K4101,6)="MV15AX",LEFT(K4101,4)="CTAX",LEFT(K4101,2)="W|"),2*N4101*O4101,0)</f>
        <v/>
      </c>
      <c r="Z4101" s="12" t="inlineStr"/>
      <c r="AA4101" s="12">
        <f>N4101*O4101</f>
        <v/>
      </c>
    </row>
    <row r="4102">
      <c r="A4102" s="12" t="inlineStr">
        <is>
          <t>I-C-0006</t>
        </is>
      </c>
      <c r="B4102" s="12" t="inlineStr">
        <is>
          <t>I</t>
        </is>
      </c>
      <c r="C4102" s="12" t="inlineStr">
        <is>
          <t>Modular / portable power</t>
        </is>
      </c>
      <c r="D4102" s="12" t="inlineStr">
        <is>
          <t>Control</t>
        </is>
      </c>
      <c r="E4102" s="12" t="inlineStr"/>
      <c r="F4102" s="12" t="inlineStr">
        <is>
          <t>PCM: power control module</t>
        </is>
      </c>
      <c r="G4102" s="12" t="inlineStr"/>
      <c r="H4102" s="12" t="inlineStr">
        <is>
          <t>Fuel-cell inverter / AC cabinet / desulfurizer</t>
        </is>
      </c>
      <c r="I4102" s="12" t="inlineStr">
        <is>
          <t>Control</t>
        </is>
      </c>
      <c r="J4102" s="12" t="inlineStr">
        <is>
          <t>ARMOR-X MC-HL 600 V control, Cu #14 AWG (Class I Div 2)</t>
        </is>
      </c>
      <c r="K4102" s="12" t="inlineStr">
        <is>
          <t>CTAX|7/C|14</t>
        </is>
      </c>
      <c r="L4102" s="12" t="inlineStr">
        <is>
          <t>7/C</t>
        </is>
      </c>
      <c r="M4102" s="12" t="inlineStr">
        <is>
          <t>14</t>
        </is>
      </c>
      <c r="N4102" s="12" t="n">
        <v>1</v>
      </c>
      <c r="O4102" s="12" t="n">
        <v>1</v>
      </c>
      <c r="P4102" s="12" t="n"/>
      <c r="Q4102" s="12" t="n"/>
      <c r="R4102" s="12" t="n"/>
      <c r="S4102" s="12" t="inlineStr">
        <is>
          <t>Duct bank</t>
        </is>
      </c>
      <c r="T4102" s="16" t="n">
        <v>1032</v>
      </c>
      <c r="U4102" s="16" t="n">
        <v>34</v>
      </c>
      <c r="V4102" s="16">
        <f>ROUNDUP((T4102+U4102+2*'Read Me'!$B$13)*(1+'Read Me'!$B$12),-1)</f>
        <v/>
      </c>
      <c r="W4102" s="16">
        <f>V4102*N4102*O4102</f>
        <v/>
      </c>
      <c r="X4102" s="12">
        <f>IF(LEFT(I4102,2)="MV",2*N4102*IF(L4102="1/C",O4102,1),0)</f>
        <v/>
      </c>
      <c r="Y4102" s="12">
        <f>IF(OR(LEFT(K4102,4)="LVAX",LEFT(K4102,6)="MV15AX",LEFT(K4102,4)="CTAX",LEFT(K4102,2)="W|"),2*N4102*O4102,0)</f>
        <v/>
      </c>
      <c r="Z4102" s="12" t="inlineStr"/>
      <c r="AA4102" s="12">
        <f>N4102*O4102</f>
        <v/>
      </c>
    </row>
    <row r="4103">
      <c r="A4103" s="12" t="inlineStr">
        <is>
          <t>I-C-0007</t>
        </is>
      </c>
      <c r="B4103" s="12" t="inlineStr">
        <is>
          <t>I</t>
        </is>
      </c>
      <c r="C4103" s="12" t="inlineStr">
        <is>
          <t>Modular / portable power</t>
        </is>
      </c>
      <c r="D4103" s="12" t="inlineStr">
        <is>
          <t>Motor 1 of 6: control / local station</t>
        </is>
      </c>
      <c r="E4103" s="12" t="inlineStr"/>
      <c r="F4103" s="12" t="inlineStr">
        <is>
          <t>MOD-LV 480 V board + 480 V : 13.8 kV step-up</t>
        </is>
      </c>
      <c r="G4103" s="12" t="inlineStr"/>
      <c r="H4103" s="12" t="inlineStr">
        <is>
          <t>Fuel-gas compressors 3 x 100% electric</t>
        </is>
      </c>
      <c r="I4103" s="12" t="inlineStr">
        <is>
          <t>Control</t>
        </is>
      </c>
      <c r="J4103" s="12" t="inlineStr">
        <is>
          <t>ARMOR-X MC-HL 600 V control, Cu #14 AWG (Class I Div 2)</t>
        </is>
      </c>
      <c r="K4103" s="12" t="inlineStr">
        <is>
          <t>CTAX|7/C|14</t>
        </is>
      </c>
      <c r="L4103" s="12" t="inlineStr">
        <is>
          <t>7/C</t>
        </is>
      </c>
      <c r="M4103" s="12" t="inlineStr">
        <is>
          <t>14</t>
        </is>
      </c>
      <c r="N4103" s="12" t="n">
        <v>1</v>
      </c>
      <c r="O4103" s="12" t="n">
        <v>1</v>
      </c>
      <c r="P4103" s="12" t="n"/>
      <c r="Q4103" s="12" t="n"/>
      <c r="R4103" s="12" t="n"/>
      <c r="S4103" s="12" t="inlineStr">
        <is>
          <t>HV duct bank</t>
        </is>
      </c>
      <c r="T4103" s="16" t="n">
        <v>4396</v>
      </c>
      <c r="U4103" s="16" t="n">
        <v>40</v>
      </c>
      <c r="V4103" s="16">
        <f>ROUNDUP((T4103+U4103+2*'Read Me'!$B$13)*(1+'Read Me'!$B$12),-1)</f>
        <v/>
      </c>
      <c r="W4103" s="16">
        <f>V4103*N4103*O4103</f>
        <v/>
      </c>
      <c r="X4103" s="12">
        <f>IF(LEFT(I4103,2)="MV",2*N4103*IF(L4103="1/C",O4103,1),0)</f>
        <v/>
      </c>
      <c r="Y4103" s="12">
        <f>IF(OR(LEFT(K4103,4)="LVAX",LEFT(K4103,6)="MV15AX",LEFT(K4103,4)="CTAX",LEFT(K4103,2)="W|"),2*N4103*O4103,0)</f>
        <v/>
      </c>
      <c r="Z4103" s="12" t="inlineStr"/>
      <c r="AA4103" s="12">
        <f>N4103*O4103</f>
        <v/>
      </c>
    </row>
    <row r="4104">
      <c r="A4104" s="12" t="inlineStr">
        <is>
          <t>I-C-0008</t>
        </is>
      </c>
      <c r="B4104" s="12" t="inlineStr">
        <is>
          <t>I</t>
        </is>
      </c>
      <c r="C4104" s="12" t="inlineStr">
        <is>
          <t>Modular / portable power</t>
        </is>
      </c>
      <c r="D4104" s="12" t="inlineStr">
        <is>
          <t>Motor 2 of 6: control / local station</t>
        </is>
      </c>
      <c r="E4104" s="12" t="inlineStr"/>
      <c r="F4104" s="12" t="inlineStr">
        <is>
          <t>MOD-LV 480 V board + 480 V : 13.8 kV step-up</t>
        </is>
      </c>
      <c r="G4104" s="12" t="inlineStr"/>
      <c r="H4104" s="12" t="inlineStr">
        <is>
          <t>Fuel-gas compressors 3 x 100% electric</t>
        </is>
      </c>
      <c r="I4104" s="12" t="inlineStr">
        <is>
          <t>Control</t>
        </is>
      </c>
      <c r="J4104" s="12" t="inlineStr">
        <is>
          <t>ARMOR-X MC-HL 600 V control, Cu #14 AWG (Class I Div 2)</t>
        </is>
      </c>
      <c r="K4104" s="12" t="inlineStr">
        <is>
          <t>CTAX|7/C|14</t>
        </is>
      </c>
      <c r="L4104" s="12" t="inlineStr">
        <is>
          <t>7/C</t>
        </is>
      </c>
      <c r="M4104" s="12" t="inlineStr">
        <is>
          <t>14</t>
        </is>
      </c>
      <c r="N4104" s="12" t="n">
        <v>1</v>
      </c>
      <c r="O4104" s="12" t="n">
        <v>1</v>
      </c>
      <c r="P4104" s="12" t="n"/>
      <c r="Q4104" s="12" t="n"/>
      <c r="R4104" s="12" t="n"/>
      <c r="S4104" s="12" t="inlineStr">
        <is>
          <t>HV duct bank</t>
        </is>
      </c>
      <c r="T4104" s="16" t="n">
        <v>4396</v>
      </c>
      <c r="U4104" s="16" t="n">
        <v>40</v>
      </c>
      <c r="V4104" s="16">
        <f>ROUNDUP((T4104+U4104+2*'Read Me'!$B$13)*(1+'Read Me'!$B$12),-1)</f>
        <v/>
      </c>
      <c r="W4104" s="16">
        <f>V4104*N4104*O4104</f>
        <v/>
      </c>
      <c r="X4104" s="12">
        <f>IF(LEFT(I4104,2)="MV",2*N4104*IF(L4104="1/C",O4104,1),0)</f>
        <v/>
      </c>
      <c r="Y4104" s="12">
        <f>IF(OR(LEFT(K4104,4)="LVAX",LEFT(K4104,6)="MV15AX",LEFT(K4104,4)="CTAX",LEFT(K4104,2)="W|"),2*N4104*O4104,0)</f>
        <v/>
      </c>
      <c r="Z4104" s="12" t="inlineStr"/>
      <c r="AA4104" s="12">
        <f>N4104*O4104</f>
        <v/>
      </c>
    </row>
    <row r="4105">
      <c r="A4105" s="12" t="inlineStr">
        <is>
          <t>I-C-0009</t>
        </is>
      </c>
      <c r="B4105" s="12" t="inlineStr">
        <is>
          <t>I</t>
        </is>
      </c>
      <c r="C4105" s="12" t="inlineStr">
        <is>
          <t>Modular / portable power</t>
        </is>
      </c>
      <c r="D4105" s="12" t="inlineStr">
        <is>
          <t>Motor 3 of 6: control / local station</t>
        </is>
      </c>
      <c r="E4105" s="12" t="inlineStr"/>
      <c r="F4105" s="12" t="inlineStr">
        <is>
          <t>MOD-LV 480 V board + 480 V : 13.8 kV step-up</t>
        </is>
      </c>
      <c r="G4105" s="12" t="inlineStr"/>
      <c r="H4105" s="12" t="inlineStr">
        <is>
          <t>Fuel-gas compressors 3 x 100% electric</t>
        </is>
      </c>
      <c r="I4105" s="12" t="inlineStr">
        <is>
          <t>Control</t>
        </is>
      </c>
      <c r="J4105" s="12" t="inlineStr">
        <is>
          <t>ARMOR-X MC-HL 600 V control, Cu #14 AWG (Class I Div 2)</t>
        </is>
      </c>
      <c r="K4105" s="12" t="inlineStr">
        <is>
          <t>CTAX|7/C|14</t>
        </is>
      </c>
      <c r="L4105" s="12" t="inlineStr">
        <is>
          <t>7/C</t>
        </is>
      </c>
      <c r="M4105" s="12" t="inlineStr">
        <is>
          <t>14</t>
        </is>
      </c>
      <c r="N4105" s="12" t="n">
        <v>1</v>
      </c>
      <c r="O4105" s="12" t="n">
        <v>1</v>
      </c>
      <c r="P4105" s="12" t="n"/>
      <c r="Q4105" s="12" t="n"/>
      <c r="R4105" s="12" t="n"/>
      <c r="S4105" s="12" t="inlineStr">
        <is>
          <t>HV duct bank</t>
        </is>
      </c>
      <c r="T4105" s="16" t="n">
        <v>4396</v>
      </c>
      <c r="U4105" s="16" t="n">
        <v>40</v>
      </c>
      <c r="V4105" s="16">
        <f>ROUNDUP((T4105+U4105+2*'Read Me'!$B$13)*(1+'Read Me'!$B$12),-1)</f>
        <v/>
      </c>
      <c r="W4105" s="16">
        <f>V4105*N4105*O4105</f>
        <v/>
      </c>
      <c r="X4105" s="12">
        <f>IF(LEFT(I4105,2)="MV",2*N4105*IF(L4105="1/C",O4105,1),0)</f>
        <v/>
      </c>
      <c r="Y4105" s="12">
        <f>IF(OR(LEFT(K4105,4)="LVAX",LEFT(K4105,6)="MV15AX",LEFT(K4105,4)="CTAX",LEFT(K4105,2)="W|"),2*N4105*O4105,0)</f>
        <v/>
      </c>
      <c r="Z4105" s="12" t="inlineStr"/>
      <c r="AA4105" s="12">
        <f>N4105*O4105</f>
        <v/>
      </c>
    </row>
    <row r="4106">
      <c r="A4106" s="12" t="inlineStr">
        <is>
          <t>I-C-0010</t>
        </is>
      </c>
      <c r="B4106" s="12" t="inlineStr">
        <is>
          <t>I</t>
        </is>
      </c>
      <c r="C4106" s="12" t="inlineStr">
        <is>
          <t>Modular / portable power</t>
        </is>
      </c>
      <c r="D4106" s="12" t="inlineStr">
        <is>
          <t>Motor 4 of 6: control / local station</t>
        </is>
      </c>
      <c r="E4106" s="12" t="inlineStr"/>
      <c r="F4106" s="12" t="inlineStr">
        <is>
          <t>MOD-LV 480 V board + 480 V : 13.8 kV step-up</t>
        </is>
      </c>
      <c r="G4106" s="12" t="inlineStr"/>
      <c r="H4106" s="12" t="inlineStr">
        <is>
          <t>Fuel-gas compressors 3 x 100% electric</t>
        </is>
      </c>
      <c r="I4106" s="12" t="inlineStr">
        <is>
          <t>Control</t>
        </is>
      </c>
      <c r="J4106" s="12" t="inlineStr">
        <is>
          <t>ARMOR-X MC-HL 600 V control, Cu #14 AWG (Class I Div 2)</t>
        </is>
      </c>
      <c r="K4106" s="12" t="inlineStr">
        <is>
          <t>CTAX|7/C|14</t>
        </is>
      </c>
      <c r="L4106" s="12" t="inlineStr">
        <is>
          <t>7/C</t>
        </is>
      </c>
      <c r="M4106" s="12" t="inlineStr">
        <is>
          <t>14</t>
        </is>
      </c>
      <c r="N4106" s="12" t="n">
        <v>1</v>
      </c>
      <c r="O4106" s="12" t="n">
        <v>1</v>
      </c>
      <c r="P4106" s="12" t="n"/>
      <c r="Q4106" s="12" t="n"/>
      <c r="R4106" s="12" t="n"/>
      <c r="S4106" s="12" t="inlineStr">
        <is>
          <t>HV duct bank</t>
        </is>
      </c>
      <c r="T4106" s="16" t="n">
        <v>4396</v>
      </c>
      <c r="U4106" s="16" t="n">
        <v>40</v>
      </c>
      <c r="V4106" s="16">
        <f>ROUNDUP((T4106+U4106+2*'Read Me'!$B$13)*(1+'Read Me'!$B$12),-1)</f>
        <v/>
      </c>
      <c r="W4106" s="16">
        <f>V4106*N4106*O4106</f>
        <v/>
      </c>
      <c r="X4106" s="12">
        <f>IF(LEFT(I4106,2)="MV",2*N4106*IF(L4106="1/C",O4106,1),0)</f>
        <v/>
      </c>
      <c r="Y4106" s="12">
        <f>IF(OR(LEFT(K4106,4)="LVAX",LEFT(K4106,6)="MV15AX",LEFT(K4106,4)="CTAX",LEFT(K4106,2)="W|"),2*N4106*O4106,0)</f>
        <v/>
      </c>
      <c r="Z4106" s="12" t="inlineStr"/>
      <c r="AA4106" s="12">
        <f>N4106*O4106</f>
        <v/>
      </c>
    </row>
    <row r="4107">
      <c r="A4107" s="12" t="inlineStr">
        <is>
          <t>I-C-0011</t>
        </is>
      </c>
      <c r="B4107" s="12" t="inlineStr">
        <is>
          <t>I</t>
        </is>
      </c>
      <c r="C4107" s="12" t="inlineStr">
        <is>
          <t>Modular / portable power</t>
        </is>
      </c>
      <c r="D4107" s="12" t="inlineStr">
        <is>
          <t>Motor 5 of 6: control / local station</t>
        </is>
      </c>
      <c r="E4107" s="12" t="inlineStr"/>
      <c r="F4107" s="12" t="inlineStr">
        <is>
          <t>MOD-LV 480 V board + 480 V : 13.8 kV step-up</t>
        </is>
      </c>
      <c r="G4107" s="12" t="inlineStr"/>
      <c r="H4107" s="12" t="inlineStr">
        <is>
          <t>Fuel-gas compressors 3 x 100% electric</t>
        </is>
      </c>
      <c r="I4107" s="12" t="inlineStr">
        <is>
          <t>Control</t>
        </is>
      </c>
      <c r="J4107" s="12" t="inlineStr">
        <is>
          <t>ARMOR-X MC-HL 600 V control, Cu #14 AWG (Class I Div 2)</t>
        </is>
      </c>
      <c r="K4107" s="12" t="inlineStr">
        <is>
          <t>CTAX|7/C|14</t>
        </is>
      </c>
      <c r="L4107" s="12" t="inlineStr">
        <is>
          <t>7/C</t>
        </is>
      </c>
      <c r="M4107" s="12" t="inlineStr">
        <is>
          <t>14</t>
        </is>
      </c>
      <c r="N4107" s="12" t="n">
        <v>1</v>
      </c>
      <c r="O4107" s="12" t="n">
        <v>1</v>
      </c>
      <c r="P4107" s="12" t="n"/>
      <c r="Q4107" s="12" t="n"/>
      <c r="R4107" s="12" t="n"/>
      <c r="S4107" s="12" t="inlineStr">
        <is>
          <t>HV duct bank</t>
        </is>
      </c>
      <c r="T4107" s="16" t="n">
        <v>4396</v>
      </c>
      <c r="U4107" s="16" t="n">
        <v>40</v>
      </c>
      <c r="V4107" s="16">
        <f>ROUNDUP((T4107+U4107+2*'Read Me'!$B$13)*(1+'Read Me'!$B$12),-1)</f>
        <v/>
      </c>
      <c r="W4107" s="16">
        <f>V4107*N4107*O4107</f>
        <v/>
      </c>
      <c r="X4107" s="12">
        <f>IF(LEFT(I4107,2)="MV",2*N4107*IF(L4107="1/C",O4107,1),0)</f>
        <v/>
      </c>
      <c r="Y4107" s="12">
        <f>IF(OR(LEFT(K4107,4)="LVAX",LEFT(K4107,6)="MV15AX",LEFT(K4107,4)="CTAX",LEFT(K4107,2)="W|"),2*N4107*O4107,0)</f>
        <v/>
      </c>
      <c r="Z4107" s="12" t="inlineStr"/>
      <c r="AA4107" s="12">
        <f>N4107*O4107</f>
        <v/>
      </c>
    </row>
    <row r="4108">
      <c r="A4108" s="12" t="inlineStr">
        <is>
          <t>I-C-0012</t>
        </is>
      </c>
      <c r="B4108" s="12" t="inlineStr">
        <is>
          <t>I</t>
        </is>
      </c>
      <c r="C4108" s="12" t="inlineStr">
        <is>
          <t>Modular / portable power</t>
        </is>
      </c>
      <c r="D4108" s="12" t="inlineStr">
        <is>
          <t>Motor 6 of 6: control / local station</t>
        </is>
      </c>
      <c r="E4108" s="12" t="inlineStr"/>
      <c r="F4108" s="12" t="inlineStr">
        <is>
          <t>MOD-LV 480 V board + 480 V : 13.8 kV step-up</t>
        </is>
      </c>
      <c r="G4108" s="12" t="inlineStr"/>
      <c r="H4108" s="12" t="inlineStr">
        <is>
          <t>Fuel-gas compressors 3 x 100% electric</t>
        </is>
      </c>
      <c r="I4108" s="12" t="inlineStr">
        <is>
          <t>Control</t>
        </is>
      </c>
      <c r="J4108" s="12" t="inlineStr">
        <is>
          <t>ARMOR-X MC-HL 600 V control, Cu #14 AWG (Class I Div 2)</t>
        </is>
      </c>
      <c r="K4108" s="12" t="inlineStr">
        <is>
          <t>CTAX|7/C|14</t>
        </is>
      </c>
      <c r="L4108" s="12" t="inlineStr">
        <is>
          <t>7/C</t>
        </is>
      </c>
      <c r="M4108" s="12" t="inlineStr">
        <is>
          <t>14</t>
        </is>
      </c>
      <c r="N4108" s="12" t="n">
        <v>1</v>
      </c>
      <c r="O4108" s="12" t="n">
        <v>1</v>
      </c>
      <c r="P4108" s="12" t="n"/>
      <c r="Q4108" s="12" t="n"/>
      <c r="R4108" s="12" t="n"/>
      <c r="S4108" s="12" t="inlineStr">
        <is>
          <t>HV duct bank</t>
        </is>
      </c>
      <c r="T4108" s="16" t="n">
        <v>4396</v>
      </c>
      <c r="U4108" s="16" t="n">
        <v>40</v>
      </c>
      <c r="V4108" s="16">
        <f>ROUNDUP((T4108+U4108+2*'Read Me'!$B$13)*(1+'Read Me'!$B$12),-1)</f>
        <v/>
      </c>
      <c r="W4108" s="16">
        <f>V4108*N4108*O4108</f>
        <v/>
      </c>
      <c r="X4108" s="12">
        <f>IF(LEFT(I4108,2)="MV",2*N4108*IF(L4108="1/C",O4108,1),0)</f>
        <v/>
      </c>
      <c r="Y4108" s="12">
        <f>IF(OR(LEFT(K4108,4)="LVAX",LEFT(K4108,6)="MV15AX",LEFT(K4108,4)="CTAX",LEFT(K4108,2)="W|"),2*N4108*O4108,0)</f>
        <v/>
      </c>
      <c r="Z4108" s="12" t="inlineStr"/>
      <c r="AA4108" s="12">
        <f>N4108*O4108</f>
        <v/>
      </c>
    </row>
    <row r="4109">
      <c r="A4109" s="12" t="inlineStr">
        <is>
          <t>I-C-0013</t>
        </is>
      </c>
      <c r="B4109" s="12" t="inlineStr">
        <is>
          <t>I</t>
        </is>
      </c>
      <c r="C4109" s="12" t="inlineStr">
        <is>
          <t>Modular / portable power</t>
        </is>
      </c>
      <c r="D4109" s="12" t="inlineStr">
        <is>
          <t>Control</t>
        </is>
      </c>
      <c r="E4109" s="12" t="inlineStr">
        <is>
          <t>PAD-EH</t>
        </is>
      </c>
      <c r="F4109" s="12" t="inlineStr">
        <is>
          <t>PAD-EH 13.8 kV switchgear e-house</t>
        </is>
      </c>
      <c r="G4109" s="12" t="inlineStr">
        <is>
          <t>GSP-1</t>
        </is>
      </c>
      <c r="H4109" s="12" t="inlineStr">
        <is>
          <t>GSP-1: generator breaker / protection</t>
        </is>
      </c>
      <c r="I4109" s="12" t="inlineStr">
        <is>
          <t>Control</t>
        </is>
      </c>
      <c r="J4109" s="12" t="inlineStr">
        <is>
          <t>Control cable 600 V Type TC-ER, Cu #14 AWG, PVC jacket</t>
        </is>
      </c>
      <c r="K4109" s="12" t="inlineStr">
        <is>
          <t>CT|12/C|14</t>
        </is>
      </c>
      <c r="L4109" s="12" t="inlineStr">
        <is>
          <t>12/C</t>
        </is>
      </c>
      <c r="M4109" s="12" t="inlineStr">
        <is>
          <t>14</t>
        </is>
      </c>
      <c r="N4109" s="12" t="n">
        <v>1</v>
      </c>
      <c r="O4109" s="12" t="n">
        <v>1</v>
      </c>
      <c r="P4109" s="12" t="n"/>
      <c r="Q4109" s="12" t="n"/>
      <c r="R4109" s="12" t="n"/>
      <c r="S4109" s="12" t="inlineStr">
        <is>
          <t>Surface</t>
        </is>
      </c>
      <c r="T4109" s="16" t="n">
        <v>269</v>
      </c>
      <c r="U4109" s="16" t="n">
        <v>66</v>
      </c>
      <c r="V4109" s="16">
        <f>ROUNDUP((T4109+U4109+2*'Read Me'!$B$13)*(1+'Read Me'!$B$12),-1)</f>
        <v/>
      </c>
      <c r="W4109" s="16">
        <f>V4109*N4109*O4109</f>
        <v/>
      </c>
      <c r="X4109" s="12">
        <f>IF(LEFT(I4109,2)="MV",2*N4109*IF(L4109="1/C",O4109,1),0)</f>
        <v/>
      </c>
      <c r="Y4109" s="12">
        <f>IF(OR(LEFT(K4109,4)="LVAX",LEFT(K4109,6)="MV15AX",LEFT(K4109,4)="CTAX",LEFT(K4109,2)="W|"),2*N4109*O4109,0)</f>
        <v/>
      </c>
      <c r="Z4109" s="12" t="inlineStr"/>
      <c r="AA4109" s="12">
        <f>N4109*O4109</f>
        <v/>
      </c>
    </row>
    <row r="4110">
      <c r="A4110" s="12" t="inlineStr">
        <is>
          <t>I-C-0014</t>
        </is>
      </c>
      <c r="B4110" s="12" t="inlineStr">
        <is>
          <t>I</t>
        </is>
      </c>
      <c r="C4110" s="12" t="inlineStr">
        <is>
          <t>Modular / portable power</t>
        </is>
      </c>
      <c r="D4110" s="12" t="inlineStr">
        <is>
          <t>Control</t>
        </is>
      </c>
      <c r="E4110" s="12" t="inlineStr">
        <is>
          <t>PAD-EH</t>
        </is>
      </c>
      <c r="F4110" s="12" t="inlineStr">
        <is>
          <t>PAD-EH 13.8 kV switchgear e-house</t>
        </is>
      </c>
      <c r="G4110" s="12" t="inlineStr">
        <is>
          <t>GSP-1</t>
        </is>
      </c>
      <c r="H4110" s="12" t="inlineStr">
        <is>
          <t>GSP-1: generator breaker / protection</t>
        </is>
      </c>
      <c r="I4110" s="12" t="inlineStr">
        <is>
          <t>Control</t>
        </is>
      </c>
      <c r="J4110" s="12" t="inlineStr">
        <is>
          <t>Control cable 600 V Type TC-ER, Cu #14 AWG, PVC jacket</t>
        </is>
      </c>
      <c r="K4110" s="12" t="inlineStr">
        <is>
          <t>CT|12/C|14</t>
        </is>
      </c>
      <c r="L4110" s="12" t="inlineStr">
        <is>
          <t>12/C</t>
        </is>
      </c>
      <c r="M4110" s="12" t="inlineStr">
        <is>
          <t>14</t>
        </is>
      </c>
      <c r="N4110" s="12" t="n">
        <v>1</v>
      </c>
      <c r="O4110" s="12" t="n">
        <v>1</v>
      </c>
      <c r="P4110" s="12" t="n"/>
      <c r="Q4110" s="12" t="n"/>
      <c r="R4110" s="12" t="n"/>
      <c r="S4110" s="12" t="inlineStr">
        <is>
          <t>Surface</t>
        </is>
      </c>
      <c r="T4110" s="16" t="n">
        <v>269</v>
      </c>
      <c r="U4110" s="16" t="n">
        <v>66</v>
      </c>
      <c r="V4110" s="16">
        <f>ROUNDUP((T4110+U4110+2*'Read Me'!$B$13)*(1+'Read Me'!$B$12),-1)</f>
        <v/>
      </c>
      <c r="W4110" s="16">
        <f>V4110*N4110*O4110</f>
        <v/>
      </c>
      <c r="X4110" s="12">
        <f>IF(LEFT(I4110,2)="MV",2*N4110*IF(L4110="1/C",O4110,1),0)</f>
        <v/>
      </c>
      <c r="Y4110" s="12">
        <f>IF(OR(LEFT(K4110,4)="LVAX",LEFT(K4110,6)="MV15AX",LEFT(K4110,4)="CTAX",LEFT(K4110,2)="W|"),2*N4110*O4110,0)</f>
        <v/>
      </c>
      <c r="Z4110" s="12" t="inlineStr"/>
      <c r="AA4110" s="12">
        <f>N4110*O4110</f>
        <v/>
      </c>
    </row>
    <row r="4111">
      <c r="A4111" s="12" t="inlineStr">
        <is>
          <t>I-C-0015</t>
        </is>
      </c>
      <c r="B4111" s="12" t="inlineStr">
        <is>
          <t>I</t>
        </is>
      </c>
      <c r="C4111" s="12" t="inlineStr">
        <is>
          <t>Modular / portable power</t>
        </is>
      </c>
      <c r="D4111" s="12" t="inlineStr">
        <is>
          <t>Control</t>
        </is>
      </c>
      <c r="E4111" s="12" t="inlineStr">
        <is>
          <t>PAD-EH</t>
        </is>
      </c>
      <c r="F4111" s="12" t="inlineStr">
        <is>
          <t>PAD-EH 13.8 kV switchgear e-house</t>
        </is>
      </c>
      <c r="G4111" s="12" t="inlineStr">
        <is>
          <t>GSP-1</t>
        </is>
      </c>
      <c r="H4111" s="12" t="inlineStr">
        <is>
          <t>GSP-1: generator breaker / protection</t>
        </is>
      </c>
      <c r="I4111" s="12" t="inlineStr">
        <is>
          <t>Control</t>
        </is>
      </c>
      <c r="J4111" s="12" t="inlineStr">
        <is>
          <t>Control cable 600 V Type TC-ER, Cu #14 AWG, PVC jacket</t>
        </is>
      </c>
      <c r="K4111" s="12" t="inlineStr">
        <is>
          <t>CT|12/C|14</t>
        </is>
      </c>
      <c r="L4111" s="12" t="inlineStr">
        <is>
          <t>12/C</t>
        </is>
      </c>
      <c r="M4111" s="12" t="inlineStr">
        <is>
          <t>14</t>
        </is>
      </c>
      <c r="N4111" s="12" t="n">
        <v>1</v>
      </c>
      <c r="O4111" s="12" t="n">
        <v>1</v>
      </c>
      <c r="P4111" s="12" t="n"/>
      <c r="Q4111" s="12" t="n"/>
      <c r="R4111" s="12" t="n"/>
      <c r="S4111" s="12" t="inlineStr">
        <is>
          <t>Surface</t>
        </is>
      </c>
      <c r="T4111" s="16" t="n">
        <v>269</v>
      </c>
      <c r="U4111" s="16" t="n">
        <v>66</v>
      </c>
      <c r="V4111" s="16">
        <f>ROUNDUP((T4111+U4111+2*'Read Me'!$B$13)*(1+'Read Me'!$B$12),-1)</f>
        <v/>
      </c>
      <c r="W4111" s="16">
        <f>V4111*N4111*O4111</f>
        <v/>
      </c>
      <c r="X4111" s="12">
        <f>IF(LEFT(I4111,2)="MV",2*N4111*IF(L4111="1/C",O4111,1),0)</f>
        <v/>
      </c>
      <c r="Y4111" s="12">
        <f>IF(OR(LEFT(K4111,4)="LVAX",LEFT(K4111,6)="MV15AX",LEFT(K4111,4)="CTAX",LEFT(K4111,2)="W|"),2*N4111*O4111,0)</f>
        <v/>
      </c>
      <c r="Z4111" s="12" t="inlineStr"/>
      <c r="AA4111" s="12">
        <f>N4111*O4111</f>
        <v/>
      </c>
    </row>
    <row r="4112">
      <c r="A4112" s="12" t="inlineStr">
        <is>
          <t>I-C-0016</t>
        </is>
      </c>
      <c r="B4112" s="12" t="inlineStr">
        <is>
          <t>I</t>
        </is>
      </c>
      <c r="C4112" s="12" t="inlineStr">
        <is>
          <t>Modular / portable power</t>
        </is>
      </c>
      <c r="D4112" s="12" t="inlineStr">
        <is>
          <t>CT / VT</t>
        </is>
      </c>
      <c r="E4112" s="12" t="inlineStr">
        <is>
          <t>PAD-EH</t>
        </is>
      </c>
      <c r="F4112" s="12" t="inlineStr">
        <is>
          <t>PAD-EH 13.8 kV switchgear e-house</t>
        </is>
      </c>
      <c r="G4112" s="12" t="inlineStr">
        <is>
          <t>GSP-1</t>
        </is>
      </c>
      <c r="H4112" s="12" t="inlineStr">
        <is>
          <t>GSP-1: generator breaker / protection</t>
        </is>
      </c>
      <c r="I4112" s="12" t="inlineStr">
        <is>
          <t>Control</t>
        </is>
      </c>
      <c r="J4112" s="12" t="inlineStr">
        <is>
          <t>Control cable 600 V Type TC-ER, Cu #10 AWG (CT / VT circuits)</t>
        </is>
      </c>
      <c r="K4112" s="12" t="inlineStr">
        <is>
          <t>CTCT|4/C|10</t>
        </is>
      </c>
      <c r="L4112" s="12" t="inlineStr">
        <is>
          <t>4/C</t>
        </is>
      </c>
      <c r="M4112" s="12" t="inlineStr">
        <is>
          <t>10</t>
        </is>
      </c>
      <c r="N4112" s="12" t="n">
        <v>1</v>
      </c>
      <c r="O4112" s="12" t="n">
        <v>1</v>
      </c>
      <c r="P4112" s="12" t="n"/>
      <c r="Q4112" s="12" t="n"/>
      <c r="R4112" s="12" t="n"/>
      <c r="S4112" s="12" t="inlineStr">
        <is>
          <t>Surface</t>
        </is>
      </c>
      <c r="T4112" s="16" t="n">
        <v>269</v>
      </c>
      <c r="U4112" s="16" t="n">
        <v>66</v>
      </c>
      <c r="V4112" s="16">
        <f>ROUNDUP((T4112+U4112+2*'Read Me'!$B$13)*(1+'Read Me'!$B$12),-1)</f>
        <v/>
      </c>
      <c r="W4112" s="16">
        <f>V4112*N4112*O4112</f>
        <v/>
      </c>
      <c r="X4112" s="12">
        <f>IF(LEFT(I4112,2)="MV",2*N4112*IF(L4112="1/C",O4112,1),0)</f>
        <v/>
      </c>
      <c r="Y4112" s="12">
        <f>IF(OR(LEFT(K4112,4)="LVAX",LEFT(K4112,6)="MV15AX",LEFT(K4112,4)="CTAX",LEFT(K4112,2)="W|"),2*N4112*O4112,0)</f>
        <v/>
      </c>
      <c r="Z4112" s="12" t="inlineStr"/>
      <c r="AA4112" s="12">
        <f>N4112*O4112</f>
        <v/>
      </c>
    </row>
    <row r="4113">
      <c r="A4113" s="12" t="inlineStr">
        <is>
          <t>I-C-0017</t>
        </is>
      </c>
      <c r="B4113" s="12" t="inlineStr">
        <is>
          <t>I</t>
        </is>
      </c>
      <c r="C4113" s="12" t="inlineStr">
        <is>
          <t>Modular / portable power</t>
        </is>
      </c>
      <c r="D4113" s="12" t="inlineStr">
        <is>
          <t>CT / VT</t>
        </is>
      </c>
      <c r="E4113" s="12" t="inlineStr">
        <is>
          <t>PAD-EH</t>
        </is>
      </c>
      <c r="F4113" s="12" t="inlineStr">
        <is>
          <t>PAD-EH 13.8 kV switchgear e-house</t>
        </is>
      </c>
      <c r="G4113" s="12" t="inlineStr">
        <is>
          <t>GSP-1</t>
        </is>
      </c>
      <c r="H4113" s="12" t="inlineStr">
        <is>
          <t>GSP-1: generator breaker / protection</t>
        </is>
      </c>
      <c r="I4113" s="12" t="inlineStr">
        <is>
          <t>Control</t>
        </is>
      </c>
      <c r="J4113" s="12" t="inlineStr">
        <is>
          <t>Control cable 600 V Type TC-ER, Cu #10 AWG (CT / VT circuits)</t>
        </is>
      </c>
      <c r="K4113" s="12" t="inlineStr">
        <is>
          <t>CTCT|4/C|10</t>
        </is>
      </c>
      <c r="L4113" s="12" t="inlineStr">
        <is>
          <t>4/C</t>
        </is>
      </c>
      <c r="M4113" s="12" t="inlineStr">
        <is>
          <t>10</t>
        </is>
      </c>
      <c r="N4113" s="12" t="n">
        <v>1</v>
      </c>
      <c r="O4113" s="12" t="n">
        <v>1</v>
      </c>
      <c r="P4113" s="12" t="n"/>
      <c r="Q4113" s="12" t="n"/>
      <c r="R4113" s="12" t="n"/>
      <c r="S4113" s="12" t="inlineStr">
        <is>
          <t>Surface</t>
        </is>
      </c>
      <c r="T4113" s="16" t="n">
        <v>269</v>
      </c>
      <c r="U4113" s="16" t="n">
        <v>66</v>
      </c>
      <c r="V4113" s="16">
        <f>ROUNDUP((T4113+U4113+2*'Read Me'!$B$13)*(1+'Read Me'!$B$12),-1)</f>
        <v/>
      </c>
      <c r="W4113" s="16">
        <f>V4113*N4113*O4113</f>
        <v/>
      </c>
      <c r="X4113" s="12">
        <f>IF(LEFT(I4113,2)="MV",2*N4113*IF(L4113="1/C",O4113,1),0)</f>
        <v/>
      </c>
      <c r="Y4113" s="12">
        <f>IF(OR(LEFT(K4113,4)="LVAX",LEFT(K4113,6)="MV15AX",LEFT(K4113,4)="CTAX",LEFT(K4113,2)="W|"),2*N4113*O4113,0)</f>
        <v/>
      </c>
      <c r="Z4113" s="12" t="inlineStr"/>
      <c r="AA4113" s="12">
        <f>N4113*O4113</f>
        <v/>
      </c>
    </row>
    <row r="4114">
      <c r="A4114" s="12" t="inlineStr">
        <is>
          <t>I-C-0018</t>
        </is>
      </c>
      <c r="B4114" s="12" t="inlineStr">
        <is>
          <t>I</t>
        </is>
      </c>
      <c r="C4114" s="12" t="inlineStr">
        <is>
          <t>Modular / portable power</t>
        </is>
      </c>
      <c r="D4114" s="12" t="inlineStr">
        <is>
          <t>CT / VT</t>
        </is>
      </c>
      <c r="E4114" s="12" t="inlineStr">
        <is>
          <t>PAD-EH</t>
        </is>
      </c>
      <c r="F4114" s="12" t="inlineStr">
        <is>
          <t>PAD-EH 13.8 kV switchgear e-house</t>
        </is>
      </c>
      <c r="G4114" s="12" t="inlineStr">
        <is>
          <t>GSP-1</t>
        </is>
      </c>
      <c r="H4114" s="12" t="inlineStr">
        <is>
          <t>GSP-1: generator breaker / protection</t>
        </is>
      </c>
      <c r="I4114" s="12" t="inlineStr">
        <is>
          <t>Control</t>
        </is>
      </c>
      <c r="J4114" s="12" t="inlineStr">
        <is>
          <t>Control cable 600 V Type TC-ER, Cu #10 AWG (CT / VT circuits)</t>
        </is>
      </c>
      <c r="K4114" s="12" t="inlineStr">
        <is>
          <t>CTCT|4/C|10</t>
        </is>
      </c>
      <c r="L4114" s="12" t="inlineStr">
        <is>
          <t>4/C</t>
        </is>
      </c>
      <c r="M4114" s="12" t="inlineStr">
        <is>
          <t>10</t>
        </is>
      </c>
      <c r="N4114" s="12" t="n">
        <v>1</v>
      </c>
      <c r="O4114" s="12" t="n">
        <v>1</v>
      </c>
      <c r="P4114" s="12" t="n"/>
      <c r="Q4114" s="12" t="n"/>
      <c r="R4114" s="12" t="n"/>
      <c r="S4114" s="12" t="inlineStr">
        <is>
          <t>Surface</t>
        </is>
      </c>
      <c r="T4114" s="16" t="n">
        <v>269</v>
      </c>
      <c r="U4114" s="16" t="n">
        <v>66</v>
      </c>
      <c r="V4114" s="16">
        <f>ROUNDUP((T4114+U4114+2*'Read Me'!$B$13)*(1+'Read Me'!$B$12),-1)</f>
        <v/>
      </c>
      <c r="W4114" s="16">
        <f>V4114*N4114*O4114</f>
        <v/>
      </c>
      <c r="X4114" s="12">
        <f>IF(LEFT(I4114,2)="MV",2*N4114*IF(L4114="1/C",O4114,1),0)</f>
        <v/>
      </c>
      <c r="Y4114" s="12">
        <f>IF(OR(LEFT(K4114,4)="LVAX",LEFT(K4114,6)="MV15AX",LEFT(K4114,4)="CTAX",LEFT(K4114,2)="W|"),2*N4114*O4114,0)</f>
        <v/>
      </c>
      <c r="Z4114" s="12" t="inlineStr"/>
      <c r="AA4114" s="12">
        <f>N4114*O4114</f>
        <v/>
      </c>
    </row>
    <row r="4115">
      <c r="A4115" s="12" t="inlineStr">
        <is>
          <t>I-C-0019</t>
        </is>
      </c>
      <c r="B4115" s="12" t="inlineStr">
        <is>
          <t>I</t>
        </is>
      </c>
      <c r="C4115" s="12" t="inlineStr">
        <is>
          <t>Modular / portable power</t>
        </is>
      </c>
      <c r="D4115" s="12" t="inlineStr">
        <is>
          <t>CT / VT</t>
        </is>
      </c>
      <c r="E4115" s="12" t="inlineStr">
        <is>
          <t>PAD-EH</t>
        </is>
      </c>
      <c r="F4115" s="12" t="inlineStr">
        <is>
          <t>PAD-EH 13.8 kV switchgear e-house</t>
        </is>
      </c>
      <c r="G4115" s="12" t="inlineStr">
        <is>
          <t>GSP-1</t>
        </is>
      </c>
      <c r="H4115" s="12" t="inlineStr">
        <is>
          <t>GSP-1: generator breaker / protection</t>
        </is>
      </c>
      <c r="I4115" s="12" t="inlineStr">
        <is>
          <t>Control</t>
        </is>
      </c>
      <c r="J4115" s="12" t="inlineStr">
        <is>
          <t>Control cable 600 V Type TC-ER, Cu #10 AWG (CT / VT circuits)</t>
        </is>
      </c>
      <c r="K4115" s="12" t="inlineStr">
        <is>
          <t>CTCT|4/C|10</t>
        </is>
      </c>
      <c r="L4115" s="12" t="inlineStr">
        <is>
          <t>4/C</t>
        </is>
      </c>
      <c r="M4115" s="12" t="inlineStr">
        <is>
          <t>10</t>
        </is>
      </c>
      <c r="N4115" s="12" t="n">
        <v>1</v>
      </c>
      <c r="O4115" s="12" t="n">
        <v>1</v>
      </c>
      <c r="P4115" s="12" t="n"/>
      <c r="Q4115" s="12" t="n"/>
      <c r="R4115" s="12" t="n"/>
      <c r="S4115" s="12" t="inlineStr">
        <is>
          <t>Surface</t>
        </is>
      </c>
      <c r="T4115" s="16" t="n">
        <v>269</v>
      </c>
      <c r="U4115" s="16" t="n">
        <v>66</v>
      </c>
      <c r="V4115" s="16">
        <f>ROUNDUP((T4115+U4115+2*'Read Me'!$B$13)*(1+'Read Me'!$B$12),-1)</f>
        <v/>
      </c>
      <c r="W4115" s="16">
        <f>V4115*N4115*O4115</f>
        <v/>
      </c>
      <c r="X4115" s="12">
        <f>IF(LEFT(I4115,2)="MV",2*N4115*IF(L4115="1/C",O4115,1),0)</f>
        <v/>
      </c>
      <c r="Y4115" s="12">
        <f>IF(OR(LEFT(K4115,4)="LVAX",LEFT(K4115,6)="MV15AX",LEFT(K4115,4)="CTAX",LEFT(K4115,2)="W|"),2*N4115*O4115,0)</f>
        <v/>
      </c>
      <c r="Z4115" s="12" t="inlineStr"/>
      <c r="AA4115" s="12">
        <f>N4115*O4115</f>
        <v/>
      </c>
    </row>
    <row r="4116">
      <c r="A4116" s="12" t="inlineStr">
        <is>
          <t>I-C-0020</t>
        </is>
      </c>
      <c r="B4116" s="12" t="inlineStr">
        <is>
          <t>I</t>
        </is>
      </c>
      <c r="C4116" s="12" t="inlineStr">
        <is>
          <t>Modular / portable power</t>
        </is>
      </c>
      <c r="D4116" s="12" t="inlineStr">
        <is>
          <t>Control</t>
        </is>
      </c>
      <c r="E4116" s="12" t="inlineStr">
        <is>
          <t>PAD-EH</t>
        </is>
      </c>
      <c r="F4116" s="12" t="inlineStr">
        <is>
          <t>PAD-EH 13.8 kV switchgear e-house</t>
        </is>
      </c>
      <c r="G4116" s="12" t="inlineStr">
        <is>
          <t>GSP-2</t>
        </is>
      </c>
      <c r="H4116" s="12" t="inlineStr">
        <is>
          <t>GSP-2: generator breaker / protection</t>
        </is>
      </c>
      <c r="I4116" s="12" t="inlineStr">
        <is>
          <t>Control</t>
        </is>
      </c>
      <c r="J4116" s="12" t="inlineStr">
        <is>
          <t>Control cable 600 V Type TC-ER, Cu #14 AWG, PVC jacket</t>
        </is>
      </c>
      <c r="K4116" s="12" t="inlineStr">
        <is>
          <t>CT|12/C|14</t>
        </is>
      </c>
      <c r="L4116" s="12" t="inlineStr">
        <is>
          <t>12/C</t>
        </is>
      </c>
      <c r="M4116" s="12" t="inlineStr">
        <is>
          <t>14</t>
        </is>
      </c>
      <c r="N4116" s="12" t="n">
        <v>1</v>
      </c>
      <c r="O4116" s="12" t="n">
        <v>1</v>
      </c>
      <c r="P4116" s="12" t="n"/>
      <c r="Q4116" s="12" t="n"/>
      <c r="R4116" s="12" t="n"/>
      <c r="S4116" s="12" t="inlineStr">
        <is>
          <t>Surface</t>
        </is>
      </c>
      <c r="T4116" s="16" t="n">
        <v>269</v>
      </c>
      <c r="U4116" s="16" t="n">
        <v>37</v>
      </c>
      <c r="V4116" s="16">
        <f>ROUNDUP((T4116+U4116+2*'Read Me'!$B$13)*(1+'Read Me'!$B$12),-1)</f>
        <v/>
      </c>
      <c r="W4116" s="16">
        <f>V4116*N4116*O4116</f>
        <v/>
      </c>
      <c r="X4116" s="12">
        <f>IF(LEFT(I4116,2)="MV",2*N4116*IF(L4116="1/C",O4116,1),0)</f>
        <v/>
      </c>
      <c r="Y4116" s="12">
        <f>IF(OR(LEFT(K4116,4)="LVAX",LEFT(K4116,6)="MV15AX",LEFT(K4116,4)="CTAX",LEFT(K4116,2)="W|"),2*N4116*O4116,0)</f>
        <v/>
      </c>
      <c r="Z4116" s="12" t="inlineStr"/>
      <c r="AA4116" s="12">
        <f>N4116*O4116</f>
        <v/>
      </c>
    </row>
    <row r="4117">
      <c r="A4117" s="12" t="inlineStr">
        <is>
          <t>I-C-0021</t>
        </is>
      </c>
      <c r="B4117" s="12" t="inlineStr">
        <is>
          <t>I</t>
        </is>
      </c>
      <c r="C4117" s="12" t="inlineStr">
        <is>
          <t>Modular / portable power</t>
        </is>
      </c>
      <c r="D4117" s="12" t="inlineStr">
        <is>
          <t>Control</t>
        </is>
      </c>
      <c r="E4117" s="12" t="inlineStr">
        <is>
          <t>PAD-EH</t>
        </is>
      </c>
      <c r="F4117" s="12" t="inlineStr">
        <is>
          <t>PAD-EH 13.8 kV switchgear e-house</t>
        </is>
      </c>
      <c r="G4117" s="12" t="inlineStr">
        <is>
          <t>GSP-2</t>
        </is>
      </c>
      <c r="H4117" s="12" t="inlineStr">
        <is>
          <t>GSP-2: generator breaker / protection</t>
        </is>
      </c>
      <c r="I4117" s="12" t="inlineStr">
        <is>
          <t>Control</t>
        </is>
      </c>
      <c r="J4117" s="12" t="inlineStr">
        <is>
          <t>Control cable 600 V Type TC-ER, Cu #14 AWG, PVC jacket</t>
        </is>
      </c>
      <c r="K4117" s="12" t="inlineStr">
        <is>
          <t>CT|12/C|14</t>
        </is>
      </c>
      <c r="L4117" s="12" t="inlineStr">
        <is>
          <t>12/C</t>
        </is>
      </c>
      <c r="M4117" s="12" t="inlineStr">
        <is>
          <t>14</t>
        </is>
      </c>
      <c r="N4117" s="12" t="n">
        <v>1</v>
      </c>
      <c r="O4117" s="12" t="n">
        <v>1</v>
      </c>
      <c r="P4117" s="12" t="n"/>
      <c r="Q4117" s="12" t="n"/>
      <c r="R4117" s="12" t="n"/>
      <c r="S4117" s="12" t="inlineStr">
        <is>
          <t>Surface</t>
        </is>
      </c>
      <c r="T4117" s="16" t="n">
        <v>269</v>
      </c>
      <c r="U4117" s="16" t="n">
        <v>37</v>
      </c>
      <c r="V4117" s="16">
        <f>ROUNDUP((T4117+U4117+2*'Read Me'!$B$13)*(1+'Read Me'!$B$12),-1)</f>
        <v/>
      </c>
      <c r="W4117" s="16">
        <f>V4117*N4117*O4117</f>
        <v/>
      </c>
      <c r="X4117" s="12">
        <f>IF(LEFT(I4117,2)="MV",2*N4117*IF(L4117="1/C",O4117,1),0)</f>
        <v/>
      </c>
      <c r="Y4117" s="12">
        <f>IF(OR(LEFT(K4117,4)="LVAX",LEFT(K4117,6)="MV15AX",LEFT(K4117,4)="CTAX",LEFT(K4117,2)="W|"),2*N4117*O4117,0)</f>
        <v/>
      </c>
      <c r="Z4117" s="12" t="inlineStr"/>
      <c r="AA4117" s="12">
        <f>N4117*O4117</f>
        <v/>
      </c>
    </row>
    <row r="4118">
      <c r="A4118" s="12" t="inlineStr">
        <is>
          <t>I-C-0022</t>
        </is>
      </c>
      <c r="B4118" s="12" t="inlineStr">
        <is>
          <t>I</t>
        </is>
      </c>
      <c r="C4118" s="12" t="inlineStr">
        <is>
          <t>Modular / portable power</t>
        </is>
      </c>
      <c r="D4118" s="12" t="inlineStr">
        <is>
          <t>Control</t>
        </is>
      </c>
      <c r="E4118" s="12" t="inlineStr">
        <is>
          <t>PAD-EH</t>
        </is>
      </c>
      <c r="F4118" s="12" t="inlineStr">
        <is>
          <t>PAD-EH 13.8 kV switchgear e-house</t>
        </is>
      </c>
      <c r="G4118" s="12" t="inlineStr">
        <is>
          <t>GSP-2</t>
        </is>
      </c>
      <c r="H4118" s="12" t="inlineStr">
        <is>
          <t>GSP-2: generator breaker / protection</t>
        </is>
      </c>
      <c r="I4118" s="12" t="inlineStr">
        <is>
          <t>Control</t>
        </is>
      </c>
      <c r="J4118" s="12" t="inlineStr">
        <is>
          <t>Control cable 600 V Type TC-ER, Cu #14 AWG, PVC jacket</t>
        </is>
      </c>
      <c r="K4118" s="12" t="inlineStr">
        <is>
          <t>CT|12/C|14</t>
        </is>
      </c>
      <c r="L4118" s="12" t="inlineStr">
        <is>
          <t>12/C</t>
        </is>
      </c>
      <c r="M4118" s="12" t="inlineStr">
        <is>
          <t>14</t>
        </is>
      </c>
      <c r="N4118" s="12" t="n">
        <v>1</v>
      </c>
      <c r="O4118" s="12" t="n">
        <v>1</v>
      </c>
      <c r="P4118" s="12" t="n"/>
      <c r="Q4118" s="12" t="n"/>
      <c r="R4118" s="12" t="n"/>
      <c r="S4118" s="12" t="inlineStr">
        <is>
          <t>Surface</t>
        </is>
      </c>
      <c r="T4118" s="16" t="n">
        <v>269</v>
      </c>
      <c r="U4118" s="16" t="n">
        <v>37</v>
      </c>
      <c r="V4118" s="16">
        <f>ROUNDUP((T4118+U4118+2*'Read Me'!$B$13)*(1+'Read Me'!$B$12),-1)</f>
        <v/>
      </c>
      <c r="W4118" s="16">
        <f>V4118*N4118*O4118</f>
        <v/>
      </c>
      <c r="X4118" s="12">
        <f>IF(LEFT(I4118,2)="MV",2*N4118*IF(L4118="1/C",O4118,1),0)</f>
        <v/>
      </c>
      <c r="Y4118" s="12">
        <f>IF(OR(LEFT(K4118,4)="LVAX",LEFT(K4118,6)="MV15AX",LEFT(K4118,4)="CTAX",LEFT(K4118,2)="W|"),2*N4118*O4118,0)</f>
        <v/>
      </c>
      <c r="Z4118" s="12" t="inlineStr"/>
      <c r="AA4118" s="12">
        <f>N4118*O4118</f>
        <v/>
      </c>
    </row>
    <row r="4119">
      <c r="A4119" s="12" t="inlineStr">
        <is>
          <t>I-C-0023</t>
        </is>
      </c>
      <c r="B4119" s="12" t="inlineStr">
        <is>
          <t>I</t>
        </is>
      </c>
      <c r="C4119" s="12" t="inlineStr">
        <is>
          <t>Modular / portable power</t>
        </is>
      </c>
      <c r="D4119" s="12" t="inlineStr">
        <is>
          <t>CT / VT</t>
        </is>
      </c>
      <c r="E4119" s="12" t="inlineStr">
        <is>
          <t>PAD-EH</t>
        </is>
      </c>
      <c r="F4119" s="12" t="inlineStr">
        <is>
          <t>PAD-EH 13.8 kV switchgear e-house</t>
        </is>
      </c>
      <c r="G4119" s="12" t="inlineStr">
        <is>
          <t>GSP-2</t>
        </is>
      </c>
      <c r="H4119" s="12" t="inlineStr">
        <is>
          <t>GSP-2: generator breaker / protection</t>
        </is>
      </c>
      <c r="I4119" s="12" t="inlineStr">
        <is>
          <t>Control</t>
        </is>
      </c>
      <c r="J4119" s="12" t="inlineStr">
        <is>
          <t>Control cable 600 V Type TC-ER, Cu #10 AWG (CT / VT circuits)</t>
        </is>
      </c>
      <c r="K4119" s="12" t="inlineStr">
        <is>
          <t>CTCT|4/C|10</t>
        </is>
      </c>
      <c r="L4119" s="12" t="inlineStr">
        <is>
          <t>4/C</t>
        </is>
      </c>
      <c r="M4119" s="12" t="inlineStr">
        <is>
          <t>10</t>
        </is>
      </c>
      <c r="N4119" s="12" t="n">
        <v>1</v>
      </c>
      <c r="O4119" s="12" t="n">
        <v>1</v>
      </c>
      <c r="P4119" s="12" t="n"/>
      <c r="Q4119" s="12" t="n"/>
      <c r="R4119" s="12" t="n"/>
      <c r="S4119" s="12" t="inlineStr">
        <is>
          <t>Surface</t>
        </is>
      </c>
      <c r="T4119" s="16" t="n">
        <v>269</v>
      </c>
      <c r="U4119" s="16" t="n">
        <v>37</v>
      </c>
      <c r="V4119" s="16">
        <f>ROUNDUP((T4119+U4119+2*'Read Me'!$B$13)*(1+'Read Me'!$B$12),-1)</f>
        <v/>
      </c>
      <c r="W4119" s="16">
        <f>V4119*N4119*O4119</f>
        <v/>
      </c>
      <c r="X4119" s="12">
        <f>IF(LEFT(I4119,2)="MV",2*N4119*IF(L4119="1/C",O4119,1),0)</f>
        <v/>
      </c>
      <c r="Y4119" s="12">
        <f>IF(OR(LEFT(K4119,4)="LVAX",LEFT(K4119,6)="MV15AX",LEFT(K4119,4)="CTAX",LEFT(K4119,2)="W|"),2*N4119*O4119,0)</f>
        <v/>
      </c>
      <c r="Z4119" s="12" t="inlineStr"/>
      <c r="AA4119" s="12">
        <f>N4119*O4119</f>
        <v/>
      </c>
    </row>
    <row r="4120">
      <c r="A4120" s="12" t="inlineStr">
        <is>
          <t>I-C-0024</t>
        </is>
      </c>
      <c r="B4120" s="12" t="inlineStr">
        <is>
          <t>I</t>
        </is>
      </c>
      <c r="C4120" s="12" t="inlineStr">
        <is>
          <t>Modular / portable power</t>
        </is>
      </c>
      <c r="D4120" s="12" t="inlineStr">
        <is>
          <t>CT / VT</t>
        </is>
      </c>
      <c r="E4120" s="12" t="inlineStr">
        <is>
          <t>PAD-EH</t>
        </is>
      </c>
      <c r="F4120" s="12" t="inlineStr">
        <is>
          <t>PAD-EH 13.8 kV switchgear e-house</t>
        </is>
      </c>
      <c r="G4120" s="12" t="inlineStr">
        <is>
          <t>GSP-2</t>
        </is>
      </c>
      <c r="H4120" s="12" t="inlineStr">
        <is>
          <t>GSP-2: generator breaker / protection</t>
        </is>
      </c>
      <c r="I4120" s="12" t="inlineStr">
        <is>
          <t>Control</t>
        </is>
      </c>
      <c r="J4120" s="12" t="inlineStr">
        <is>
          <t>Control cable 600 V Type TC-ER, Cu #10 AWG (CT / VT circuits)</t>
        </is>
      </c>
      <c r="K4120" s="12" t="inlineStr">
        <is>
          <t>CTCT|4/C|10</t>
        </is>
      </c>
      <c r="L4120" s="12" t="inlineStr">
        <is>
          <t>4/C</t>
        </is>
      </c>
      <c r="M4120" s="12" t="inlineStr">
        <is>
          <t>10</t>
        </is>
      </c>
      <c r="N4120" s="12" t="n">
        <v>1</v>
      </c>
      <c r="O4120" s="12" t="n">
        <v>1</v>
      </c>
      <c r="P4120" s="12" t="n"/>
      <c r="Q4120" s="12" t="n"/>
      <c r="R4120" s="12" t="n"/>
      <c r="S4120" s="12" t="inlineStr">
        <is>
          <t>Surface</t>
        </is>
      </c>
      <c r="T4120" s="16" t="n">
        <v>269</v>
      </c>
      <c r="U4120" s="16" t="n">
        <v>37</v>
      </c>
      <c r="V4120" s="16">
        <f>ROUNDUP((T4120+U4120+2*'Read Me'!$B$13)*(1+'Read Me'!$B$12),-1)</f>
        <v/>
      </c>
      <c r="W4120" s="16">
        <f>V4120*N4120*O4120</f>
        <v/>
      </c>
      <c r="X4120" s="12">
        <f>IF(LEFT(I4120,2)="MV",2*N4120*IF(L4120="1/C",O4120,1),0)</f>
        <v/>
      </c>
      <c r="Y4120" s="12">
        <f>IF(OR(LEFT(K4120,4)="LVAX",LEFT(K4120,6)="MV15AX",LEFT(K4120,4)="CTAX",LEFT(K4120,2)="W|"),2*N4120*O4120,0)</f>
        <v/>
      </c>
      <c r="Z4120" s="12" t="inlineStr"/>
      <c r="AA4120" s="12">
        <f>N4120*O4120</f>
        <v/>
      </c>
    </row>
    <row r="4121">
      <c r="A4121" s="12" t="inlineStr">
        <is>
          <t>I-C-0025</t>
        </is>
      </c>
      <c r="B4121" s="12" t="inlineStr">
        <is>
          <t>I</t>
        </is>
      </c>
      <c r="C4121" s="12" t="inlineStr">
        <is>
          <t>Modular / portable power</t>
        </is>
      </c>
      <c r="D4121" s="12" t="inlineStr">
        <is>
          <t>CT / VT</t>
        </is>
      </c>
      <c r="E4121" s="12" t="inlineStr">
        <is>
          <t>PAD-EH</t>
        </is>
      </c>
      <c r="F4121" s="12" t="inlineStr">
        <is>
          <t>PAD-EH 13.8 kV switchgear e-house</t>
        </is>
      </c>
      <c r="G4121" s="12" t="inlineStr">
        <is>
          <t>GSP-2</t>
        </is>
      </c>
      <c r="H4121" s="12" t="inlineStr">
        <is>
          <t>GSP-2: generator breaker / protection</t>
        </is>
      </c>
      <c r="I4121" s="12" t="inlineStr">
        <is>
          <t>Control</t>
        </is>
      </c>
      <c r="J4121" s="12" t="inlineStr">
        <is>
          <t>Control cable 600 V Type TC-ER, Cu #10 AWG (CT / VT circuits)</t>
        </is>
      </c>
      <c r="K4121" s="12" t="inlineStr">
        <is>
          <t>CTCT|4/C|10</t>
        </is>
      </c>
      <c r="L4121" s="12" t="inlineStr">
        <is>
          <t>4/C</t>
        </is>
      </c>
      <c r="M4121" s="12" t="inlineStr">
        <is>
          <t>10</t>
        </is>
      </c>
      <c r="N4121" s="12" t="n">
        <v>1</v>
      </c>
      <c r="O4121" s="12" t="n">
        <v>1</v>
      </c>
      <c r="P4121" s="12" t="n"/>
      <c r="Q4121" s="12" t="n"/>
      <c r="R4121" s="12" t="n"/>
      <c r="S4121" s="12" t="inlineStr">
        <is>
          <t>Surface</t>
        </is>
      </c>
      <c r="T4121" s="16" t="n">
        <v>269</v>
      </c>
      <c r="U4121" s="16" t="n">
        <v>37</v>
      </c>
      <c r="V4121" s="16">
        <f>ROUNDUP((T4121+U4121+2*'Read Me'!$B$13)*(1+'Read Me'!$B$12),-1)</f>
        <v/>
      </c>
      <c r="W4121" s="16">
        <f>V4121*N4121*O4121</f>
        <v/>
      </c>
      <c r="X4121" s="12">
        <f>IF(LEFT(I4121,2)="MV",2*N4121*IF(L4121="1/C",O4121,1),0)</f>
        <v/>
      </c>
      <c r="Y4121" s="12">
        <f>IF(OR(LEFT(K4121,4)="LVAX",LEFT(K4121,6)="MV15AX",LEFT(K4121,4)="CTAX",LEFT(K4121,2)="W|"),2*N4121*O4121,0)</f>
        <v/>
      </c>
      <c r="Z4121" s="12" t="inlineStr"/>
      <c r="AA4121" s="12">
        <f>N4121*O4121</f>
        <v/>
      </c>
    </row>
    <row r="4122">
      <c r="A4122" s="12" t="inlineStr">
        <is>
          <t>I-C-0026</t>
        </is>
      </c>
      <c r="B4122" s="12" t="inlineStr">
        <is>
          <t>I</t>
        </is>
      </c>
      <c r="C4122" s="12" t="inlineStr">
        <is>
          <t>Modular / portable power</t>
        </is>
      </c>
      <c r="D4122" s="12" t="inlineStr">
        <is>
          <t>CT / VT</t>
        </is>
      </c>
      <c r="E4122" s="12" t="inlineStr">
        <is>
          <t>PAD-EH</t>
        </is>
      </c>
      <c r="F4122" s="12" t="inlineStr">
        <is>
          <t>PAD-EH 13.8 kV switchgear e-house</t>
        </is>
      </c>
      <c r="G4122" s="12" t="inlineStr">
        <is>
          <t>GSP-2</t>
        </is>
      </c>
      <c r="H4122" s="12" t="inlineStr">
        <is>
          <t>GSP-2: generator breaker / protection</t>
        </is>
      </c>
      <c r="I4122" s="12" t="inlineStr">
        <is>
          <t>Control</t>
        </is>
      </c>
      <c r="J4122" s="12" t="inlineStr">
        <is>
          <t>Control cable 600 V Type TC-ER, Cu #10 AWG (CT / VT circuits)</t>
        </is>
      </c>
      <c r="K4122" s="12" t="inlineStr">
        <is>
          <t>CTCT|4/C|10</t>
        </is>
      </c>
      <c r="L4122" s="12" t="inlineStr">
        <is>
          <t>4/C</t>
        </is>
      </c>
      <c r="M4122" s="12" t="inlineStr">
        <is>
          <t>10</t>
        </is>
      </c>
      <c r="N4122" s="12" t="n">
        <v>1</v>
      </c>
      <c r="O4122" s="12" t="n">
        <v>1</v>
      </c>
      <c r="P4122" s="12" t="n"/>
      <c r="Q4122" s="12" t="n"/>
      <c r="R4122" s="12" t="n"/>
      <c r="S4122" s="12" t="inlineStr">
        <is>
          <t>Surface</t>
        </is>
      </c>
      <c r="T4122" s="16" t="n">
        <v>269</v>
      </c>
      <c r="U4122" s="16" t="n">
        <v>37</v>
      </c>
      <c r="V4122" s="16">
        <f>ROUNDUP((T4122+U4122+2*'Read Me'!$B$13)*(1+'Read Me'!$B$12),-1)</f>
        <v/>
      </c>
      <c r="W4122" s="16">
        <f>V4122*N4122*O4122</f>
        <v/>
      </c>
      <c r="X4122" s="12">
        <f>IF(LEFT(I4122,2)="MV",2*N4122*IF(L4122="1/C",O4122,1),0)</f>
        <v/>
      </c>
      <c r="Y4122" s="12">
        <f>IF(OR(LEFT(K4122,4)="LVAX",LEFT(K4122,6)="MV15AX",LEFT(K4122,4)="CTAX",LEFT(K4122,2)="W|"),2*N4122*O4122,0)</f>
        <v/>
      </c>
      <c r="Z4122" s="12" t="inlineStr"/>
      <c r="AA4122" s="12">
        <f>N4122*O4122</f>
        <v/>
      </c>
    </row>
    <row r="4123">
      <c r="A4123" s="12" t="inlineStr">
        <is>
          <t>I-C-0027</t>
        </is>
      </c>
      <c r="B4123" s="12" t="inlineStr">
        <is>
          <t>I</t>
        </is>
      </c>
      <c r="C4123" s="12" t="inlineStr">
        <is>
          <t>Modular / portable power</t>
        </is>
      </c>
      <c r="D4123" s="12" t="inlineStr">
        <is>
          <t>Control</t>
        </is>
      </c>
      <c r="E4123" s="12" t="inlineStr"/>
      <c r="F4123" s="12" t="inlineStr">
        <is>
          <t>PCM: power control module</t>
        </is>
      </c>
      <c r="G4123" s="12" t="inlineStr"/>
      <c r="H4123" s="12" t="inlineStr">
        <is>
          <t>Gas conditioning skid</t>
        </is>
      </c>
      <c r="I4123" s="12" t="inlineStr">
        <is>
          <t>Control</t>
        </is>
      </c>
      <c r="J4123" s="12" t="inlineStr">
        <is>
          <t>ARMOR-X MC-HL 600 V control, Cu #14 AWG (Class I Div 2)</t>
        </is>
      </c>
      <c r="K4123" s="12" t="inlineStr">
        <is>
          <t>CTAX|7/C|14</t>
        </is>
      </c>
      <c r="L4123" s="12" t="inlineStr">
        <is>
          <t>7/C</t>
        </is>
      </c>
      <c r="M4123" s="12" t="inlineStr">
        <is>
          <t>14</t>
        </is>
      </c>
      <c r="N4123" s="12" t="n">
        <v>1</v>
      </c>
      <c r="O4123" s="12" t="n">
        <v>1</v>
      </c>
      <c r="P4123" s="12" t="n"/>
      <c r="Q4123" s="12" t="n"/>
      <c r="R4123" s="12" t="n"/>
      <c r="S4123" s="12" t="inlineStr">
        <is>
          <t>Tray</t>
        </is>
      </c>
      <c r="T4123" s="16" t="n">
        <v>32</v>
      </c>
      <c r="U4123" s="16" t="n">
        <v>94</v>
      </c>
      <c r="V4123" s="16">
        <f>ROUNDUP((T4123+U4123+2*'Read Me'!$B$13)*(1+'Read Me'!$B$12),-1)</f>
        <v/>
      </c>
      <c r="W4123" s="16">
        <f>V4123*N4123*O4123</f>
        <v/>
      </c>
      <c r="X4123" s="12">
        <f>IF(LEFT(I4123,2)="MV",2*N4123*IF(L4123="1/C",O4123,1),0)</f>
        <v/>
      </c>
      <c r="Y4123" s="12">
        <f>IF(OR(LEFT(K4123,4)="LVAX",LEFT(K4123,6)="MV15AX",LEFT(K4123,4)="CTAX",LEFT(K4123,2)="W|"),2*N4123*O4123,0)</f>
        <v/>
      </c>
      <c r="Z4123" s="12" t="inlineStr"/>
      <c r="AA4123" s="12">
        <f>N4123*O4123</f>
        <v/>
      </c>
    </row>
    <row r="4124">
      <c r="A4124" s="12" t="inlineStr">
        <is>
          <t>I-C-0028</t>
        </is>
      </c>
      <c r="B4124" s="12" t="inlineStr">
        <is>
          <t>I</t>
        </is>
      </c>
      <c r="C4124" s="12" t="inlineStr">
        <is>
          <t>Modular / portable power</t>
        </is>
      </c>
      <c r="D4124" s="12" t="inlineStr">
        <is>
          <t>Control</t>
        </is>
      </c>
      <c r="E4124" s="12" t="inlineStr">
        <is>
          <t>PAD-EH</t>
        </is>
      </c>
      <c r="F4124" s="12" t="inlineStr">
        <is>
          <t>PAD-EH 13.8 kV switchgear e-house</t>
        </is>
      </c>
      <c r="G4124" s="12" t="inlineStr">
        <is>
          <t>LB</t>
        </is>
      </c>
      <c r="H4124" s="12" t="inlineStr">
        <is>
          <t>LB: commissioning load bank (trailer)</t>
        </is>
      </c>
      <c r="I4124" s="12" t="inlineStr">
        <is>
          <t>Control</t>
        </is>
      </c>
      <c r="J4124" s="12" t="inlineStr">
        <is>
          <t>Control cable 600 V Type TC-ER, Cu #14 AWG, PVC jacket</t>
        </is>
      </c>
      <c r="K4124" s="12" t="inlineStr">
        <is>
          <t>CT|7/C|14</t>
        </is>
      </c>
      <c r="L4124" s="12" t="inlineStr">
        <is>
          <t>7/C</t>
        </is>
      </c>
      <c r="M4124" s="12" t="inlineStr">
        <is>
          <t>14</t>
        </is>
      </c>
      <c r="N4124" s="12" t="n">
        <v>1</v>
      </c>
      <c r="O4124" s="12" t="n">
        <v>1</v>
      </c>
      <c r="P4124" s="12" t="n"/>
      <c r="Q4124" s="12" t="n"/>
      <c r="R4124" s="12" t="n"/>
      <c r="S4124" s="12" t="inlineStr">
        <is>
          <t>Surface</t>
        </is>
      </c>
      <c r="T4124" s="16" t="n">
        <v>169</v>
      </c>
      <c r="U4124" s="16" t="n">
        <v>73</v>
      </c>
      <c r="V4124" s="16">
        <f>ROUNDUP((T4124+U4124+2*'Read Me'!$B$13)*(1+'Read Me'!$B$12),-1)</f>
        <v/>
      </c>
      <c r="W4124" s="16">
        <f>V4124*N4124*O4124</f>
        <v/>
      </c>
      <c r="X4124" s="12">
        <f>IF(LEFT(I4124,2)="MV",2*N4124*IF(L4124="1/C",O4124,1),0)</f>
        <v/>
      </c>
      <c r="Y4124" s="12">
        <f>IF(OR(LEFT(K4124,4)="LVAX",LEFT(K4124,6)="MV15AX",LEFT(K4124,4)="CTAX",LEFT(K4124,2)="W|"),2*N4124*O4124,0)</f>
        <v/>
      </c>
      <c r="Z4124" s="12" t="inlineStr"/>
      <c r="AA4124" s="12">
        <f>N4124*O4124</f>
        <v/>
      </c>
    </row>
    <row r="4125">
      <c r="A4125" s="12" t="inlineStr">
        <is>
          <t>I-C-0029</t>
        </is>
      </c>
      <c r="B4125" s="12" t="inlineStr">
        <is>
          <t>I</t>
        </is>
      </c>
      <c r="C4125" s="12" t="inlineStr">
        <is>
          <t>Modular / portable power</t>
        </is>
      </c>
      <c r="D4125" s="12" t="inlineStr">
        <is>
          <t>Control</t>
        </is>
      </c>
      <c r="E4125" s="12" t="inlineStr"/>
      <c r="F4125" s="12" t="inlineStr">
        <is>
          <t>PCM: power control module</t>
        </is>
      </c>
      <c r="G4125" s="12" t="inlineStr"/>
      <c r="H4125" s="12" t="inlineStr">
        <is>
          <t>Lube oil / starting air / oily water building</t>
        </is>
      </c>
      <c r="I4125" s="12" t="inlineStr">
        <is>
          <t>Control</t>
        </is>
      </c>
      <c r="J4125" s="12" t="inlineStr">
        <is>
          <t>Control cable 600 V Type TC-ER, Cu #14 AWG, PVC jacket</t>
        </is>
      </c>
      <c r="K4125" s="12" t="inlineStr">
        <is>
          <t>CT|7/C|14</t>
        </is>
      </c>
      <c r="L4125" s="12" t="inlineStr">
        <is>
          <t>7/C</t>
        </is>
      </c>
      <c r="M4125" s="12" t="inlineStr">
        <is>
          <t>14</t>
        </is>
      </c>
      <c r="N4125" s="12" t="n">
        <v>1</v>
      </c>
      <c r="O4125" s="12" t="n">
        <v>1</v>
      </c>
      <c r="P4125" s="12" t="n"/>
      <c r="Q4125" s="12" t="n"/>
      <c r="R4125" s="12" t="n"/>
      <c r="S4125" s="12" t="inlineStr">
        <is>
          <t>Tray</t>
        </is>
      </c>
      <c r="T4125" s="16" t="n">
        <v>32</v>
      </c>
      <c r="U4125" s="16" t="n">
        <v>164</v>
      </c>
      <c r="V4125" s="16">
        <f>ROUNDUP((T4125+U4125+2*'Read Me'!$B$13)*(1+'Read Me'!$B$12),-1)</f>
        <v/>
      </c>
      <c r="W4125" s="16">
        <f>V4125*N4125*O4125</f>
        <v/>
      </c>
      <c r="X4125" s="12">
        <f>IF(LEFT(I4125,2)="MV",2*N4125*IF(L4125="1/C",O4125,1),0)</f>
        <v/>
      </c>
      <c r="Y4125" s="12">
        <f>IF(OR(LEFT(K4125,4)="LVAX",LEFT(K4125,6)="MV15AX",LEFT(K4125,4)="CTAX",LEFT(K4125,2)="W|"),2*N4125*O4125,0)</f>
        <v/>
      </c>
      <c r="Z4125" s="12" t="inlineStr"/>
      <c r="AA4125" s="12">
        <f>N4125*O4125</f>
        <v/>
      </c>
    </row>
    <row r="4126">
      <c r="A4126" s="12" t="inlineStr">
        <is>
          <t>I-C-0030</t>
        </is>
      </c>
      <c r="B4126" s="12" t="inlineStr">
        <is>
          <t>I</t>
        </is>
      </c>
      <c r="C4126" s="12" t="inlineStr">
        <is>
          <t>Modular / portable power</t>
        </is>
      </c>
      <c r="D4126" s="12" t="inlineStr">
        <is>
          <t>Control</t>
        </is>
      </c>
      <c r="E4126" s="12" t="inlineStr"/>
      <c r="F4126" s="12" t="inlineStr">
        <is>
          <t>PCM: power control module</t>
        </is>
      </c>
      <c r="G4126" s="12" t="inlineStr">
        <is>
          <t>MOD-EH</t>
        </is>
      </c>
      <c r="H4126" s="12" t="inlineStr">
        <is>
          <t>MOD-EH: 13.8 kV modular collector e-house</t>
        </is>
      </c>
      <c r="I4126" s="12" t="inlineStr">
        <is>
          <t>Control</t>
        </is>
      </c>
      <c r="J4126" s="12" t="inlineStr">
        <is>
          <t>Control cable 600 V Type TC-ER, Cu #14 AWG, PVC jacket</t>
        </is>
      </c>
      <c r="K4126" s="12" t="inlineStr">
        <is>
          <t>CT|7/C|14</t>
        </is>
      </c>
      <c r="L4126" s="12" t="inlineStr">
        <is>
          <t>7/C</t>
        </is>
      </c>
      <c r="M4126" s="12" t="inlineStr">
        <is>
          <t>14</t>
        </is>
      </c>
      <c r="N4126" s="12" t="n">
        <v>1</v>
      </c>
      <c r="O4126" s="12" t="n">
        <v>1</v>
      </c>
      <c r="P4126" s="12" t="n"/>
      <c r="Q4126" s="12" t="n"/>
      <c r="R4126" s="12" t="n"/>
      <c r="S4126" s="12" t="inlineStr">
        <is>
          <t>Duct bank</t>
        </is>
      </c>
      <c r="T4126" s="16" t="n">
        <v>355</v>
      </c>
      <c r="U4126" s="16" t="n">
        <v>32</v>
      </c>
      <c r="V4126" s="16">
        <f>ROUNDUP((T4126+U4126+2*'Read Me'!$B$13)*(1+'Read Me'!$B$12),-1)</f>
        <v/>
      </c>
      <c r="W4126" s="16">
        <f>V4126*N4126*O4126</f>
        <v/>
      </c>
      <c r="X4126" s="12">
        <f>IF(LEFT(I4126,2)="MV",2*N4126*IF(L4126="1/C",O4126,1),0)</f>
        <v/>
      </c>
      <c r="Y4126" s="12">
        <f>IF(OR(LEFT(K4126,4)="LVAX",LEFT(K4126,6)="MV15AX",LEFT(K4126,4)="CTAX",LEFT(K4126,2)="W|"),2*N4126*O4126,0)</f>
        <v/>
      </c>
      <c r="Z4126" s="12" t="inlineStr"/>
      <c r="AA4126" s="12">
        <f>N4126*O4126</f>
        <v/>
      </c>
    </row>
    <row r="4127">
      <c r="A4127" s="12" t="inlineStr">
        <is>
          <t>I-C-0031</t>
        </is>
      </c>
      <c r="B4127" s="12" t="inlineStr">
        <is>
          <t>I</t>
        </is>
      </c>
      <c r="C4127" s="12" t="inlineStr">
        <is>
          <t>Modular / portable power</t>
        </is>
      </c>
      <c r="D4127" s="12" t="inlineStr">
        <is>
          <t>Control</t>
        </is>
      </c>
      <c r="E4127" s="12" t="inlineStr"/>
      <c r="F4127" s="12" t="inlineStr">
        <is>
          <t>PCM: power control module</t>
        </is>
      </c>
      <c r="G4127" s="12" t="inlineStr"/>
      <c r="H4127" s="12" t="inlineStr">
        <is>
          <t>MOD-LV 480 V board + 480 V : 13.8 kV step-up</t>
        </is>
      </c>
      <c r="I4127" s="12" t="inlineStr">
        <is>
          <t>Control</t>
        </is>
      </c>
      <c r="J4127" s="12" t="inlineStr">
        <is>
          <t>Control cable 600 V Type TC-ER, Cu #14 AWG, PVC jacket</t>
        </is>
      </c>
      <c r="K4127" s="12" t="inlineStr">
        <is>
          <t>CT|7/C|14</t>
        </is>
      </c>
      <c r="L4127" s="12" t="inlineStr">
        <is>
          <t>7/C</t>
        </is>
      </c>
      <c r="M4127" s="12" t="inlineStr">
        <is>
          <t>14</t>
        </is>
      </c>
      <c r="N4127" s="12" t="n">
        <v>1</v>
      </c>
      <c r="O4127" s="12" t="n">
        <v>1</v>
      </c>
      <c r="P4127" s="12" t="n"/>
      <c r="Q4127" s="12" t="n"/>
      <c r="R4127" s="12" t="n"/>
      <c r="S4127" s="12" t="inlineStr">
        <is>
          <t>Duct bank</t>
        </is>
      </c>
      <c r="T4127" s="16" t="n">
        <v>773</v>
      </c>
      <c r="U4127" s="16" t="n">
        <v>34</v>
      </c>
      <c r="V4127" s="16">
        <f>ROUNDUP((T4127+U4127+2*'Read Me'!$B$13)*(1+'Read Me'!$B$12),-1)</f>
        <v/>
      </c>
      <c r="W4127" s="16">
        <f>V4127*N4127*O4127</f>
        <v/>
      </c>
      <c r="X4127" s="12">
        <f>IF(LEFT(I4127,2)="MV",2*N4127*IF(L4127="1/C",O4127,1),0)</f>
        <v/>
      </c>
      <c r="Y4127" s="12">
        <f>IF(OR(LEFT(K4127,4)="LVAX",LEFT(K4127,6)="MV15AX",LEFT(K4127,4)="CTAX",LEFT(K4127,2)="W|"),2*N4127*O4127,0)</f>
        <v/>
      </c>
      <c r="Z4127" s="12" t="inlineStr"/>
      <c r="AA4127" s="12">
        <f>N4127*O4127</f>
        <v/>
      </c>
    </row>
    <row r="4128">
      <c r="A4128" s="12" t="inlineStr">
        <is>
          <t>I-C-0032</t>
        </is>
      </c>
      <c r="B4128" s="12" t="inlineStr">
        <is>
          <t>I</t>
        </is>
      </c>
      <c r="C4128" s="12" t="inlineStr">
        <is>
          <t>Modular / portable power</t>
        </is>
      </c>
      <c r="D4128" s="12" t="inlineStr">
        <is>
          <t>Control</t>
        </is>
      </c>
      <c r="E4128" s="12" t="inlineStr"/>
      <c r="F4128" s="12" t="inlineStr">
        <is>
          <t>PCM: power control module</t>
        </is>
      </c>
      <c r="G4128" s="12" t="inlineStr"/>
      <c r="H4128" s="12" t="inlineStr">
        <is>
          <t>PCM: power control module</t>
        </is>
      </c>
      <c r="I4128" s="12" t="inlineStr">
        <is>
          <t>Control</t>
        </is>
      </c>
      <c r="J4128" s="12" t="inlineStr">
        <is>
          <t>Control cable 600 V Type TC-ER, Cu #14 AWG, PVC jacket</t>
        </is>
      </c>
      <c r="K4128" s="12" t="inlineStr">
        <is>
          <t>CT|7/C|14</t>
        </is>
      </c>
      <c r="L4128" s="12" t="inlineStr">
        <is>
          <t>7/C</t>
        </is>
      </c>
      <c r="M4128" s="12" t="inlineStr">
        <is>
          <t>14</t>
        </is>
      </c>
      <c r="N4128" s="12" t="n">
        <v>1</v>
      </c>
      <c r="O4128" s="12" t="n">
        <v>1</v>
      </c>
      <c r="P4128" s="12" t="n"/>
      <c r="Q4128" s="12" t="n"/>
      <c r="R4128" s="12" t="n"/>
      <c r="S4128" s="12" t="inlineStr">
        <is>
          <t>Tray</t>
        </is>
      </c>
      <c r="T4128" s="16" t="n">
        <v>0</v>
      </c>
      <c r="U4128" s="16" t="n">
        <v>32</v>
      </c>
      <c r="V4128" s="16">
        <f>ROUNDUP((T4128+U4128+2*'Read Me'!$B$13)*(1+'Read Me'!$B$12),-1)</f>
        <v/>
      </c>
      <c r="W4128" s="16">
        <f>V4128*N4128*O4128</f>
        <v/>
      </c>
      <c r="X4128" s="12">
        <f>IF(LEFT(I4128,2)="MV",2*N4128*IF(L4128="1/C",O4128,1),0)</f>
        <v/>
      </c>
      <c r="Y4128" s="12">
        <f>IF(OR(LEFT(K4128,4)="LVAX",LEFT(K4128,6)="MV15AX",LEFT(K4128,4)="CTAX",LEFT(K4128,2)="W|"),2*N4128*O4128,0)</f>
        <v/>
      </c>
      <c r="Z4128" s="12" t="inlineStr"/>
      <c r="AA4128" s="12">
        <f>N4128*O4128</f>
        <v/>
      </c>
    </row>
    <row r="4129">
      <c r="A4129" s="12" t="inlineStr">
        <is>
          <t>I-C-0033</t>
        </is>
      </c>
      <c r="B4129" s="12" t="inlineStr">
        <is>
          <t>I</t>
        </is>
      </c>
      <c r="C4129" s="12" t="inlineStr">
        <is>
          <t>Modular / portable power</t>
        </is>
      </c>
      <c r="D4129" s="12" t="inlineStr">
        <is>
          <t>Motor 1 of 1: control / local station</t>
        </is>
      </c>
      <c r="E4129" s="12" t="inlineStr"/>
      <c r="F4129" s="12" t="inlineStr">
        <is>
          <t>PCM: power control module</t>
        </is>
      </c>
      <c r="G4129" s="12" t="inlineStr"/>
      <c r="H4129" s="12" t="inlineStr">
        <is>
          <t>RICE 1 SCR + oxidation catalyst and stack</t>
        </is>
      </c>
      <c r="I4129" s="12" t="inlineStr">
        <is>
          <t>Control</t>
        </is>
      </c>
      <c r="J4129" s="12" t="inlineStr">
        <is>
          <t>Control cable 600 V Type TC-ER, Cu #14 AWG, PVC jacket</t>
        </is>
      </c>
      <c r="K4129" s="12" t="inlineStr">
        <is>
          <t>CT|7/C|14</t>
        </is>
      </c>
      <c r="L4129" s="12" t="inlineStr">
        <is>
          <t>7/C</t>
        </is>
      </c>
      <c r="M4129" s="12" t="inlineStr">
        <is>
          <t>14</t>
        </is>
      </c>
      <c r="N4129" s="12" t="n">
        <v>1</v>
      </c>
      <c r="O4129" s="12" t="n">
        <v>1</v>
      </c>
      <c r="P4129" s="12" t="n"/>
      <c r="Q4129" s="12" t="n"/>
      <c r="R4129" s="12" t="n"/>
      <c r="S4129" s="12" t="inlineStr">
        <is>
          <t>Duct bank</t>
        </is>
      </c>
      <c r="T4129" s="16" t="n">
        <v>470</v>
      </c>
      <c r="U4129" s="16" t="n">
        <v>160</v>
      </c>
      <c r="V4129" s="16">
        <f>ROUNDUP((T4129+U4129+2*'Read Me'!$B$13)*(1+'Read Me'!$B$12),-1)</f>
        <v/>
      </c>
      <c r="W4129" s="16">
        <f>V4129*N4129*O4129</f>
        <v/>
      </c>
      <c r="X4129" s="12">
        <f>IF(LEFT(I4129,2)="MV",2*N4129*IF(L4129="1/C",O4129,1),0)</f>
        <v/>
      </c>
      <c r="Y4129" s="12">
        <f>IF(OR(LEFT(K4129,4)="LVAX",LEFT(K4129,6)="MV15AX",LEFT(K4129,4)="CTAX",LEFT(K4129,2)="W|"),2*N4129*O4129,0)</f>
        <v/>
      </c>
      <c r="Z4129" s="12" t="inlineStr"/>
      <c r="AA4129" s="12">
        <f>N4129*O4129</f>
        <v/>
      </c>
    </row>
    <row r="4130">
      <c r="A4130" s="12" t="inlineStr">
        <is>
          <t>I-C-0034</t>
        </is>
      </c>
      <c r="B4130" s="12" t="inlineStr">
        <is>
          <t>I</t>
        </is>
      </c>
      <c r="C4130" s="12" t="inlineStr">
        <is>
          <t>Modular / portable power</t>
        </is>
      </c>
      <c r="D4130" s="12" t="inlineStr">
        <is>
          <t>Motor 1 of 5: control / local station</t>
        </is>
      </c>
      <c r="E4130" s="12" t="inlineStr"/>
      <c r="F4130" s="12" t="inlineStr">
        <is>
          <t>PCM: power control module</t>
        </is>
      </c>
      <c r="G4130" s="12" t="inlineStr"/>
      <c r="H4130" s="12" t="inlineStr">
        <is>
          <t>RICE 1 radiators (5)</t>
        </is>
      </c>
      <c r="I4130" s="12" t="inlineStr">
        <is>
          <t>Control</t>
        </is>
      </c>
      <c r="J4130" s="12" t="inlineStr">
        <is>
          <t>Control cable 600 V Type TC-ER, Cu #14 AWG, PVC jacket</t>
        </is>
      </c>
      <c r="K4130" s="12" t="inlineStr">
        <is>
          <t>CT|7/C|14</t>
        </is>
      </c>
      <c r="L4130" s="12" t="inlineStr">
        <is>
          <t>7/C</t>
        </is>
      </c>
      <c r="M4130" s="12" t="inlineStr">
        <is>
          <t>14</t>
        </is>
      </c>
      <c r="N4130" s="12" t="n">
        <v>1</v>
      </c>
      <c r="O4130" s="12" t="n">
        <v>1</v>
      </c>
      <c r="P4130" s="12" t="n"/>
      <c r="Q4130" s="12" t="n"/>
      <c r="R4130" s="12" t="n"/>
      <c r="S4130" s="12" t="inlineStr">
        <is>
          <t>Duct bank</t>
        </is>
      </c>
      <c r="T4130" s="16" t="n">
        <v>745</v>
      </c>
      <c r="U4130" s="16" t="n">
        <v>139</v>
      </c>
      <c r="V4130" s="16">
        <f>ROUNDUP((T4130+U4130+2*'Read Me'!$B$13)*(1+'Read Me'!$B$12),-1)</f>
        <v/>
      </c>
      <c r="W4130" s="16">
        <f>V4130*N4130*O4130</f>
        <v/>
      </c>
      <c r="X4130" s="12">
        <f>IF(LEFT(I4130,2)="MV",2*N4130*IF(L4130="1/C",O4130,1),0)</f>
        <v/>
      </c>
      <c r="Y4130" s="12">
        <f>IF(OR(LEFT(K4130,4)="LVAX",LEFT(K4130,6)="MV15AX",LEFT(K4130,4)="CTAX",LEFT(K4130,2)="W|"),2*N4130*O4130,0)</f>
        <v/>
      </c>
      <c r="Z4130" s="12" t="inlineStr"/>
      <c r="AA4130" s="12">
        <f>N4130*O4130</f>
        <v/>
      </c>
    </row>
    <row r="4131">
      <c r="A4131" s="12" t="inlineStr">
        <is>
          <t>I-C-0035</t>
        </is>
      </c>
      <c r="B4131" s="12" t="inlineStr">
        <is>
          <t>I</t>
        </is>
      </c>
      <c r="C4131" s="12" t="inlineStr">
        <is>
          <t>Modular / portable power</t>
        </is>
      </c>
      <c r="D4131" s="12" t="inlineStr">
        <is>
          <t>Motor 2 of 5: control / local station</t>
        </is>
      </c>
      <c r="E4131" s="12" t="inlineStr"/>
      <c r="F4131" s="12" t="inlineStr">
        <is>
          <t>PCM: power control module</t>
        </is>
      </c>
      <c r="G4131" s="12" t="inlineStr"/>
      <c r="H4131" s="12" t="inlineStr">
        <is>
          <t>RICE 1 radiators (5)</t>
        </is>
      </c>
      <c r="I4131" s="12" t="inlineStr">
        <is>
          <t>Control</t>
        </is>
      </c>
      <c r="J4131" s="12" t="inlineStr">
        <is>
          <t>Control cable 600 V Type TC-ER, Cu #14 AWG, PVC jacket</t>
        </is>
      </c>
      <c r="K4131" s="12" t="inlineStr">
        <is>
          <t>CT|7/C|14</t>
        </is>
      </c>
      <c r="L4131" s="12" t="inlineStr">
        <is>
          <t>7/C</t>
        </is>
      </c>
      <c r="M4131" s="12" t="inlineStr">
        <is>
          <t>14</t>
        </is>
      </c>
      <c r="N4131" s="12" t="n">
        <v>1</v>
      </c>
      <c r="O4131" s="12" t="n">
        <v>1</v>
      </c>
      <c r="P4131" s="12" t="n"/>
      <c r="Q4131" s="12" t="n"/>
      <c r="R4131" s="12" t="n"/>
      <c r="S4131" s="12" t="inlineStr">
        <is>
          <t>Duct bank</t>
        </is>
      </c>
      <c r="T4131" s="16" t="n">
        <v>745</v>
      </c>
      <c r="U4131" s="16" t="n">
        <v>139</v>
      </c>
      <c r="V4131" s="16">
        <f>ROUNDUP((T4131+U4131+2*'Read Me'!$B$13)*(1+'Read Me'!$B$12),-1)</f>
        <v/>
      </c>
      <c r="W4131" s="16">
        <f>V4131*N4131*O4131</f>
        <v/>
      </c>
      <c r="X4131" s="12">
        <f>IF(LEFT(I4131,2)="MV",2*N4131*IF(L4131="1/C",O4131,1),0)</f>
        <v/>
      </c>
      <c r="Y4131" s="12">
        <f>IF(OR(LEFT(K4131,4)="LVAX",LEFT(K4131,6)="MV15AX",LEFT(K4131,4)="CTAX",LEFT(K4131,2)="W|"),2*N4131*O4131,0)</f>
        <v/>
      </c>
      <c r="Z4131" s="12" t="inlineStr"/>
      <c r="AA4131" s="12">
        <f>N4131*O4131</f>
        <v/>
      </c>
    </row>
    <row r="4132">
      <c r="A4132" s="12" t="inlineStr">
        <is>
          <t>I-C-0036</t>
        </is>
      </c>
      <c r="B4132" s="12" t="inlineStr">
        <is>
          <t>I</t>
        </is>
      </c>
      <c r="C4132" s="12" t="inlineStr">
        <is>
          <t>Modular / portable power</t>
        </is>
      </c>
      <c r="D4132" s="12" t="inlineStr">
        <is>
          <t>Motor 3 of 5: control / local station</t>
        </is>
      </c>
      <c r="E4132" s="12" t="inlineStr"/>
      <c r="F4132" s="12" t="inlineStr">
        <is>
          <t>PCM: power control module</t>
        </is>
      </c>
      <c r="G4132" s="12" t="inlineStr"/>
      <c r="H4132" s="12" t="inlineStr">
        <is>
          <t>RICE 1 radiators (5)</t>
        </is>
      </c>
      <c r="I4132" s="12" t="inlineStr">
        <is>
          <t>Control</t>
        </is>
      </c>
      <c r="J4132" s="12" t="inlineStr">
        <is>
          <t>Control cable 600 V Type TC-ER, Cu #14 AWG, PVC jacket</t>
        </is>
      </c>
      <c r="K4132" s="12" t="inlineStr">
        <is>
          <t>CT|7/C|14</t>
        </is>
      </c>
      <c r="L4132" s="12" t="inlineStr">
        <is>
          <t>7/C</t>
        </is>
      </c>
      <c r="M4132" s="12" t="inlineStr">
        <is>
          <t>14</t>
        </is>
      </c>
      <c r="N4132" s="12" t="n">
        <v>1</v>
      </c>
      <c r="O4132" s="12" t="n">
        <v>1</v>
      </c>
      <c r="P4132" s="12" t="n"/>
      <c r="Q4132" s="12" t="n"/>
      <c r="R4132" s="12" t="n"/>
      <c r="S4132" s="12" t="inlineStr">
        <is>
          <t>Duct bank</t>
        </is>
      </c>
      <c r="T4132" s="16" t="n">
        <v>745</v>
      </c>
      <c r="U4132" s="16" t="n">
        <v>139</v>
      </c>
      <c r="V4132" s="16">
        <f>ROUNDUP((T4132+U4132+2*'Read Me'!$B$13)*(1+'Read Me'!$B$12),-1)</f>
        <v/>
      </c>
      <c r="W4132" s="16">
        <f>V4132*N4132*O4132</f>
        <v/>
      </c>
      <c r="X4132" s="12">
        <f>IF(LEFT(I4132,2)="MV",2*N4132*IF(L4132="1/C",O4132,1),0)</f>
        <v/>
      </c>
      <c r="Y4132" s="12">
        <f>IF(OR(LEFT(K4132,4)="LVAX",LEFT(K4132,6)="MV15AX",LEFT(K4132,4)="CTAX",LEFT(K4132,2)="W|"),2*N4132*O4132,0)</f>
        <v/>
      </c>
      <c r="Z4132" s="12" t="inlineStr"/>
      <c r="AA4132" s="12">
        <f>N4132*O4132</f>
        <v/>
      </c>
    </row>
    <row r="4133">
      <c r="A4133" s="12" t="inlineStr">
        <is>
          <t>I-C-0037</t>
        </is>
      </c>
      <c r="B4133" s="12" t="inlineStr">
        <is>
          <t>I</t>
        </is>
      </c>
      <c r="C4133" s="12" t="inlineStr">
        <is>
          <t>Modular / portable power</t>
        </is>
      </c>
      <c r="D4133" s="12" t="inlineStr">
        <is>
          <t>Motor 4 of 5: control / local station</t>
        </is>
      </c>
      <c r="E4133" s="12" t="inlineStr"/>
      <c r="F4133" s="12" t="inlineStr">
        <is>
          <t>PCM: power control module</t>
        </is>
      </c>
      <c r="G4133" s="12" t="inlineStr"/>
      <c r="H4133" s="12" t="inlineStr">
        <is>
          <t>RICE 1 radiators (5)</t>
        </is>
      </c>
      <c r="I4133" s="12" t="inlineStr">
        <is>
          <t>Control</t>
        </is>
      </c>
      <c r="J4133" s="12" t="inlineStr">
        <is>
          <t>Control cable 600 V Type TC-ER, Cu #14 AWG, PVC jacket</t>
        </is>
      </c>
      <c r="K4133" s="12" t="inlineStr">
        <is>
          <t>CT|7/C|14</t>
        </is>
      </c>
      <c r="L4133" s="12" t="inlineStr">
        <is>
          <t>7/C</t>
        </is>
      </c>
      <c r="M4133" s="12" t="inlineStr">
        <is>
          <t>14</t>
        </is>
      </c>
      <c r="N4133" s="12" t="n">
        <v>1</v>
      </c>
      <c r="O4133" s="12" t="n">
        <v>1</v>
      </c>
      <c r="P4133" s="12" t="n"/>
      <c r="Q4133" s="12" t="n"/>
      <c r="R4133" s="12" t="n"/>
      <c r="S4133" s="12" t="inlineStr">
        <is>
          <t>Duct bank</t>
        </is>
      </c>
      <c r="T4133" s="16" t="n">
        <v>745</v>
      </c>
      <c r="U4133" s="16" t="n">
        <v>139</v>
      </c>
      <c r="V4133" s="16">
        <f>ROUNDUP((T4133+U4133+2*'Read Me'!$B$13)*(1+'Read Me'!$B$12),-1)</f>
        <v/>
      </c>
      <c r="W4133" s="16">
        <f>V4133*N4133*O4133</f>
        <v/>
      </c>
      <c r="X4133" s="12">
        <f>IF(LEFT(I4133,2)="MV",2*N4133*IF(L4133="1/C",O4133,1),0)</f>
        <v/>
      </c>
      <c r="Y4133" s="12">
        <f>IF(OR(LEFT(K4133,4)="LVAX",LEFT(K4133,6)="MV15AX",LEFT(K4133,4)="CTAX",LEFT(K4133,2)="W|"),2*N4133*O4133,0)</f>
        <v/>
      </c>
      <c r="Z4133" s="12" t="inlineStr"/>
      <c r="AA4133" s="12">
        <f>N4133*O4133</f>
        <v/>
      </c>
    </row>
    <row r="4134">
      <c r="A4134" s="12" t="inlineStr">
        <is>
          <t>I-C-0038</t>
        </is>
      </c>
      <c r="B4134" s="12" t="inlineStr">
        <is>
          <t>I</t>
        </is>
      </c>
      <c r="C4134" s="12" t="inlineStr">
        <is>
          <t>Modular / portable power</t>
        </is>
      </c>
      <c r="D4134" s="12" t="inlineStr">
        <is>
          <t>Motor 5 of 5: control / local station</t>
        </is>
      </c>
      <c r="E4134" s="12" t="inlineStr"/>
      <c r="F4134" s="12" t="inlineStr">
        <is>
          <t>PCM: power control module</t>
        </is>
      </c>
      <c r="G4134" s="12" t="inlineStr"/>
      <c r="H4134" s="12" t="inlineStr">
        <is>
          <t>RICE 1 radiators (5)</t>
        </is>
      </c>
      <c r="I4134" s="12" t="inlineStr">
        <is>
          <t>Control</t>
        </is>
      </c>
      <c r="J4134" s="12" t="inlineStr">
        <is>
          <t>Control cable 600 V Type TC-ER, Cu #14 AWG, PVC jacket</t>
        </is>
      </c>
      <c r="K4134" s="12" t="inlineStr">
        <is>
          <t>CT|7/C|14</t>
        </is>
      </c>
      <c r="L4134" s="12" t="inlineStr">
        <is>
          <t>7/C</t>
        </is>
      </c>
      <c r="M4134" s="12" t="inlineStr">
        <is>
          <t>14</t>
        </is>
      </c>
      <c r="N4134" s="12" t="n">
        <v>1</v>
      </c>
      <c r="O4134" s="12" t="n">
        <v>1</v>
      </c>
      <c r="P4134" s="12" t="n"/>
      <c r="Q4134" s="12" t="n"/>
      <c r="R4134" s="12" t="n"/>
      <c r="S4134" s="12" t="inlineStr">
        <is>
          <t>Duct bank</t>
        </is>
      </c>
      <c r="T4134" s="16" t="n">
        <v>745</v>
      </c>
      <c r="U4134" s="16" t="n">
        <v>139</v>
      </c>
      <c r="V4134" s="16">
        <f>ROUNDUP((T4134+U4134+2*'Read Me'!$B$13)*(1+'Read Me'!$B$12),-1)</f>
        <v/>
      </c>
      <c r="W4134" s="16">
        <f>V4134*N4134*O4134</f>
        <v/>
      </c>
      <c r="X4134" s="12">
        <f>IF(LEFT(I4134,2)="MV",2*N4134*IF(L4134="1/C",O4134,1),0)</f>
        <v/>
      </c>
      <c r="Y4134" s="12">
        <f>IF(OR(LEFT(K4134,4)="LVAX",LEFT(K4134,6)="MV15AX",LEFT(K4134,4)="CTAX",LEFT(K4134,2)="W|"),2*N4134*O4134,0)</f>
        <v/>
      </c>
      <c r="Z4134" s="12" t="inlineStr"/>
      <c r="AA4134" s="12">
        <f>N4134*O4134</f>
        <v/>
      </c>
    </row>
    <row r="4135">
      <c r="A4135" s="12" t="inlineStr">
        <is>
          <t>I-C-0039</t>
        </is>
      </c>
      <c r="B4135" s="12" t="inlineStr">
        <is>
          <t>I</t>
        </is>
      </c>
      <c r="C4135" s="12" t="inlineStr">
        <is>
          <t>Modular / portable power</t>
        </is>
      </c>
      <c r="D4135" s="12" t="inlineStr">
        <is>
          <t>Motor 1 of 1: control / local station</t>
        </is>
      </c>
      <c r="E4135" s="12" t="inlineStr"/>
      <c r="F4135" s="12" t="inlineStr">
        <is>
          <t>PCM: power control module</t>
        </is>
      </c>
      <c r="G4135" s="12" t="inlineStr"/>
      <c r="H4135" s="12" t="inlineStr">
        <is>
          <t>RICE 2 SCR + oxidation catalyst and stack</t>
        </is>
      </c>
      <c r="I4135" s="12" t="inlineStr">
        <is>
          <t>Control</t>
        </is>
      </c>
      <c r="J4135" s="12" t="inlineStr">
        <is>
          <t>Control cable 600 V Type TC-ER, Cu #14 AWG, PVC jacket</t>
        </is>
      </c>
      <c r="K4135" s="12" t="inlineStr">
        <is>
          <t>CT|7/C|14</t>
        </is>
      </c>
      <c r="L4135" s="12" t="inlineStr">
        <is>
          <t>7/C</t>
        </is>
      </c>
      <c r="M4135" s="12" t="inlineStr">
        <is>
          <t>14</t>
        </is>
      </c>
      <c r="N4135" s="12" t="n">
        <v>1</v>
      </c>
      <c r="O4135" s="12" t="n">
        <v>1</v>
      </c>
      <c r="P4135" s="12" t="n"/>
      <c r="Q4135" s="12" t="n"/>
      <c r="R4135" s="12" t="n"/>
      <c r="S4135" s="12" t="inlineStr">
        <is>
          <t>Duct bank</t>
        </is>
      </c>
      <c r="T4135" s="16" t="n">
        <v>470</v>
      </c>
      <c r="U4135" s="16" t="n">
        <v>132</v>
      </c>
      <c r="V4135" s="16">
        <f>ROUNDUP((T4135+U4135+2*'Read Me'!$B$13)*(1+'Read Me'!$B$12),-1)</f>
        <v/>
      </c>
      <c r="W4135" s="16">
        <f>V4135*N4135*O4135</f>
        <v/>
      </c>
      <c r="X4135" s="12">
        <f>IF(LEFT(I4135,2)="MV",2*N4135*IF(L4135="1/C",O4135,1),0)</f>
        <v/>
      </c>
      <c r="Y4135" s="12">
        <f>IF(OR(LEFT(K4135,4)="LVAX",LEFT(K4135,6)="MV15AX",LEFT(K4135,4)="CTAX",LEFT(K4135,2)="W|"),2*N4135*O4135,0)</f>
        <v/>
      </c>
      <c r="Z4135" s="12" t="inlineStr"/>
      <c r="AA4135" s="12">
        <f>N4135*O4135</f>
        <v/>
      </c>
    </row>
    <row r="4136">
      <c r="A4136" s="12" t="inlineStr">
        <is>
          <t>I-C-0040</t>
        </is>
      </c>
      <c r="B4136" s="12" t="inlineStr">
        <is>
          <t>I</t>
        </is>
      </c>
      <c r="C4136" s="12" t="inlineStr">
        <is>
          <t>Modular / portable power</t>
        </is>
      </c>
      <c r="D4136" s="12" t="inlineStr">
        <is>
          <t>Motor 1 of 5: control / local station</t>
        </is>
      </c>
      <c r="E4136" s="12" t="inlineStr"/>
      <c r="F4136" s="12" t="inlineStr">
        <is>
          <t>PCM: power control module</t>
        </is>
      </c>
      <c r="G4136" s="12" t="inlineStr"/>
      <c r="H4136" s="12" t="inlineStr">
        <is>
          <t>RICE 2 radiators (5)</t>
        </is>
      </c>
      <c r="I4136" s="12" t="inlineStr">
        <is>
          <t>Control</t>
        </is>
      </c>
      <c r="J4136" s="12" t="inlineStr">
        <is>
          <t>Control cable 600 V Type TC-ER, Cu #14 AWG, PVC jacket</t>
        </is>
      </c>
      <c r="K4136" s="12" t="inlineStr">
        <is>
          <t>CT|7/C|14</t>
        </is>
      </c>
      <c r="L4136" s="12" t="inlineStr">
        <is>
          <t>7/C</t>
        </is>
      </c>
      <c r="M4136" s="12" t="inlineStr">
        <is>
          <t>14</t>
        </is>
      </c>
      <c r="N4136" s="12" t="n">
        <v>1</v>
      </c>
      <c r="O4136" s="12" t="n">
        <v>1</v>
      </c>
      <c r="P4136" s="12" t="n"/>
      <c r="Q4136" s="12" t="n"/>
      <c r="R4136" s="12" t="n"/>
      <c r="S4136" s="12" t="inlineStr">
        <is>
          <t>Duct bank</t>
        </is>
      </c>
      <c r="T4136" s="16" t="n">
        <v>550</v>
      </c>
      <c r="U4136" s="16" t="n">
        <v>192</v>
      </c>
      <c r="V4136" s="16">
        <f>ROUNDUP((T4136+U4136+2*'Read Me'!$B$13)*(1+'Read Me'!$B$12),-1)</f>
        <v/>
      </c>
      <c r="W4136" s="16">
        <f>V4136*N4136*O4136</f>
        <v/>
      </c>
      <c r="X4136" s="12">
        <f>IF(LEFT(I4136,2)="MV",2*N4136*IF(L4136="1/C",O4136,1),0)</f>
        <v/>
      </c>
      <c r="Y4136" s="12">
        <f>IF(OR(LEFT(K4136,4)="LVAX",LEFT(K4136,6)="MV15AX",LEFT(K4136,4)="CTAX",LEFT(K4136,2)="W|"),2*N4136*O4136,0)</f>
        <v/>
      </c>
      <c r="Z4136" s="12" t="inlineStr"/>
      <c r="AA4136" s="12">
        <f>N4136*O4136</f>
        <v/>
      </c>
    </row>
    <row r="4137">
      <c r="A4137" s="12" t="inlineStr">
        <is>
          <t>I-C-0041</t>
        </is>
      </c>
      <c r="B4137" s="12" t="inlineStr">
        <is>
          <t>I</t>
        </is>
      </c>
      <c r="C4137" s="12" t="inlineStr">
        <is>
          <t>Modular / portable power</t>
        </is>
      </c>
      <c r="D4137" s="12" t="inlineStr">
        <is>
          <t>Motor 2 of 5: control / local station</t>
        </is>
      </c>
      <c r="E4137" s="12" t="inlineStr"/>
      <c r="F4137" s="12" t="inlineStr">
        <is>
          <t>PCM: power control module</t>
        </is>
      </c>
      <c r="G4137" s="12" t="inlineStr"/>
      <c r="H4137" s="12" t="inlineStr">
        <is>
          <t>RICE 2 radiators (5)</t>
        </is>
      </c>
      <c r="I4137" s="12" t="inlineStr">
        <is>
          <t>Control</t>
        </is>
      </c>
      <c r="J4137" s="12" t="inlineStr">
        <is>
          <t>Control cable 600 V Type TC-ER, Cu #14 AWG, PVC jacket</t>
        </is>
      </c>
      <c r="K4137" s="12" t="inlineStr">
        <is>
          <t>CT|7/C|14</t>
        </is>
      </c>
      <c r="L4137" s="12" t="inlineStr">
        <is>
          <t>7/C</t>
        </is>
      </c>
      <c r="M4137" s="12" t="inlineStr">
        <is>
          <t>14</t>
        </is>
      </c>
      <c r="N4137" s="12" t="n">
        <v>1</v>
      </c>
      <c r="O4137" s="12" t="n">
        <v>1</v>
      </c>
      <c r="P4137" s="12" t="n"/>
      <c r="Q4137" s="12" t="n"/>
      <c r="R4137" s="12" t="n"/>
      <c r="S4137" s="12" t="inlineStr">
        <is>
          <t>Duct bank</t>
        </is>
      </c>
      <c r="T4137" s="16" t="n">
        <v>550</v>
      </c>
      <c r="U4137" s="16" t="n">
        <v>192</v>
      </c>
      <c r="V4137" s="16">
        <f>ROUNDUP((T4137+U4137+2*'Read Me'!$B$13)*(1+'Read Me'!$B$12),-1)</f>
        <v/>
      </c>
      <c r="W4137" s="16">
        <f>V4137*N4137*O4137</f>
        <v/>
      </c>
      <c r="X4137" s="12">
        <f>IF(LEFT(I4137,2)="MV",2*N4137*IF(L4137="1/C",O4137,1),0)</f>
        <v/>
      </c>
      <c r="Y4137" s="12">
        <f>IF(OR(LEFT(K4137,4)="LVAX",LEFT(K4137,6)="MV15AX",LEFT(K4137,4)="CTAX",LEFT(K4137,2)="W|"),2*N4137*O4137,0)</f>
        <v/>
      </c>
      <c r="Z4137" s="12" t="inlineStr"/>
      <c r="AA4137" s="12">
        <f>N4137*O4137</f>
        <v/>
      </c>
    </row>
    <row r="4138">
      <c r="A4138" s="12" t="inlineStr">
        <is>
          <t>I-C-0042</t>
        </is>
      </c>
      <c r="B4138" s="12" t="inlineStr">
        <is>
          <t>I</t>
        </is>
      </c>
      <c r="C4138" s="12" t="inlineStr">
        <is>
          <t>Modular / portable power</t>
        </is>
      </c>
      <c r="D4138" s="12" t="inlineStr">
        <is>
          <t>Motor 3 of 5: control / local station</t>
        </is>
      </c>
      <c r="E4138" s="12" t="inlineStr"/>
      <c r="F4138" s="12" t="inlineStr">
        <is>
          <t>PCM: power control module</t>
        </is>
      </c>
      <c r="G4138" s="12" t="inlineStr"/>
      <c r="H4138" s="12" t="inlineStr">
        <is>
          <t>RICE 2 radiators (5)</t>
        </is>
      </c>
      <c r="I4138" s="12" t="inlineStr">
        <is>
          <t>Control</t>
        </is>
      </c>
      <c r="J4138" s="12" t="inlineStr">
        <is>
          <t>Control cable 600 V Type TC-ER, Cu #14 AWG, PVC jacket</t>
        </is>
      </c>
      <c r="K4138" s="12" t="inlineStr">
        <is>
          <t>CT|7/C|14</t>
        </is>
      </c>
      <c r="L4138" s="12" t="inlineStr">
        <is>
          <t>7/C</t>
        </is>
      </c>
      <c r="M4138" s="12" t="inlineStr">
        <is>
          <t>14</t>
        </is>
      </c>
      <c r="N4138" s="12" t="n">
        <v>1</v>
      </c>
      <c r="O4138" s="12" t="n">
        <v>1</v>
      </c>
      <c r="P4138" s="12" t="n"/>
      <c r="Q4138" s="12" t="n"/>
      <c r="R4138" s="12" t="n"/>
      <c r="S4138" s="12" t="inlineStr">
        <is>
          <t>Duct bank</t>
        </is>
      </c>
      <c r="T4138" s="16" t="n">
        <v>550</v>
      </c>
      <c r="U4138" s="16" t="n">
        <v>192</v>
      </c>
      <c r="V4138" s="16">
        <f>ROUNDUP((T4138+U4138+2*'Read Me'!$B$13)*(1+'Read Me'!$B$12),-1)</f>
        <v/>
      </c>
      <c r="W4138" s="16">
        <f>V4138*N4138*O4138</f>
        <v/>
      </c>
      <c r="X4138" s="12">
        <f>IF(LEFT(I4138,2)="MV",2*N4138*IF(L4138="1/C",O4138,1),0)</f>
        <v/>
      </c>
      <c r="Y4138" s="12">
        <f>IF(OR(LEFT(K4138,4)="LVAX",LEFT(K4138,6)="MV15AX",LEFT(K4138,4)="CTAX",LEFT(K4138,2)="W|"),2*N4138*O4138,0)</f>
        <v/>
      </c>
      <c r="Z4138" s="12" t="inlineStr"/>
      <c r="AA4138" s="12">
        <f>N4138*O4138</f>
        <v/>
      </c>
    </row>
    <row r="4139">
      <c r="A4139" s="12" t="inlineStr">
        <is>
          <t>I-C-0043</t>
        </is>
      </c>
      <c r="B4139" s="12" t="inlineStr">
        <is>
          <t>I</t>
        </is>
      </c>
      <c r="C4139" s="12" t="inlineStr">
        <is>
          <t>Modular / portable power</t>
        </is>
      </c>
      <c r="D4139" s="12" t="inlineStr">
        <is>
          <t>Motor 4 of 5: control / local station</t>
        </is>
      </c>
      <c r="E4139" s="12" t="inlineStr"/>
      <c r="F4139" s="12" t="inlineStr">
        <is>
          <t>PCM: power control module</t>
        </is>
      </c>
      <c r="G4139" s="12" t="inlineStr"/>
      <c r="H4139" s="12" t="inlineStr">
        <is>
          <t>RICE 2 radiators (5)</t>
        </is>
      </c>
      <c r="I4139" s="12" t="inlineStr">
        <is>
          <t>Control</t>
        </is>
      </c>
      <c r="J4139" s="12" t="inlineStr">
        <is>
          <t>Control cable 600 V Type TC-ER, Cu #14 AWG, PVC jacket</t>
        </is>
      </c>
      <c r="K4139" s="12" t="inlineStr">
        <is>
          <t>CT|7/C|14</t>
        </is>
      </c>
      <c r="L4139" s="12" t="inlineStr">
        <is>
          <t>7/C</t>
        </is>
      </c>
      <c r="M4139" s="12" t="inlineStr">
        <is>
          <t>14</t>
        </is>
      </c>
      <c r="N4139" s="12" t="n">
        <v>1</v>
      </c>
      <c r="O4139" s="12" t="n">
        <v>1</v>
      </c>
      <c r="P4139" s="12" t="n"/>
      <c r="Q4139" s="12" t="n"/>
      <c r="R4139" s="12" t="n"/>
      <c r="S4139" s="12" t="inlineStr">
        <is>
          <t>Duct bank</t>
        </is>
      </c>
      <c r="T4139" s="16" t="n">
        <v>550</v>
      </c>
      <c r="U4139" s="16" t="n">
        <v>192</v>
      </c>
      <c r="V4139" s="16">
        <f>ROUNDUP((T4139+U4139+2*'Read Me'!$B$13)*(1+'Read Me'!$B$12),-1)</f>
        <v/>
      </c>
      <c r="W4139" s="16">
        <f>V4139*N4139*O4139</f>
        <v/>
      </c>
      <c r="X4139" s="12">
        <f>IF(LEFT(I4139,2)="MV",2*N4139*IF(L4139="1/C",O4139,1),0)</f>
        <v/>
      </c>
      <c r="Y4139" s="12">
        <f>IF(OR(LEFT(K4139,4)="LVAX",LEFT(K4139,6)="MV15AX",LEFT(K4139,4)="CTAX",LEFT(K4139,2)="W|"),2*N4139*O4139,0)</f>
        <v/>
      </c>
      <c r="Z4139" s="12" t="inlineStr"/>
      <c r="AA4139" s="12">
        <f>N4139*O4139</f>
        <v/>
      </c>
    </row>
    <row r="4140">
      <c r="A4140" s="12" t="inlineStr">
        <is>
          <t>I-C-0044</t>
        </is>
      </c>
      <c r="B4140" s="12" t="inlineStr">
        <is>
          <t>I</t>
        </is>
      </c>
      <c r="C4140" s="12" t="inlineStr">
        <is>
          <t>Modular / portable power</t>
        </is>
      </c>
      <c r="D4140" s="12" t="inlineStr">
        <is>
          <t>Motor 5 of 5: control / local station</t>
        </is>
      </c>
      <c r="E4140" s="12" t="inlineStr"/>
      <c r="F4140" s="12" t="inlineStr">
        <is>
          <t>PCM: power control module</t>
        </is>
      </c>
      <c r="G4140" s="12" t="inlineStr"/>
      <c r="H4140" s="12" t="inlineStr">
        <is>
          <t>RICE 2 radiators (5)</t>
        </is>
      </c>
      <c r="I4140" s="12" t="inlineStr">
        <is>
          <t>Control</t>
        </is>
      </c>
      <c r="J4140" s="12" t="inlineStr">
        <is>
          <t>Control cable 600 V Type TC-ER, Cu #14 AWG, PVC jacket</t>
        </is>
      </c>
      <c r="K4140" s="12" t="inlineStr">
        <is>
          <t>CT|7/C|14</t>
        </is>
      </c>
      <c r="L4140" s="12" t="inlineStr">
        <is>
          <t>7/C</t>
        </is>
      </c>
      <c r="M4140" s="12" t="inlineStr">
        <is>
          <t>14</t>
        </is>
      </c>
      <c r="N4140" s="12" t="n">
        <v>1</v>
      </c>
      <c r="O4140" s="12" t="n">
        <v>1</v>
      </c>
      <c r="P4140" s="12" t="n"/>
      <c r="Q4140" s="12" t="n"/>
      <c r="R4140" s="12" t="n"/>
      <c r="S4140" s="12" t="inlineStr">
        <is>
          <t>Duct bank</t>
        </is>
      </c>
      <c r="T4140" s="16" t="n">
        <v>550</v>
      </c>
      <c r="U4140" s="16" t="n">
        <v>192</v>
      </c>
      <c r="V4140" s="16">
        <f>ROUNDUP((T4140+U4140+2*'Read Me'!$B$13)*(1+'Read Me'!$B$12),-1)</f>
        <v/>
      </c>
      <c r="W4140" s="16">
        <f>V4140*N4140*O4140</f>
        <v/>
      </c>
      <c r="X4140" s="12">
        <f>IF(LEFT(I4140,2)="MV",2*N4140*IF(L4140="1/C",O4140,1),0)</f>
        <v/>
      </c>
      <c r="Y4140" s="12">
        <f>IF(OR(LEFT(K4140,4)="LVAX",LEFT(K4140,6)="MV15AX",LEFT(K4140,4)="CTAX",LEFT(K4140,2)="W|"),2*N4140*O4140,0)</f>
        <v/>
      </c>
      <c r="Z4140" s="12" t="inlineStr"/>
      <c r="AA4140" s="12">
        <f>N4140*O4140</f>
        <v/>
      </c>
    </row>
    <row r="4141">
      <c r="A4141" s="12" t="inlineStr">
        <is>
          <t>I-C-0045</t>
        </is>
      </c>
      <c r="B4141" s="12" t="inlineStr">
        <is>
          <t>I</t>
        </is>
      </c>
      <c r="C4141" s="12" t="inlineStr">
        <is>
          <t>Modular / portable power</t>
        </is>
      </c>
      <c r="D4141" s="12" t="inlineStr">
        <is>
          <t>Motor 1 of 1: control / local station</t>
        </is>
      </c>
      <c r="E4141" s="12" t="inlineStr"/>
      <c r="F4141" s="12" t="inlineStr">
        <is>
          <t>PCM: power control module</t>
        </is>
      </c>
      <c r="G4141" s="12" t="inlineStr"/>
      <c r="H4141" s="12" t="inlineStr">
        <is>
          <t>RICE 3 SCR + oxidation catalyst and stack</t>
        </is>
      </c>
      <c r="I4141" s="12" t="inlineStr">
        <is>
          <t>Control</t>
        </is>
      </c>
      <c r="J4141" s="12" t="inlineStr">
        <is>
          <t>Control cable 600 V Type TC-ER, Cu #14 AWG, PVC jacket</t>
        </is>
      </c>
      <c r="K4141" s="12" t="inlineStr">
        <is>
          <t>CT|7/C|14</t>
        </is>
      </c>
      <c r="L4141" s="12" t="inlineStr">
        <is>
          <t>7/C</t>
        </is>
      </c>
      <c r="M4141" s="12" t="inlineStr">
        <is>
          <t>14</t>
        </is>
      </c>
      <c r="N4141" s="12" t="n">
        <v>1</v>
      </c>
      <c r="O4141" s="12" t="n">
        <v>1</v>
      </c>
      <c r="P4141" s="12" t="n"/>
      <c r="Q4141" s="12" t="n"/>
      <c r="R4141" s="12" t="n"/>
      <c r="S4141" s="12" t="inlineStr">
        <is>
          <t>Duct bank</t>
        </is>
      </c>
      <c r="T4141" s="16" t="n">
        <v>470</v>
      </c>
      <c r="U4141" s="16" t="n">
        <v>104</v>
      </c>
      <c r="V4141" s="16">
        <f>ROUNDUP((T4141+U4141+2*'Read Me'!$B$13)*(1+'Read Me'!$B$12),-1)</f>
        <v/>
      </c>
      <c r="W4141" s="16">
        <f>V4141*N4141*O4141</f>
        <v/>
      </c>
      <c r="X4141" s="12">
        <f>IF(LEFT(I4141,2)="MV",2*N4141*IF(L4141="1/C",O4141,1),0)</f>
        <v/>
      </c>
      <c r="Y4141" s="12">
        <f>IF(OR(LEFT(K4141,4)="LVAX",LEFT(K4141,6)="MV15AX",LEFT(K4141,4)="CTAX",LEFT(K4141,2)="W|"),2*N4141*O4141,0)</f>
        <v/>
      </c>
      <c r="Z4141" s="12" t="inlineStr"/>
      <c r="AA4141" s="12">
        <f>N4141*O4141</f>
        <v/>
      </c>
    </row>
    <row r="4142">
      <c r="A4142" s="12" t="inlineStr">
        <is>
          <t>I-C-0046</t>
        </is>
      </c>
      <c r="B4142" s="12" t="inlineStr">
        <is>
          <t>I</t>
        </is>
      </c>
      <c r="C4142" s="12" t="inlineStr">
        <is>
          <t>Modular / portable power</t>
        </is>
      </c>
      <c r="D4142" s="12" t="inlineStr">
        <is>
          <t>Motor 1 of 5: control / local station</t>
        </is>
      </c>
      <c r="E4142" s="12" t="inlineStr"/>
      <c r="F4142" s="12" t="inlineStr">
        <is>
          <t>PCM: power control module</t>
        </is>
      </c>
      <c r="G4142" s="12" t="inlineStr"/>
      <c r="H4142" s="12" t="inlineStr">
        <is>
          <t>RICE 3 radiators (5)</t>
        </is>
      </c>
      <c r="I4142" s="12" t="inlineStr">
        <is>
          <t>Control</t>
        </is>
      </c>
      <c r="J4142" s="12" t="inlineStr">
        <is>
          <t>Control cable 600 V Type TC-ER, Cu #14 AWG, PVC jacket</t>
        </is>
      </c>
      <c r="K4142" s="12" t="inlineStr">
        <is>
          <t>CT|7/C|14</t>
        </is>
      </c>
      <c r="L4142" s="12" t="inlineStr">
        <is>
          <t>7/C</t>
        </is>
      </c>
      <c r="M4142" s="12" t="inlineStr">
        <is>
          <t>14</t>
        </is>
      </c>
      <c r="N4142" s="12" t="n">
        <v>1</v>
      </c>
      <c r="O4142" s="12" t="n">
        <v>1</v>
      </c>
      <c r="P4142" s="12" t="n"/>
      <c r="Q4142" s="12" t="n"/>
      <c r="R4142" s="12" t="n"/>
      <c r="S4142" s="12" t="inlineStr">
        <is>
          <t>Tray</t>
        </is>
      </c>
      <c r="T4142" s="16" t="n">
        <v>32</v>
      </c>
      <c r="U4142" s="16" t="n">
        <v>232</v>
      </c>
      <c r="V4142" s="16">
        <f>ROUNDUP((T4142+U4142+2*'Read Me'!$B$13)*(1+'Read Me'!$B$12),-1)</f>
        <v/>
      </c>
      <c r="W4142" s="16">
        <f>V4142*N4142*O4142</f>
        <v/>
      </c>
      <c r="X4142" s="12">
        <f>IF(LEFT(I4142,2)="MV",2*N4142*IF(L4142="1/C",O4142,1),0)</f>
        <v/>
      </c>
      <c r="Y4142" s="12">
        <f>IF(OR(LEFT(K4142,4)="LVAX",LEFT(K4142,6)="MV15AX",LEFT(K4142,4)="CTAX",LEFT(K4142,2)="W|"),2*N4142*O4142,0)</f>
        <v/>
      </c>
      <c r="Z4142" s="12" t="inlineStr"/>
      <c r="AA4142" s="12">
        <f>N4142*O4142</f>
        <v/>
      </c>
    </row>
    <row r="4143">
      <c r="A4143" s="12" t="inlineStr">
        <is>
          <t>I-C-0047</t>
        </is>
      </c>
      <c r="B4143" s="12" t="inlineStr">
        <is>
          <t>I</t>
        </is>
      </c>
      <c r="C4143" s="12" t="inlineStr">
        <is>
          <t>Modular / portable power</t>
        </is>
      </c>
      <c r="D4143" s="12" t="inlineStr">
        <is>
          <t>Motor 2 of 5: control / local station</t>
        </is>
      </c>
      <c r="E4143" s="12" t="inlineStr"/>
      <c r="F4143" s="12" t="inlineStr">
        <is>
          <t>PCM: power control module</t>
        </is>
      </c>
      <c r="G4143" s="12" t="inlineStr"/>
      <c r="H4143" s="12" t="inlineStr">
        <is>
          <t>RICE 3 radiators (5)</t>
        </is>
      </c>
      <c r="I4143" s="12" t="inlineStr">
        <is>
          <t>Control</t>
        </is>
      </c>
      <c r="J4143" s="12" t="inlineStr">
        <is>
          <t>Control cable 600 V Type TC-ER, Cu #14 AWG, PVC jacket</t>
        </is>
      </c>
      <c r="K4143" s="12" t="inlineStr">
        <is>
          <t>CT|7/C|14</t>
        </is>
      </c>
      <c r="L4143" s="12" t="inlineStr">
        <is>
          <t>7/C</t>
        </is>
      </c>
      <c r="M4143" s="12" t="inlineStr">
        <is>
          <t>14</t>
        </is>
      </c>
      <c r="N4143" s="12" t="n">
        <v>1</v>
      </c>
      <c r="O4143" s="12" t="n">
        <v>1</v>
      </c>
      <c r="P4143" s="12" t="n"/>
      <c r="Q4143" s="12" t="n"/>
      <c r="R4143" s="12" t="n"/>
      <c r="S4143" s="12" t="inlineStr">
        <is>
          <t>Tray</t>
        </is>
      </c>
      <c r="T4143" s="16" t="n">
        <v>32</v>
      </c>
      <c r="U4143" s="16" t="n">
        <v>232</v>
      </c>
      <c r="V4143" s="16">
        <f>ROUNDUP((T4143+U4143+2*'Read Me'!$B$13)*(1+'Read Me'!$B$12),-1)</f>
        <v/>
      </c>
      <c r="W4143" s="16">
        <f>V4143*N4143*O4143</f>
        <v/>
      </c>
      <c r="X4143" s="12">
        <f>IF(LEFT(I4143,2)="MV",2*N4143*IF(L4143="1/C",O4143,1),0)</f>
        <v/>
      </c>
      <c r="Y4143" s="12">
        <f>IF(OR(LEFT(K4143,4)="LVAX",LEFT(K4143,6)="MV15AX",LEFT(K4143,4)="CTAX",LEFT(K4143,2)="W|"),2*N4143*O4143,0)</f>
        <v/>
      </c>
      <c r="Z4143" s="12" t="inlineStr"/>
      <c r="AA4143" s="12">
        <f>N4143*O4143</f>
        <v/>
      </c>
    </row>
    <row r="4144">
      <c r="A4144" s="12" t="inlineStr">
        <is>
          <t>I-C-0048</t>
        </is>
      </c>
      <c r="B4144" s="12" t="inlineStr">
        <is>
          <t>I</t>
        </is>
      </c>
      <c r="C4144" s="12" t="inlineStr">
        <is>
          <t>Modular / portable power</t>
        </is>
      </c>
      <c r="D4144" s="12" t="inlineStr">
        <is>
          <t>Motor 3 of 5: control / local station</t>
        </is>
      </c>
      <c r="E4144" s="12" t="inlineStr"/>
      <c r="F4144" s="12" t="inlineStr">
        <is>
          <t>PCM: power control module</t>
        </is>
      </c>
      <c r="G4144" s="12" t="inlineStr"/>
      <c r="H4144" s="12" t="inlineStr">
        <is>
          <t>RICE 3 radiators (5)</t>
        </is>
      </c>
      <c r="I4144" s="12" t="inlineStr">
        <is>
          <t>Control</t>
        </is>
      </c>
      <c r="J4144" s="12" t="inlineStr">
        <is>
          <t>Control cable 600 V Type TC-ER, Cu #14 AWG, PVC jacket</t>
        </is>
      </c>
      <c r="K4144" s="12" t="inlineStr">
        <is>
          <t>CT|7/C|14</t>
        </is>
      </c>
      <c r="L4144" s="12" t="inlineStr">
        <is>
          <t>7/C</t>
        </is>
      </c>
      <c r="M4144" s="12" t="inlineStr">
        <is>
          <t>14</t>
        </is>
      </c>
      <c r="N4144" s="12" t="n">
        <v>1</v>
      </c>
      <c r="O4144" s="12" t="n">
        <v>1</v>
      </c>
      <c r="P4144" s="12" t="n"/>
      <c r="Q4144" s="12" t="n"/>
      <c r="R4144" s="12" t="n"/>
      <c r="S4144" s="12" t="inlineStr">
        <is>
          <t>Tray</t>
        </is>
      </c>
      <c r="T4144" s="16" t="n">
        <v>32</v>
      </c>
      <c r="U4144" s="16" t="n">
        <v>232</v>
      </c>
      <c r="V4144" s="16">
        <f>ROUNDUP((T4144+U4144+2*'Read Me'!$B$13)*(1+'Read Me'!$B$12),-1)</f>
        <v/>
      </c>
      <c r="W4144" s="16">
        <f>V4144*N4144*O4144</f>
        <v/>
      </c>
      <c r="X4144" s="12">
        <f>IF(LEFT(I4144,2)="MV",2*N4144*IF(L4144="1/C",O4144,1),0)</f>
        <v/>
      </c>
      <c r="Y4144" s="12">
        <f>IF(OR(LEFT(K4144,4)="LVAX",LEFT(K4144,6)="MV15AX",LEFT(K4144,4)="CTAX",LEFT(K4144,2)="W|"),2*N4144*O4144,0)</f>
        <v/>
      </c>
      <c r="Z4144" s="12" t="inlineStr"/>
      <c r="AA4144" s="12">
        <f>N4144*O4144</f>
        <v/>
      </c>
    </row>
    <row r="4145">
      <c r="A4145" s="12" t="inlineStr">
        <is>
          <t>I-C-0049</t>
        </is>
      </c>
      <c r="B4145" s="12" t="inlineStr">
        <is>
          <t>I</t>
        </is>
      </c>
      <c r="C4145" s="12" t="inlineStr">
        <is>
          <t>Modular / portable power</t>
        </is>
      </c>
      <c r="D4145" s="12" t="inlineStr">
        <is>
          <t>Motor 4 of 5: control / local station</t>
        </is>
      </c>
      <c r="E4145" s="12" t="inlineStr"/>
      <c r="F4145" s="12" t="inlineStr">
        <is>
          <t>PCM: power control module</t>
        </is>
      </c>
      <c r="G4145" s="12" t="inlineStr"/>
      <c r="H4145" s="12" t="inlineStr">
        <is>
          <t>RICE 3 radiators (5)</t>
        </is>
      </c>
      <c r="I4145" s="12" t="inlineStr">
        <is>
          <t>Control</t>
        </is>
      </c>
      <c r="J4145" s="12" t="inlineStr">
        <is>
          <t>Control cable 600 V Type TC-ER, Cu #14 AWG, PVC jacket</t>
        </is>
      </c>
      <c r="K4145" s="12" t="inlineStr">
        <is>
          <t>CT|7/C|14</t>
        </is>
      </c>
      <c r="L4145" s="12" t="inlineStr">
        <is>
          <t>7/C</t>
        </is>
      </c>
      <c r="M4145" s="12" t="inlineStr">
        <is>
          <t>14</t>
        </is>
      </c>
      <c r="N4145" s="12" t="n">
        <v>1</v>
      </c>
      <c r="O4145" s="12" t="n">
        <v>1</v>
      </c>
      <c r="P4145" s="12" t="n"/>
      <c r="Q4145" s="12" t="n"/>
      <c r="R4145" s="12" t="n"/>
      <c r="S4145" s="12" t="inlineStr">
        <is>
          <t>Tray</t>
        </is>
      </c>
      <c r="T4145" s="16" t="n">
        <v>32</v>
      </c>
      <c r="U4145" s="16" t="n">
        <v>232</v>
      </c>
      <c r="V4145" s="16">
        <f>ROUNDUP((T4145+U4145+2*'Read Me'!$B$13)*(1+'Read Me'!$B$12),-1)</f>
        <v/>
      </c>
      <c r="W4145" s="16">
        <f>V4145*N4145*O4145</f>
        <v/>
      </c>
      <c r="X4145" s="12">
        <f>IF(LEFT(I4145,2)="MV",2*N4145*IF(L4145="1/C",O4145,1),0)</f>
        <v/>
      </c>
      <c r="Y4145" s="12">
        <f>IF(OR(LEFT(K4145,4)="LVAX",LEFT(K4145,6)="MV15AX",LEFT(K4145,4)="CTAX",LEFT(K4145,2)="W|"),2*N4145*O4145,0)</f>
        <v/>
      </c>
      <c r="Z4145" s="12" t="inlineStr"/>
      <c r="AA4145" s="12">
        <f>N4145*O4145</f>
        <v/>
      </c>
    </row>
    <row r="4146">
      <c r="A4146" s="12" t="inlineStr">
        <is>
          <t>I-C-0050</t>
        </is>
      </c>
      <c r="B4146" s="12" t="inlineStr">
        <is>
          <t>I</t>
        </is>
      </c>
      <c r="C4146" s="12" t="inlineStr">
        <is>
          <t>Modular / portable power</t>
        </is>
      </c>
      <c r="D4146" s="12" t="inlineStr">
        <is>
          <t>Motor 5 of 5: control / local station</t>
        </is>
      </c>
      <c r="E4146" s="12" t="inlineStr"/>
      <c r="F4146" s="12" t="inlineStr">
        <is>
          <t>PCM: power control module</t>
        </is>
      </c>
      <c r="G4146" s="12" t="inlineStr"/>
      <c r="H4146" s="12" t="inlineStr">
        <is>
          <t>RICE 3 radiators (5)</t>
        </is>
      </c>
      <c r="I4146" s="12" t="inlineStr">
        <is>
          <t>Control</t>
        </is>
      </c>
      <c r="J4146" s="12" t="inlineStr">
        <is>
          <t>Control cable 600 V Type TC-ER, Cu #14 AWG, PVC jacket</t>
        </is>
      </c>
      <c r="K4146" s="12" t="inlineStr">
        <is>
          <t>CT|7/C|14</t>
        </is>
      </c>
      <c r="L4146" s="12" t="inlineStr">
        <is>
          <t>7/C</t>
        </is>
      </c>
      <c r="M4146" s="12" t="inlineStr">
        <is>
          <t>14</t>
        </is>
      </c>
      <c r="N4146" s="12" t="n">
        <v>1</v>
      </c>
      <c r="O4146" s="12" t="n">
        <v>1</v>
      </c>
      <c r="P4146" s="12" t="n"/>
      <c r="Q4146" s="12" t="n"/>
      <c r="R4146" s="12" t="n"/>
      <c r="S4146" s="12" t="inlineStr">
        <is>
          <t>Tray</t>
        </is>
      </c>
      <c r="T4146" s="16" t="n">
        <v>32</v>
      </c>
      <c r="U4146" s="16" t="n">
        <v>232</v>
      </c>
      <c r="V4146" s="16">
        <f>ROUNDUP((T4146+U4146+2*'Read Me'!$B$13)*(1+'Read Me'!$B$12),-1)</f>
        <v/>
      </c>
      <c r="W4146" s="16">
        <f>V4146*N4146*O4146</f>
        <v/>
      </c>
      <c r="X4146" s="12">
        <f>IF(LEFT(I4146,2)="MV",2*N4146*IF(L4146="1/C",O4146,1),0)</f>
        <v/>
      </c>
      <c r="Y4146" s="12">
        <f>IF(OR(LEFT(K4146,4)="LVAX",LEFT(K4146,6)="MV15AX",LEFT(K4146,4)="CTAX",LEFT(K4146,2)="W|"),2*N4146*O4146,0)</f>
        <v/>
      </c>
      <c r="Z4146" s="12" t="inlineStr"/>
      <c r="AA4146" s="12">
        <f>N4146*O4146</f>
        <v/>
      </c>
    </row>
    <row r="4147">
      <c r="A4147" s="12" t="inlineStr">
        <is>
          <t>I-C-0051</t>
        </is>
      </c>
      <c r="B4147" s="12" t="inlineStr">
        <is>
          <t>I</t>
        </is>
      </c>
      <c r="C4147" s="12" t="inlineStr">
        <is>
          <t>Modular / portable power</t>
        </is>
      </c>
      <c r="D4147" s="12" t="inlineStr">
        <is>
          <t>Motor 1 of 1: control / local station</t>
        </is>
      </c>
      <c r="E4147" s="12" t="inlineStr"/>
      <c r="F4147" s="12" t="inlineStr">
        <is>
          <t>PCM: power control module</t>
        </is>
      </c>
      <c r="G4147" s="12" t="inlineStr"/>
      <c r="H4147" s="12" t="inlineStr">
        <is>
          <t>RICE 4 SCR + oxidation catalyst and stack</t>
        </is>
      </c>
      <c r="I4147" s="12" t="inlineStr">
        <is>
          <t>Control</t>
        </is>
      </c>
      <c r="J4147" s="12" t="inlineStr">
        <is>
          <t>Control cable 600 V Type TC-ER, Cu #14 AWG, PVC jacket</t>
        </is>
      </c>
      <c r="K4147" s="12" t="inlineStr">
        <is>
          <t>CT|7/C|14</t>
        </is>
      </c>
      <c r="L4147" s="12" t="inlineStr">
        <is>
          <t>7/C</t>
        </is>
      </c>
      <c r="M4147" s="12" t="inlineStr">
        <is>
          <t>14</t>
        </is>
      </c>
      <c r="N4147" s="12" t="n">
        <v>1</v>
      </c>
      <c r="O4147" s="12" t="n">
        <v>1</v>
      </c>
      <c r="P4147" s="12" t="n"/>
      <c r="Q4147" s="12" t="n"/>
      <c r="R4147" s="12" t="n"/>
      <c r="S4147" s="12" t="inlineStr">
        <is>
          <t>Duct bank</t>
        </is>
      </c>
      <c r="T4147" s="16" t="n">
        <v>470</v>
      </c>
      <c r="U4147" s="16" t="n">
        <v>76</v>
      </c>
      <c r="V4147" s="16">
        <f>ROUNDUP((T4147+U4147+2*'Read Me'!$B$13)*(1+'Read Me'!$B$12),-1)</f>
        <v/>
      </c>
      <c r="W4147" s="16">
        <f>V4147*N4147*O4147</f>
        <v/>
      </c>
      <c r="X4147" s="12">
        <f>IF(LEFT(I4147,2)="MV",2*N4147*IF(L4147="1/C",O4147,1),0)</f>
        <v/>
      </c>
      <c r="Y4147" s="12">
        <f>IF(OR(LEFT(K4147,4)="LVAX",LEFT(K4147,6)="MV15AX",LEFT(K4147,4)="CTAX",LEFT(K4147,2)="W|"),2*N4147*O4147,0)</f>
        <v/>
      </c>
      <c r="Z4147" s="12" t="inlineStr"/>
      <c r="AA4147" s="12">
        <f>N4147*O4147</f>
        <v/>
      </c>
    </row>
    <row r="4148">
      <c r="A4148" s="12" t="inlineStr">
        <is>
          <t>I-C-0052</t>
        </is>
      </c>
      <c r="B4148" s="12" t="inlineStr">
        <is>
          <t>I</t>
        </is>
      </c>
      <c r="C4148" s="12" t="inlineStr">
        <is>
          <t>Modular / portable power</t>
        </is>
      </c>
      <c r="D4148" s="12" t="inlineStr">
        <is>
          <t>Motor 1 of 5: control / local station</t>
        </is>
      </c>
      <c r="E4148" s="12" t="inlineStr"/>
      <c r="F4148" s="12" t="inlineStr">
        <is>
          <t>PCM: power control module</t>
        </is>
      </c>
      <c r="G4148" s="12" t="inlineStr"/>
      <c r="H4148" s="12" t="inlineStr">
        <is>
          <t>RICE 4 radiators (5)</t>
        </is>
      </c>
      <c r="I4148" s="12" t="inlineStr">
        <is>
          <t>Control</t>
        </is>
      </c>
      <c r="J4148" s="12" t="inlineStr">
        <is>
          <t>Control cable 600 V Type TC-ER, Cu #14 AWG, PVC jacket</t>
        </is>
      </c>
      <c r="K4148" s="12" t="inlineStr">
        <is>
          <t>CT|7/C|14</t>
        </is>
      </c>
      <c r="L4148" s="12" t="inlineStr">
        <is>
          <t>7/C</t>
        </is>
      </c>
      <c r="M4148" s="12" t="inlineStr">
        <is>
          <t>14</t>
        </is>
      </c>
      <c r="N4148" s="12" t="n">
        <v>1</v>
      </c>
      <c r="O4148" s="12" t="n">
        <v>1</v>
      </c>
      <c r="P4148" s="12" t="n"/>
      <c r="Q4148" s="12" t="n"/>
      <c r="R4148" s="12" t="n"/>
      <c r="S4148" s="12" t="inlineStr">
        <is>
          <t>Tray</t>
        </is>
      </c>
      <c r="T4148" s="16" t="n">
        <v>0</v>
      </c>
      <c r="U4148" s="16" t="n">
        <v>206</v>
      </c>
      <c r="V4148" s="16">
        <f>ROUNDUP((T4148+U4148+2*'Read Me'!$B$13)*(1+'Read Me'!$B$12),-1)</f>
        <v/>
      </c>
      <c r="W4148" s="16">
        <f>V4148*N4148*O4148</f>
        <v/>
      </c>
      <c r="X4148" s="12">
        <f>IF(LEFT(I4148,2)="MV",2*N4148*IF(L4148="1/C",O4148,1),0)</f>
        <v/>
      </c>
      <c r="Y4148" s="12">
        <f>IF(OR(LEFT(K4148,4)="LVAX",LEFT(K4148,6)="MV15AX",LEFT(K4148,4)="CTAX",LEFT(K4148,2)="W|"),2*N4148*O4148,0)</f>
        <v/>
      </c>
      <c r="Z4148" s="12" t="inlineStr"/>
      <c r="AA4148" s="12">
        <f>N4148*O4148</f>
        <v/>
      </c>
    </row>
    <row r="4149">
      <c r="A4149" s="12" t="inlineStr">
        <is>
          <t>I-C-0053</t>
        </is>
      </c>
      <c r="B4149" s="12" t="inlineStr">
        <is>
          <t>I</t>
        </is>
      </c>
      <c r="C4149" s="12" t="inlineStr">
        <is>
          <t>Modular / portable power</t>
        </is>
      </c>
      <c r="D4149" s="12" t="inlineStr">
        <is>
          <t>Motor 2 of 5: control / local station</t>
        </is>
      </c>
      <c r="E4149" s="12" t="inlineStr"/>
      <c r="F4149" s="12" t="inlineStr">
        <is>
          <t>PCM: power control module</t>
        </is>
      </c>
      <c r="G4149" s="12" t="inlineStr"/>
      <c r="H4149" s="12" t="inlineStr">
        <is>
          <t>RICE 4 radiators (5)</t>
        </is>
      </c>
      <c r="I4149" s="12" t="inlineStr">
        <is>
          <t>Control</t>
        </is>
      </c>
      <c r="J4149" s="12" t="inlineStr">
        <is>
          <t>Control cable 600 V Type TC-ER, Cu #14 AWG, PVC jacket</t>
        </is>
      </c>
      <c r="K4149" s="12" t="inlineStr">
        <is>
          <t>CT|7/C|14</t>
        </is>
      </c>
      <c r="L4149" s="12" t="inlineStr">
        <is>
          <t>7/C</t>
        </is>
      </c>
      <c r="M4149" s="12" t="inlineStr">
        <is>
          <t>14</t>
        </is>
      </c>
      <c r="N4149" s="12" t="n">
        <v>1</v>
      </c>
      <c r="O4149" s="12" t="n">
        <v>1</v>
      </c>
      <c r="P4149" s="12" t="n"/>
      <c r="Q4149" s="12" t="n"/>
      <c r="R4149" s="12" t="n"/>
      <c r="S4149" s="12" t="inlineStr">
        <is>
          <t>Tray</t>
        </is>
      </c>
      <c r="T4149" s="16" t="n">
        <v>0</v>
      </c>
      <c r="U4149" s="16" t="n">
        <v>206</v>
      </c>
      <c r="V4149" s="16">
        <f>ROUNDUP((T4149+U4149+2*'Read Me'!$B$13)*(1+'Read Me'!$B$12),-1)</f>
        <v/>
      </c>
      <c r="W4149" s="16">
        <f>V4149*N4149*O4149</f>
        <v/>
      </c>
      <c r="X4149" s="12">
        <f>IF(LEFT(I4149,2)="MV",2*N4149*IF(L4149="1/C",O4149,1),0)</f>
        <v/>
      </c>
      <c r="Y4149" s="12">
        <f>IF(OR(LEFT(K4149,4)="LVAX",LEFT(K4149,6)="MV15AX",LEFT(K4149,4)="CTAX",LEFT(K4149,2)="W|"),2*N4149*O4149,0)</f>
        <v/>
      </c>
      <c r="Z4149" s="12" t="inlineStr"/>
      <c r="AA4149" s="12">
        <f>N4149*O4149</f>
        <v/>
      </c>
    </row>
    <row r="4150">
      <c r="A4150" s="12" t="inlineStr">
        <is>
          <t>I-C-0054</t>
        </is>
      </c>
      <c r="B4150" s="12" t="inlineStr">
        <is>
          <t>I</t>
        </is>
      </c>
      <c r="C4150" s="12" t="inlineStr">
        <is>
          <t>Modular / portable power</t>
        </is>
      </c>
      <c r="D4150" s="12" t="inlineStr">
        <is>
          <t>Motor 3 of 5: control / local station</t>
        </is>
      </c>
      <c r="E4150" s="12" t="inlineStr"/>
      <c r="F4150" s="12" t="inlineStr">
        <is>
          <t>PCM: power control module</t>
        </is>
      </c>
      <c r="G4150" s="12" t="inlineStr"/>
      <c r="H4150" s="12" t="inlineStr">
        <is>
          <t>RICE 4 radiators (5)</t>
        </is>
      </c>
      <c r="I4150" s="12" t="inlineStr">
        <is>
          <t>Control</t>
        </is>
      </c>
      <c r="J4150" s="12" t="inlineStr">
        <is>
          <t>Control cable 600 V Type TC-ER, Cu #14 AWG, PVC jacket</t>
        </is>
      </c>
      <c r="K4150" s="12" t="inlineStr">
        <is>
          <t>CT|7/C|14</t>
        </is>
      </c>
      <c r="L4150" s="12" t="inlineStr">
        <is>
          <t>7/C</t>
        </is>
      </c>
      <c r="M4150" s="12" t="inlineStr">
        <is>
          <t>14</t>
        </is>
      </c>
      <c r="N4150" s="12" t="n">
        <v>1</v>
      </c>
      <c r="O4150" s="12" t="n">
        <v>1</v>
      </c>
      <c r="P4150" s="12" t="n"/>
      <c r="Q4150" s="12" t="n"/>
      <c r="R4150" s="12" t="n"/>
      <c r="S4150" s="12" t="inlineStr">
        <is>
          <t>Tray</t>
        </is>
      </c>
      <c r="T4150" s="16" t="n">
        <v>0</v>
      </c>
      <c r="U4150" s="16" t="n">
        <v>206</v>
      </c>
      <c r="V4150" s="16">
        <f>ROUNDUP((T4150+U4150+2*'Read Me'!$B$13)*(1+'Read Me'!$B$12),-1)</f>
        <v/>
      </c>
      <c r="W4150" s="16">
        <f>V4150*N4150*O4150</f>
        <v/>
      </c>
      <c r="X4150" s="12">
        <f>IF(LEFT(I4150,2)="MV",2*N4150*IF(L4150="1/C",O4150,1),0)</f>
        <v/>
      </c>
      <c r="Y4150" s="12">
        <f>IF(OR(LEFT(K4150,4)="LVAX",LEFT(K4150,6)="MV15AX",LEFT(K4150,4)="CTAX",LEFT(K4150,2)="W|"),2*N4150*O4150,0)</f>
        <v/>
      </c>
      <c r="Z4150" s="12" t="inlineStr"/>
      <c r="AA4150" s="12">
        <f>N4150*O4150</f>
        <v/>
      </c>
    </row>
    <row r="4151">
      <c r="A4151" s="12" t="inlineStr">
        <is>
          <t>I-C-0055</t>
        </is>
      </c>
      <c r="B4151" s="12" t="inlineStr">
        <is>
          <t>I</t>
        </is>
      </c>
      <c r="C4151" s="12" t="inlineStr">
        <is>
          <t>Modular / portable power</t>
        </is>
      </c>
      <c r="D4151" s="12" t="inlineStr">
        <is>
          <t>Motor 4 of 5: control / local station</t>
        </is>
      </c>
      <c r="E4151" s="12" t="inlineStr"/>
      <c r="F4151" s="12" t="inlineStr">
        <is>
          <t>PCM: power control module</t>
        </is>
      </c>
      <c r="G4151" s="12" t="inlineStr"/>
      <c r="H4151" s="12" t="inlineStr">
        <is>
          <t>RICE 4 radiators (5)</t>
        </is>
      </c>
      <c r="I4151" s="12" t="inlineStr">
        <is>
          <t>Control</t>
        </is>
      </c>
      <c r="J4151" s="12" t="inlineStr">
        <is>
          <t>Control cable 600 V Type TC-ER, Cu #14 AWG, PVC jacket</t>
        </is>
      </c>
      <c r="K4151" s="12" t="inlineStr">
        <is>
          <t>CT|7/C|14</t>
        </is>
      </c>
      <c r="L4151" s="12" t="inlineStr">
        <is>
          <t>7/C</t>
        </is>
      </c>
      <c r="M4151" s="12" t="inlineStr">
        <is>
          <t>14</t>
        </is>
      </c>
      <c r="N4151" s="12" t="n">
        <v>1</v>
      </c>
      <c r="O4151" s="12" t="n">
        <v>1</v>
      </c>
      <c r="P4151" s="12" t="n"/>
      <c r="Q4151" s="12" t="n"/>
      <c r="R4151" s="12" t="n"/>
      <c r="S4151" s="12" t="inlineStr">
        <is>
          <t>Tray</t>
        </is>
      </c>
      <c r="T4151" s="16" t="n">
        <v>0</v>
      </c>
      <c r="U4151" s="16" t="n">
        <v>206</v>
      </c>
      <c r="V4151" s="16">
        <f>ROUNDUP((T4151+U4151+2*'Read Me'!$B$13)*(1+'Read Me'!$B$12),-1)</f>
        <v/>
      </c>
      <c r="W4151" s="16">
        <f>V4151*N4151*O4151</f>
        <v/>
      </c>
      <c r="X4151" s="12">
        <f>IF(LEFT(I4151,2)="MV",2*N4151*IF(L4151="1/C",O4151,1),0)</f>
        <v/>
      </c>
      <c r="Y4151" s="12">
        <f>IF(OR(LEFT(K4151,4)="LVAX",LEFT(K4151,6)="MV15AX",LEFT(K4151,4)="CTAX",LEFT(K4151,2)="W|"),2*N4151*O4151,0)</f>
        <v/>
      </c>
      <c r="Z4151" s="12" t="inlineStr"/>
      <c r="AA4151" s="12">
        <f>N4151*O4151</f>
        <v/>
      </c>
    </row>
    <row r="4152">
      <c r="A4152" s="12" t="inlineStr">
        <is>
          <t>I-C-0056</t>
        </is>
      </c>
      <c r="B4152" s="12" t="inlineStr">
        <is>
          <t>I</t>
        </is>
      </c>
      <c r="C4152" s="12" t="inlineStr">
        <is>
          <t>Modular / portable power</t>
        </is>
      </c>
      <c r="D4152" s="12" t="inlineStr">
        <is>
          <t>Motor 5 of 5: control / local station</t>
        </is>
      </c>
      <c r="E4152" s="12" t="inlineStr"/>
      <c r="F4152" s="12" t="inlineStr">
        <is>
          <t>PCM: power control module</t>
        </is>
      </c>
      <c r="G4152" s="12" t="inlineStr"/>
      <c r="H4152" s="12" t="inlineStr">
        <is>
          <t>RICE 4 radiators (5)</t>
        </is>
      </c>
      <c r="I4152" s="12" t="inlineStr">
        <is>
          <t>Control</t>
        </is>
      </c>
      <c r="J4152" s="12" t="inlineStr">
        <is>
          <t>Control cable 600 V Type TC-ER, Cu #14 AWG, PVC jacket</t>
        </is>
      </c>
      <c r="K4152" s="12" t="inlineStr">
        <is>
          <t>CT|7/C|14</t>
        </is>
      </c>
      <c r="L4152" s="12" t="inlineStr">
        <is>
          <t>7/C</t>
        </is>
      </c>
      <c r="M4152" s="12" t="inlineStr">
        <is>
          <t>14</t>
        </is>
      </c>
      <c r="N4152" s="12" t="n">
        <v>1</v>
      </c>
      <c r="O4152" s="12" t="n">
        <v>1</v>
      </c>
      <c r="P4152" s="12" t="n"/>
      <c r="Q4152" s="12" t="n"/>
      <c r="R4152" s="12" t="n"/>
      <c r="S4152" s="12" t="inlineStr">
        <is>
          <t>Tray</t>
        </is>
      </c>
      <c r="T4152" s="16" t="n">
        <v>0</v>
      </c>
      <c r="U4152" s="16" t="n">
        <v>206</v>
      </c>
      <c r="V4152" s="16">
        <f>ROUNDUP((T4152+U4152+2*'Read Me'!$B$13)*(1+'Read Me'!$B$12),-1)</f>
        <v/>
      </c>
      <c r="W4152" s="16">
        <f>V4152*N4152*O4152</f>
        <v/>
      </c>
      <c r="X4152" s="12">
        <f>IF(LEFT(I4152,2)="MV",2*N4152*IF(L4152="1/C",O4152,1),0)</f>
        <v/>
      </c>
      <c r="Y4152" s="12">
        <f>IF(OR(LEFT(K4152,4)="LVAX",LEFT(K4152,6)="MV15AX",LEFT(K4152,4)="CTAX",LEFT(K4152,2)="W|"),2*N4152*O4152,0)</f>
        <v/>
      </c>
      <c r="Z4152" s="12" t="inlineStr"/>
      <c r="AA4152" s="12">
        <f>N4152*O4152</f>
        <v/>
      </c>
    </row>
    <row r="4153">
      <c r="A4153" s="12" t="inlineStr">
        <is>
          <t>I-C-0057</t>
        </is>
      </c>
      <c r="B4153" s="12" t="inlineStr">
        <is>
          <t>I</t>
        </is>
      </c>
      <c r="C4153" s="12" t="inlineStr">
        <is>
          <t>Modular / portable power</t>
        </is>
      </c>
      <c r="D4153" s="12" t="inlineStr">
        <is>
          <t>Motor 1 of 1: control / local station</t>
        </is>
      </c>
      <c r="E4153" s="12" t="inlineStr"/>
      <c r="F4153" s="12" t="inlineStr">
        <is>
          <t>PCM: power control module</t>
        </is>
      </c>
      <c r="G4153" s="12" t="inlineStr"/>
      <c r="H4153" s="12" t="inlineStr">
        <is>
          <t>RICE 5 SCR + oxidation catalyst and stack</t>
        </is>
      </c>
      <c r="I4153" s="12" t="inlineStr">
        <is>
          <t>Control</t>
        </is>
      </c>
      <c r="J4153" s="12" t="inlineStr">
        <is>
          <t>Control cable 600 V Type TC-ER, Cu #14 AWG, PVC jacket</t>
        </is>
      </c>
      <c r="K4153" s="12" t="inlineStr">
        <is>
          <t>CT|7/C|14</t>
        </is>
      </c>
      <c r="L4153" s="12" t="inlineStr">
        <is>
          <t>7/C</t>
        </is>
      </c>
      <c r="M4153" s="12" t="inlineStr">
        <is>
          <t>14</t>
        </is>
      </c>
      <c r="N4153" s="12" t="n">
        <v>1</v>
      </c>
      <c r="O4153" s="12" t="n">
        <v>1</v>
      </c>
      <c r="P4153" s="12" t="n"/>
      <c r="Q4153" s="12" t="n"/>
      <c r="R4153" s="12" t="n"/>
      <c r="S4153" s="12" t="inlineStr">
        <is>
          <t>Duct bank</t>
        </is>
      </c>
      <c r="T4153" s="16" t="n">
        <v>322</v>
      </c>
      <c r="U4153" s="16" t="n">
        <v>196</v>
      </c>
      <c r="V4153" s="16">
        <f>ROUNDUP((T4153+U4153+2*'Read Me'!$B$13)*(1+'Read Me'!$B$12),-1)</f>
        <v/>
      </c>
      <c r="W4153" s="16">
        <f>V4153*N4153*O4153</f>
        <v/>
      </c>
      <c r="X4153" s="12">
        <f>IF(LEFT(I4153,2)="MV",2*N4153*IF(L4153="1/C",O4153,1),0)</f>
        <v/>
      </c>
      <c r="Y4153" s="12">
        <f>IF(OR(LEFT(K4153,4)="LVAX",LEFT(K4153,6)="MV15AX",LEFT(K4153,4)="CTAX",LEFT(K4153,2)="W|"),2*N4153*O4153,0)</f>
        <v/>
      </c>
      <c r="Z4153" s="12" t="inlineStr"/>
      <c r="AA4153" s="12">
        <f>N4153*O4153</f>
        <v/>
      </c>
    </row>
    <row r="4154">
      <c r="A4154" s="12" t="inlineStr">
        <is>
          <t>I-C-0058</t>
        </is>
      </c>
      <c r="B4154" s="12" t="inlineStr">
        <is>
          <t>I</t>
        </is>
      </c>
      <c r="C4154" s="12" t="inlineStr">
        <is>
          <t>Modular / portable power</t>
        </is>
      </c>
      <c r="D4154" s="12" t="inlineStr">
        <is>
          <t>Motor 1 of 5: control / local station</t>
        </is>
      </c>
      <c r="E4154" s="12" t="inlineStr"/>
      <c r="F4154" s="12" t="inlineStr">
        <is>
          <t>PCM: power control module</t>
        </is>
      </c>
      <c r="G4154" s="12" t="inlineStr"/>
      <c r="H4154" s="12" t="inlineStr">
        <is>
          <t>RICE 5 radiators (5)</t>
        </is>
      </c>
      <c r="I4154" s="12" t="inlineStr">
        <is>
          <t>Control</t>
        </is>
      </c>
      <c r="J4154" s="12" t="inlineStr">
        <is>
          <t>Control cable 600 V Type TC-ER, Cu #14 AWG, PVC jacket</t>
        </is>
      </c>
      <c r="K4154" s="12" t="inlineStr">
        <is>
          <t>CT|7/C|14</t>
        </is>
      </c>
      <c r="L4154" s="12" t="inlineStr">
        <is>
          <t>7/C</t>
        </is>
      </c>
      <c r="M4154" s="12" t="inlineStr">
        <is>
          <t>14</t>
        </is>
      </c>
      <c r="N4154" s="12" t="n">
        <v>1</v>
      </c>
      <c r="O4154" s="12" t="n">
        <v>1</v>
      </c>
      <c r="P4154" s="12" t="n"/>
      <c r="Q4154" s="12" t="n"/>
      <c r="R4154" s="12" t="n"/>
      <c r="S4154" s="12" t="inlineStr">
        <is>
          <t>Tray</t>
        </is>
      </c>
      <c r="T4154" s="16" t="n">
        <v>0</v>
      </c>
      <c r="U4154" s="16" t="n">
        <v>178</v>
      </c>
      <c r="V4154" s="16">
        <f>ROUNDUP((T4154+U4154+2*'Read Me'!$B$13)*(1+'Read Me'!$B$12),-1)</f>
        <v/>
      </c>
      <c r="W4154" s="16">
        <f>V4154*N4154*O4154</f>
        <v/>
      </c>
      <c r="X4154" s="12">
        <f>IF(LEFT(I4154,2)="MV",2*N4154*IF(L4154="1/C",O4154,1),0)</f>
        <v/>
      </c>
      <c r="Y4154" s="12">
        <f>IF(OR(LEFT(K4154,4)="LVAX",LEFT(K4154,6)="MV15AX",LEFT(K4154,4)="CTAX",LEFT(K4154,2)="W|"),2*N4154*O4154,0)</f>
        <v/>
      </c>
      <c r="Z4154" s="12" t="inlineStr"/>
      <c r="AA4154" s="12">
        <f>N4154*O4154</f>
        <v/>
      </c>
    </row>
    <row r="4155">
      <c r="A4155" s="12" t="inlineStr">
        <is>
          <t>I-C-0059</t>
        </is>
      </c>
      <c r="B4155" s="12" t="inlineStr">
        <is>
          <t>I</t>
        </is>
      </c>
      <c r="C4155" s="12" t="inlineStr">
        <is>
          <t>Modular / portable power</t>
        </is>
      </c>
      <c r="D4155" s="12" t="inlineStr">
        <is>
          <t>Motor 2 of 5: control / local station</t>
        </is>
      </c>
      <c r="E4155" s="12" t="inlineStr"/>
      <c r="F4155" s="12" t="inlineStr">
        <is>
          <t>PCM: power control module</t>
        </is>
      </c>
      <c r="G4155" s="12" t="inlineStr"/>
      <c r="H4155" s="12" t="inlineStr">
        <is>
          <t>RICE 5 radiators (5)</t>
        </is>
      </c>
      <c r="I4155" s="12" t="inlineStr">
        <is>
          <t>Control</t>
        </is>
      </c>
      <c r="J4155" s="12" t="inlineStr">
        <is>
          <t>Control cable 600 V Type TC-ER, Cu #14 AWG, PVC jacket</t>
        </is>
      </c>
      <c r="K4155" s="12" t="inlineStr">
        <is>
          <t>CT|7/C|14</t>
        </is>
      </c>
      <c r="L4155" s="12" t="inlineStr">
        <is>
          <t>7/C</t>
        </is>
      </c>
      <c r="M4155" s="12" t="inlineStr">
        <is>
          <t>14</t>
        </is>
      </c>
      <c r="N4155" s="12" t="n">
        <v>1</v>
      </c>
      <c r="O4155" s="12" t="n">
        <v>1</v>
      </c>
      <c r="P4155" s="12" t="n"/>
      <c r="Q4155" s="12" t="n"/>
      <c r="R4155" s="12" t="n"/>
      <c r="S4155" s="12" t="inlineStr">
        <is>
          <t>Tray</t>
        </is>
      </c>
      <c r="T4155" s="16" t="n">
        <v>0</v>
      </c>
      <c r="U4155" s="16" t="n">
        <v>178</v>
      </c>
      <c r="V4155" s="16">
        <f>ROUNDUP((T4155+U4155+2*'Read Me'!$B$13)*(1+'Read Me'!$B$12),-1)</f>
        <v/>
      </c>
      <c r="W4155" s="16">
        <f>V4155*N4155*O4155</f>
        <v/>
      </c>
      <c r="X4155" s="12">
        <f>IF(LEFT(I4155,2)="MV",2*N4155*IF(L4155="1/C",O4155,1),0)</f>
        <v/>
      </c>
      <c r="Y4155" s="12">
        <f>IF(OR(LEFT(K4155,4)="LVAX",LEFT(K4155,6)="MV15AX",LEFT(K4155,4)="CTAX",LEFT(K4155,2)="W|"),2*N4155*O4155,0)</f>
        <v/>
      </c>
      <c r="Z4155" s="12" t="inlineStr"/>
      <c r="AA4155" s="12">
        <f>N4155*O4155</f>
        <v/>
      </c>
    </row>
    <row r="4156">
      <c r="A4156" s="12" t="inlineStr">
        <is>
          <t>I-C-0060</t>
        </is>
      </c>
      <c r="B4156" s="12" t="inlineStr">
        <is>
          <t>I</t>
        </is>
      </c>
      <c r="C4156" s="12" t="inlineStr">
        <is>
          <t>Modular / portable power</t>
        </is>
      </c>
      <c r="D4156" s="12" t="inlineStr">
        <is>
          <t>Motor 3 of 5: control / local station</t>
        </is>
      </c>
      <c r="E4156" s="12" t="inlineStr"/>
      <c r="F4156" s="12" t="inlineStr">
        <is>
          <t>PCM: power control module</t>
        </is>
      </c>
      <c r="G4156" s="12" t="inlineStr"/>
      <c r="H4156" s="12" t="inlineStr">
        <is>
          <t>RICE 5 radiators (5)</t>
        </is>
      </c>
      <c r="I4156" s="12" t="inlineStr">
        <is>
          <t>Control</t>
        </is>
      </c>
      <c r="J4156" s="12" t="inlineStr">
        <is>
          <t>Control cable 600 V Type TC-ER, Cu #14 AWG, PVC jacket</t>
        </is>
      </c>
      <c r="K4156" s="12" t="inlineStr">
        <is>
          <t>CT|7/C|14</t>
        </is>
      </c>
      <c r="L4156" s="12" t="inlineStr">
        <is>
          <t>7/C</t>
        </is>
      </c>
      <c r="M4156" s="12" t="inlineStr">
        <is>
          <t>14</t>
        </is>
      </c>
      <c r="N4156" s="12" t="n">
        <v>1</v>
      </c>
      <c r="O4156" s="12" t="n">
        <v>1</v>
      </c>
      <c r="P4156" s="12" t="n"/>
      <c r="Q4156" s="12" t="n"/>
      <c r="R4156" s="12" t="n"/>
      <c r="S4156" s="12" t="inlineStr">
        <is>
          <t>Tray</t>
        </is>
      </c>
      <c r="T4156" s="16" t="n">
        <v>0</v>
      </c>
      <c r="U4156" s="16" t="n">
        <v>178</v>
      </c>
      <c r="V4156" s="16">
        <f>ROUNDUP((T4156+U4156+2*'Read Me'!$B$13)*(1+'Read Me'!$B$12),-1)</f>
        <v/>
      </c>
      <c r="W4156" s="16">
        <f>V4156*N4156*O4156</f>
        <v/>
      </c>
      <c r="X4156" s="12">
        <f>IF(LEFT(I4156,2)="MV",2*N4156*IF(L4156="1/C",O4156,1),0)</f>
        <v/>
      </c>
      <c r="Y4156" s="12">
        <f>IF(OR(LEFT(K4156,4)="LVAX",LEFT(K4156,6)="MV15AX",LEFT(K4156,4)="CTAX",LEFT(K4156,2)="W|"),2*N4156*O4156,0)</f>
        <v/>
      </c>
      <c r="Z4156" s="12" t="inlineStr"/>
      <c r="AA4156" s="12">
        <f>N4156*O4156</f>
        <v/>
      </c>
    </row>
    <row r="4157">
      <c r="A4157" s="12" t="inlineStr">
        <is>
          <t>I-C-0061</t>
        </is>
      </c>
      <c r="B4157" s="12" t="inlineStr">
        <is>
          <t>I</t>
        </is>
      </c>
      <c r="C4157" s="12" t="inlineStr">
        <is>
          <t>Modular / portable power</t>
        </is>
      </c>
      <c r="D4157" s="12" t="inlineStr">
        <is>
          <t>Motor 4 of 5: control / local station</t>
        </is>
      </c>
      <c r="E4157" s="12" t="inlineStr"/>
      <c r="F4157" s="12" t="inlineStr">
        <is>
          <t>PCM: power control module</t>
        </is>
      </c>
      <c r="G4157" s="12" t="inlineStr"/>
      <c r="H4157" s="12" t="inlineStr">
        <is>
          <t>RICE 5 radiators (5)</t>
        </is>
      </c>
      <c r="I4157" s="12" t="inlineStr">
        <is>
          <t>Control</t>
        </is>
      </c>
      <c r="J4157" s="12" t="inlineStr">
        <is>
          <t>Control cable 600 V Type TC-ER, Cu #14 AWG, PVC jacket</t>
        </is>
      </c>
      <c r="K4157" s="12" t="inlineStr">
        <is>
          <t>CT|7/C|14</t>
        </is>
      </c>
      <c r="L4157" s="12" t="inlineStr">
        <is>
          <t>7/C</t>
        </is>
      </c>
      <c r="M4157" s="12" t="inlineStr">
        <is>
          <t>14</t>
        </is>
      </c>
      <c r="N4157" s="12" t="n">
        <v>1</v>
      </c>
      <c r="O4157" s="12" t="n">
        <v>1</v>
      </c>
      <c r="P4157" s="12" t="n"/>
      <c r="Q4157" s="12" t="n"/>
      <c r="R4157" s="12" t="n"/>
      <c r="S4157" s="12" t="inlineStr">
        <is>
          <t>Tray</t>
        </is>
      </c>
      <c r="T4157" s="16" t="n">
        <v>0</v>
      </c>
      <c r="U4157" s="16" t="n">
        <v>178</v>
      </c>
      <c r="V4157" s="16">
        <f>ROUNDUP((T4157+U4157+2*'Read Me'!$B$13)*(1+'Read Me'!$B$12),-1)</f>
        <v/>
      </c>
      <c r="W4157" s="16">
        <f>V4157*N4157*O4157</f>
        <v/>
      </c>
      <c r="X4157" s="12">
        <f>IF(LEFT(I4157,2)="MV",2*N4157*IF(L4157="1/C",O4157,1),0)</f>
        <v/>
      </c>
      <c r="Y4157" s="12">
        <f>IF(OR(LEFT(K4157,4)="LVAX",LEFT(K4157,6)="MV15AX",LEFT(K4157,4)="CTAX",LEFT(K4157,2)="W|"),2*N4157*O4157,0)</f>
        <v/>
      </c>
      <c r="Z4157" s="12" t="inlineStr"/>
      <c r="AA4157" s="12">
        <f>N4157*O4157</f>
        <v/>
      </c>
    </row>
    <row r="4158">
      <c r="A4158" s="12" t="inlineStr">
        <is>
          <t>I-C-0062</t>
        </is>
      </c>
      <c r="B4158" s="12" t="inlineStr">
        <is>
          <t>I</t>
        </is>
      </c>
      <c r="C4158" s="12" t="inlineStr">
        <is>
          <t>Modular / portable power</t>
        </is>
      </c>
      <c r="D4158" s="12" t="inlineStr">
        <is>
          <t>Motor 5 of 5: control / local station</t>
        </is>
      </c>
      <c r="E4158" s="12" t="inlineStr"/>
      <c r="F4158" s="12" t="inlineStr">
        <is>
          <t>PCM: power control module</t>
        </is>
      </c>
      <c r="G4158" s="12" t="inlineStr"/>
      <c r="H4158" s="12" t="inlineStr">
        <is>
          <t>RICE 5 radiators (5)</t>
        </is>
      </c>
      <c r="I4158" s="12" t="inlineStr">
        <is>
          <t>Control</t>
        </is>
      </c>
      <c r="J4158" s="12" t="inlineStr">
        <is>
          <t>Control cable 600 V Type TC-ER, Cu #14 AWG, PVC jacket</t>
        </is>
      </c>
      <c r="K4158" s="12" t="inlineStr">
        <is>
          <t>CT|7/C|14</t>
        </is>
      </c>
      <c r="L4158" s="12" t="inlineStr">
        <is>
          <t>7/C</t>
        </is>
      </c>
      <c r="M4158" s="12" t="inlineStr">
        <is>
          <t>14</t>
        </is>
      </c>
      <c r="N4158" s="12" t="n">
        <v>1</v>
      </c>
      <c r="O4158" s="12" t="n">
        <v>1</v>
      </c>
      <c r="P4158" s="12" t="n"/>
      <c r="Q4158" s="12" t="n"/>
      <c r="R4158" s="12" t="n"/>
      <c r="S4158" s="12" t="inlineStr">
        <is>
          <t>Tray</t>
        </is>
      </c>
      <c r="T4158" s="16" t="n">
        <v>0</v>
      </c>
      <c r="U4158" s="16" t="n">
        <v>178</v>
      </c>
      <c r="V4158" s="16">
        <f>ROUNDUP((T4158+U4158+2*'Read Me'!$B$13)*(1+'Read Me'!$B$12),-1)</f>
        <v/>
      </c>
      <c r="W4158" s="16">
        <f>V4158*N4158*O4158</f>
        <v/>
      </c>
      <c r="X4158" s="12">
        <f>IF(LEFT(I4158,2)="MV",2*N4158*IF(L4158="1/C",O4158,1),0)</f>
        <v/>
      </c>
      <c r="Y4158" s="12">
        <f>IF(OR(LEFT(K4158,4)="LVAX",LEFT(K4158,6)="MV15AX",LEFT(K4158,4)="CTAX",LEFT(K4158,2)="W|"),2*N4158*O4158,0)</f>
        <v/>
      </c>
      <c r="Z4158" s="12" t="inlineStr"/>
      <c r="AA4158" s="12">
        <f>N4158*O4158</f>
        <v/>
      </c>
    </row>
    <row r="4159">
      <c r="A4159" s="12" t="inlineStr">
        <is>
          <t>I-C-0063</t>
        </is>
      </c>
      <c r="B4159" s="12" t="inlineStr">
        <is>
          <t>I</t>
        </is>
      </c>
      <c r="C4159" s="12" t="inlineStr">
        <is>
          <t>Modular / portable power</t>
        </is>
      </c>
      <c r="D4159" s="12" t="inlineStr">
        <is>
          <t>Motor 1 of 1: control / local station</t>
        </is>
      </c>
      <c r="E4159" s="12" t="inlineStr"/>
      <c r="F4159" s="12" t="inlineStr">
        <is>
          <t>PCM: power control module</t>
        </is>
      </c>
      <c r="G4159" s="12" t="inlineStr"/>
      <c r="H4159" s="12" t="inlineStr">
        <is>
          <t>RICE 6 SCR + oxidation catalyst and stack</t>
        </is>
      </c>
      <c r="I4159" s="12" t="inlineStr">
        <is>
          <t>Control</t>
        </is>
      </c>
      <c r="J4159" s="12" t="inlineStr">
        <is>
          <t>Control cable 600 V Type TC-ER, Cu #14 AWG, PVC jacket</t>
        </is>
      </c>
      <c r="K4159" s="12" t="inlineStr">
        <is>
          <t>CT|7/C|14</t>
        </is>
      </c>
      <c r="L4159" s="12" t="inlineStr">
        <is>
          <t>7/C</t>
        </is>
      </c>
      <c r="M4159" s="12" t="inlineStr">
        <is>
          <t>14</t>
        </is>
      </c>
      <c r="N4159" s="12" t="n">
        <v>1</v>
      </c>
      <c r="O4159" s="12" t="n">
        <v>1</v>
      </c>
      <c r="P4159" s="12" t="n"/>
      <c r="Q4159" s="12" t="n"/>
      <c r="R4159" s="12" t="n"/>
      <c r="S4159" s="12" t="inlineStr">
        <is>
          <t>Duct bank</t>
        </is>
      </c>
      <c r="T4159" s="16" t="n">
        <v>322</v>
      </c>
      <c r="U4159" s="16" t="n">
        <v>168</v>
      </c>
      <c r="V4159" s="16">
        <f>ROUNDUP((T4159+U4159+2*'Read Me'!$B$13)*(1+'Read Me'!$B$12),-1)</f>
        <v/>
      </c>
      <c r="W4159" s="16">
        <f>V4159*N4159*O4159</f>
        <v/>
      </c>
      <c r="X4159" s="12">
        <f>IF(LEFT(I4159,2)="MV",2*N4159*IF(L4159="1/C",O4159,1),0)</f>
        <v/>
      </c>
      <c r="Y4159" s="12">
        <f>IF(OR(LEFT(K4159,4)="LVAX",LEFT(K4159,6)="MV15AX",LEFT(K4159,4)="CTAX",LEFT(K4159,2)="W|"),2*N4159*O4159,0)</f>
        <v/>
      </c>
      <c r="Z4159" s="12" t="inlineStr"/>
      <c r="AA4159" s="12">
        <f>N4159*O4159</f>
        <v/>
      </c>
    </row>
    <row r="4160">
      <c r="A4160" s="12" t="inlineStr">
        <is>
          <t>I-C-0064</t>
        </is>
      </c>
      <c r="B4160" s="12" t="inlineStr">
        <is>
          <t>I</t>
        </is>
      </c>
      <c r="C4160" s="12" t="inlineStr">
        <is>
          <t>Modular / portable power</t>
        </is>
      </c>
      <c r="D4160" s="12" t="inlineStr">
        <is>
          <t>Motor 1 of 5: control / local station</t>
        </is>
      </c>
      <c r="E4160" s="12" t="inlineStr"/>
      <c r="F4160" s="12" t="inlineStr">
        <is>
          <t>PCM: power control module</t>
        </is>
      </c>
      <c r="G4160" s="12" t="inlineStr"/>
      <c r="H4160" s="12" t="inlineStr">
        <is>
          <t>RICE 6 radiators (5)</t>
        </is>
      </c>
      <c r="I4160" s="12" t="inlineStr">
        <is>
          <t>Control</t>
        </is>
      </c>
      <c r="J4160" s="12" t="inlineStr">
        <is>
          <t>Control cable 600 V Type TC-ER, Cu #14 AWG, PVC jacket</t>
        </is>
      </c>
      <c r="K4160" s="12" t="inlineStr">
        <is>
          <t>CT|7/C|14</t>
        </is>
      </c>
      <c r="L4160" s="12" t="inlineStr">
        <is>
          <t>7/C</t>
        </is>
      </c>
      <c r="M4160" s="12" t="inlineStr">
        <is>
          <t>14</t>
        </is>
      </c>
      <c r="N4160" s="12" t="n">
        <v>1</v>
      </c>
      <c r="O4160" s="12" t="n">
        <v>1</v>
      </c>
      <c r="P4160" s="12" t="n"/>
      <c r="Q4160" s="12" t="n"/>
      <c r="R4160" s="12" t="n"/>
      <c r="S4160" s="12" t="inlineStr">
        <is>
          <t>Tray</t>
        </is>
      </c>
      <c r="T4160" s="16" t="n">
        <v>0</v>
      </c>
      <c r="U4160" s="16" t="n">
        <v>150</v>
      </c>
      <c r="V4160" s="16">
        <f>ROUNDUP((T4160+U4160+2*'Read Me'!$B$13)*(1+'Read Me'!$B$12),-1)</f>
        <v/>
      </c>
      <c r="W4160" s="16">
        <f>V4160*N4160*O4160</f>
        <v/>
      </c>
      <c r="X4160" s="12">
        <f>IF(LEFT(I4160,2)="MV",2*N4160*IF(L4160="1/C",O4160,1),0)</f>
        <v/>
      </c>
      <c r="Y4160" s="12">
        <f>IF(OR(LEFT(K4160,4)="LVAX",LEFT(K4160,6)="MV15AX",LEFT(K4160,4)="CTAX",LEFT(K4160,2)="W|"),2*N4160*O4160,0)</f>
        <v/>
      </c>
      <c r="Z4160" s="12" t="inlineStr"/>
      <c r="AA4160" s="12">
        <f>N4160*O4160</f>
        <v/>
      </c>
    </row>
    <row r="4161">
      <c r="A4161" s="12" t="inlineStr">
        <is>
          <t>I-C-0065</t>
        </is>
      </c>
      <c r="B4161" s="12" t="inlineStr">
        <is>
          <t>I</t>
        </is>
      </c>
      <c r="C4161" s="12" t="inlineStr">
        <is>
          <t>Modular / portable power</t>
        </is>
      </c>
      <c r="D4161" s="12" t="inlineStr">
        <is>
          <t>Motor 2 of 5: control / local station</t>
        </is>
      </c>
      <c r="E4161" s="12" t="inlineStr"/>
      <c r="F4161" s="12" t="inlineStr">
        <is>
          <t>PCM: power control module</t>
        </is>
      </c>
      <c r="G4161" s="12" t="inlineStr"/>
      <c r="H4161" s="12" t="inlineStr">
        <is>
          <t>RICE 6 radiators (5)</t>
        </is>
      </c>
      <c r="I4161" s="12" t="inlineStr">
        <is>
          <t>Control</t>
        </is>
      </c>
      <c r="J4161" s="12" t="inlineStr">
        <is>
          <t>Control cable 600 V Type TC-ER, Cu #14 AWG, PVC jacket</t>
        </is>
      </c>
      <c r="K4161" s="12" t="inlineStr">
        <is>
          <t>CT|7/C|14</t>
        </is>
      </c>
      <c r="L4161" s="12" t="inlineStr">
        <is>
          <t>7/C</t>
        </is>
      </c>
      <c r="M4161" s="12" t="inlineStr">
        <is>
          <t>14</t>
        </is>
      </c>
      <c r="N4161" s="12" t="n">
        <v>1</v>
      </c>
      <c r="O4161" s="12" t="n">
        <v>1</v>
      </c>
      <c r="P4161" s="12" t="n"/>
      <c r="Q4161" s="12" t="n"/>
      <c r="R4161" s="12" t="n"/>
      <c r="S4161" s="12" t="inlineStr">
        <is>
          <t>Tray</t>
        </is>
      </c>
      <c r="T4161" s="16" t="n">
        <v>0</v>
      </c>
      <c r="U4161" s="16" t="n">
        <v>150</v>
      </c>
      <c r="V4161" s="16">
        <f>ROUNDUP((T4161+U4161+2*'Read Me'!$B$13)*(1+'Read Me'!$B$12),-1)</f>
        <v/>
      </c>
      <c r="W4161" s="16">
        <f>V4161*N4161*O4161</f>
        <v/>
      </c>
      <c r="X4161" s="12">
        <f>IF(LEFT(I4161,2)="MV",2*N4161*IF(L4161="1/C",O4161,1),0)</f>
        <v/>
      </c>
      <c r="Y4161" s="12">
        <f>IF(OR(LEFT(K4161,4)="LVAX",LEFT(K4161,6)="MV15AX",LEFT(K4161,4)="CTAX",LEFT(K4161,2)="W|"),2*N4161*O4161,0)</f>
        <v/>
      </c>
      <c r="Z4161" s="12" t="inlineStr"/>
      <c r="AA4161" s="12">
        <f>N4161*O4161</f>
        <v/>
      </c>
    </row>
    <row r="4162">
      <c r="A4162" s="12" t="inlineStr">
        <is>
          <t>I-C-0066</t>
        </is>
      </c>
      <c r="B4162" s="12" t="inlineStr">
        <is>
          <t>I</t>
        </is>
      </c>
      <c r="C4162" s="12" t="inlineStr">
        <is>
          <t>Modular / portable power</t>
        </is>
      </c>
      <c r="D4162" s="12" t="inlineStr">
        <is>
          <t>Motor 3 of 5: control / local station</t>
        </is>
      </c>
      <c r="E4162" s="12" t="inlineStr"/>
      <c r="F4162" s="12" t="inlineStr">
        <is>
          <t>PCM: power control module</t>
        </is>
      </c>
      <c r="G4162" s="12" t="inlineStr"/>
      <c r="H4162" s="12" t="inlineStr">
        <is>
          <t>RICE 6 radiators (5)</t>
        </is>
      </c>
      <c r="I4162" s="12" t="inlineStr">
        <is>
          <t>Control</t>
        </is>
      </c>
      <c r="J4162" s="12" t="inlineStr">
        <is>
          <t>Control cable 600 V Type TC-ER, Cu #14 AWG, PVC jacket</t>
        </is>
      </c>
      <c r="K4162" s="12" t="inlineStr">
        <is>
          <t>CT|7/C|14</t>
        </is>
      </c>
      <c r="L4162" s="12" t="inlineStr">
        <is>
          <t>7/C</t>
        </is>
      </c>
      <c r="M4162" s="12" t="inlineStr">
        <is>
          <t>14</t>
        </is>
      </c>
      <c r="N4162" s="12" t="n">
        <v>1</v>
      </c>
      <c r="O4162" s="12" t="n">
        <v>1</v>
      </c>
      <c r="P4162" s="12" t="n"/>
      <c r="Q4162" s="12" t="n"/>
      <c r="R4162" s="12" t="n"/>
      <c r="S4162" s="12" t="inlineStr">
        <is>
          <t>Tray</t>
        </is>
      </c>
      <c r="T4162" s="16" t="n">
        <v>0</v>
      </c>
      <c r="U4162" s="16" t="n">
        <v>150</v>
      </c>
      <c r="V4162" s="16">
        <f>ROUNDUP((T4162+U4162+2*'Read Me'!$B$13)*(1+'Read Me'!$B$12),-1)</f>
        <v/>
      </c>
      <c r="W4162" s="16">
        <f>V4162*N4162*O4162</f>
        <v/>
      </c>
      <c r="X4162" s="12">
        <f>IF(LEFT(I4162,2)="MV",2*N4162*IF(L4162="1/C",O4162,1),0)</f>
        <v/>
      </c>
      <c r="Y4162" s="12">
        <f>IF(OR(LEFT(K4162,4)="LVAX",LEFT(K4162,6)="MV15AX",LEFT(K4162,4)="CTAX",LEFT(K4162,2)="W|"),2*N4162*O4162,0)</f>
        <v/>
      </c>
      <c r="Z4162" s="12" t="inlineStr"/>
      <c r="AA4162" s="12">
        <f>N4162*O4162</f>
        <v/>
      </c>
    </row>
    <row r="4163">
      <c r="A4163" s="12" t="inlineStr">
        <is>
          <t>I-C-0067</t>
        </is>
      </c>
      <c r="B4163" s="12" t="inlineStr">
        <is>
          <t>I</t>
        </is>
      </c>
      <c r="C4163" s="12" t="inlineStr">
        <is>
          <t>Modular / portable power</t>
        </is>
      </c>
      <c r="D4163" s="12" t="inlineStr">
        <is>
          <t>Motor 4 of 5: control / local station</t>
        </is>
      </c>
      <c r="E4163" s="12" t="inlineStr"/>
      <c r="F4163" s="12" t="inlineStr">
        <is>
          <t>PCM: power control module</t>
        </is>
      </c>
      <c r="G4163" s="12" t="inlineStr"/>
      <c r="H4163" s="12" t="inlineStr">
        <is>
          <t>RICE 6 radiators (5)</t>
        </is>
      </c>
      <c r="I4163" s="12" t="inlineStr">
        <is>
          <t>Control</t>
        </is>
      </c>
      <c r="J4163" s="12" t="inlineStr">
        <is>
          <t>Control cable 600 V Type TC-ER, Cu #14 AWG, PVC jacket</t>
        </is>
      </c>
      <c r="K4163" s="12" t="inlineStr">
        <is>
          <t>CT|7/C|14</t>
        </is>
      </c>
      <c r="L4163" s="12" t="inlineStr">
        <is>
          <t>7/C</t>
        </is>
      </c>
      <c r="M4163" s="12" t="inlineStr">
        <is>
          <t>14</t>
        </is>
      </c>
      <c r="N4163" s="12" t="n">
        <v>1</v>
      </c>
      <c r="O4163" s="12" t="n">
        <v>1</v>
      </c>
      <c r="P4163" s="12" t="n"/>
      <c r="Q4163" s="12" t="n"/>
      <c r="R4163" s="12" t="n"/>
      <c r="S4163" s="12" t="inlineStr">
        <is>
          <t>Tray</t>
        </is>
      </c>
      <c r="T4163" s="16" t="n">
        <v>0</v>
      </c>
      <c r="U4163" s="16" t="n">
        <v>150</v>
      </c>
      <c r="V4163" s="16">
        <f>ROUNDUP((T4163+U4163+2*'Read Me'!$B$13)*(1+'Read Me'!$B$12),-1)</f>
        <v/>
      </c>
      <c r="W4163" s="16">
        <f>V4163*N4163*O4163</f>
        <v/>
      </c>
      <c r="X4163" s="12">
        <f>IF(LEFT(I4163,2)="MV",2*N4163*IF(L4163="1/C",O4163,1),0)</f>
        <v/>
      </c>
      <c r="Y4163" s="12">
        <f>IF(OR(LEFT(K4163,4)="LVAX",LEFT(K4163,6)="MV15AX",LEFT(K4163,4)="CTAX",LEFT(K4163,2)="W|"),2*N4163*O4163,0)</f>
        <v/>
      </c>
      <c r="Z4163" s="12" t="inlineStr"/>
      <c r="AA4163" s="12">
        <f>N4163*O4163</f>
        <v/>
      </c>
    </row>
    <row r="4164">
      <c r="A4164" s="12" t="inlineStr">
        <is>
          <t>I-C-0068</t>
        </is>
      </c>
      <c r="B4164" s="12" t="inlineStr">
        <is>
          <t>I</t>
        </is>
      </c>
      <c r="C4164" s="12" t="inlineStr">
        <is>
          <t>Modular / portable power</t>
        </is>
      </c>
      <c r="D4164" s="12" t="inlineStr">
        <is>
          <t>Motor 5 of 5: control / local station</t>
        </is>
      </c>
      <c r="E4164" s="12" t="inlineStr"/>
      <c r="F4164" s="12" t="inlineStr">
        <is>
          <t>PCM: power control module</t>
        </is>
      </c>
      <c r="G4164" s="12" t="inlineStr"/>
      <c r="H4164" s="12" t="inlineStr">
        <is>
          <t>RICE 6 radiators (5)</t>
        </is>
      </c>
      <c r="I4164" s="12" t="inlineStr">
        <is>
          <t>Control</t>
        </is>
      </c>
      <c r="J4164" s="12" t="inlineStr">
        <is>
          <t>Control cable 600 V Type TC-ER, Cu #14 AWG, PVC jacket</t>
        </is>
      </c>
      <c r="K4164" s="12" t="inlineStr">
        <is>
          <t>CT|7/C|14</t>
        </is>
      </c>
      <c r="L4164" s="12" t="inlineStr">
        <is>
          <t>7/C</t>
        </is>
      </c>
      <c r="M4164" s="12" t="inlineStr">
        <is>
          <t>14</t>
        </is>
      </c>
      <c r="N4164" s="12" t="n">
        <v>1</v>
      </c>
      <c r="O4164" s="12" t="n">
        <v>1</v>
      </c>
      <c r="P4164" s="12" t="n"/>
      <c r="Q4164" s="12" t="n"/>
      <c r="R4164" s="12" t="n"/>
      <c r="S4164" s="12" t="inlineStr">
        <is>
          <t>Tray</t>
        </is>
      </c>
      <c r="T4164" s="16" t="n">
        <v>0</v>
      </c>
      <c r="U4164" s="16" t="n">
        <v>150</v>
      </c>
      <c r="V4164" s="16">
        <f>ROUNDUP((T4164+U4164+2*'Read Me'!$B$13)*(1+'Read Me'!$B$12),-1)</f>
        <v/>
      </c>
      <c r="W4164" s="16">
        <f>V4164*N4164*O4164</f>
        <v/>
      </c>
      <c r="X4164" s="12">
        <f>IF(LEFT(I4164,2)="MV",2*N4164*IF(L4164="1/C",O4164,1),0)</f>
        <v/>
      </c>
      <c r="Y4164" s="12">
        <f>IF(OR(LEFT(K4164,4)="LVAX",LEFT(K4164,6)="MV15AX",LEFT(K4164,4)="CTAX",LEFT(K4164,2)="W|"),2*N4164*O4164,0)</f>
        <v/>
      </c>
      <c r="Z4164" s="12" t="inlineStr"/>
      <c r="AA4164" s="12">
        <f>N4164*O4164</f>
        <v/>
      </c>
    </row>
    <row r="4165">
      <c r="A4165" s="12" t="inlineStr">
        <is>
          <t>I-C-0069</t>
        </is>
      </c>
      <c r="B4165" s="12" t="inlineStr">
        <is>
          <t>I</t>
        </is>
      </c>
      <c r="C4165" s="12" t="inlineStr">
        <is>
          <t>Modular / portable power</t>
        </is>
      </c>
      <c r="D4165" s="12" t="inlineStr">
        <is>
          <t>Motor 1 of 1: control / local station</t>
        </is>
      </c>
      <c r="E4165" s="12" t="inlineStr"/>
      <c r="F4165" s="12" t="inlineStr">
        <is>
          <t>PCM: power control module</t>
        </is>
      </c>
      <c r="G4165" s="12" t="inlineStr"/>
      <c r="H4165" s="12" t="inlineStr">
        <is>
          <t>RICE 7 SCR + oxidation catalyst and stack</t>
        </is>
      </c>
      <c r="I4165" s="12" t="inlineStr">
        <is>
          <t>Control</t>
        </is>
      </c>
      <c r="J4165" s="12" t="inlineStr">
        <is>
          <t>Control cable 600 V Type TC-ER, Cu #14 AWG, PVC jacket</t>
        </is>
      </c>
      <c r="K4165" s="12" t="inlineStr">
        <is>
          <t>CT|7/C|14</t>
        </is>
      </c>
      <c r="L4165" s="12" t="inlineStr">
        <is>
          <t>7/C</t>
        </is>
      </c>
      <c r="M4165" s="12" t="inlineStr">
        <is>
          <t>14</t>
        </is>
      </c>
      <c r="N4165" s="12" t="n">
        <v>1</v>
      </c>
      <c r="O4165" s="12" t="n">
        <v>1</v>
      </c>
      <c r="P4165" s="12" t="n"/>
      <c r="Q4165" s="12" t="n"/>
      <c r="R4165" s="12" t="n"/>
      <c r="S4165" s="12" t="inlineStr">
        <is>
          <t>Duct bank</t>
        </is>
      </c>
      <c r="T4165" s="16" t="n">
        <v>322</v>
      </c>
      <c r="U4165" s="16" t="n">
        <v>140</v>
      </c>
      <c r="V4165" s="16">
        <f>ROUNDUP((T4165+U4165+2*'Read Me'!$B$13)*(1+'Read Me'!$B$12),-1)</f>
        <v/>
      </c>
      <c r="W4165" s="16">
        <f>V4165*N4165*O4165</f>
        <v/>
      </c>
      <c r="X4165" s="12">
        <f>IF(LEFT(I4165,2)="MV",2*N4165*IF(L4165="1/C",O4165,1),0)</f>
        <v/>
      </c>
      <c r="Y4165" s="12">
        <f>IF(OR(LEFT(K4165,4)="LVAX",LEFT(K4165,6)="MV15AX",LEFT(K4165,4)="CTAX",LEFT(K4165,2)="W|"),2*N4165*O4165,0)</f>
        <v/>
      </c>
      <c r="Z4165" s="12" t="inlineStr"/>
      <c r="AA4165" s="12">
        <f>N4165*O4165</f>
        <v/>
      </c>
    </row>
    <row r="4166">
      <c r="A4166" s="12" t="inlineStr">
        <is>
          <t>I-C-0070</t>
        </is>
      </c>
      <c r="B4166" s="12" t="inlineStr">
        <is>
          <t>I</t>
        </is>
      </c>
      <c r="C4166" s="12" t="inlineStr">
        <is>
          <t>Modular / portable power</t>
        </is>
      </c>
      <c r="D4166" s="12" t="inlineStr">
        <is>
          <t>Motor 1 of 5: control / local station</t>
        </is>
      </c>
      <c r="E4166" s="12" t="inlineStr"/>
      <c r="F4166" s="12" t="inlineStr">
        <is>
          <t>PCM: power control module</t>
        </is>
      </c>
      <c r="G4166" s="12" t="inlineStr"/>
      <c r="H4166" s="12" t="inlineStr">
        <is>
          <t>RICE 7 radiators (5)</t>
        </is>
      </c>
      <c r="I4166" s="12" t="inlineStr">
        <is>
          <t>Control</t>
        </is>
      </c>
      <c r="J4166" s="12" t="inlineStr">
        <is>
          <t>Control cable 600 V Type TC-ER, Cu #14 AWG, PVC jacket</t>
        </is>
      </c>
      <c r="K4166" s="12" t="inlineStr">
        <is>
          <t>CT|7/C|14</t>
        </is>
      </c>
      <c r="L4166" s="12" t="inlineStr">
        <is>
          <t>7/C</t>
        </is>
      </c>
      <c r="M4166" s="12" t="inlineStr">
        <is>
          <t>14</t>
        </is>
      </c>
      <c r="N4166" s="12" t="n">
        <v>1</v>
      </c>
      <c r="O4166" s="12" t="n">
        <v>1</v>
      </c>
      <c r="P4166" s="12" t="n"/>
      <c r="Q4166" s="12" t="n"/>
      <c r="R4166" s="12" t="n"/>
      <c r="S4166" s="12" t="inlineStr">
        <is>
          <t>Tray</t>
        </is>
      </c>
      <c r="T4166" s="16" t="n">
        <v>0</v>
      </c>
      <c r="U4166" s="16" t="n">
        <v>122</v>
      </c>
      <c r="V4166" s="16">
        <f>ROUNDUP((T4166+U4166+2*'Read Me'!$B$13)*(1+'Read Me'!$B$12),-1)</f>
        <v/>
      </c>
      <c r="W4166" s="16">
        <f>V4166*N4166*O4166</f>
        <v/>
      </c>
      <c r="X4166" s="12">
        <f>IF(LEFT(I4166,2)="MV",2*N4166*IF(L4166="1/C",O4166,1),0)</f>
        <v/>
      </c>
      <c r="Y4166" s="12">
        <f>IF(OR(LEFT(K4166,4)="LVAX",LEFT(K4166,6)="MV15AX",LEFT(K4166,4)="CTAX",LEFT(K4166,2)="W|"),2*N4166*O4166,0)</f>
        <v/>
      </c>
      <c r="Z4166" s="12" t="inlineStr"/>
      <c r="AA4166" s="12">
        <f>N4166*O4166</f>
        <v/>
      </c>
    </row>
    <row r="4167">
      <c r="A4167" s="12" t="inlineStr">
        <is>
          <t>I-C-0071</t>
        </is>
      </c>
      <c r="B4167" s="12" t="inlineStr">
        <is>
          <t>I</t>
        </is>
      </c>
      <c r="C4167" s="12" t="inlineStr">
        <is>
          <t>Modular / portable power</t>
        </is>
      </c>
      <c r="D4167" s="12" t="inlineStr">
        <is>
          <t>Motor 2 of 5: control / local station</t>
        </is>
      </c>
      <c r="E4167" s="12" t="inlineStr"/>
      <c r="F4167" s="12" t="inlineStr">
        <is>
          <t>PCM: power control module</t>
        </is>
      </c>
      <c r="G4167" s="12" t="inlineStr"/>
      <c r="H4167" s="12" t="inlineStr">
        <is>
          <t>RICE 7 radiators (5)</t>
        </is>
      </c>
      <c r="I4167" s="12" t="inlineStr">
        <is>
          <t>Control</t>
        </is>
      </c>
      <c r="J4167" s="12" t="inlineStr">
        <is>
          <t>Control cable 600 V Type TC-ER, Cu #14 AWG, PVC jacket</t>
        </is>
      </c>
      <c r="K4167" s="12" t="inlineStr">
        <is>
          <t>CT|7/C|14</t>
        </is>
      </c>
      <c r="L4167" s="12" t="inlineStr">
        <is>
          <t>7/C</t>
        </is>
      </c>
      <c r="M4167" s="12" t="inlineStr">
        <is>
          <t>14</t>
        </is>
      </c>
      <c r="N4167" s="12" t="n">
        <v>1</v>
      </c>
      <c r="O4167" s="12" t="n">
        <v>1</v>
      </c>
      <c r="P4167" s="12" t="n"/>
      <c r="Q4167" s="12" t="n"/>
      <c r="R4167" s="12" t="n"/>
      <c r="S4167" s="12" t="inlineStr">
        <is>
          <t>Tray</t>
        </is>
      </c>
      <c r="T4167" s="16" t="n">
        <v>0</v>
      </c>
      <c r="U4167" s="16" t="n">
        <v>122</v>
      </c>
      <c r="V4167" s="16">
        <f>ROUNDUP((T4167+U4167+2*'Read Me'!$B$13)*(1+'Read Me'!$B$12),-1)</f>
        <v/>
      </c>
      <c r="W4167" s="16">
        <f>V4167*N4167*O4167</f>
        <v/>
      </c>
      <c r="X4167" s="12">
        <f>IF(LEFT(I4167,2)="MV",2*N4167*IF(L4167="1/C",O4167,1),0)</f>
        <v/>
      </c>
      <c r="Y4167" s="12">
        <f>IF(OR(LEFT(K4167,4)="LVAX",LEFT(K4167,6)="MV15AX",LEFT(K4167,4)="CTAX",LEFT(K4167,2)="W|"),2*N4167*O4167,0)</f>
        <v/>
      </c>
      <c r="Z4167" s="12" t="inlineStr"/>
      <c r="AA4167" s="12">
        <f>N4167*O4167</f>
        <v/>
      </c>
    </row>
    <row r="4168">
      <c r="A4168" s="12" t="inlineStr">
        <is>
          <t>I-C-0072</t>
        </is>
      </c>
      <c r="B4168" s="12" t="inlineStr">
        <is>
          <t>I</t>
        </is>
      </c>
      <c r="C4168" s="12" t="inlineStr">
        <is>
          <t>Modular / portable power</t>
        </is>
      </c>
      <c r="D4168" s="12" t="inlineStr">
        <is>
          <t>Motor 3 of 5: control / local station</t>
        </is>
      </c>
      <c r="E4168" s="12" t="inlineStr"/>
      <c r="F4168" s="12" t="inlineStr">
        <is>
          <t>PCM: power control module</t>
        </is>
      </c>
      <c r="G4168" s="12" t="inlineStr"/>
      <c r="H4168" s="12" t="inlineStr">
        <is>
          <t>RICE 7 radiators (5)</t>
        </is>
      </c>
      <c r="I4168" s="12" t="inlineStr">
        <is>
          <t>Control</t>
        </is>
      </c>
      <c r="J4168" s="12" t="inlineStr">
        <is>
          <t>Control cable 600 V Type TC-ER, Cu #14 AWG, PVC jacket</t>
        </is>
      </c>
      <c r="K4168" s="12" t="inlineStr">
        <is>
          <t>CT|7/C|14</t>
        </is>
      </c>
      <c r="L4168" s="12" t="inlineStr">
        <is>
          <t>7/C</t>
        </is>
      </c>
      <c r="M4168" s="12" t="inlineStr">
        <is>
          <t>14</t>
        </is>
      </c>
      <c r="N4168" s="12" t="n">
        <v>1</v>
      </c>
      <c r="O4168" s="12" t="n">
        <v>1</v>
      </c>
      <c r="P4168" s="12" t="n"/>
      <c r="Q4168" s="12" t="n"/>
      <c r="R4168" s="12" t="n"/>
      <c r="S4168" s="12" t="inlineStr">
        <is>
          <t>Tray</t>
        </is>
      </c>
      <c r="T4168" s="16" t="n">
        <v>0</v>
      </c>
      <c r="U4168" s="16" t="n">
        <v>122</v>
      </c>
      <c r="V4168" s="16">
        <f>ROUNDUP((T4168+U4168+2*'Read Me'!$B$13)*(1+'Read Me'!$B$12),-1)</f>
        <v/>
      </c>
      <c r="W4168" s="16">
        <f>V4168*N4168*O4168</f>
        <v/>
      </c>
      <c r="X4168" s="12">
        <f>IF(LEFT(I4168,2)="MV",2*N4168*IF(L4168="1/C",O4168,1),0)</f>
        <v/>
      </c>
      <c r="Y4168" s="12">
        <f>IF(OR(LEFT(K4168,4)="LVAX",LEFT(K4168,6)="MV15AX",LEFT(K4168,4)="CTAX",LEFT(K4168,2)="W|"),2*N4168*O4168,0)</f>
        <v/>
      </c>
      <c r="Z4168" s="12" t="inlineStr"/>
      <c r="AA4168" s="12">
        <f>N4168*O4168</f>
        <v/>
      </c>
    </row>
    <row r="4169">
      <c r="A4169" s="12" t="inlineStr">
        <is>
          <t>I-C-0073</t>
        </is>
      </c>
      <c r="B4169" s="12" t="inlineStr">
        <is>
          <t>I</t>
        </is>
      </c>
      <c r="C4169" s="12" t="inlineStr">
        <is>
          <t>Modular / portable power</t>
        </is>
      </c>
      <c r="D4169" s="12" t="inlineStr">
        <is>
          <t>Motor 4 of 5: control / local station</t>
        </is>
      </c>
      <c r="E4169" s="12" t="inlineStr"/>
      <c r="F4169" s="12" t="inlineStr">
        <is>
          <t>PCM: power control module</t>
        </is>
      </c>
      <c r="G4169" s="12" t="inlineStr"/>
      <c r="H4169" s="12" t="inlineStr">
        <is>
          <t>RICE 7 radiators (5)</t>
        </is>
      </c>
      <c r="I4169" s="12" t="inlineStr">
        <is>
          <t>Control</t>
        </is>
      </c>
      <c r="J4169" s="12" t="inlineStr">
        <is>
          <t>Control cable 600 V Type TC-ER, Cu #14 AWG, PVC jacket</t>
        </is>
      </c>
      <c r="K4169" s="12" t="inlineStr">
        <is>
          <t>CT|7/C|14</t>
        </is>
      </c>
      <c r="L4169" s="12" t="inlineStr">
        <is>
          <t>7/C</t>
        </is>
      </c>
      <c r="M4169" s="12" t="inlineStr">
        <is>
          <t>14</t>
        </is>
      </c>
      <c r="N4169" s="12" t="n">
        <v>1</v>
      </c>
      <c r="O4169" s="12" t="n">
        <v>1</v>
      </c>
      <c r="P4169" s="12" t="n"/>
      <c r="Q4169" s="12" t="n"/>
      <c r="R4169" s="12" t="n"/>
      <c r="S4169" s="12" t="inlineStr">
        <is>
          <t>Tray</t>
        </is>
      </c>
      <c r="T4169" s="16" t="n">
        <v>0</v>
      </c>
      <c r="U4169" s="16" t="n">
        <v>122</v>
      </c>
      <c r="V4169" s="16">
        <f>ROUNDUP((T4169+U4169+2*'Read Me'!$B$13)*(1+'Read Me'!$B$12),-1)</f>
        <v/>
      </c>
      <c r="W4169" s="16">
        <f>V4169*N4169*O4169</f>
        <v/>
      </c>
      <c r="X4169" s="12">
        <f>IF(LEFT(I4169,2)="MV",2*N4169*IF(L4169="1/C",O4169,1),0)</f>
        <v/>
      </c>
      <c r="Y4169" s="12">
        <f>IF(OR(LEFT(K4169,4)="LVAX",LEFT(K4169,6)="MV15AX",LEFT(K4169,4)="CTAX",LEFT(K4169,2)="W|"),2*N4169*O4169,0)</f>
        <v/>
      </c>
      <c r="Z4169" s="12" t="inlineStr"/>
      <c r="AA4169" s="12">
        <f>N4169*O4169</f>
        <v/>
      </c>
    </row>
    <row r="4170">
      <c r="A4170" s="12" t="inlineStr">
        <is>
          <t>I-C-0074</t>
        </is>
      </c>
      <c r="B4170" s="12" t="inlineStr">
        <is>
          <t>I</t>
        </is>
      </c>
      <c r="C4170" s="12" t="inlineStr">
        <is>
          <t>Modular / portable power</t>
        </is>
      </c>
      <c r="D4170" s="12" t="inlineStr">
        <is>
          <t>Motor 5 of 5: control / local station</t>
        </is>
      </c>
      <c r="E4170" s="12" t="inlineStr"/>
      <c r="F4170" s="12" t="inlineStr">
        <is>
          <t>PCM: power control module</t>
        </is>
      </c>
      <c r="G4170" s="12" t="inlineStr"/>
      <c r="H4170" s="12" t="inlineStr">
        <is>
          <t>RICE 7 radiators (5)</t>
        </is>
      </c>
      <c r="I4170" s="12" t="inlineStr">
        <is>
          <t>Control</t>
        </is>
      </c>
      <c r="J4170" s="12" t="inlineStr">
        <is>
          <t>Control cable 600 V Type TC-ER, Cu #14 AWG, PVC jacket</t>
        </is>
      </c>
      <c r="K4170" s="12" t="inlineStr">
        <is>
          <t>CT|7/C|14</t>
        </is>
      </c>
      <c r="L4170" s="12" t="inlineStr">
        <is>
          <t>7/C</t>
        </is>
      </c>
      <c r="M4170" s="12" t="inlineStr">
        <is>
          <t>14</t>
        </is>
      </c>
      <c r="N4170" s="12" t="n">
        <v>1</v>
      </c>
      <c r="O4170" s="12" t="n">
        <v>1</v>
      </c>
      <c r="P4170" s="12" t="n"/>
      <c r="Q4170" s="12" t="n"/>
      <c r="R4170" s="12" t="n"/>
      <c r="S4170" s="12" t="inlineStr">
        <is>
          <t>Tray</t>
        </is>
      </c>
      <c r="T4170" s="16" t="n">
        <v>0</v>
      </c>
      <c r="U4170" s="16" t="n">
        <v>122</v>
      </c>
      <c r="V4170" s="16">
        <f>ROUNDUP((T4170+U4170+2*'Read Me'!$B$13)*(1+'Read Me'!$B$12),-1)</f>
        <v/>
      </c>
      <c r="W4170" s="16">
        <f>V4170*N4170*O4170</f>
        <v/>
      </c>
      <c r="X4170" s="12">
        <f>IF(LEFT(I4170,2)="MV",2*N4170*IF(L4170="1/C",O4170,1),0)</f>
        <v/>
      </c>
      <c r="Y4170" s="12">
        <f>IF(OR(LEFT(K4170,4)="LVAX",LEFT(K4170,6)="MV15AX",LEFT(K4170,4)="CTAX",LEFT(K4170,2)="W|"),2*N4170*O4170,0)</f>
        <v/>
      </c>
      <c r="Z4170" s="12" t="inlineStr"/>
      <c r="AA4170" s="12">
        <f>N4170*O4170</f>
        <v/>
      </c>
    </row>
    <row r="4171">
      <c r="A4171" s="12" t="inlineStr">
        <is>
          <t>I-C-0075</t>
        </is>
      </c>
      <c r="B4171" s="12" t="inlineStr">
        <is>
          <t>I</t>
        </is>
      </c>
      <c r="C4171" s="12" t="inlineStr">
        <is>
          <t>Modular / portable power</t>
        </is>
      </c>
      <c r="D4171" s="12" t="inlineStr">
        <is>
          <t>Motor 1 of 1: control / local station</t>
        </is>
      </c>
      <c r="E4171" s="12" t="inlineStr"/>
      <c r="F4171" s="12" t="inlineStr">
        <is>
          <t>PCM: power control module</t>
        </is>
      </c>
      <c r="G4171" s="12" t="inlineStr"/>
      <c r="H4171" s="12" t="inlineStr">
        <is>
          <t>RICE 8 SCR + oxidation catalyst and stack</t>
        </is>
      </c>
      <c r="I4171" s="12" t="inlineStr">
        <is>
          <t>Control</t>
        </is>
      </c>
      <c r="J4171" s="12" t="inlineStr">
        <is>
          <t>Control cable 600 V Type TC-ER, Cu #14 AWG, PVC jacket</t>
        </is>
      </c>
      <c r="K4171" s="12" t="inlineStr">
        <is>
          <t>CT|7/C|14</t>
        </is>
      </c>
      <c r="L4171" s="12" t="inlineStr">
        <is>
          <t>7/C</t>
        </is>
      </c>
      <c r="M4171" s="12" t="inlineStr">
        <is>
          <t>14</t>
        </is>
      </c>
      <c r="N4171" s="12" t="n">
        <v>1</v>
      </c>
      <c r="O4171" s="12" t="n">
        <v>1</v>
      </c>
      <c r="P4171" s="12" t="n"/>
      <c r="Q4171" s="12" t="n"/>
      <c r="R4171" s="12" t="n"/>
      <c r="S4171" s="12" t="inlineStr">
        <is>
          <t>Duct bank</t>
        </is>
      </c>
      <c r="T4171" s="16" t="n">
        <v>322</v>
      </c>
      <c r="U4171" s="16" t="n">
        <v>112</v>
      </c>
      <c r="V4171" s="16">
        <f>ROUNDUP((T4171+U4171+2*'Read Me'!$B$13)*(1+'Read Me'!$B$12),-1)</f>
        <v/>
      </c>
      <c r="W4171" s="16">
        <f>V4171*N4171*O4171</f>
        <v/>
      </c>
      <c r="X4171" s="12">
        <f>IF(LEFT(I4171,2)="MV",2*N4171*IF(L4171="1/C",O4171,1),0)</f>
        <v/>
      </c>
      <c r="Y4171" s="12">
        <f>IF(OR(LEFT(K4171,4)="LVAX",LEFT(K4171,6)="MV15AX",LEFT(K4171,4)="CTAX",LEFT(K4171,2)="W|"),2*N4171*O4171,0)</f>
        <v/>
      </c>
      <c r="Z4171" s="12" t="inlineStr"/>
      <c r="AA4171" s="12">
        <f>N4171*O4171</f>
        <v/>
      </c>
    </row>
    <row r="4172">
      <c r="A4172" s="12" t="inlineStr">
        <is>
          <t>I-C-0076</t>
        </is>
      </c>
      <c r="B4172" s="12" t="inlineStr">
        <is>
          <t>I</t>
        </is>
      </c>
      <c r="C4172" s="12" t="inlineStr">
        <is>
          <t>Modular / portable power</t>
        </is>
      </c>
      <c r="D4172" s="12" t="inlineStr">
        <is>
          <t>Motor 1 of 5: control / local station</t>
        </is>
      </c>
      <c r="E4172" s="12" t="inlineStr"/>
      <c r="F4172" s="12" t="inlineStr">
        <is>
          <t>PCM: power control module</t>
        </is>
      </c>
      <c r="G4172" s="12" t="inlineStr"/>
      <c r="H4172" s="12" t="inlineStr">
        <is>
          <t>RICE 8 radiators (5)</t>
        </is>
      </c>
      <c r="I4172" s="12" t="inlineStr">
        <is>
          <t>Control</t>
        </is>
      </c>
      <c r="J4172" s="12" t="inlineStr">
        <is>
          <t>Control cable 600 V Type TC-ER, Cu #14 AWG, PVC jacket</t>
        </is>
      </c>
      <c r="K4172" s="12" t="inlineStr">
        <is>
          <t>CT|7/C|14</t>
        </is>
      </c>
      <c r="L4172" s="12" t="inlineStr">
        <is>
          <t>7/C</t>
        </is>
      </c>
      <c r="M4172" s="12" t="inlineStr">
        <is>
          <t>14</t>
        </is>
      </c>
      <c r="N4172" s="12" t="n">
        <v>1</v>
      </c>
      <c r="O4172" s="12" t="n">
        <v>1</v>
      </c>
      <c r="P4172" s="12" t="n"/>
      <c r="Q4172" s="12" t="n"/>
      <c r="R4172" s="12" t="n"/>
      <c r="S4172" s="12" t="inlineStr">
        <is>
          <t>Tray</t>
        </is>
      </c>
      <c r="T4172" s="16" t="n">
        <v>0</v>
      </c>
      <c r="U4172" s="16" t="n">
        <v>94</v>
      </c>
      <c r="V4172" s="16">
        <f>ROUNDUP((T4172+U4172+2*'Read Me'!$B$13)*(1+'Read Me'!$B$12),-1)</f>
        <v/>
      </c>
      <c r="W4172" s="16">
        <f>V4172*N4172*O4172</f>
        <v/>
      </c>
      <c r="X4172" s="12">
        <f>IF(LEFT(I4172,2)="MV",2*N4172*IF(L4172="1/C",O4172,1),0)</f>
        <v/>
      </c>
      <c r="Y4172" s="12">
        <f>IF(OR(LEFT(K4172,4)="LVAX",LEFT(K4172,6)="MV15AX",LEFT(K4172,4)="CTAX",LEFT(K4172,2)="W|"),2*N4172*O4172,0)</f>
        <v/>
      </c>
      <c r="Z4172" s="12" t="inlineStr"/>
      <c r="AA4172" s="12">
        <f>N4172*O4172</f>
        <v/>
      </c>
    </row>
    <row r="4173">
      <c r="A4173" s="12" t="inlineStr">
        <is>
          <t>I-C-0077</t>
        </is>
      </c>
      <c r="B4173" s="12" t="inlineStr">
        <is>
          <t>I</t>
        </is>
      </c>
      <c r="C4173" s="12" t="inlineStr">
        <is>
          <t>Modular / portable power</t>
        </is>
      </c>
      <c r="D4173" s="12" t="inlineStr">
        <is>
          <t>Motor 2 of 5: control / local station</t>
        </is>
      </c>
      <c r="E4173" s="12" t="inlineStr"/>
      <c r="F4173" s="12" t="inlineStr">
        <is>
          <t>PCM: power control module</t>
        </is>
      </c>
      <c r="G4173" s="12" t="inlineStr"/>
      <c r="H4173" s="12" t="inlineStr">
        <is>
          <t>RICE 8 radiators (5)</t>
        </is>
      </c>
      <c r="I4173" s="12" t="inlineStr">
        <is>
          <t>Control</t>
        </is>
      </c>
      <c r="J4173" s="12" t="inlineStr">
        <is>
          <t>Control cable 600 V Type TC-ER, Cu #14 AWG, PVC jacket</t>
        </is>
      </c>
      <c r="K4173" s="12" t="inlineStr">
        <is>
          <t>CT|7/C|14</t>
        </is>
      </c>
      <c r="L4173" s="12" t="inlineStr">
        <is>
          <t>7/C</t>
        </is>
      </c>
      <c r="M4173" s="12" t="inlineStr">
        <is>
          <t>14</t>
        </is>
      </c>
      <c r="N4173" s="12" t="n">
        <v>1</v>
      </c>
      <c r="O4173" s="12" t="n">
        <v>1</v>
      </c>
      <c r="P4173" s="12" t="n"/>
      <c r="Q4173" s="12" t="n"/>
      <c r="R4173" s="12" t="n"/>
      <c r="S4173" s="12" t="inlineStr">
        <is>
          <t>Tray</t>
        </is>
      </c>
      <c r="T4173" s="16" t="n">
        <v>0</v>
      </c>
      <c r="U4173" s="16" t="n">
        <v>94</v>
      </c>
      <c r="V4173" s="16">
        <f>ROUNDUP((T4173+U4173+2*'Read Me'!$B$13)*(1+'Read Me'!$B$12),-1)</f>
        <v/>
      </c>
      <c r="W4173" s="16">
        <f>V4173*N4173*O4173</f>
        <v/>
      </c>
      <c r="X4173" s="12">
        <f>IF(LEFT(I4173,2)="MV",2*N4173*IF(L4173="1/C",O4173,1),0)</f>
        <v/>
      </c>
      <c r="Y4173" s="12">
        <f>IF(OR(LEFT(K4173,4)="LVAX",LEFT(K4173,6)="MV15AX",LEFT(K4173,4)="CTAX",LEFT(K4173,2)="W|"),2*N4173*O4173,0)</f>
        <v/>
      </c>
      <c r="Z4173" s="12" t="inlineStr"/>
      <c r="AA4173" s="12">
        <f>N4173*O4173</f>
        <v/>
      </c>
    </row>
    <row r="4174">
      <c r="A4174" s="12" t="inlineStr">
        <is>
          <t>I-C-0078</t>
        </is>
      </c>
      <c r="B4174" s="12" t="inlineStr">
        <is>
          <t>I</t>
        </is>
      </c>
      <c r="C4174" s="12" t="inlineStr">
        <is>
          <t>Modular / portable power</t>
        </is>
      </c>
      <c r="D4174" s="12" t="inlineStr">
        <is>
          <t>Motor 3 of 5: control / local station</t>
        </is>
      </c>
      <c r="E4174" s="12" t="inlineStr"/>
      <c r="F4174" s="12" t="inlineStr">
        <is>
          <t>PCM: power control module</t>
        </is>
      </c>
      <c r="G4174" s="12" t="inlineStr"/>
      <c r="H4174" s="12" t="inlineStr">
        <is>
          <t>RICE 8 radiators (5)</t>
        </is>
      </c>
      <c r="I4174" s="12" t="inlineStr">
        <is>
          <t>Control</t>
        </is>
      </c>
      <c r="J4174" s="12" t="inlineStr">
        <is>
          <t>Control cable 600 V Type TC-ER, Cu #14 AWG, PVC jacket</t>
        </is>
      </c>
      <c r="K4174" s="12" t="inlineStr">
        <is>
          <t>CT|7/C|14</t>
        </is>
      </c>
      <c r="L4174" s="12" t="inlineStr">
        <is>
          <t>7/C</t>
        </is>
      </c>
      <c r="M4174" s="12" t="inlineStr">
        <is>
          <t>14</t>
        </is>
      </c>
      <c r="N4174" s="12" t="n">
        <v>1</v>
      </c>
      <c r="O4174" s="12" t="n">
        <v>1</v>
      </c>
      <c r="P4174" s="12" t="n"/>
      <c r="Q4174" s="12" t="n"/>
      <c r="R4174" s="12" t="n"/>
      <c r="S4174" s="12" t="inlineStr">
        <is>
          <t>Tray</t>
        </is>
      </c>
      <c r="T4174" s="16" t="n">
        <v>0</v>
      </c>
      <c r="U4174" s="16" t="n">
        <v>94</v>
      </c>
      <c r="V4174" s="16">
        <f>ROUNDUP((T4174+U4174+2*'Read Me'!$B$13)*(1+'Read Me'!$B$12),-1)</f>
        <v/>
      </c>
      <c r="W4174" s="16">
        <f>V4174*N4174*O4174</f>
        <v/>
      </c>
      <c r="X4174" s="12">
        <f>IF(LEFT(I4174,2)="MV",2*N4174*IF(L4174="1/C",O4174,1),0)</f>
        <v/>
      </c>
      <c r="Y4174" s="12">
        <f>IF(OR(LEFT(K4174,4)="LVAX",LEFT(K4174,6)="MV15AX",LEFT(K4174,4)="CTAX",LEFT(K4174,2)="W|"),2*N4174*O4174,0)</f>
        <v/>
      </c>
      <c r="Z4174" s="12" t="inlineStr"/>
      <c r="AA4174" s="12">
        <f>N4174*O4174</f>
        <v/>
      </c>
    </row>
    <row r="4175">
      <c r="A4175" s="12" t="inlineStr">
        <is>
          <t>I-C-0079</t>
        </is>
      </c>
      <c r="B4175" s="12" t="inlineStr">
        <is>
          <t>I</t>
        </is>
      </c>
      <c r="C4175" s="12" t="inlineStr">
        <is>
          <t>Modular / portable power</t>
        </is>
      </c>
      <c r="D4175" s="12" t="inlineStr">
        <is>
          <t>Motor 4 of 5: control / local station</t>
        </is>
      </c>
      <c r="E4175" s="12" t="inlineStr"/>
      <c r="F4175" s="12" t="inlineStr">
        <is>
          <t>PCM: power control module</t>
        </is>
      </c>
      <c r="G4175" s="12" t="inlineStr"/>
      <c r="H4175" s="12" t="inlineStr">
        <is>
          <t>RICE 8 radiators (5)</t>
        </is>
      </c>
      <c r="I4175" s="12" t="inlineStr">
        <is>
          <t>Control</t>
        </is>
      </c>
      <c r="J4175" s="12" t="inlineStr">
        <is>
          <t>Control cable 600 V Type TC-ER, Cu #14 AWG, PVC jacket</t>
        </is>
      </c>
      <c r="K4175" s="12" t="inlineStr">
        <is>
          <t>CT|7/C|14</t>
        </is>
      </c>
      <c r="L4175" s="12" t="inlineStr">
        <is>
          <t>7/C</t>
        </is>
      </c>
      <c r="M4175" s="12" t="inlineStr">
        <is>
          <t>14</t>
        </is>
      </c>
      <c r="N4175" s="12" t="n">
        <v>1</v>
      </c>
      <c r="O4175" s="12" t="n">
        <v>1</v>
      </c>
      <c r="P4175" s="12" t="n"/>
      <c r="Q4175" s="12" t="n"/>
      <c r="R4175" s="12" t="n"/>
      <c r="S4175" s="12" t="inlineStr">
        <is>
          <t>Tray</t>
        </is>
      </c>
      <c r="T4175" s="16" t="n">
        <v>0</v>
      </c>
      <c r="U4175" s="16" t="n">
        <v>94</v>
      </c>
      <c r="V4175" s="16">
        <f>ROUNDUP((T4175+U4175+2*'Read Me'!$B$13)*(1+'Read Me'!$B$12),-1)</f>
        <v/>
      </c>
      <c r="W4175" s="16">
        <f>V4175*N4175*O4175</f>
        <v/>
      </c>
      <c r="X4175" s="12">
        <f>IF(LEFT(I4175,2)="MV",2*N4175*IF(L4175="1/C",O4175,1),0)</f>
        <v/>
      </c>
      <c r="Y4175" s="12">
        <f>IF(OR(LEFT(K4175,4)="LVAX",LEFT(K4175,6)="MV15AX",LEFT(K4175,4)="CTAX",LEFT(K4175,2)="W|"),2*N4175*O4175,0)</f>
        <v/>
      </c>
      <c r="Z4175" s="12" t="inlineStr"/>
      <c r="AA4175" s="12">
        <f>N4175*O4175</f>
        <v/>
      </c>
    </row>
    <row r="4176">
      <c r="A4176" s="12" t="inlineStr">
        <is>
          <t>I-C-0080</t>
        </is>
      </c>
      <c r="B4176" s="12" t="inlineStr">
        <is>
          <t>I</t>
        </is>
      </c>
      <c r="C4176" s="12" t="inlineStr">
        <is>
          <t>Modular / portable power</t>
        </is>
      </c>
      <c r="D4176" s="12" t="inlineStr">
        <is>
          <t>Motor 5 of 5: control / local station</t>
        </is>
      </c>
      <c r="E4176" s="12" t="inlineStr"/>
      <c r="F4176" s="12" t="inlineStr">
        <is>
          <t>PCM: power control module</t>
        </is>
      </c>
      <c r="G4176" s="12" t="inlineStr"/>
      <c r="H4176" s="12" t="inlineStr">
        <is>
          <t>RICE 8 radiators (5)</t>
        </is>
      </c>
      <c r="I4176" s="12" t="inlineStr">
        <is>
          <t>Control</t>
        </is>
      </c>
      <c r="J4176" s="12" t="inlineStr">
        <is>
          <t>Control cable 600 V Type TC-ER, Cu #14 AWG, PVC jacket</t>
        </is>
      </c>
      <c r="K4176" s="12" t="inlineStr">
        <is>
          <t>CT|7/C|14</t>
        </is>
      </c>
      <c r="L4176" s="12" t="inlineStr">
        <is>
          <t>7/C</t>
        </is>
      </c>
      <c r="M4176" s="12" t="inlineStr">
        <is>
          <t>14</t>
        </is>
      </c>
      <c r="N4176" s="12" t="n">
        <v>1</v>
      </c>
      <c r="O4176" s="12" t="n">
        <v>1</v>
      </c>
      <c r="P4176" s="12" t="n"/>
      <c r="Q4176" s="12" t="n"/>
      <c r="R4176" s="12" t="n"/>
      <c r="S4176" s="12" t="inlineStr">
        <is>
          <t>Tray</t>
        </is>
      </c>
      <c r="T4176" s="16" t="n">
        <v>0</v>
      </c>
      <c r="U4176" s="16" t="n">
        <v>94</v>
      </c>
      <c r="V4176" s="16">
        <f>ROUNDUP((T4176+U4176+2*'Read Me'!$B$13)*(1+'Read Me'!$B$12),-1)</f>
        <v/>
      </c>
      <c r="W4176" s="16">
        <f>V4176*N4176*O4176</f>
        <v/>
      </c>
      <c r="X4176" s="12">
        <f>IF(LEFT(I4176,2)="MV",2*N4176*IF(L4176="1/C",O4176,1),0)</f>
        <v/>
      </c>
      <c r="Y4176" s="12">
        <f>IF(OR(LEFT(K4176,4)="LVAX",LEFT(K4176,6)="MV15AX",LEFT(K4176,4)="CTAX",LEFT(K4176,2)="W|"),2*N4176*O4176,0)</f>
        <v/>
      </c>
      <c r="Z4176" s="12" t="inlineStr"/>
      <c r="AA4176" s="12">
        <f>N4176*O4176</f>
        <v/>
      </c>
    </row>
    <row r="4177">
      <c r="A4177" s="12" t="inlineStr">
        <is>
          <t>I-C-0081</t>
        </is>
      </c>
      <c r="B4177" s="12" t="inlineStr">
        <is>
          <t>I</t>
        </is>
      </c>
      <c r="C4177" s="12" t="inlineStr">
        <is>
          <t>Modular / portable power</t>
        </is>
      </c>
      <c r="D4177" s="12" t="inlineStr">
        <is>
          <t>Control</t>
        </is>
      </c>
      <c r="E4177" s="12" t="inlineStr"/>
      <c r="F4177" s="12" t="inlineStr">
        <is>
          <t>PCM: power control module</t>
        </is>
      </c>
      <c r="G4177" s="12" t="inlineStr"/>
      <c r="H4177" s="12" t="inlineStr">
        <is>
          <t>RICE CEMS</t>
        </is>
      </c>
      <c r="I4177" s="12" t="inlineStr">
        <is>
          <t>Control</t>
        </is>
      </c>
      <c r="J4177" s="12" t="inlineStr">
        <is>
          <t>Control cable 600 V Type TC-ER, Cu #14 AWG, PVC jacket</t>
        </is>
      </c>
      <c r="K4177" s="12" t="inlineStr">
        <is>
          <t>CT|7/C|14</t>
        </is>
      </c>
      <c r="L4177" s="12" t="inlineStr">
        <is>
          <t>7/C</t>
        </is>
      </c>
      <c r="M4177" s="12" t="inlineStr">
        <is>
          <t>14</t>
        </is>
      </c>
      <c r="N4177" s="12" t="n">
        <v>1</v>
      </c>
      <c r="O4177" s="12" t="n">
        <v>1</v>
      </c>
      <c r="P4177" s="12" t="n"/>
      <c r="Q4177" s="12" t="n"/>
      <c r="R4177" s="12" t="n"/>
      <c r="S4177" s="12" t="inlineStr">
        <is>
          <t>Duct bank</t>
        </is>
      </c>
      <c r="T4177" s="16" t="n">
        <v>260</v>
      </c>
      <c r="U4177" s="16" t="n">
        <v>131</v>
      </c>
      <c r="V4177" s="16">
        <f>ROUNDUP((T4177+U4177+2*'Read Me'!$B$13)*(1+'Read Me'!$B$12),-1)</f>
        <v/>
      </c>
      <c r="W4177" s="16">
        <f>V4177*N4177*O4177</f>
        <v/>
      </c>
      <c r="X4177" s="12">
        <f>IF(LEFT(I4177,2)="MV",2*N4177*IF(L4177="1/C",O4177,1),0)</f>
        <v/>
      </c>
      <c r="Y4177" s="12">
        <f>IF(OR(LEFT(K4177,4)="LVAX",LEFT(K4177,6)="MV15AX",LEFT(K4177,4)="CTAX",LEFT(K4177,2)="W|"),2*N4177*O4177,0)</f>
        <v/>
      </c>
      <c r="Z4177" s="12" t="inlineStr"/>
      <c r="AA4177" s="12">
        <f>N4177*O4177</f>
        <v/>
      </c>
    </row>
    <row r="4178">
      <c r="A4178" s="12" t="inlineStr">
        <is>
          <t>I-C-0082</t>
        </is>
      </c>
      <c r="B4178" s="12" t="inlineStr">
        <is>
          <t>I</t>
        </is>
      </c>
      <c r="C4178" s="12" t="inlineStr">
        <is>
          <t>Modular / portable power</t>
        </is>
      </c>
      <c r="D4178" s="12" t="inlineStr">
        <is>
          <t>Control</t>
        </is>
      </c>
      <c r="E4178" s="12" t="inlineStr"/>
      <c r="F4178" s="12" t="inlineStr">
        <is>
          <t>PCM: power control module</t>
        </is>
      </c>
      <c r="G4178" s="12" t="inlineStr">
        <is>
          <t>RICE</t>
        </is>
      </c>
      <c r="H4178" s="12" t="inlineStr">
        <is>
          <t>RICE engine hall (8 engines)</t>
        </is>
      </c>
      <c r="I4178" s="12" t="inlineStr">
        <is>
          <t>Control</t>
        </is>
      </c>
      <c r="J4178" s="12" t="inlineStr">
        <is>
          <t>Control cable 600 V Type TC-ER, Cu #14 AWG, PVC jacket</t>
        </is>
      </c>
      <c r="K4178" s="12" t="inlineStr">
        <is>
          <t>CT|7/C|14</t>
        </is>
      </c>
      <c r="L4178" s="12" t="inlineStr">
        <is>
          <t>7/C</t>
        </is>
      </c>
      <c r="M4178" s="12" t="inlineStr">
        <is>
          <t>14</t>
        </is>
      </c>
      <c r="N4178" s="12" t="n">
        <v>1</v>
      </c>
      <c r="O4178" s="12" t="n">
        <v>1</v>
      </c>
      <c r="P4178" s="12" t="n"/>
      <c r="Q4178" s="12" t="n"/>
      <c r="R4178" s="12" t="n"/>
      <c r="S4178" s="12" t="inlineStr">
        <is>
          <t>Duct bank</t>
        </is>
      </c>
      <c r="T4178" s="16" t="n">
        <v>367</v>
      </c>
      <c r="U4178" s="16" t="n">
        <v>95</v>
      </c>
      <c r="V4178" s="16">
        <f>ROUNDUP((T4178+U4178+2*'Read Me'!$B$13)*(1+'Read Me'!$B$12),-1)</f>
        <v/>
      </c>
      <c r="W4178" s="16">
        <f>V4178*N4178*O4178</f>
        <v/>
      </c>
      <c r="X4178" s="12">
        <f>IF(LEFT(I4178,2)="MV",2*N4178*IF(L4178="1/C",O4178,1),0)</f>
        <v/>
      </c>
      <c r="Y4178" s="12">
        <f>IF(OR(LEFT(K4178,4)="LVAX",LEFT(K4178,6)="MV15AX",LEFT(K4178,4)="CTAX",LEFT(K4178,2)="W|"),2*N4178*O4178,0)</f>
        <v/>
      </c>
      <c r="Z4178" s="12" t="inlineStr"/>
      <c r="AA4178" s="12">
        <f>N4178*O4178</f>
        <v/>
      </c>
    </row>
    <row r="4179">
      <c r="A4179" s="12" t="inlineStr">
        <is>
          <t>I-C-0083</t>
        </is>
      </c>
      <c r="B4179" s="12" t="inlineStr">
        <is>
          <t>I</t>
        </is>
      </c>
      <c r="C4179" s="12" t="inlineStr">
        <is>
          <t>Modular / portable power</t>
        </is>
      </c>
      <c r="D4179" s="12" t="inlineStr">
        <is>
          <t>Control</t>
        </is>
      </c>
      <c r="E4179" s="12" t="inlineStr"/>
      <c r="F4179" s="12" t="inlineStr">
        <is>
          <t>PCM: power control module</t>
        </is>
      </c>
      <c r="G4179" s="12" t="inlineStr">
        <is>
          <t>RICE</t>
        </is>
      </c>
      <c r="H4179" s="12" t="inlineStr">
        <is>
          <t>RICE engine hall (8 engines)</t>
        </is>
      </c>
      <c r="I4179" s="12" t="inlineStr">
        <is>
          <t>Control</t>
        </is>
      </c>
      <c r="J4179" s="12" t="inlineStr">
        <is>
          <t>Control cable 600 V Type TC-ER, Cu #14 AWG, PVC jacket</t>
        </is>
      </c>
      <c r="K4179" s="12" t="inlineStr">
        <is>
          <t>CT|7/C|14</t>
        </is>
      </c>
      <c r="L4179" s="12" t="inlineStr">
        <is>
          <t>7/C</t>
        </is>
      </c>
      <c r="M4179" s="12" t="inlineStr">
        <is>
          <t>14</t>
        </is>
      </c>
      <c r="N4179" s="12" t="n">
        <v>1</v>
      </c>
      <c r="O4179" s="12" t="n">
        <v>1</v>
      </c>
      <c r="P4179" s="12" t="n"/>
      <c r="Q4179" s="12" t="n"/>
      <c r="R4179" s="12" t="n"/>
      <c r="S4179" s="12" t="inlineStr">
        <is>
          <t>Duct bank</t>
        </is>
      </c>
      <c r="T4179" s="16" t="n">
        <v>367</v>
      </c>
      <c r="U4179" s="16" t="n">
        <v>95</v>
      </c>
      <c r="V4179" s="16">
        <f>ROUNDUP((T4179+U4179+2*'Read Me'!$B$13)*(1+'Read Me'!$B$12),-1)</f>
        <v/>
      </c>
      <c r="W4179" s="16">
        <f>V4179*N4179*O4179</f>
        <v/>
      </c>
      <c r="X4179" s="12">
        <f>IF(LEFT(I4179,2)="MV",2*N4179*IF(L4179="1/C",O4179,1),0)</f>
        <v/>
      </c>
      <c r="Y4179" s="12">
        <f>IF(OR(LEFT(K4179,4)="LVAX",LEFT(K4179,6)="MV15AX",LEFT(K4179,4)="CTAX",LEFT(K4179,2)="W|"),2*N4179*O4179,0)</f>
        <v/>
      </c>
      <c r="Z4179" s="12" t="inlineStr"/>
      <c r="AA4179" s="12">
        <f>N4179*O4179</f>
        <v/>
      </c>
    </row>
    <row r="4180">
      <c r="A4180" s="12" t="inlineStr">
        <is>
          <t>I-C-0084</t>
        </is>
      </c>
      <c r="B4180" s="12" t="inlineStr">
        <is>
          <t>I</t>
        </is>
      </c>
      <c r="C4180" s="12" t="inlineStr">
        <is>
          <t>Modular / portable power</t>
        </is>
      </c>
      <c r="D4180" s="12" t="inlineStr">
        <is>
          <t>Control</t>
        </is>
      </c>
      <c r="E4180" s="12" t="inlineStr"/>
      <c r="F4180" s="12" t="inlineStr">
        <is>
          <t>PCM: power control module</t>
        </is>
      </c>
      <c r="G4180" s="12" t="inlineStr">
        <is>
          <t>RICE</t>
        </is>
      </c>
      <c r="H4180" s="12" t="inlineStr">
        <is>
          <t>RICE engine hall (8 engines)</t>
        </is>
      </c>
      <c r="I4180" s="12" t="inlineStr">
        <is>
          <t>Control</t>
        </is>
      </c>
      <c r="J4180" s="12" t="inlineStr">
        <is>
          <t>Control cable 600 V Type TC-ER, Cu #14 AWG, PVC jacket</t>
        </is>
      </c>
      <c r="K4180" s="12" t="inlineStr">
        <is>
          <t>CT|12/C|14</t>
        </is>
      </c>
      <c r="L4180" s="12" t="inlineStr">
        <is>
          <t>12/C</t>
        </is>
      </c>
      <c r="M4180" s="12" t="inlineStr">
        <is>
          <t>14</t>
        </is>
      </c>
      <c r="N4180" s="12" t="n">
        <v>1</v>
      </c>
      <c r="O4180" s="12" t="n">
        <v>1</v>
      </c>
      <c r="P4180" s="12" t="n"/>
      <c r="Q4180" s="12" t="n"/>
      <c r="R4180" s="12" t="n"/>
      <c r="S4180" s="12" t="inlineStr">
        <is>
          <t>Duct bank</t>
        </is>
      </c>
      <c r="T4180" s="16" t="n">
        <v>367</v>
      </c>
      <c r="U4180" s="16" t="n">
        <v>95</v>
      </c>
      <c r="V4180" s="16">
        <f>ROUNDUP((T4180+U4180+2*'Read Me'!$B$13)*(1+'Read Me'!$B$12),-1)</f>
        <v/>
      </c>
      <c r="W4180" s="16">
        <f>V4180*N4180*O4180</f>
        <v/>
      </c>
      <c r="X4180" s="12">
        <f>IF(LEFT(I4180,2)="MV",2*N4180*IF(L4180="1/C",O4180,1),0)</f>
        <v/>
      </c>
      <c r="Y4180" s="12">
        <f>IF(OR(LEFT(K4180,4)="LVAX",LEFT(K4180,6)="MV15AX",LEFT(K4180,4)="CTAX",LEFT(K4180,2)="W|"),2*N4180*O4180,0)</f>
        <v/>
      </c>
      <c r="Z4180" s="12" t="inlineStr"/>
      <c r="AA4180" s="12">
        <f>N4180*O4180</f>
        <v/>
      </c>
    </row>
    <row r="4181">
      <c r="A4181" s="12" t="inlineStr">
        <is>
          <t>I-C-0085</t>
        </is>
      </c>
      <c r="B4181" s="12" t="inlineStr">
        <is>
          <t>I</t>
        </is>
      </c>
      <c r="C4181" s="12" t="inlineStr">
        <is>
          <t>Modular / portable power</t>
        </is>
      </c>
      <c r="D4181" s="12" t="inlineStr">
        <is>
          <t>Control</t>
        </is>
      </c>
      <c r="E4181" s="12" t="inlineStr"/>
      <c r="F4181" s="12" t="inlineStr">
        <is>
          <t>PCM: power control module</t>
        </is>
      </c>
      <c r="G4181" s="12" t="inlineStr">
        <is>
          <t>RICE</t>
        </is>
      </c>
      <c r="H4181" s="12" t="inlineStr">
        <is>
          <t>RICE engine hall (8 engines)</t>
        </is>
      </c>
      <c r="I4181" s="12" t="inlineStr">
        <is>
          <t>Control</t>
        </is>
      </c>
      <c r="J4181" s="12" t="inlineStr">
        <is>
          <t>Control cable 600 V Type TC-ER, Cu #14 AWG, PVC jacket</t>
        </is>
      </c>
      <c r="K4181" s="12" t="inlineStr">
        <is>
          <t>CT|12/C|14</t>
        </is>
      </c>
      <c r="L4181" s="12" t="inlineStr">
        <is>
          <t>12/C</t>
        </is>
      </c>
      <c r="M4181" s="12" t="inlineStr">
        <is>
          <t>14</t>
        </is>
      </c>
      <c r="N4181" s="12" t="n">
        <v>1</v>
      </c>
      <c r="O4181" s="12" t="n">
        <v>1</v>
      </c>
      <c r="P4181" s="12" t="n"/>
      <c r="Q4181" s="12" t="n"/>
      <c r="R4181" s="12" t="n"/>
      <c r="S4181" s="12" t="inlineStr">
        <is>
          <t>Duct bank</t>
        </is>
      </c>
      <c r="T4181" s="16" t="n">
        <v>367</v>
      </c>
      <c r="U4181" s="16" t="n">
        <v>95</v>
      </c>
      <c r="V4181" s="16">
        <f>ROUNDUP((T4181+U4181+2*'Read Me'!$B$13)*(1+'Read Me'!$B$12),-1)</f>
        <v/>
      </c>
      <c r="W4181" s="16">
        <f>V4181*N4181*O4181</f>
        <v/>
      </c>
      <c r="X4181" s="12">
        <f>IF(LEFT(I4181,2)="MV",2*N4181*IF(L4181="1/C",O4181,1),0)</f>
        <v/>
      </c>
      <c r="Y4181" s="12">
        <f>IF(OR(LEFT(K4181,4)="LVAX",LEFT(K4181,6)="MV15AX",LEFT(K4181,4)="CTAX",LEFT(K4181,2)="W|"),2*N4181*O4181,0)</f>
        <v/>
      </c>
      <c r="Z4181" s="12" t="inlineStr"/>
      <c r="AA4181" s="12">
        <f>N4181*O4181</f>
        <v/>
      </c>
    </row>
    <row r="4182">
      <c r="A4182" s="12" t="inlineStr">
        <is>
          <t>I-C-0086</t>
        </is>
      </c>
      <c r="B4182" s="12" t="inlineStr">
        <is>
          <t>I</t>
        </is>
      </c>
      <c r="C4182" s="12" t="inlineStr">
        <is>
          <t>Modular / portable power</t>
        </is>
      </c>
      <c r="D4182" s="12" t="inlineStr">
        <is>
          <t>Control</t>
        </is>
      </c>
      <c r="E4182" s="12" t="inlineStr"/>
      <c r="F4182" s="12" t="inlineStr">
        <is>
          <t>PCM: power control module</t>
        </is>
      </c>
      <c r="G4182" s="12" t="inlineStr">
        <is>
          <t>RICE</t>
        </is>
      </c>
      <c r="H4182" s="12" t="inlineStr">
        <is>
          <t>RICE engine hall (8 engines)</t>
        </is>
      </c>
      <c r="I4182" s="12" t="inlineStr">
        <is>
          <t>Control</t>
        </is>
      </c>
      <c r="J4182" s="12" t="inlineStr">
        <is>
          <t>Control cable 600 V Type TC-ER, Cu #14 AWG, PVC jacket</t>
        </is>
      </c>
      <c r="K4182" s="12" t="inlineStr">
        <is>
          <t>CT|12/C|14</t>
        </is>
      </c>
      <c r="L4182" s="12" t="inlineStr">
        <is>
          <t>12/C</t>
        </is>
      </c>
      <c r="M4182" s="12" t="inlineStr">
        <is>
          <t>14</t>
        </is>
      </c>
      <c r="N4182" s="12" t="n">
        <v>1</v>
      </c>
      <c r="O4182" s="12" t="n">
        <v>1</v>
      </c>
      <c r="P4182" s="12" t="n"/>
      <c r="Q4182" s="12" t="n"/>
      <c r="R4182" s="12" t="n"/>
      <c r="S4182" s="12" t="inlineStr">
        <is>
          <t>Duct bank</t>
        </is>
      </c>
      <c r="T4182" s="16" t="n">
        <v>367</v>
      </c>
      <c r="U4182" s="16" t="n">
        <v>95</v>
      </c>
      <c r="V4182" s="16">
        <f>ROUNDUP((T4182+U4182+2*'Read Me'!$B$13)*(1+'Read Me'!$B$12),-1)</f>
        <v/>
      </c>
      <c r="W4182" s="16">
        <f>V4182*N4182*O4182</f>
        <v/>
      </c>
      <c r="X4182" s="12">
        <f>IF(LEFT(I4182,2)="MV",2*N4182*IF(L4182="1/C",O4182,1),0)</f>
        <v/>
      </c>
      <c r="Y4182" s="12">
        <f>IF(OR(LEFT(K4182,4)="LVAX",LEFT(K4182,6)="MV15AX",LEFT(K4182,4)="CTAX",LEFT(K4182,2)="W|"),2*N4182*O4182,0)</f>
        <v/>
      </c>
      <c r="Z4182" s="12" t="inlineStr"/>
      <c r="AA4182" s="12">
        <f>N4182*O4182</f>
        <v/>
      </c>
    </row>
    <row r="4183">
      <c r="A4183" s="12" t="inlineStr">
        <is>
          <t>I-C-0087</t>
        </is>
      </c>
      <c r="B4183" s="12" t="inlineStr">
        <is>
          <t>I</t>
        </is>
      </c>
      <c r="C4183" s="12" t="inlineStr">
        <is>
          <t>Modular / portable power</t>
        </is>
      </c>
      <c r="D4183" s="12" t="inlineStr">
        <is>
          <t>Control</t>
        </is>
      </c>
      <c r="E4183" s="12" t="inlineStr"/>
      <c r="F4183" s="12" t="inlineStr">
        <is>
          <t>PCM: power control module</t>
        </is>
      </c>
      <c r="G4183" s="12" t="inlineStr">
        <is>
          <t>RICE</t>
        </is>
      </c>
      <c r="H4183" s="12" t="inlineStr">
        <is>
          <t>RICE engine hall (8 engines)</t>
        </is>
      </c>
      <c r="I4183" s="12" t="inlineStr">
        <is>
          <t>Control</t>
        </is>
      </c>
      <c r="J4183" s="12" t="inlineStr">
        <is>
          <t>Control cable 600 V Type TC-ER, Cu #14 AWG, PVC jacket</t>
        </is>
      </c>
      <c r="K4183" s="12" t="inlineStr">
        <is>
          <t>CT|12/C|14</t>
        </is>
      </c>
      <c r="L4183" s="12" t="inlineStr">
        <is>
          <t>12/C</t>
        </is>
      </c>
      <c r="M4183" s="12" t="inlineStr">
        <is>
          <t>14</t>
        </is>
      </c>
      <c r="N4183" s="12" t="n">
        <v>1</v>
      </c>
      <c r="O4183" s="12" t="n">
        <v>1</v>
      </c>
      <c r="P4183" s="12" t="n"/>
      <c r="Q4183" s="12" t="n"/>
      <c r="R4183" s="12" t="n"/>
      <c r="S4183" s="12" t="inlineStr">
        <is>
          <t>Duct bank</t>
        </is>
      </c>
      <c r="T4183" s="16" t="n">
        <v>367</v>
      </c>
      <c r="U4183" s="16" t="n">
        <v>95</v>
      </c>
      <c r="V4183" s="16">
        <f>ROUNDUP((T4183+U4183+2*'Read Me'!$B$13)*(1+'Read Me'!$B$12),-1)</f>
        <v/>
      </c>
      <c r="W4183" s="16">
        <f>V4183*N4183*O4183</f>
        <v/>
      </c>
      <c r="X4183" s="12">
        <f>IF(LEFT(I4183,2)="MV",2*N4183*IF(L4183="1/C",O4183,1),0)</f>
        <v/>
      </c>
      <c r="Y4183" s="12">
        <f>IF(OR(LEFT(K4183,4)="LVAX",LEFT(K4183,6)="MV15AX",LEFT(K4183,4)="CTAX",LEFT(K4183,2)="W|"),2*N4183*O4183,0)</f>
        <v/>
      </c>
      <c r="Z4183" s="12" t="inlineStr"/>
      <c r="AA4183" s="12">
        <f>N4183*O4183</f>
        <v/>
      </c>
    </row>
    <row r="4184">
      <c r="A4184" s="12" t="inlineStr">
        <is>
          <t>I-C-0088</t>
        </is>
      </c>
      <c r="B4184" s="12" t="inlineStr">
        <is>
          <t>I</t>
        </is>
      </c>
      <c r="C4184" s="12" t="inlineStr">
        <is>
          <t>Modular / portable power</t>
        </is>
      </c>
      <c r="D4184" s="12" t="inlineStr">
        <is>
          <t>Control</t>
        </is>
      </c>
      <c r="E4184" s="12" t="inlineStr"/>
      <c r="F4184" s="12" t="inlineStr">
        <is>
          <t>PCM: power control module</t>
        </is>
      </c>
      <c r="G4184" s="12" t="inlineStr">
        <is>
          <t>RICE</t>
        </is>
      </c>
      <c r="H4184" s="12" t="inlineStr">
        <is>
          <t>RICE engine hall (8 engines)</t>
        </is>
      </c>
      <c r="I4184" s="12" t="inlineStr">
        <is>
          <t>Control</t>
        </is>
      </c>
      <c r="J4184" s="12" t="inlineStr">
        <is>
          <t>Control cable 600 V Type TC-ER, Cu #14 AWG, PVC jacket</t>
        </is>
      </c>
      <c r="K4184" s="12" t="inlineStr">
        <is>
          <t>CT|12/C|14</t>
        </is>
      </c>
      <c r="L4184" s="12" t="inlineStr">
        <is>
          <t>12/C</t>
        </is>
      </c>
      <c r="M4184" s="12" t="inlineStr">
        <is>
          <t>14</t>
        </is>
      </c>
      <c r="N4184" s="12" t="n">
        <v>1</v>
      </c>
      <c r="O4184" s="12" t="n">
        <v>1</v>
      </c>
      <c r="P4184" s="12" t="n"/>
      <c r="Q4184" s="12" t="n"/>
      <c r="R4184" s="12" t="n"/>
      <c r="S4184" s="12" t="inlineStr">
        <is>
          <t>Duct bank</t>
        </is>
      </c>
      <c r="T4184" s="16" t="n">
        <v>367</v>
      </c>
      <c r="U4184" s="16" t="n">
        <v>95</v>
      </c>
      <c r="V4184" s="16">
        <f>ROUNDUP((T4184+U4184+2*'Read Me'!$B$13)*(1+'Read Me'!$B$12),-1)</f>
        <v/>
      </c>
      <c r="W4184" s="16">
        <f>V4184*N4184*O4184</f>
        <v/>
      </c>
      <c r="X4184" s="12">
        <f>IF(LEFT(I4184,2)="MV",2*N4184*IF(L4184="1/C",O4184,1),0)</f>
        <v/>
      </c>
      <c r="Y4184" s="12">
        <f>IF(OR(LEFT(K4184,4)="LVAX",LEFT(K4184,6)="MV15AX",LEFT(K4184,4)="CTAX",LEFT(K4184,2)="W|"),2*N4184*O4184,0)</f>
        <v/>
      </c>
      <c r="Z4184" s="12" t="inlineStr"/>
      <c r="AA4184" s="12">
        <f>N4184*O4184</f>
        <v/>
      </c>
    </row>
    <row r="4185">
      <c r="A4185" s="12" t="inlineStr">
        <is>
          <t>I-C-0089</t>
        </is>
      </c>
      <c r="B4185" s="12" t="inlineStr">
        <is>
          <t>I</t>
        </is>
      </c>
      <c r="C4185" s="12" t="inlineStr">
        <is>
          <t>Modular / portable power</t>
        </is>
      </c>
      <c r="D4185" s="12" t="inlineStr">
        <is>
          <t>Control</t>
        </is>
      </c>
      <c r="E4185" s="12" t="inlineStr"/>
      <c r="F4185" s="12" t="inlineStr">
        <is>
          <t>PCM: power control module</t>
        </is>
      </c>
      <c r="G4185" s="12" t="inlineStr">
        <is>
          <t>RICE</t>
        </is>
      </c>
      <c r="H4185" s="12" t="inlineStr">
        <is>
          <t>RICE engine hall (8 engines)</t>
        </is>
      </c>
      <c r="I4185" s="12" t="inlineStr">
        <is>
          <t>Control</t>
        </is>
      </c>
      <c r="J4185" s="12" t="inlineStr">
        <is>
          <t>Control cable 600 V Type TC-ER, Cu #14 AWG, PVC jacket</t>
        </is>
      </c>
      <c r="K4185" s="12" t="inlineStr">
        <is>
          <t>CT|12/C|14</t>
        </is>
      </c>
      <c r="L4185" s="12" t="inlineStr">
        <is>
          <t>12/C</t>
        </is>
      </c>
      <c r="M4185" s="12" t="inlineStr">
        <is>
          <t>14</t>
        </is>
      </c>
      <c r="N4185" s="12" t="n">
        <v>1</v>
      </c>
      <c r="O4185" s="12" t="n">
        <v>1</v>
      </c>
      <c r="P4185" s="12" t="n"/>
      <c r="Q4185" s="12" t="n"/>
      <c r="R4185" s="12" t="n"/>
      <c r="S4185" s="12" t="inlineStr">
        <is>
          <t>Duct bank</t>
        </is>
      </c>
      <c r="T4185" s="16" t="n">
        <v>367</v>
      </c>
      <c r="U4185" s="16" t="n">
        <v>95</v>
      </c>
      <c r="V4185" s="16">
        <f>ROUNDUP((T4185+U4185+2*'Read Me'!$B$13)*(1+'Read Me'!$B$12),-1)</f>
        <v/>
      </c>
      <c r="W4185" s="16">
        <f>V4185*N4185*O4185</f>
        <v/>
      </c>
      <c r="X4185" s="12">
        <f>IF(LEFT(I4185,2)="MV",2*N4185*IF(L4185="1/C",O4185,1),0)</f>
        <v/>
      </c>
      <c r="Y4185" s="12">
        <f>IF(OR(LEFT(K4185,4)="LVAX",LEFT(K4185,6)="MV15AX",LEFT(K4185,4)="CTAX",LEFT(K4185,2)="W|"),2*N4185*O4185,0)</f>
        <v/>
      </c>
      <c r="Z4185" s="12" t="inlineStr"/>
      <c r="AA4185" s="12">
        <f>N4185*O4185</f>
        <v/>
      </c>
    </row>
    <row r="4186">
      <c r="A4186" s="12" t="inlineStr">
        <is>
          <t>I-C-0090</t>
        </is>
      </c>
      <c r="B4186" s="12" t="inlineStr">
        <is>
          <t>I</t>
        </is>
      </c>
      <c r="C4186" s="12" t="inlineStr">
        <is>
          <t>Modular / portable power</t>
        </is>
      </c>
      <c r="D4186" s="12" t="inlineStr">
        <is>
          <t>Motor 1 of 6: control / local station</t>
        </is>
      </c>
      <c r="E4186" s="12" t="inlineStr"/>
      <c r="F4186" s="12" t="inlineStr">
        <is>
          <t>PCM: power control module</t>
        </is>
      </c>
      <c r="G4186" s="12" t="inlineStr">
        <is>
          <t>RICE-1</t>
        </is>
      </c>
      <c r="H4186" s="12" t="inlineStr">
        <is>
          <t>RICE engine-generator 1</t>
        </is>
      </c>
      <c r="I4186" s="12" t="inlineStr">
        <is>
          <t>Control</t>
        </is>
      </c>
      <c r="J4186" s="12" t="inlineStr">
        <is>
          <t>Control cable 600 V Type TC-ER, Cu #14 AWG, PVC jacket</t>
        </is>
      </c>
      <c r="K4186" s="12" t="inlineStr">
        <is>
          <t>CT|7/C|14</t>
        </is>
      </c>
      <c r="L4186" s="12" t="inlineStr">
        <is>
          <t>7/C</t>
        </is>
      </c>
      <c r="M4186" s="12" t="inlineStr">
        <is>
          <t>14</t>
        </is>
      </c>
      <c r="N4186" s="12" t="n">
        <v>1</v>
      </c>
      <c r="O4186" s="12" t="n">
        <v>1</v>
      </c>
      <c r="P4186" s="12" t="n"/>
      <c r="Q4186" s="12" t="n"/>
      <c r="R4186" s="12" t="n"/>
      <c r="S4186" s="12" t="inlineStr">
        <is>
          <t>Duct bank</t>
        </is>
      </c>
      <c r="T4186" s="16" t="n">
        <v>550</v>
      </c>
      <c r="U4186" s="16" t="n">
        <v>137</v>
      </c>
      <c r="V4186" s="16">
        <f>ROUNDUP((T4186+U4186+2*'Read Me'!$B$13)*(1+'Read Me'!$B$12),-1)</f>
        <v/>
      </c>
      <c r="W4186" s="16">
        <f>V4186*N4186*O4186</f>
        <v/>
      </c>
      <c r="X4186" s="12">
        <f>IF(LEFT(I4186,2)="MV",2*N4186*IF(L4186="1/C",O4186,1),0)</f>
        <v/>
      </c>
      <c r="Y4186" s="12">
        <f>IF(OR(LEFT(K4186,4)="LVAX",LEFT(K4186,6)="MV15AX",LEFT(K4186,4)="CTAX",LEFT(K4186,2)="W|"),2*N4186*O4186,0)</f>
        <v/>
      </c>
      <c r="Z4186" s="12" t="inlineStr"/>
      <c r="AA4186" s="12">
        <f>N4186*O4186</f>
        <v/>
      </c>
    </row>
    <row r="4187">
      <c r="A4187" s="12" t="inlineStr">
        <is>
          <t>I-C-0091</t>
        </is>
      </c>
      <c r="B4187" s="12" t="inlineStr">
        <is>
          <t>I</t>
        </is>
      </c>
      <c r="C4187" s="12" t="inlineStr">
        <is>
          <t>Modular / portable power</t>
        </is>
      </c>
      <c r="D4187" s="12" t="inlineStr">
        <is>
          <t>Motor 2 of 6: control / local station</t>
        </is>
      </c>
      <c r="E4187" s="12" t="inlineStr"/>
      <c r="F4187" s="12" t="inlineStr">
        <is>
          <t>PCM: power control module</t>
        </is>
      </c>
      <c r="G4187" s="12" t="inlineStr">
        <is>
          <t>RICE-1</t>
        </is>
      </c>
      <c r="H4187" s="12" t="inlineStr">
        <is>
          <t>RICE engine-generator 1</t>
        </is>
      </c>
      <c r="I4187" s="12" t="inlineStr">
        <is>
          <t>Control</t>
        </is>
      </c>
      <c r="J4187" s="12" t="inlineStr">
        <is>
          <t>Control cable 600 V Type TC-ER, Cu #14 AWG, PVC jacket</t>
        </is>
      </c>
      <c r="K4187" s="12" t="inlineStr">
        <is>
          <t>CT|7/C|14</t>
        </is>
      </c>
      <c r="L4187" s="12" t="inlineStr">
        <is>
          <t>7/C</t>
        </is>
      </c>
      <c r="M4187" s="12" t="inlineStr">
        <is>
          <t>14</t>
        </is>
      </c>
      <c r="N4187" s="12" t="n">
        <v>1</v>
      </c>
      <c r="O4187" s="12" t="n">
        <v>1</v>
      </c>
      <c r="P4187" s="12" t="n"/>
      <c r="Q4187" s="12" t="n"/>
      <c r="R4187" s="12" t="n"/>
      <c r="S4187" s="12" t="inlineStr">
        <is>
          <t>Duct bank</t>
        </is>
      </c>
      <c r="T4187" s="16" t="n">
        <v>550</v>
      </c>
      <c r="U4187" s="16" t="n">
        <v>137</v>
      </c>
      <c r="V4187" s="16">
        <f>ROUNDUP((T4187+U4187+2*'Read Me'!$B$13)*(1+'Read Me'!$B$12),-1)</f>
        <v/>
      </c>
      <c r="W4187" s="16">
        <f>V4187*N4187*O4187</f>
        <v/>
      </c>
      <c r="X4187" s="12">
        <f>IF(LEFT(I4187,2)="MV",2*N4187*IF(L4187="1/C",O4187,1),0)</f>
        <v/>
      </c>
      <c r="Y4187" s="12">
        <f>IF(OR(LEFT(K4187,4)="LVAX",LEFT(K4187,6)="MV15AX",LEFT(K4187,4)="CTAX",LEFT(K4187,2)="W|"),2*N4187*O4187,0)</f>
        <v/>
      </c>
      <c r="Z4187" s="12" t="inlineStr"/>
      <c r="AA4187" s="12">
        <f>N4187*O4187</f>
        <v/>
      </c>
    </row>
    <row r="4188">
      <c r="A4188" s="12" t="inlineStr">
        <is>
          <t>I-C-0092</t>
        </is>
      </c>
      <c r="B4188" s="12" t="inlineStr">
        <is>
          <t>I</t>
        </is>
      </c>
      <c r="C4188" s="12" t="inlineStr">
        <is>
          <t>Modular / portable power</t>
        </is>
      </c>
      <c r="D4188" s="12" t="inlineStr">
        <is>
          <t>Motor 3 of 6: control / local station</t>
        </is>
      </c>
      <c r="E4188" s="12" t="inlineStr"/>
      <c r="F4188" s="12" t="inlineStr">
        <is>
          <t>PCM: power control module</t>
        </is>
      </c>
      <c r="G4188" s="12" t="inlineStr">
        <is>
          <t>RICE-1</t>
        </is>
      </c>
      <c r="H4188" s="12" t="inlineStr">
        <is>
          <t>RICE engine-generator 1</t>
        </is>
      </c>
      <c r="I4188" s="12" t="inlineStr">
        <is>
          <t>Control</t>
        </is>
      </c>
      <c r="J4188" s="12" t="inlineStr">
        <is>
          <t>Control cable 600 V Type TC-ER, Cu #14 AWG, PVC jacket</t>
        </is>
      </c>
      <c r="K4188" s="12" t="inlineStr">
        <is>
          <t>CT|7/C|14</t>
        </is>
      </c>
      <c r="L4188" s="12" t="inlineStr">
        <is>
          <t>7/C</t>
        </is>
      </c>
      <c r="M4188" s="12" t="inlineStr">
        <is>
          <t>14</t>
        </is>
      </c>
      <c r="N4188" s="12" t="n">
        <v>1</v>
      </c>
      <c r="O4188" s="12" t="n">
        <v>1</v>
      </c>
      <c r="P4188" s="12" t="n"/>
      <c r="Q4188" s="12" t="n"/>
      <c r="R4188" s="12" t="n"/>
      <c r="S4188" s="12" t="inlineStr">
        <is>
          <t>Duct bank</t>
        </is>
      </c>
      <c r="T4188" s="16" t="n">
        <v>550</v>
      </c>
      <c r="U4188" s="16" t="n">
        <v>137</v>
      </c>
      <c r="V4188" s="16">
        <f>ROUNDUP((T4188+U4188+2*'Read Me'!$B$13)*(1+'Read Me'!$B$12),-1)</f>
        <v/>
      </c>
      <c r="W4188" s="16">
        <f>V4188*N4188*O4188</f>
        <v/>
      </c>
      <c r="X4188" s="12">
        <f>IF(LEFT(I4188,2)="MV",2*N4188*IF(L4188="1/C",O4188,1),0)</f>
        <v/>
      </c>
      <c r="Y4188" s="12">
        <f>IF(OR(LEFT(K4188,4)="LVAX",LEFT(K4188,6)="MV15AX",LEFT(K4188,4)="CTAX",LEFT(K4188,2)="W|"),2*N4188*O4188,0)</f>
        <v/>
      </c>
      <c r="Z4188" s="12" t="inlineStr"/>
      <c r="AA4188" s="12">
        <f>N4188*O4188</f>
        <v/>
      </c>
    </row>
    <row r="4189">
      <c r="A4189" s="12" t="inlineStr">
        <is>
          <t>I-C-0093</t>
        </is>
      </c>
      <c r="B4189" s="12" t="inlineStr">
        <is>
          <t>I</t>
        </is>
      </c>
      <c r="C4189" s="12" t="inlineStr">
        <is>
          <t>Modular / portable power</t>
        </is>
      </c>
      <c r="D4189" s="12" t="inlineStr">
        <is>
          <t>Motor 4 of 6: control / local station</t>
        </is>
      </c>
      <c r="E4189" s="12" t="inlineStr"/>
      <c r="F4189" s="12" t="inlineStr">
        <is>
          <t>PCM: power control module</t>
        </is>
      </c>
      <c r="G4189" s="12" t="inlineStr">
        <is>
          <t>RICE-1</t>
        </is>
      </c>
      <c r="H4189" s="12" t="inlineStr">
        <is>
          <t>RICE engine-generator 1</t>
        </is>
      </c>
      <c r="I4189" s="12" t="inlineStr">
        <is>
          <t>Control</t>
        </is>
      </c>
      <c r="J4189" s="12" t="inlineStr">
        <is>
          <t>Control cable 600 V Type TC-ER, Cu #14 AWG, PVC jacket</t>
        </is>
      </c>
      <c r="K4189" s="12" t="inlineStr">
        <is>
          <t>CT|7/C|14</t>
        </is>
      </c>
      <c r="L4189" s="12" t="inlineStr">
        <is>
          <t>7/C</t>
        </is>
      </c>
      <c r="M4189" s="12" t="inlineStr">
        <is>
          <t>14</t>
        </is>
      </c>
      <c r="N4189" s="12" t="n">
        <v>1</v>
      </c>
      <c r="O4189" s="12" t="n">
        <v>1</v>
      </c>
      <c r="P4189" s="12" t="n"/>
      <c r="Q4189" s="12" t="n"/>
      <c r="R4189" s="12" t="n"/>
      <c r="S4189" s="12" t="inlineStr">
        <is>
          <t>Duct bank</t>
        </is>
      </c>
      <c r="T4189" s="16" t="n">
        <v>550</v>
      </c>
      <c r="U4189" s="16" t="n">
        <v>137</v>
      </c>
      <c r="V4189" s="16">
        <f>ROUNDUP((T4189+U4189+2*'Read Me'!$B$13)*(1+'Read Me'!$B$12),-1)</f>
        <v/>
      </c>
      <c r="W4189" s="16">
        <f>V4189*N4189*O4189</f>
        <v/>
      </c>
      <c r="X4189" s="12">
        <f>IF(LEFT(I4189,2)="MV",2*N4189*IF(L4189="1/C",O4189,1),0)</f>
        <v/>
      </c>
      <c r="Y4189" s="12">
        <f>IF(OR(LEFT(K4189,4)="LVAX",LEFT(K4189,6)="MV15AX",LEFT(K4189,4)="CTAX",LEFT(K4189,2)="W|"),2*N4189*O4189,0)</f>
        <v/>
      </c>
      <c r="Z4189" s="12" t="inlineStr"/>
      <c r="AA4189" s="12">
        <f>N4189*O4189</f>
        <v/>
      </c>
    </row>
    <row r="4190">
      <c r="A4190" s="12" t="inlineStr">
        <is>
          <t>I-C-0094</t>
        </is>
      </c>
      <c r="B4190" s="12" t="inlineStr">
        <is>
          <t>I</t>
        </is>
      </c>
      <c r="C4190" s="12" t="inlineStr">
        <is>
          <t>Modular / portable power</t>
        </is>
      </c>
      <c r="D4190" s="12" t="inlineStr">
        <is>
          <t>Motor 5 of 6: control / local station</t>
        </is>
      </c>
      <c r="E4190" s="12" t="inlineStr"/>
      <c r="F4190" s="12" t="inlineStr">
        <is>
          <t>PCM: power control module</t>
        </is>
      </c>
      <c r="G4190" s="12" t="inlineStr">
        <is>
          <t>RICE-1</t>
        </is>
      </c>
      <c r="H4190" s="12" t="inlineStr">
        <is>
          <t>RICE engine-generator 1</t>
        </is>
      </c>
      <c r="I4190" s="12" t="inlineStr">
        <is>
          <t>Control</t>
        </is>
      </c>
      <c r="J4190" s="12" t="inlineStr">
        <is>
          <t>Control cable 600 V Type TC-ER, Cu #14 AWG, PVC jacket</t>
        </is>
      </c>
      <c r="K4190" s="12" t="inlineStr">
        <is>
          <t>CT|7/C|14</t>
        </is>
      </c>
      <c r="L4190" s="12" t="inlineStr">
        <is>
          <t>7/C</t>
        </is>
      </c>
      <c r="M4190" s="12" t="inlineStr">
        <is>
          <t>14</t>
        </is>
      </c>
      <c r="N4190" s="12" t="n">
        <v>1</v>
      </c>
      <c r="O4190" s="12" t="n">
        <v>1</v>
      </c>
      <c r="P4190" s="12" t="n"/>
      <c r="Q4190" s="12" t="n"/>
      <c r="R4190" s="12" t="n"/>
      <c r="S4190" s="12" t="inlineStr">
        <is>
          <t>Duct bank</t>
        </is>
      </c>
      <c r="T4190" s="16" t="n">
        <v>550</v>
      </c>
      <c r="U4190" s="16" t="n">
        <v>137</v>
      </c>
      <c r="V4190" s="16">
        <f>ROUNDUP((T4190+U4190+2*'Read Me'!$B$13)*(1+'Read Me'!$B$12),-1)</f>
        <v/>
      </c>
      <c r="W4190" s="16">
        <f>V4190*N4190*O4190</f>
        <v/>
      </c>
      <c r="X4190" s="12">
        <f>IF(LEFT(I4190,2)="MV",2*N4190*IF(L4190="1/C",O4190,1),0)</f>
        <v/>
      </c>
      <c r="Y4190" s="12">
        <f>IF(OR(LEFT(K4190,4)="LVAX",LEFT(K4190,6)="MV15AX",LEFT(K4190,4)="CTAX",LEFT(K4190,2)="W|"),2*N4190*O4190,0)</f>
        <v/>
      </c>
      <c r="Z4190" s="12" t="inlineStr"/>
      <c r="AA4190" s="12">
        <f>N4190*O4190</f>
        <v/>
      </c>
    </row>
    <row r="4191">
      <c r="A4191" s="12" t="inlineStr">
        <is>
          <t>I-C-0095</t>
        </is>
      </c>
      <c r="B4191" s="12" t="inlineStr">
        <is>
          <t>I</t>
        </is>
      </c>
      <c r="C4191" s="12" t="inlineStr">
        <is>
          <t>Modular / portable power</t>
        </is>
      </c>
      <c r="D4191" s="12" t="inlineStr">
        <is>
          <t>Motor 6 of 6: control / local station</t>
        </is>
      </c>
      <c r="E4191" s="12" t="inlineStr"/>
      <c r="F4191" s="12" t="inlineStr">
        <is>
          <t>PCM: power control module</t>
        </is>
      </c>
      <c r="G4191" s="12" t="inlineStr">
        <is>
          <t>RICE-1</t>
        </is>
      </c>
      <c r="H4191" s="12" t="inlineStr">
        <is>
          <t>RICE engine-generator 1</t>
        </is>
      </c>
      <c r="I4191" s="12" t="inlineStr">
        <is>
          <t>Control</t>
        </is>
      </c>
      <c r="J4191" s="12" t="inlineStr">
        <is>
          <t>Control cable 600 V Type TC-ER, Cu #14 AWG, PVC jacket</t>
        </is>
      </c>
      <c r="K4191" s="12" t="inlineStr">
        <is>
          <t>CT|7/C|14</t>
        </is>
      </c>
      <c r="L4191" s="12" t="inlineStr">
        <is>
          <t>7/C</t>
        </is>
      </c>
      <c r="M4191" s="12" t="inlineStr">
        <is>
          <t>14</t>
        </is>
      </c>
      <c r="N4191" s="12" t="n">
        <v>1</v>
      </c>
      <c r="O4191" s="12" t="n">
        <v>1</v>
      </c>
      <c r="P4191" s="12" t="n"/>
      <c r="Q4191" s="12" t="n"/>
      <c r="R4191" s="12" t="n"/>
      <c r="S4191" s="12" t="inlineStr">
        <is>
          <t>Duct bank</t>
        </is>
      </c>
      <c r="T4191" s="16" t="n">
        <v>550</v>
      </c>
      <c r="U4191" s="16" t="n">
        <v>137</v>
      </c>
      <c r="V4191" s="16">
        <f>ROUNDUP((T4191+U4191+2*'Read Me'!$B$13)*(1+'Read Me'!$B$12),-1)</f>
        <v/>
      </c>
      <c r="W4191" s="16">
        <f>V4191*N4191*O4191</f>
        <v/>
      </c>
      <c r="X4191" s="12">
        <f>IF(LEFT(I4191,2)="MV",2*N4191*IF(L4191="1/C",O4191,1),0)</f>
        <v/>
      </c>
      <c r="Y4191" s="12">
        <f>IF(OR(LEFT(K4191,4)="LVAX",LEFT(K4191,6)="MV15AX",LEFT(K4191,4)="CTAX",LEFT(K4191,2)="W|"),2*N4191*O4191,0)</f>
        <v/>
      </c>
      <c r="Z4191" s="12" t="inlineStr"/>
      <c r="AA4191" s="12">
        <f>N4191*O4191</f>
        <v/>
      </c>
    </row>
    <row r="4192">
      <c r="A4192" s="12" t="inlineStr">
        <is>
          <t>I-C-0096</t>
        </is>
      </c>
      <c r="B4192" s="12" t="inlineStr">
        <is>
          <t>I</t>
        </is>
      </c>
      <c r="C4192" s="12" t="inlineStr">
        <is>
          <t>Modular / portable power</t>
        </is>
      </c>
      <c r="D4192" s="12" t="inlineStr">
        <is>
          <t>Motor 1 of 6: control / local station</t>
        </is>
      </c>
      <c r="E4192" s="12" t="inlineStr"/>
      <c r="F4192" s="12" t="inlineStr">
        <is>
          <t>PCM: power control module</t>
        </is>
      </c>
      <c r="G4192" s="12" t="inlineStr">
        <is>
          <t>RICE-2</t>
        </is>
      </c>
      <c r="H4192" s="12" t="inlineStr">
        <is>
          <t>RICE engine-generator 2</t>
        </is>
      </c>
      <c r="I4192" s="12" t="inlineStr">
        <is>
          <t>Control</t>
        </is>
      </c>
      <c r="J4192" s="12" t="inlineStr">
        <is>
          <t>Control cable 600 V Type TC-ER, Cu #14 AWG, PVC jacket</t>
        </is>
      </c>
      <c r="K4192" s="12" t="inlineStr">
        <is>
          <t>CT|7/C|14</t>
        </is>
      </c>
      <c r="L4192" s="12" t="inlineStr">
        <is>
          <t>7/C</t>
        </is>
      </c>
      <c r="M4192" s="12" t="inlineStr">
        <is>
          <t>14</t>
        </is>
      </c>
      <c r="N4192" s="12" t="n">
        <v>1</v>
      </c>
      <c r="O4192" s="12" t="n">
        <v>1</v>
      </c>
      <c r="P4192" s="12" t="n"/>
      <c r="Q4192" s="12" t="n"/>
      <c r="R4192" s="12" t="n"/>
      <c r="S4192" s="12" t="inlineStr">
        <is>
          <t>Duct bank</t>
        </is>
      </c>
      <c r="T4192" s="16" t="n">
        <v>550</v>
      </c>
      <c r="U4192" s="16" t="n">
        <v>109</v>
      </c>
      <c r="V4192" s="16">
        <f>ROUNDUP((T4192+U4192+2*'Read Me'!$B$13)*(1+'Read Me'!$B$12),-1)</f>
        <v/>
      </c>
      <c r="W4192" s="16">
        <f>V4192*N4192*O4192</f>
        <v/>
      </c>
      <c r="X4192" s="12">
        <f>IF(LEFT(I4192,2)="MV",2*N4192*IF(L4192="1/C",O4192,1),0)</f>
        <v/>
      </c>
      <c r="Y4192" s="12">
        <f>IF(OR(LEFT(K4192,4)="LVAX",LEFT(K4192,6)="MV15AX",LEFT(K4192,4)="CTAX",LEFT(K4192,2)="W|"),2*N4192*O4192,0)</f>
        <v/>
      </c>
      <c r="Z4192" s="12" t="inlineStr"/>
      <c r="AA4192" s="12">
        <f>N4192*O4192</f>
        <v/>
      </c>
    </row>
    <row r="4193">
      <c r="A4193" s="12" t="inlineStr">
        <is>
          <t>I-C-0097</t>
        </is>
      </c>
      <c r="B4193" s="12" t="inlineStr">
        <is>
          <t>I</t>
        </is>
      </c>
      <c r="C4193" s="12" t="inlineStr">
        <is>
          <t>Modular / portable power</t>
        </is>
      </c>
      <c r="D4193" s="12" t="inlineStr">
        <is>
          <t>Motor 2 of 6: control / local station</t>
        </is>
      </c>
      <c r="E4193" s="12" t="inlineStr"/>
      <c r="F4193" s="12" t="inlineStr">
        <is>
          <t>PCM: power control module</t>
        </is>
      </c>
      <c r="G4193" s="12" t="inlineStr">
        <is>
          <t>RICE-2</t>
        </is>
      </c>
      <c r="H4193" s="12" t="inlineStr">
        <is>
          <t>RICE engine-generator 2</t>
        </is>
      </c>
      <c r="I4193" s="12" t="inlineStr">
        <is>
          <t>Control</t>
        </is>
      </c>
      <c r="J4193" s="12" t="inlineStr">
        <is>
          <t>Control cable 600 V Type TC-ER, Cu #14 AWG, PVC jacket</t>
        </is>
      </c>
      <c r="K4193" s="12" t="inlineStr">
        <is>
          <t>CT|7/C|14</t>
        </is>
      </c>
      <c r="L4193" s="12" t="inlineStr">
        <is>
          <t>7/C</t>
        </is>
      </c>
      <c r="M4193" s="12" t="inlineStr">
        <is>
          <t>14</t>
        </is>
      </c>
      <c r="N4193" s="12" t="n">
        <v>1</v>
      </c>
      <c r="O4193" s="12" t="n">
        <v>1</v>
      </c>
      <c r="P4193" s="12" t="n"/>
      <c r="Q4193" s="12" t="n"/>
      <c r="R4193" s="12" t="n"/>
      <c r="S4193" s="12" t="inlineStr">
        <is>
          <t>Duct bank</t>
        </is>
      </c>
      <c r="T4193" s="16" t="n">
        <v>550</v>
      </c>
      <c r="U4193" s="16" t="n">
        <v>109</v>
      </c>
      <c r="V4193" s="16">
        <f>ROUNDUP((T4193+U4193+2*'Read Me'!$B$13)*(1+'Read Me'!$B$12),-1)</f>
        <v/>
      </c>
      <c r="W4193" s="16">
        <f>V4193*N4193*O4193</f>
        <v/>
      </c>
      <c r="X4193" s="12">
        <f>IF(LEFT(I4193,2)="MV",2*N4193*IF(L4193="1/C",O4193,1),0)</f>
        <v/>
      </c>
      <c r="Y4193" s="12">
        <f>IF(OR(LEFT(K4193,4)="LVAX",LEFT(K4193,6)="MV15AX",LEFT(K4193,4)="CTAX",LEFT(K4193,2)="W|"),2*N4193*O4193,0)</f>
        <v/>
      </c>
      <c r="Z4193" s="12" t="inlineStr"/>
      <c r="AA4193" s="12">
        <f>N4193*O4193</f>
        <v/>
      </c>
    </row>
    <row r="4194">
      <c r="A4194" s="12" t="inlineStr">
        <is>
          <t>I-C-0098</t>
        </is>
      </c>
      <c r="B4194" s="12" t="inlineStr">
        <is>
          <t>I</t>
        </is>
      </c>
      <c r="C4194" s="12" t="inlineStr">
        <is>
          <t>Modular / portable power</t>
        </is>
      </c>
      <c r="D4194" s="12" t="inlineStr">
        <is>
          <t>Motor 3 of 6: control / local station</t>
        </is>
      </c>
      <c r="E4194" s="12" t="inlineStr"/>
      <c r="F4194" s="12" t="inlineStr">
        <is>
          <t>PCM: power control module</t>
        </is>
      </c>
      <c r="G4194" s="12" t="inlineStr">
        <is>
          <t>RICE-2</t>
        </is>
      </c>
      <c r="H4194" s="12" t="inlineStr">
        <is>
          <t>RICE engine-generator 2</t>
        </is>
      </c>
      <c r="I4194" s="12" t="inlineStr">
        <is>
          <t>Control</t>
        </is>
      </c>
      <c r="J4194" s="12" t="inlineStr">
        <is>
          <t>Control cable 600 V Type TC-ER, Cu #14 AWG, PVC jacket</t>
        </is>
      </c>
      <c r="K4194" s="12" t="inlineStr">
        <is>
          <t>CT|7/C|14</t>
        </is>
      </c>
      <c r="L4194" s="12" t="inlineStr">
        <is>
          <t>7/C</t>
        </is>
      </c>
      <c r="M4194" s="12" t="inlineStr">
        <is>
          <t>14</t>
        </is>
      </c>
      <c r="N4194" s="12" t="n">
        <v>1</v>
      </c>
      <c r="O4194" s="12" t="n">
        <v>1</v>
      </c>
      <c r="P4194" s="12" t="n"/>
      <c r="Q4194" s="12" t="n"/>
      <c r="R4194" s="12" t="n"/>
      <c r="S4194" s="12" t="inlineStr">
        <is>
          <t>Duct bank</t>
        </is>
      </c>
      <c r="T4194" s="16" t="n">
        <v>550</v>
      </c>
      <c r="U4194" s="16" t="n">
        <v>109</v>
      </c>
      <c r="V4194" s="16">
        <f>ROUNDUP((T4194+U4194+2*'Read Me'!$B$13)*(1+'Read Me'!$B$12),-1)</f>
        <v/>
      </c>
      <c r="W4194" s="16">
        <f>V4194*N4194*O4194</f>
        <v/>
      </c>
      <c r="X4194" s="12">
        <f>IF(LEFT(I4194,2)="MV",2*N4194*IF(L4194="1/C",O4194,1),0)</f>
        <v/>
      </c>
      <c r="Y4194" s="12">
        <f>IF(OR(LEFT(K4194,4)="LVAX",LEFT(K4194,6)="MV15AX",LEFT(K4194,4)="CTAX",LEFT(K4194,2)="W|"),2*N4194*O4194,0)</f>
        <v/>
      </c>
      <c r="Z4194" s="12" t="inlineStr"/>
      <c r="AA4194" s="12">
        <f>N4194*O4194</f>
        <v/>
      </c>
    </row>
    <row r="4195">
      <c r="A4195" s="12" t="inlineStr">
        <is>
          <t>I-C-0099</t>
        </is>
      </c>
      <c r="B4195" s="12" t="inlineStr">
        <is>
          <t>I</t>
        </is>
      </c>
      <c r="C4195" s="12" t="inlineStr">
        <is>
          <t>Modular / portable power</t>
        </is>
      </c>
      <c r="D4195" s="12" t="inlineStr">
        <is>
          <t>Motor 4 of 6: control / local station</t>
        </is>
      </c>
      <c r="E4195" s="12" t="inlineStr"/>
      <c r="F4195" s="12" t="inlineStr">
        <is>
          <t>PCM: power control module</t>
        </is>
      </c>
      <c r="G4195" s="12" t="inlineStr">
        <is>
          <t>RICE-2</t>
        </is>
      </c>
      <c r="H4195" s="12" t="inlineStr">
        <is>
          <t>RICE engine-generator 2</t>
        </is>
      </c>
      <c r="I4195" s="12" t="inlineStr">
        <is>
          <t>Control</t>
        </is>
      </c>
      <c r="J4195" s="12" t="inlineStr">
        <is>
          <t>Control cable 600 V Type TC-ER, Cu #14 AWG, PVC jacket</t>
        </is>
      </c>
      <c r="K4195" s="12" t="inlineStr">
        <is>
          <t>CT|7/C|14</t>
        </is>
      </c>
      <c r="L4195" s="12" t="inlineStr">
        <is>
          <t>7/C</t>
        </is>
      </c>
      <c r="M4195" s="12" t="inlineStr">
        <is>
          <t>14</t>
        </is>
      </c>
      <c r="N4195" s="12" t="n">
        <v>1</v>
      </c>
      <c r="O4195" s="12" t="n">
        <v>1</v>
      </c>
      <c r="P4195" s="12" t="n"/>
      <c r="Q4195" s="12" t="n"/>
      <c r="R4195" s="12" t="n"/>
      <c r="S4195" s="12" t="inlineStr">
        <is>
          <t>Duct bank</t>
        </is>
      </c>
      <c r="T4195" s="16" t="n">
        <v>550</v>
      </c>
      <c r="U4195" s="16" t="n">
        <v>109</v>
      </c>
      <c r="V4195" s="16">
        <f>ROUNDUP((T4195+U4195+2*'Read Me'!$B$13)*(1+'Read Me'!$B$12),-1)</f>
        <v/>
      </c>
      <c r="W4195" s="16">
        <f>V4195*N4195*O4195</f>
        <v/>
      </c>
      <c r="X4195" s="12">
        <f>IF(LEFT(I4195,2)="MV",2*N4195*IF(L4195="1/C",O4195,1),0)</f>
        <v/>
      </c>
      <c r="Y4195" s="12">
        <f>IF(OR(LEFT(K4195,4)="LVAX",LEFT(K4195,6)="MV15AX",LEFT(K4195,4)="CTAX",LEFT(K4195,2)="W|"),2*N4195*O4195,0)</f>
        <v/>
      </c>
      <c r="Z4195" s="12" t="inlineStr"/>
      <c r="AA4195" s="12">
        <f>N4195*O4195</f>
        <v/>
      </c>
    </row>
    <row r="4196">
      <c r="A4196" s="12" t="inlineStr">
        <is>
          <t>I-C-0100</t>
        </is>
      </c>
      <c r="B4196" s="12" t="inlineStr">
        <is>
          <t>I</t>
        </is>
      </c>
      <c r="C4196" s="12" t="inlineStr">
        <is>
          <t>Modular / portable power</t>
        </is>
      </c>
      <c r="D4196" s="12" t="inlineStr">
        <is>
          <t>Motor 5 of 6: control / local station</t>
        </is>
      </c>
      <c r="E4196" s="12" t="inlineStr"/>
      <c r="F4196" s="12" t="inlineStr">
        <is>
          <t>PCM: power control module</t>
        </is>
      </c>
      <c r="G4196" s="12" t="inlineStr">
        <is>
          <t>RICE-2</t>
        </is>
      </c>
      <c r="H4196" s="12" t="inlineStr">
        <is>
          <t>RICE engine-generator 2</t>
        </is>
      </c>
      <c r="I4196" s="12" t="inlineStr">
        <is>
          <t>Control</t>
        </is>
      </c>
      <c r="J4196" s="12" t="inlineStr">
        <is>
          <t>Control cable 600 V Type TC-ER, Cu #14 AWG, PVC jacket</t>
        </is>
      </c>
      <c r="K4196" s="12" t="inlineStr">
        <is>
          <t>CT|7/C|14</t>
        </is>
      </c>
      <c r="L4196" s="12" t="inlineStr">
        <is>
          <t>7/C</t>
        </is>
      </c>
      <c r="M4196" s="12" t="inlineStr">
        <is>
          <t>14</t>
        </is>
      </c>
      <c r="N4196" s="12" t="n">
        <v>1</v>
      </c>
      <c r="O4196" s="12" t="n">
        <v>1</v>
      </c>
      <c r="P4196" s="12" t="n"/>
      <c r="Q4196" s="12" t="n"/>
      <c r="R4196" s="12" t="n"/>
      <c r="S4196" s="12" t="inlineStr">
        <is>
          <t>Duct bank</t>
        </is>
      </c>
      <c r="T4196" s="16" t="n">
        <v>550</v>
      </c>
      <c r="U4196" s="16" t="n">
        <v>109</v>
      </c>
      <c r="V4196" s="16">
        <f>ROUNDUP((T4196+U4196+2*'Read Me'!$B$13)*(1+'Read Me'!$B$12),-1)</f>
        <v/>
      </c>
      <c r="W4196" s="16">
        <f>V4196*N4196*O4196</f>
        <v/>
      </c>
      <c r="X4196" s="12">
        <f>IF(LEFT(I4196,2)="MV",2*N4196*IF(L4196="1/C",O4196,1),0)</f>
        <v/>
      </c>
      <c r="Y4196" s="12">
        <f>IF(OR(LEFT(K4196,4)="LVAX",LEFT(K4196,6)="MV15AX",LEFT(K4196,4)="CTAX",LEFT(K4196,2)="W|"),2*N4196*O4196,0)</f>
        <v/>
      </c>
      <c r="Z4196" s="12" t="inlineStr"/>
      <c r="AA4196" s="12">
        <f>N4196*O4196</f>
        <v/>
      </c>
    </row>
    <row r="4197">
      <c r="A4197" s="12" t="inlineStr">
        <is>
          <t>I-C-0101</t>
        </is>
      </c>
      <c r="B4197" s="12" t="inlineStr">
        <is>
          <t>I</t>
        </is>
      </c>
      <c r="C4197" s="12" t="inlineStr">
        <is>
          <t>Modular / portable power</t>
        </is>
      </c>
      <c r="D4197" s="12" t="inlineStr">
        <is>
          <t>Motor 6 of 6: control / local station</t>
        </is>
      </c>
      <c r="E4197" s="12" t="inlineStr"/>
      <c r="F4197" s="12" t="inlineStr">
        <is>
          <t>PCM: power control module</t>
        </is>
      </c>
      <c r="G4197" s="12" t="inlineStr">
        <is>
          <t>RICE-2</t>
        </is>
      </c>
      <c r="H4197" s="12" t="inlineStr">
        <is>
          <t>RICE engine-generator 2</t>
        </is>
      </c>
      <c r="I4197" s="12" t="inlineStr">
        <is>
          <t>Control</t>
        </is>
      </c>
      <c r="J4197" s="12" t="inlineStr">
        <is>
          <t>Control cable 600 V Type TC-ER, Cu #14 AWG, PVC jacket</t>
        </is>
      </c>
      <c r="K4197" s="12" t="inlineStr">
        <is>
          <t>CT|7/C|14</t>
        </is>
      </c>
      <c r="L4197" s="12" t="inlineStr">
        <is>
          <t>7/C</t>
        </is>
      </c>
      <c r="M4197" s="12" t="inlineStr">
        <is>
          <t>14</t>
        </is>
      </c>
      <c r="N4197" s="12" t="n">
        <v>1</v>
      </c>
      <c r="O4197" s="12" t="n">
        <v>1</v>
      </c>
      <c r="P4197" s="12" t="n"/>
      <c r="Q4197" s="12" t="n"/>
      <c r="R4197" s="12" t="n"/>
      <c r="S4197" s="12" t="inlineStr">
        <is>
          <t>Duct bank</t>
        </is>
      </c>
      <c r="T4197" s="16" t="n">
        <v>550</v>
      </c>
      <c r="U4197" s="16" t="n">
        <v>109</v>
      </c>
      <c r="V4197" s="16">
        <f>ROUNDUP((T4197+U4197+2*'Read Me'!$B$13)*(1+'Read Me'!$B$12),-1)</f>
        <v/>
      </c>
      <c r="W4197" s="16">
        <f>V4197*N4197*O4197</f>
        <v/>
      </c>
      <c r="X4197" s="12">
        <f>IF(LEFT(I4197,2)="MV",2*N4197*IF(L4197="1/C",O4197,1),0)</f>
        <v/>
      </c>
      <c r="Y4197" s="12">
        <f>IF(OR(LEFT(K4197,4)="LVAX",LEFT(K4197,6)="MV15AX",LEFT(K4197,4)="CTAX",LEFT(K4197,2)="W|"),2*N4197*O4197,0)</f>
        <v/>
      </c>
      <c r="Z4197" s="12" t="inlineStr"/>
      <c r="AA4197" s="12">
        <f>N4197*O4197</f>
        <v/>
      </c>
    </row>
    <row r="4198">
      <c r="A4198" s="12" t="inlineStr">
        <is>
          <t>I-C-0102</t>
        </is>
      </c>
      <c r="B4198" s="12" t="inlineStr">
        <is>
          <t>I</t>
        </is>
      </c>
      <c r="C4198" s="12" t="inlineStr">
        <is>
          <t>Modular / portable power</t>
        </is>
      </c>
      <c r="D4198" s="12" t="inlineStr">
        <is>
          <t>Motor 1 of 6: control / local station</t>
        </is>
      </c>
      <c r="E4198" s="12" t="inlineStr"/>
      <c r="F4198" s="12" t="inlineStr">
        <is>
          <t>PCM: power control module</t>
        </is>
      </c>
      <c r="G4198" s="12" t="inlineStr">
        <is>
          <t>RICE-3</t>
        </is>
      </c>
      <c r="H4198" s="12" t="inlineStr">
        <is>
          <t>RICE engine-generator 3</t>
        </is>
      </c>
      <c r="I4198" s="12" t="inlineStr">
        <is>
          <t>Control</t>
        </is>
      </c>
      <c r="J4198" s="12" t="inlineStr">
        <is>
          <t>Control cable 600 V Type TC-ER, Cu #14 AWG, PVC jacket</t>
        </is>
      </c>
      <c r="K4198" s="12" t="inlineStr">
        <is>
          <t>CT|7/C|14</t>
        </is>
      </c>
      <c r="L4198" s="12" t="inlineStr">
        <is>
          <t>7/C</t>
        </is>
      </c>
      <c r="M4198" s="12" t="inlineStr">
        <is>
          <t>14</t>
        </is>
      </c>
      <c r="N4198" s="12" t="n">
        <v>1</v>
      </c>
      <c r="O4198" s="12" t="n">
        <v>1</v>
      </c>
      <c r="P4198" s="12" t="n"/>
      <c r="Q4198" s="12" t="n"/>
      <c r="R4198" s="12" t="n"/>
      <c r="S4198" s="12" t="inlineStr">
        <is>
          <t>Duct bank</t>
        </is>
      </c>
      <c r="T4198" s="16" t="n">
        <v>550</v>
      </c>
      <c r="U4198" s="16" t="n">
        <v>81</v>
      </c>
      <c r="V4198" s="16">
        <f>ROUNDUP((T4198+U4198+2*'Read Me'!$B$13)*(1+'Read Me'!$B$12),-1)</f>
        <v/>
      </c>
      <c r="W4198" s="16">
        <f>V4198*N4198*O4198</f>
        <v/>
      </c>
      <c r="X4198" s="12">
        <f>IF(LEFT(I4198,2)="MV",2*N4198*IF(L4198="1/C",O4198,1),0)</f>
        <v/>
      </c>
      <c r="Y4198" s="12">
        <f>IF(OR(LEFT(K4198,4)="LVAX",LEFT(K4198,6)="MV15AX",LEFT(K4198,4)="CTAX",LEFT(K4198,2)="W|"),2*N4198*O4198,0)</f>
        <v/>
      </c>
      <c r="Z4198" s="12" t="inlineStr"/>
      <c r="AA4198" s="12">
        <f>N4198*O4198</f>
        <v/>
      </c>
    </row>
    <row r="4199">
      <c r="A4199" s="12" t="inlineStr">
        <is>
          <t>I-C-0103</t>
        </is>
      </c>
      <c r="B4199" s="12" t="inlineStr">
        <is>
          <t>I</t>
        </is>
      </c>
      <c r="C4199" s="12" t="inlineStr">
        <is>
          <t>Modular / portable power</t>
        </is>
      </c>
      <c r="D4199" s="12" t="inlineStr">
        <is>
          <t>Motor 2 of 6: control / local station</t>
        </is>
      </c>
      <c r="E4199" s="12" t="inlineStr"/>
      <c r="F4199" s="12" t="inlineStr">
        <is>
          <t>PCM: power control module</t>
        </is>
      </c>
      <c r="G4199" s="12" t="inlineStr">
        <is>
          <t>RICE-3</t>
        </is>
      </c>
      <c r="H4199" s="12" t="inlineStr">
        <is>
          <t>RICE engine-generator 3</t>
        </is>
      </c>
      <c r="I4199" s="12" t="inlineStr">
        <is>
          <t>Control</t>
        </is>
      </c>
      <c r="J4199" s="12" t="inlineStr">
        <is>
          <t>Control cable 600 V Type TC-ER, Cu #14 AWG, PVC jacket</t>
        </is>
      </c>
      <c r="K4199" s="12" t="inlineStr">
        <is>
          <t>CT|7/C|14</t>
        </is>
      </c>
      <c r="L4199" s="12" t="inlineStr">
        <is>
          <t>7/C</t>
        </is>
      </c>
      <c r="M4199" s="12" t="inlineStr">
        <is>
          <t>14</t>
        </is>
      </c>
      <c r="N4199" s="12" t="n">
        <v>1</v>
      </c>
      <c r="O4199" s="12" t="n">
        <v>1</v>
      </c>
      <c r="P4199" s="12" t="n"/>
      <c r="Q4199" s="12" t="n"/>
      <c r="R4199" s="12" t="n"/>
      <c r="S4199" s="12" t="inlineStr">
        <is>
          <t>Duct bank</t>
        </is>
      </c>
      <c r="T4199" s="16" t="n">
        <v>550</v>
      </c>
      <c r="U4199" s="16" t="n">
        <v>81</v>
      </c>
      <c r="V4199" s="16">
        <f>ROUNDUP((T4199+U4199+2*'Read Me'!$B$13)*(1+'Read Me'!$B$12),-1)</f>
        <v/>
      </c>
      <c r="W4199" s="16">
        <f>V4199*N4199*O4199</f>
        <v/>
      </c>
      <c r="X4199" s="12">
        <f>IF(LEFT(I4199,2)="MV",2*N4199*IF(L4199="1/C",O4199,1),0)</f>
        <v/>
      </c>
      <c r="Y4199" s="12">
        <f>IF(OR(LEFT(K4199,4)="LVAX",LEFT(K4199,6)="MV15AX",LEFT(K4199,4)="CTAX",LEFT(K4199,2)="W|"),2*N4199*O4199,0)</f>
        <v/>
      </c>
      <c r="Z4199" s="12" t="inlineStr"/>
      <c r="AA4199" s="12">
        <f>N4199*O4199</f>
        <v/>
      </c>
    </row>
    <row r="4200">
      <c r="A4200" s="12" t="inlineStr">
        <is>
          <t>I-C-0104</t>
        </is>
      </c>
      <c r="B4200" s="12" t="inlineStr">
        <is>
          <t>I</t>
        </is>
      </c>
      <c r="C4200" s="12" t="inlineStr">
        <is>
          <t>Modular / portable power</t>
        </is>
      </c>
      <c r="D4200" s="12" t="inlineStr">
        <is>
          <t>Motor 3 of 6: control / local station</t>
        </is>
      </c>
      <c r="E4200" s="12" t="inlineStr"/>
      <c r="F4200" s="12" t="inlineStr">
        <is>
          <t>PCM: power control module</t>
        </is>
      </c>
      <c r="G4200" s="12" t="inlineStr">
        <is>
          <t>RICE-3</t>
        </is>
      </c>
      <c r="H4200" s="12" t="inlineStr">
        <is>
          <t>RICE engine-generator 3</t>
        </is>
      </c>
      <c r="I4200" s="12" t="inlineStr">
        <is>
          <t>Control</t>
        </is>
      </c>
      <c r="J4200" s="12" t="inlineStr">
        <is>
          <t>Control cable 600 V Type TC-ER, Cu #14 AWG, PVC jacket</t>
        </is>
      </c>
      <c r="K4200" s="12" t="inlineStr">
        <is>
          <t>CT|7/C|14</t>
        </is>
      </c>
      <c r="L4200" s="12" t="inlineStr">
        <is>
          <t>7/C</t>
        </is>
      </c>
      <c r="M4200" s="12" t="inlineStr">
        <is>
          <t>14</t>
        </is>
      </c>
      <c r="N4200" s="12" t="n">
        <v>1</v>
      </c>
      <c r="O4200" s="12" t="n">
        <v>1</v>
      </c>
      <c r="P4200" s="12" t="n"/>
      <c r="Q4200" s="12" t="n"/>
      <c r="R4200" s="12" t="n"/>
      <c r="S4200" s="12" t="inlineStr">
        <is>
          <t>Duct bank</t>
        </is>
      </c>
      <c r="T4200" s="16" t="n">
        <v>550</v>
      </c>
      <c r="U4200" s="16" t="n">
        <v>81</v>
      </c>
      <c r="V4200" s="16">
        <f>ROUNDUP((T4200+U4200+2*'Read Me'!$B$13)*(1+'Read Me'!$B$12),-1)</f>
        <v/>
      </c>
      <c r="W4200" s="16">
        <f>V4200*N4200*O4200</f>
        <v/>
      </c>
      <c r="X4200" s="12">
        <f>IF(LEFT(I4200,2)="MV",2*N4200*IF(L4200="1/C",O4200,1),0)</f>
        <v/>
      </c>
      <c r="Y4200" s="12">
        <f>IF(OR(LEFT(K4200,4)="LVAX",LEFT(K4200,6)="MV15AX",LEFT(K4200,4)="CTAX",LEFT(K4200,2)="W|"),2*N4200*O4200,0)</f>
        <v/>
      </c>
      <c r="Z4200" s="12" t="inlineStr"/>
      <c r="AA4200" s="12">
        <f>N4200*O4200</f>
        <v/>
      </c>
    </row>
    <row r="4201">
      <c r="A4201" s="12" t="inlineStr">
        <is>
          <t>I-C-0105</t>
        </is>
      </c>
      <c r="B4201" s="12" t="inlineStr">
        <is>
          <t>I</t>
        </is>
      </c>
      <c r="C4201" s="12" t="inlineStr">
        <is>
          <t>Modular / portable power</t>
        </is>
      </c>
      <c r="D4201" s="12" t="inlineStr">
        <is>
          <t>Motor 4 of 6: control / local station</t>
        </is>
      </c>
      <c r="E4201" s="12" t="inlineStr"/>
      <c r="F4201" s="12" t="inlineStr">
        <is>
          <t>PCM: power control module</t>
        </is>
      </c>
      <c r="G4201" s="12" t="inlineStr">
        <is>
          <t>RICE-3</t>
        </is>
      </c>
      <c r="H4201" s="12" t="inlineStr">
        <is>
          <t>RICE engine-generator 3</t>
        </is>
      </c>
      <c r="I4201" s="12" t="inlineStr">
        <is>
          <t>Control</t>
        </is>
      </c>
      <c r="J4201" s="12" t="inlineStr">
        <is>
          <t>Control cable 600 V Type TC-ER, Cu #14 AWG, PVC jacket</t>
        </is>
      </c>
      <c r="K4201" s="12" t="inlineStr">
        <is>
          <t>CT|7/C|14</t>
        </is>
      </c>
      <c r="L4201" s="12" t="inlineStr">
        <is>
          <t>7/C</t>
        </is>
      </c>
      <c r="M4201" s="12" t="inlineStr">
        <is>
          <t>14</t>
        </is>
      </c>
      <c r="N4201" s="12" t="n">
        <v>1</v>
      </c>
      <c r="O4201" s="12" t="n">
        <v>1</v>
      </c>
      <c r="P4201" s="12" t="n"/>
      <c r="Q4201" s="12" t="n"/>
      <c r="R4201" s="12" t="n"/>
      <c r="S4201" s="12" t="inlineStr">
        <is>
          <t>Duct bank</t>
        </is>
      </c>
      <c r="T4201" s="16" t="n">
        <v>550</v>
      </c>
      <c r="U4201" s="16" t="n">
        <v>81</v>
      </c>
      <c r="V4201" s="16">
        <f>ROUNDUP((T4201+U4201+2*'Read Me'!$B$13)*(1+'Read Me'!$B$12),-1)</f>
        <v/>
      </c>
      <c r="W4201" s="16">
        <f>V4201*N4201*O4201</f>
        <v/>
      </c>
      <c r="X4201" s="12">
        <f>IF(LEFT(I4201,2)="MV",2*N4201*IF(L4201="1/C",O4201,1),0)</f>
        <v/>
      </c>
      <c r="Y4201" s="12">
        <f>IF(OR(LEFT(K4201,4)="LVAX",LEFT(K4201,6)="MV15AX",LEFT(K4201,4)="CTAX",LEFT(K4201,2)="W|"),2*N4201*O4201,0)</f>
        <v/>
      </c>
      <c r="Z4201" s="12" t="inlineStr"/>
      <c r="AA4201" s="12">
        <f>N4201*O4201</f>
        <v/>
      </c>
    </row>
    <row r="4202">
      <c r="A4202" s="12" t="inlineStr">
        <is>
          <t>I-C-0106</t>
        </is>
      </c>
      <c r="B4202" s="12" t="inlineStr">
        <is>
          <t>I</t>
        </is>
      </c>
      <c r="C4202" s="12" t="inlineStr">
        <is>
          <t>Modular / portable power</t>
        </is>
      </c>
      <c r="D4202" s="12" t="inlineStr">
        <is>
          <t>Motor 5 of 6: control / local station</t>
        </is>
      </c>
      <c r="E4202" s="12" t="inlineStr"/>
      <c r="F4202" s="12" t="inlineStr">
        <is>
          <t>PCM: power control module</t>
        </is>
      </c>
      <c r="G4202" s="12" t="inlineStr">
        <is>
          <t>RICE-3</t>
        </is>
      </c>
      <c r="H4202" s="12" t="inlineStr">
        <is>
          <t>RICE engine-generator 3</t>
        </is>
      </c>
      <c r="I4202" s="12" t="inlineStr">
        <is>
          <t>Control</t>
        </is>
      </c>
      <c r="J4202" s="12" t="inlineStr">
        <is>
          <t>Control cable 600 V Type TC-ER, Cu #14 AWG, PVC jacket</t>
        </is>
      </c>
      <c r="K4202" s="12" t="inlineStr">
        <is>
          <t>CT|7/C|14</t>
        </is>
      </c>
      <c r="L4202" s="12" t="inlineStr">
        <is>
          <t>7/C</t>
        </is>
      </c>
      <c r="M4202" s="12" t="inlineStr">
        <is>
          <t>14</t>
        </is>
      </c>
      <c r="N4202" s="12" t="n">
        <v>1</v>
      </c>
      <c r="O4202" s="12" t="n">
        <v>1</v>
      </c>
      <c r="P4202" s="12" t="n"/>
      <c r="Q4202" s="12" t="n"/>
      <c r="R4202" s="12" t="n"/>
      <c r="S4202" s="12" t="inlineStr">
        <is>
          <t>Duct bank</t>
        </is>
      </c>
      <c r="T4202" s="16" t="n">
        <v>550</v>
      </c>
      <c r="U4202" s="16" t="n">
        <v>81</v>
      </c>
      <c r="V4202" s="16">
        <f>ROUNDUP((T4202+U4202+2*'Read Me'!$B$13)*(1+'Read Me'!$B$12),-1)</f>
        <v/>
      </c>
      <c r="W4202" s="16">
        <f>V4202*N4202*O4202</f>
        <v/>
      </c>
      <c r="X4202" s="12">
        <f>IF(LEFT(I4202,2)="MV",2*N4202*IF(L4202="1/C",O4202,1),0)</f>
        <v/>
      </c>
      <c r="Y4202" s="12">
        <f>IF(OR(LEFT(K4202,4)="LVAX",LEFT(K4202,6)="MV15AX",LEFT(K4202,4)="CTAX",LEFT(K4202,2)="W|"),2*N4202*O4202,0)</f>
        <v/>
      </c>
      <c r="Z4202" s="12" t="inlineStr"/>
      <c r="AA4202" s="12">
        <f>N4202*O4202</f>
        <v/>
      </c>
    </row>
    <row r="4203">
      <c r="A4203" s="12" t="inlineStr">
        <is>
          <t>I-C-0107</t>
        </is>
      </c>
      <c r="B4203" s="12" t="inlineStr">
        <is>
          <t>I</t>
        </is>
      </c>
      <c r="C4203" s="12" t="inlineStr">
        <is>
          <t>Modular / portable power</t>
        </is>
      </c>
      <c r="D4203" s="12" t="inlineStr">
        <is>
          <t>Motor 6 of 6: control / local station</t>
        </is>
      </c>
      <c r="E4203" s="12" t="inlineStr"/>
      <c r="F4203" s="12" t="inlineStr">
        <is>
          <t>PCM: power control module</t>
        </is>
      </c>
      <c r="G4203" s="12" t="inlineStr">
        <is>
          <t>RICE-3</t>
        </is>
      </c>
      <c r="H4203" s="12" t="inlineStr">
        <is>
          <t>RICE engine-generator 3</t>
        </is>
      </c>
      <c r="I4203" s="12" t="inlineStr">
        <is>
          <t>Control</t>
        </is>
      </c>
      <c r="J4203" s="12" t="inlineStr">
        <is>
          <t>Control cable 600 V Type TC-ER, Cu #14 AWG, PVC jacket</t>
        </is>
      </c>
      <c r="K4203" s="12" t="inlineStr">
        <is>
          <t>CT|7/C|14</t>
        </is>
      </c>
      <c r="L4203" s="12" t="inlineStr">
        <is>
          <t>7/C</t>
        </is>
      </c>
      <c r="M4203" s="12" t="inlineStr">
        <is>
          <t>14</t>
        </is>
      </c>
      <c r="N4203" s="12" t="n">
        <v>1</v>
      </c>
      <c r="O4203" s="12" t="n">
        <v>1</v>
      </c>
      <c r="P4203" s="12" t="n"/>
      <c r="Q4203" s="12" t="n"/>
      <c r="R4203" s="12" t="n"/>
      <c r="S4203" s="12" t="inlineStr">
        <is>
          <t>Duct bank</t>
        </is>
      </c>
      <c r="T4203" s="16" t="n">
        <v>550</v>
      </c>
      <c r="U4203" s="16" t="n">
        <v>81</v>
      </c>
      <c r="V4203" s="16">
        <f>ROUNDUP((T4203+U4203+2*'Read Me'!$B$13)*(1+'Read Me'!$B$12),-1)</f>
        <v/>
      </c>
      <c r="W4203" s="16">
        <f>V4203*N4203*O4203</f>
        <v/>
      </c>
      <c r="X4203" s="12">
        <f>IF(LEFT(I4203,2)="MV",2*N4203*IF(L4203="1/C",O4203,1),0)</f>
        <v/>
      </c>
      <c r="Y4203" s="12">
        <f>IF(OR(LEFT(K4203,4)="LVAX",LEFT(K4203,6)="MV15AX",LEFT(K4203,4)="CTAX",LEFT(K4203,2)="W|"),2*N4203*O4203,0)</f>
        <v/>
      </c>
      <c r="Z4203" s="12" t="inlineStr"/>
      <c r="AA4203" s="12">
        <f>N4203*O4203</f>
        <v/>
      </c>
    </row>
    <row r="4204">
      <c r="A4204" s="12" t="inlineStr">
        <is>
          <t>I-C-0108</t>
        </is>
      </c>
      <c r="B4204" s="12" t="inlineStr">
        <is>
          <t>I</t>
        </is>
      </c>
      <c r="C4204" s="12" t="inlineStr">
        <is>
          <t>Modular / portable power</t>
        </is>
      </c>
      <c r="D4204" s="12" t="inlineStr">
        <is>
          <t>Motor 1 of 6: control / local station</t>
        </is>
      </c>
      <c r="E4204" s="12" t="inlineStr"/>
      <c r="F4204" s="12" t="inlineStr">
        <is>
          <t>PCM: power control module</t>
        </is>
      </c>
      <c r="G4204" s="12" t="inlineStr">
        <is>
          <t>RICE-4</t>
        </is>
      </c>
      <c r="H4204" s="12" t="inlineStr">
        <is>
          <t>RICE engine-generator 4</t>
        </is>
      </c>
      <c r="I4204" s="12" t="inlineStr">
        <is>
          <t>Control</t>
        </is>
      </c>
      <c r="J4204" s="12" t="inlineStr">
        <is>
          <t>Control cable 600 V Type TC-ER, Cu #14 AWG, PVC jacket</t>
        </is>
      </c>
      <c r="K4204" s="12" t="inlineStr">
        <is>
          <t>CT|7/C|14</t>
        </is>
      </c>
      <c r="L4204" s="12" t="inlineStr">
        <is>
          <t>7/C</t>
        </is>
      </c>
      <c r="M4204" s="12" t="inlineStr">
        <is>
          <t>14</t>
        </is>
      </c>
      <c r="N4204" s="12" t="n">
        <v>1</v>
      </c>
      <c r="O4204" s="12" t="n">
        <v>1</v>
      </c>
      <c r="P4204" s="12" t="n"/>
      <c r="Q4204" s="12" t="n"/>
      <c r="R4204" s="12" t="n"/>
      <c r="S4204" s="12" t="inlineStr">
        <is>
          <t>Duct bank</t>
        </is>
      </c>
      <c r="T4204" s="16" t="n">
        <v>550</v>
      </c>
      <c r="U4204" s="16" t="n">
        <v>53</v>
      </c>
      <c r="V4204" s="16">
        <f>ROUNDUP((T4204+U4204+2*'Read Me'!$B$13)*(1+'Read Me'!$B$12),-1)</f>
        <v/>
      </c>
      <c r="W4204" s="16">
        <f>V4204*N4204*O4204</f>
        <v/>
      </c>
      <c r="X4204" s="12">
        <f>IF(LEFT(I4204,2)="MV",2*N4204*IF(L4204="1/C",O4204,1),0)</f>
        <v/>
      </c>
      <c r="Y4204" s="12">
        <f>IF(OR(LEFT(K4204,4)="LVAX",LEFT(K4204,6)="MV15AX",LEFT(K4204,4)="CTAX",LEFT(K4204,2)="W|"),2*N4204*O4204,0)</f>
        <v/>
      </c>
      <c r="Z4204" s="12" t="inlineStr"/>
      <c r="AA4204" s="12">
        <f>N4204*O4204</f>
        <v/>
      </c>
    </row>
    <row r="4205">
      <c r="A4205" s="12" t="inlineStr">
        <is>
          <t>I-C-0109</t>
        </is>
      </c>
      <c r="B4205" s="12" t="inlineStr">
        <is>
          <t>I</t>
        </is>
      </c>
      <c r="C4205" s="12" t="inlineStr">
        <is>
          <t>Modular / portable power</t>
        </is>
      </c>
      <c r="D4205" s="12" t="inlineStr">
        <is>
          <t>Motor 2 of 6: control / local station</t>
        </is>
      </c>
      <c r="E4205" s="12" t="inlineStr"/>
      <c r="F4205" s="12" t="inlineStr">
        <is>
          <t>PCM: power control module</t>
        </is>
      </c>
      <c r="G4205" s="12" t="inlineStr">
        <is>
          <t>RICE-4</t>
        </is>
      </c>
      <c r="H4205" s="12" t="inlineStr">
        <is>
          <t>RICE engine-generator 4</t>
        </is>
      </c>
      <c r="I4205" s="12" t="inlineStr">
        <is>
          <t>Control</t>
        </is>
      </c>
      <c r="J4205" s="12" t="inlineStr">
        <is>
          <t>Control cable 600 V Type TC-ER, Cu #14 AWG, PVC jacket</t>
        </is>
      </c>
      <c r="K4205" s="12" t="inlineStr">
        <is>
          <t>CT|7/C|14</t>
        </is>
      </c>
      <c r="L4205" s="12" t="inlineStr">
        <is>
          <t>7/C</t>
        </is>
      </c>
      <c r="M4205" s="12" t="inlineStr">
        <is>
          <t>14</t>
        </is>
      </c>
      <c r="N4205" s="12" t="n">
        <v>1</v>
      </c>
      <c r="O4205" s="12" t="n">
        <v>1</v>
      </c>
      <c r="P4205" s="12" t="n"/>
      <c r="Q4205" s="12" t="n"/>
      <c r="R4205" s="12" t="n"/>
      <c r="S4205" s="12" t="inlineStr">
        <is>
          <t>Duct bank</t>
        </is>
      </c>
      <c r="T4205" s="16" t="n">
        <v>550</v>
      </c>
      <c r="U4205" s="16" t="n">
        <v>53</v>
      </c>
      <c r="V4205" s="16">
        <f>ROUNDUP((T4205+U4205+2*'Read Me'!$B$13)*(1+'Read Me'!$B$12),-1)</f>
        <v/>
      </c>
      <c r="W4205" s="16">
        <f>V4205*N4205*O4205</f>
        <v/>
      </c>
      <c r="X4205" s="12">
        <f>IF(LEFT(I4205,2)="MV",2*N4205*IF(L4205="1/C",O4205,1),0)</f>
        <v/>
      </c>
      <c r="Y4205" s="12">
        <f>IF(OR(LEFT(K4205,4)="LVAX",LEFT(K4205,6)="MV15AX",LEFT(K4205,4)="CTAX",LEFT(K4205,2)="W|"),2*N4205*O4205,0)</f>
        <v/>
      </c>
      <c r="Z4205" s="12" t="inlineStr"/>
      <c r="AA4205" s="12">
        <f>N4205*O4205</f>
        <v/>
      </c>
    </row>
    <row r="4206">
      <c r="A4206" s="12" t="inlineStr">
        <is>
          <t>I-C-0110</t>
        </is>
      </c>
      <c r="B4206" s="12" t="inlineStr">
        <is>
          <t>I</t>
        </is>
      </c>
      <c r="C4206" s="12" t="inlineStr">
        <is>
          <t>Modular / portable power</t>
        </is>
      </c>
      <c r="D4206" s="12" t="inlineStr">
        <is>
          <t>Motor 3 of 6: control / local station</t>
        </is>
      </c>
      <c r="E4206" s="12" t="inlineStr"/>
      <c r="F4206" s="12" t="inlineStr">
        <is>
          <t>PCM: power control module</t>
        </is>
      </c>
      <c r="G4206" s="12" t="inlineStr">
        <is>
          <t>RICE-4</t>
        </is>
      </c>
      <c r="H4206" s="12" t="inlineStr">
        <is>
          <t>RICE engine-generator 4</t>
        </is>
      </c>
      <c r="I4206" s="12" t="inlineStr">
        <is>
          <t>Control</t>
        </is>
      </c>
      <c r="J4206" s="12" t="inlineStr">
        <is>
          <t>Control cable 600 V Type TC-ER, Cu #14 AWG, PVC jacket</t>
        </is>
      </c>
      <c r="K4206" s="12" t="inlineStr">
        <is>
          <t>CT|7/C|14</t>
        </is>
      </c>
      <c r="L4206" s="12" t="inlineStr">
        <is>
          <t>7/C</t>
        </is>
      </c>
      <c r="M4206" s="12" t="inlineStr">
        <is>
          <t>14</t>
        </is>
      </c>
      <c r="N4206" s="12" t="n">
        <v>1</v>
      </c>
      <c r="O4206" s="12" t="n">
        <v>1</v>
      </c>
      <c r="P4206" s="12" t="n"/>
      <c r="Q4206" s="12" t="n"/>
      <c r="R4206" s="12" t="n"/>
      <c r="S4206" s="12" t="inlineStr">
        <is>
          <t>Duct bank</t>
        </is>
      </c>
      <c r="T4206" s="16" t="n">
        <v>550</v>
      </c>
      <c r="U4206" s="16" t="n">
        <v>53</v>
      </c>
      <c r="V4206" s="16">
        <f>ROUNDUP((T4206+U4206+2*'Read Me'!$B$13)*(1+'Read Me'!$B$12),-1)</f>
        <v/>
      </c>
      <c r="W4206" s="16">
        <f>V4206*N4206*O4206</f>
        <v/>
      </c>
      <c r="X4206" s="12">
        <f>IF(LEFT(I4206,2)="MV",2*N4206*IF(L4206="1/C",O4206,1),0)</f>
        <v/>
      </c>
      <c r="Y4206" s="12">
        <f>IF(OR(LEFT(K4206,4)="LVAX",LEFT(K4206,6)="MV15AX",LEFT(K4206,4)="CTAX",LEFT(K4206,2)="W|"),2*N4206*O4206,0)</f>
        <v/>
      </c>
      <c r="Z4206" s="12" t="inlineStr"/>
      <c r="AA4206" s="12">
        <f>N4206*O4206</f>
        <v/>
      </c>
    </row>
    <row r="4207">
      <c r="A4207" s="12" t="inlineStr">
        <is>
          <t>I-C-0111</t>
        </is>
      </c>
      <c r="B4207" s="12" t="inlineStr">
        <is>
          <t>I</t>
        </is>
      </c>
      <c r="C4207" s="12" t="inlineStr">
        <is>
          <t>Modular / portable power</t>
        </is>
      </c>
      <c r="D4207" s="12" t="inlineStr">
        <is>
          <t>Motor 4 of 6: control / local station</t>
        </is>
      </c>
      <c r="E4207" s="12" t="inlineStr"/>
      <c r="F4207" s="12" t="inlineStr">
        <is>
          <t>PCM: power control module</t>
        </is>
      </c>
      <c r="G4207" s="12" t="inlineStr">
        <is>
          <t>RICE-4</t>
        </is>
      </c>
      <c r="H4207" s="12" t="inlineStr">
        <is>
          <t>RICE engine-generator 4</t>
        </is>
      </c>
      <c r="I4207" s="12" t="inlineStr">
        <is>
          <t>Control</t>
        </is>
      </c>
      <c r="J4207" s="12" t="inlineStr">
        <is>
          <t>Control cable 600 V Type TC-ER, Cu #14 AWG, PVC jacket</t>
        </is>
      </c>
      <c r="K4207" s="12" t="inlineStr">
        <is>
          <t>CT|7/C|14</t>
        </is>
      </c>
      <c r="L4207" s="12" t="inlineStr">
        <is>
          <t>7/C</t>
        </is>
      </c>
      <c r="M4207" s="12" t="inlineStr">
        <is>
          <t>14</t>
        </is>
      </c>
      <c r="N4207" s="12" t="n">
        <v>1</v>
      </c>
      <c r="O4207" s="12" t="n">
        <v>1</v>
      </c>
      <c r="P4207" s="12" t="n"/>
      <c r="Q4207" s="12" t="n"/>
      <c r="R4207" s="12" t="n"/>
      <c r="S4207" s="12" t="inlineStr">
        <is>
          <t>Duct bank</t>
        </is>
      </c>
      <c r="T4207" s="16" t="n">
        <v>550</v>
      </c>
      <c r="U4207" s="16" t="n">
        <v>53</v>
      </c>
      <c r="V4207" s="16">
        <f>ROUNDUP((T4207+U4207+2*'Read Me'!$B$13)*(1+'Read Me'!$B$12),-1)</f>
        <v/>
      </c>
      <c r="W4207" s="16">
        <f>V4207*N4207*O4207</f>
        <v/>
      </c>
      <c r="X4207" s="12">
        <f>IF(LEFT(I4207,2)="MV",2*N4207*IF(L4207="1/C",O4207,1),0)</f>
        <v/>
      </c>
      <c r="Y4207" s="12">
        <f>IF(OR(LEFT(K4207,4)="LVAX",LEFT(K4207,6)="MV15AX",LEFT(K4207,4)="CTAX",LEFT(K4207,2)="W|"),2*N4207*O4207,0)</f>
        <v/>
      </c>
      <c r="Z4207" s="12" t="inlineStr"/>
      <c r="AA4207" s="12">
        <f>N4207*O4207</f>
        <v/>
      </c>
    </row>
    <row r="4208">
      <c r="A4208" s="12" t="inlineStr">
        <is>
          <t>I-C-0112</t>
        </is>
      </c>
      <c r="B4208" s="12" t="inlineStr">
        <is>
          <t>I</t>
        </is>
      </c>
      <c r="C4208" s="12" t="inlineStr">
        <is>
          <t>Modular / portable power</t>
        </is>
      </c>
      <c r="D4208" s="12" t="inlineStr">
        <is>
          <t>Motor 5 of 6: control / local station</t>
        </is>
      </c>
      <c r="E4208" s="12" t="inlineStr"/>
      <c r="F4208" s="12" t="inlineStr">
        <is>
          <t>PCM: power control module</t>
        </is>
      </c>
      <c r="G4208" s="12" t="inlineStr">
        <is>
          <t>RICE-4</t>
        </is>
      </c>
      <c r="H4208" s="12" t="inlineStr">
        <is>
          <t>RICE engine-generator 4</t>
        </is>
      </c>
      <c r="I4208" s="12" t="inlineStr">
        <is>
          <t>Control</t>
        </is>
      </c>
      <c r="J4208" s="12" t="inlineStr">
        <is>
          <t>Control cable 600 V Type TC-ER, Cu #14 AWG, PVC jacket</t>
        </is>
      </c>
      <c r="K4208" s="12" t="inlineStr">
        <is>
          <t>CT|7/C|14</t>
        </is>
      </c>
      <c r="L4208" s="12" t="inlineStr">
        <is>
          <t>7/C</t>
        </is>
      </c>
      <c r="M4208" s="12" t="inlineStr">
        <is>
          <t>14</t>
        </is>
      </c>
      <c r="N4208" s="12" t="n">
        <v>1</v>
      </c>
      <c r="O4208" s="12" t="n">
        <v>1</v>
      </c>
      <c r="P4208" s="12" t="n"/>
      <c r="Q4208" s="12" t="n"/>
      <c r="R4208" s="12" t="n"/>
      <c r="S4208" s="12" t="inlineStr">
        <is>
          <t>Duct bank</t>
        </is>
      </c>
      <c r="T4208" s="16" t="n">
        <v>550</v>
      </c>
      <c r="U4208" s="16" t="n">
        <v>53</v>
      </c>
      <c r="V4208" s="16">
        <f>ROUNDUP((T4208+U4208+2*'Read Me'!$B$13)*(1+'Read Me'!$B$12),-1)</f>
        <v/>
      </c>
      <c r="W4208" s="16">
        <f>V4208*N4208*O4208</f>
        <v/>
      </c>
      <c r="X4208" s="12">
        <f>IF(LEFT(I4208,2)="MV",2*N4208*IF(L4208="1/C",O4208,1),0)</f>
        <v/>
      </c>
      <c r="Y4208" s="12">
        <f>IF(OR(LEFT(K4208,4)="LVAX",LEFT(K4208,6)="MV15AX",LEFT(K4208,4)="CTAX",LEFT(K4208,2)="W|"),2*N4208*O4208,0)</f>
        <v/>
      </c>
      <c r="Z4208" s="12" t="inlineStr"/>
      <c r="AA4208" s="12">
        <f>N4208*O4208</f>
        <v/>
      </c>
    </row>
    <row r="4209">
      <c r="A4209" s="12" t="inlineStr">
        <is>
          <t>I-C-0113</t>
        </is>
      </c>
      <c r="B4209" s="12" t="inlineStr">
        <is>
          <t>I</t>
        </is>
      </c>
      <c r="C4209" s="12" t="inlineStr">
        <is>
          <t>Modular / portable power</t>
        </is>
      </c>
      <c r="D4209" s="12" t="inlineStr">
        <is>
          <t>Motor 6 of 6: control / local station</t>
        </is>
      </c>
      <c r="E4209" s="12" t="inlineStr"/>
      <c r="F4209" s="12" t="inlineStr">
        <is>
          <t>PCM: power control module</t>
        </is>
      </c>
      <c r="G4209" s="12" t="inlineStr">
        <is>
          <t>RICE-4</t>
        </is>
      </c>
      <c r="H4209" s="12" t="inlineStr">
        <is>
          <t>RICE engine-generator 4</t>
        </is>
      </c>
      <c r="I4209" s="12" t="inlineStr">
        <is>
          <t>Control</t>
        </is>
      </c>
      <c r="J4209" s="12" t="inlineStr">
        <is>
          <t>Control cable 600 V Type TC-ER, Cu #14 AWG, PVC jacket</t>
        </is>
      </c>
      <c r="K4209" s="12" t="inlineStr">
        <is>
          <t>CT|7/C|14</t>
        </is>
      </c>
      <c r="L4209" s="12" t="inlineStr">
        <is>
          <t>7/C</t>
        </is>
      </c>
      <c r="M4209" s="12" t="inlineStr">
        <is>
          <t>14</t>
        </is>
      </c>
      <c r="N4209" s="12" t="n">
        <v>1</v>
      </c>
      <c r="O4209" s="12" t="n">
        <v>1</v>
      </c>
      <c r="P4209" s="12" t="n"/>
      <c r="Q4209" s="12" t="n"/>
      <c r="R4209" s="12" t="n"/>
      <c r="S4209" s="12" t="inlineStr">
        <is>
          <t>Duct bank</t>
        </is>
      </c>
      <c r="T4209" s="16" t="n">
        <v>550</v>
      </c>
      <c r="U4209" s="16" t="n">
        <v>53</v>
      </c>
      <c r="V4209" s="16">
        <f>ROUNDUP((T4209+U4209+2*'Read Me'!$B$13)*(1+'Read Me'!$B$12),-1)</f>
        <v/>
      </c>
      <c r="W4209" s="16">
        <f>V4209*N4209*O4209</f>
        <v/>
      </c>
      <c r="X4209" s="12">
        <f>IF(LEFT(I4209,2)="MV",2*N4209*IF(L4209="1/C",O4209,1),0)</f>
        <v/>
      </c>
      <c r="Y4209" s="12">
        <f>IF(OR(LEFT(K4209,4)="LVAX",LEFT(K4209,6)="MV15AX",LEFT(K4209,4)="CTAX",LEFT(K4209,2)="W|"),2*N4209*O4209,0)</f>
        <v/>
      </c>
      <c r="Z4209" s="12" t="inlineStr"/>
      <c r="AA4209" s="12">
        <f>N4209*O4209</f>
        <v/>
      </c>
    </row>
    <row r="4210">
      <c r="A4210" s="12" t="inlineStr">
        <is>
          <t>I-C-0114</t>
        </is>
      </c>
      <c r="B4210" s="12" t="inlineStr">
        <is>
          <t>I</t>
        </is>
      </c>
      <c r="C4210" s="12" t="inlineStr">
        <is>
          <t>Modular / portable power</t>
        </is>
      </c>
      <c r="D4210" s="12" t="inlineStr">
        <is>
          <t>Motor 1 of 6: control / local station</t>
        </is>
      </c>
      <c r="E4210" s="12" t="inlineStr"/>
      <c r="F4210" s="12" t="inlineStr">
        <is>
          <t>PCM: power control module</t>
        </is>
      </c>
      <c r="G4210" s="12" t="inlineStr">
        <is>
          <t>RICE-5</t>
        </is>
      </c>
      <c r="H4210" s="12" t="inlineStr">
        <is>
          <t>RICE engine-generator 5</t>
        </is>
      </c>
      <c r="I4210" s="12" t="inlineStr">
        <is>
          <t>Control</t>
        </is>
      </c>
      <c r="J4210" s="12" t="inlineStr">
        <is>
          <t>Control cable 600 V Type TC-ER, Cu #14 AWG, PVC jacket</t>
        </is>
      </c>
      <c r="K4210" s="12" t="inlineStr">
        <is>
          <t>CT|7/C|14</t>
        </is>
      </c>
      <c r="L4210" s="12" t="inlineStr">
        <is>
          <t>7/C</t>
        </is>
      </c>
      <c r="M4210" s="12" t="inlineStr">
        <is>
          <t>14</t>
        </is>
      </c>
      <c r="N4210" s="12" t="n">
        <v>1</v>
      </c>
      <c r="O4210" s="12" t="n">
        <v>1</v>
      </c>
      <c r="P4210" s="12" t="n"/>
      <c r="Q4210" s="12" t="n"/>
      <c r="R4210" s="12" t="n"/>
      <c r="S4210" s="12" t="inlineStr">
        <is>
          <t>Duct bank</t>
        </is>
      </c>
      <c r="T4210" s="16" t="n">
        <v>367</v>
      </c>
      <c r="U4210" s="16" t="n">
        <v>208</v>
      </c>
      <c r="V4210" s="16">
        <f>ROUNDUP((T4210+U4210+2*'Read Me'!$B$13)*(1+'Read Me'!$B$12),-1)</f>
        <v/>
      </c>
      <c r="W4210" s="16">
        <f>V4210*N4210*O4210</f>
        <v/>
      </c>
      <c r="X4210" s="12">
        <f>IF(LEFT(I4210,2)="MV",2*N4210*IF(L4210="1/C",O4210,1),0)</f>
        <v/>
      </c>
      <c r="Y4210" s="12">
        <f>IF(OR(LEFT(K4210,4)="LVAX",LEFT(K4210,6)="MV15AX",LEFT(K4210,4)="CTAX",LEFT(K4210,2)="W|"),2*N4210*O4210,0)</f>
        <v/>
      </c>
      <c r="Z4210" s="12" t="inlineStr"/>
      <c r="AA4210" s="12">
        <f>N4210*O4210</f>
        <v/>
      </c>
    </row>
    <row r="4211">
      <c r="A4211" s="12" t="inlineStr">
        <is>
          <t>I-C-0115</t>
        </is>
      </c>
      <c r="B4211" s="12" t="inlineStr">
        <is>
          <t>I</t>
        </is>
      </c>
      <c r="C4211" s="12" t="inlineStr">
        <is>
          <t>Modular / portable power</t>
        </is>
      </c>
      <c r="D4211" s="12" t="inlineStr">
        <is>
          <t>Motor 2 of 6: control / local station</t>
        </is>
      </c>
      <c r="E4211" s="12" t="inlineStr"/>
      <c r="F4211" s="12" t="inlineStr">
        <is>
          <t>PCM: power control module</t>
        </is>
      </c>
      <c r="G4211" s="12" t="inlineStr">
        <is>
          <t>RICE-5</t>
        </is>
      </c>
      <c r="H4211" s="12" t="inlineStr">
        <is>
          <t>RICE engine-generator 5</t>
        </is>
      </c>
      <c r="I4211" s="12" t="inlineStr">
        <is>
          <t>Control</t>
        </is>
      </c>
      <c r="J4211" s="12" t="inlineStr">
        <is>
          <t>Control cable 600 V Type TC-ER, Cu #14 AWG, PVC jacket</t>
        </is>
      </c>
      <c r="K4211" s="12" t="inlineStr">
        <is>
          <t>CT|7/C|14</t>
        </is>
      </c>
      <c r="L4211" s="12" t="inlineStr">
        <is>
          <t>7/C</t>
        </is>
      </c>
      <c r="M4211" s="12" t="inlineStr">
        <is>
          <t>14</t>
        </is>
      </c>
      <c r="N4211" s="12" t="n">
        <v>1</v>
      </c>
      <c r="O4211" s="12" t="n">
        <v>1</v>
      </c>
      <c r="P4211" s="12" t="n"/>
      <c r="Q4211" s="12" t="n"/>
      <c r="R4211" s="12" t="n"/>
      <c r="S4211" s="12" t="inlineStr">
        <is>
          <t>Duct bank</t>
        </is>
      </c>
      <c r="T4211" s="16" t="n">
        <v>367</v>
      </c>
      <c r="U4211" s="16" t="n">
        <v>208</v>
      </c>
      <c r="V4211" s="16">
        <f>ROUNDUP((T4211+U4211+2*'Read Me'!$B$13)*(1+'Read Me'!$B$12),-1)</f>
        <v/>
      </c>
      <c r="W4211" s="16">
        <f>V4211*N4211*O4211</f>
        <v/>
      </c>
      <c r="X4211" s="12">
        <f>IF(LEFT(I4211,2)="MV",2*N4211*IF(L4211="1/C",O4211,1),0)</f>
        <v/>
      </c>
      <c r="Y4211" s="12">
        <f>IF(OR(LEFT(K4211,4)="LVAX",LEFT(K4211,6)="MV15AX",LEFT(K4211,4)="CTAX",LEFT(K4211,2)="W|"),2*N4211*O4211,0)</f>
        <v/>
      </c>
      <c r="Z4211" s="12" t="inlineStr"/>
      <c r="AA4211" s="12">
        <f>N4211*O4211</f>
        <v/>
      </c>
    </row>
    <row r="4212">
      <c r="A4212" s="12" t="inlineStr">
        <is>
          <t>I-C-0116</t>
        </is>
      </c>
      <c r="B4212" s="12" t="inlineStr">
        <is>
          <t>I</t>
        </is>
      </c>
      <c r="C4212" s="12" t="inlineStr">
        <is>
          <t>Modular / portable power</t>
        </is>
      </c>
      <c r="D4212" s="12" t="inlineStr">
        <is>
          <t>Motor 3 of 6: control / local station</t>
        </is>
      </c>
      <c r="E4212" s="12" t="inlineStr"/>
      <c r="F4212" s="12" t="inlineStr">
        <is>
          <t>PCM: power control module</t>
        </is>
      </c>
      <c r="G4212" s="12" t="inlineStr">
        <is>
          <t>RICE-5</t>
        </is>
      </c>
      <c r="H4212" s="12" t="inlineStr">
        <is>
          <t>RICE engine-generator 5</t>
        </is>
      </c>
      <c r="I4212" s="12" t="inlineStr">
        <is>
          <t>Control</t>
        </is>
      </c>
      <c r="J4212" s="12" t="inlineStr">
        <is>
          <t>Control cable 600 V Type TC-ER, Cu #14 AWG, PVC jacket</t>
        </is>
      </c>
      <c r="K4212" s="12" t="inlineStr">
        <is>
          <t>CT|7/C|14</t>
        </is>
      </c>
      <c r="L4212" s="12" t="inlineStr">
        <is>
          <t>7/C</t>
        </is>
      </c>
      <c r="M4212" s="12" t="inlineStr">
        <is>
          <t>14</t>
        </is>
      </c>
      <c r="N4212" s="12" t="n">
        <v>1</v>
      </c>
      <c r="O4212" s="12" t="n">
        <v>1</v>
      </c>
      <c r="P4212" s="12" t="n"/>
      <c r="Q4212" s="12" t="n"/>
      <c r="R4212" s="12" t="n"/>
      <c r="S4212" s="12" t="inlineStr">
        <is>
          <t>Duct bank</t>
        </is>
      </c>
      <c r="T4212" s="16" t="n">
        <v>367</v>
      </c>
      <c r="U4212" s="16" t="n">
        <v>208</v>
      </c>
      <c r="V4212" s="16">
        <f>ROUNDUP((T4212+U4212+2*'Read Me'!$B$13)*(1+'Read Me'!$B$12),-1)</f>
        <v/>
      </c>
      <c r="W4212" s="16">
        <f>V4212*N4212*O4212</f>
        <v/>
      </c>
      <c r="X4212" s="12">
        <f>IF(LEFT(I4212,2)="MV",2*N4212*IF(L4212="1/C",O4212,1),0)</f>
        <v/>
      </c>
      <c r="Y4212" s="12">
        <f>IF(OR(LEFT(K4212,4)="LVAX",LEFT(K4212,6)="MV15AX",LEFT(K4212,4)="CTAX",LEFT(K4212,2)="W|"),2*N4212*O4212,0)</f>
        <v/>
      </c>
      <c r="Z4212" s="12" t="inlineStr"/>
      <c r="AA4212" s="12">
        <f>N4212*O4212</f>
        <v/>
      </c>
    </row>
    <row r="4213">
      <c r="A4213" s="12" t="inlineStr">
        <is>
          <t>I-C-0117</t>
        </is>
      </c>
      <c r="B4213" s="12" t="inlineStr">
        <is>
          <t>I</t>
        </is>
      </c>
      <c r="C4213" s="12" t="inlineStr">
        <is>
          <t>Modular / portable power</t>
        </is>
      </c>
      <c r="D4213" s="12" t="inlineStr">
        <is>
          <t>Motor 4 of 6: control / local station</t>
        </is>
      </c>
      <c r="E4213" s="12" t="inlineStr"/>
      <c r="F4213" s="12" t="inlineStr">
        <is>
          <t>PCM: power control module</t>
        </is>
      </c>
      <c r="G4213" s="12" t="inlineStr">
        <is>
          <t>RICE-5</t>
        </is>
      </c>
      <c r="H4213" s="12" t="inlineStr">
        <is>
          <t>RICE engine-generator 5</t>
        </is>
      </c>
      <c r="I4213" s="12" t="inlineStr">
        <is>
          <t>Control</t>
        </is>
      </c>
      <c r="J4213" s="12" t="inlineStr">
        <is>
          <t>Control cable 600 V Type TC-ER, Cu #14 AWG, PVC jacket</t>
        </is>
      </c>
      <c r="K4213" s="12" t="inlineStr">
        <is>
          <t>CT|7/C|14</t>
        </is>
      </c>
      <c r="L4213" s="12" t="inlineStr">
        <is>
          <t>7/C</t>
        </is>
      </c>
      <c r="M4213" s="12" t="inlineStr">
        <is>
          <t>14</t>
        </is>
      </c>
      <c r="N4213" s="12" t="n">
        <v>1</v>
      </c>
      <c r="O4213" s="12" t="n">
        <v>1</v>
      </c>
      <c r="P4213" s="12" t="n"/>
      <c r="Q4213" s="12" t="n"/>
      <c r="R4213" s="12" t="n"/>
      <c r="S4213" s="12" t="inlineStr">
        <is>
          <t>Duct bank</t>
        </is>
      </c>
      <c r="T4213" s="16" t="n">
        <v>367</v>
      </c>
      <c r="U4213" s="16" t="n">
        <v>208</v>
      </c>
      <c r="V4213" s="16">
        <f>ROUNDUP((T4213+U4213+2*'Read Me'!$B$13)*(1+'Read Me'!$B$12),-1)</f>
        <v/>
      </c>
      <c r="W4213" s="16">
        <f>V4213*N4213*O4213</f>
        <v/>
      </c>
      <c r="X4213" s="12">
        <f>IF(LEFT(I4213,2)="MV",2*N4213*IF(L4213="1/C",O4213,1),0)</f>
        <v/>
      </c>
      <c r="Y4213" s="12">
        <f>IF(OR(LEFT(K4213,4)="LVAX",LEFT(K4213,6)="MV15AX",LEFT(K4213,4)="CTAX",LEFT(K4213,2)="W|"),2*N4213*O4213,0)</f>
        <v/>
      </c>
      <c r="Z4213" s="12" t="inlineStr"/>
      <c r="AA4213" s="12">
        <f>N4213*O4213</f>
        <v/>
      </c>
    </row>
    <row r="4214">
      <c r="A4214" s="12" t="inlineStr">
        <is>
          <t>I-C-0118</t>
        </is>
      </c>
      <c r="B4214" s="12" t="inlineStr">
        <is>
          <t>I</t>
        </is>
      </c>
      <c r="C4214" s="12" t="inlineStr">
        <is>
          <t>Modular / portable power</t>
        </is>
      </c>
      <c r="D4214" s="12" t="inlineStr">
        <is>
          <t>Motor 5 of 6: control / local station</t>
        </is>
      </c>
      <c r="E4214" s="12" t="inlineStr"/>
      <c r="F4214" s="12" t="inlineStr">
        <is>
          <t>PCM: power control module</t>
        </is>
      </c>
      <c r="G4214" s="12" t="inlineStr">
        <is>
          <t>RICE-5</t>
        </is>
      </c>
      <c r="H4214" s="12" t="inlineStr">
        <is>
          <t>RICE engine-generator 5</t>
        </is>
      </c>
      <c r="I4214" s="12" t="inlineStr">
        <is>
          <t>Control</t>
        </is>
      </c>
      <c r="J4214" s="12" t="inlineStr">
        <is>
          <t>Control cable 600 V Type TC-ER, Cu #14 AWG, PVC jacket</t>
        </is>
      </c>
      <c r="K4214" s="12" t="inlineStr">
        <is>
          <t>CT|7/C|14</t>
        </is>
      </c>
      <c r="L4214" s="12" t="inlineStr">
        <is>
          <t>7/C</t>
        </is>
      </c>
      <c r="M4214" s="12" t="inlineStr">
        <is>
          <t>14</t>
        </is>
      </c>
      <c r="N4214" s="12" t="n">
        <v>1</v>
      </c>
      <c r="O4214" s="12" t="n">
        <v>1</v>
      </c>
      <c r="P4214" s="12" t="n"/>
      <c r="Q4214" s="12" t="n"/>
      <c r="R4214" s="12" t="n"/>
      <c r="S4214" s="12" t="inlineStr">
        <is>
          <t>Duct bank</t>
        </is>
      </c>
      <c r="T4214" s="16" t="n">
        <v>367</v>
      </c>
      <c r="U4214" s="16" t="n">
        <v>208</v>
      </c>
      <c r="V4214" s="16">
        <f>ROUNDUP((T4214+U4214+2*'Read Me'!$B$13)*(1+'Read Me'!$B$12),-1)</f>
        <v/>
      </c>
      <c r="W4214" s="16">
        <f>V4214*N4214*O4214</f>
        <v/>
      </c>
      <c r="X4214" s="12">
        <f>IF(LEFT(I4214,2)="MV",2*N4214*IF(L4214="1/C",O4214,1),0)</f>
        <v/>
      </c>
      <c r="Y4214" s="12">
        <f>IF(OR(LEFT(K4214,4)="LVAX",LEFT(K4214,6)="MV15AX",LEFT(K4214,4)="CTAX",LEFT(K4214,2)="W|"),2*N4214*O4214,0)</f>
        <v/>
      </c>
      <c r="Z4214" s="12" t="inlineStr"/>
      <c r="AA4214" s="12">
        <f>N4214*O4214</f>
        <v/>
      </c>
    </row>
    <row r="4215">
      <c r="A4215" s="12" t="inlineStr">
        <is>
          <t>I-C-0119</t>
        </is>
      </c>
      <c r="B4215" s="12" t="inlineStr">
        <is>
          <t>I</t>
        </is>
      </c>
      <c r="C4215" s="12" t="inlineStr">
        <is>
          <t>Modular / portable power</t>
        </is>
      </c>
      <c r="D4215" s="12" t="inlineStr">
        <is>
          <t>Motor 6 of 6: control / local station</t>
        </is>
      </c>
      <c r="E4215" s="12" t="inlineStr"/>
      <c r="F4215" s="12" t="inlineStr">
        <is>
          <t>PCM: power control module</t>
        </is>
      </c>
      <c r="G4215" s="12" t="inlineStr">
        <is>
          <t>RICE-5</t>
        </is>
      </c>
      <c r="H4215" s="12" t="inlineStr">
        <is>
          <t>RICE engine-generator 5</t>
        </is>
      </c>
      <c r="I4215" s="12" t="inlineStr">
        <is>
          <t>Control</t>
        </is>
      </c>
      <c r="J4215" s="12" t="inlineStr">
        <is>
          <t>Control cable 600 V Type TC-ER, Cu #14 AWG, PVC jacket</t>
        </is>
      </c>
      <c r="K4215" s="12" t="inlineStr">
        <is>
          <t>CT|7/C|14</t>
        </is>
      </c>
      <c r="L4215" s="12" t="inlineStr">
        <is>
          <t>7/C</t>
        </is>
      </c>
      <c r="M4215" s="12" t="inlineStr">
        <is>
          <t>14</t>
        </is>
      </c>
      <c r="N4215" s="12" t="n">
        <v>1</v>
      </c>
      <c r="O4215" s="12" t="n">
        <v>1</v>
      </c>
      <c r="P4215" s="12" t="n"/>
      <c r="Q4215" s="12" t="n"/>
      <c r="R4215" s="12" t="n"/>
      <c r="S4215" s="12" t="inlineStr">
        <is>
          <t>Duct bank</t>
        </is>
      </c>
      <c r="T4215" s="16" t="n">
        <v>367</v>
      </c>
      <c r="U4215" s="16" t="n">
        <v>208</v>
      </c>
      <c r="V4215" s="16">
        <f>ROUNDUP((T4215+U4215+2*'Read Me'!$B$13)*(1+'Read Me'!$B$12),-1)</f>
        <v/>
      </c>
      <c r="W4215" s="16">
        <f>V4215*N4215*O4215</f>
        <v/>
      </c>
      <c r="X4215" s="12">
        <f>IF(LEFT(I4215,2)="MV",2*N4215*IF(L4215="1/C",O4215,1),0)</f>
        <v/>
      </c>
      <c r="Y4215" s="12">
        <f>IF(OR(LEFT(K4215,4)="LVAX",LEFT(K4215,6)="MV15AX",LEFT(K4215,4)="CTAX",LEFT(K4215,2)="W|"),2*N4215*O4215,0)</f>
        <v/>
      </c>
      <c r="Z4215" s="12" t="inlineStr"/>
      <c r="AA4215" s="12">
        <f>N4215*O4215</f>
        <v/>
      </c>
    </row>
    <row r="4216">
      <c r="A4216" s="12" t="inlineStr">
        <is>
          <t>I-C-0120</t>
        </is>
      </c>
      <c r="B4216" s="12" t="inlineStr">
        <is>
          <t>I</t>
        </is>
      </c>
      <c r="C4216" s="12" t="inlineStr">
        <is>
          <t>Modular / portable power</t>
        </is>
      </c>
      <c r="D4216" s="12" t="inlineStr">
        <is>
          <t>Motor 1 of 6: control / local station</t>
        </is>
      </c>
      <c r="E4216" s="12" t="inlineStr"/>
      <c r="F4216" s="12" t="inlineStr">
        <is>
          <t>PCM: power control module</t>
        </is>
      </c>
      <c r="G4216" s="12" t="inlineStr">
        <is>
          <t>RICE-6</t>
        </is>
      </c>
      <c r="H4216" s="12" t="inlineStr">
        <is>
          <t>RICE engine-generator 6</t>
        </is>
      </c>
      <c r="I4216" s="12" t="inlineStr">
        <is>
          <t>Control</t>
        </is>
      </c>
      <c r="J4216" s="12" t="inlineStr">
        <is>
          <t>Control cable 600 V Type TC-ER, Cu #14 AWG, PVC jacket</t>
        </is>
      </c>
      <c r="K4216" s="12" t="inlineStr">
        <is>
          <t>CT|7/C|14</t>
        </is>
      </c>
      <c r="L4216" s="12" t="inlineStr">
        <is>
          <t>7/C</t>
        </is>
      </c>
      <c r="M4216" s="12" t="inlineStr">
        <is>
          <t>14</t>
        </is>
      </c>
      <c r="N4216" s="12" t="n">
        <v>1</v>
      </c>
      <c r="O4216" s="12" t="n">
        <v>1</v>
      </c>
      <c r="P4216" s="12" t="n"/>
      <c r="Q4216" s="12" t="n"/>
      <c r="R4216" s="12" t="n"/>
      <c r="S4216" s="12" t="inlineStr">
        <is>
          <t>Duct bank</t>
        </is>
      </c>
      <c r="T4216" s="16" t="n">
        <v>367</v>
      </c>
      <c r="U4216" s="16" t="n">
        <v>180</v>
      </c>
      <c r="V4216" s="16">
        <f>ROUNDUP((T4216+U4216+2*'Read Me'!$B$13)*(1+'Read Me'!$B$12),-1)</f>
        <v/>
      </c>
      <c r="W4216" s="16">
        <f>V4216*N4216*O4216</f>
        <v/>
      </c>
      <c r="X4216" s="12">
        <f>IF(LEFT(I4216,2)="MV",2*N4216*IF(L4216="1/C",O4216,1),0)</f>
        <v/>
      </c>
      <c r="Y4216" s="12">
        <f>IF(OR(LEFT(K4216,4)="LVAX",LEFT(K4216,6)="MV15AX",LEFT(K4216,4)="CTAX",LEFT(K4216,2)="W|"),2*N4216*O4216,0)</f>
        <v/>
      </c>
      <c r="Z4216" s="12" t="inlineStr"/>
      <c r="AA4216" s="12">
        <f>N4216*O4216</f>
        <v/>
      </c>
    </row>
    <row r="4217">
      <c r="A4217" s="12" t="inlineStr">
        <is>
          <t>I-C-0121</t>
        </is>
      </c>
      <c r="B4217" s="12" t="inlineStr">
        <is>
          <t>I</t>
        </is>
      </c>
      <c r="C4217" s="12" t="inlineStr">
        <is>
          <t>Modular / portable power</t>
        </is>
      </c>
      <c r="D4217" s="12" t="inlineStr">
        <is>
          <t>Motor 2 of 6: control / local station</t>
        </is>
      </c>
      <c r="E4217" s="12" t="inlineStr"/>
      <c r="F4217" s="12" t="inlineStr">
        <is>
          <t>PCM: power control module</t>
        </is>
      </c>
      <c r="G4217" s="12" t="inlineStr">
        <is>
          <t>RICE-6</t>
        </is>
      </c>
      <c r="H4217" s="12" t="inlineStr">
        <is>
          <t>RICE engine-generator 6</t>
        </is>
      </c>
      <c r="I4217" s="12" t="inlineStr">
        <is>
          <t>Control</t>
        </is>
      </c>
      <c r="J4217" s="12" t="inlineStr">
        <is>
          <t>Control cable 600 V Type TC-ER, Cu #14 AWG, PVC jacket</t>
        </is>
      </c>
      <c r="K4217" s="12" t="inlineStr">
        <is>
          <t>CT|7/C|14</t>
        </is>
      </c>
      <c r="L4217" s="12" t="inlineStr">
        <is>
          <t>7/C</t>
        </is>
      </c>
      <c r="M4217" s="12" t="inlineStr">
        <is>
          <t>14</t>
        </is>
      </c>
      <c r="N4217" s="12" t="n">
        <v>1</v>
      </c>
      <c r="O4217" s="12" t="n">
        <v>1</v>
      </c>
      <c r="P4217" s="12" t="n"/>
      <c r="Q4217" s="12" t="n"/>
      <c r="R4217" s="12" t="n"/>
      <c r="S4217" s="12" t="inlineStr">
        <is>
          <t>Duct bank</t>
        </is>
      </c>
      <c r="T4217" s="16" t="n">
        <v>367</v>
      </c>
      <c r="U4217" s="16" t="n">
        <v>180</v>
      </c>
      <c r="V4217" s="16">
        <f>ROUNDUP((T4217+U4217+2*'Read Me'!$B$13)*(1+'Read Me'!$B$12),-1)</f>
        <v/>
      </c>
      <c r="W4217" s="16">
        <f>V4217*N4217*O4217</f>
        <v/>
      </c>
      <c r="X4217" s="12">
        <f>IF(LEFT(I4217,2)="MV",2*N4217*IF(L4217="1/C",O4217,1),0)</f>
        <v/>
      </c>
      <c r="Y4217" s="12">
        <f>IF(OR(LEFT(K4217,4)="LVAX",LEFT(K4217,6)="MV15AX",LEFT(K4217,4)="CTAX",LEFT(K4217,2)="W|"),2*N4217*O4217,0)</f>
        <v/>
      </c>
      <c r="Z4217" s="12" t="inlineStr"/>
      <c r="AA4217" s="12">
        <f>N4217*O4217</f>
        <v/>
      </c>
    </row>
    <row r="4218">
      <c r="A4218" s="12" t="inlineStr">
        <is>
          <t>I-C-0122</t>
        </is>
      </c>
      <c r="B4218" s="12" t="inlineStr">
        <is>
          <t>I</t>
        </is>
      </c>
      <c r="C4218" s="12" t="inlineStr">
        <is>
          <t>Modular / portable power</t>
        </is>
      </c>
      <c r="D4218" s="12" t="inlineStr">
        <is>
          <t>Motor 3 of 6: control / local station</t>
        </is>
      </c>
      <c r="E4218" s="12" t="inlineStr"/>
      <c r="F4218" s="12" t="inlineStr">
        <is>
          <t>PCM: power control module</t>
        </is>
      </c>
      <c r="G4218" s="12" t="inlineStr">
        <is>
          <t>RICE-6</t>
        </is>
      </c>
      <c r="H4218" s="12" t="inlineStr">
        <is>
          <t>RICE engine-generator 6</t>
        </is>
      </c>
      <c r="I4218" s="12" t="inlineStr">
        <is>
          <t>Control</t>
        </is>
      </c>
      <c r="J4218" s="12" t="inlineStr">
        <is>
          <t>Control cable 600 V Type TC-ER, Cu #14 AWG, PVC jacket</t>
        </is>
      </c>
      <c r="K4218" s="12" t="inlineStr">
        <is>
          <t>CT|7/C|14</t>
        </is>
      </c>
      <c r="L4218" s="12" t="inlineStr">
        <is>
          <t>7/C</t>
        </is>
      </c>
      <c r="M4218" s="12" t="inlineStr">
        <is>
          <t>14</t>
        </is>
      </c>
      <c r="N4218" s="12" t="n">
        <v>1</v>
      </c>
      <c r="O4218" s="12" t="n">
        <v>1</v>
      </c>
      <c r="P4218" s="12" t="n"/>
      <c r="Q4218" s="12" t="n"/>
      <c r="R4218" s="12" t="n"/>
      <c r="S4218" s="12" t="inlineStr">
        <is>
          <t>Duct bank</t>
        </is>
      </c>
      <c r="T4218" s="16" t="n">
        <v>367</v>
      </c>
      <c r="U4218" s="16" t="n">
        <v>180</v>
      </c>
      <c r="V4218" s="16">
        <f>ROUNDUP((T4218+U4218+2*'Read Me'!$B$13)*(1+'Read Me'!$B$12),-1)</f>
        <v/>
      </c>
      <c r="W4218" s="16">
        <f>V4218*N4218*O4218</f>
        <v/>
      </c>
      <c r="X4218" s="12">
        <f>IF(LEFT(I4218,2)="MV",2*N4218*IF(L4218="1/C",O4218,1),0)</f>
        <v/>
      </c>
      <c r="Y4218" s="12">
        <f>IF(OR(LEFT(K4218,4)="LVAX",LEFT(K4218,6)="MV15AX",LEFT(K4218,4)="CTAX",LEFT(K4218,2)="W|"),2*N4218*O4218,0)</f>
        <v/>
      </c>
      <c r="Z4218" s="12" t="inlineStr"/>
      <c r="AA4218" s="12">
        <f>N4218*O4218</f>
        <v/>
      </c>
    </row>
    <row r="4219">
      <c r="A4219" s="12" t="inlineStr">
        <is>
          <t>I-C-0123</t>
        </is>
      </c>
      <c r="B4219" s="12" t="inlineStr">
        <is>
          <t>I</t>
        </is>
      </c>
      <c r="C4219" s="12" t="inlineStr">
        <is>
          <t>Modular / portable power</t>
        </is>
      </c>
      <c r="D4219" s="12" t="inlineStr">
        <is>
          <t>Motor 4 of 6: control / local station</t>
        </is>
      </c>
      <c r="E4219" s="12" t="inlineStr"/>
      <c r="F4219" s="12" t="inlineStr">
        <is>
          <t>PCM: power control module</t>
        </is>
      </c>
      <c r="G4219" s="12" t="inlineStr">
        <is>
          <t>RICE-6</t>
        </is>
      </c>
      <c r="H4219" s="12" t="inlineStr">
        <is>
          <t>RICE engine-generator 6</t>
        </is>
      </c>
      <c r="I4219" s="12" t="inlineStr">
        <is>
          <t>Control</t>
        </is>
      </c>
      <c r="J4219" s="12" t="inlineStr">
        <is>
          <t>Control cable 600 V Type TC-ER, Cu #14 AWG, PVC jacket</t>
        </is>
      </c>
      <c r="K4219" s="12" t="inlineStr">
        <is>
          <t>CT|7/C|14</t>
        </is>
      </c>
      <c r="L4219" s="12" t="inlineStr">
        <is>
          <t>7/C</t>
        </is>
      </c>
      <c r="M4219" s="12" t="inlineStr">
        <is>
          <t>14</t>
        </is>
      </c>
      <c r="N4219" s="12" t="n">
        <v>1</v>
      </c>
      <c r="O4219" s="12" t="n">
        <v>1</v>
      </c>
      <c r="P4219" s="12" t="n"/>
      <c r="Q4219" s="12" t="n"/>
      <c r="R4219" s="12" t="n"/>
      <c r="S4219" s="12" t="inlineStr">
        <is>
          <t>Duct bank</t>
        </is>
      </c>
      <c r="T4219" s="16" t="n">
        <v>367</v>
      </c>
      <c r="U4219" s="16" t="n">
        <v>180</v>
      </c>
      <c r="V4219" s="16">
        <f>ROUNDUP((T4219+U4219+2*'Read Me'!$B$13)*(1+'Read Me'!$B$12),-1)</f>
        <v/>
      </c>
      <c r="W4219" s="16">
        <f>V4219*N4219*O4219</f>
        <v/>
      </c>
      <c r="X4219" s="12">
        <f>IF(LEFT(I4219,2)="MV",2*N4219*IF(L4219="1/C",O4219,1),0)</f>
        <v/>
      </c>
      <c r="Y4219" s="12">
        <f>IF(OR(LEFT(K4219,4)="LVAX",LEFT(K4219,6)="MV15AX",LEFT(K4219,4)="CTAX",LEFT(K4219,2)="W|"),2*N4219*O4219,0)</f>
        <v/>
      </c>
      <c r="Z4219" s="12" t="inlineStr"/>
      <c r="AA4219" s="12">
        <f>N4219*O4219</f>
        <v/>
      </c>
    </row>
    <row r="4220">
      <c r="A4220" s="12" t="inlineStr">
        <is>
          <t>I-C-0124</t>
        </is>
      </c>
      <c r="B4220" s="12" t="inlineStr">
        <is>
          <t>I</t>
        </is>
      </c>
      <c r="C4220" s="12" t="inlineStr">
        <is>
          <t>Modular / portable power</t>
        </is>
      </c>
      <c r="D4220" s="12" t="inlineStr">
        <is>
          <t>Motor 5 of 6: control / local station</t>
        </is>
      </c>
      <c r="E4220" s="12" t="inlineStr"/>
      <c r="F4220" s="12" t="inlineStr">
        <is>
          <t>PCM: power control module</t>
        </is>
      </c>
      <c r="G4220" s="12" t="inlineStr">
        <is>
          <t>RICE-6</t>
        </is>
      </c>
      <c r="H4220" s="12" t="inlineStr">
        <is>
          <t>RICE engine-generator 6</t>
        </is>
      </c>
      <c r="I4220" s="12" t="inlineStr">
        <is>
          <t>Control</t>
        </is>
      </c>
      <c r="J4220" s="12" t="inlineStr">
        <is>
          <t>Control cable 600 V Type TC-ER, Cu #14 AWG, PVC jacket</t>
        </is>
      </c>
      <c r="K4220" s="12" t="inlineStr">
        <is>
          <t>CT|7/C|14</t>
        </is>
      </c>
      <c r="L4220" s="12" t="inlineStr">
        <is>
          <t>7/C</t>
        </is>
      </c>
      <c r="M4220" s="12" t="inlineStr">
        <is>
          <t>14</t>
        </is>
      </c>
      <c r="N4220" s="12" t="n">
        <v>1</v>
      </c>
      <c r="O4220" s="12" t="n">
        <v>1</v>
      </c>
      <c r="P4220" s="12" t="n"/>
      <c r="Q4220" s="12" t="n"/>
      <c r="R4220" s="12" t="n"/>
      <c r="S4220" s="12" t="inlineStr">
        <is>
          <t>Duct bank</t>
        </is>
      </c>
      <c r="T4220" s="16" t="n">
        <v>367</v>
      </c>
      <c r="U4220" s="16" t="n">
        <v>180</v>
      </c>
      <c r="V4220" s="16">
        <f>ROUNDUP((T4220+U4220+2*'Read Me'!$B$13)*(1+'Read Me'!$B$12),-1)</f>
        <v/>
      </c>
      <c r="W4220" s="16">
        <f>V4220*N4220*O4220</f>
        <v/>
      </c>
      <c r="X4220" s="12">
        <f>IF(LEFT(I4220,2)="MV",2*N4220*IF(L4220="1/C",O4220,1),0)</f>
        <v/>
      </c>
      <c r="Y4220" s="12">
        <f>IF(OR(LEFT(K4220,4)="LVAX",LEFT(K4220,6)="MV15AX",LEFT(K4220,4)="CTAX",LEFT(K4220,2)="W|"),2*N4220*O4220,0)</f>
        <v/>
      </c>
      <c r="Z4220" s="12" t="inlineStr"/>
      <c r="AA4220" s="12">
        <f>N4220*O4220</f>
        <v/>
      </c>
    </row>
    <row r="4221">
      <c r="A4221" s="12" t="inlineStr">
        <is>
          <t>I-C-0125</t>
        </is>
      </c>
      <c r="B4221" s="12" t="inlineStr">
        <is>
          <t>I</t>
        </is>
      </c>
      <c r="C4221" s="12" t="inlineStr">
        <is>
          <t>Modular / portable power</t>
        </is>
      </c>
      <c r="D4221" s="12" t="inlineStr">
        <is>
          <t>Motor 6 of 6: control / local station</t>
        </is>
      </c>
      <c r="E4221" s="12" t="inlineStr"/>
      <c r="F4221" s="12" t="inlineStr">
        <is>
          <t>PCM: power control module</t>
        </is>
      </c>
      <c r="G4221" s="12" t="inlineStr">
        <is>
          <t>RICE-6</t>
        </is>
      </c>
      <c r="H4221" s="12" t="inlineStr">
        <is>
          <t>RICE engine-generator 6</t>
        </is>
      </c>
      <c r="I4221" s="12" t="inlineStr">
        <is>
          <t>Control</t>
        </is>
      </c>
      <c r="J4221" s="12" t="inlineStr">
        <is>
          <t>Control cable 600 V Type TC-ER, Cu #14 AWG, PVC jacket</t>
        </is>
      </c>
      <c r="K4221" s="12" t="inlineStr">
        <is>
          <t>CT|7/C|14</t>
        </is>
      </c>
      <c r="L4221" s="12" t="inlineStr">
        <is>
          <t>7/C</t>
        </is>
      </c>
      <c r="M4221" s="12" t="inlineStr">
        <is>
          <t>14</t>
        </is>
      </c>
      <c r="N4221" s="12" t="n">
        <v>1</v>
      </c>
      <c r="O4221" s="12" t="n">
        <v>1</v>
      </c>
      <c r="P4221" s="12" t="n"/>
      <c r="Q4221" s="12" t="n"/>
      <c r="R4221" s="12" t="n"/>
      <c r="S4221" s="12" t="inlineStr">
        <is>
          <t>Duct bank</t>
        </is>
      </c>
      <c r="T4221" s="16" t="n">
        <v>367</v>
      </c>
      <c r="U4221" s="16" t="n">
        <v>180</v>
      </c>
      <c r="V4221" s="16">
        <f>ROUNDUP((T4221+U4221+2*'Read Me'!$B$13)*(1+'Read Me'!$B$12),-1)</f>
        <v/>
      </c>
      <c r="W4221" s="16">
        <f>V4221*N4221*O4221</f>
        <v/>
      </c>
      <c r="X4221" s="12">
        <f>IF(LEFT(I4221,2)="MV",2*N4221*IF(L4221="1/C",O4221,1),0)</f>
        <v/>
      </c>
      <c r="Y4221" s="12">
        <f>IF(OR(LEFT(K4221,4)="LVAX",LEFT(K4221,6)="MV15AX",LEFT(K4221,4)="CTAX",LEFT(K4221,2)="W|"),2*N4221*O4221,0)</f>
        <v/>
      </c>
      <c r="Z4221" s="12" t="inlineStr"/>
      <c r="AA4221" s="12">
        <f>N4221*O4221</f>
        <v/>
      </c>
    </row>
    <row r="4222">
      <c r="A4222" s="12" t="inlineStr">
        <is>
          <t>I-C-0126</t>
        </is>
      </c>
      <c r="B4222" s="12" t="inlineStr">
        <is>
          <t>I</t>
        </is>
      </c>
      <c r="C4222" s="12" t="inlineStr">
        <is>
          <t>Modular / portable power</t>
        </is>
      </c>
      <c r="D4222" s="12" t="inlineStr">
        <is>
          <t>Motor 1 of 6: control / local station</t>
        </is>
      </c>
      <c r="E4222" s="12" t="inlineStr"/>
      <c r="F4222" s="12" t="inlineStr">
        <is>
          <t>PCM: power control module</t>
        </is>
      </c>
      <c r="G4222" s="12" t="inlineStr">
        <is>
          <t>RICE-7</t>
        </is>
      </c>
      <c r="H4222" s="12" t="inlineStr">
        <is>
          <t>RICE engine-generator 7</t>
        </is>
      </c>
      <c r="I4222" s="12" t="inlineStr">
        <is>
          <t>Control</t>
        </is>
      </c>
      <c r="J4222" s="12" t="inlineStr">
        <is>
          <t>Control cable 600 V Type TC-ER, Cu #14 AWG, PVC jacket</t>
        </is>
      </c>
      <c r="K4222" s="12" t="inlineStr">
        <is>
          <t>CT|7/C|14</t>
        </is>
      </c>
      <c r="L4222" s="12" t="inlineStr">
        <is>
          <t>7/C</t>
        </is>
      </c>
      <c r="M4222" s="12" t="inlineStr">
        <is>
          <t>14</t>
        </is>
      </c>
      <c r="N4222" s="12" t="n">
        <v>1</v>
      </c>
      <c r="O4222" s="12" t="n">
        <v>1</v>
      </c>
      <c r="P4222" s="12" t="n"/>
      <c r="Q4222" s="12" t="n"/>
      <c r="R4222" s="12" t="n"/>
      <c r="S4222" s="12" t="inlineStr">
        <is>
          <t>Tray</t>
        </is>
      </c>
      <c r="T4222" s="16" t="n">
        <v>0</v>
      </c>
      <c r="U4222" s="16" t="n">
        <v>189</v>
      </c>
      <c r="V4222" s="16">
        <f>ROUNDUP((T4222+U4222+2*'Read Me'!$B$13)*(1+'Read Me'!$B$12),-1)</f>
        <v/>
      </c>
      <c r="W4222" s="16">
        <f>V4222*N4222*O4222</f>
        <v/>
      </c>
      <c r="X4222" s="12">
        <f>IF(LEFT(I4222,2)="MV",2*N4222*IF(L4222="1/C",O4222,1),0)</f>
        <v/>
      </c>
      <c r="Y4222" s="12">
        <f>IF(OR(LEFT(K4222,4)="LVAX",LEFT(K4222,6)="MV15AX",LEFT(K4222,4)="CTAX",LEFT(K4222,2)="W|"),2*N4222*O4222,0)</f>
        <v/>
      </c>
      <c r="Z4222" s="12" t="inlineStr"/>
      <c r="AA4222" s="12">
        <f>N4222*O4222</f>
        <v/>
      </c>
    </row>
    <row r="4223">
      <c r="A4223" s="12" t="inlineStr">
        <is>
          <t>I-C-0127</t>
        </is>
      </c>
      <c r="B4223" s="12" t="inlineStr">
        <is>
          <t>I</t>
        </is>
      </c>
      <c r="C4223" s="12" t="inlineStr">
        <is>
          <t>Modular / portable power</t>
        </is>
      </c>
      <c r="D4223" s="12" t="inlineStr">
        <is>
          <t>Motor 2 of 6: control / local station</t>
        </is>
      </c>
      <c r="E4223" s="12" t="inlineStr"/>
      <c r="F4223" s="12" t="inlineStr">
        <is>
          <t>PCM: power control module</t>
        </is>
      </c>
      <c r="G4223" s="12" t="inlineStr">
        <is>
          <t>RICE-7</t>
        </is>
      </c>
      <c r="H4223" s="12" t="inlineStr">
        <is>
          <t>RICE engine-generator 7</t>
        </is>
      </c>
      <c r="I4223" s="12" t="inlineStr">
        <is>
          <t>Control</t>
        </is>
      </c>
      <c r="J4223" s="12" t="inlineStr">
        <is>
          <t>Control cable 600 V Type TC-ER, Cu #14 AWG, PVC jacket</t>
        </is>
      </c>
      <c r="K4223" s="12" t="inlineStr">
        <is>
          <t>CT|7/C|14</t>
        </is>
      </c>
      <c r="L4223" s="12" t="inlineStr">
        <is>
          <t>7/C</t>
        </is>
      </c>
      <c r="M4223" s="12" t="inlineStr">
        <is>
          <t>14</t>
        </is>
      </c>
      <c r="N4223" s="12" t="n">
        <v>1</v>
      </c>
      <c r="O4223" s="12" t="n">
        <v>1</v>
      </c>
      <c r="P4223" s="12" t="n"/>
      <c r="Q4223" s="12" t="n"/>
      <c r="R4223" s="12" t="n"/>
      <c r="S4223" s="12" t="inlineStr">
        <is>
          <t>Tray</t>
        </is>
      </c>
      <c r="T4223" s="16" t="n">
        <v>0</v>
      </c>
      <c r="U4223" s="16" t="n">
        <v>189</v>
      </c>
      <c r="V4223" s="16">
        <f>ROUNDUP((T4223+U4223+2*'Read Me'!$B$13)*(1+'Read Me'!$B$12),-1)</f>
        <v/>
      </c>
      <c r="W4223" s="16">
        <f>V4223*N4223*O4223</f>
        <v/>
      </c>
      <c r="X4223" s="12">
        <f>IF(LEFT(I4223,2)="MV",2*N4223*IF(L4223="1/C",O4223,1),0)</f>
        <v/>
      </c>
      <c r="Y4223" s="12">
        <f>IF(OR(LEFT(K4223,4)="LVAX",LEFT(K4223,6)="MV15AX",LEFT(K4223,4)="CTAX",LEFT(K4223,2)="W|"),2*N4223*O4223,0)</f>
        <v/>
      </c>
      <c r="Z4223" s="12" t="inlineStr"/>
      <c r="AA4223" s="12">
        <f>N4223*O4223</f>
        <v/>
      </c>
    </row>
    <row r="4224">
      <c r="A4224" s="12" t="inlineStr">
        <is>
          <t>I-C-0128</t>
        </is>
      </c>
      <c r="B4224" s="12" t="inlineStr">
        <is>
          <t>I</t>
        </is>
      </c>
      <c r="C4224" s="12" t="inlineStr">
        <is>
          <t>Modular / portable power</t>
        </is>
      </c>
      <c r="D4224" s="12" t="inlineStr">
        <is>
          <t>Motor 3 of 6: control / local station</t>
        </is>
      </c>
      <c r="E4224" s="12" t="inlineStr"/>
      <c r="F4224" s="12" t="inlineStr">
        <is>
          <t>PCM: power control module</t>
        </is>
      </c>
      <c r="G4224" s="12" t="inlineStr">
        <is>
          <t>RICE-7</t>
        </is>
      </c>
      <c r="H4224" s="12" t="inlineStr">
        <is>
          <t>RICE engine-generator 7</t>
        </is>
      </c>
      <c r="I4224" s="12" t="inlineStr">
        <is>
          <t>Control</t>
        </is>
      </c>
      <c r="J4224" s="12" t="inlineStr">
        <is>
          <t>Control cable 600 V Type TC-ER, Cu #14 AWG, PVC jacket</t>
        </is>
      </c>
      <c r="K4224" s="12" t="inlineStr">
        <is>
          <t>CT|7/C|14</t>
        </is>
      </c>
      <c r="L4224" s="12" t="inlineStr">
        <is>
          <t>7/C</t>
        </is>
      </c>
      <c r="M4224" s="12" t="inlineStr">
        <is>
          <t>14</t>
        </is>
      </c>
      <c r="N4224" s="12" t="n">
        <v>1</v>
      </c>
      <c r="O4224" s="12" t="n">
        <v>1</v>
      </c>
      <c r="P4224" s="12" t="n"/>
      <c r="Q4224" s="12" t="n"/>
      <c r="R4224" s="12" t="n"/>
      <c r="S4224" s="12" t="inlineStr">
        <is>
          <t>Tray</t>
        </is>
      </c>
      <c r="T4224" s="16" t="n">
        <v>0</v>
      </c>
      <c r="U4224" s="16" t="n">
        <v>189</v>
      </c>
      <c r="V4224" s="16">
        <f>ROUNDUP((T4224+U4224+2*'Read Me'!$B$13)*(1+'Read Me'!$B$12),-1)</f>
        <v/>
      </c>
      <c r="W4224" s="16">
        <f>V4224*N4224*O4224</f>
        <v/>
      </c>
      <c r="X4224" s="12">
        <f>IF(LEFT(I4224,2)="MV",2*N4224*IF(L4224="1/C",O4224,1),0)</f>
        <v/>
      </c>
      <c r="Y4224" s="12">
        <f>IF(OR(LEFT(K4224,4)="LVAX",LEFT(K4224,6)="MV15AX",LEFT(K4224,4)="CTAX",LEFT(K4224,2)="W|"),2*N4224*O4224,0)</f>
        <v/>
      </c>
      <c r="Z4224" s="12" t="inlineStr"/>
      <c r="AA4224" s="12">
        <f>N4224*O4224</f>
        <v/>
      </c>
    </row>
    <row r="4225">
      <c r="A4225" s="12" t="inlineStr">
        <is>
          <t>I-C-0129</t>
        </is>
      </c>
      <c r="B4225" s="12" t="inlineStr">
        <is>
          <t>I</t>
        </is>
      </c>
      <c r="C4225" s="12" t="inlineStr">
        <is>
          <t>Modular / portable power</t>
        </is>
      </c>
      <c r="D4225" s="12" t="inlineStr">
        <is>
          <t>Motor 4 of 6: control / local station</t>
        </is>
      </c>
      <c r="E4225" s="12" t="inlineStr"/>
      <c r="F4225" s="12" t="inlineStr">
        <is>
          <t>PCM: power control module</t>
        </is>
      </c>
      <c r="G4225" s="12" t="inlineStr">
        <is>
          <t>RICE-7</t>
        </is>
      </c>
      <c r="H4225" s="12" t="inlineStr">
        <is>
          <t>RICE engine-generator 7</t>
        </is>
      </c>
      <c r="I4225" s="12" t="inlineStr">
        <is>
          <t>Control</t>
        </is>
      </c>
      <c r="J4225" s="12" t="inlineStr">
        <is>
          <t>Control cable 600 V Type TC-ER, Cu #14 AWG, PVC jacket</t>
        </is>
      </c>
      <c r="K4225" s="12" t="inlineStr">
        <is>
          <t>CT|7/C|14</t>
        </is>
      </c>
      <c r="L4225" s="12" t="inlineStr">
        <is>
          <t>7/C</t>
        </is>
      </c>
      <c r="M4225" s="12" t="inlineStr">
        <is>
          <t>14</t>
        </is>
      </c>
      <c r="N4225" s="12" t="n">
        <v>1</v>
      </c>
      <c r="O4225" s="12" t="n">
        <v>1</v>
      </c>
      <c r="P4225" s="12" t="n"/>
      <c r="Q4225" s="12" t="n"/>
      <c r="R4225" s="12" t="n"/>
      <c r="S4225" s="12" t="inlineStr">
        <is>
          <t>Tray</t>
        </is>
      </c>
      <c r="T4225" s="16" t="n">
        <v>0</v>
      </c>
      <c r="U4225" s="16" t="n">
        <v>189</v>
      </c>
      <c r="V4225" s="16">
        <f>ROUNDUP((T4225+U4225+2*'Read Me'!$B$13)*(1+'Read Me'!$B$12),-1)</f>
        <v/>
      </c>
      <c r="W4225" s="16">
        <f>V4225*N4225*O4225</f>
        <v/>
      </c>
      <c r="X4225" s="12">
        <f>IF(LEFT(I4225,2)="MV",2*N4225*IF(L4225="1/C",O4225,1),0)</f>
        <v/>
      </c>
      <c r="Y4225" s="12">
        <f>IF(OR(LEFT(K4225,4)="LVAX",LEFT(K4225,6)="MV15AX",LEFT(K4225,4)="CTAX",LEFT(K4225,2)="W|"),2*N4225*O4225,0)</f>
        <v/>
      </c>
      <c r="Z4225" s="12" t="inlineStr"/>
      <c r="AA4225" s="12">
        <f>N4225*O4225</f>
        <v/>
      </c>
    </row>
    <row r="4226">
      <c r="A4226" s="12" t="inlineStr">
        <is>
          <t>I-C-0130</t>
        </is>
      </c>
      <c r="B4226" s="12" t="inlineStr">
        <is>
          <t>I</t>
        </is>
      </c>
      <c r="C4226" s="12" t="inlineStr">
        <is>
          <t>Modular / portable power</t>
        </is>
      </c>
      <c r="D4226" s="12" t="inlineStr">
        <is>
          <t>Motor 5 of 6: control / local station</t>
        </is>
      </c>
      <c r="E4226" s="12" t="inlineStr"/>
      <c r="F4226" s="12" t="inlineStr">
        <is>
          <t>PCM: power control module</t>
        </is>
      </c>
      <c r="G4226" s="12" t="inlineStr">
        <is>
          <t>RICE-7</t>
        </is>
      </c>
      <c r="H4226" s="12" t="inlineStr">
        <is>
          <t>RICE engine-generator 7</t>
        </is>
      </c>
      <c r="I4226" s="12" t="inlineStr">
        <is>
          <t>Control</t>
        </is>
      </c>
      <c r="J4226" s="12" t="inlineStr">
        <is>
          <t>Control cable 600 V Type TC-ER, Cu #14 AWG, PVC jacket</t>
        </is>
      </c>
      <c r="K4226" s="12" t="inlineStr">
        <is>
          <t>CT|7/C|14</t>
        </is>
      </c>
      <c r="L4226" s="12" t="inlineStr">
        <is>
          <t>7/C</t>
        </is>
      </c>
      <c r="M4226" s="12" t="inlineStr">
        <is>
          <t>14</t>
        </is>
      </c>
      <c r="N4226" s="12" t="n">
        <v>1</v>
      </c>
      <c r="O4226" s="12" t="n">
        <v>1</v>
      </c>
      <c r="P4226" s="12" t="n"/>
      <c r="Q4226" s="12" t="n"/>
      <c r="R4226" s="12" t="n"/>
      <c r="S4226" s="12" t="inlineStr">
        <is>
          <t>Tray</t>
        </is>
      </c>
      <c r="T4226" s="16" t="n">
        <v>0</v>
      </c>
      <c r="U4226" s="16" t="n">
        <v>189</v>
      </c>
      <c r="V4226" s="16">
        <f>ROUNDUP((T4226+U4226+2*'Read Me'!$B$13)*(1+'Read Me'!$B$12),-1)</f>
        <v/>
      </c>
      <c r="W4226" s="16">
        <f>V4226*N4226*O4226</f>
        <v/>
      </c>
      <c r="X4226" s="12">
        <f>IF(LEFT(I4226,2)="MV",2*N4226*IF(L4226="1/C",O4226,1),0)</f>
        <v/>
      </c>
      <c r="Y4226" s="12">
        <f>IF(OR(LEFT(K4226,4)="LVAX",LEFT(K4226,6)="MV15AX",LEFT(K4226,4)="CTAX",LEFT(K4226,2)="W|"),2*N4226*O4226,0)</f>
        <v/>
      </c>
      <c r="Z4226" s="12" t="inlineStr"/>
      <c r="AA4226" s="12">
        <f>N4226*O4226</f>
        <v/>
      </c>
    </row>
    <row r="4227">
      <c r="A4227" s="12" t="inlineStr">
        <is>
          <t>I-C-0131</t>
        </is>
      </c>
      <c r="B4227" s="12" t="inlineStr">
        <is>
          <t>I</t>
        </is>
      </c>
      <c r="C4227" s="12" t="inlineStr">
        <is>
          <t>Modular / portable power</t>
        </is>
      </c>
      <c r="D4227" s="12" t="inlineStr">
        <is>
          <t>Motor 6 of 6: control / local station</t>
        </is>
      </c>
      <c r="E4227" s="12" t="inlineStr"/>
      <c r="F4227" s="12" t="inlineStr">
        <is>
          <t>PCM: power control module</t>
        </is>
      </c>
      <c r="G4227" s="12" t="inlineStr">
        <is>
          <t>RICE-7</t>
        </is>
      </c>
      <c r="H4227" s="12" t="inlineStr">
        <is>
          <t>RICE engine-generator 7</t>
        </is>
      </c>
      <c r="I4227" s="12" t="inlineStr">
        <is>
          <t>Control</t>
        </is>
      </c>
      <c r="J4227" s="12" t="inlineStr">
        <is>
          <t>Control cable 600 V Type TC-ER, Cu #14 AWG, PVC jacket</t>
        </is>
      </c>
      <c r="K4227" s="12" t="inlineStr">
        <is>
          <t>CT|7/C|14</t>
        </is>
      </c>
      <c r="L4227" s="12" t="inlineStr">
        <is>
          <t>7/C</t>
        </is>
      </c>
      <c r="M4227" s="12" t="inlineStr">
        <is>
          <t>14</t>
        </is>
      </c>
      <c r="N4227" s="12" t="n">
        <v>1</v>
      </c>
      <c r="O4227" s="12" t="n">
        <v>1</v>
      </c>
      <c r="P4227" s="12" t="n"/>
      <c r="Q4227" s="12" t="n"/>
      <c r="R4227" s="12" t="n"/>
      <c r="S4227" s="12" t="inlineStr">
        <is>
          <t>Tray</t>
        </is>
      </c>
      <c r="T4227" s="16" t="n">
        <v>0</v>
      </c>
      <c r="U4227" s="16" t="n">
        <v>189</v>
      </c>
      <c r="V4227" s="16">
        <f>ROUNDUP((T4227+U4227+2*'Read Me'!$B$13)*(1+'Read Me'!$B$12),-1)</f>
        <v/>
      </c>
      <c r="W4227" s="16">
        <f>V4227*N4227*O4227</f>
        <v/>
      </c>
      <c r="X4227" s="12">
        <f>IF(LEFT(I4227,2)="MV",2*N4227*IF(L4227="1/C",O4227,1),0)</f>
        <v/>
      </c>
      <c r="Y4227" s="12">
        <f>IF(OR(LEFT(K4227,4)="LVAX",LEFT(K4227,6)="MV15AX",LEFT(K4227,4)="CTAX",LEFT(K4227,2)="W|"),2*N4227*O4227,0)</f>
        <v/>
      </c>
      <c r="Z4227" s="12" t="inlineStr"/>
      <c r="AA4227" s="12">
        <f>N4227*O4227</f>
        <v/>
      </c>
    </row>
    <row r="4228">
      <c r="A4228" s="12" t="inlineStr">
        <is>
          <t>I-C-0132</t>
        </is>
      </c>
      <c r="B4228" s="12" t="inlineStr">
        <is>
          <t>I</t>
        </is>
      </c>
      <c r="C4228" s="12" t="inlineStr">
        <is>
          <t>Modular / portable power</t>
        </is>
      </c>
      <c r="D4228" s="12" t="inlineStr">
        <is>
          <t>Motor 1 of 6: control / local station</t>
        </is>
      </c>
      <c r="E4228" s="12" t="inlineStr"/>
      <c r="F4228" s="12" t="inlineStr">
        <is>
          <t>PCM: power control module</t>
        </is>
      </c>
      <c r="G4228" s="12" t="inlineStr">
        <is>
          <t>RICE-8</t>
        </is>
      </c>
      <c r="H4228" s="12" t="inlineStr">
        <is>
          <t>RICE engine-generator 8</t>
        </is>
      </c>
      <c r="I4228" s="12" t="inlineStr">
        <is>
          <t>Control</t>
        </is>
      </c>
      <c r="J4228" s="12" t="inlineStr">
        <is>
          <t>Control cable 600 V Type TC-ER, Cu #14 AWG, PVC jacket</t>
        </is>
      </c>
      <c r="K4228" s="12" t="inlineStr">
        <is>
          <t>CT|7/C|14</t>
        </is>
      </c>
      <c r="L4228" s="12" t="inlineStr">
        <is>
          <t>7/C</t>
        </is>
      </c>
      <c r="M4228" s="12" t="inlineStr">
        <is>
          <t>14</t>
        </is>
      </c>
      <c r="N4228" s="12" t="n">
        <v>1</v>
      </c>
      <c r="O4228" s="12" t="n">
        <v>1</v>
      </c>
      <c r="P4228" s="12" t="n"/>
      <c r="Q4228" s="12" t="n"/>
      <c r="R4228" s="12" t="n"/>
      <c r="S4228" s="12" t="inlineStr">
        <is>
          <t>Tray</t>
        </is>
      </c>
      <c r="T4228" s="16" t="n">
        <v>0</v>
      </c>
      <c r="U4228" s="16" t="n">
        <v>161</v>
      </c>
      <c r="V4228" s="16">
        <f>ROUNDUP((T4228+U4228+2*'Read Me'!$B$13)*(1+'Read Me'!$B$12),-1)</f>
        <v/>
      </c>
      <c r="W4228" s="16">
        <f>V4228*N4228*O4228</f>
        <v/>
      </c>
      <c r="X4228" s="12">
        <f>IF(LEFT(I4228,2)="MV",2*N4228*IF(L4228="1/C",O4228,1),0)</f>
        <v/>
      </c>
      <c r="Y4228" s="12">
        <f>IF(OR(LEFT(K4228,4)="LVAX",LEFT(K4228,6)="MV15AX",LEFT(K4228,4)="CTAX",LEFT(K4228,2)="W|"),2*N4228*O4228,0)</f>
        <v/>
      </c>
      <c r="Z4228" s="12" t="inlineStr"/>
      <c r="AA4228" s="12">
        <f>N4228*O4228</f>
        <v/>
      </c>
    </row>
    <row r="4229">
      <c r="A4229" s="12" t="inlineStr">
        <is>
          <t>I-C-0133</t>
        </is>
      </c>
      <c r="B4229" s="12" t="inlineStr">
        <is>
          <t>I</t>
        </is>
      </c>
      <c r="C4229" s="12" t="inlineStr">
        <is>
          <t>Modular / portable power</t>
        </is>
      </c>
      <c r="D4229" s="12" t="inlineStr">
        <is>
          <t>Motor 2 of 6: control / local station</t>
        </is>
      </c>
      <c r="E4229" s="12" t="inlineStr"/>
      <c r="F4229" s="12" t="inlineStr">
        <is>
          <t>PCM: power control module</t>
        </is>
      </c>
      <c r="G4229" s="12" t="inlineStr">
        <is>
          <t>RICE-8</t>
        </is>
      </c>
      <c r="H4229" s="12" t="inlineStr">
        <is>
          <t>RICE engine-generator 8</t>
        </is>
      </c>
      <c r="I4229" s="12" t="inlineStr">
        <is>
          <t>Control</t>
        </is>
      </c>
      <c r="J4229" s="12" t="inlineStr">
        <is>
          <t>Control cable 600 V Type TC-ER, Cu #14 AWG, PVC jacket</t>
        </is>
      </c>
      <c r="K4229" s="12" t="inlineStr">
        <is>
          <t>CT|7/C|14</t>
        </is>
      </c>
      <c r="L4229" s="12" t="inlineStr">
        <is>
          <t>7/C</t>
        </is>
      </c>
      <c r="M4229" s="12" t="inlineStr">
        <is>
          <t>14</t>
        </is>
      </c>
      <c r="N4229" s="12" t="n">
        <v>1</v>
      </c>
      <c r="O4229" s="12" t="n">
        <v>1</v>
      </c>
      <c r="P4229" s="12" t="n"/>
      <c r="Q4229" s="12" t="n"/>
      <c r="R4229" s="12" t="n"/>
      <c r="S4229" s="12" t="inlineStr">
        <is>
          <t>Tray</t>
        </is>
      </c>
      <c r="T4229" s="16" t="n">
        <v>0</v>
      </c>
      <c r="U4229" s="16" t="n">
        <v>161</v>
      </c>
      <c r="V4229" s="16">
        <f>ROUNDUP((T4229+U4229+2*'Read Me'!$B$13)*(1+'Read Me'!$B$12),-1)</f>
        <v/>
      </c>
      <c r="W4229" s="16">
        <f>V4229*N4229*O4229</f>
        <v/>
      </c>
      <c r="X4229" s="12">
        <f>IF(LEFT(I4229,2)="MV",2*N4229*IF(L4229="1/C",O4229,1),0)</f>
        <v/>
      </c>
      <c r="Y4229" s="12">
        <f>IF(OR(LEFT(K4229,4)="LVAX",LEFT(K4229,6)="MV15AX",LEFT(K4229,4)="CTAX",LEFT(K4229,2)="W|"),2*N4229*O4229,0)</f>
        <v/>
      </c>
      <c r="Z4229" s="12" t="inlineStr"/>
      <c r="AA4229" s="12">
        <f>N4229*O4229</f>
        <v/>
      </c>
    </row>
    <row r="4230">
      <c r="A4230" s="12" t="inlineStr">
        <is>
          <t>I-C-0134</t>
        </is>
      </c>
      <c r="B4230" s="12" t="inlineStr">
        <is>
          <t>I</t>
        </is>
      </c>
      <c r="C4230" s="12" t="inlineStr">
        <is>
          <t>Modular / portable power</t>
        </is>
      </c>
      <c r="D4230" s="12" t="inlineStr">
        <is>
          <t>Motor 3 of 6: control / local station</t>
        </is>
      </c>
      <c r="E4230" s="12" t="inlineStr"/>
      <c r="F4230" s="12" t="inlineStr">
        <is>
          <t>PCM: power control module</t>
        </is>
      </c>
      <c r="G4230" s="12" t="inlineStr">
        <is>
          <t>RICE-8</t>
        </is>
      </c>
      <c r="H4230" s="12" t="inlineStr">
        <is>
          <t>RICE engine-generator 8</t>
        </is>
      </c>
      <c r="I4230" s="12" t="inlineStr">
        <is>
          <t>Control</t>
        </is>
      </c>
      <c r="J4230" s="12" t="inlineStr">
        <is>
          <t>Control cable 600 V Type TC-ER, Cu #14 AWG, PVC jacket</t>
        </is>
      </c>
      <c r="K4230" s="12" t="inlineStr">
        <is>
          <t>CT|7/C|14</t>
        </is>
      </c>
      <c r="L4230" s="12" t="inlineStr">
        <is>
          <t>7/C</t>
        </is>
      </c>
      <c r="M4230" s="12" t="inlineStr">
        <is>
          <t>14</t>
        </is>
      </c>
      <c r="N4230" s="12" t="n">
        <v>1</v>
      </c>
      <c r="O4230" s="12" t="n">
        <v>1</v>
      </c>
      <c r="P4230" s="12" t="n"/>
      <c r="Q4230" s="12" t="n"/>
      <c r="R4230" s="12" t="n"/>
      <c r="S4230" s="12" t="inlineStr">
        <is>
          <t>Tray</t>
        </is>
      </c>
      <c r="T4230" s="16" t="n">
        <v>0</v>
      </c>
      <c r="U4230" s="16" t="n">
        <v>161</v>
      </c>
      <c r="V4230" s="16">
        <f>ROUNDUP((T4230+U4230+2*'Read Me'!$B$13)*(1+'Read Me'!$B$12),-1)</f>
        <v/>
      </c>
      <c r="W4230" s="16">
        <f>V4230*N4230*O4230</f>
        <v/>
      </c>
      <c r="X4230" s="12">
        <f>IF(LEFT(I4230,2)="MV",2*N4230*IF(L4230="1/C",O4230,1),0)</f>
        <v/>
      </c>
      <c r="Y4230" s="12">
        <f>IF(OR(LEFT(K4230,4)="LVAX",LEFT(K4230,6)="MV15AX",LEFT(K4230,4)="CTAX",LEFT(K4230,2)="W|"),2*N4230*O4230,0)</f>
        <v/>
      </c>
      <c r="Z4230" s="12" t="inlineStr"/>
      <c r="AA4230" s="12">
        <f>N4230*O4230</f>
        <v/>
      </c>
    </row>
    <row r="4231">
      <c r="A4231" s="12" t="inlineStr">
        <is>
          <t>I-C-0135</t>
        </is>
      </c>
      <c r="B4231" s="12" t="inlineStr">
        <is>
          <t>I</t>
        </is>
      </c>
      <c r="C4231" s="12" t="inlineStr">
        <is>
          <t>Modular / portable power</t>
        </is>
      </c>
      <c r="D4231" s="12" t="inlineStr">
        <is>
          <t>Motor 4 of 6: control / local station</t>
        </is>
      </c>
      <c r="E4231" s="12" t="inlineStr"/>
      <c r="F4231" s="12" t="inlineStr">
        <is>
          <t>PCM: power control module</t>
        </is>
      </c>
      <c r="G4231" s="12" t="inlineStr">
        <is>
          <t>RICE-8</t>
        </is>
      </c>
      <c r="H4231" s="12" t="inlineStr">
        <is>
          <t>RICE engine-generator 8</t>
        </is>
      </c>
      <c r="I4231" s="12" t="inlineStr">
        <is>
          <t>Control</t>
        </is>
      </c>
      <c r="J4231" s="12" t="inlineStr">
        <is>
          <t>Control cable 600 V Type TC-ER, Cu #14 AWG, PVC jacket</t>
        </is>
      </c>
      <c r="K4231" s="12" t="inlineStr">
        <is>
          <t>CT|7/C|14</t>
        </is>
      </c>
      <c r="L4231" s="12" t="inlineStr">
        <is>
          <t>7/C</t>
        </is>
      </c>
      <c r="M4231" s="12" t="inlineStr">
        <is>
          <t>14</t>
        </is>
      </c>
      <c r="N4231" s="12" t="n">
        <v>1</v>
      </c>
      <c r="O4231" s="12" t="n">
        <v>1</v>
      </c>
      <c r="P4231" s="12" t="n"/>
      <c r="Q4231" s="12" t="n"/>
      <c r="R4231" s="12" t="n"/>
      <c r="S4231" s="12" t="inlineStr">
        <is>
          <t>Tray</t>
        </is>
      </c>
      <c r="T4231" s="16" t="n">
        <v>0</v>
      </c>
      <c r="U4231" s="16" t="n">
        <v>161</v>
      </c>
      <c r="V4231" s="16">
        <f>ROUNDUP((T4231+U4231+2*'Read Me'!$B$13)*(1+'Read Me'!$B$12),-1)</f>
        <v/>
      </c>
      <c r="W4231" s="16">
        <f>V4231*N4231*O4231</f>
        <v/>
      </c>
      <c r="X4231" s="12">
        <f>IF(LEFT(I4231,2)="MV",2*N4231*IF(L4231="1/C",O4231,1),0)</f>
        <v/>
      </c>
      <c r="Y4231" s="12">
        <f>IF(OR(LEFT(K4231,4)="LVAX",LEFT(K4231,6)="MV15AX",LEFT(K4231,4)="CTAX",LEFT(K4231,2)="W|"),2*N4231*O4231,0)</f>
        <v/>
      </c>
      <c r="Z4231" s="12" t="inlineStr"/>
      <c r="AA4231" s="12">
        <f>N4231*O4231</f>
        <v/>
      </c>
    </row>
    <row r="4232">
      <c r="A4232" s="12" t="inlineStr">
        <is>
          <t>I-C-0136</t>
        </is>
      </c>
      <c r="B4232" s="12" t="inlineStr">
        <is>
          <t>I</t>
        </is>
      </c>
      <c r="C4232" s="12" t="inlineStr">
        <is>
          <t>Modular / portable power</t>
        </is>
      </c>
      <c r="D4232" s="12" t="inlineStr">
        <is>
          <t>Motor 5 of 6: control / local station</t>
        </is>
      </c>
      <c r="E4232" s="12" t="inlineStr"/>
      <c r="F4232" s="12" t="inlineStr">
        <is>
          <t>PCM: power control module</t>
        </is>
      </c>
      <c r="G4232" s="12" t="inlineStr">
        <is>
          <t>RICE-8</t>
        </is>
      </c>
      <c r="H4232" s="12" t="inlineStr">
        <is>
          <t>RICE engine-generator 8</t>
        </is>
      </c>
      <c r="I4232" s="12" t="inlineStr">
        <is>
          <t>Control</t>
        </is>
      </c>
      <c r="J4232" s="12" t="inlineStr">
        <is>
          <t>Control cable 600 V Type TC-ER, Cu #14 AWG, PVC jacket</t>
        </is>
      </c>
      <c r="K4232" s="12" t="inlineStr">
        <is>
          <t>CT|7/C|14</t>
        </is>
      </c>
      <c r="L4232" s="12" t="inlineStr">
        <is>
          <t>7/C</t>
        </is>
      </c>
      <c r="M4232" s="12" t="inlineStr">
        <is>
          <t>14</t>
        </is>
      </c>
      <c r="N4232" s="12" t="n">
        <v>1</v>
      </c>
      <c r="O4232" s="12" t="n">
        <v>1</v>
      </c>
      <c r="P4232" s="12" t="n"/>
      <c r="Q4232" s="12" t="n"/>
      <c r="R4232" s="12" t="n"/>
      <c r="S4232" s="12" t="inlineStr">
        <is>
          <t>Tray</t>
        </is>
      </c>
      <c r="T4232" s="16" t="n">
        <v>0</v>
      </c>
      <c r="U4232" s="16" t="n">
        <v>161</v>
      </c>
      <c r="V4232" s="16">
        <f>ROUNDUP((T4232+U4232+2*'Read Me'!$B$13)*(1+'Read Me'!$B$12),-1)</f>
        <v/>
      </c>
      <c r="W4232" s="16">
        <f>V4232*N4232*O4232</f>
        <v/>
      </c>
      <c r="X4232" s="12">
        <f>IF(LEFT(I4232,2)="MV",2*N4232*IF(L4232="1/C",O4232,1),0)</f>
        <v/>
      </c>
      <c r="Y4232" s="12">
        <f>IF(OR(LEFT(K4232,4)="LVAX",LEFT(K4232,6)="MV15AX",LEFT(K4232,4)="CTAX",LEFT(K4232,2)="W|"),2*N4232*O4232,0)</f>
        <v/>
      </c>
      <c r="Z4232" s="12" t="inlineStr"/>
      <c r="AA4232" s="12">
        <f>N4232*O4232</f>
        <v/>
      </c>
    </row>
    <row r="4233">
      <c r="A4233" s="12" t="inlineStr">
        <is>
          <t>I-C-0137</t>
        </is>
      </c>
      <c r="B4233" s="12" t="inlineStr">
        <is>
          <t>I</t>
        </is>
      </c>
      <c r="C4233" s="12" t="inlineStr">
        <is>
          <t>Modular / portable power</t>
        </is>
      </c>
      <c r="D4233" s="12" t="inlineStr">
        <is>
          <t>Motor 6 of 6: control / local station</t>
        </is>
      </c>
      <c r="E4233" s="12" t="inlineStr"/>
      <c r="F4233" s="12" t="inlineStr">
        <is>
          <t>PCM: power control module</t>
        </is>
      </c>
      <c r="G4233" s="12" t="inlineStr">
        <is>
          <t>RICE-8</t>
        </is>
      </c>
      <c r="H4233" s="12" t="inlineStr">
        <is>
          <t>RICE engine-generator 8</t>
        </is>
      </c>
      <c r="I4233" s="12" t="inlineStr">
        <is>
          <t>Control</t>
        </is>
      </c>
      <c r="J4233" s="12" t="inlineStr">
        <is>
          <t>Control cable 600 V Type TC-ER, Cu #14 AWG, PVC jacket</t>
        </is>
      </c>
      <c r="K4233" s="12" t="inlineStr">
        <is>
          <t>CT|7/C|14</t>
        </is>
      </c>
      <c r="L4233" s="12" t="inlineStr">
        <is>
          <t>7/C</t>
        </is>
      </c>
      <c r="M4233" s="12" t="inlineStr">
        <is>
          <t>14</t>
        </is>
      </c>
      <c r="N4233" s="12" t="n">
        <v>1</v>
      </c>
      <c r="O4233" s="12" t="n">
        <v>1</v>
      </c>
      <c r="P4233" s="12" t="n"/>
      <c r="Q4233" s="12" t="n"/>
      <c r="R4233" s="12" t="n"/>
      <c r="S4233" s="12" t="inlineStr">
        <is>
          <t>Tray</t>
        </is>
      </c>
      <c r="T4233" s="16" t="n">
        <v>0</v>
      </c>
      <c r="U4233" s="16" t="n">
        <v>161</v>
      </c>
      <c r="V4233" s="16">
        <f>ROUNDUP((T4233+U4233+2*'Read Me'!$B$13)*(1+'Read Me'!$B$12),-1)</f>
        <v/>
      </c>
      <c r="W4233" s="16">
        <f>V4233*N4233*O4233</f>
        <v/>
      </c>
      <c r="X4233" s="12">
        <f>IF(LEFT(I4233,2)="MV",2*N4233*IF(L4233="1/C",O4233,1),0)</f>
        <v/>
      </c>
      <c r="Y4233" s="12">
        <f>IF(OR(LEFT(K4233,4)="LVAX",LEFT(K4233,6)="MV15AX",LEFT(K4233,4)="CTAX",LEFT(K4233,2)="W|"),2*N4233*O4233,0)</f>
        <v/>
      </c>
      <c r="Z4233" s="12" t="inlineStr"/>
      <c r="AA4233" s="12">
        <f>N4233*O4233</f>
        <v/>
      </c>
    </row>
    <row r="4234">
      <c r="A4234" s="12" t="inlineStr">
        <is>
          <t>I-C-0138</t>
        </is>
      </c>
      <c r="B4234" s="12" t="inlineStr">
        <is>
          <t>I</t>
        </is>
      </c>
      <c r="C4234" s="12" t="inlineStr">
        <is>
          <t>Modular / portable power</t>
        </is>
      </c>
      <c r="D4234" s="12" t="inlineStr">
        <is>
          <t>Control</t>
        </is>
      </c>
      <c r="E4234" s="12" t="inlineStr"/>
      <c r="F4234" s="12" t="inlineStr">
        <is>
          <t>PCM: power control module</t>
        </is>
      </c>
      <c r="G4234" s="12" t="inlineStr"/>
      <c r="H4234" s="12" t="inlineStr">
        <is>
          <t>Reagent storage</t>
        </is>
      </c>
      <c r="I4234" s="12" t="inlineStr">
        <is>
          <t>Control</t>
        </is>
      </c>
      <c r="J4234" s="12" t="inlineStr">
        <is>
          <t>Control cable 600 V Type TC-ER, Cu #14 AWG, PVC jacket</t>
        </is>
      </c>
      <c r="K4234" s="12" t="inlineStr">
        <is>
          <t>CT|7/C|14</t>
        </is>
      </c>
      <c r="L4234" s="12" t="inlineStr">
        <is>
          <t>7/C</t>
        </is>
      </c>
      <c r="M4234" s="12" t="inlineStr">
        <is>
          <t>14</t>
        </is>
      </c>
      <c r="N4234" s="12" t="n">
        <v>1</v>
      </c>
      <c r="O4234" s="12" t="n">
        <v>1</v>
      </c>
      <c r="P4234" s="12" t="n"/>
      <c r="Q4234" s="12" t="n"/>
      <c r="R4234" s="12" t="n"/>
      <c r="S4234" s="12" t="inlineStr">
        <is>
          <t>Tray</t>
        </is>
      </c>
      <c r="T4234" s="16" t="n">
        <v>32</v>
      </c>
      <c r="U4234" s="16" t="n">
        <v>32</v>
      </c>
      <c r="V4234" s="16">
        <f>ROUNDUP((T4234+U4234+2*'Read Me'!$B$13)*(1+'Read Me'!$B$12),-1)</f>
        <v/>
      </c>
      <c r="W4234" s="16">
        <f>V4234*N4234*O4234</f>
        <v/>
      </c>
      <c r="X4234" s="12">
        <f>IF(LEFT(I4234,2)="MV",2*N4234*IF(L4234="1/C",O4234,1),0)</f>
        <v/>
      </c>
      <c r="Y4234" s="12">
        <f>IF(OR(LEFT(K4234,4)="LVAX",LEFT(K4234,6)="MV15AX",LEFT(K4234,4)="CTAX",LEFT(K4234,2)="W|"),2*N4234*O4234,0)</f>
        <v/>
      </c>
      <c r="Z4234" s="12" t="inlineStr"/>
      <c r="AA4234" s="12">
        <f>N4234*O4234</f>
        <v/>
      </c>
    </row>
    <row r="4235">
      <c r="A4235" s="12" t="inlineStr">
        <is>
          <t>I-C-0139</t>
        </is>
      </c>
      <c r="B4235" s="12" t="inlineStr">
        <is>
          <t>I</t>
        </is>
      </c>
      <c r="C4235" s="12" t="inlineStr">
        <is>
          <t>Modular / portable power</t>
        </is>
      </c>
      <c r="D4235" s="12" t="inlineStr">
        <is>
          <t>Motor 1 of 2: control / local station</t>
        </is>
      </c>
      <c r="E4235" s="12" t="inlineStr"/>
      <c r="F4235" s="12" t="inlineStr">
        <is>
          <t>PCM: power control module</t>
        </is>
      </c>
      <c r="G4235" s="12" t="inlineStr"/>
      <c r="H4235" s="12" t="inlineStr">
        <is>
          <t>SC-1 SCR / CO catalyst</t>
        </is>
      </c>
      <c r="I4235" s="12" t="inlineStr">
        <is>
          <t>Control</t>
        </is>
      </c>
      <c r="J4235" s="12" t="inlineStr">
        <is>
          <t>Control cable 600 V Type TC-ER, Cu #14 AWG, PVC jacket</t>
        </is>
      </c>
      <c r="K4235" s="12" t="inlineStr">
        <is>
          <t>CT|7/C|14</t>
        </is>
      </c>
      <c r="L4235" s="12" t="inlineStr">
        <is>
          <t>7/C</t>
        </is>
      </c>
      <c r="M4235" s="12" t="inlineStr">
        <is>
          <t>14</t>
        </is>
      </c>
      <c r="N4235" s="12" t="n">
        <v>1</v>
      </c>
      <c r="O4235" s="12" t="n">
        <v>1</v>
      </c>
      <c r="P4235" s="12" t="n"/>
      <c r="Q4235" s="12" t="n"/>
      <c r="R4235" s="12" t="n"/>
      <c r="S4235" s="12" t="inlineStr">
        <is>
          <t>Duct bank</t>
        </is>
      </c>
      <c r="T4235" s="16" t="n">
        <v>40</v>
      </c>
      <c r="U4235" s="16" t="n">
        <v>142</v>
      </c>
      <c r="V4235" s="16">
        <f>ROUNDUP((T4235+U4235+2*'Read Me'!$B$13)*(1+'Read Me'!$B$12),-1)</f>
        <v/>
      </c>
      <c r="W4235" s="16">
        <f>V4235*N4235*O4235</f>
        <v/>
      </c>
      <c r="X4235" s="12">
        <f>IF(LEFT(I4235,2)="MV",2*N4235*IF(L4235="1/C",O4235,1),0)</f>
        <v/>
      </c>
      <c r="Y4235" s="12">
        <f>IF(OR(LEFT(K4235,4)="LVAX",LEFT(K4235,6)="MV15AX",LEFT(K4235,4)="CTAX",LEFT(K4235,2)="W|"),2*N4235*O4235,0)</f>
        <v/>
      </c>
      <c r="Z4235" s="12" t="inlineStr"/>
      <c r="AA4235" s="12">
        <f>N4235*O4235</f>
        <v/>
      </c>
    </row>
    <row r="4236">
      <c r="A4236" s="12" t="inlineStr">
        <is>
          <t>I-C-0140</t>
        </is>
      </c>
      <c r="B4236" s="12" t="inlineStr">
        <is>
          <t>I</t>
        </is>
      </c>
      <c r="C4236" s="12" t="inlineStr">
        <is>
          <t>Modular / portable power</t>
        </is>
      </c>
      <c r="D4236" s="12" t="inlineStr">
        <is>
          <t>Motor 2 of 2: control / local station</t>
        </is>
      </c>
      <c r="E4236" s="12" t="inlineStr"/>
      <c r="F4236" s="12" t="inlineStr">
        <is>
          <t>PCM: power control module</t>
        </is>
      </c>
      <c r="G4236" s="12" t="inlineStr"/>
      <c r="H4236" s="12" t="inlineStr">
        <is>
          <t>SC-1 SCR / CO catalyst</t>
        </is>
      </c>
      <c r="I4236" s="12" t="inlineStr">
        <is>
          <t>Control</t>
        </is>
      </c>
      <c r="J4236" s="12" t="inlineStr">
        <is>
          <t>Control cable 600 V Type TC-ER, Cu #14 AWG, PVC jacket</t>
        </is>
      </c>
      <c r="K4236" s="12" t="inlineStr">
        <is>
          <t>CT|7/C|14</t>
        </is>
      </c>
      <c r="L4236" s="12" t="inlineStr">
        <is>
          <t>7/C</t>
        </is>
      </c>
      <c r="M4236" s="12" t="inlineStr">
        <is>
          <t>14</t>
        </is>
      </c>
      <c r="N4236" s="12" t="n">
        <v>1</v>
      </c>
      <c r="O4236" s="12" t="n">
        <v>1</v>
      </c>
      <c r="P4236" s="12" t="n"/>
      <c r="Q4236" s="12" t="n"/>
      <c r="R4236" s="12" t="n"/>
      <c r="S4236" s="12" t="inlineStr">
        <is>
          <t>Duct bank</t>
        </is>
      </c>
      <c r="T4236" s="16" t="n">
        <v>40</v>
      </c>
      <c r="U4236" s="16" t="n">
        <v>142</v>
      </c>
      <c r="V4236" s="16">
        <f>ROUNDUP((T4236+U4236+2*'Read Me'!$B$13)*(1+'Read Me'!$B$12),-1)</f>
        <v/>
      </c>
      <c r="W4236" s="16">
        <f>V4236*N4236*O4236</f>
        <v/>
      </c>
      <c r="X4236" s="12">
        <f>IF(LEFT(I4236,2)="MV",2*N4236*IF(L4236="1/C",O4236,1),0)</f>
        <v/>
      </c>
      <c r="Y4236" s="12">
        <f>IF(OR(LEFT(K4236,4)="LVAX",LEFT(K4236,6)="MV15AX",LEFT(K4236,4)="CTAX",LEFT(K4236,2)="W|"),2*N4236*O4236,0)</f>
        <v/>
      </c>
      <c r="Z4236" s="12" t="inlineStr"/>
      <c r="AA4236" s="12">
        <f>N4236*O4236</f>
        <v/>
      </c>
    </row>
    <row r="4237">
      <c r="A4237" s="12" t="inlineStr">
        <is>
          <t>I-C-0141</t>
        </is>
      </c>
      <c r="B4237" s="12" t="inlineStr">
        <is>
          <t>I</t>
        </is>
      </c>
      <c r="C4237" s="12" t="inlineStr">
        <is>
          <t>Modular / portable power</t>
        </is>
      </c>
      <c r="D4237" s="12" t="inlineStr">
        <is>
          <t>Motor 1 of 4: control / local station</t>
        </is>
      </c>
      <c r="E4237" s="12" t="inlineStr"/>
      <c r="F4237" s="12" t="inlineStr">
        <is>
          <t>PCM: power control module</t>
        </is>
      </c>
      <c r="G4237" s="12" t="inlineStr"/>
      <c r="H4237" s="12" t="inlineStr">
        <is>
          <t>SC-1 lube-oil fin-fan cooler</t>
        </is>
      </c>
      <c r="I4237" s="12" t="inlineStr">
        <is>
          <t>Control</t>
        </is>
      </c>
      <c r="J4237" s="12" t="inlineStr">
        <is>
          <t>Control cable 600 V Type TC-ER, Cu #14 AWG, PVC jacket</t>
        </is>
      </c>
      <c r="K4237" s="12" t="inlineStr">
        <is>
          <t>CT|7/C|14</t>
        </is>
      </c>
      <c r="L4237" s="12" t="inlineStr">
        <is>
          <t>7/C</t>
        </is>
      </c>
      <c r="M4237" s="12" t="inlineStr">
        <is>
          <t>14</t>
        </is>
      </c>
      <c r="N4237" s="12" t="n">
        <v>1</v>
      </c>
      <c r="O4237" s="12" t="n">
        <v>1</v>
      </c>
      <c r="P4237" s="12" t="n"/>
      <c r="Q4237" s="12" t="n"/>
      <c r="R4237" s="12" t="n"/>
      <c r="S4237" s="12" t="inlineStr">
        <is>
          <t>Duct bank</t>
        </is>
      </c>
      <c r="T4237" s="16" t="n">
        <v>82</v>
      </c>
      <c r="U4237" s="16" t="n">
        <v>82</v>
      </c>
      <c r="V4237" s="16">
        <f>ROUNDUP((T4237+U4237+2*'Read Me'!$B$13)*(1+'Read Me'!$B$12),-1)</f>
        <v/>
      </c>
      <c r="W4237" s="16">
        <f>V4237*N4237*O4237</f>
        <v/>
      </c>
      <c r="X4237" s="12">
        <f>IF(LEFT(I4237,2)="MV",2*N4237*IF(L4237="1/C",O4237,1),0)</f>
        <v/>
      </c>
      <c r="Y4237" s="12">
        <f>IF(OR(LEFT(K4237,4)="LVAX",LEFT(K4237,6)="MV15AX",LEFT(K4237,4)="CTAX",LEFT(K4237,2)="W|"),2*N4237*O4237,0)</f>
        <v/>
      </c>
      <c r="Z4237" s="12" t="inlineStr"/>
      <c r="AA4237" s="12">
        <f>N4237*O4237</f>
        <v/>
      </c>
    </row>
    <row r="4238">
      <c r="A4238" s="12" t="inlineStr">
        <is>
          <t>I-C-0142</t>
        </is>
      </c>
      <c r="B4238" s="12" t="inlineStr">
        <is>
          <t>I</t>
        </is>
      </c>
      <c r="C4238" s="12" t="inlineStr">
        <is>
          <t>Modular / portable power</t>
        </is>
      </c>
      <c r="D4238" s="12" t="inlineStr">
        <is>
          <t>Motor 2 of 4: control / local station</t>
        </is>
      </c>
      <c r="E4238" s="12" t="inlineStr"/>
      <c r="F4238" s="12" t="inlineStr">
        <is>
          <t>PCM: power control module</t>
        </is>
      </c>
      <c r="G4238" s="12" t="inlineStr"/>
      <c r="H4238" s="12" t="inlineStr">
        <is>
          <t>SC-1 lube-oil fin-fan cooler</t>
        </is>
      </c>
      <c r="I4238" s="12" t="inlineStr">
        <is>
          <t>Control</t>
        </is>
      </c>
      <c r="J4238" s="12" t="inlineStr">
        <is>
          <t>Control cable 600 V Type TC-ER, Cu #14 AWG, PVC jacket</t>
        </is>
      </c>
      <c r="K4238" s="12" t="inlineStr">
        <is>
          <t>CT|7/C|14</t>
        </is>
      </c>
      <c r="L4238" s="12" t="inlineStr">
        <is>
          <t>7/C</t>
        </is>
      </c>
      <c r="M4238" s="12" t="inlineStr">
        <is>
          <t>14</t>
        </is>
      </c>
      <c r="N4238" s="12" t="n">
        <v>1</v>
      </c>
      <c r="O4238" s="12" t="n">
        <v>1</v>
      </c>
      <c r="P4238" s="12" t="n"/>
      <c r="Q4238" s="12" t="n"/>
      <c r="R4238" s="12" t="n"/>
      <c r="S4238" s="12" t="inlineStr">
        <is>
          <t>Duct bank</t>
        </is>
      </c>
      <c r="T4238" s="16" t="n">
        <v>82</v>
      </c>
      <c r="U4238" s="16" t="n">
        <v>82</v>
      </c>
      <c r="V4238" s="16">
        <f>ROUNDUP((T4238+U4238+2*'Read Me'!$B$13)*(1+'Read Me'!$B$12),-1)</f>
        <v/>
      </c>
      <c r="W4238" s="16">
        <f>V4238*N4238*O4238</f>
        <v/>
      </c>
      <c r="X4238" s="12">
        <f>IF(LEFT(I4238,2)="MV",2*N4238*IF(L4238="1/C",O4238,1),0)</f>
        <v/>
      </c>
      <c r="Y4238" s="12">
        <f>IF(OR(LEFT(K4238,4)="LVAX",LEFT(K4238,6)="MV15AX",LEFT(K4238,4)="CTAX",LEFT(K4238,2)="W|"),2*N4238*O4238,0)</f>
        <v/>
      </c>
      <c r="Z4238" s="12" t="inlineStr"/>
      <c r="AA4238" s="12">
        <f>N4238*O4238</f>
        <v/>
      </c>
    </row>
    <row r="4239">
      <c r="A4239" s="12" t="inlineStr">
        <is>
          <t>I-C-0143</t>
        </is>
      </c>
      <c r="B4239" s="12" t="inlineStr">
        <is>
          <t>I</t>
        </is>
      </c>
      <c r="C4239" s="12" t="inlineStr">
        <is>
          <t>Modular / portable power</t>
        </is>
      </c>
      <c r="D4239" s="12" t="inlineStr">
        <is>
          <t>Motor 3 of 4: control / local station</t>
        </is>
      </c>
      <c r="E4239" s="12" t="inlineStr"/>
      <c r="F4239" s="12" t="inlineStr">
        <is>
          <t>PCM: power control module</t>
        </is>
      </c>
      <c r="G4239" s="12" t="inlineStr"/>
      <c r="H4239" s="12" t="inlineStr">
        <is>
          <t>SC-1 lube-oil fin-fan cooler</t>
        </is>
      </c>
      <c r="I4239" s="12" t="inlineStr">
        <is>
          <t>Control</t>
        </is>
      </c>
      <c r="J4239" s="12" t="inlineStr">
        <is>
          <t>Control cable 600 V Type TC-ER, Cu #14 AWG, PVC jacket</t>
        </is>
      </c>
      <c r="K4239" s="12" t="inlineStr">
        <is>
          <t>CT|7/C|14</t>
        </is>
      </c>
      <c r="L4239" s="12" t="inlineStr">
        <is>
          <t>7/C</t>
        </is>
      </c>
      <c r="M4239" s="12" t="inlineStr">
        <is>
          <t>14</t>
        </is>
      </c>
      <c r="N4239" s="12" t="n">
        <v>1</v>
      </c>
      <c r="O4239" s="12" t="n">
        <v>1</v>
      </c>
      <c r="P4239" s="12" t="n"/>
      <c r="Q4239" s="12" t="n"/>
      <c r="R4239" s="12" t="n"/>
      <c r="S4239" s="12" t="inlineStr">
        <is>
          <t>Duct bank</t>
        </is>
      </c>
      <c r="T4239" s="16" t="n">
        <v>82</v>
      </c>
      <c r="U4239" s="16" t="n">
        <v>82</v>
      </c>
      <c r="V4239" s="16">
        <f>ROUNDUP((T4239+U4239+2*'Read Me'!$B$13)*(1+'Read Me'!$B$12),-1)</f>
        <v/>
      </c>
      <c r="W4239" s="16">
        <f>V4239*N4239*O4239</f>
        <v/>
      </c>
      <c r="X4239" s="12">
        <f>IF(LEFT(I4239,2)="MV",2*N4239*IF(L4239="1/C",O4239,1),0)</f>
        <v/>
      </c>
      <c r="Y4239" s="12">
        <f>IF(OR(LEFT(K4239,4)="LVAX",LEFT(K4239,6)="MV15AX",LEFT(K4239,4)="CTAX",LEFT(K4239,2)="W|"),2*N4239*O4239,0)</f>
        <v/>
      </c>
      <c r="Z4239" s="12" t="inlineStr"/>
      <c r="AA4239" s="12">
        <f>N4239*O4239</f>
        <v/>
      </c>
    </row>
    <row r="4240">
      <c r="A4240" s="12" t="inlineStr">
        <is>
          <t>I-C-0144</t>
        </is>
      </c>
      <c r="B4240" s="12" t="inlineStr">
        <is>
          <t>I</t>
        </is>
      </c>
      <c r="C4240" s="12" t="inlineStr">
        <is>
          <t>Modular / portable power</t>
        </is>
      </c>
      <c r="D4240" s="12" t="inlineStr">
        <is>
          <t>Motor 4 of 4: control / local station</t>
        </is>
      </c>
      <c r="E4240" s="12" t="inlineStr"/>
      <c r="F4240" s="12" t="inlineStr">
        <is>
          <t>PCM: power control module</t>
        </is>
      </c>
      <c r="G4240" s="12" t="inlineStr"/>
      <c r="H4240" s="12" t="inlineStr">
        <is>
          <t>SC-1 lube-oil fin-fan cooler</t>
        </is>
      </c>
      <c r="I4240" s="12" t="inlineStr">
        <is>
          <t>Control</t>
        </is>
      </c>
      <c r="J4240" s="12" t="inlineStr">
        <is>
          <t>Control cable 600 V Type TC-ER, Cu #14 AWG, PVC jacket</t>
        </is>
      </c>
      <c r="K4240" s="12" t="inlineStr">
        <is>
          <t>CT|7/C|14</t>
        </is>
      </c>
      <c r="L4240" s="12" t="inlineStr">
        <is>
          <t>7/C</t>
        </is>
      </c>
      <c r="M4240" s="12" t="inlineStr">
        <is>
          <t>14</t>
        </is>
      </c>
      <c r="N4240" s="12" t="n">
        <v>1</v>
      </c>
      <c r="O4240" s="12" t="n">
        <v>1</v>
      </c>
      <c r="P4240" s="12" t="n"/>
      <c r="Q4240" s="12" t="n"/>
      <c r="R4240" s="12" t="n"/>
      <c r="S4240" s="12" t="inlineStr">
        <is>
          <t>Duct bank</t>
        </is>
      </c>
      <c r="T4240" s="16" t="n">
        <v>82</v>
      </c>
      <c r="U4240" s="16" t="n">
        <v>82</v>
      </c>
      <c r="V4240" s="16">
        <f>ROUNDUP((T4240+U4240+2*'Read Me'!$B$13)*(1+'Read Me'!$B$12),-1)</f>
        <v/>
      </c>
      <c r="W4240" s="16">
        <f>V4240*N4240*O4240</f>
        <v/>
      </c>
      <c r="X4240" s="12">
        <f>IF(LEFT(I4240,2)="MV",2*N4240*IF(L4240="1/C",O4240,1),0)</f>
        <v/>
      </c>
      <c r="Y4240" s="12">
        <f>IF(OR(LEFT(K4240,4)="LVAX",LEFT(K4240,6)="MV15AX",LEFT(K4240,4)="CTAX",LEFT(K4240,2)="W|"),2*N4240*O4240,0)</f>
        <v/>
      </c>
      <c r="Z4240" s="12" t="inlineStr"/>
      <c r="AA4240" s="12">
        <f>N4240*O4240</f>
        <v/>
      </c>
    </row>
    <row r="4241">
      <c r="A4241" s="12" t="inlineStr">
        <is>
          <t>I-C-0145</t>
        </is>
      </c>
      <c r="B4241" s="12" t="inlineStr">
        <is>
          <t>I</t>
        </is>
      </c>
      <c r="C4241" s="12" t="inlineStr">
        <is>
          <t>Modular / portable power</t>
        </is>
      </c>
      <c r="D4241" s="12" t="inlineStr">
        <is>
          <t>Motor 1 of 10: control / local station</t>
        </is>
      </c>
      <c r="E4241" s="12" t="inlineStr"/>
      <c r="F4241" s="12" t="inlineStr">
        <is>
          <t>PCM: power control module</t>
        </is>
      </c>
      <c r="G4241" s="12" t="inlineStr">
        <is>
          <t>SC-1</t>
        </is>
      </c>
      <c r="H4241" s="12" t="inlineStr">
        <is>
          <t>SC-1: aeroderivative simple-cycle unit (LM6000 class)</t>
        </is>
      </c>
      <c r="I4241" s="12" t="inlineStr">
        <is>
          <t>Control</t>
        </is>
      </c>
      <c r="J4241" s="12" t="inlineStr">
        <is>
          <t>Control cable 600 V Type TC-ER, Cu #14 AWG, PVC jacket</t>
        </is>
      </c>
      <c r="K4241" s="12" t="inlineStr">
        <is>
          <t>CT|7/C|14</t>
        </is>
      </c>
      <c r="L4241" s="12" t="inlineStr">
        <is>
          <t>7/C</t>
        </is>
      </c>
      <c r="M4241" s="12" t="inlineStr">
        <is>
          <t>14</t>
        </is>
      </c>
      <c r="N4241" s="12" t="n">
        <v>1</v>
      </c>
      <c r="O4241" s="12" t="n">
        <v>1</v>
      </c>
      <c r="P4241" s="12" t="n"/>
      <c r="Q4241" s="12" t="n"/>
      <c r="R4241" s="12" t="n"/>
      <c r="S4241" s="12" t="inlineStr">
        <is>
          <t>Duct bank</t>
        </is>
      </c>
      <c r="T4241" s="16" t="n">
        <v>40</v>
      </c>
      <c r="U4241" s="16" t="n">
        <v>52</v>
      </c>
      <c r="V4241" s="16">
        <f>ROUNDUP((T4241+U4241+2*'Read Me'!$B$13)*(1+'Read Me'!$B$12),-1)</f>
        <v/>
      </c>
      <c r="W4241" s="16">
        <f>V4241*N4241*O4241</f>
        <v/>
      </c>
      <c r="X4241" s="12">
        <f>IF(LEFT(I4241,2)="MV",2*N4241*IF(L4241="1/C",O4241,1),0)</f>
        <v/>
      </c>
      <c r="Y4241" s="12">
        <f>IF(OR(LEFT(K4241,4)="LVAX",LEFT(K4241,6)="MV15AX",LEFT(K4241,4)="CTAX",LEFT(K4241,2)="W|"),2*N4241*O4241,0)</f>
        <v/>
      </c>
      <c r="Z4241" s="12" t="inlineStr"/>
      <c r="AA4241" s="12">
        <f>N4241*O4241</f>
        <v/>
      </c>
    </row>
    <row r="4242">
      <c r="A4242" s="12" t="inlineStr">
        <is>
          <t>I-C-0146</t>
        </is>
      </c>
      <c r="B4242" s="12" t="inlineStr">
        <is>
          <t>I</t>
        </is>
      </c>
      <c r="C4242" s="12" t="inlineStr">
        <is>
          <t>Modular / portable power</t>
        </is>
      </c>
      <c r="D4242" s="12" t="inlineStr">
        <is>
          <t>Motor 2 of 10: control / local station</t>
        </is>
      </c>
      <c r="E4242" s="12" t="inlineStr"/>
      <c r="F4242" s="12" t="inlineStr">
        <is>
          <t>PCM: power control module</t>
        </is>
      </c>
      <c r="G4242" s="12" t="inlineStr">
        <is>
          <t>SC-1</t>
        </is>
      </c>
      <c r="H4242" s="12" t="inlineStr">
        <is>
          <t>SC-1: aeroderivative simple-cycle unit (LM6000 class)</t>
        </is>
      </c>
      <c r="I4242" s="12" t="inlineStr">
        <is>
          <t>Control</t>
        </is>
      </c>
      <c r="J4242" s="12" t="inlineStr">
        <is>
          <t>Control cable 600 V Type TC-ER, Cu #14 AWG, PVC jacket</t>
        </is>
      </c>
      <c r="K4242" s="12" t="inlineStr">
        <is>
          <t>CT|7/C|14</t>
        </is>
      </c>
      <c r="L4242" s="12" t="inlineStr">
        <is>
          <t>7/C</t>
        </is>
      </c>
      <c r="M4242" s="12" t="inlineStr">
        <is>
          <t>14</t>
        </is>
      </c>
      <c r="N4242" s="12" t="n">
        <v>1</v>
      </c>
      <c r="O4242" s="12" t="n">
        <v>1</v>
      </c>
      <c r="P4242" s="12" t="n"/>
      <c r="Q4242" s="12" t="n"/>
      <c r="R4242" s="12" t="n"/>
      <c r="S4242" s="12" t="inlineStr">
        <is>
          <t>Duct bank</t>
        </is>
      </c>
      <c r="T4242" s="16" t="n">
        <v>40</v>
      </c>
      <c r="U4242" s="16" t="n">
        <v>52</v>
      </c>
      <c r="V4242" s="16">
        <f>ROUNDUP((T4242+U4242+2*'Read Me'!$B$13)*(1+'Read Me'!$B$12),-1)</f>
        <v/>
      </c>
      <c r="W4242" s="16">
        <f>V4242*N4242*O4242</f>
        <v/>
      </c>
      <c r="X4242" s="12">
        <f>IF(LEFT(I4242,2)="MV",2*N4242*IF(L4242="1/C",O4242,1),0)</f>
        <v/>
      </c>
      <c r="Y4242" s="12">
        <f>IF(OR(LEFT(K4242,4)="LVAX",LEFT(K4242,6)="MV15AX",LEFT(K4242,4)="CTAX",LEFT(K4242,2)="W|"),2*N4242*O4242,0)</f>
        <v/>
      </c>
      <c r="Z4242" s="12" t="inlineStr"/>
      <c r="AA4242" s="12">
        <f>N4242*O4242</f>
        <v/>
      </c>
    </row>
    <row r="4243">
      <c r="A4243" s="12" t="inlineStr">
        <is>
          <t>I-C-0147</t>
        </is>
      </c>
      <c r="B4243" s="12" t="inlineStr">
        <is>
          <t>I</t>
        </is>
      </c>
      <c r="C4243" s="12" t="inlineStr">
        <is>
          <t>Modular / portable power</t>
        </is>
      </c>
      <c r="D4243" s="12" t="inlineStr">
        <is>
          <t>Motor 3 of 10: control / local station</t>
        </is>
      </c>
      <c r="E4243" s="12" t="inlineStr"/>
      <c r="F4243" s="12" t="inlineStr">
        <is>
          <t>PCM: power control module</t>
        </is>
      </c>
      <c r="G4243" s="12" t="inlineStr">
        <is>
          <t>SC-1</t>
        </is>
      </c>
      <c r="H4243" s="12" t="inlineStr">
        <is>
          <t>SC-1: aeroderivative simple-cycle unit (LM6000 class)</t>
        </is>
      </c>
      <c r="I4243" s="12" t="inlineStr">
        <is>
          <t>Control</t>
        </is>
      </c>
      <c r="J4243" s="12" t="inlineStr">
        <is>
          <t>Control cable 600 V Type TC-ER, Cu #14 AWG, PVC jacket</t>
        </is>
      </c>
      <c r="K4243" s="12" t="inlineStr">
        <is>
          <t>CT|7/C|14</t>
        </is>
      </c>
      <c r="L4243" s="12" t="inlineStr">
        <is>
          <t>7/C</t>
        </is>
      </c>
      <c r="M4243" s="12" t="inlineStr">
        <is>
          <t>14</t>
        </is>
      </c>
      <c r="N4243" s="12" t="n">
        <v>1</v>
      </c>
      <c r="O4243" s="12" t="n">
        <v>1</v>
      </c>
      <c r="P4243" s="12" t="n"/>
      <c r="Q4243" s="12" t="n"/>
      <c r="R4243" s="12" t="n"/>
      <c r="S4243" s="12" t="inlineStr">
        <is>
          <t>Duct bank</t>
        </is>
      </c>
      <c r="T4243" s="16" t="n">
        <v>40</v>
      </c>
      <c r="U4243" s="16" t="n">
        <v>52</v>
      </c>
      <c r="V4243" s="16">
        <f>ROUNDUP((T4243+U4243+2*'Read Me'!$B$13)*(1+'Read Me'!$B$12),-1)</f>
        <v/>
      </c>
      <c r="W4243" s="16">
        <f>V4243*N4243*O4243</f>
        <v/>
      </c>
      <c r="X4243" s="12">
        <f>IF(LEFT(I4243,2)="MV",2*N4243*IF(L4243="1/C",O4243,1),0)</f>
        <v/>
      </c>
      <c r="Y4243" s="12">
        <f>IF(OR(LEFT(K4243,4)="LVAX",LEFT(K4243,6)="MV15AX",LEFT(K4243,4)="CTAX",LEFT(K4243,2)="W|"),2*N4243*O4243,0)</f>
        <v/>
      </c>
      <c r="Z4243" s="12" t="inlineStr"/>
      <c r="AA4243" s="12">
        <f>N4243*O4243</f>
        <v/>
      </c>
    </row>
    <row r="4244">
      <c r="A4244" s="12" t="inlineStr">
        <is>
          <t>I-C-0148</t>
        </is>
      </c>
      <c r="B4244" s="12" t="inlineStr">
        <is>
          <t>I</t>
        </is>
      </c>
      <c r="C4244" s="12" t="inlineStr">
        <is>
          <t>Modular / portable power</t>
        </is>
      </c>
      <c r="D4244" s="12" t="inlineStr">
        <is>
          <t>Motor 4 of 10: control / local station</t>
        </is>
      </c>
      <c r="E4244" s="12" t="inlineStr"/>
      <c r="F4244" s="12" t="inlineStr">
        <is>
          <t>PCM: power control module</t>
        </is>
      </c>
      <c r="G4244" s="12" t="inlineStr">
        <is>
          <t>SC-1</t>
        </is>
      </c>
      <c r="H4244" s="12" t="inlineStr">
        <is>
          <t>SC-1: aeroderivative simple-cycle unit (LM6000 class)</t>
        </is>
      </c>
      <c r="I4244" s="12" t="inlineStr">
        <is>
          <t>Control</t>
        </is>
      </c>
      <c r="J4244" s="12" t="inlineStr">
        <is>
          <t>Control cable 600 V Type TC-ER, Cu #14 AWG, PVC jacket</t>
        </is>
      </c>
      <c r="K4244" s="12" t="inlineStr">
        <is>
          <t>CT|7/C|14</t>
        </is>
      </c>
      <c r="L4244" s="12" t="inlineStr">
        <is>
          <t>7/C</t>
        </is>
      </c>
      <c r="M4244" s="12" t="inlineStr">
        <is>
          <t>14</t>
        </is>
      </c>
      <c r="N4244" s="12" t="n">
        <v>1</v>
      </c>
      <c r="O4244" s="12" t="n">
        <v>1</v>
      </c>
      <c r="P4244" s="12" t="n"/>
      <c r="Q4244" s="12" t="n"/>
      <c r="R4244" s="12" t="n"/>
      <c r="S4244" s="12" t="inlineStr">
        <is>
          <t>Duct bank</t>
        </is>
      </c>
      <c r="T4244" s="16" t="n">
        <v>40</v>
      </c>
      <c r="U4244" s="16" t="n">
        <v>52</v>
      </c>
      <c r="V4244" s="16">
        <f>ROUNDUP((T4244+U4244+2*'Read Me'!$B$13)*(1+'Read Me'!$B$12),-1)</f>
        <v/>
      </c>
      <c r="W4244" s="16">
        <f>V4244*N4244*O4244</f>
        <v/>
      </c>
      <c r="X4244" s="12">
        <f>IF(LEFT(I4244,2)="MV",2*N4244*IF(L4244="1/C",O4244,1),0)</f>
        <v/>
      </c>
      <c r="Y4244" s="12">
        <f>IF(OR(LEFT(K4244,4)="LVAX",LEFT(K4244,6)="MV15AX",LEFT(K4244,4)="CTAX",LEFT(K4244,2)="W|"),2*N4244*O4244,0)</f>
        <v/>
      </c>
      <c r="Z4244" s="12" t="inlineStr"/>
      <c r="AA4244" s="12">
        <f>N4244*O4244</f>
        <v/>
      </c>
    </row>
    <row r="4245">
      <c r="A4245" s="12" t="inlineStr">
        <is>
          <t>I-C-0149</t>
        </is>
      </c>
      <c r="B4245" s="12" t="inlineStr">
        <is>
          <t>I</t>
        </is>
      </c>
      <c r="C4245" s="12" t="inlineStr">
        <is>
          <t>Modular / portable power</t>
        </is>
      </c>
      <c r="D4245" s="12" t="inlineStr">
        <is>
          <t>Motor 5 of 10: control / local station</t>
        </is>
      </c>
      <c r="E4245" s="12" t="inlineStr"/>
      <c r="F4245" s="12" t="inlineStr">
        <is>
          <t>PCM: power control module</t>
        </is>
      </c>
      <c r="G4245" s="12" t="inlineStr">
        <is>
          <t>SC-1</t>
        </is>
      </c>
      <c r="H4245" s="12" t="inlineStr">
        <is>
          <t>SC-1: aeroderivative simple-cycle unit (LM6000 class)</t>
        </is>
      </c>
      <c r="I4245" s="12" t="inlineStr">
        <is>
          <t>Control</t>
        </is>
      </c>
      <c r="J4245" s="12" t="inlineStr">
        <is>
          <t>Control cable 600 V Type TC-ER, Cu #14 AWG, PVC jacket</t>
        </is>
      </c>
      <c r="K4245" s="12" t="inlineStr">
        <is>
          <t>CT|7/C|14</t>
        </is>
      </c>
      <c r="L4245" s="12" t="inlineStr">
        <is>
          <t>7/C</t>
        </is>
      </c>
      <c r="M4245" s="12" t="inlineStr">
        <is>
          <t>14</t>
        </is>
      </c>
      <c r="N4245" s="12" t="n">
        <v>1</v>
      </c>
      <c r="O4245" s="12" t="n">
        <v>1</v>
      </c>
      <c r="P4245" s="12" t="n"/>
      <c r="Q4245" s="12" t="n"/>
      <c r="R4245" s="12" t="n"/>
      <c r="S4245" s="12" t="inlineStr">
        <is>
          <t>Duct bank</t>
        </is>
      </c>
      <c r="T4245" s="16" t="n">
        <v>40</v>
      </c>
      <c r="U4245" s="16" t="n">
        <v>52</v>
      </c>
      <c r="V4245" s="16">
        <f>ROUNDUP((T4245+U4245+2*'Read Me'!$B$13)*(1+'Read Me'!$B$12),-1)</f>
        <v/>
      </c>
      <c r="W4245" s="16">
        <f>V4245*N4245*O4245</f>
        <v/>
      </c>
      <c r="X4245" s="12">
        <f>IF(LEFT(I4245,2)="MV",2*N4245*IF(L4245="1/C",O4245,1),0)</f>
        <v/>
      </c>
      <c r="Y4245" s="12">
        <f>IF(OR(LEFT(K4245,4)="LVAX",LEFT(K4245,6)="MV15AX",LEFT(K4245,4)="CTAX",LEFT(K4245,2)="W|"),2*N4245*O4245,0)</f>
        <v/>
      </c>
      <c r="Z4245" s="12" t="inlineStr"/>
      <c r="AA4245" s="12">
        <f>N4245*O4245</f>
        <v/>
      </c>
    </row>
    <row r="4246">
      <c r="A4246" s="12" t="inlineStr">
        <is>
          <t>I-C-0150</t>
        </is>
      </c>
      <c r="B4246" s="12" t="inlineStr">
        <is>
          <t>I</t>
        </is>
      </c>
      <c r="C4246" s="12" t="inlineStr">
        <is>
          <t>Modular / portable power</t>
        </is>
      </c>
      <c r="D4246" s="12" t="inlineStr">
        <is>
          <t>Motor 6 of 10: control / local station</t>
        </is>
      </c>
      <c r="E4246" s="12" t="inlineStr"/>
      <c r="F4246" s="12" t="inlineStr">
        <is>
          <t>PCM: power control module</t>
        </is>
      </c>
      <c r="G4246" s="12" t="inlineStr">
        <is>
          <t>SC-1</t>
        </is>
      </c>
      <c r="H4246" s="12" t="inlineStr">
        <is>
          <t>SC-1: aeroderivative simple-cycle unit (LM6000 class)</t>
        </is>
      </c>
      <c r="I4246" s="12" t="inlineStr">
        <is>
          <t>Control</t>
        </is>
      </c>
      <c r="J4246" s="12" t="inlineStr">
        <is>
          <t>Control cable 600 V Type TC-ER, Cu #14 AWG, PVC jacket</t>
        </is>
      </c>
      <c r="K4246" s="12" t="inlineStr">
        <is>
          <t>CT|7/C|14</t>
        </is>
      </c>
      <c r="L4246" s="12" t="inlineStr">
        <is>
          <t>7/C</t>
        </is>
      </c>
      <c r="M4246" s="12" t="inlineStr">
        <is>
          <t>14</t>
        </is>
      </c>
      <c r="N4246" s="12" t="n">
        <v>1</v>
      </c>
      <c r="O4246" s="12" t="n">
        <v>1</v>
      </c>
      <c r="P4246" s="12" t="n"/>
      <c r="Q4246" s="12" t="n"/>
      <c r="R4246" s="12" t="n"/>
      <c r="S4246" s="12" t="inlineStr">
        <is>
          <t>Duct bank</t>
        </is>
      </c>
      <c r="T4246" s="16" t="n">
        <v>40</v>
      </c>
      <c r="U4246" s="16" t="n">
        <v>52</v>
      </c>
      <c r="V4246" s="16">
        <f>ROUNDUP((T4246+U4246+2*'Read Me'!$B$13)*(1+'Read Me'!$B$12),-1)</f>
        <v/>
      </c>
      <c r="W4246" s="16">
        <f>V4246*N4246*O4246</f>
        <v/>
      </c>
      <c r="X4246" s="12">
        <f>IF(LEFT(I4246,2)="MV",2*N4246*IF(L4246="1/C",O4246,1),0)</f>
        <v/>
      </c>
      <c r="Y4246" s="12">
        <f>IF(OR(LEFT(K4246,4)="LVAX",LEFT(K4246,6)="MV15AX",LEFT(K4246,4)="CTAX",LEFT(K4246,2)="W|"),2*N4246*O4246,0)</f>
        <v/>
      </c>
      <c r="Z4246" s="12" t="inlineStr"/>
      <c r="AA4246" s="12">
        <f>N4246*O4246</f>
        <v/>
      </c>
    </row>
    <row r="4247">
      <c r="A4247" s="12" t="inlineStr">
        <is>
          <t>I-C-0151</t>
        </is>
      </c>
      <c r="B4247" s="12" t="inlineStr">
        <is>
          <t>I</t>
        </is>
      </c>
      <c r="C4247" s="12" t="inlineStr">
        <is>
          <t>Modular / portable power</t>
        </is>
      </c>
      <c r="D4247" s="12" t="inlineStr">
        <is>
          <t>Motor 7 of 10: control / local station</t>
        </is>
      </c>
      <c r="E4247" s="12" t="inlineStr"/>
      <c r="F4247" s="12" t="inlineStr">
        <is>
          <t>PCM: power control module</t>
        </is>
      </c>
      <c r="G4247" s="12" t="inlineStr">
        <is>
          <t>SC-1</t>
        </is>
      </c>
      <c r="H4247" s="12" t="inlineStr">
        <is>
          <t>SC-1: aeroderivative simple-cycle unit (LM6000 class)</t>
        </is>
      </c>
      <c r="I4247" s="12" t="inlineStr">
        <is>
          <t>Control</t>
        </is>
      </c>
      <c r="J4247" s="12" t="inlineStr">
        <is>
          <t>Control cable 600 V Type TC-ER, Cu #14 AWG, PVC jacket</t>
        </is>
      </c>
      <c r="K4247" s="12" t="inlineStr">
        <is>
          <t>CT|7/C|14</t>
        </is>
      </c>
      <c r="L4247" s="12" t="inlineStr">
        <is>
          <t>7/C</t>
        </is>
      </c>
      <c r="M4247" s="12" t="inlineStr">
        <is>
          <t>14</t>
        </is>
      </c>
      <c r="N4247" s="12" t="n">
        <v>1</v>
      </c>
      <c r="O4247" s="12" t="n">
        <v>1</v>
      </c>
      <c r="P4247" s="12" t="n"/>
      <c r="Q4247" s="12" t="n"/>
      <c r="R4247" s="12" t="n"/>
      <c r="S4247" s="12" t="inlineStr">
        <is>
          <t>Duct bank</t>
        </is>
      </c>
      <c r="T4247" s="16" t="n">
        <v>40</v>
      </c>
      <c r="U4247" s="16" t="n">
        <v>52</v>
      </c>
      <c r="V4247" s="16">
        <f>ROUNDUP((T4247+U4247+2*'Read Me'!$B$13)*(1+'Read Me'!$B$12),-1)</f>
        <v/>
      </c>
      <c r="W4247" s="16">
        <f>V4247*N4247*O4247</f>
        <v/>
      </c>
      <c r="X4247" s="12">
        <f>IF(LEFT(I4247,2)="MV",2*N4247*IF(L4247="1/C",O4247,1),0)</f>
        <v/>
      </c>
      <c r="Y4247" s="12">
        <f>IF(OR(LEFT(K4247,4)="LVAX",LEFT(K4247,6)="MV15AX",LEFT(K4247,4)="CTAX",LEFT(K4247,2)="W|"),2*N4247*O4247,0)</f>
        <v/>
      </c>
      <c r="Z4247" s="12" t="inlineStr"/>
      <c r="AA4247" s="12">
        <f>N4247*O4247</f>
        <v/>
      </c>
    </row>
    <row r="4248">
      <c r="A4248" s="12" t="inlineStr">
        <is>
          <t>I-C-0152</t>
        </is>
      </c>
      <c r="B4248" s="12" t="inlineStr">
        <is>
          <t>I</t>
        </is>
      </c>
      <c r="C4248" s="12" t="inlineStr">
        <is>
          <t>Modular / portable power</t>
        </is>
      </c>
      <c r="D4248" s="12" t="inlineStr">
        <is>
          <t>Motor 8 of 10: control / local station</t>
        </is>
      </c>
      <c r="E4248" s="12" t="inlineStr"/>
      <c r="F4248" s="12" t="inlineStr">
        <is>
          <t>PCM: power control module</t>
        </is>
      </c>
      <c r="G4248" s="12" t="inlineStr">
        <is>
          <t>SC-1</t>
        </is>
      </c>
      <c r="H4248" s="12" t="inlineStr">
        <is>
          <t>SC-1: aeroderivative simple-cycle unit (LM6000 class)</t>
        </is>
      </c>
      <c r="I4248" s="12" t="inlineStr">
        <is>
          <t>Control</t>
        </is>
      </c>
      <c r="J4248" s="12" t="inlineStr">
        <is>
          <t>Control cable 600 V Type TC-ER, Cu #14 AWG, PVC jacket</t>
        </is>
      </c>
      <c r="K4248" s="12" t="inlineStr">
        <is>
          <t>CT|7/C|14</t>
        </is>
      </c>
      <c r="L4248" s="12" t="inlineStr">
        <is>
          <t>7/C</t>
        </is>
      </c>
      <c r="M4248" s="12" t="inlineStr">
        <is>
          <t>14</t>
        </is>
      </c>
      <c r="N4248" s="12" t="n">
        <v>1</v>
      </c>
      <c r="O4248" s="12" t="n">
        <v>1</v>
      </c>
      <c r="P4248" s="12" t="n"/>
      <c r="Q4248" s="12" t="n"/>
      <c r="R4248" s="12" t="n"/>
      <c r="S4248" s="12" t="inlineStr">
        <is>
          <t>Duct bank</t>
        </is>
      </c>
      <c r="T4248" s="16" t="n">
        <v>40</v>
      </c>
      <c r="U4248" s="16" t="n">
        <v>52</v>
      </c>
      <c r="V4248" s="16">
        <f>ROUNDUP((T4248+U4248+2*'Read Me'!$B$13)*(1+'Read Me'!$B$12),-1)</f>
        <v/>
      </c>
      <c r="W4248" s="16">
        <f>V4248*N4248*O4248</f>
        <v/>
      </c>
      <c r="X4248" s="12">
        <f>IF(LEFT(I4248,2)="MV",2*N4248*IF(L4248="1/C",O4248,1),0)</f>
        <v/>
      </c>
      <c r="Y4248" s="12">
        <f>IF(OR(LEFT(K4248,4)="LVAX",LEFT(K4248,6)="MV15AX",LEFT(K4248,4)="CTAX",LEFT(K4248,2)="W|"),2*N4248*O4248,0)</f>
        <v/>
      </c>
      <c r="Z4248" s="12" t="inlineStr"/>
      <c r="AA4248" s="12">
        <f>N4248*O4248</f>
        <v/>
      </c>
    </row>
    <row r="4249">
      <c r="A4249" s="12" t="inlineStr">
        <is>
          <t>I-C-0153</t>
        </is>
      </c>
      <c r="B4249" s="12" t="inlineStr">
        <is>
          <t>I</t>
        </is>
      </c>
      <c r="C4249" s="12" t="inlineStr">
        <is>
          <t>Modular / portable power</t>
        </is>
      </c>
      <c r="D4249" s="12" t="inlineStr">
        <is>
          <t>Motor 9 of 10: control / local station</t>
        </is>
      </c>
      <c r="E4249" s="12" t="inlineStr"/>
      <c r="F4249" s="12" t="inlineStr">
        <is>
          <t>PCM: power control module</t>
        </is>
      </c>
      <c r="G4249" s="12" t="inlineStr">
        <is>
          <t>SC-1</t>
        </is>
      </c>
      <c r="H4249" s="12" t="inlineStr">
        <is>
          <t>SC-1: aeroderivative simple-cycle unit (LM6000 class)</t>
        </is>
      </c>
      <c r="I4249" s="12" t="inlineStr">
        <is>
          <t>Control</t>
        </is>
      </c>
      <c r="J4249" s="12" t="inlineStr">
        <is>
          <t>Control cable 600 V Type TC-ER, Cu #14 AWG, PVC jacket</t>
        </is>
      </c>
      <c r="K4249" s="12" t="inlineStr">
        <is>
          <t>CT|7/C|14</t>
        </is>
      </c>
      <c r="L4249" s="12" t="inlineStr">
        <is>
          <t>7/C</t>
        </is>
      </c>
      <c r="M4249" s="12" t="inlineStr">
        <is>
          <t>14</t>
        </is>
      </c>
      <c r="N4249" s="12" t="n">
        <v>1</v>
      </c>
      <c r="O4249" s="12" t="n">
        <v>1</v>
      </c>
      <c r="P4249" s="12" t="n"/>
      <c r="Q4249" s="12" t="n"/>
      <c r="R4249" s="12" t="n"/>
      <c r="S4249" s="12" t="inlineStr">
        <is>
          <t>Duct bank</t>
        </is>
      </c>
      <c r="T4249" s="16" t="n">
        <v>40</v>
      </c>
      <c r="U4249" s="16" t="n">
        <v>52</v>
      </c>
      <c r="V4249" s="16">
        <f>ROUNDUP((T4249+U4249+2*'Read Me'!$B$13)*(1+'Read Me'!$B$12),-1)</f>
        <v/>
      </c>
      <c r="W4249" s="16">
        <f>V4249*N4249*O4249</f>
        <v/>
      </c>
      <c r="X4249" s="12">
        <f>IF(LEFT(I4249,2)="MV",2*N4249*IF(L4249="1/C",O4249,1),0)</f>
        <v/>
      </c>
      <c r="Y4249" s="12">
        <f>IF(OR(LEFT(K4249,4)="LVAX",LEFT(K4249,6)="MV15AX",LEFT(K4249,4)="CTAX",LEFT(K4249,2)="W|"),2*N4249*O4249,0)</f>
        <v/>
      </c>
      <c r="Z4249" s="12" t="inlineStr"/>
      <c r="AA4249" s="12">
        <f>N4249*O4249</f>
        <v/>
      </c>
    </row>
    <row r="4250">
      <c r="A4250" s="12" t="inlineStr">
        <is>
          <t>I-C-0154</t>
        </is>
      </c>
      <c r="B4250" s="12" t="inlineStr">
        <is>
          <t>I</t>
        </is>
      </c>
      <c r="C4250" s="12" t="inlineStr">
        <is>
          <t>Modular / portable power</t>
        </is>
      </c>
      <c r="D4250" s="12" t="inlineStr">
        <is>
          <t>Motor 10 of 10: control / local station</t>
        </is>
      </c>
      <c r="E4250" s="12" t="inlineStr"/>
      <c r="F4250" s="12" t="inlineStr">
        <is>
          <t>PCM: power control module</t>
        </is>
      </c>
      <c r="G4250" s="12" t="inlineStr">
        <is>
          <t>SC-1</t>
        </is>
      </c>
      <c r="H4250" s="12" t="inlineStr">
        <is>
          <t>SC-1: aeroderivative simple-cycle unit (LM6000 class)</t>
        </is>
      </c>
      <c r="I4250" s="12" t="inlineStr">
        <is>
          <t>Control</t>
        </is>
      </c>
      <c r="J4250" s="12" t="inlineStr">
        <is>
          <t>Control cable 600 V Type TC-ER, Cu #14 AWG, PVC jacket</t>
        </is>
      </c>
      <c r="K4250" s="12" t="inlineStr">
        <is>
          <t>CT|7/C|14</t>
        </is>
      </c>
      <c r="L4250" s="12" t="inlineStr">
        <is>
          <t>7/C</t>
        </is>
      </c>
      <c r="M4250" s="12" t="inlineStr">
        <is>
          <t>14</t>
        </is>
      </c>
      <c r="N4250" s="12" t="n">
        <v>1</v>
      </c>
      <c r="O4250" s="12" t="n">
        <v>1</v>
      </c>
      <c r="P4250" s="12" t="n"/>
      <c r="Q4250" s="12" t="n"/>
      <c r="R4250" s="12" t="n"/>
      <c r="S4250" s="12" t="inlineStr">
        <is>
          <t>Duct bank</t>
        </is>
      </c>
      <c r="T4250" s="16" t="n">
        <v>40</v>
      </c>
      <c r="U4250" s="16" t="n">
        <v>52</v>
      </c>
      <c r="V4250" s="16">
        <f>ROUNDUP((T4250+U4250+2*'Read Me'!$B$13)*(1+'Read Me'!$B$12),-1)</f>
        <v/>
      </c>
      <c r="W4250" s="16">
        <f>V4250*N4250*O4250</f>
        <v/>
      </c>
      <c r="X4250" s="12">
        <f>IF(LEFT(I4250,2)="MV",2*N4250*IF(L4250="1/C",O4250,1),0)</f>
        <v/>
      </c>
      <c r="Y4250" s="12">
        <f>IF(OR(LEFT(K4250,4)="LVAX",LEFT(K4250,6)="MV15AX",LEFT(K4250,4)="CTAX",LEFT(K4250,2)="W|"),2*N4250*O4250,0)</f>
        <v/>
      </c>
      <c r="Z4250" s="12" t="inlineStr"/>
      <c r="AA4250" s="12">
        <f>N4250*O4250</f>
        <v/>
      </c>
    </row>
    <row r="4251">
      <c r="A4251" s="12" t="inlineStr">
        <is>
          <t>I-C-0155</t>
        </is>
      </c>
      <c r="B4251" s="12" t="inlineStr">
        <is>
          <t>I</t>
        </is>
      </c>
      <c r="C4251" s="12" t="inlineStr">
        <is>
          <t>Modular / portable power</t>
        </is>
      </c>
      <c r="D4251" s="12" t="inlineStr">
        <is>
          <t>Motor 1 of 2: control / local station</t>
        </is>
      </c>
      <c r="E4251" s="12" t="inlineStr"/>
      <c r="F4251" s="12" t="inlineStr">
        <is>
          <t>MOD-LV 480 V board + 480 V : 13.8 kV step-up</t>
        </is>
      </c>
      <c r="G4251" s="12" t="inlineStr"/>
      <c r="H4251" s="12" t="inlineStr">
        <is>
          <t>SC-2 SCR / CO catalyst</t>
        </is>
      </c>
      <c r="I4251" s="12" t="inlineStr">
        <is>
          <t>Control</t>
        </is>
      </c>
      <c r="J4251" s="12" t="inlineStr">
        <is>
          <t>Control cable 600 V Type TC-ER, Cu #14 AWG, PVC jacket</t>
        </is>
      </c>
      <c r="K4251" s="12" t="inlineStr">
        <is>
          <t>CT|7/C|14</t>
        </is>
      </c>
      <c r="L4251" s="12" t="inlineStr">
        <is>
          <t>7/C</t>
        </is>
      </c>
      <c r="M4251" s="12" t="inlineStr">
        <is>
          <t>14</t>
        </is>
      </c>
      <c r="N4251" s="12" t="n">
        <v>1</v>
      </c>
      <c r="O4251" s="12" t="n">
        <v>1</v>
      </c>
      <c r="P4251" s="12" t="n"/>
      <c r="Q4251" s="12" t="n"/>
      <c r="R4251" s="12" t="n"/>
      <c r="S4251" s="12" t="inlineStr">
        <is>
          <t>HV duct bank</t>
        </is>
      </c>
      <c r="T4251" s="16" t="n">
        <v>4341</v>
      </c>
      <c r="U4251" s="16" t="n">
        <v>60</v>
      </c>
      <c r="V4251" s="16">
        <f>ROUNDUP((T4251+U4251+2*'Read Me'!$B$13)*(1+'Read Me'!$B$12),-1)</f>
        <v/>
      </c>
      <c r="W4251" s="16">
        <f>V4251*N4251*O4251</f>
        <v/>
      </c>
      <c r="X4251" s="12">
        <f>IF(LEFT(I4251,2)="MV",2*N4251*IF(L4251="1/C",O4251,1),0)</f>
        <v/>
      </c>
      <c r="Y4251" s="12">
        <f>IF(OR(LEFT(K4251,4)="LVAX",LEFT(K4251,6)="MV15AX",LEFT(K4251,4)="CTAX",LEFT(K4251,2)="W|"),2*N4251*O4251,0)</f>
        <v/>
      </c>
      <c r="Z4251" s="12" t="inlineStr"/>
      <c r="AA4251" s="12">
        <f>N4251*O4251</f>
        <v/>
      </c>
    </row>
    <row r="4252">
      <c r="A4252" s="12" t="inlineStr">
        <is>
          <t>I-C-0156</t>
        </is>
      </c>
      <c r="B4252" s="12" t="inlineStr">
        <is>
          <t>I</t>
        </is>
      </c>
      <c r="C4252" s="12" t="inlineStr">
        <is>
          <t>Modular / portable power</t>
        </is>
      </c>
      <c r="D4252" s="12" t="inlineStr">
        <is>
          <t>Motor 2 of 2: control / local station</t>
        </is>
      </c>
      <c r="E4252" s="12" t="inlineStr"/>
      <c r="F4252" s="12" t="inlineStr">
        <is>
          <t>MOD-LV 480 V board + 480 V : 13.8 kV step-up</t>
        </is>
      </c>
      <c r="G4252" s="12" t="inlineStr"/>
      <c r="H4252" s="12" t="inlineStr">
        <is>
          <t>SC-2 SCR / CO catalyst</t>
        </is>
      </c>
      <c r="I4252" s="12" t="inlineStr">
        <is>
          <t>Control</t>
        </is>
      </c>
      <c r="J4252" s="12" t="inlineStr">
        <is>
          <t>Control cable 600 V Type TC-ER, Cu #14 AWG, PVC jacket</t>
        </is>
      </c>
      <c r="K4252" s="12" t="inlineStr">
        <is>
          <t>CT|7/C|14</t>
        </is>
      </c>
      <c r="L4252" s="12" t="inlineStr">
        <is>
          <t>7/C</t>
        </is>
      </c>
      <c r="M4252" s="12" t="inlineStr">
        <is>
          <t>14</t>
        </is>
      </c>
      <c r="N4252" s="12" t="n">
        <v>1</v>
      </c>
      <c r="O4252" s="12" t="n">
        <v>1</v>
      </c>
      <c r="P4252" s="12" t="n"/>
      <c r="Q4252" s="12" t="n"/>
      <c r="R4252" s="12" t="n"/>
      <c r="S4252" s="12" t="inlineStr">
        <is>
          <t>HV duct bank</t>
        </is>
      </c>
      <c r="T4252" s="16" t="n">
        <v>4341</v>
      </c>
      <c r="U4252" s="16" t="n">
        <v>60</v>
      </c>
      <c r="V4252" s="16">
        <f>ROUNDUP((T4252+U4252+2*'Read Me'!$B$13)*(1+'Read Me'!$B$12),-1)</f>
        <v/>
      </c>
      <c r="W4252" s="16">
        <f>V4252*N4252*O4252</f>
        <v/>
      </c>
      <c r="X4252" s="12">
        <f>IF(LEFT(I4252,2)="MV",2*N4252*IF(L4252="1/C",O4252,1),0)</f>
        <v/>
      </c>
      <c r="Y4252" s="12">
        <f>IF(OR(LEFT(K4252,4)="LVAX",LEFT(K4252,6)="MV15AX",LEFT(K4252,4)="CTAX",LEFT(K4252,2)="W|"),2*N4252*O4252,0)</f>
        <v/>
      </c>
      <c r="Z4252" s="12" t="inlineStr"/>
      <c r="AA4252" s="12">
        <f>N4252*O4252</f>
        <v/>
      </c>
    </row>
    <row r="4253">
      <c r="A4253" s="12" t="inlineStr">
        <is>
          <t>I-C-0157</t>
        </is>
      </c>
      <c r="B4253" s="12" t="inlineStr">
        <is>
          <t>I</t>
        </is>
      </c>
      <c r="C4253" s="12" t="inlineStr">
        <is>
          <t>Modular / portable power</t>
        </is>
      </c>
      <c r="D4253" s="12" t="inlineStr">
        <is>
          <t>Motor 1 of 4: control / local station</t>
        </is>
      </c>
      <c r="E4253" s="12" t="inlineStr"/>
      <c r="F4253" s="12" t="inlineStr">
        <is>
          <t>MOD-LV 480 V board + 480 V : 13.8 kV step-up</t>
        </is>
      </c>
      <c r="G4253" s="12" t="inlineStr"/>
      <c r="H4253" s="12" t="inlineStr">
        <is>
          <t>SC-2 lube-oil fin-fan cooler</t>
        </is>
      </c>
      <c r="I4253" s="12" t="inlineStr">
        <is>
          <t>Control</t>
        </is>
      </c>
      <c r="J4253" s="12" t="inlineStr">
        <is>
          <t>Control cable 600 V Type TC-ER, Cu #14 AWG, PVC jacket</t>
        </is>
      </c>
      <c r="K4253" s="12" t="inlineStr">
        <is>
          <t>CT|7/C|14</t>
        </is>
      </c>
      <c r="L4253" s="12" t="inlineStr">
        <is>
          <t>7/C</t>
        </is>
      </c>
      <c r="M4253" s="12" t="inlineStr">
        <is>
          <t>14</t>
        </is>
      </c>
      <c r="N4253" s="12" t="n">
        <v>1</v>
      </c>
      <c r="O4253" s="12" t="n">
        <v>1</v>
      </c>
      <c r="P4253" s="12" t="n"/>
      <c r="Q4253" s="12" t="n"/>
      <c r="R4253" s="12" t="n"/>
      <c r="S4253" s="12" t="inlineStr">
        <is>
          <t>HV duct bank</t>
        </is>
      </c>
      <c r="T4253" s="16" t="n">
        <v>4329</v>
      </c>
      <c r="U4253" s="16" t="n">
        <v>95</v>
      </c>
      <c r="V4253" s="16">
        <f>ROUNDUP((T4253+U4253+2*'Read Me'!$B$13)*(1+'Read Me'!$B$12),-1)</f>
        <v/>
      </c>
      <c r="W4253" s="16">
        <f>V4253*N4253*O4253</f>
        <v/>
      </c>
      <c r="X4253" s="12">
        <f>IF(LEFT(I4253,2)="MV",2*N4253*IF(L4253="1/C",O4253,1),0)</f>
        <v/>
      </c>
      <c r="Y4253" s="12">
        <f>IF(OR(LEFT(K4253,4)="LVAX",LEFT(K4253,6)="MV15AX",LEFT(K4253,4)="CTAX",LEFT(K4253,2)="W|"),2*N4253*O4253,0)</f>
        <v/>
      </c>
      <c r="Z4253" s="12" t="inlineStr"/>
      <c r="AA4253" s="12">
        <f>N4253*O4253</f>
        <v/>
      </c>
    </row>
    <row r="4254">
      <c r="A4254" s="12" t="inlineStr">
        <is>
          <t>I-C-0158</t>
        </is>
      </c>
      <c r="B4254" s="12" t="inlineStr">
        <is>
          <t>I</t>
        </is>
      </c>
      <c r="C4254" s="12" t="inlineStr">
        <is>
          <t>Modular / portable power</t>
        </is>
      </c>
      <c r="D4254" s="12" t="inlineStr">
        <is>
          <t>Motor 2 of 4: control / local station</t>
        </is>
      </c>
      <c r="E4254" s="12" t="inlineStr"/>
      <c r="F4254" s="12" t="inlineStr">
        <is>
          <t>MOD-LV 480 V board + 480 V : 13.8 kV step-up</t>
        </is>
      </c>
      <c r="G4254" s="12" t="inlineStr"/>
      <c r="H4254" s="12" t="inlineStr">
        <is>
          <t>SC-2 lube-oil fin-fan cooler</t>
        </is>
      </c>
      <c r="I4254" s="12" t="inlineStr">
        <is>
          <t>Control</t>
        </is>
      </c>
      <c r="J4254" s="12" t="inlineStr">
        <is>
          <t>Control cable 600 V Type TC-ER, Cu #14 AWG, PVC jacket</t>
        </is>
      </c>
      <c r="K4254" s="12" t="inlineStr">
        <is>
          <t>CT|7/C|14</t>
        </is>
      </c>
      <c r="L4254" s="12" t="inlineStr">
        <is>
          <t>7/C</t>
        </is>
      </c>
      <c r="M4254" s="12" t="inlineStr">
        <is>
          <t>14</t>
        </is>
      </c>
      <c r="N4254" s="12" t="n">
        <v>1</v>
      </c>
      <c r="O4254" s="12" t="n">
        <v>1</v>
      </c>
      <c r="P4254" s="12" t="n"/>
      <c r="Q4254" s="12" t="n"/>
      <c r="R4254" s="12" t="n"/>
      <c r="S4254" s="12" t="inlineStr">
        <is>
          <t>HV duct bank</t>
        </is>
      </c>
      <c r="T4254" s="16" t="n">
        <v>4329</v>
      </c>
      <c r="U4254" s="16" t="n">
        <v>95</v>
      </c>
      <c r="V4254" s="16">
        <f>ROUNDUP((T4254+U4254+2*'Read Me'!$B$13)*(1+'Read Me'!$B$12),-1)</f>
        <v/>
      </c>
      <c r="W4254" s="16">
        <f>V4254*N4254*O4254</f>
        <v/>
      </c>
      <c r="X4254" s="12">
        <f>IF(LEFT(I4254,2)="MV",2*N4254*IF(L4254="1/C",O4254,1),0)</f>
        <v/>
      </c>
      <c r="Y4254" s="12">
        <f>IF(OR(LEFT(K4254,4)="LVAX",LEFT(K4254,6)="MV15AX",LEFT(K4254,4)="CTAX",LEFT(K4254,2)="W|"),2*N4254*O4254,0)</f>
        <v/>
      </c>
      <c r="Z4254" s="12" t="inlineStr"/>
      <c r="AA4254" s="12">
        <f>N4254*O4254</f>
        <v/>
      </c>
    </row>
    <row r="4255">
      <c r="A4255" s="12" t="inlineStr">
        <is>
          <t>I-C-0159</t>
        </is>
      </c>
      <c r="B4255" s="12" t="inlineStr">
        <is>
          <t>I</t>
        </is>
      </c>
      <c r="C4255" s="12" t="inlineStr">
        <is>
          <t>Modular / portable power</t>
        </is>
      </c>
      <c r="D4255" s="12" t="inlineStr">
        <is>
          <t>Motor 3 of 4: control / local station</t>
        </is>
      </c>
      <c r="E4255" s="12" t="inlineStr"/>
      <c r="F4255" s="12" t="inlineStr">
        <is>
          <t>MOD-LV 480 V board + 480 V : 13.8 kV step-up</t>
        </is>
      </c>
      <c r="G4255" s="12" t="inlineStr"/>
      <c r="H4255" s="12" t="inlineStr">
        <is>
          <t>SC-2 lube-oil fin-fan cooler</t>
        </is>
      </c>
      <c r="I4255" s="12" t="inlineStr">
        <is>
          <t>Control</t>
        </is>
      </c>
      <c r="J4255" s="12" t="inlineStr">
        <is>
          <t>Control cable 600 V Type TC-ER, Cu #14 AWG, PVC jacket</t>
        </is>
      </c>
      <c r="K4255" s="12" t="inlineStr">
        <is>
          <t>CT|7/C|14</t>
        </is>
      </c>
      <c r="L4255" s="12" t="inlineStr">
        <is>
          <t>7/C</t>
        </is>
      </c>
      <c r="M4255" s="12" t="inlineStr">
        <is>
          <t>14</t>
        </is>
      </c>
      <c r="N4255" s="12" t="n">
        <v>1</v>
      </c>
      <c r="O4255" s="12" t="n">
        <v>1</v>
      </c>
      <c r="P4255" s="12" t="n"/>
      <c r="Q4255" s="12" t="n"/>
      <c r="R4255" s="12" t="n"/>
      <c r="S4255" s="12" t="inlineStr">
        <is>
          <t>HV duct bank</t>
        </is>
      </c>
      <c r="T4255" s="16" t="n">
        <v>4329</v>
      </c>
      <c r="U4255" s="16" t="n">
        <v>95</v>
      </c>
      <c r="V4255" s="16">
        <f>ROUNDUP((T4255+U4255+2*'Read Me'!$B$13)*(1+'Read Me'!$B$12),-1)</f>
        <v/>
      </c>
      <c r="W4255" s="16">
        <f>V4255*N4255*O4255</f>
        <v/>
      </c>
      <c r="X4255" s="12">
        <f>IF(LEFT(I4255,2)="MV",2*N4255*IF(L4255="1/C",O4255,1),0)</f>
        <v/>
      </c>
      <c r="Y4255" s="12">
        <f>IF(OR(LEFT(K4255,4)="LVAX",LEFT(K4255,6)="MV15AX",LEFT(K4255,4)="CTAX",LEFT(K4255,2)="W|"),2*N4255*O4255,0)</f>
        <v/>
      </c>
      <c r="Z4255" s="12" t="inlineStr"/>
      <c r="AA4255" s="12">
        <f>N4255*O4255</f>
        <v/>
      </c>
    </row>
    <row r="4256">
      <c r="A4256" s="12" t="inlineStr">
        <is>
          <t>I-C-0160</t>
        </is>
      </c>
      <c r="B4256" s="12" t="inlineStr">
        <is>
          <t>I</t>
        </is>
      </c>
      <c r="C4256" s="12" t="inlineStr">
        <is>
          <t>Modular / portable power</t>
        </is>
      </c>
      <c r="D4256" s="12" t="inlineStr">
        <is>
          <t>Motor 4 of 4: control / local station</t>
        </is>
      </c>
      <c r="E4256" s="12" t="inlineStr"/>
      <c r="F4256" s="12" t="inlineStr">
        <is>
          <t>MOD-LV 480 V board + 480 V : 13.8 kV step-up</t>
        </is>
      </c>
      <c r="G4256" s="12" t="inlineStr"/>
      <c r="H4256" s="12" t="inlineStr">
        <is>
          <t>SC-2 lube-oil fin-fan cooler</t>
        </is>
      </c>
      <c r="I4256" s="12" t="inlineStr">
        <is>
          <t>Control</t>
        </is>
      </c>
      <c r="J4256" s="12" t="inlineStr">
        <is>
          <t>Control cable 600 V Type TC-ER, Cu #14 AWG, PVC jacket</t>
        </is>
      </c>
      <c r="K4256" s="12" t="inlineStr">
        <is>
          <t>CT|7/C|14</t>
        </is>
      </c>
      <c r="L4256" s="12" t="inlineStr">
        <is>
          <t>7/C</t>
        </is>
      </c>
      <c r="M4256" s="12" t="inlineStr">
        <is>
          <t>14</t>
        </is>
      </c>
      <c r="N4256" s="12" t="n">
        <v>1</v>
      </c>
      <c r="O4256" s="12" t="n">
        <v>1</v>
      </c>
      <c r="P4256" s="12" t="n"/>
      <c r="Q4256" s="12" t="n"/>
      <c r="R4256" s="12" t="n"/>
      <c r="S4256" s="12" t="inlineStr">
        <is>
          <t>HV duct bank</t>
        </is>
      </c>
      <c r="T4256" s="16" t="n">
        <v>4329</v>
      </c>
      <c r="U4256" s="16" t="n">
        <v>95</v>
      </c>
      <c r="V4256" s="16">
        <f>ROUNDUP((T4256+U4256+2*'Read Me'!$B$13)*(1+'Read Me'!$B$12),-1)</f>
        <v/>
      </c>
      <c r="W4256" s="16">
        <f>V4256*N4256*O4256</f>
        <v/>
      </c>
      <c r="X4256" s="12">
        <f>IF(LEFT(I4256,2)="MV",2*N4256*IF(L4256="1/C",O4256,1),0)</f>
        <v/>
      </c>
      <c r="Y4256" s="12">
        <f>IF(OR(LEFT(K4256,4)="LVAX",LEFT(K4256,6)="MV15AX",LEFT(K4256,4)="CTAX",LEFT(K4256,2)="W|"),2*N4256*O4256,0)</f>
        <v/>
      </c>
      <c r="Z4256" s="12" t="inlineStr"/>
      <c r="AA4256" s="12">
        <f>N4256*O4256</f>
        <v/>
      </c>
    </row>
    <row r="4257">
      <c r="A4257" s="12" t="inlineStr">
        <is>
          <t>I-C-0161</t>
        </is>
      </c>
      <c r="B4257" s="12" t="inlineStr">
        <is>
          <t>I</t>
        </is>
      </c>
      <c r="C4257" s="12" t="inlineStr">
        <is>
          <t>Modular / portable power</t>
        </is>
      </c>
      <c r="D4257" s="12" t="inlineStr">
        <is>
          <t>Motor 1 of 10: control / local station</t>
        </is>
      </c>
      <c r="E4257" s="12" t="inlineStr"/>
      <c r="F4257" s="12" t="inlineStr">
        <is>
          <t>MOD-LV 480 V board + 480 V : 13.8 kV step-up</t>
        </is>
      </c>
      <c r="G4257" s="12" t="inlineStr">
        <is>
          <t>SC-2</t>
        </is>
      </c>
      <c r="H4257" s="12" t="inlineStr">
        <is>
          <t>SC-2: aeroderivative simple-cycle unit (LM6000 class)</t>
        </is>
      </c>
      <c r="I4257" s="12" t="inlineStr">
        <is>
          <t>Control</t>
        </is>
      </c>
      <c r="J4257" s="12" t="inlineStr">
        <is>
          <t>Control cable 600 V Type TC-ER, Cu #14 AWG, PVC jacket</t>
        </is>
      </c>
      <c r="K4257" s="12" t="inlineStr">
        <is>
          <t>CT|7/C|14</t>
        </is>
      </c>
      <c r="L4257" s="12" t="inlineStr">
        <is>
          <t>7/C</t>
        </is>
      </c>
      <c r="M4257" s="12" t="inlineStr">
        <is>
          <t>14</t>
        </is>
      </c>
      <c r="N4257" s="12" t="n">
        <v>1</v>
      </c>
      <c r="O4257" s="12" t="n">
        <v>1</v>
      </c>
      <c r="P4257" s="12" t="n"/>
      <c r="Q4257" s="12" t="n"/>
      <c r="R4257" s="12" t="n"/>
      <c r="S4257" s="12" t="inlineStr">
        <is>
          <t>HV duct bank</t>
        </is>
      </c>
      <c r="T4257" s="16" t="n">
        <v>4441</v>
      </c>
      <c r="U4257" s="16" t="n">
        <v>40</v>
      </c>
      <c r="V4257" s="16">
        <f>ROUNDUP((T4257+U4257+2*'Read Me'!$B$13)*(1+'Read Me'!$B$12),-1)</f>
        <v/>
      </c>
      <c r="W4257" s="16">
        <f>V4257*N4257*O4257</f>
        <v/>
      </c>
      <c r="X4257" s="12">
        <f>IF(LEFT(I4257,2)="MV",2*N4257*IF(L4257="1/C",O4257,1),0)</f>
        <v/>
      </c>
      <c r="Y4257" s="12">
        <f>IF(OR(LEFT(K4257,4)="LVAX",LEFT(K4257,6)="MV15AX",LEFT(K4257,4)="CTAX",LEFT(K4257,2)="W|"),2*N4257*O4257,0)</f>
        <v/>
      </c>
      <c r="Z4257" s="12" t="inlineStr"/>
      <c r="AA4257" s="12">
        <f>N4257*O4257</f>
        <v/>
      </c>
    </row>
    <row r="4258">
      <c r="A4258" s="12" t="inlineStr">
        <is>
          <t>I-C-0162</t>
        </is>
      </c>
      <c r="B4258" s="12" t="inlineStr">
        <is>
          <t>I</t>
        </is>
      </c>
      <c r="C4258" s="12" t="inlineStr">
        <is>
          <t>Modular / portable power</t>
        </is>
      </c>
      <c r="D4258" s="12" t="inlineStr">
        <is>
          <t>Motor 2 of 10: control / local station</t>
        </is>
      </c>
      <c r="E4258" s="12" t="inlineStr"/>
      <c r="F4258" s="12" t="inlineStr">
        <is>
          <t>MOD-LV 480 V board + 480 V : 13.8 kV step-up</t>
        </is>
      </c>
      <c r="G4258" s="12" t="inlineStr">
        <is>
          <t>SC-2</t>
        </is>
      </c>
      <c r="H4258" s="12" t="inlineStr">
        <is>
          <t>SC-2: aeroderivative simple-cycle unit (LM6000 class)</t>
        </is>
      </c>
      <c r="I4258" s="12" t="inlineStr">
        <is>
          <t>Control</t>
        </is>
      </c>
      <c r="J4258" s="12" t="inlineStr">
        <is>
          <t>Control cable 600 V Type TC-ER, Cu #14 AWG, PVC jacket</t>
        </is>
      </c>
      <c r="K4258" s="12" t="inlineStr">
        <is>
          <t>CT|7/C|14</t>
        </is>
      </c>
      <c r="L4258" s="12" t="inlineStr">
        <is>
          <t>7/C</t>
        </is>
      </c>
      <c r="M4258" s="12" t="inlineStr">
        <is>
          <t>14</t>
        </is>
      </c>
      <c r="N4258" s="12" t="n">
        <v>1</v>
      </c>
      <c r="O4258" s="12" t="n">
        <v>1</v>
      </c>
      <c r="P4258" s="12" t="n"/>
      <c r="Q4258" s="12" t="n"/>
      <c r="R4258" s="12" t="n"/>
      <c r="S4258" s="12" t="inlineStr">
        <is>
          <t>HV duct bank</t>
        </is>
      </c>
      <c r="T4258" s="16" t="n">
        <v>4441</v>
      </c>
      <c r="U4258" s="16" t="n">
        <v>40</v>
      </c>
      <c r="V4258" s="16">
        <f>ROUNDUP((T4258+U4258+2*'Read Me'!$B$13)*(1+'Read Me'!$B$12),-1)</f>
        <v/>
      </c>
      <c r="W4258" s="16">
        <f>V4258*N4258*O4258</f>
        <v/>
      </c>
      <c r="X4258" s="12">
        <f>IF(LEFT(I4258,2)="MV",2*N4258*IF(L4258="1/C",O4258,1),0)</f>
        <v/>
      </c>
      <c r="Y4258" s="12">
        <f>IF(OR(LEFT(K4258,4)="LVAX",LEFT(K4258,6)="MV15AX",LEFT(K4258,4)="CTAX",LEFT(K4258,2)="W|"),2*N4258*O4258,0)</f>
        <v/>
      </c>
      <c r="Z4258" s="12" t="inlineStr"/>
      <c r="AA4258" s="12">
        <f>N4258*O4258</f>
        <v/>
      </c>
    </row>
    <row r="4259">
      <c r="A4259" s="12" t="inlineStr">
        <is>
          <t>I-C-0163</t>
        </is>
      </c>
      <c r="B4259" s="12" t="inlineStr">
        <is>
          <t>I</t>
        </is>
      </c>
      <c r="C4259" s="12" t="inlineStr">
        <is>
          <t>Modular / portable power</t>
        </is>
      </c>
      <c r="D4259" s="12" t="inlineStr">
        <is>
          <t>Motor 3 of 10: control / local station</t>
        </is>
      </c>
      <c r="E4259" s="12" t="inlineStr"/>
      <c r="F4259" s="12" t="inlineStr">
        <is>
          <t>MOD-LV 480 V board + 480 V : 13.8 kV step-up</t>
        </is>
      </c>
      <c r="G4259" s="12" t="inlineStr">
        <is>
          <t>SC-2</t>
        </is>
      </c>
      <c r="H4259" s="12" t="inlineStr">
        <is>
          <t>SC-2: aeroderivative simple-cycle unit (LM6000 class)</t>
        </is>
      </c>
      <c r="I4259" s="12" t="inlineStr">
        <is>
          <t>Control</t>
        </is>
      </c>
      <c r="J4259" s="12" t="inlineStr">
        <is>
          <t>Control cable 600 V Type TC-ER, Cu #14 AWG, PVC jacket</t>
        </is>
      </c>
      <c r="K4259" s="12" t="inlineStr">
        <is>
          <t>CT|7/C|14</t>
        </is>
      </c>
      <c r="L4259" s="12" t="inlineStr">
        <is>
          <t>7/C</t>
        </is>
      </c>
      <c r="M4259" s="12" t="inlineStr">
        <is>
          <t>14</t>
        </is>
      </c>
      <c r="N4259" s="12" t="n">
        <v>1</v>
      </c>
      <c r="O4259" s="12" t="n">
        <v>1</v>
      </c>
      <c r="P4259" s="12" t="n"/>
      <c r="Q4259" s="12" t="n"/>
      <c r="R4259" s="12" t="n"/>
      <c r="S4259" s="12" t="inlineStr">
        <is>
          <t>HV duct bank</t>
        </is>
      </c>
      <c r="T4259" s="16" t="n">
        <v>4441</v>
      </c>
      <c r="U4259" s="16" t="n">
        <v>40</v>
      </c>
      <c r="V4259" s="16">
        <f>ROUNDUP((T4259+U4259+2*'Read Me'!$B$13)*(1+'Read Me'!$B$12),-1)</f>
        <v/>
      </c>
      <c r="W4259" s="16">
        <f>V4259*N4259*O4259</f>
        <v/>
      </c>
      <c r="X4259" s="12">
        <f>IF(LEFT(I4259,2)="MV",2*N4259*IF(L4259="1/C",O4259,1),0)</f>
        <v/>
      </c>
      <c r="Y4259" s="12">
        <f>IF(OR(LEFT(K4259,4)="LVAX",LEFT(K4259,6)="MV15AX",LEFT(K4259,4)="CTAX",LEFT(K4259,2)="W|"),2*N4259*O4259,0)</f>
        <v/>
      </c>
      <c r="Z4259" s="12" t="inlineStr"/>
      <c r="AA4259" s="12">
        <f>N4259*O4259</f>
        <v/>
      </c>
    </row>
    <row r="4260">
      <c r="A4260" s="12" t="inlineStr">
        <is>
          <t>I-C-0164</t>
        </is>
      </c>
      <c r="B4260" s="12" t="inlineStr">
        <is>
          <t>I</t>
        </is>
      </c>
      <c r="C4260" s="12" t="inlineStr">
        <is>
          <t>Modular / portable power</t>
        </is>
      </c>
      <c r="D4260" s="12" t="inlineStr">
        <is>
          <t>Motor 4 of 10: control / local station</t>
        </is>
      </c>
      <c r="E4260" s="12" t="inlineStr"/>
      <c r="F4260" s="12" t="inlineStr">
        <is>
          <t>MOD-LV 480 V board + 480 V : 13.8 kV step-up</t>
        </is>
      </c>
      <c r="G4260" s="12" t="inlineStr">
        <is>
          <t>SC-2</t>
        </is>
      </c>
      <c r="H4260" s="12" t="inlineStr">
        <is>
          <t>SC-2: aeroderivative simple-cycle unit (LM6000 class)</t>
        </is>
      </c>
      <c r="I4260" s="12" t="inlineStr">
        <is>
          <t>Control</t>
        </is>
      </c>
      <c r="J4260" s="12" t="inlineStr">
        <is>
          <t>Control cable 600 V Type TC-ER, Cu #14 AWG, PVC jacket</t>
        </is>
      </c>
      <c r="K4260" s="12" t="inlineStr">
        <is>
          <t>CT|7/C|14</t>
        </is>
      </c>
      <c r="L4260" s="12" t="inlineStr">
        <is>
          <t>7/C</t>
        </is>
      </c>
      <c r="M4260" s="12" t="inlineStr">
        <is>
          <t>14</t>
        </is>
      </c>
      <c r="N4260" s="12" t="n">
        <v>1</v>
      </c>
      <c r="O4260" s="12" t="n">
        <v>1</v>
      </c>
      <c r="P4260" s="12" t="n"/>
      <c r="Q4260" s="12" t="n"/>
      <c r="R4260" s="12" t="n"/>
      <c r="S4260" s="12" t="inlineStr">
        <is>
          <t>HV duct bank</t>
        </is>
      </c>
      <c r="T4260" s="16" t="n">
        <v>4441</v>
      </c>
      <c r="U4260" s="16" t="n">
        <v>40</v>
      </c>
      <c r="V4260" s="16">
        <f>ROUNDUP((T4260+U4260+2*'Read Me'!$B$13)*(1+'Read Me'!$B$12),-1)</f>
        <v/>
      </c>
      <c r="W4260" s="16">
        <f>V4260*N4260*O4260</f>
        <v/>
      </c>
      <c r="X4260" s="12">
        <f>IF(LEFT(I4260,2)="MV",2*N4260*IF(L4260="1/C",O4260,1),0)</f>
        <v/>
      </c>
      <c r="Y4260" s="12">
        <f>IF(OR(LEFT(K4260,4)="LVAX",LEFT(K4260,6)="MV15AX",LEFT(K4260,4)="CTAX",LEFT(K4260,2)="W|"),2*N4260*O4260,0)</f>
        <v/>
      </c>
      <c r="Z4260" s="12" t="inlineStr"/>
      <c r="AA4260" s="12">
        <f>N4260*O4260</f>
        <v/>
      </c>
    </row>
    <row r="4261">
      <c r="A4261" s="12" t="inlineStr">
        <is>
          <t>I-C-0165</t>
        </is>
      </c>
      <c r="B4261" s="12" t="inlineStr">
        <is>
          <t>I</t>
        </is>
      </c>
      <c r="C4261" s="12" t="inlineStr">
        <is>
          <t>Modular / portable power</t>
        </is>
      </c>
      <c r="D4261" s="12" t="inlineStr">
        <is>
          <t>Motor 5 of 10: control / local station</t>
        </is>
      </c>
      <c r="E4261" s="12" t="inlineStr"/>
      <c r="F4261" s="12" t="inlineStr">
        <is>
          <t>MOD-LV 480 V board + 480 V : 13.8 kV step-up</t>
        </is>
      </c>
      <c r="G4261" s="12" t="inlineStr">
        <is>
          <t>SC-2</t>
        </is>
      </c>
      <c r="H4261" s="12" t="inlineStr">
        <is>
          <t>SC-2: aeroderivative simple-cycle unit (LM6000 class)</t>
        </is>
      </c>
      <c r="I4261" s="12" t="inlineStr">
        <is>
          <t>Control</t>
        </is>
      </c>
      <c r="J4261" s="12" t="inlineStr">
        <is>
          <t>Control cable 600 V Type TC-ER, Cu #14 AWG, PVC jacket</t>
        </is>
      </c>
      <c r="K4261" s="12" t="inlineStr">
        <is>
          <t>CT|7/C|14</t>
        </is>
      </c>
      <c r="L4261" s="12" t="inlineStr">
        <is>
          <t>7/C</t>
        </is>
      </c>
      <c r="M4261" s="12" t="inlineStr">
        <is>
          <t>14</t>
        </is>
      </c>
      <c r="N4261" s="12" t="n">
        <v>1</v>
      </c>
      <c r="O4261" s="12" t="n">
        <v>1</v>
      </c>
      <c r="P4261" s="12" t="n"/>
      <c r="Q4261" s="12" t="n"/>
      <c r="R4261" s="12" t="n"/>
      <c r="S4261" s="12" t="inlineStr">
        <is>
          <t>HV duct bank</t>
        </is>
      </c>
      <c r="T4261" s="16" t="n">
        <v>4441</v>
      </c>
      <c r="U4261" s="16" t="n">
        <v>40</v>
      </c>
      <c r="V4261" s="16">
        <f>ROUNDUP((T4261+U4261+2*'Read Me'!$B$13)*(1+'Read Me'!$B$12),-1)</f>
        <v/>
      </c>
      <c r="W4261" s="16">
        <f>V4261*N4261*O4261</f>
        <v/>
      </c>
      <c r="X4261" s="12">
        <f>IF(LEFT(I4261,2)="MV",2*N4261*IF(L4261="1/C",O4261,1),0)</f>
        <v/>
      </c>
      <c r="Y4261" s="12">
        <f>IF(OR(LEFT(K4261,4)="LVAX",LEFT(K4261,6)="MV15AX",LEFT(K4261,4)="CTAX",LEFT(K4261,2)="W|"),2*N4261*O4261,0)</f>
        <v/>
      </c>
      <c r="Z4261" s="12" t="inlineStr"/>
      <c r="AA4261" s="12">
        <f>N4261*O4261</f>
        <v/>
      </c>
    </row>
    <row r="4262">
      <c r="A4262" s="12" t="inlineStr">
        <is>
          <t>I-C-0166</t>
        </is>
      </c>
      <c r="B4262" s="12" t="inlineStr">
        <is>
          <t>I</t>
        </is>
      </c>
      <c r="C4262" s="12" t="inlineStr">
        <is>
          <t>Modular / portable power</t>
        </is>
      </c>
      <c r="D4262" s="12" t="inlineStr">
        <is>
          <t>Motor 6 of 10: control / local station</t>
        </is>
      </c>
      <c r="E4262" s="12" t="inlineStr"/>
      <c r="F4262" s="12" t="inlineStr">
        <is>
          <t>MOD-LV 480 V board + 480 V : 13.8 kV step-up</t>
        </is>
      </c>
      <c r="G4262" s="12" t="inlineStr">
        <is>
          <t>SC-2</t>
        </is>
      </c>
      <c r="H4262" s="12" t="inlineStr">
        <is>
          <t>SC-2: aeroderivative simple-cycle unit (LM6000 class)</t>
        </is>
      </c>
      <c r="I4262" s="12" t="inlineStr">
        <is>
          <t>Control</t>
        </is>
      </c>
      <c r="J4262" s="12" t="inlineStr">
        <is>
          <t>Control cable 600 V Type TC-ER, Cu #14 AWG, PVC jacket</t>
        </is>
      </c>
      <c r="K4262" s="12" t="inlineStr">
        <is>
          <t>CT|7/C|14</t>
        </is>
      </c>
      <c r="L4262" s="12" t="inlineStr">
        <is>
          <t>7/C</t>
        </is>
      </c>
      <c r="M4262" s="12" t="inlineStr">
        <is>
          <t>14</t>
        </is>
      </c>
      <c r="N4262" s="12" t="n">
        <v>1</v>
      </c>
      <c r="O4262" s="12" t="n">
        <v>1</v>
      </c>
      <c r="P4262" s="12" t="n"/>
      <c r="Q4262" s="12" t="n"/>
      <c r="R4262" s="12" t="n"/>
      <c r="S4262" s="12" t="inlineStr">
        <is>
          <t>HV duct bank</t>
        </is>
      </c>
      <c r="T4262" s="16" t="n">
        <v>4441</v>
      </c>
      <c r="U4262" s="16" t="n">
        <v>40</v>
      </c>
      <c r="V4262" s="16">
        <f>ROUNDUP((T4262+U4262+2*'Read Me'!$B$13)*(1+'Read Me'!$B$12),-1)</f>
        <v/>
      </c>
      <c r="W4262" s="16">
        <f>V4262*N4262*O4262</f>
        <v/>
      </c>
      <c r="X4262" s="12">
        <f>IF(LEFT(I4262,2)="MV",2*N4262*IF(L4262="1/C",O4262,1),0)</f>
        <v/>
      </c>
      <c r="Y4262" s="12">
        <f>IF(OR(LEFT(K4262,4)="LVAX",LEFT(K4262,6)="MV15AX",LEFT(K4262,4)="CTAX",LEFT(K4262,2)="W|"),2*N4262*O4262,0)</f>
        <v/>
      </c>
      <c r="Z4262" s="12" t="inlineStr"/>
      <c r="AA4262" s="12">
        <f>N4262*O4262</f>
        <v/>
      </c>
    </row>
    <row r="4263">
      <c r="A4263" s="12" t="inlineStr">
        <is>
          <t>I-C-0167</t>
        </is>
      </c>
      <c r="B4263" s="12" t="inlineStr">
        <is>
          <t>I</t>
        </is>
      </c>
      <c r="C4263" s="12" t="inlineStr">
        <is>
          <t>Modular / portable power</t>
        </is>
      </c>
      <c r="D4263" s="12" t="inlineStr">
        <is>
          <t>Motor 7 of 10: control / local station</t>
        </is>
      </c>
      <c r="E4263" s="12" t="inlineStr"/>
      <c r="F4263" s="12" t="inlineStr">
        <is>
          <t>MOD-LV 480 V board + 480 V : 13.8 kV step-up</t>
        </is>
      </c>
      <c r="G4263" s="12" t="inlineStr">
        <is>
          <t>SC-2</t>
        </is>
      </c>
      <c r="H4263" s="12" t="inlineStr">
        <is>
          <t>SC-2: aeroderivative simple-cycle unit (LM6000 class)</t>
        </is>
      </c>
      <c r="I4263" s="12" t="inlineStr">
        <is>
          <t>Control</t>
        </is>
      </c>
      <c r="J4263" s="12" t="inlineStr">
        <is>
          <t>Control cable 600 V Type TC-ER, Cu #14 AWG, PVC jacket</t>
        </is>
      </c>
      <c r="K4263" s="12" t="inlineStr">
        <is>
          <t>CT|7/C|14</t>
        </is>
      </c>
      <c r="L4263" s="12" t="inlineStr">
        <is>
          <t>7/C</t>
        </is>
      </c>
      <c r="M4263" s="12" t="inlineStr">
        <is>
          <t>14</t>
        </is>
      </c>
      <c r="N4263" s="12" t="n">
        <v>1</v>
      </c>
      <c r="O4263" s="12" t="n">
        <v>1</v>
      </c>
      <c r="P4263" s="12" t="n"/>
      <c r="Q4263" s="12" t="n"/>
      <c r="R4263" s="12" t="n"/>
      <c r="S4263" s="12" t="inlineStr">
        <is>
          <t>HV duct bank</t>
        </is>
      </c>
      <c r="T4263" s="16" t="n">
        <v>4441</v>
      </c>
      <c r="U4263" s="16" t="n">
        <v>40</v>
      </c>
      <c r="V4263" s="16">
        <f>ROUNDUP((T4263+U4263+2*'Read Me'!$B$13)*(1+'Read Me'!$B$12),-1)</f>
        <v/>
      </c>
      <c r="W4263" s="16">
        <f>V4263*N4263*O4263</f>
        <v/>
      </c>
      <c r="X4263" s="12">
        <f>IF(LEFT(I4263,2)="MV",2*N4263*IF(L4263="1/C",O4263,1),0)</f>
        <v/>
      </c>
      <c r="Y4263" s="12">
        <f>IF(OR(LEFT(K4263,4)="LVAX",LEFT(K4263,6)="MV15AX",LEFT(K4263,4)="CTAX",LEFT(K4263,2)="W|"),2*N4263*O4263,0)</f>
        <v/>
      </c>
      <c r="Z4263" s="12" t="inlineStr"/>
      <c r="AA4263" s="12">
        <f>N4263*O4263</f>
        <v/>
      </c>
    </row>
    <row r="4264">
      <c r="A4264" s="12" t="inlineStr">
        <is>
          <t>I-C-0168</t>
        </is>
      </c>
      <c r="B4264" s="12" t="inlineStr">
        <is>
          <t>I</t>
        </is>
      </c>
      <c r="C4264" s="12" t="inlineStr">
        <is>
          <t>Modular / portable power</t>
        </is>
      </c>
      <c r="D4264" s="12" t="inlineStr">
        <is>
          <t>Motor 8 of 10: control / local station</t>
        </is>
      </c>
      <c r="E4264" s="12" t="inlineStr"/>
      <c r="F4264" s="12" t="inlineStr">
        <is>
          <t>MOD-LV 480 V board + 480 V : 13.8 kV step-up</t>
        </is>
      </c>
      <c r="G4264" s="12" t="inlineStr">
        <is>
          <t>SC-2</t>
        </is>
      </c>
      <c r="H4264" s="12" t="inlineStr">
        <is>
          <t>SC-2: aeroderivative simple-cycle unit (LM6000 class)</t>
        </is>
      </c>
      <c r="I4264" s="12" t="inlineStr">
        <is>
          <t>Control</t>
        </is>
      </c>
      <c r="J4264" s="12" t="inlineStr">
        <is>
          <t>Control cable 600 V Type TC-ER, Cu #14 AWG, PVC jacket</t>
        </is>
      </c>
      <c r="K4264" s="12" t="inlineStr">
        <is>
          <t>CT|7/C|14</t>
        </is>
      </c>
      <c r="L4264" s="12" t="inlineStr">
        <is>
          <t>7/C</t>
        </is>
      </c>
      <c r="M4264" s="12" t="inlineStr">
        <is>
          <t>14</t>
        </is>
      </c>
      <c r="N4264" s="12" t="n">
        <v>1</v>
      </c>
      <c r="O4264" s="12" t="n">
        <v>1</v>
      </c>
      <c r="P4264" s="12" t="n"/>
      <c r="Q4264" s="12" t="n"/>
      <c r="R4264" s="12" t="n"/>
      <c r="S4264" s="12" t="inlineStr">
        <is>
          <t>HV duct bank</t>
        </is>
      </c>
      <c r="T4264" s="16" t="n">
        <v>4441</v>
      </c>
      <c r="U4264" s="16" t="n">
        <v>40</v>
      </c>
      <c r="V4264" s="16">
        <f>ROUNDUP((T4264+U4264+2*'Read Me'!$B$13)*(1+'Read Me'!$B$12),-1)</f>
        <v/>
      </c>
      <c r="W4264" s="16">
        <f>V4264*N4264*O4264</f>
        <v/>
      </c>
      <c r="X4264" s="12">
        <f>IF(LEFT(I4264,2)="MV",2*N4264*IF(L4264="1/C",O4264,1),0)</f>
        <v/>
      </c>
      <c r="Y4264" s="12">
        <f>IF(OR(LEFT(K4264,4)="LVAX",LEFT(K4264,6)="MV15AX",LEFT(K4264,4)="CTAX",LEFT(K4264,2)="W|"),2*N4264*O4264,0)</f>
        <v/>
      </c>
      <c r="Z4264" s="12" t="inlineStr"/>
      <c r="AA4264" s="12">
        <f>N4264*O4264</f>
        <v/>
      </c>
    </row>
    <row r="4265">
      <c r="A4265" s="12" t="inlineStr">
        <is>
          <t>I-C-0169</t>
        </is>
      </c>
      <c r="B4265" s="12" t="inlineStr">
        <is>
          <t>I</t>
        </is>
      </c>
      <c r="C4265" s="12" t="inlineStr">
        <is>
          <t>Modular / portable power</t>
        </is>
      </c>
      <c r="D4265" s="12" t="inlineStr">
        <is>
          <t>Motor 9 of 10: control / local station</t>
        </is>
      </c>
      <c r="E4265" s="12" t="inlineStr"/>
      <c r="F4265" s="12" t="inlineStr">
        <is>
          <t>MOD-LV 480 V board + 480 V : 13.8 kV step-up</t>
        </is>
      </c>
      <c r="G4265" s="12" t="inlineStr">
        <is>
          <t>SC-2</t>
        </is>
      </c>
      <c r="H4265" s="12" t="inlineStr">
        <is>
          <t>SC-2: aeroderivative simple-cycle unit (LM6000 class)</t>
        </is>
      </c>
      <c r="I4265" s="12" t="inlineStr">
        <is>
          <t>Control</t>
        </is>
      </c>
      <c r="J4265" s="12" t="inlineStr">
        <is>
          <t>Control cable 600 V Type TC-ER, Cu #14 AWG, PVC jacket</t>
        </is>
      </c>
      <c r="K4265" s="12" t="inlineStr">
        <is>
          <t>CT|7/C|14</t>
        </is>
      </c>
      <c r="L4265" s="12" t="inlineStr">
        <is>
          <t>7/C</t>
        </is>
      </c>
      <c r="M4265" s="12" t="inlineStr">
        <is>
          <t>14</t>
        </is>
      </c>
      <c r="N4265" s="12" t="n">
        <v>1</v>
      </c>
      <c r="O4265" s="12" t="n">
        <v>1</v>
      </c>
      <c r="P4265" s="12" t="n"/>
      <c r="Q4265" s="12" t="n"/>
      <c r="R4265" s="12" t="n"/>
      <c r="S4265" s="12" t="inlineStr">
        <is>
          <t>HV duct bank</t>
        </is>
      </c>
      <c r="T4265" s="16" t="n">
        <v>4441</v>
      </c>
      <c r="U4265" s="16" t="n">
        <v>40</v>
      </c>
      <c r="V4265" s="16">
        <f>ROUNDUP((T4265+U4265+2*'Read Me'!$B$13)*(1+'Read Me'!$B$12),-1)</f>
        <v/>
      </c>
      <c r="W4265" s="16">
        <f>V4265*N4265*O4265</f>
        <v/>
      </c>
      <c r="X4265" s="12">
        <f>IF(LEFT(I4265,2)="MV",2*N4265*IF(L4265="1/C",O4265,1),0)</f>
        <v/>
      </c>
      <c r="Y4265" s="12">
        <f>IF(OR(LEFT(K4265,4)="LVAX",LEFT(K4265,6)="MV15AX",LEFT(K4265,4)="CTAX",LEFT(K4265,2)="W|"),2*N4265*O4265,0)</f>
        <v/>
      </c>
      <c r="Z4265" s="12" t="inlineStr"/>
      <c r="AA4265" s="12">
        <f>N4265*O4265</f>
        <v/>
      </c>
    </row>
    <row r="4266">
      <c r="A4266" s="12" t="inlineStr">
        <is>
          <t>I-C-0170</t>
        </is>
      </c>
      <c r="B4266" s="12" t="inlineStr">
        <is>
          <t>I</t>
        </is>
      </c>
      <c r="C4266" s="12" t="inlineStr">
        <is>
          <t>Modular / portable power</t>
        </is>
      </c>
      <c r="D4266" s="12" t="inlineStr">
        <is>
          <t>Motor 10 of 10: control / local station</t>
        </is>
      </c>
      <c r="E4266" s="12" t="inlineStr"/>
      <c r="F4266" s="12" t="inlineStr">
        <is>
          <t>MOD-LV 480 V board + 480 V : 13.8 kV step-up</t>
        </is>
      </c>
      <c r="G4266" s="12" t="inlineStr">
        <is>
          <t>SC-2</t>
        </is>
      </c>
      <c r="H4266" s="12" t="inlineStr">
        <is>
          <t>SC-2: aeroderivative simple-cycle unit (LM6000 class)</t>
        </is>
      </c>
      <c r="I4266" s="12" t="inlineStr">
        <is>
          <t>Control</t>
        </is>
      </c>
      <c r="J4266" s="12" t="inlineStr">
        <is>
          <t>Control cable 600 V Type TC-ER, Cu #14 AWG, PVC jacket</t>
        </is>
      </c>
      <c r="K4266" s="12" t="inlineStr">
        <is>
          <t>CT|7/C|14</t>
        </is>
      </c>
      <c r="L4266" s="12" t="inlineStr">
        <is>
          <t>7/C</t>
        </is>
      </c>
      <c r="M4266" s="12" t="inlineStr">
        <is>
          <t>14</t>
        </is>
      </c>
      <c r="N4266" s="12" t="n">
        <v>1</v>
      </c>
      <c r="O4266" s="12" t="n">
        <v>1</v>
      </c>
      <c r="P4266" s="12" t="n"/>
      <c r="Q4266" s="12" t="n"/>
      <c r="R4266" s="12" t="n"/>
      <c r="S4266" s="12" t="inlineStr">
        <is>
          <t>HV duct bank</t>
        </is>
      </c>
      <c r="T4266" s="16" t="n">
        <v>4441</v>
      </c>
      <c r="U4266" s="16" t="n">
        <v>40</v>
      </c>
      <c r="V4266" s="16">
        <f>ROUNDUP((T4266+U4266+2*'Read Me'!$B$13)*(1+'Read Me'!$B$12),-1)</f>
        <v/>
      </c>
      <c r="W4266" s="16">
        <f>V4266*N4266*O4266</f>
        <v/>
      </c>
      <c r="X4266" s="12">
        <f>IF(LEFT(I4266,2)="MV",2*N4266*IF(L4266="1/C",O4266,1),0)</f>
        <v/>
      </c>
      <c r="Y4266" s="12">
        <f>IF(OR(LEFT(K4266,4)="LVAX",LEFT(K4266,6)="MV15AX",LEFT(K4266,4)="CTAX",LEFT(K4266,2)="W|"),2*N4266*O4266,0)</f>
        <v/>
      </c>
      <c r="Z4266" s="12" t="inlineStr"/>
      <c r="AA4266" s="12">
        <f>N4266*O4266</f>
        <v/>
      </c>
    </row>
    <row r="4267">
      <c r="A4267" s="12" t="inlineStr">
        <is>
          <t>I-C-0171</t>
        </is>
      </c>
      <c r="B4267" s="12" t="inlineStr">
        <is>
          <t>I</t>
        </is>
      </c>
      <c r="C4267" s="12" t="inlineStr">
        <is>
          <t>Modular / portable power</t>
        </is>
      </c>
      <c r="D4267" s="12" t="inlineStr">
        <is>
          <t>Motor 1 of 6: control / local station</t>
        </is>
      </c>
      <c r="E4267" s="12" t="inlineStr"/>
      <c r="F4267" s="12" t="inlineStr">
        <is>
          <t>MOD-LV 480 V board + 480 V : 13.8 kV step-up</t>
        </is>
      </c>
      <c r="G4267" s="12" t="inlineStr"/>
      <c r="H4267" s="12" t="inlineStr">
        <is>
          <t>T-MOD 230 kV take-off gantry with arresters</t>
        </is>
      </c>
      <c r="I4267" s="12" t="inlineStr">
        <is>
          <t>Control</t>
        </is>
      </c>
      <c r="J4267" s="12" t="inlineStr">
        <is>
          <t>Control cable 600 V Type TC-ER, Cu #14 AWG, PVC jacket</t>
        </is>
      </c>
      <c r="K4267" s="12" t="inlineStr">
        <is>
          <t>CT|7/C|14</t>
        </is>
      </c>
      <c r="L4267" s="12" t="inlineStr">
        <is>
          <t>7/C</t>
        </is>
      </c>
      <c r="M4267" s="12" t="inlineStr">
        <is>
          <t>14</t>
        </is>
      </c>
      <c r="N4267" s="12" t="n">
        <v>1</v>
      </c>
      <c r="O4267" s="12" t="n">
        <v>1</v>
      </c>
      <c r="P4267" s="12" t="n"/>
      <c r="Q4267" s="12" t="n"/>
      <c r="R4267" s="12" t="n"/>
      <c r="S4267" s="12" t="inlineStr">
        <is>
          <t>Duct bank</t>
        </is>
      </c>
      <c r="T4267" s="16" t="n">
        <v>386</v>
      </c>
      <c r="U4267" s="16" t="n">
        <v>130</v>
      </c>
      <c r="V4267" s="16">
        <f>ROUNDUP((T4267+U4267+2*'Read Me'!$B$13)*(1+'Read Me'!$B$12),-1)</f>
        <v/>
      </c>
      <c r="W4267" s="16">
        <f>V4267*N4267*O4267</f>
        <v/>
      </c>
      <c r="X4267" s="12">
        <f>IF(LEFT(I4267,2)="MV",2*N4267*IF(L4267="1/C",O4267,1),0)</f>
        <v/>
      </c>
      <c r="Y4267" s="12">
        <f>IF(OR(LEFT(K4267,4)="LVAX",LEFT(K4267,6)="MV15AX",LEFT(K4267,4)="CTAX",LEFT(K4267,2)="W|"),2*N4267*O4267,0)</f>
        <v/>
      </c>
      <c r="Z4267" s="12" t="inlineStr"/>
      <c r="AA4267" s="12">
        <f>N4267*O4267</f>
        <v/>
      </c>
    </row>
    <row r="4268">
      <c r="A4268" s="12" t="inlineStr">
        <is>
          <t>I-C-0172</t>
        </is>
      </c>
      <c r="B4268" s="12" t="inlineStr">
        <is>
          <t>I</t>
        </is>
      </c>
      <c r="C4268" s="12" t="inlineStr">
        <is>
          <t>Modular / portable power</t>
        </is>
      </c>
      <c r="D4268" s="12" t="inlineStr">
        <is>
          <t>Motor 2 of 6: control / local station</t>
        </is>
      </c>
      <c r="E4268" s="12" t="inlineStr"/>
      <c r="F4268" s="12" t="inlineStr">
        <is>
          <t>MOD-LV 480 V board + 480 V : 13.8 kV step-up</t>
        </is>
      </c>
      <c r="G4268" s="12" t="inlineStr"/>
      <c r="H4268" s="12" t="inlineStr">
        <is>
          <t>T-MOD 230 kV take-off gantry with arresters</t>
        </is>
      </c>
      <c r="I4268" s="12" t="inlineStr">
        <is>
          <t>Control</t>
        </is>
      </c>
      <c r="J4268" s="12" t="inlineStr">
        <is>
          <t>Control cable 600 V Type TC-ER, Cu #14 AWG, PVC jacket</t>
        </is>
      </c>
      <c r="K4268" s="12" t="inlineStr">
        <is>
          <t>CT|7/C|14</t>
        </is>
      </c>
      <c r="L4268" s="12" t="inlineStr">
        <is>
          <t>7/C</t>
        </is>
      </c>
      <c r="M4268" s="12" t="inlineStr">
        <is>
          <t>14</t>
        </is>
      </c>
      <c r="N4268" s="12" t="n">
        <v>1</v>
      </c>
      <c r="O4268" s="12" t="n">
        <v>1</v>
      </c>
      <c r="P4268" s="12" t="n"/>
      <c r="Q4268" s="12" t="n"/>
      <c r="R4268" s="12" t="n"/>
      <c r="S4268" s="12" t="inlineStr">
        <is>
          <t>Duct bank</t>
        </is>
      </c>
      <c r="T4268" s="16" t="n">
        <v>386</v>
      </c>
      <c r="U4268" s="16" t="n">
        <v>130</v>
      </c>
      <c r="V4268" s="16">
        <f>ROUNDUP((T4268+U4268+2*'Read Me'!$B$13)*(1+'Read Me'!$B$12),-1)</f>
        <v/>
      </c>
      <c r="W4268" s="16">
        <f>V4268*N4268*O4268</f>
        <v/>
      </c>
      <c r="X4268" s="12">
        <f>IF(LEFT(I4268,2)="MV",2*N4268*IF(L4268="1/C",O4268,1),0)</f>
        <v/>
      </c>
      <c r="Y4268" s="12">
        <f>IF(OR(LEFT(K4268,4)="LVAX",LEFT(K4268,6)="MV15AX",LEFT(K4268,4)="CTAX",LEFT(K4268,2)="W|"),2*N4268*O4268,0)</f>
        <v/>
      </c>
      <c r="Z4268" s="12" t="inlineStr"/>
      <c r="AA4268" s="12">
        <f>N4268*O4268</f>
        <v/>
      </c>
    </row>
    <row r="4269">
      <c r="A4269" s="12" t="inlineStr">
        <is>
          <t>I-C-0173</t>
        </is>
      </c>
      <c r="B4269" s="12" t="inlineStr">
        <is>
          <t>I</t>
        </is>
      </c>
      <c r="C4269" s="12" t="inlineStr">
        <is>
          <t>Modular / portable power</t>
        </is>
      </c>
      <c r="D4269" s="12" t="inlineStr">
        <is>
          <t>Motor 3 of 6: control / local station</t>
        </is>
      </c>
      <c r="E4269" s="12" t="inlineStr"/>
      <c r="F4269" s="12" t="inlineStr">
        <is>
          <t>MOD-LV 480 V board + 480 V : 13.8 kV step-up</t>
        </is>
      </c>
      <c r="G4269" s="12" t="inlineStr"/>
      <c r="H4269" s="12" t="inlineStr">
        <is>
          <t>T-MOD 230 kV take-off gantry with arresters</t>
        </is>
      </c>
      <c r="I4269" s="12" t="inlineStr">
        <is>
          <t>Control</t>
        </is>
      </c>
      <c r="J4269" s="12" t="inlineStr">
        <is>
          <t>Control cable 600 V Type TC-ER, Cu #14 AWG, PVC jacket</t>
        </is>
      </c>
      <c r="K4269" s="12" t="inlineStr">
        <is>
          <t>CT|7/C|14</t>
        </is>
      </c>
      <c r="L4269" s="12" t="inlineStr">
        <is>
          <t>7/C</t>
        </is>
      </c>
      <c r="M4269" s="12" t="inlineStr">
        <is>
          <t>14</t>
        </is>
      </c>
      <c r="N4269" s="12" t="n">
        <v>1</v>
      </c>
      <c r="O4269" s="12" t="n">
        <v>1</v>
      </c>
      <c r="P4269" s="12" t="n"/>
      <c r="Q4269" s="12" t="n"/>
      <c r="R4269" s="12" t="n"/>
      <c r="S4269" s="12" t="inlineStr">
        <is>
          <t>Duct bank</t>
        </is>
      </c>
      <c r="T4269" s="16" t="n">
        <v>386</v>
      </c>
      <c r="U4269" s="16" t="n">
        <v>130</v>
      </c>
      <c r="V4269" s="16">
        <f>ROUNDUP((T4269+U4269+2*'Read Me'!$B$13)*(1+'Read Me'!$B$12),-1)</f>
        <v/>
      </c>
      <c r="W4269" s="16">
        <f>V4269*N4269*O4269</f>
        <v/>
      </c>
      <c r="X4269" s="12">
        <f>IF(LEFT(I4269,2)="MV",2*N4269*IF(L4269="1/C",O4269,1),0)</f>
        <v/>
      </c>
      <c r="Y4269" s="12">
        <f>IF(OR(LEFT(K4269,4)="LVAX",LEFT(K4269,6)="MV15AX",LEFT(K4269,4)="CTAX",LEFT(K4269,2)="W|"),2*N4269*O4269,0)</f>
        <v/>
      </c>
      <c r="Z4269" s="12" t="inlineStr"/>
      <c r="AA4269" s="12">
        <f>N4269*O4269</f>
        <v/>
      </c>
    </row>
    <row r="4270">
      <c r="A4270" s="12" t="inlineStr">
        <is>
          <t>I-C-0174</t>
        </is>
      </c>
      <c r="B4270" s="12" t="inlineStr">
        <is>
          <t>I</t>
        </is>
      </c>
      <c r="C4270" s="12" t="inlineStr">
        <is>
          <t>Modular / portable power</t>
        </is>
      </c>
      <c r="D4270" s="12" t="inlineStr">
        <is>
          <t>Motor 4 of 6: control / local station</t>
        </is>
      </c>
      <c r="E4270" s="12" t="inlineStr"/>
      <c r="F4270" s="12" t="inlineStr">
        <is>
          <t>MOD-LV 480 V board + 480 V : 13.8 kV step-up</t>
        </is>
      </c>
      <c r="G4270" s="12" t="inlineStr"/>
      <c r="H4270" s="12" t="inlineStr">
        <is>
          <t>T-MOD 230 kV take-off gantry with arresters</t>
        </is>
      </c>
      <c r="I4270" s="12" t="inlineStr">
        <is>
          <t>Control</t>
        </is>
      </c>
      <c r="J4270" s="12" t="inlineStr">
        <is>
          <t>Control cable 600 V Type TC-ER, Cu #14 AWG, PVC jacket</t>
        </is>
      </c>
      <c r="K4270" s="12" t="inlineStr">
        <is>
          <t>CT|7/C|14</t>
        </is>
      </c>
      <c r="L4270" s="12" t="inlineStr">
        <is>
          <t>7/C</t>
        </is>
      </c>
      <c r="M4270" s="12" t="inlineStr">
        <is>
          <t>14</t>
        </is>
      </c>
      <c r="N4270" s="12" t="n">
        <v>1</v>
      </c>
      <c r="O4270" s="12" t="n">
        <v>1</v>
      </c>
      <c r="P4270" s="12" t="n"/>
      <c r="Q4270" s="12" t="n"/>
      <c r="R4270" s="12" t="n"/>
      <c r="S4270" s="12" t="inlineStr">
        <is>
          <t>Duct bank</t>
        </is>
      </c>
      <c r="T4270" s="16" t="n">
        <v>386</v>
      </c>
      <c r="U4270" s="16" t="n">
        <v>130</v>
      </c>
      <c r="V4270" s="16">
        <f>ROUNDUP((T4270+U4270+2*'Read Me'!$B$13)*(1+'Read Me'!$B$12),-1)</f>
        <v/>
      </c>
      <c r="W4270" s="16">
        <f>V4270*N4270*O4270</f>
        <v/>
      </c>
      <c r="X4270" s="12">
        <f>IF(LEFT(I4270,2)="MV",2*N4270*IF(L4270="1/C",O4270,1),0)</f>
        <v/>
      </c>
      <c r="Y4270" s="12">
        <f>IF(OR(LEFT(K4270,4)="LVAX",LEFT(K4270,6)="MV15AX",LEFT(K4270,4)="CTAX",LEFT(K4270,2)="W|"),2*N4270*O4270,0)</f>
        <v/>
      </c>
      <c r="Z4270" s="12" t="inlineStr"/>
      <c r="AA4270" s="12">
        <f>N4270*O4270</f>
        <v/>
      </c>
    </row>
    <row r="4271">
      <c r="A4271" s="12" t="inlineStr">
        <is>
          <t>I-C-0175</t>
        </is>
      </c>
      <c r="B4271" s="12" t="inlineStr">
        <is>
          <t>I</t>
        </is>
      </c>
      <c r="C4271" s="12" t="inlineStr">
        <is>
          <t>Modular / portable power</t>
        </is>
      </c>
      <c r="D4271" s="12" t="inlineStr">
        <is>
          <t>Motor 5 of 6: control / local station</t>
        </is>
      </c>
      <c r="E4271" s="12" t="inlineStr"/>
      <c r="F4271" s="12" t="inlineStr">
        <is>
          <t>MOD-LV 480 V board + 480 V : 13.8 kV step-up</t>
        </is>
      </c>
      <c r="G4271" s="12" t="inlineStr"/>
      <c r="H4271" s="12" t="inlineStr">
        <is>
          <t>T-MOD 230 kV take-off gantry with arresters</t>
        </is>
      </c>
      <c r="I4271" s="12" t="inlineStr">
        <is>
          <t>Control</t>
        </is>
      </c>
      <c r="J4271" s="12" t="inlineStr">
        <is>
          <t>Control cable 600 V Type TC-ER, Cu #14 AWG, PVC jacket</t>
        </is>
      </c>
      <c r="K4271" s="12" t="inlineStr">
        <is>
          <t>CT|7/C|14</t>
        </is>
      </c>
      <c r="L4271" s="12" t="inlineStr">
        <is>
          <t>7/C</t>
        </is>
      </c>
      <c r="M4271" s="12" t="inlineStr">
        <is>
          <t>14</t>
        </is>
      </c>
      <c r="N4271" s="12" t="n">
        <v>1</v>
      </c>
      <c r="O4271" s="12" t="n">
        <v>1</v>
      </c>
      <c r="P4271" s="12" t="n"/>
      <c r="Q4271" s="12" t="n"/>
      <c r="R4271" s="12" t="n"/>
      <c r="S4271" s="12" t="inlineStr">
        <is>
          <t>Duct bank</t>
        </is>
      </c>
      <c r="T4271" s="16" t="n">
        <v>386</v>
      </c>
      <c r="U4271" s="16" t="n">
        <v>130</v>
      </c>
      <c r="V4271" s="16">
        <f>ROUNDUP((T4271+U4271+2*'Read Me'!$B$13)*(1+'Read Me'!$B$12),-1)</f>
        <v/>
      </c>
      <c r="W4271" s="16">
        <f>V4271*N4271*O4271</f>
        <v/>
      </c>
      <c r="X4271" s="12">
        <f>IF(LEFT(I4271,2)="MV",2*N4271*IF(L4271="1/C",O4271,1),0)</f>
        <v/>
      </c>
      <c r="Y4271" s="12">
        <f>IF(OR(LEFT(K4271,4)="LVAX",LEFT(K4271,6)="MV15AX",LEFT(K4271,4)="CTAX",LEFT(K4271,2)="W|"),2*N4271*O4271,0)</f>
        <v/>
      </c>
      <c r="Z4271" s="12" t="inlineStr"/>
      <c r="AA4271" s="12">
        <f>N4271*O4271</f>
        <v/>
      </c>
    </row>
    <row r="4272">
      <c r="A4272" s="12" t="inlineStr">
        <is>
          <t>I-C-0176</t>
        </is>
      </c>
      <c r="B4272" s="12" t="inlineStr">
        <is>
          <t>I</t>
        </is>
      </c>
      <c r="C4272" s="12" t="inlineStr">
        <is>
          <t>Modular / portable power</t>
        </is>
      </c>
      <c r="D4272" s="12" t="inlineStr">
        <is>
          <t>Motor 6 of 6: control / local station</t>
        </is>
      </c>
      <c r="E4272" s="12" t="inlineStr"/>
      <c r="F4272" s="12" t="inlineStr">
        <is>
          <t>MOD-LV 480 V board + 480 V : 13.8 kV step-up</t>
        </is>
      </c>
      <c r="G4272" s="12" t="inlineStr"/>
      <c r="H4272" s="12" t="inlineStr">
        <is>
          <t>T-MOD 230 kV take-off gantry with arresters</t>
        </is>
      </c>
      <c r="I4272" s="12" t="inlineStr">
        <is>
          <t>Control</t>
        </is>
      </c>
      <c r="J4272" s="12" t="inlineStr">
        <is>
          <t>Control cable 600 V Type TC-ER, Cu #14 AWG, PVC jacket</t>
        </is>
      </c>
      <c r="K4272" s="12" t="inlineStr">
        <is>
          <t>CT|7/C|14</t>
        </is>
      </c>
      <c r="L4272" s="12" t="inlineStr">
        <is>
          <t>7/C</t>
        </is>
      </c>
      <c r="M4272" s="12" t="inlineStr">
        <is>
          <t>14</t>
        </is>
      </c>
      <c r="N4272" s="12" t="n">
        <v>1</v>
      </c>
      <c r="O4272" s="12" t="n">
        <v>1</v>
      </c>
      <c r="P4272" s="12" t="n"/>
      <c r="Q4272" s="12" t="n"/>
      <c r="R4272" s="12" t="n"/>
      <c r="S4272" s="12" t="inlineStr">
        <is>
          <t>Duct bank</t>
        </is>
      </c>
      <c r="T4272" s="16" t="n">
        <v>386</v>
      </c>
      <c r="U4272" s="16" t="n">
        <v>130</v>
      </c>
      <c r="V4272" s="16">
        <f>ROUNDUP((T4272+U4272+2*'Read Me'!$B$13)*(1+'Read Me'!$B$12),-1)</f>
        <v/>
      </c>
      <c r="W4272" s="16">
        <f>V4272*N4272*O4272</f>
        <v/>
      </c>
      <c r="X4272" s="12">
        <f>IF(LEFT(I4272,2)="MV",2*N4272*IF(L4272="1/C",O4272,1),0)</f>
        <v/>
      </c>
      <c r="Y4272" s="12">
        <f>IF(OR(LEFT(K4272,4)="LVAX",LEFT(K4272,6)="MV15AX",LEFT(K4272,4)="CTAX",LEFT(K4272,2)="W|"),2*N4272*O4272,0)</f>
        <v/>
      </c>
      <c r="Z4272" s="12" t="inlineStr"/>
      <c r="AA4272" s="12">
        <f>N4272*O4272</f>
        <v/>
      </c>
    </row>
    <row r="4273">
      <c r="A4273" s="12" t="inlineStr">
        <is>
          <t>I-C-0177</t>
        </is>
      </c>
      <c r="B4273" s="12" t="inlineStr">
        <is>
          <t>I</t>
        </is>
      </c>
      <c r="C4273" s="12" t="inlineStr">
        <is>
          <t>Modular / portable power</t>
        </is>
      </c>
      <c r="D4273" s="12" t="inlineStr">
        <is>
          <t>Motor 1 of 6: control / local station</t>
        </is>
      </c>
      <c r="E4273" s="12" t="inlineStr"/>
      <c r="F4273" s="12" t="inlineStr">
        <is>
          <t>MOD-LV 480 V board + 480 V : 13.8 kV step-up</t>
        </is>
      </c>
      <c r="G4273" s="12" t="inlineStr"/>
      <c r="H4273" s="12" t="inlineStr">
        <is>
          <t>T-MOD-1 / T-MOD-2 firewall</t>
        </is>
      </c>
      <c r="I4273" s="12" t="inlineStr">
        <is>
          <t>Control</t>
        </is>
      </c>
      <c r="J4273" s="12" t="inlineStr">
        <is>
          <t>Control cable 600 V Type TC-ER, Cu #14 AWG, PVC jacket</t>
        </is>
      </c>
      <c r="K4273" s="12" t="inlineStr">
        <is>
          <t>CT|7/C|14</t>
        </is>
      </c>
      <c r="L4273" s="12" t="inlineStr">
        <is>
          <t>7/C</t>
        </is>
      </c>
      <c r="M4273" s="12" t="inlineStr">
        <is>
          <t>14</t>
        </is>
      </c>
      <c r="N4273" s="12" t="n">
        <v>1</v>
      </c>
      <c r="O4273" s="12" t="n">
        <v>1</v>
      </c>
      <c r="P4273" s="12" t="n"/>
      <c r="Q4273" s="12" t="n"/>
      <c r="R4273" s="12" t="n"/>
      <c r="S4273" s="12" t="inlineStr">
        <is>
          <t>Duct bank</t>
        </is>
      </c>
      <c r="T4273" s="16" t="n">
        <v>378</v>
      </c>
      <c r="U4273" s="16" t="n">
        <v>132</v>
      </c>
      <c r="V4273" s="16">
        <f>ROUNDUP((T4273+U4273+2*'Read Me'!$B$13)*(1+'Read Me'!$B$12),-1)</f>
        <v/>
      </c>
      <c r="W4273" s="16">
        <f>V4273*N4273*O4273</f>
        <v/>
      </c>
      <c r="X4273" s="12">
        <f>IF(LEFT(I4273,2)="MV",2*N4273*IF(L4273="1/C",O4273,1),0)</f>
        <v/>
      </c>
      <c r="Y4273" s="12">
        <f>IF(OR(LEFT(K4273,4)="LVAX",LEFT(K4273,6)="MV15AX",LEFT(K4273,4)="CTAX",LEFT(K4273,2)="W|"),2*N4273*O4273,0)</f>
        <v/>
      </c>
      <c r="Z4273" s="12" t="inlineStr"/>
      <c r="AA4273" s="12">
        <f>N4273*O4273</f>
        <v/>
      </c>
    </row>
    <row r="4274">
      <c r="A4274" s="12" t="inlineStr">
        <is>
          <t>I-C-0178</t>
        </is>
      </c>
      <c r="B4274" s="12" t="inlineStr">
        <is>
          <t>I</t>
        </is>
      </c>
      <c r="C4274" s="12" t="inlineStr">
        <is>
          <t>Modular / portable power</t>
        </is>
      </c>
      <c r="D4274" s="12" t="inlineStr">
        <is>
          <t>Motor 2 of 6: control / local station</t>
        </is>
      </c>
      <c r="E4274" s="12" t="inlineStr"/>
      <c r="F4274" s="12" t="inlineStr">
        <is>
          <t>MOD-LV 480 V board + 480 V : 13.8 kV step-up</t>
        </is>
      </c>
      <c r="G4274" s="12" t="inlineStr"/>
      <c r="H4274" s="12" t="inlineStr">
        <is>
          <t>T-MOD-1 / T-MOD-2 firewall</t>
        </is>
      </c>
      <c r="I4274" s="12" t="inlineStr">
        <is>
          <t>Control</t>
        </is>
      </c>
      <c r="J4274" s="12" t="inlineStr">
        <is>
          <t>Control cable 600 V Type TC-ER, Cu #14 AWG, PVC jacket</t>
        </is>
      </c>
      <c r="K4274" s="12" t="inlineStr">
        <is>
          <t>CT|7/C|14</t>
        </is>
      </c>
      <c r="L4274" s="12" t="inlineStr">
        <is>
          <t>7/C</t>
        </is>
      </c>
      <c r="M4274" s="12" t="inlineStr">
        <is>
          <t>14</t>
        </is>
      </c>
      <c r="N4274" s="12" t="n">
        <v>1</v>
      </c>
      <c r="O4274" s="12" t="n">
        <v>1</v>
      </c>
      <c r="P4274" s="12" t="n"/>
      <c r="Q4274" s="12" t="n"/>
      <c r="R4274" s="12" t="n"/>
      <c r="S4274" s="12" t="inlineStr">
        <is>
          <t>Duct bank</t>
        </is>
      </c>
      <c r="T4274" s="16" t="n">
        <v>378</v>
      </c>
      <c r="U4274" s="16" t="n">
        <v>132</v>
      </c>
      <c r="V4274" s="16">
        <f>ROUNDUP((T4274+U4274+2*'Read Me'!$B$13)*(1+'Read Me'!$B$12),-1)</f>
        <v/>
      </c>
      <c r="W4274" s="16">
        <f>V4274*N4274*O4274</f>
        <v/>
      </c>
      <c r="X4274" s="12">
        <f>IF(LEFT(I4274,2)="MV",2*N4274*IF(L4274="1/C",O4274,1),0)</f>
        <v/>
      </c>
      <c r="Y4274" s="12">
        <f>IF(OR(LEFT(K4274,4)="LVAX",LEFT(K4274,6)="MV15AX",LEFT(K4274,4)="CTAX",LEFT(K4274,2)="W|"),2*N4274*O4274,0)</f>
        <v/>
      </c>
      <c r="Z4274" s="12" t="inlineStr"/>
      <c r="AA4274" s="12">
        <f>N4274*O4274</f>
        <v/>
      </c>
    </row>
    <row r="4275">
      <c r="A4275" s="12" t="inlineStr">
        <is>
          <t>I-C-0179</t>
        </is>
      </c>
      <c r="B4275" s="12" t="inlineStr">
        <is>
          <t>I</t>
        </is>
      </c>
      <c r="C4275" s="12" t="inlineStr">
        <is>
          <t>Modular / portable power</t>
        </is>
      </c>
      <c r="D4275" s="12" t="inlineStr">
        <is>
          <t>Motor 3 of 6: control / local station</t>
        </is>
      </c>
      <c r="E4275" s="12" t="inlineStr"/>
      <c r="F4275" s="12" t="inlineStr">
        <is>
          <t>MOD-LV 480 V board + 480 V : 13.8 kV step-up</t>
        </is>
      </c>
      <c r="G4275" s="12" t="inlineStr"/>
      <c r="H4275" s="12" t="inlineStr">
        <is>
          <t>T-MOD-1 / T-MOD-2 firewall</t>
        </is>
      </c>
      <c r="I4275" s="12" t="inlineStr">
        <is>
          <t>Control</t>
        </is>
      </c>
      <c r="J4275" s="12" t="inlineStr">
        <is>
          <t>Control cable 600 V Type TC-ER, Cu #14 AWG, PVC jacket</t>
        </is>
      </c>
      <c r="K4275" s="12" t="inlineStr">
        <is>
          <t>CT|7/C|14</t>
        </is>
      </c>
      <c r="L4275" s="12" t="inlineStr">
        <is>
          <t>7/C</t>
        </is>
      </c>
      <c r="M4275" s="12" t="inlineStr">
        <is>
          <t>14</t>
        </is>
      </c>
      <c r="N4275" s="12" t="n">
        <v>1</v>
      </c>
      <c r="O4275" s="12" t="n">
        <v>1</v>
      </c>
      <c r="P4275" s="12" t="n"/>
      <c r="Q4275" s="12" t="n"/>
      <c r="R4275" s="12" t="n"/>
      <c r="S4275" s="12" t="inlineStr">
        <is>
          <t>Duct bank</t>
        </is>
      </c>
      <c r="T4275" s="16" t="n">
        <v>378</v>
      </c>
      <c r="U4275" s="16" t="n">
        <v>132</v>
      </c>
      <c r="V4275" s="16">
        <f>ROUNDUP((T4275+U4275+2*'Read Me'!$B$13)*(1+'Read Me'!$B$12),-1)</f>
        <v/>
      </c>
      <c r="W4275" s="16">
        <f>V4275*N4275*O4275</f>
        <v/>
      </c>
      <c r="X4275" s="12">
        <f>IF(LEFT(I4275,2)="MV",2*N4275*IF(L4275="1/C",O4275,1),0)</f>
        <v/>
      </c>
      <c r="Y4275" s="12">
        <f>IF(OR(LEFT(K4275,4)="LVAX",LEFT(K4275,6)="MV15AX",LEFT(K4275,4)="CTAX",LEFT(K4275,2)="W|"),2*N4275*O4275,0)</f>
        <v/>
      </c>
      <c r="Z4275" s="12" t="inlineStr"/>
      <c r="AA4275" s="12">
        <f>N4275*O4275</f>
        <v/>
      </c>
    </row>
    <row r="4276">
      <c r="A4276" s="12" t="inlineStr">
        <is>
          <t>I-C-0180</t>
        </is>
      </c>
      <c r="B4276" s="12" t="inlineStr">
        <is>
          <t>I</t>
        </is>
      </c>
      <c r="C4276" s="12" t="inlineStr">
        <is>
          <t>Modular / portable power</t>
        </is>
      </c>
      <c r="D4276" s="12" t="inlineStr">
        <is>
          <t>Motor 4 of 6: control / local station</t>
        </is>
      </c>
      <c r="E4276" s="12" t="inlineStr"/>
      <c r="F4276" s="12" t="inlineStr">
        <is>
          <t>MOD-LV 480 V board + 480 V : 13.8 kV step-up</t>
        </is>
      </c>
      <c r="G4276" s="12" t="inlineStr"/>
      <c r="H4276" s="12" t="inlineStr">
        <is>
          <t>T-MOD-1 / T-MOD-2 firewall</t>
        </is>
      </c>
      <c r="I4276" s="12" t="inlineStr">
        <is>
          <t>Control</t>
        </is>
      </c>
      <c r="J4276" s="12" t="inlineStr">
        <is>
          <t>Control cable 600 V Type TC-ER, Cu #14 AWG, PVC jacket</t>
        </is>
      </c>
      <c r="K4276" s="12" t="inlineStr">
        <is>
          <t>CT|7/C|14</t>
        </is>
      </c>
      <c r="L4276" s="12" t="inlineStr">
        <is>
          <t>7/C</t>
        </is>
      </c>
      <c r="M4276" s="12" t="inlineStr">
        <is>
          <t>14</t>
        </is>
      </c>
      <c r="N4276" s="12" t="n">
        <v>1</v>
      </c>
      <c r="O4276" s="12" t="n">
        <v>1</v>
      </c>
      <c r="P4276" s="12" t="n"/>
      <c r="Q4276" s="12" t="n"/>
      <c r="R4276" s="12" t="n"/>
      <c r="S4276" s="12" t="inlineStr">
        <is>
          <t>Duct bank</t>
        </is>
      </c>
      <c r="T4276" s="16" t="n">
        <v>378</v>
      </c>
      <c r="U4276" s="16" t="n">
        <v>132</v>
      </c>
      <c r="V4276" s="16">
        <f>ROUNDUP((T4276+U4276+2*'Read Me'!$B$13)*(1+'Read Me'!$B$12),-1)</f>
        <v/>
      </c>
      <c r="W4276" s="16">
        <f>V4276*N4276*O4276</f>
        <v/>
      </c>
      <c r="X4276" s="12">
        <f>IF(LEFT(I4276,2)="MV",2*N4276*IF(L4276="1/C",O4276,1),0)</f>
        <v/>
      </c>
      <c r="Y4276" s="12">
        <f>IF(OR(LEFT(K4276,4)="LVAX",LEFT(K4276,6)="MV15AX",LEFT(K4276,4)="CTAX",LEFT(K4276,2)="W|"),2*N4276*O4276,0)</f>
        <v/>
      </c>
      <c r="Z4276" s="12" t="inlineStr"/>
      <c r="AA4276" s="12">
        <f>N4276*O4276</f>
        <v/>
      </c>
    </row>
    <row r="4277">
      <c r="A4277" s="12" t="inlineStr">
        <is>
          <t>I-C-0181</t>
        </is>
      </c>
      <c r="B4277" s="12" t="inlineStr">
        <is>
          <t>I</t>
        </is>
      </c>
      <c r="C4277" s="12" t="inlineStr">
        <is>
          <t>Modular / portable power</t>
        </is>
      </c>
      <c r="D4277" s="12" t="inlineStr">
        <is>
          <t>Motor 5 of 6: control / local station</t>
        </is>
      </c>
      <c r="E4277" s="12" t="inlineStr"/>
      <c r="F4277" s="12" t="inlineStr">
        <is>
          <t>MOD-LV 480 V board + 480 V : 13.8 kV step-up</t>
        </is>
      </c>
      <c r="G4277" s="12" t="inlineStr"/>
      <c r="H4277" s="12" t="inlineStr">
        <is>
          <t>T-MOD-1 / T-MOD-2 firewall</t>
        </is>
      </c>
      <c r="I4277" s="12" t="inlineStr">
        <is>
          <t>Control</t>
        </is>
      </c>
      <c r="J4277" s="12" t="inlineStr">
        <is>
          <t>Control cable 600 V Type TC-ER, Cu #14 AWG, PVC jacket</t>
        </is>
      </c>
      <c r="K4277" s="12" t="inlineStr">
        <is>
          <t>CT|7/C|14</t>
        </is>
      </c>
      <c r="L4277" s="12" t="inlineStr">
        <is>
          <t>7/C</t>
        </is>
      </c>
      <c r="M4277" s="12" t="inlineStr">
        <is>
          <t>14</t>
        </is>
      </c>
      <c r="N4277" s="12" t="n">
        <v>1</v>
      </c>
      <c r="O4277" s="12" t="n">
        <v>1</v>
      </c>
      <c r="P4277" s="12" t="n"/>
      <c r="Q4277" s="12" t="n"/>
      <c r="R4277" s="12" t="n"/>
      <c r="S4277" s="12" t="inlineStr">
        <is>
          <t>Duct bank</t>
        </is>
      </c>
      <c r="T4277" s="16" t="n">
        <v>378</v>
      </c>
      <c r="U4277" s="16" t="n">
        <v>132</v>
      </c>
      <c r="V4277" s="16">
        <f>ROUNDUP((T4277+U4277+2*'Read Me'!$B$13)*(1+'Read Me'!$B$12),-1)</f>
        <v/>
      </c>
      <c r="W4277" s="16">
        <f>V4277*N4277*O4277</f>
        <v/>
      </c>
      <c r="X4277" s="12">
        <f>IF(LEFT(I4277,2)="MV",2*N4277*IF(L4277="1/C",O4277,1),0)</f>
        <v/>
      </c>
      <c r="Y4277" s="12">
        <f>IF(OR(LEFT(K4277,4)="LVAX",LEFT(K4277,6)="MV15AX",LEFT(K4277,4)="CTAX",LEFT(K4277,2)="W|"),2*N4277*O4277,0)</f>
        <v/>
      </c>
      <c r="Z4277" s="12" t="inlineStr"/>
      <c r="AA4277" s="12">
        <f>N4277*O4277</f>
        <v/>
      </c>
    </row>
    <row r="4278">
      <c r="A4278" s="12" t="inlineStr">
        <is>
          <t>I-C-0182</t>
        </is>
      </c>
      <c r="B4278" s="12" t="inlineStr">
        <is>
          <t>I</t>
        </is>
      </c>
      <c r="C4278" s="12" t="inlineStr">
        <is>
          <t>Modular / portable power</t>
        </is>
      </c>
      <c r="D4278" s="12" t="inlineStr">
        <is>
          <t>Motor 6 of 6: control / local station</t>
        </is>
      </c>
      <c r="E4278" s="12" t="inlineStr"/>
      <c r="F4278" s="12" t="inlineStr">
        <is>
          <t>MOD-LV 480 V board + 480 V : 13.8 kV step-up</t>
        </is>
      </c>
      <c r="G4278" s="12" t="inlineStr"/>
      <c r="H4278" s="12" t="inlineStr">
        <is>
          <t>T-MOD-1 / T-MOD-2 firewall</t>
        </is>
      </c>
      <c r="I4278" s="12" t="inlineStr">
        <is>
          <t>Control</t>
        </is>
      </c>
      <c r="J4278" s="12" t="inlineStr">
        <is>
          <t>Control cable 600 V Type TC-ER, Cu #14 AWG, PVC jacket</t>
        </is>
      </c>
      <c r="K4278" s="12" t="inlineStr">
        <is>
          <t>CT|7/C|14</t>
        </is>
      </c>
      <c r="L4278" s="12" t="inlineStr">
        <is>
          <t>7/C</t>
        </is>
      </c>
      <c r="M4278" s="12" t="inlineStr">
        <is>
          <t>14</t>
        </is>
      </c>
      <c r="N4278" s="12" t="n">
        <v>1</v>
      </c>
      <c r="O4278" s="12" t="n">
        <v>1</v>
      </c>
      <c r="P4278" s="12" t="n"/>
      <c r="Q4278" s="12" t="n"/>
      <c r="R4278" s="12" t="n"/>
      <c r="S4278" s="12" t="inlineStr">
        <is>
          <t>Duct bank</t>
        </is>
      </c>
      <c r="T4278" s="16" t="n">
        <v>378</v>
      </c>
      <c r="U4278" s="16" t="n">
        <v>132</v>
      </c>
      <c r="V4278" s="16">
        <f>ROUNDUP((T4278+U4278+2*'Read Me'!$B$13)*(1+'Read Me'!$B$12),-1)</f>
        <v/>
      </c>
      <c r="W4278" s="16">
        <f>V4278*N4278*O4278</f>
        <v/>
      </c>
      <c r="X4278" s="12">
        <f>IF(LEFT(I4278,2)="MV",2*N4278*IF(L4278="1/C",O4278,1),0)</f>
        <v/>
      </c>
      <c r="Y4278" s="12">
        <f>IF(OR(LEFT(K4278,4)="LVAX",LEFT(K4278,6)="MV15AX",LEFT(K4278,4)="CTAX",LEFT(K4278,2)="W|"),2*N4278*O4278,0)</f>
        <v/>
      </c>
      <c r="Z4278" s="12" t="inlineStr"/>
      <c r="AA4278" s="12">
        <f>N4278*O4278</f>
        <v/>
      </c>
    </row>
    <row r="4279">
      <c r="A4279" s="12" t="inlineStr">
        <is>
          <t>I-C-0183</t>
        </is>
      </c>
      <c r="B4279" s="12" t="inlineStr">
        <is>
          <t>I</t>
        </is>
      </c>
      <c r="C4279" s="12" t="inlineStr">
        <is>
          <t>Modular / portable power</t>
        </is>
      </c>
      <c r="D4279" s="12" t="inlineStr">
        <is>
          <t>Motor 1 of 6: control / local station</t>
        </is>
      </c>
      <c r="E4279" s="12" t="inlineStr"/>
      <c r="F4279" s="12" t="inlineStr">
        <is>
          <t>MOD-LV 480 V board + 480 V : 13.8 kV step-up</t>
        </is>
      </c>
      <c r="G4279" s="12" t="inlineStr">
        <is>
          <t>T-MOD-1</t>
        </is>
      </c>
      <c r="H4279" s="12" t="inlineStr">
        <is>
          <t>T-MOD-1: 13.8/230 kV</t>
        </is>
      </c>
      <c r="I4279" s="12" t="inlineStr">
        <is>
          <t>Control</t>
        </is>
      </c>
      <c r="J4279" s="12" t="inlineStr">
        <is>
          <t>Control cable 600 V Type TC-ER, Cu #14 AWG, PVC jacket</t>
        </is>
      </c>
      <c r="K4279" s="12" t="inlineStr">
        <is>
          <t>CT|7/C|14</t>
        </is>
      </c>
      <c r="L4279" s="12" t="inlineStr">
        <is>
          <t>7/C</t>
        </is>
      </c>
      <c r="M4279" s="12" t="inlineStr">
        <is>
          <t>14</t>
        </is>
      </c>
      <c r="N4279" s="12" t="n">
        <v>1</v>
      </c>
      <c r="O4279" s="12" t="n">
        <v>1</v>
      </c>
      <c r="P4279" s="12" t="n"/>
      <c r="Q4279" s="12" t="n"/>
      <c r="R4279" s="12" t="n"/>
      <c r="S4279" s="12" t="inlineStr">
        <is>
          <t>Duct bank</t>
        </is>
      </c>
      <c r="T4279" s="16" t="n">
        <v>378</v>
      </c>
      <c r="U4279" s="16" t="n">
        <v>84</v>
      </c>
      <c r="V4279" s="16">
        <f>ROUNDUP((T4279+U4279+2*'Read Me'!$B$13)*(1+'Read Me'!$B$12),-1)</f>
        <v/>
      </c>
      <c r="W4279" s="16">
        <f>V4279*N4279*O4279</f>
        <v/>
      </c>
      <c r="X4279" s="12">
        <f>IF(LEFT(I4279,2)="MV",2*N4279*IF(L4279="1/C",O4279,1),0)</f>
        <v/>
      </c>
      <c r="Y4279" s="12">
        <f>IF(OR(LEFT(K4279,4)="LVAX",LEFT(K4279,6)="MV15AX",LEFT(K4279,4)="CTAX",LEFT(K4279,2)="W|"),2*N4279*O4279,0)</f>
        <v/>
      </c>
      <c r="Z4279" s="12" t="inlineStr"/>
      <c r="AA4279" s="12">
        <f>N4279*O4279</f>
        <v/>
      </c>
    </row>
    <row r="4280">
      <c r="A4280" s="12" t="inlineStr">
        <is>
          <t>I-C-0184</t>
        </is>
      </c>
      <c r="B4280" s="12" t="inlineStr">
        <is>
          <t>I</t>
        </is>
      </c>
      <c r="C4280" s="12" t="inlineStr">
        <is>
          <t>Modular / portable power</t>
        </is>
      </c>
      <c r="D4280" s="12" t="inlineStr">
        <is>
          <t>Motor 2 of 6: control / local station</t>
        </is>
      </c>
      <c r="E4280" s="12" t="inlineStr"/>
      <c r="F4280" s="12" t="inlineStr">
        <is>
          <t>MOD-LV 480 V board + 480 V : 13.8 kV step-up</t>
        </is>
      </c>
      <c r="G4280" s="12" t="inlineStr">
        <is>
          <t>T-MOD-1</t>
        </is>
      </c>
      <c r="H4280" s="12" t="inlineStr">
        <is>
          <t>T-MOD-1: 13.8/230 kV</t>
        </is>
      </c>
      <c r="I4280" s="12" t="inlineStr">
        <is>
          <t>Control</t>
        </is>
      </c>
      <c r="J4280" s="12" t="inlineStr">
        <is>
          <t>Control cable 600 V Type TC-ER, Cu #14 AWG, PVC jacket</t>
        </is>
      </c>
      <c r="K4280" s="12" t="inlineStr">
        <is>
          <t>CT|7/C|14</t>
        </is>
      </c>
      <c r="L4280" s="12" t="inlineStr">
        <is>
          <t>7/C</t>
        </is>
      </c>
      <c r="M4280" s="12" t="inlineStr">
        <is>
          <t>14</t>
        </is>
      </c>
      <c r="N4280" s="12" t="n">
        <v>1</v>
      </c>
      <c r="O4280" s="12" t="n">
        <v>1</v>
      </c>
      <c r="P4280" s="12" t="n"/>
      <c r="Q4280" s="12" t="n"/>
      <c r="R4280" s="12" t="n"/>
      <c r="S4280" s="12" t="inlineStr">
        <is>
          <t>Duct bank</t>
        </is>
      </c>
      <c r="T4280" s="16" t="n">
        <v>378</v>
      </c>
      <c r="U4280" s="16" t="n">
        <v>84</v>
      </c>
      <c r="V4280" s="16">
        <f>ROUNDUP((T4280+U4280+2*'Read Me'!$B$13)*(1+'Read Me'!$B$12),-1)</f>
        <v/>
      </c>
      <c r="W4280" s="16">
        <f>V4280*N4280*O4280</f>
        <v/>
      </c>
      <c r="X4280" s="12">
        <f>IF(LEFT(I4280,2)="MV",2*N4280*IF(L4280="1/C",O4280,1),0)</f>
        <v/>
      </c>
      <c r="Y4280" s="12">
        <f>IF(OR(LEFT(K4280,4)="LVAX",LEFT(K4280,6)="MV15AX",LEFT(K4280,4)="CTAX",LEFT(K4280,2)="W|"),2*N4280*O4280,0)</f>
        <v/>
      </c>
      <c r="Z4280" s="12" t="inlineStr"/>
      <c r="AA4280" s="12">
        <f>N4280*O4280</f>
        <v/>
      </c>
    </row>
    <row r="4281">
      <c r="A4281" s="12" t="inlineStr">
        <is>
          <t>I-C-0185</t>
        </is>
      </c>
      <c r="B4281" s="12" t="inlineStr">
        <is>
          <t>I</t>
        </is>
      </c>
      <c r="C4281" s="12" t="inlineStr">
        <is>
          <t>Modular / portable power</t>
        </is>
      </c>
      <c r="D4281" s="12" t="inlineStr">
        <is>
          <t>Motor 3 of 6: control / local station</t>
        </is>
      </c>
      <c r="E4281" s="12" t="inlineStr"/>
      <c r="F4281" s="12" t="inlineStr">
        <is>
          <t>MOD-LV 480 V board + 480 V : 13.8 kV step-up</t>
        </is>
      </c>
      <c r="G4281" s="12" t="inlineStr">
        <is>
          <t>T-MOD-1</t>
        </is>
      </c>
      <c r="H4281" s="12" t="inlineStr">
        <is>
          <t>T-MOD-1: 13.8/230 kV</t>
        </is>
      </c>
      <c r="I4281" s="12" t="inlineStr">
        <is>
          <t>Control</t>
        </is>
      </c>
      <c r="J4281" s="12" t="inlineStr">
        <is>
          <t>Control cable 600 V Type TC-ER, Cu #14 AWG, PVC jacket</t>
        </is>
      </c>
      <c r="K4281" s="12" t="inlineStr">
        <is>
          <t>CT|7/C|14</t>
        </is>
      </c>
      <c r="L4281" s="12" t="inlineStr">
        <is>
          <t>7/C</t>
        </is>
      </c>
      <c r="M4281" s="12" t="inlineStr">
        <is>
          <t>14</t>
        </is>
      </c>
      <c r="N4281" s="12" t="n">
        <v>1</v>
      </c>
      <c r="O4281" s="12" t="n">
        <v>1</v>
      </c>
      <c r="P4281" s="12" t="n"/>
      <c r="Q4281" s="12" t="n"/>
      <c r="R4281" s="12" t="n"/>
      <c r="S4281" s="12" t="inlineStr">
        <is>
          <t>Duct bank</t>
        </is>
      </c>
      <c r="T4281" s="16" t="n">
        <v>378</v>
      </c>
      <c r="U4281" s="16" t="n">
        <v>84</v>
      </c>
      <c r="V4281" s="16">
        <f>ROUNDUP((T4281+U4281+2*'Read Me'!$B$13)*(1+'Read Me'!$B$12),-1)</f>
        <v/>
      </c>
      <c r="W4281" s="16">
        <f>V4281*N4281*O4281</f>
        <v/>
      </c>
      <c r="X4281" s="12">
        <f>IF(LEFT(I4281,2)="MV",2*N4281*IF(L4281="1/C",O4281,1),0)</f>
        <v/>
      </c>
      <c r="Y4281" s="12">
        <f>IF(OR(LEFT(K4281,4)="LVAX",LEFT(K4281,6)="MV15AX",LEFT(K4281,4)="CTAX",LEFT(K4281,2)="W|"),2*N4281*O4281,0)</f>
        <v/>
      </c>
      <c r="Z4281" s="12" t="inlineStr"/>
      <c r="AA4281" s="12">
        <f>N4281*O4281</f>
        <v/>
      </c>
    </row>
    <row r="4282">
      <c r="A4282" s="12" t="inlineStr">
        <is>
          <t>I-C-0186</t>
        </is>
      </c>
      <c r="B4282" s="12" t="inlineStr">
        <is>
          <t>I</t>
        </is>
      </c>
      <c r="C4282" s="12" t="inlineStr">
        <is>
          <t>Modular / portable power</t>
        </is>
      </c>
      <c r="D4282" s="12" t="inlineStr">
        <is>
          <t>Motor 4 of 6: control / local station</t>
        </is>
      </c>
      <c r="E4282" s="12" t="inlineStr"/>
      <c r="F4282" s="12" t="inlineStr">
        <is>
          <t>MOD-LV 480 V board + 480 V : 13.8 kV step-up</t>
        </is>
      </c>
      <c r="G4282" s="12" t="inlineStr">
        <is>
          <t>T-MOD-1</t>
        </is>
      </c>
      <c r="H4282" s="12" t="inlineStr">
        <is>
          <t>T-MOD-1: 13.8/230 kV</t>
        </is>
      </c>
      <c r="I4282" s="12" t="inlineStr">
        <is>
          <t>Control</t>
        </is>
      </c>
      <c r="J4282" s="12" t="inlineStr">
        <is>
          <t>Control cable 600 V Type TC-ER, Cu #14 AWG, PVC jacket</t>
        </is>
      </c>
      <c r="K4282" s="12" t="inlineStr">
        <is>
          <t>CT|7/C|14</t>
        </is>
      </c>
      <c r="L4282" s="12" t="inlineStr">
        <is>
          <t>7/C</t>
        </is>
      </c>
      <c r="M4282" s="12" t="inlineStr">
        <is>
          <t>14</t>
        </is>
      </c>
      <c r="N4282" s="12" t="n">
        <v>1</v>
      </c>
      <c r="O4282" s="12" t="n">
        <v>1</v>
      </c>
      <c r="P4282" s="12" t="n"/>
      <c r="Q4282" s="12" t="n"/>
      <c r="R4282" s="12" t="n"/>
      <c r="S4282" s="12" t="inlineStr">
        <is>
          <t>Duct bank</t>
        </is>
      </c>
      <c r="T4282" s="16" t="n">
        <v>378</v>
      </c>
      <c r="U4282" s="16" t="n">
        <v>84</v>
      </c>
      <c r="V4282" s="16">
        <f>ROUNDUP((T4282+U4282+2*'Read Me'!$B$13)*(1+'Read Me'!$B$12),-1)</f>
        <v/>
      </c>
      <c r="W4282" s="16">
        <f>V4282*N4282*O4282</f>
        <v/>
      </c>
      <c r="X4282" s="12">
        <f>IF(LEFT(I4282,2)="MV",2*N4282*IF(L4282="1/C",O4282,1),0)</f>
        <v/>
      </c>
      <c r="Y4282" s="12">
        <f>IF(OR(LEFT(K4282,4)="LVAX",LEFT(K4282,6)="MV15AX",LEFT(K4282,4)="CTAX",LEFT(K4282,2)="W|"),2*N4282*O4282,0)</f>
        <v/>
      </c>
      <c r="Z4282" s="12" t="inlineStr"/>
      <c r="AA4282" s="12">
        <f>N4282*O4282</f>
        <v/>
      </c>
    </row>
    <row r="4283">
      <c r="A4283" s="12" t="inlineStr">
        <is>
          <t>I-C-0187</t>
        </is>
      </c>
      <c r="B4283" s="12" t="inlineStr">
        <is>
          <t>I</t>
        </is>
      </c>
      <c r="C4283" s="12" t="inlineStr">
        <is>
          <t>Modular / portable power</t>
        </is>
      </c>
      <c r="D4283" s="12" t="inlineStr">
        <is>
          <t>Motor 5 of 6: control / local station</t>
        </is>
      </c>
      <c r="E4283" s="12" t="inlineStr"/>
      <c r="F4283" s="12" t="inlineStr">
        <is>
          <t>MOD-LV 480 V board + 480 V : 13.8 kV step-up</t>
        </is>
      </c>
      <c r="G4283" s="12" t="inlineStr">
        <is>
          <t>T-MOD-1</t>
        </is>
      </c>
      <c r="H4283" s="12" t="inlineStr">
        <is>
          <t>T-MOD-1: 13.8/230 kV</t>
        </is>
      </c>
      <c r="I4283" s="12" t="inlineStr">
        <is>
          <t>Control</t>
        </is>
      </c>
      <c r="J4283" s="12" t="inlineStr">
        <is>
          <t>Control cable 600 V Type TC-ER, Cu #14 AWG, PVC jacket</t>
        </is>
      </c>
      <c r="K4283" s="12" t="inlineStr">
        <is>
          <t>CT|7/C|14</t>
        </is>
      </c>
      <c r="L4283" s="12" t="inlineStr">
        <is>
          <t>7/C</t>
        </is>
      </c>
      <c r="M4283" s="12" t="inlineStr">
        <is>
          <t>14</t>
        </is>
      </c>
      <c r="N4283" s="12" t="n">
        <v>1</v>
      </c>
      <c r="O4283" s="12" t="n">
        <v>1</v>
      </c>
      <c r="P4283" s="12" t="n"/>
      <c r="Q4283" s="12" t="n"/>
      <c r="R4283" s="12" t="n"/>
      <c r="S4283" s="12" t="inlineStr">
        <is>
          <t>Duct bank</t>
        </is>
      </c>
      <c r="T4283" s="16" t="n">
        <v>378</v>
      </c>
      <c r="U4283" s="16" t="n">
        <v>84</v>
      </c>
      <c r="V4283" s="16">
        <f>ROUNDUP((T4283+U4283+2*'Read Me'!$B$13)*(1+'Read Me'!$B$12),-1)</f>
        <v/>
      </c>
      <c r="W4283" s="16">
        <f>V4283*N4283*O4283</f>
        <v/>
      </c>
      <c r="X4283" s="12">
        <f>IF(LEFT(I4283,2)="MV",2*N4283*IF(L4283="1/C",O4283,1),0)</f>
        <v/>
      </c>
      <c r="Y4283" s="12">
        <f>IF(OR(LEFT(K4283,4)="LVAX",LEFT(K4283,6)="MV15AX",LEFT(K4283,4)="CTAX",LEFT(K4283,2)="W|"),2*N4283*O4283,0)</f>
        <v/>
      </c>
      <c r="Z4283" s="12" t="inlineStr"/>
      <c r="AA4283" s="12">
        <f>N4283*O4283</f>
        <v/>
      </c>
    </row>
    <row r="4284">
      <c r="A4284" s="12" t="inlineStr">
        <is>
          <t>I-C-0188</t>
        </is>
      </c>
      <c r="B4284" s="12" t="inlineStr">
        <is>
          <t>I</t>
        </is>
      </c>
      <c r="C4284" s="12" t="inlineStr">
        <is>
          <t>Modular / portable power</t>
        </is>
      </c>
      <c r="D4284" s="12" t="inlineStr">
        <is>
          <t>Motor 6 of 6: control / local station</t>
        </is>
      </c>
      <c r="E4284" s="12" t="inlineStr"/>
      <c r="F4284" s="12" t="inlineStr">
        <is>
          <t>MOD-LV 480 V board + 480 V : 13.8 kV step-up</t>
        </is>
      </c>
      <c r="G4284" s="12" t="inlineStr">
        <is>
          <t>T-MOD-1</t>
        </is>
      </c>
      <c r="H4284" s="12" t="inlineStr">
        <is>
          <t>T-MOD-1: 13.8/230 kV</t>
        </is>
      </c>
      <c r="I4284" s="12" t="inlineStr">
        <is>
          <t>Control</t>
        </is>
      </c>
      <c r="J4284" s="12" t="inlineStr">
        <is>
          <t>Control cable 600 V Type TC-ER, Cu #14 AWG, PVC jacket</t>
        </is>
      </c>
      <c r="K4284" s="12" t="inlineStr">
        <is>
          <t>CT|7/C|14</t>
        </is>
      </c>
      <c r="L4284" s="12" t="inlineStr">
        <is>
          <t>7/C</t>
        </is>
      </c>
      <c r="M4284" s="12" t="inlineStr">
        <is>
          <t>14</t>
        </is>
      </c>
      <c r="N4284" s="12" t="n">
        <v>1</v>
      </c>
      <c r="O4284" s="12" t="n">
        <v>1</v>
      </c>
      <c r="P4284" s="12" t="n"/>
      <c r="Q4284" s="12" t="n"/>
      <c r="R4284" s="12" t="n"/>
      <c r="S4284" s="12" t="inlineStr">
        <is>
          <t>Duct bank</t>
        </is>
      </c>
      <c r="T4284" s="16" t="n">
        <v>378</v>
      </c>
      <c r="U4284" s="16" t="n">
        <v>84</v>
      </c>
      <c r="V4284" s="16">
        <f>ROUNDUP((T4284+U4284+2*'Read Me'!$B$13)*(1+'Read Me'!$B$12),-1)</f>
        <v/>
      </c>
      <c r="W4284" s="16">
        <f>V4284*N4284*O4284</f>
        <v/>
      </c>
      <c r="X4284" s="12">
        <f>IF(LEFT(I4284,2)="MV",2*N4284*IF(L4284="1/C",O4284,1),0)</f>
        <v/>
      </c>
      <c r="Y4284" s="12">
        <f>IF(OR(LEFT(K4284,4)="LVAX",LEFT(K4284,6)="MV15AX",LEFT(K4284,4)="CTAX",LEFT(K4284,2)="W|"),2*N4284*O4284,0)</f>
        <v/>
      </c>
      <c r="Z4284" s="12" t="inlineStr"/>
      <c r="AA4284" s="12">
        <f>N4284*O4284</f>
        <v/>
      </c>
    </row>
    <row r="4285">
      <c r="A4285" s="12" t="inlineStr">
        <is>
          <t>I-C-0189</t>
        </is>
      </c>
      <c r="B4285" s="12" t="inlineStr">
        <is>
          <t>I</t>
        </is>
      </c>
      <c r="C4285" s="12" t="inlineStr">
        <is>
          <t>Modular / portable power</t>
        </is>
      </c>
      <c r="D4285" s="12" t="inlineStr">
        <is>
          <t>Motor 1 of 6: control / local station</t>
        </is>
      </c>
      <c r="E4285" s="12" t="inlineStr"/>
      <c r="F4285" s="12" t="inlineStr">
        <is>
          <t>MOD-LV 480 V board + 480 V : 13.8 kV step-up</t>
        </is>
      </c>
      <c r="G4285" s="12" t="inlineStr">
        <is>
          <t>T-MOD-2</t>
        </is>
      </c>
      <c r="H4285" s="12" t="inlineStr">
        <is>
          <t>T-MOD-2: 13.8/230 kV</t>
        </is>
      </c>
      <c r="I4285" s="12" t="inlineStr">
        <is>
          <t>Control</t>
        </is>
      </c>
      <c r="J4285" s="12" t="inlineStr">
        <is>
          <t>Control cable 600 V Type TC-ER, Cu #14 AWG, PVC jacket</t>
        </is>
      </c>
      <c r="K4285" s="12" t="inlineStr">
        <is>
          <t>CT|7/C|14</t>
        </is>
      </c>
      <c r="L4285" s="12" t="inlineStr">
        <is>
          <t>7/C</t>
        </is>
      </c>
      <c r="M4285" s="12" t="inlineStr">
        <is>
          <t>14</t>
        </is>
      </c>
      <c r="N4285" s="12" t="n">
        <v>1</v>
      </c>
      <c r="O4285" s="12" t="n">
        <v>1</v>
      </c>
      <c r="P4285" s="12" t="n"/>
      <c r="Q4285" s="12" t="n"/>
      <c r="R4285" s="12" t="n"/>
      <c r="S4285" s="12" t="inlineStr">
        <is>
          <t>Tray</t>
        </is>
      </c>
      <c r="T4285" s="16" t="n">
        <v>0</v>
      </c>
      <c r="U4285" s="16" t="n">
        <v>189</v>
      </c>
      <c r="V4285" s="16">
        <f>ROUNDUP((T4285+U4285+2*'Read Me'!$B$13)*(1+'Read Me'!$B$12),-1)</f>
        <v/>
      </c>
      <c r="W4285" s="16">
        <f>V4285*N4285*O4285</f>
        <v/>
      </c>
      <c r="X4285" s="12">
        <f>IF(LEFT(I4285,2)="MV",2*N4285*IF(L4285="1/C",O4285,1),0)</f>
        <v/>
      </c>
      <c r="Y4285" s="12">
        <f>IF(OR(LEFT(K4285,4)="LVAX",LEFT(K4285,6)="MV15AX",LEFT(K4285,4)="CTAX",LEFT(K4285,2)="W|"),2*N4285*O4285,0)</f>
        <v/>
      </c>
      <c r="Z4285" s="12" t="inlineStr"/>
      <c r="AA4285" s="12">
        <f>N4285*O4285</f>
        <v/>
      </c>
    </row>
    <row r="4286">
      <c r="A4286" s="12" t="inlineStr">
        <is>
          <t>I-C-0190</t>
        </is>
      </c>
      <c r="B4286" s="12" t="inlineStr">
        <is>
          <t>I</t>
        </is>
      </c>
      <c r="C4286" s="12" t="inlineStr">
        <is>
          <t>Modular / portable power</t>
        </is>
      </c>
      <c r="D4286" s="12" t="inlineStr">
        <is>
          <t>Motor 2 of 6: control / local station</t>
        </is>
      </c>
      <c r="E4286" s="12" t="inlineStr"/>
      <c r="F4286" s="12" t="inlineStr">
        <is>
          <t>MOD-LV 480 V board + 480 V : 13.8 kV step-up</t>
        </is>
      </c>
      <c r="G4286" s="12" t="inlineStr">
        <is>
          <t>T-MOD-2</t>
        </is>
      </c>
      <c r="H4286" s="12" t="inlineStr">
        <is>
          <t>T-MOD-2: 13.8/230 kV</t>
        </is>
      </c>
      <c r="I4286" s="12" t="inlineStr">
        <is>
          <t>Control</t>
        </is>
      </c>
      <c r="J4286" s="12" t="inlineStr">
        <is>
          <t>Control cable 600 V Type TC-ER, Cu #14 AWG, PVC jacket</t>
        </is>
      </c>
      <c r="K4286" s="12" t="inlineStr">
        <is>
          <t>CT|7/C|14</t>
        </is>
      </c>
      <c r="L4286" s="12" t="inlineStr">
        <is>
          <t>7/C</t>
        </is>
      </c>
      <c r="M4286" s="12" t="inlineStr">
        <is>
          <t>14</t>
        </is>
      </c>
      <c r="N4286" s="12" t="n">
        <v>1</v>
      </c>
      <c r="O4286" s="12" t="n">
        <v>1</v>
      </c>
      <c r="P4286" s="12" t="n"/>
      <c r="Q4286" s="12" t="n"/>
      <c r="R4286" s="12" t="n"/>
      <c r="S4286" s="12" t="inlineStr">
        <is>
          <t>Tray</t>
        </is>
      </c>
      <c r="T4286" s="16" t="n">
        <v>0</v>
      </c>
      <c r="U4286" s="16" t="n">
        <v>189</v>
      </c>
      <c r="V4286" s="16">
        <f>ROUNDUP((T4286+U4286+2*'Read Me'!$B$13)*(1+'Read Me'!$B$12),-1)</f>
        <v/>
      </c>
      <c r="W4286" s="16">
        <f>V4286*N4286*O4286</f>
        <v/>
      </c>
      <c r="X4286" s="12">
        <f>IF(LEFT(I4286,2)="MV",2*N4286*IF(L4286="1/C",O4286,1),0)</f>
        <v/>
      </c>
      <c r="Y4286" s="12">
        <f>IF(OR(LEFT(K4286,4)="LVAX",LEFT(K4286,6)="MV15AX",LEFT(K4286,4)="CTAX",LEFT(K4286,2)="W|"),2*N4286*O4286,0)</f>
        <v/>
      </c>
      <c r="Z4286" s="12" t="inlineStr"/>
      <c r="AA4286" s="12">
        <f>N4286*O4286</f>
        <v/>
      </c>
    </row>
    <row r="4287">
      <c r="A4287" s="12" t="inlineStr">
        <is>
          <t>I-C-0191</t>
        </is>
      </c>
      <c r="B4287" s="12" t="inlineStr">
        <is>
          <t>I</t>
        </is>
      </c>
      <c r="C4287" s="12" t="inlineStr">
        <is>
          <t>Modular / portable power</t>
        </is>
      </c>
      <c r="D4287" s="12" t="inlineStr">
        <is>
          <t>Motor 3 of 6: control / local station</t>
        </is>
      </c>
      <c r="E4287" s="12" t="inlineStr"/>
      <c r="F4287" s="12" t="inlineStr">
        <is>
          <t>MOD-LV 480 V board + 480 V : 13.8 kV step-up</t>
        </is>
      </c>
      <c r="G4287" s="12" t="inlineStr">
        <is>
          <t>T-MOD-2</t>
        </is>
      </c>
      <c r="H4287" s="12" t="inlineStr">
        <is>
          <t>T-MOD-2: 13.8/230 kV</t>
        </is>
      </c>
      <c r="I4287" s="12" t="inlineStr">
        <is>
          <t>Control</t>
        </is>
      </c>
      <c r="J4287" s="12" t="inlineStr">
        <is>
          <t>Control cable 600 V Type TC-ER, Cu #14 AWG, PVC jacket</t>
        </is>
      </c>
      <c r="K4287" s="12" t="inlineStr">
        <is>
          <t>CT|7/C|14</t>
        </is>
      </c>
      <c r="L4287" s="12" t="inlineStr">
        <is>
          <t>7/C</t>
        </is>
      </c>
      <c r="M4287" s="12" t="inlineStr">
        <is>
          <t>14</t>
        </is>
      </c>
      <c r="N4287" s="12" t="n">
        <v>1</v>
      </c>
      <c r="O4287" s="12" t="n">
        <v>1</v>
      </c>
      <c r="P4287" s="12" t="n"/>
      <c r="Q4287" s="12" t="n"/>
      <c r="R4287" s="12" t="n"/>
      <c r="S4287" s="12" t="inlineStr">
        <is>
          <t>Tray</t>
        </is>
      </c>
      <c r="T4287" s="16" t="n">
        <v>0</v>
      </c>
      <c r="U4287" s="16" t="n">
        <v>189</v>
      </c>
      <c r="V4287" s="16">
        <f>ROUNDUP((T4287+U4287+2*'Read Me'!$B$13)*(1+'Read Me'!$B$12),-1)</f>
        <v/>
      </c>
      <c r="W4287" s="16">
        <f>V4287*N4287*O4287</f>
        <v/>
      </c>
      <c r="X4287" s="12">
        <f>IF(LEFT(I4287,2)="MV",2*N4287*IF(L4287="1/C",O4287,1),0)</f>
        <v/>
      </c>
      <c r="Y4287" s="12">
        <f>IF(OR(LEFT(K4287,4)="LVAX",LEFT(K4287,6)="MV15AX",LEFT(K4287,4)="CTAX",LEFT(K4287,2)="W|"),2*N4287*O4287,0)</f>
        <v/>
      </c>
      <c r="Z4287" s="12" t="inlineStr"/>
      <c r="AA4287" s="12">
        <f>N4287*O4287</f>
        <v/>
      </c>
    </row>
    <row r="4288">
      <c r="A4288" s="12" t="inlineStr">
        <is>
          <t>I-C-0192</t>
        </is>
      </c>
      <c r="B4288" s="12" t="inlineStr">
        <is>
          <t>I</t>
        </is>
      </c>
      <c r="C4288" s="12" t="inlineStr">
        <is>
          <t>Modular / portable power</t>
        </is>
      </c>
      <c r="D4288" s="12" t="inlineStr">
        <is>
          <t>Motor 4 of 6: control / local station</t>
        </is>
      </c>
      <c r="E4288" s="12" t="inlineStr"/>
      <c r="F4288" s="12" t="inlineStr">
        <is>
          <t>MOD-LV 480 V board + 480 V : 13.8 kV step-up</t>
        </is>
      </c>
      <c r="G4288" s="12" t="inlineStr">
        <is>
          <t>T-MOD-2</t>
        </is>
      </c>
      <c r="H4288" s="12" t="inlineStr">
        <is>
          <t>T-MOD-2: 13.8/230 kV</t>
        </is>
      </c>
      <c r="I4288" s="12" t="inlineStr">
        <is>
          <t>Control</t>
        </is>
      </c>
      <c r="J4288" s="12" t="inlineStr">
        <is>
          <t>Control cable 600 V Type TC-ER, Cu #14 AWG, PVC jacket</t>
        </is>
      </c>
      <c r="K4288" s="12" t="inlineStr">
        <is>
          <t>CT|7/C|14</t>
        </is>
      </c>
      <c r="L4288" s="12" t="inlineStr">
        <is>
          <t>7/C</t>
        </is>
      </c>
      <c r="M4288" s="12" t="inlineStr">
        <is>
          <t>14</t>
        </is>
      </c>
      <c r="N4288" s="12" t="n">
        <v>1</v>
      </c>
      <c r="O4288" s="12" t="n">
        <v>1</v>
      </c>
      <c r="P4288" s="12" t="n"/>
      <c r="Q4288" s="12" t="n"/>
      <c r="R4288" s="12" t="n"/>
      <c r="S4288" s="12" t="inlineStr">
        <is>
          <t>Tray</t>
        </is>
      </c>
      <c r="T4288" s="16" t="n">
        <v>0</v>
      </c>
      <c r="U4288" s="16" t="n">
        <v>189</v>
      </c>
      <c r="V4288" s="16">
        <f>ROUNDUP((T4288+U4288+2*'Read Me'!$B$13)*(1+'Read Me'!$B$12),-1)</f>
        <v/>
      </c>
      <c r="W4288" s="16">
        <f>V4288*N4288*O4288</f>
        <v/>
      </c>
      <c r="X4288" s="12">
        <f>IF(LEFT(I4288,2)="MV",2*N4288*IF(L4288="1/C",O4288,1),0)</f>
        <v/>
      </c>
      <c r="Y4288" s="12">
        <f>IF(OR(LEFT(K4288,4)="LVAX",LEFT(K4288,6)="MV15AX",LEFT(K4288,4)="CTAX",LEFT(K4288,2)="W|"),2*N4288*O4288,0)</f>
        <v/>
      </c>
      <c r="Z4288" s="12" t="inlineStr"/>
      <c r="AA4288" s="12">
        <f>N4288*O4288</f>
        <v/>
      </c>
    </row>
    <row r="4289">
      <c r="A4289" s="12" t="inlineStr">
        <is>
          <t>I-C-0193</t>
        </is>
      </c>
      <c r="B4289" s="12" t="inlineStr">
        <is>
          <t>I</t>
        </is>
      </c>
      <c r="C4289" s="12" t="inlineStr">
        <is>
          <t>Modular / portable power</t>
        </is>
      </c>
      <c r="D4289" s="12" t="inlineStr">
        <is>
          <t>Motor 5 of 6: control / local station</t>
        </is>
      </c>
      <c r="E4289" s="12" t="inlineStr"/>
      <c r="F4289" s="12" t="inlineStr">
        <is>
          <t>MOD-LV 480 V board + 480 V : 13.8 kV step-up</t>
        </is>
      </c>
      <c r="G4289" s="12" t="inlineStr">
        <is>
          <t>T-MOD-2</t>
        </is>
      </c>
      <c r="H4289" s="12" t="inlineStr">
        <is>
          <t>T-MOD-2: 13.8/230 kV</t>
        </is>
      </c>
      <c r="I4289" s="12" t="inlineStr">
        <is>
          <t>Control</t>
        </is>
      </c>
      <c r="J4289" s="12" t="inlineStr">
        <is>
          <t>Control cable 600 V Type TC-ER, Cu #14 AWG, PVC jacket</t>
        </is>
      </c>
      <c r="K4289" s="12" t="inlineStr">
        <is>
          <t>CT|7/C|14</t>
        </is>
      </c>
      <c r="L4289" s="12" t="inlineStr">
        <is>
          <t>7/C</t>
        </is>
      </c>
      <c r="M4289" s="12" t="inlineStr">
        <is>
          <t>14</t>
        </is>
      </c>
      <c r="N4289" s="12" t="n">
        <v>1</v>
      </c>
      <c r="O4289" s="12" t="n">
        <v>1</v>
      </c>
      <c r="P4289" s="12" t="n"/>
      <c r="Q4289" s="12" t="n"/>
      <c r="R4289" s="12" t="n"/>
      <c r="S4289" s="12" t="inlineStr">
        <is>
          <t>Tray</t>
        </is>
      </c>
      <c r="T4289" s="16" t="n">
        <v>0</v>
      </c>
      <c r="U4289" s="16" t="n">
        <v>189</v>
      </c>
      <c r="V4289" s="16">
        <f>ROUNDUP((T4289+U4289+2*'Read Me'!$B$13)*(1+'Read Me'!$B$12),-1)</f>
        <v/>
      </c>
      <c r="W4289" s="16">
        <f>V4289*N4289*O4289</f>
        <v/>
      </c>
      <c r="X4289" s="12">
        <f>IF(LEFT(I4289,2)="MV",2*N4289*IF(L4289="1/C",O4289,1),0)</f>
        <v/>
      </c>
      <c r="Y4289" s="12">
        <f>IF(OR(LEFT(K4289,4)="LVAX",LEFT(K4289,6)="MV15AX",LEFT(K4289,4)="CTAX",LEFT(K4289,2)="W|"),2*N4289*O4289,0)</f>
        <v/>
      </c>
      <c r="Z4289" s="12" t="inlineStr"/>
      <c r="AA4289" s="12">
        <f>N4289*O4289</f>
        <v/>
      </c>
    </row>
    <row r="4290">
      <c r="A4290" s="12" t="inlineStr">
        <is>
          <t>I-C-0194</t>
        </is>
      </c>
      <c r="B4290" s="12" t="inlineStr">
        <is>
          <t>I</t>
        </is>
      </c>
      <c r="C4290" s="12" t="inlineStr">
        <is>
          <t>Modular / portable power</t>
        </is>
      </c>
      <c r="D4290" s="12" t="inlineStr">
        <is>
          <t>Motor 6 of 6: control / local station</t>
        </is>
      </c>
      <c r="E4290" s="12" t="inlineStr"/>
      <c r="F4290" s="12" t="inlineStr">
        <is>
          <t>MOD-LV 480 V board + 480 V : 13.8 kV step-up</t>
        </is>
      </c>
      <c r="G4290" s="12" t="inlineStr">
        <is>
          <t>T-MOD-2</t>
        </is>
      </c>
      <c r="H4290" s="12" t="inlineStr">
        <is>
          <t>T-MOD-2: 13.8/230 kV</t>
        </is>
      </c>
      <c r="I4290" s="12" t="inlineStr">
        <is>
          <t>Control</t>
        </is>
      </c>
      <c r="J4290" s="12" t="inlineStr">
        <is>
          <t>Control cable 600 V Type TC-ER, Cu #14 AWG, PVC jacket</t>
        </is>
      </c>
      <c r="K4290" s="12" t="inlineStr">
        <is>
          <t>CT|7/C|14</t>
        </is>
      </c>
      <c r="L4290" s="12" t="inlineStr">
        <is>
          <t>7/C</t>
        </is>
      </c>
      <c r="M4290" s="12" t="inlineStr">
        <is>
          <t>14</t>
        </is>
      </c>
      <c r="N4290" s="12" t="n">
        <v>1</v>
      </c>
      <c r="O4290" s="12" t="n">
        <v>1</v>
      </c>
      <c r="P4290" s="12" t="n"/>
      <c r="Q4290" s="12" t="n"/>
      <c r="R4290" s="12" t="n"/>
      <c r="S4290" s="12" t="inlineStr">
        <is>
          <t>Tray</t>
        </is>
      </c>
      <c r="T4290" s="16" t="n">
        <v>0</v>
      </c>
      <c r="U4290" s="16" t="n">
        <v>189</v>
      </c>
      <c r="V4290" s="16">
        <f>ROUNDUP((T4290+U4290+2*'Read Me'!$B$13)*(1+'Read Me'!$B$12),-1)</f>
        <v/>
      </c>
      <c r="W4290" s="16">
        <f>V4290*N4290*O4290</f>
        <v/>
      </c>
      <c r="X4290" s="12">
        <f>IF(LEFT(I4290,2)="MV",2*N4290*IF(L4290="1/C",O4290,1),0)</f>
        <v/>
      </c>
      <c r="Y4290" s="12">
        <f>IF(OR(LEFT(K4290,4)="LVAX",LEFT(K4290,6)="MV15AX",LEFT(K4290,4)="CTAX",LEFT(K4290,2)="W|"),2*N4290*O4290,0)</f>
        <v/>
      </c>
      <c r="Z4290" s="12" t="inlineStr"/>
      <c r="AA4290" s="12">
        <f>N4290*O4290</f>
        <v/>
      </c>
    </row>
    <row r="4291">
      <c r="A4291" s="12" t="inlineStr">
        <is>
          <t>I-C-0195</t>
        </is>
      </c>
      <c r="B4291" s="12" t="inlineStr">
        <is>
          <t>I</t>
        </is>
      </c>
      <c r="C4291" s="12" t="inlineStr">
        <is>
          <t>Modular / portable power</t>
        </is>
      </c>
      <c r="D4291" s="12" t="inlineStr">
        <is>
          <t>Motor 1 of 6: control / local station</t>
        </is>
      </c>
      <c r="E4291" s="12" t="inlineStr"/>
      <c r="F4291" s="12" t="inlineStr">
        <is>
          <t>MOD-LV 480 V board + 480 V : 13.8 kV step-up</t>
        </is>
      </c>
      <c r="G4291" s="12" t="inlineStr">
        <is>
          <t>TM-1</t>
        </is>
      </c>
      <c r="H4291" s="12" t="inlineStr">
        <is>
          <t>TM-1: trailer-mounted aeroderivative GT (TM2500 class, ~35 MW)</t>
        </is>
      </c>
      <c r="I4291" s="12" t="inlineStr">
        <is>
          <t>Control</t>
        </is>
      </c>
      <c r="J4291" s="12" t="inlineStr">
        <is>
          <t>Control cable 600 V Type TC-ER, Cu #14 AWG, PVC jacket</t>
        </is>
      </c>
      <c r="K4291" s="12" t="inlineStr">
        <is>
          <t>CT|7/C|14</t>
        </is>
      </c>
      <c r="L4291" s="12" t="inlineStr">
        <is>
          <t>7/C</t>
        </is>
      </c>
      <c r="M4291" s="12" t="inlineStr">
        <is>
          <t>14</t>
        </is>
      </c>
      <c r="N4291" s="12" t="n">
        <v>1</v>
      </c>
      <c r="O4291" s="12" t="n">
        <v>1</v>
      </c>
      <c r="P4291" s="12" t="n"/>
      <c r="Q4291" s="12" t="n"/>
      <c r="R4291" s="12" t="n"/>
      <c r="S4291" s="12" t="inlineStr">
        <is>
          <t>Duct bank</t>
        </is>
      </c>
      <c r="T4291" s="16" t="n">
        <v>3194</v>
      </c>
      <c r="U4291" s="16" t="n">
        <v>70</v>
      </c>
      <c r="V4291" s="16">
        <f>ROUNDUP((T4291+U4291+2*'Read Me'!$B$13)*(1+'Read Me'!$B$12),-1)</f>
        <v/>
      </c>
      <c r="W4291" s="16">
        <f>V4291*N4291*O4291</f>
        <v/>
      </c>
      <c r="X4291" s="12">
        <f>IF(LEFT(I4291,2)="MV",2*N4291*IF(L4291="1/C",O4291,1),0)</f>
        <v/>
      </c>
      <c r="Y4291" s="12">
        <f>IF(OR(LEFT(K4291,4)="LVAX",LEFT(K4291,6)="MV15AX",LEFT(K4291,4)="CTAX",LEFT(K4291,2)="W|"),2*N4291*O4291,0)</f>
        <v/>
      </c>
      <c r="Z4291" s="12" t="inlineStr"/>
      <c r="AA4291" s="12">
        <f>N4291*O4291</f>
        <v/>
      </c>
    </row>
    <row r="4292">
      <c r="A4292" s="12" t="inlineStr">
        <is>
          <t>I-C-0196</t>
        </is>
      </c>
      <c r="B4292" s="12" t="inlineStr">
        <is>
          <t>I</t>
        </is>
      </c>
      <c r="C4292" s="12" t="inlineStr">
        <is>
          <t>Modular / portable power</t>
        </is>
      </c>
      <c r="D4292" s="12" t="inlineStr">
        <is>
          <t>Motor 2 of 6: control / local station</t>
        </is>
      </c>
      <c r="E4292" s="12" t="inlineStr"/>
      <c r="F4292" s="12" t="inlineStr">
        <is>
          <t>MOD-LV 480 V board + 480 V : 13.8 kV step-up</t>
        </is>
      </c>
      <c r="G4292" s="12" t="inlineStr">
        <is>
          <t>TM-1</t>
        </is>
      </c>
      <c r="H4292" s="12" t="inlineStr">
        <is>
          <t>TM-1: trailer-mounted aeroderivative GT (TM2500 class, ~35 MW)</t>
        </is>
      </c>
      <c r="I4292" s="12" t="inlineStr">
        <is>
          <t>Control</t>
        </is>
      </c>
      <c r="J4292" s="12" t="inlineStr">
        <is>
          <t>Control cable 600 V Type TC-ER, Cu #14 AWG, PVC jacket</t>
        </is>
      </c>
      <c r="K4292" s="12" t="inlineStr">
        <is>
          <t>CT|7/C|14</t>
        </is>
      </c>
      <c r="L4292" s="12" t="inlineStr">
        <is>
          <t>7/C</t>
        </is>
      </c>
      <c r="M4292" s="12" t="inlineStr">
        <is>
          <t>14</t>
        </is>
      </c>
      <c r="N4292" s="12" t="n">
        <v>1</v>
      </c>
      <c r="O4292" s="12" t="n">
        <v>1</v>
      </c>
      <c r="P4292" s="12" t="n"/>
      <c r="Q4292" s="12" t="n"/>
      <c r="R4292" s="12" t="n"/>
      <c r="S4292" s="12" t="inlineStr">
        <is>
          <t>Duct bank</t>
        </is>
      </c>
      <c r="T4292" s="16" t="n">
        <v>3194</v>
      </c>
      <c r="U4292" s="16" t="n">
        <v>70</v>
      </c>
      <c r="V4292" s="16">
        <f>ROUNDUP((T4292+U4292+2*'Read Me'!$B$13)*(1+'Read Me'!$B$12),-1)</f>
        <v/>
      </c>
      <c r="W4292" s="16">
        <f>V4292*N4292*O4292</f>
        <v/>
      </c>
      <c r="X4292" s="12">
        <f>IF(LEFT(I4292,2)="MV",2*N4292*IF(L4292="1/C",O4292,1),0)</f>
        <v/>
      </c>
      <c r="Y4292" s="12">
        <f>IF(OR(LEFT(K4292,4)="LVAX",LEFT(K4292,6)="MV15AX",LEFT(K4292,4)="CTAX",LEFT(K4292,2)="W|"),2*N4292*O4292,0)</f>
        <v/>
      </c>
      <c r="Z4292" s="12" t="inlineStr"/>
      <c r="AA4292" s="12">
        <f>N4292*O4292</f>
        <v/>
      </c>
    </row>
    <row r="4293">
      <c r="A4293" s="12" t="inlineStr">
        <is>
          <t>I-C-0197</t>
        </is>
      </c>
      <c r="B4293" s="12" t="inlineStr">
        <is>
          <t>I</t>
        </is>
      </c>
      <c r="C4293" s="12" t="inlineStr">
        <is>
          <t>Modular / portable power</t>
        </is>
      </c>
      <c r="D4293" s="12" t="inlineStr">
        <is>
          <t>Motor 3 of 6: control / local station</t>
        </is>
      </c>
      <c r="E4293" s="12" t="inlineStr"/>
      <c r="F4293" s="12" t="inlineStr">
        <is>
          <t>MOD-LV 480 V board + 480 V : 13.8 kV step-up</t>
        </is>
      </c>
      <c r="G4293" s="12" t="inlineStr">
        <is>
          <t>TM-1</t>
        </is>
      </c>
      <c r="H4293" s="12" t="inlineStr">
        <is>
          <t>TM-1: trailer-mounted aeroderivative GT (TM2500 class, ~35 MW)</t>
        </is>
      </c>
      <c r="I4293" s="12" t="inlineStr">
        <is>
          <t>Control</t>
        </is>
      </c>
      <c r="J4293" s="12" t="inlineStr">
        <is>
          <t>Control cable 600 V Type TC-ER, Cu #14 AWG, PVC jacket</t>
        </is>
      </c>
      <c r="K4293" s="12" t="inlineStr">
        <is>
          <t>CT|7/C|14</t>
        </is>
      </c>
      <c r="L4293" s="12" t="inlineStr">
        <is>
          <t>7/C</t>
        </is>
      </c>
      <c r="M4293" s="12" t="inlineStr">
        <is>
          <t>14</t>
        </is>
      </c>
      <c r="N4293" s="12" t="n">
        <v>1</v>
      </c>
      <c r="O4293" s="12" t="n">
        <v>1</v>
      </c>
      <c r="P4293" s="12" t="n"/>
      <c r="Q4293" s="12" t="n"/>
      <c r="R4293" s="12" t="n"/>
      <c r="S4293" s="12" t="inlineStr">
        <is>
          <t>Duct bank</t>
        </is>
      </c>
      <c r="T4293" s="16" t="n">
        <v>3194</v>
      </c>
      <c r="U4293" s="16" t="n">
        <v>70</v>
      </c>
      <c r="V4293" s="16">
        <f>ROUNDUP((T4293+U4293+2*'Read Me'!$B$13)*(1+'Read Me'!$B$12),-1)</f>
        <v/>
      </c>
      <c r="W4293" s="16">
        <f>V4293*N4293*O4293</f>
        <v/>
      </c>
      <c r="X4293" s="12">
        <f>IF(LEFT(I4293,2)="MV",2*N4293*IF(L4293="1/C",O4293,1),0)</f>
        <v/>
      </c>
      <c r="Y4293" s="12">
        <f>IF(OR(LEFT(K4293,4)="LVAX",LEFT(K4293,6)="MV15AX",LEFT(K4293,4)="CTAX",LEFT(K4293,2)="W|"),2*N4293*O4293,0)</f>
        <v/>
      </c>
      <c r="Z4293" s="12" t="inlineStr"/>
      <c r="AA4293" s="12">
        <f>N4293*O4293</f>
        <v/>
      </c>
    </row>
    <row r="4294">
      <c r="A4294" s="12" t="inlineStr">
        <is>
          <t>I-C-0198</t>
        </is>
      </c>
      <c r="B4294" s="12" t="inlineStr">
        <is>
          <t>I</t>
        </is>
      </c>
      <c r="C4294" s="12" t="inlineStr">
        <is>
          <t>Modular / portable power</t>
        </is>
      </c>
      <c r="D4294" s="12" t="inlineStr">
        <is>
          <t>Motor 4 of 6: control / local station</t>
        </is>
      </c>
      <c r="E4294" s="12" t="inlineStr"/>
      <c r="F4294" s="12" t="inlineStr">
        <is>
          <t>MOD-LV 480 V board + 480 V : 13.8 kV step-up</t>
        </is>
      </c>
      <c r="G4294" s="12" t="inlineStr">
        <is>
          <t>TM-1</t>
        </is>
      </c>
      <c r="H4294" s="12" t="inlineStr">
        <is>
          <t>TM-1: trailer-mounted aeroderivative GT (TM2500 class, ~35 MW)</t>
        </is>
      </c>
      <c r="I4294" s="12" t="inlineStr">
        <is>
          <t>Control</t>
        </is>
      </c>
      <c r="J4294" s="12" t="inlineStr">
        <is>
          <t>Control cable 600 V Type TC-ER, Cu #14 AWG, PVC jacket</t>
        </is>
      </c>
      <c r="K4294" s="12" t="inlineStr">
        <is>
          <t>CT|7/C|14</t>
        </is>
      </c>
      <c r="L4294" s="12" t="inlineStr">
        <is>
          <t>7/C</t>
        </is>
      </c>
      <c r="M4294" s="12" t="inlineStr">
        <is>
          <t>14</t>
        </is>
      </c>
      <c r="N4294" s="12" t="n">
        <v>1</v>
      </c>
      <c r="O4294" s="12" t="n">
        <v>1</v>
      </c>
      <c r="P4294" s="12" t="n"/>
      <c r="Q4294" s="12" t="n"/>
      <c r="R4294" s="12" t="n"/>
      <c r="S4294" s="12" t="inlineStr">
        <is>
          <t>Duct bank</t>
        </is>
      </c>
      <c r="T4294" s="16" t="n">
        <v>3194</v>
      </c>
      <c r="U4294" s="16" t="n">
        <v>70</v>
      </c>
      <c r="V4294" s="16">
        <f>ROUNDUP((T4294+U4294+2*'Read Me'!$B$13)*(1+'Read Me'!$B$12),-1)</f>
        <v/>
      </c>
      <c r="W4294" s="16">
        <f>V4294*N4294*O4294</f>
        <v/>
      </c>
      <c r="X4294" s="12">
        <f>IF(LEFT(I4294,2)="MV",2*N4294*IF(L4294="1/C",O4294,1),0)</f>
        <v/>
      </c>
      <c r="Y4294" s="12">
        <f>IF(OR(LEFT(K4294,4)="LVAX",LEFT(K4294,6)="MV15AX",LEFT(K4294,4)="CTAX",LEFT(K4294,2)="W|"),2*N4294*O4294,0)</f>
        <v/>
      </c>
      <c r="Z4294" s="12" t="inlineStr"/>
      <c r="AA4294" s="12">
        <f>N4294*O4294</f>
        <v/>
      </c>
    </row>
    <row r="4295">
      <c r="A4295" s="12" t="inlineStr">
        <is>
          <t>I-C-0199</t>
        </is>
      </c>
      <c r="B4295" s="12" t="inlineStr">
        <is>
          <t>I</t>
        </is>
      </c>
      <c r="C4295" s="12" t="inlineStr">
        <is>
          <t>Modular / portable power</t>
        </is>
      </c>
      <c r="D4295" s="12" t="inlineStr">
        <is>
          <t>Motor 5 of 6: control / local station</t>
        </is>
      </c>
      <c r="E4295" s="12" t="inlineStr"/>
      <c r="F4295" s="12" t="inlineStr">
        <is>
          <t>MOD-LV 480 V board + 480 V : 13.8 kV step-up</t>
        </is>
      </c>
      <c r="G4295" s="12" t="inlineStr">
        <is>
          <t>TM-1</t>
        </is>
      </c>
      <c r="H4295" s="12" t="inlineStr">
        <is>
          <t>TM-1: trailer-mounted aeroderivative GT (TM2500 class, ~35 MW)</t>
        </is>
      </c>
      <c r="I4295" s="12" t="inlineStr">
        <is>
          <t>Control</t>
        </is>
      </c>
      <c r="J4295" s="12" t="inlineStr">
        <is>
          <t>Control cable 600 V Type TC-ER, Cu #14 AWG, PVC jacket</t>
        </is>
      </c>
      <c r="K4295" s="12" t="inlineStr">
        <is>
          <t>CT|7/C|14</t>
        </is>
      </c>
      <c r="L4295" s="12" t="inlineStr">
        <is>
          <t>7/C</t>
        </is>
      </c>
      <c r="M4295" s="12" t="inlineStr">
        <is>
          <t>14</t>
        </is>
      </c>
      <c r="N4295" s="12" t="n">
        <v>1</v>
      </c>
      <c r="O4295" s="12" t="n">
        <v>1</v>
      </c>
      <c r="P4295" s="12" t="n"/>
      <c r="Q4295" s="12" t="n"/>
      <c r="R4295" s="12" t="n"/>
      <c r="S4295" s="12" t="inlineStr">
        <is>
          <t>Duct bank</t>
        </is>
      </c>
      <c r="T4295" s="16" t="n">
        <v>3194</v>
      </c>
      <c r="U4295" s="16" t="n">
        <v>70</v>
      </c>
      <c r="V4295" s="16">
        <f>ROUNDUP((T4295+U4295+2*'Read Me'!$B$13)*(1+'Read Me'!$B$12),-1)</f>
        <v/>
      </c>
      <c r="W4295" s="16">
        <f>V4295*N4295*O4295</f>
        <v/>
      </c>
      <c r="X4295" s="12">
        <f>IF(LEFT(I4295,2)="MV",2*N4295*IF(L4295="1/C",O4295,1),0)</f>
        <v/>
      </c>
      <c r="Y4295" s="12">
        <f>IF(OR(LEFT(K4295,4)="LVAX",LEFT(K4295,6)="MV15AX",LEFT(K4295,4)="CTAX",LEFT(K4295,2)="W|"),2*N4295*O4295,0)</f>
        <v/>
      </c>
      <c r="Z4295" s="12" t="inlineStr"/>
      <c r="AA4295" s="12">
        <f>N4295*O4295</f>
        <v/>
      </c>
    </row>
    <row r="4296">
      <c r="A4296" s="12" t="inlineStr">
        <is>
          <t>I-C-0200</t>
        </is>
      </c>
      <c r="B4296" s="12" t="inlineStr">
        <is>
          <t>I</t>
        </is>
      </c>
      <c r="C4296" s="12" t="inlineStr">
        <is>
          <t>Modular / portable power</t>
        </is>
      </c>
      <c r="D4296" s="12" t="inlineStr">
        <is>
          <t>Motor 6 of 6: control / local station</t>
        </is>
      </c>
      <c r="E4296" s="12" t="inlineStr"/>
      <c r="F4296" s="12" t="inlineStr">
        <is>
          <t>MOD-LV 480 V board + 480 V : 13.8 kV step-up</t>
        </is>
      </c>
      <c r="G4296" s="12" t="inlineStr">
        <is>
          <t>TM-1</t>
        </is>
      </c>
      <c r="H4296" s="12" t="inlineStr">
        <is>
          <t>TM-1: trailer-mounted aeroderivative GT (TM2500 class, ~35 MW)</t>
        </is>
      </c>
      <c r="I4296" s="12" t="inlineStr">
        <is>
          <t>Control</t>
        </is>
      </c>
      <c r="J4296" s="12" t="inlineStr">
        <is>
          <t>Control cable 600 V Type TC-ER, Cu #14 AWG, PVC jacket</t>
        </is>
      </c>
      <c r="K4296" s="12" t="inlineStr">
        <is>
          <t>CT|7/C|14</t>
        </is>
      </c>
      <c r="L4296" s="12" t="inlineStr">
        <is>
          <t>7/C</t>
        </is>
      </c>
      <c r="M4296" s="12" t="inlineStr">
        <is>
          <t>14</t>
        </is>
      </c>
      <c r="N4296" s="12" t="n">
        <v>1</v>
      </c>
      <c r="O4296" s="12" t="n">
        <v>1</v>
      </c>
      <c r="P4296" s="12" t="n"/>
      <c r="Q4296" s="12" t="n"/>
      <c r="R4296" s="12" t="n"/>
      <c r="S4296" s="12" t="inlineStr">
        <is>
          <t>Duct bank</t>
        </is>
      </c>
      <c r="T4296" s="16" t="n">
        <v>3194</v>
      </c>
      <c r="U4296" s="16" t="n">
        <v>70</v>
      </c>
      <c r="V4296" s="16">
        <f>ROUNDUP((T4296+U4296+2*'Read Me'!$B$13)*(1+'Read Me'!$B$12),-1)</f>
        <v/>
      </c>
      <c r="W4296" s="16">
        <f>V4296*N4296*O4296</f>
        <v/>
      </c>
      <c r="X4296" s="12">
        <f>IF(LEFT(I4296,2)="MV",2*N4296*IF(L4296="1/C",O4296,1),0)</f>
        <v/>
      </c>
      <c r="Y4296" s="12">
        <f>IF(OR(LEFT(K4296,4)="LVAX",LEFT(K4296,6)="MV15AX",LEFT(K4296,4)="CTAX",LEFT(K4296,2)="W|"),2*N4296*O4296,0)</f>
        <v/>
      </c>
      <c r="Z4296" s="12" t="inlineStr"/>
      <c r="AA4296" s="12">
        <f>N4296*O4296</f>
        <v/>
      </c>
    </row>
    <row r="4297">
      <c r="A4297" s="12" t="inlineStr">
        <is>
          <t>I-C-0201</t>
        </is>
      </c>
      <c r="B4297" s="12" t="inlineStr">
        <is>
          <t>I</t>
        </is>
      </c>
      <c r="C4297" s="12" t="inlineStr">
        <is>
          <t>Modular / portable power</t>
        </is>
      </c>
      <c r="D4297" s="12" t="inlineStr">
        <is>
          <t>Motor 1 of 6: control / local station</t>
        </is>
      </c>
      <c r="E4297" s="12" t="inlineStr"/>
      <c r="F4297" s="12" t="inlineStr">
        <is>
          <t>MOD-LV 480 V board + 480 V : 13.8 kV step-up</t>
        </is>
      </c>
      <c r="G4297" s="12" t="inlineStr">
        <is>
          <t>TM-2</t>
        </is>
      </c>
      <c r="H4297" s="12" t="inlineStr">
        <is>
          <t>TM-2: trailer-mounted aeroderivative GT (TM2500 class, ~35 MW)</t>
        </is>
      </c>
      <c r="I4297" s="12" t="inlineStr">
        <is>
          <t>Control</t>
        </is>
      </c>
      <c r="J4297" s="12" t="inlineStr">
        <is>
          <t>Control cable 600 V Type TC-ER, Cu #14 AWG, PVC jacket</t>
        </is>
      </c>
      <c r="K4297" s="12" t="inlineStr">
        <is>
          <t>CT|7/C|14</t>
        </is>
      </c>
      <c r="L4297" s="12" t="inlineStr">
        <is>
          <t>7/C</t>
        </is>
      </c>
      <c r="M4297" s="12" t="inlineStr">
        <is>
          <t>14</t>
        </is>
      </c>
      <c r="N4297" s="12" t="n">
        <v>1</v>
      </c>
      <c r="O4297" s="12" t="n">
        <v>1</v>
      </c>
      <c r="P4297" s="12" t="n"/>
      <c r="Q4297" s="12" t="n"/>
      <c r="R4297" s="12" t="n"/>
      <c r="S4297" s="12" t="inlineStr">
        <is>
          <t>Duct bank</t>
        </is>
      </c>
      <c r="T4297" s="16" t="n">
        <v>3194</v>
      </c>
      <c r="U4297" s="16" t="n">
        <v>76</v>
      </c>
      <c r="V4297" s="16">
        <f>ROUNDUP((T4297+U4297+2*'Read Me'!$B$13)*(1+'Read Me'!$B$12),-1)</f>
        <v/>
      </c>
      <c r="W4297" s="16">
        <f>V4297*N4297*O4297</f>
        <v/>
      </c>
      <c r="X4297" s="12">
        <f>IF(LEFT(I4297,2)="MV",2*N4297*IF(L4297="1/C",O4297,1),0)</f>
        <v/>
      </c>
      <c r="Y4297" s="12">
        <f>IF(OR(LEFT(K4297,4)="LVAX",LEFT(K4297,6)="MV15AX",LEFT(K4297,4)="CTAX",LEFT(K4297,2)="W|"),2*N4297*O4297,0)</f>
        <v/>
      </c>
      <c r="Z4297" s="12" t="inlineStr"/>
      <c r="AA4297" s="12">
        <f>N4297*O4297</f>
        <v/>
      </c>
    </row>
    <row r="4298">
      <c r="A4298" s="12" t="inlineStr">
        <is>
          <t>I-C-0202</t>
        </is>
      </c>
      <c r="B4298" s="12" t="inlineStr">
        <is>
          <t>I</t>
        </is>
      </c>
      <c r="C4298" s="12" t="inlineStr">
        <is>
          <t>Modular / portable power</t>
        </is>
      </c>
      <c r="D4298" s="12" t="inlineStr">
        <is>
          <t>Motor 2 of 6: control / local station</t>
        </is>
      </c>
      <c r="E4298" s="12" t="inlineStr"/>
      <c r="F4298" s="12" t="inlineStr">
        <is>
          <t>MOD-LV 480 V board + 480 V : 13.8 kV step-up</t>
        </is>
      </c>
      <c r="G4298" s="12" t="inlineStr">
        <is>
          <t>TM-2</t>
        </is>
      </c>
      <c r="H4298" s="12" t="inlineStr">
        <is>
          <t>TM-2: trailer-mounted aeroderivative GT (TM2500 class, ~35 MW)</t>
        </is>
      </c>
      <c r="I4298" s="12" t="inlineStr">
        <is>
          <t>Control</t>
        </is>
      </c>
      <c r="J4298" s="12" t="inlineStr">
        <is>
          <t>Control cable 600 V Type TC-ER, Cu #14 AWG, PVC jacket</t>
        </is>
      </c>
      <c r="K4298" s="12" t="inlineStr">
        <is>
          <t>CT|7/C|14</t>
        </is>
      </c>
      <c r="L4298" s="12" t="inlineStr">
        <is>
          <t>7/C</t>
        </is>
      </c>
      <c r="M4298" s="12" t="inlineStr">
        <is>
          <t>14</t>
        </is>
      </c>
      <c r="N4298" s="12" t="n">
        <v>1</v>
      </c>
      <c r="O4298" s="12" t="n">
        <v>1</v>
      </c>
      <c r="P4298" s="12" t="n"/>
      <c r="Q4298" s="12" t="n"/>
      <c r="R4298" s="12" t="n"/>
      <c r="S4298" s="12" t="inlineStr">
        <is>
          <t>Duct bank</t>
        </is>
      </c>
      <c r="T4298" s="16" t="n">
        <v>3194</v>
      </c>
      <c r="U4298" s="16" t="n">
        <v>76</v>
      </c>
      <c r="V4298" s="16">
        <f>ROUNDUP((T4298+U4298+2*'Read Me'!$B$13)*(1+'Read Me'!$B$12),-1)</f>
        <v/>
      </c>
      <c r="W4298" s="16">
        <f>V4298*N4298*O4298</f>
        <v/>
      </c>
      <c r="X4298" s="12">
        <f>IF(LEFT(I4298,2)="MV",2*N4298*IF(L4298="1/C",O4298,1),0)</f>
        <v/>
      </c>
      <c r="Y4298" s="12">
        <f>IF(OR(LEFT(K4298,4)="LVAX",LEFT(K4298,6)="MV15AX",LEFT(K4298,4)="CTAX",LEFT(K4298,2)="W|"),2*N4298*O4298,0)</f>
        <v/>
      </c>
      <c r="Z4298" s="12" t="inlineStr"/>
      <c r="AA4298" s="12">
        <f>N4298*O4298</f>
        <v/>
      </c>
    </row>
    <row r="4299">
      <c r="A4299" s="12" t="inlineStr">
        <is>
          <t>I-C-0203</t>
        </is>
      </c>
      <c r="B4299" s="12" t="inlineStr">
        <is>
          <t>I</t>
        </is>
      </c>
      <c r="C4299" s="12" t="inlineStr">
        <is>
          <t>Modular / portable power</t>
        </is>
      </c>
      <c r="D4299" s="12" t="inlineStr">
        <is>
          <t>Motor 3 of 6: control / local station</t>
        </is>
      </c>
      <c r="E4299" s="12" t="inlineStr"/>
      <c r="F4299" s="12" t="inlineStr">
        <is>
          <t>MOD-LV 480 V board + 480 V : 13.8 kV step-up</t>
        </is>
      </c>
      <c r="G4299" s="12" t="inlineStr">
        <is>
          <t>TM-2</t>
        </is>
      </c>
      <c r="H4299" s="12" t="inlineStr">
        <is>
          <t>TM-2: trailer-mounted aeroderivative GT (TM2500 class, ~35 MW)</t>
        </is>
      </c>
      <c r="I4299" s="12" t="inlineStr">
        <is>
          <t>Control</t>
        </is>
      </c>
      <c r="J4299" s="12" t="inlineStr">
        <is>
          <t>Control cable 600 V Type TC-ER, Cu #14 AWG, PVC jacket</t>
        </is>
      </c>
      <c r="K4299" s="12" t="inlineStr">
        <is>
          <t>CT|7/C|14</t>
        </is>
      </c>
      <c r="L4299" s="12" t="inlineStr">
        <is>
          <t>7/C</t>
        </is>
      </c>
      <c r="M4299" s="12" t="inlineStr">
        <is>
          <t>14</t>
        </is>
      </c>
      <c r="N4299" s="12" t="n">
        <v>1</v>
      </c>
      <c r="O4299" s="12" t="n">
        <v>1</v>
      </c>
      <c r="P4299" s="12" t="n"/>
      <c r="Q4299" s="12" t="n"/>
      <c r="R4299" s="12" t="n"/>
      <c r="S4299" s="12" t="inlineStr">
        <is>
          <t>Duct bank</t>
        </is>
      </c>
      <c r="T4299" s="16" t="n">
        <v>3194</v>
      </c>
      <c r="U4299" s="16" t="n">
        <v>76</v>
      </c>
      <c r="V4299" s="16">
        <f>ROUNDUP((T4299+U4299+2*'Read Me'!$B$13)*(1+'Read Me'!$B$12),-1)</f>
        <v/>
      </c>
      <c r="W4299" s="16">
        <f>V4299*N4299*O4299</f>
        <v/>
      </c>
      <c r="X4299" s="12">
        <f>IF(LEFT(I4299,2)="MV",2*N4299*IF(L4299="1/C",O4299,1),0)</f>
        <v/>
      </c>
      <c r="Y4299" s="12">
        <f>IF(OR(LEFT(K4299,4)="LVAX",LEFT(K4299,6)="MV15AX",LEFT(K4299,4)="CTAX",LEFT(K4299,2)="W|"),2*N4299*O4299,0)</f>
        <v/>
      </c>
      <c r="Z4299" s="12" t="inlineStr"/>
      <c r="AA4299" s="12">
        <f>N4299*O4299</f>
        <v/>
      </c>
    </row>
    <row r="4300">
      <c r="A4300" s="12" t="inlineStr">
        <is>
          <t>I-C-0204</t>
        </is>
      </c>
      <c r="B4300" s="12" t="inlineStr">
        <is>
          <t>I</t>
        </is>
      </c>
      <c r="C4300" s="12" t="inlineStr">
        <is>
          <t>Modular / portable power</t>
        </is>
      </c>
      <c r="D4300" s="12" t="inlineStr">
        <is>
          <t>Motor 4 of 6: control / local station</t>
        </is>
      </c>
      <c r="E4300" s="12" t="inlineStr"/>
      <c r="F4300" s="12" t="inlineStr">
        <is>
          <t>MOD-LV 480 V board + 480 V : 13.8 kV step-up</t>
        </is>
      </c>
      <c r="G4300" s="12" t="inlineStr">
        <is>
          <t>TM-2</t>
        </is>
      </c>
      <c r="H4300" s="12" t="inlineStr">
        <is>
          <t>TM-2: trailer-mounted aeroderivative GT (TM2500 class, ~35 MW)</t>
        </is>
      </c>
      <c r="I4300" s="12" t="inlineStr">
        <is>
          <t>Control</t>
        </is>
      </c>
      <c r="J4300" s="12" t="inlineStr">
        <is>
          <t>Control cable 600 V Type TC-ER, Cu #14 AWG, PVC jacket</t>
        </is>
      </c>
      <c r="K4300" s="12" t="inlineStr">
        <is>
          <t>CT|7/C|14</t>
        </is>
      </c>
      <c r="L4300" s="12" t="inlineStr">
        <is>
          <t>7/C</t>
        </is>
      </c>
      <c r="M4300" s="12" t="inlineStr">
        <is>
          <t>14</t>
        </is>
      </c>
      <c r="N4300" s="12" t="n">
        <v>1</v>
      </c>
      <c r="O4300" s="12" t="n">
        <v>1</v>
      </c>
      <c r="P4300" s="12" t="n"/>
      <c r="Q4300" s="12" t="n"/>
      <c r="R4300" s="12" t="n"/>
      <c r="S4300" s="12" t="inlineStr">
        <is>
          <t>Duct bank</t>
        </is>
      </c>
      <c r="T4300" s="16" t="n">
        <v>3194</v>
      </c>
      <c r="U4300" s="16" t="n">
        <v>76</v>
      </c>
      <c r="V4300" s="16">
        <f>ROUNDUP((T4300+U4300+2*'Read Me'!$B$13)*(1+'Read Me'!$B$12),-1)</f>
        <v/>
      </c>
      <c r="W4300" s="16">
        <f>V4300*N4300*O4300</f>
        <v/>
      </c>
      <c r="X4300" s="12">
        <f>IF(LEFT(I4300,2)="MV",2*N4300*IF(L4300="1/C",O4300,1),0)</f>
        <v/>
      </c>
      <c r="Y4300" s="12">
        <f>IF(OR(LEFT(K4300,4)="LVAX",LEFT(K4300,6)="MV15AX",LEFT(K4300,4)="CTAX",LEFT(K4300,2)="W|"),2*N4300*O4300,0)</f>
        <v/>
      </c>
      <c r="Z4300" s="12" t="inlineStr"/>
      <c r="AA4300" s="12">
        <f>N4300*O4300</f>
        <v/>
      </c>
    </row>
    <row r="4301">
      <c r="A4301" s="12" t="inlineStr">
        <is>
          <t>I-C-0205</t>
        </is>
      </c>
      <c r="B4301" s="12" t="inlineStr">
        <is>
          <t>I</t>
        </is>
      </c>
      <c r="C4301" s="12" t="inlineStr">
        <is>
          <t>Modular / portable power</t>
        </is>
      </c>
      <c r="D4301" s="12" t="inlineStr">
        <is>
          <t>Motor 5 of 6: control / local station</t>
        </is>
      </c>
      <c r="E4301" s="12" t="inlineStr"/>
      <c r="F4301" s="12" t="inlineStr">
        <is>
          <t>MOD-LV 480 V board + 480 V : 13.8 kV step-up</t>
        </is>
      </c>
      <c r="G4301" s="12" t="inlineStr">
        <is>
          <t>TM-2</t>
        </is>
      </c>
      <c r="H4301" s="12" t="inlineStr">
        <is>
          <t>TM-2: trailer-mounted aeroderivative GT (TM2500 class, ~35 MW)</t>
        </is>
      </c>
      <c r="I4301" s="12" t="inlineStr">
        <is>
          <t>Control</t>
        </is>
      </c>
      <c r="J4301" s="12" t="inlineStr">
        <is>
          <t>Control cable 600 V Type TC-ER, Cu #14 AWG, PVC jacket</t>
        </is>
      </c>
      <c r="K4301" s="12" t="inlineStr">
        <is>
          <t>CT|7/C|14</t>
        </is>
      </c>
      <c r="L4301" s="12" t="inlineStr">
        <is>
          <t>7/C</t>
        </is>
      </c>
      <c r="M4301" s="12" t="inlineStr">
        <is>
          <t>14</t>
        </is>
      </c>
      <c r="N4301" s="12" t="n">
        <v>1</v>
      </c>
      <c r="O4301" s="12" t="n">
        <v>1</v>
      </c>
      <c r="P4301" s="12" t="n"/>
      <c r="Q4301" s="12" t="n"/>
      <c r="R4301" s="12" t="n"/>
      <c r="S4301" s="12" t="inlineStr">
        <is>
          <t>Duct bank</t>
        </is>
      </c>
      <c r="T4301" s="16" t="n">
        <v>3194</v>
      </c>
      <c r="U4301" s="16" t="n">
        <v>76</v>
      </c>
      <c r="V4301" s="16">
        <f>ROUNDUP((T4301+U4301+2*'Read Me'!$B$13)*(1+'Read Me'!$B$12),-1)</f>
        <v/>
      </c>
      <c r="W4301" s="16">
        <f>V4301*N4301*O4301</f>
        <v/>
      </c>
      <c r="X4301" s="12">
        <f>IF(LEFT(I4301,2)="MV",2*N4301*IF(L4301="1/C",O4301,1),0)</f>
        <v/>
      </c>
      <c r="Y4301" s="12">
        <f>IF(OR(LEFT(K4301,4)="LVAX",LEFT(K4301,6)="MV15AX",LEFT(K4301,4)="CTAX",LEFT(K4301,2)="W|"),2*N4301*O4301,0)</f>
        <v/>
      </c>
      <c r="Z4301" s="12" t="inlineStr"/>
      <c r="AA4301" s="12">
        <f>N4301*O4301</f>
        <v/>
      </c>
    </row>
    <row r="4302">
      <c r="A4302" s="12" t="inlineStr">
        <is>
          <t>I-C-0206</t>
        </is>
      </c>
      <c r="B4302" s="12" t="inlineStr">
        <is>
          <t>I</t>
        </is>
      </c>
      <c r="C4302" s="12" t="inlineStr">
        <is>
          <t>Modular / portable power</t>
        </is>
      </c>
      <c r="D4302" s="12" t="inlineStr">
        <is>
          <t>Motor 6 of 6: control / local station</t>
        </is>
      </c>
      <c r="E4302" s="12" t="inlineStr"/>
      <c r="F4302" s="12" t="inlineStr">
        <is>
          <t>MOD-LV 480 V board + 480 V : 13.8 kV step-up</t>
        </is>
      </c>
      <c r="G4302" s="12" t="inlineStr">
        <is>
          <t>TM-2</t>
        </is>
      </c>
      <c r="H4302" s="12" t="inlineStr">
        <is>
          <t>TM-2: trailer-mounted aeroderivative GT (TM2500 class, ~35 MW)</t>
        </is>
      </c>
      <c r="I4302" s="12" t="inlineStr">
        <is>
          <t>Control</t>
        </is>
      </c>
      <c r="J4302" s="12" t="inlineStr">
        <is>
          <t>Control cable 600 V Type TC-ER, Cu #14 AWG, PVC jacket</t>
        </is>
      </c>
      <c r="K4302" s="12" t="inlineStr">
        <is>
          <t>CT|7/C|14</t>
        </is>
      </c>
      <c r="L4302" s="12" t="inlineStr">
        <is>
          <t>7/C</t>
        </is>
      </c>
      <c r="M4302" s="12" t="inlineStr">
        <is>
          <t>14</t>
        </is>
      </c>
      <c r="N4302" s="12" t="n">
        <v>1</v>
      </c>
      <c r="O4302" s="12" t="n">
        <v>1</v>
      </c>
      <c r="P4302" s="12" t="n"/>
      <c r="Q4302" s="12" t="n"/>
      <c r="R4302" s="12" t="n"/>
      <c r="S4302" s="12" t="inlineStr">
        <is>
          <t>Duct bank</t>
        </is>
      </c>
      <c r="T4302" s="16" t="n">
        <v>3194</v>
      </c>
      <c r="U4302" s="16" t="n">
        <v>76</v>
      </c>
      <c r="V4302" s="16">
        <f>ROUNDUP((T4302+U4302+2*'Read Me'!$B$13)*(1+'Read Me'!$B$12),-1)</f>
        <v/>
      </c>
      <c r="W4302" s="16">
        <f>V4302*N4302*O4302</f>
        <v/>
      </c>
      <c r="X4302" s="12">
        <f>IF(LEFT(I4302,2)="MV",2*N4302*IF(L4302="1/C",O4302,1),0)</f>
        <v/>
      </c>
      <c r="Y4302" s="12">
        <f>IF(OR(LEFT(K4302,4)="LVAX",LEFT(K4302,6)="MV15AX",LEFT(K4302,4)="CTAX",LEFT(K4302,2)="W|"),2*N4302*O4302,0)</f>
        <v/>
      </c>
      <c r="Z4302" s="12" t="inlineStr"/>
      <c r="AA4302" s="12">
        <f>N4302*O4302</f>
        <v/>
      </c>
    </row>
    <row r="4303">
      <c r="A4303" s="12" t="inlineStr">
        <is>
          <t>I-C-0207</t>
        </is>
      </c>
      <c r="B4303" s="12" t="inlineStr">
        <is>
          <t>I</t>
        </is>
      </c>
      <c r="C4303" s="12" t="inlineStr">
        <is>
          <t>Modular / portable power</t>
        </is>
      </c>
      <c r="D4303" s="12" t="inlineStr">
        <is>
          <t>Control</t>
        </is>
      </c>
      <c r="E4303" s="12" t="inlineStr"/>
      <c r="F4303" s="12" t="inlineStr">
        <is>
          <t>PCM: power control module</t>
        </is>
      </c>
      <c r="G4303" s="12" t="inlineStr"/>
      <c r="H4303" s="12" t="inlineStr">
        <is>
          <t>Water-injection skid</t>
        </is>
      </c>
      <c r="I4303" s="12" t="inlineStr">
        <is>
          <t>Control</t>
        </is>
      </c>
      <c r="J4303" s="12" t="inlineStr">
        <is>
          <t>Control cable 600 V Type TC-ER, Cu #14 AWG, PVC jacket</t>
        </is>
      </c>
      <c r="K4303" s="12" t="inlineStr">
        <is>
          <t>CT|7/C|14</t>
        </is>
      </c>
      <c r="L4303" s="12" t="inlineStr">
        <is>
          <t>7/C</t>
        </is>
      </c>
      <c r="M4303" s="12" t="inlineStr">
        <is>
          <t>14</t>
        </is>
      </c>
      <c r="N4303" s="12" t="n">
        <v>1</v>
      </c>
      <c r="O4303" s="12" t="n">
        <v>1</v>
      </c>
      <c r="P4303" s="12" t="n"/>
      <c r="Q4303" s="12" t="n"/>
      <c r="R4303" s="12" t="n"/>
      <c r="S4303" s="12" t="inlineStr">
        <is>
          <t>HV duct bank</t>
        </is>
      </c>
      <c r="T4303" s="16" t="n">
        <v>4299</v>
      </c>
      <c r="U4303" s="16" t="n">
        <v>87</v>
      </c>
      <c r="V4303" s="16">
        <f>ROUNDUP((T4303+U4303+2*'Read Me'!$B$13)*(1+'Read Me'!$B$12),-1)</f>
        <v/>
      </c>
      <c r="W4303" s="16">
        <f>V4303*N4303*O4303</f>
        <v/>
      </c>
      <c r="X4303" s="12">
        <f>IF(LEFT(I4303,2)="MV",2*N4303*IF(L4303="1/C",O4303,1),0)</f>
        <v/>
      </c>
      <c r="Y4303" s="12">
        <f>IF(OR(LEFT(K4303,4)="LVAX",LEFT(K4303,6)="MV15AX",LEFT(K4303,4)="CTAX",LEFT(K4303,2)="W|"),2*N4303*O4303,0)</f>
        <v/>
      </c>
      <c r="Z4303" s="12" t="inlineStr"/>
      <c r="AA4303" s="12">
        <f>N4303*O4303</f>
        <v/>
      </c>
    </row>
    <row r="4304">
      <c r="A4304" s="12" t="inlineStr">
        <is>
          <t>I-F-0001</t>
        </is>
      </c>
      <c r="B4304" s="12" t="inlineStr">
        <is>
          <t>I</t>
        </is>
      </c>
      <c r="C4304" s="12" t="inlineStr">
        <is>
          <t>Modular / portable power</t>
        </is>
      </c>
      <c r="D4304" s="12" t="inlineStr">
        <is>
          <t>Plant network / DCS fibre</t>
        </is>
      </c>
      <c r="E4304" s="12" t="inlineStr">
        <is>
          <t>CR</t>
        </is>
      </c>
      <c r="F4304" s="12" t="inlineStr">
        <is>
          <t>Control / admin building (main control room)</t>
        </is>
      </c>
      <c r="G4304" s="12" t="inlineStr"/>
      <c r="H4304" s="12" t="inlineStr">
        <is>
          <t>Lube oil / starting air / oily water building</t>
        </is>
      </c>
      <c r="I4304" s="12" t="inlineStr">
        <is>
          <t>Fibre / data</t>
        </is>
      </c>
      <c r="J4304" s="12" t="inlineStr">
        <is>
          <t>Fibre optic, single-mode, 12-fibre, armored, orange jacket</t>
        </is>
      </c>
      <c r="K4304" s="12" t="inlineStr">
        <is>
          <t>FO|12 SM|-</t>
        </is>
      </c>
      <c r="L4304" s="12" t="inlineStr">
        <is>
          <t>12 SM</t>
        </is>
      </c>
      <c r="M4304" s="12" t="inlineStr">
        <is>
          <t>-</t>
        </is>
      </c>
      <c r="N4304" s="12" t="n">
        <v>1</v>
      </c>
      <c r="O4304" s="12" t="n">
        <v>1</v>
      </c>
      <c r="P4304" s="12" t="n"/>
      <c r="Q4304" s="12" t="n"/>
      <c r="R4304" s="12" t="n"/>
      <c r="S4304" s="12" t="inlineStr">
        <is>
          <t>Duct bank</t>
        </is>
      </c>
      <c r="T4304" s="16" t="n">
        <v>2703</v>
      </c>
      <c r="U4304" s="16" t="n">
        <v>394</v>
      </c>
      <c r="V4304" s="16">
        <f>ROUNDUP((T4304+U4304+2*'Read Me'!$B$13)*(1+'Read Me'!$B$12),-1)</f>
        <v/>
      </c>
      <c r="W4304" s="16">
        <f>V4304*N4304*O4304</f>
        <v/>
      </c>
      <c r="X4304" s="12">
        <f>IF(LEFT(I4304,2)="MV",2*N4304*IF(L4304="1/C",O4304,1),0)</f>
        <v/>
      </c>
      <c r="Y4304" s="12">
        <f>IF(OR(LEFT(K4304,4)="LVAX",LEFT(K4304,6)="MV15AX",LEFT(K4304,4)="CTAX",LEFT(K4304,2)="W|"),2*N4304*O4304,0)</f>
        <v/>
      </c>
      <c r="Z4304" s="12" t="inlineStr"/>
      <c r="AA4304" s="12">
        <f>N4304*O4304</f>
        <v/>
      </c>
    </row>
    <row r="4305">
      <c r="A4305" s="12" t="inlineStr">
        <is>
          <t>I-F-0002</t>
        </is>
      </c>
      <c r="B4305" s="12" t="inlineStr">
        <is>
          <t>I</t>
        </is>
      </c>
      <c r="C4305" s="12" t="inlineStr">
        <is>
          <t>Modular / portable power</t>
        </is>
      </c>
      <c r="D4305" s="12" t="inlineStr">
        <is>
          <t>Plant network / DCS fibre</t>
        </is>
      </c>
      <c r="E4305" s="12" t="inlineStr">
        <is>
          <t>CR</t>
        </is>
      </c>
      <c r="F4305" s="12" t="inlineStr">
        <is>
          <t>Control / admin building (main control room)</t>
        </is>
      </c>
      <c r="G4305" s="12" t="inlineStr">
        <is>
          <t>MOD-EH</t>
        </is>
      </c>
      <c r="H4305" s="12" t="inlineStr">
        <is>
          <t>MOD-EH: 13.8 kV modular collector e-house</t>
        </is>
      </c>
      <c r="I4305" s="12" t="inlineStr">
        <is>
          <t>Fibre / data</t>
        </is>
      </c>
      <c r="J4305" s="12" t="inlineStr">
        <is>
          <t>Fibre optic, single-mode, 12-fibre, armored, orange jacket</t>
        </is>
      </c>
      <c r="K4305" s="12" t="inlineStr">
        <is>
          <t>FO|12 SM|-</t>
        </is>
      </c>
      <c r="L4305" s="12" t="inlineStr">
        <is>
          <t>12 SM</t>
        </is>
      </c>
      <c r="M4305" s="12" t="inlineStr">
        <is>
          <t>-</t>
        </is>
      </c>
      <c r="N4305" s="12" t="n">
        <v>1</v>
      </c>
      <c r="O4305" s="12" t="n">
        <v>1</v>
      </c>
      <c r="P4305" s="12" t="n"/>
      <c r="Q4305" s="12" t="n"/>
      <c r="R4305" s="12" t="n"/>
      <c r="S4305" s="12" t="inlineStr">
        <is>
          <t>Trench</t>
        </is>
      </c>
      <c r="T4305" s="16" t="n">
        <v>4273</v>
      </c>
      <c r="U4305" s="16" t="n">
        <v>36</v>
      </c>
      <c r="V4305" s="16">
        <f>ROUNDUP((T4305+U4305+2*'Read Me'!$B$13)*(1+'Read Me'!$B$12),-1)</f>
        <v/>
      </c>
      <c r="W4305" s="16">
        <f>V4305*N4305*O4305</f>
        <v/>
      </c>
      <c r="X4305" s="12">
        <f>IF(LEFT(I4305,2)="MV",2*N4305*IF(L4305="1/C",O4305,1),0)</f>
        <v/>
      </c>
      <c r="Y4305" s="12">
        <f>IF(OR(LEFT(K4305,4)="LVAX",LEFT(K4305,6)="MV15AX",LEFT(K4305,4)="CTAX",LEFT(K4305,2)="W|"),2*N4305*O4305,0)</f>
        <v/>
      </c>
      <c r="Z4305" s="12" t="inlineStr"/>
      <c r="AA4305" s="12">
        <f>N4305*O4305</f>
        <v/>
      </c>
    </row>
    <row r="4306">
      <c r="A4306" s="12" t="inlineStr">
        <is>
          <t>I-F-0003</t>
        </is>
      </c>
      <c r="B4306" s="12" t="inlineStr">
        <is>
          <t>I</t>
        </is>
      </c>
      <c r="C4306" s="12" t="inlineStr">
        <is>
          <t>Modular / portable power</t>
        </is>
      </c>
      <c r="D4306" s="12" t="inlineStr">
        <is>
          <t>Plant network / DCS fibre</t>
        </is>
      </c>
      <c r="E4306" s="12" t="inlineStr">
        <is>
          <t>CR</t>
        </is>
      </c>
      <c r="F4306" s="12" t="inlineStr">
        <is>
          <t>Control / admin building (main control room)</t>
        </is>
      </c>
      <c r="G4306" s="12" t="inlineStr"/>
      <c r="H4306" s="12" t="inlineStr">
        <is>
          <t>PCM: power control module</t>
        </is>
      </c>
      <c r="I4306" s="12" t="inlineStr">
        <is>
          <t>Fibre / data</t>
        </is>
      </c>
      <c r="J4306" s="12" t="inlineStr">
        <is>
          <t>Fibre optic, single-mode, 12-fibre, armored, orange jacket</t>
        </is>
      </c>
      <c r="K4306" s="12" t="inlineStr">
        <is>
          <t>FO|12 SM|-</t>
        </is>
      </c>
      <c r="L4306" s="12" t="inlineStr">
        <is>
          <t>12 SM</t>
        </is>
      </c>
      <c r="M4306" s="12" t="inlineStr">
        <is>
          <t>-</t>
        </is>
      </c>
      <c r="N4306" s="12" t="n">
        <v>1</v>
      </c>
      <c r="O4306" s="12" t="n">
        <v>1</v>
      </c>
      <c r="P4306" s="12" t="n"/>
      <c r="Q4306" s="12" t="n"/>
      <c r="R4306" s="12" t="n"/>
      <c r="S4306" s="12" t="inlineStr">
        <is>
          <t>Duct bank</t>
        </is>
      </c>
      <c r="T4306" s="16" t="n">
        <v>4696</v>
      </c>
      <c r="U4306" s="16" t="n">
        <v>36</v>
      </c>
      <c r="V4306" s="16">
        <f>ROUNDUP((T4306+U4306+2*'Read Me'!$B$13)*(1+'Read Me'!$B$12),-1)</f>
        <v/>
      </c>
      <c r="W4306" s="16">
        <f>V4306*N4306*O4306</f>
        <v/>
      </c>
      <c r="X4306" s="12">
        <f>IF(LEFT(I4306,2)="MV",2*N4306*IF(L4306="1/C",O4306,1),0)</f>
        <v/>
      </c>
      <c r="Y4306" s="12">
        <f>IF(OR(LEFT(K4306,4)="LVAX",LEFT(K4306,6)="MV15AX",LEFT(K4306,4)="CTAX",LEFT(K4306,2)="W|"),2*N4306*O4306,0)</f>
        <v/>
      </c>
      <c r="Z4306" s="12" t="inlineStr"/>
      <c r="AA4306" s="12">
        <f>N4306*O4306</f>
        <v/>
      </c>
    </row>
    <row r="4307">
      <c r="A4307" s="12" t="inlineStr">
        <is>
          <t>I-F-0004</t>
        </is>
      </c>
      <c r="B4307" s="12" t="inlineStr">
        <is>
          <t>I</t>
        </is>
      </c>
      <c r="C4307" s="12" t="inlineStr">
        <is>
          <t>Modular / portable power</t>
        </is>
      </c>
      <c r="D4307" s="12" t="inlineStr">
        <is>
          <t>Plant network / DCS fibre</t>
        </is>
      </c>
      <c r="E4307" s="12" t="inlineStr">
        <is>
          <t>CR</t>
        </is>
      </c>
      <c r="F4307" s="12" t="inlineStr">
        <is>
          <t>Control / admin building (main control room)</t>
        </is>
      </c>
      <c r="G4307" s="12" t="inlineStr"/>
      <c r="H4307" s="12" t="inlineStr">
        <is>
          <t>RICE CEMS</t>
        </is>
      </c>
      <c r="I4307" s="12" t="inlineStr">
        <is>
          <t>Fibre / data</t>
        </is>
      </c>
      <c r="J4307" s="12" t="inlineStr">
        <is>
          <t>Fibre optic, single-mode, 12-fibre, armored, orange jacket</t>
        </is>
      </c>
      <c r="K4307" s="12" t="inlineStr">
        <is>
          <t>FO|12 SM|-</t>
        </is>
      </c>
      <c r="L4307" s="12" t="inlineStr">
        <is>
          <t>12 SM</t>
        </is>
      </c>
      <c r="M4307" s="12" t="inlineStr">
        <is>
          <t>-</t>
        </is>
      </c>
      <c r="N4307" s="12" t="n">
        <v>1</v>
      </c>
      <c r="O4307" s="12" t="n">
        <v>1</v>
      </c>
      <c r="P4307" s="12" t="n"/>
      <c r="Q4307" s="12" t="n"/>
      <c r="R4307" s="12" t="n"/>
      <c r="S4307" s="12" t="inlineStr">
        <is>
          <t>Duct bank</t>
        </is>
      </c>
      <c r="T4307" s="16" t="n">
        <v>4436</v>
      </c>
      <c r="U4307" s="16" t="n">
        <v>135</v>
      </c>
      <c r="V4307" s="16">
        <f>ROUNDUP((T4307+U4307+2*'Read Me'!$B$13)*(1+'Read Me'!$B$12),-1)</f>
        <v/>
      </c>
      <c r="W4307" s="16">
        <f>V4307*N4307*O4307</f>
        <v/>
      </c>
      <c r="X4307" s="12">
        <f>IF(LEFT(I4307,2)="MV",2*N4307*IF(L4307="1/C",O4307,1),0)</f>
        <v/>
      </c>
      <c r="Y4307" s="12">
        <f>IF(OR(LEFT(K4307,4)="LVAX",LEFT(K4307,6)="MV15AX",LEFT(K4307,4)="CTAX",LEFT(K4307,2)="W|"),2*N4307*O4307,0)</f>
        <v/>
      </c>
      <c r="Z4307" s="12" t="inlineStr"/>
      <c r="AA4307" s="12">
        <f>N4307*O4307</f>
        <v/>
      </c>
    </row>
    <row r="4308">
      <c r="A4308" s="12" t="inlineStr">
        <is>
          <t>I-F-0005</t>
        </is>
      </c>
      <c r="B4308" s="12" t="inlineStr">
        <is>
          <t>I</t>
        </is>
      </c>
      <c r="C4308" s="12" t="inlineStr">
        <is>
          <t>Modular / portable power</t>
        </is>
      </c>
      <c r="D4308" s="12" t="inlineStr">
        <is>
          <t>Plant network / DCS fibre</t>
        </is>
      </c>
      <c r="E4308" s="12" t="inlineStr">
        <is>
          <t>CR</t>
        </is>
      </c>
      <c r="F4308" s="12" t="inlineStr">
        <is>
          <t>Control / admin building (main control room)</t>
        </is>
      </c>
      <c r="G4308" s="12" t="inlineStr">
        <is>
          <t>RICE</t>
        </is>
      </c>
      <c r="H4308" s="12" t="inlineStr">
        <is>
          <t>RICE engine hall (8 engines)</t>
        </is>
      </c>
      <c r="I4308" s="12" t="inlineStr">
        <is>
          <t>Fibre / data</t>
        </is>
      </c>
      <c r="J4308" s="12" t="inlineStr">
        <is>
          <t>Fibre optic, single-mode, 12-fibre, armored, orange jacket</t>
        </is>
      </c>
      <c r="K4308" s="12" t="inlineStr">
        <is>
          <t>FO|12 SM|-</t>
        </is>
      </c>
      <c r="L4308" s="12" t="inlineStr">
        <is>
          <t>12 SM</t>
        </is>
      </c>
      <c r="M4308" s="12" t="inlineStr">
        <is>
          <t>-</t>
        </is>
      </c>
      <c r="N4308" s="12" t="n">
        <v>1</v>
      </c>
      <c r="O4308" s="12" t="n">
        <v>1</v>
      </c>
      <c r="P4308" s="12" t="n"/>
      <c r="Q4308" s="12" t="n"/>
      <c r="R4308" s="12" t="n"/>
      <c r="S4308" s="12" t="inlineStr">
        <is>
          <t>Tray</t>
        </is>
      </c>
      <c r="T4308" s="16" t="n">
        <v>2186</v>
      </c>
      <c r="U4308" s="16" t="n">
        <v>334</v>
      </c>
      <c r="V4308" s="16">
        <f>ROUNDUP((T4308+U4308+2*'Read Me'!$B$13)*(1+'Read Me'!$B$12),-1)</f>
        <v/>
      </c>
      <c r="W4308" s="16">
        <f>V4308*N4308*O4308</f>
        <v/>
      </c>
      <c r="X4308" s="12">
        <f>IF(LEFT(I4308,2)="MV",2*N4308*IF(L4308="1/C",O4308,1),0)</f>
        <v/>
      </c>
      <c r="Y4308" s="12">
        <f>IF(OR(LEFT(K4308,4)="LVAX",LEFT(K4308,6)="MV15AX",LEFT(K4308,4)="CTAX",LEFT(K4308,2)="W|"),2*N4308*O4308,0)</f>
        <v/>
      </c>
      <c r="Z4308" s="12" t="inlineStr"/>
      <c r="AA4308" s="12">
        <f>N4308*O4308</f>
        <v/>
      </c>
    </row>
    <row r="4309">
      <c r="A4309" s="12" t="inlineStr">
        <is>
          <t>I-F-0006</t>
        </is>
      </c>
      <c r="B4309" s="12" t="inlineStr">
        <is>
          <t>I</t>
        </is>
      </c>
      <c r="C4309" s="12" t="inlineStr">
        <is>
          <t>Modular / portable power</t>
        </is>
      </c>
      <c r="D4309" s="12" t="inlineStr">
        <is>
          <t>Plant network / DCS fibre</t>
        </is>
      </c>
      <c r="E4309" s="12" t="inlineStr">
        <is>
          <t>CR</t>
        </is>
      </c>
      <c r="F4309" s="12" t="inlineStr">
        <is>
          <t>Control / admin building (main control room)</t>
        </is>
      </c>
      <c r="G4309" s="12" t="inlineStr">
        <is>
          <t>SC-1</t>
        </is>
      </c>
      <c r="H4309" s="12" t="inlineStr">
        <is>
          <t>SC-1: aeroderivative simple-cycle unit (LM6000 class)</t>
        </is>
      </c>
      <c r="I4309" s="12" t="inlineStr">
        <is>
          <t>Fibre / data</t>
        </is>
      </c>
      <c r="J4309" s="12" t="inlineStr">
        <is>
          <t>Fibre optic, single-mode, 12-fibre, armored, orange jacket</t>
        </is>
      </c>
      <c r="K4309" s="12" t="inlineStr">
        <is>
          <t>FO|12 SM|-</t>
        </is>
      </c>
      <c r="L4309" s="12" t="inlineStr">
        <is>
          <t>12 SM</t>
        </is>
      </c>
      <c r="M4309" s="12" t="inlineStr">
        <is>
          <t>-</t>
        </is>
      </c>
      <c r="N4309" s="12" t="n">
        <v>1</v>
      </c>
      <c r="O4309" s="12" t="n">
        <v>1</v>
      </c>
      <c r="P4309" s="12" t="n"/>
      <c r="Q4309" s="12" t="n"/>
      <c r="R4309" s="12" t="n"/>
      <c r="S4309" s="12" t="inlineStr">
        <is>
          <t>Duct bank</t>
        </is>
      </c>
      <c r="T4309" s="16" t="n">
        <v>4656</v>
      </c>
      <c r="U4309" s="16" t="n">
        <v>56</v>
      </c>
      <c r="V4309" s="16">
        <f>ROUNDUP((T4309+U4309+2*'Read Me'!$B$13)*(1+'Read Me'!$B$12),-1)</f>
        <v/>
      </c>
      <c r="W4309" s="16">
        <f>V4309*N4309*O4309</f>
        <v/>
      </c>
      <c r="X4309" s="12">
        <f>IF(LEFT(I4309,2)="MV",2*N4309*IF(L4309="1/C",O4309,1),0)</f>
        <v/>
      </c>
      <c r="Y4309" s="12">
        <f>IF(OR(LEFT(K4309,4)="LVAX",LEFT(K4309,6)="MV15AX",LEFT(K4309,4)="CTAX",LEFT(K4309,2)="W|"),2*N4309*O4309,0)</f>
        <v/>
      </c>
      <c r="Z4309" s="12" t="inlineStr"/>
      <c r="AA4309" s="12">
        <f>N4309*O4309</f>
        <v/>
      </c>
    </row>
    <row r="4310">
      <c r="A4310" s="12" t="inlineStr">
        <is>
          <t>I-F-0007</t>
        </is>
      </c>
      <c r="B4310" s="12" t="inlineStr">
        <is>
          <t>I</t>
        </is>
      </c>
      <c r="C4310" s="12" t="inlineStr">
        <is>
          <t>Modular / portable power</t>
        </is>
      </c>
      <c r="D4310" s="12" t="inlineStr">
        <is>
          <t>Plant network / DCS fibre</t>
        </is>
      </c>
      <c r="E4310" s="12" t="inlineStr">
        <is>
          <t>CR</t>
        </is>
      </c>
      <c r="F4310" s="12" t="inlineStr">
        <is>
          <t>Control / admin building (main control room)</t>
        </is>
      </c>
      <c r="G4310" s="12" t="inlineStr">
        <is>
          <t>SC-2</t>
        </is>
      </c>
      <c r="H4310" s="12" t="inlineStr">
        <is>
          <t>SC-2: aeroderivative simple-cycle unit (LM6000 class)</t>
        </is>
      </c>
      <c r="I4310" s="12" t="inlineStr">
        <is>
          <t>Fibre / data</t>
        </is>
      </c>
      <c r="J4310" s="12" t="inlineStr">
        <is>
          <t>Fibre optic, single-mode, 12-fibre, armored, orange jacket</t>
        </is>
      </c>
      <c r="K4310" s="12" t="inlineStr">
        <is>
          <t>FO|12 SM|-</t>
        </is>
      </c>
      <c r="L4310" s="12" t="inlineStr">
        <is>
          <t>12 SM</t>
        </is>
      </c>
      <c r="M4310" s="12" t="inlineStr">
        <is>
          <t>-</t>
        </is>
      </c>
      <c r="N4310" s="12" t="n">
        <v>1</v>
      </c>
      <c r="O4310" s="12" t="n">
        <v>1</v>
      </c>
      <c r="P4310" s="12" t="n"/>
      <c r="Q4310" s="12" t="n"/>
      <c r="R4310" s="12" t="n"/>
      <c r="S4310" s="12" t="inlineStr">
        <is>
          <t>Trench</t>
        </is>
      </c>
      <c r="T4310" s="16" t="n">
        <v>4681</v>
      </c>
      <c r="U4310" s="16" t="n">
        <v>36</v>
      </c>
      <c r="V4310" s="16">
        <f>ROUNDUP((T4310+U4310+2*'Read Me'!$B$13)*(1+'Read Me'!$B$12),-1)</f>
        <v/>
      </c>
      <c r="W4310" s="16">
        <f>V4310*N4310*O4310</f>
        <v/>
      </c>
      <c r="X4310" s="12">
        <f>IF(LEFT(I4310,2)="MV",2*N4310*IF(L4310="1/C",O4310,1),0)</f>
        <v/>
      </c>
      <c r="Y4310" s="12">
        <f>IF(OR(LEFT(K4310,4)="LVAX",LEFT(K4310,6)="MV15AX",LEFT(K4310,4)="CTAX",LEFT(K4310,2)="W|"),2*N4310*O4310,0)</f>
        <v/>
      </c>
      <c r="Z4310" s="12" t="inlineStr"/>
      <c r="AA4310" s="12">
        <f>N4310*O4310</f>
        <v/>
      </c>
    </row>
    <row r="4311">
      <c r="A4311" s="12" t="inlineStr">
        <is>
          <t>I-F-0008</t>
        </is>
      </c>
      <c r="B4311" s="12" t="inlineStr">
        <is>
          <t>I</t>
        </is>
      </c>
      <c r="C4311" s="12" t="inlineStr">
        <is>
          <t>Modular / portable power</t>
        </is>
      </c>
      <c r="D4311" s="12" t="inlineStr">
        <is>
          <t>Plant network / DCS fibre</t>
        </is>
      </c>
      <c r="E4311" s="12" t="inlineStr">
        <is>
          <t>CR</t>
        </is>
      </c>
      <c r="F4311" s="12" t="inlineStr">
        <is>
          <t>Control / admin building (main control room)</t>
        </is>
      </c>
      <c r="G4311" s="12" t="inlineStr">
        <is>
          <t>TM-1</t>
        </is>
      </c>
      <c r="H4311" s="12" t="inlineStr">
        <is>
          <t>TM-1: trailer-mounted aeroderivative GT (TM2500 class, ~35 MW)</t>
        </is>
      </c>
      <c r="I4311" s="12" t="inlineStr">
        <is>
          <t>Fibre / data</t>
        </is>
      </c>
      <c r="J4311" s="12" t="inlineStr">
        <is>
          <t>Fibre optic, single-mode, 12-fibre, armored, orange jacket</t>
        </is>
      </c>
      <c r="K4311" s="12" t="inlineStr">
        <is>
          <t>FO|12 SM|-</t>
        </is>
      </c>
      <c r="L4311" s="12" t="inlineStr">
        <is>
          <t>12 SM</t>
        </is>
      </c>
      <c r="M4311" s="12" t="inlineStr">
        <is>
          <t>-</t>
        </is>
      </c>
      <c r="N4311" s="12" t="n">
        <v>1</v>
      </c>
      <c r="O4311" s="12" t="n">
        <v>1</v>
      </c>
      <c r="P4311" s="12" t="n"/>
      <c r="Q4311" s="12" t="n"/>
      <c r="R4311" s="12" t="n"/>
      <c r="S4311" s="12" t="inlineStr">
        <is>
          <t>Trench</t>
        </is>
      </c>
      <c r="T4311" s="16" t="n">
        <v>3434</v>
      </c>
      <c r="U4311" s="16" t="n">
        <v>66</v>
      </c>
      <c r="V4311" s="16">
        <f>ROUNDUP((T4311+U4311+2*'Read Me'!$B$13)*(1+'Read Me'!$B$12),-1)</f>
        <v/>
      </c>
      <c r="W4311" s="16">
        <f>V4311*N4311*O4311</f>
        <v/>
      </c>
      <c r="X4311" s="12">
        <f>IF(LEFT(I4311,2)="MV",2*N4311*IF(L4311="1/C",O4311,1),0)</f>
        <v/>
      </c>
      <c r="Y4311" s="12">
        <f>IF(OR(LEFT(K4311,4)="LVAX",LEFT(K4311,6)="MV15AX",LEFT(K4311,4)="CTAX",LEFT(K4311,2)="W|"),2*N4311*O4311,0)</f>
        <v/>
      </c>
      <c r="Z4311" s="12" t="inlineStr"/>
      <c r="AA4311" s="12">
        <f>N4311*O4311</f>
        <v/>
      </c>
    </row>
    <row r="4312">
      <c r="A4312" s="12" t="inlineStr">
        <is>
          <t>I-F-0009</t>
        </is>
      </c>
      <c r="B4312" s="12" t="inlineStr">
        <is>
          <t>I</t>
        </is>
      </c>
      <c r="C4312" s="12" t="inlineStr">
        <is>
          <t>Modular / portable power</t>
        </is>
      </c>
      <c r="D4312" s="12" t="inlineStr">
        <is>
          <t>Plant network / DCS fibre</t>
        </is>
      </c>
      <c r="E4312" s="12" t="inlineStr">
        <is>
          <t>CR</t>
        </is>
      </c>
      <c r="F4312" s="12" t="inlineStr">
        <is>
          <t>Control / admin building (main control room)</t>
        </is>
      </c>
      <c r="G4312" s="12" t="inlineStr">
        <is>
          <t>TM-2</t>
        </is>
      </c>
      <c r="H4312" s="12" t="inlineStr">
        <is>
          <t>TM-2: trailer-mounted aeroderivative GT (TM2500 class, ~35 MW)</t>
        </is>
      </c>
      <c r="I4312" s="12" t="inlineStr">
        <is>
          <t>Fibre / data</t>
        </is>
      </c>
      <c r="J4312" s="12" t="inlineStr">
        <is>
          <t>Fibre optic, single-mode, 12-fibre, armored, orange jacket</t>
        </is>
      </c>
      <c r="K4312" s="12" t="inlineStr">
        <is>
          <t>FO|12 SM|-</t>
        </is>
      </c>
      <c r="L4312" s="12" t="inlineStr">
        <is>
          <t>12 SM</t>
        </is>
      </c>
      <c r="M4312" s="12" t="inlineStr">
        <is>
          <t>-</t>
        </is>
      </c>
      <c r="N4312" s="12" t="n">
        <v>1</v>
      </c>
      <c r="O4312" s="12" t="n">
        <v>1</v>
      </c>
      <c r="P4312" s="12" t="n"/>
      <c r="Q4312" s="12" t="n"/>
      <c r="R4312" s="12" t="n"/>
      <c r="S4312" s="12" t="inlineStr">
        <is>
          <t>Trench</t>
        </is>
      </c>
      <c r="T4312" s="16" t="n">
        <v>3434</v>
      </c>
      <c r="U4312" s="16" t="n">
        <v>72</v>
      </c>
      <c r="V4312" s="16">
        <f>ROUNDUP((T4312+U4312+2*'Read Me'!$B$13)*(1+'Read Me'!$B$12),-1)</f>
        <v/>
      </c>
      <c r="W4312" s="16">
        <f>V4312*N4312*O4312</f>
        <v/>
      </c>
      <c r="X4312" s="12">
        <f>IF(LEFT(I4312,2)="MV",2*N4312*IF(L4312="1/C",O4312,1),0)</f>
        <v/>
      </c>
      <c r="Y4312" s="12">
        <f>IF(OR(LEFT(K4312,4)="LVAX",LEFT(K4312,6)="MV15AX",LEFT(K4312,4)="CTAX",LEFT(K4312,2)="W|"),2*N4312*O4312,0)</f>
        <v/>
      </c>
      <c r="Z4312" s="12" t="inlineStr"/>
      <c r="AA4312" s="12">
        <f>N4312*O4312</f>
        <v/>
      </c>
    </row>
    <row r="4313">
      <c r="A4313" s="12" t="inlineStr">
        <is>
          <t>I-FA-0001</t>
        </is>
      </c>
      <c r="B4313" s="12" t="inlineStr">
        <is>
          <t>I</t>
        </is>
      </c>
      <c r="C4313" s="12" t="inlineStr">
        <is>
          <t>Modular / portable power</t>
        </is>
      </c>
      <c r="D4313" s="12" t="inlineStr">
        <is>
          <t>Fire alarm / F&amp;G loop (to the local FACP / F&amp;G node)</t>
        </is>
      </c>
      <c r="E4313" s="12" t="inlineStr"/>
      <c r="F4313" s="12" t="inlineStr">
        <is>
          <t>PCM: power control module</t>
        </is>
      </c>
      <c r="G4313" s="12" t="inlineStr"/>
      <c r="H4313" s="12" t="inlineStr">
        <is>
          <t>BS black-start switchgear</t>
        </is>
      </c>
      <c r="I4313" s="12" t="inlineStr">
        <is>
          <t>Fire alarm</t>
        </is>
      </c>
      <c r="J4313" s="12" t="inlineStr">
        <is>
          <t>Fire alarm FPLR 2/C #14 shielded, red jacket (NEC 760)</t>
        </is>
      </c>
      <c r="K4313" s="12" t="inlineStr">
        <is>
          <t>FA|2/C|14</t>
        </is>
      </c>
      <c r="L4313" s="12" t="inlineStr">
        <is>
          <t>2/C</t>
        </is>
      </c>
      <c r="M4313" s="12" t="inlineStr">
        <is>
          <t>14</t>
        </is>
      </c>
      <c r="N4313" s="12" t="n">
        <v>1</v>
      </c>
      <c r="O4313" s="12" t="n">
        <v>1</v>
      </c>
      <c r="P4313" s="12" t="n"/>
      <c r="Q4313" s="12" t="n"/>
      <c r="R4313" s="12" t="n"/>
      <c r="S4313" s="12" t="inlineStr">
        <is>
          <t>Duct bank</t>
        </is>
      </c>
      <c r="T4313" s="16" t="n">
        <v>562</v>
      </c>
      <c r="U4313" s="16" t="n">
        <v>64</v>
      </c>
      <c r="V4313" s="16">
        <f>ROUNDUP((T4313+U4313+2*'Read Me'!$B$13)*(1+'Read Me'!$B$12),-1)</f>
        <v/>
      </c>
      <c r="W4313" s="16">
        <f>V4313*N4313*O4313</f>
        <v/>
      </c>
      <c r="X4313" s="12">
        <f>IF(LEFT(I4313,2)="MV",2*N4313*IF(L4313="1/C",O4313,1),0)</f>
        <v/>
      </c>
      <c r="Y4313" s="12">
        <f>IF(OR(LEFT(K4313,4)="LVAX",LEFT(K4313,6)="MV15AX",LEFT(K4313,4)="CTAX",LEFT(K4313,2)="W|"),2*N4313*O4313,0)</f>
        <v/>
      </c>
      <c r="Z4313" s="12" t="inlineStr"/>
      <c r="AA4313" s="12">
        <f>N4313*O4313</f>
        <v/>
      </c>
    </row>
    <row r="4314">
      <c r="A4314" s="12" t="inlineStr">
        <is>
          <t>I-FA-0002</t>
        </is>
      </c>
      <c r="B4314" s="12" t="inlineStr">
        <is>
          <t>I</t>
        </is>
      </c>
      <c r="C4314" s="12" t="inlineStr">
        <is>
          <t>Modular / portable power</t>
        </is>
      </c>
      <c r="D4314" s="12" t="inlineStr">
        <is>
          <t>Fire alarm / F&amp;G loop (to the local FACP / F&amp;G node)</t>
        </is>
      </c>
      <c r="E4314" s="12" t="inlineStr"/>
      <c r="F4314" s="12" t="inlineStr">
        <is>
          <t>PCM: power control module</t>
        </is>
      </c>
      <c r="G4314" s="12" t="inlineStr"/>
      <c r="H4314" s="12" t="inlineStr">
        <is>
          <t>Black-start genset (proposed; requires study)</t>
        </is>
      </c>
      <c r="I4314" s="12" t="inlineStr">
        <is>
          <t>Fire alarm</t>
        </is>
      </c>
      <c r="J4314" s="12" t="inlineStr">
        <is>
          <t>Fire alarm FPLR 2/C #14 shielded, red jacket (NEC 760)</t>
        </is>
      </c>
      <c r="K4314" s="12" t="inlineStr">
        <is>
          <t>FA|2/C|14</t>
        </is>
      </c>
      <c r="L4314" s="12" t="inlineStr">
        <is>
          <t>2/C</t>
        </is>
      </c>
      <c r="M4314" s="12" t="inlineStr">
        <is>
          <t>14</t>
        </is>
      </c>
      <c r="N4314" s="12" t="n">
        <v>1</v>
      </c>
      <c r="O4314" s="12" t="n">
        <v>1</v>
      </c>
      <c r="P4314" s="12" t="n"/>
      <c r="Q4314" s="12" t="n"/>
      <c r="R4314" s="12" t="n"/>
      <c r="S4314" s="12" t="inlineStr">
        <is>
          <t>Duct bank</t>
        </is>
      </c>
      <c r="T4314" s="16" t="n">
        <v>624</v>
      </c>
      <c r="U4314" s="16" t="n">
        <v>32</v>
      </c>
      <c r="V4314" s="16">
        <f>ROUNDUP((T4314+U4314+2*'Read Me'!$B$13)*(1+'Read Me'!$B$12),-1)</f>
        <v/>
      </c>
      <c r="W4314" s="16">
        <f>V4314*N4314*O4314</f>
        <v/>
      </c>
      <c r="X4314" s="12">
        <f>IF(LEFT(I4314,2)="MV",2*N4314*IF(L4314="1/C",O4314,1),0)</f>
        <v/>
      </c>
      <c r="Y4314" s="12">
        <f>IF(OR(LEFT(K4314,4)="LVAX",LEFT(K4314,6)="MV15AX",LEFT(K4314,4)="CTAX",LEFT(K4314,2)="W|"),2*N4314*O4314,0)</f>
        <v/>
      </c>
      <c r="Z4314" s="12" t="inlineStr"/>
      <c r="AA4314" s="12">
        <f>N4314*O4314</f>
        <v/>
      </c>
    </row>
    <row r="4315">
      <c r="A4315" s="12" t="inlineStr">
        <is>
          <t>I-FA-0003</t>
        </is>
      </c>
      <c r="B4315" s="12" t="inlineStr">
        <is>
          <t>I</t>
        </is>
      </c>
      <c r="C4315" s="12" t="inlineStr">
        <is>
          <t>Modular / portable power</t>
        </is>
      </c>
      <c r="D4315" s="12" t="inlineStr">
        <is>
          <t>Fire alarm / F&amp;G loop (to the local FACP / F&amp;G node)</t>
        </is>
      </c>
      <c r="E4315" s="12" t="inlineStr"/>
      <c r="F4315" s="12" t="inlineStr">
        <is>
          <t>PCM: power control module</t>
        </is>
      </c>
      <c r="G4315" s="12" t="inlineStr"/>
      <c r="H4315" s="12" t="inlineStr">
        <is>
          <t>Black-start genset (proposed; requires study)</t>
        </is>
      </c>
      <c r="I4315" s="12" t="inlineStr">
        <is>
          <t>Fire alarm</t>
        </is>
      </c>
      <c r="J4315" s="12" t="inlineStr">
        <is>
          <t>Fire alarm FPLR 2/C #14 shielded, red jacket (NEC 760)</t>
        </is>
      </c>
      <c r="K4315" s="12" t="inlineStr">
        <is>
          <t>FA|2/C|14</t>
        </is>
      </c>
      <c r="L4315" s="12" t="inlineStr">
        <is>
          <t>2/C</t>
        </is>
      </c>
      <c r="M4315" s="12" t="inlineStr">
        <is>
          <t>14</t>
        </is>
      </c>
      <c r="N4315" s="12" t="n">
        <v>1</v>
      </c>
      <c r="O4315" s="12" t="n">
        <v>1</v>
      </c>
      <c r="P4315" s="12" t="n"/>
      <c r="Q4315" s="12" t="n"/>
      <c r="R4315" s="12" t="n"/>
      <c r="S4315" s="12" t="inlineStr">
        <is>
          <t>Duct bank</t>
        </is>
      </c>
      <c r="T4315" s="16" t="n">
        <v>624</v>
      </c>
      <c r="U4315" s="16" t="n">
        <v>40</v>
      </c>
      <c r="V4315" s="16">
        <f>ROUNDUP((T4315+U4315+2*'Read Me'!$B$13)*(1+'Read Me'!$B$12),-1)</f>
        <v/>
      </c>
      <c r="W4315" s="16">
        <f>V4315*N4315*O4315</f>
        <v/>
      </c>
      <c r="X4315" s="12">
        <f>IF(LEFT(I4315,2)="MV",2*N4315*IF(L4315="1/C",O4315,1),0)</f>
        <v/>
      </c>
      <c r="Y4315" s="12">
        <f>IF(OR(LEFT(K4315,4)="LVAX",LEFT(K4315,6)="MV15AX",LEFT(K4315,4)="CTAX",LEFT(K4315,2)="W|"),2*N4315*O4315,0)</f>
        <v/>
      </c>
      <c r="Z4315" s="12" t="inlineStr"/>
      <c r="AA4315" s="12">
        <f>N4315*O4315</f>
        <v/>
      </c>
    </row>
    <row r="4316">
      <c r="A4316" s="12" t="inlineStr">
        <is>
          <t>I-FA-0004</t>
        </is>
      </c>
      <c r="B4316" s="12" t="inlineStr">
        <is>
          <t>I</t>
        </is>
      </c>
      <c r="C4316" s="12" t="inlineStr">
        <is>
          <t>Modular / portable power</t>
        </is>
      </c>
      <c r="D4316" s="12" t="inlineStr">
        <is>
          <t>Fire alarm / F&amp;G loop (to the local FACP / F&amp;G node)</t>
        </is>
      </c>
      <c r="E4316" s="12" t="inlineStr"/>
      <c r="F4316" s="12" t="inlineStr">
        <is>
          <t>PCM: power control module</t>
        </is>
      </c>
      <c r="G4316" s="12" t="inlineStr"/>
      <c r="H4316" s="12" t="inlineStr">
        <is>
          <t>CONDITIONAL: BESS black-start alternative</t>
        </is>
      </c>
      <c r="I4316" s="12" t="inlineStr">
        <is>
          <t>Fire alarm</t>
        </is>
      </c>
      <c r="J4316" s="12" t="inlineStr">
        <is>
          <t>Fire alarm FPLR 2/C #14 shielded, red jacket (NEC 760)</t>
        </is>
      </c>
      <c r="K4316" s="12" t="inlineStr">
        <is>
          <t>FA|2/C|14</t>
        </is>
      </c>
      <c r="L4316" s="12" t="inlineStr">
        <is>
          <t>2/C</t>
        </is>
      </c>
      <c r="M4316" s="12" t="inlineStr">
        <is>
          <t>14</t>
        </is>
      </c>
      <c r="N4316" s="12" t="n">
        <v>1</v>
      </c>
      <c r="O4316" s="12" t="n">
        <v>1</v>
      </c>
      <c r="P4316" s="12" t="n"/>
      <c r="Q4316" s="12" t="n"/>
      <c r="R4316" s="12" t="n"/>
      <c r="S4316" s="12" t="inlineStr">
        <is>
          <t>Duct bank</t>
        </is>
      </c>
      <c r="T4316" s="16" t="n">
        <v>550</v>
      </c>
      <c r="U4316" s="16" t="n">
        <v>32</v>
      </c>
      <c r="V4316" s="16">
        <f>ROUNDUP((T4316+U4316+2*'Read Me'!$B$13)*(1+'Read Me'!$B$12),-1)</f>
        <v/>
      </c>
      <c r="W4316" s="16">
        <f>V4316*N4316*O4316</f>
        <v/>
      </c>
      <c r="X4316" s="12">
        <f>IF(LEFT(I4316,2)="MV",2*N4316*IF(L4316="1/C",O4316,1),0)</f>
        <v/>
      </c>
      <c r="Y4316" s="12">
        <f>IF(OR(LEFT(K4316,4)="LVAX",LEFT(K4316,6)="MV15AX",LEFT(K4316,4)="CTAX",LEFT(K4316,2)="W|"),2*N4316*O4316,0)</f>
        <v/>
      </c>
      <c r="Z4316" s="12" t="inlineStr"/>
      <c r="AA4316" s="12">
        <f>N4316*O4316</f>
        <v/>
      </c>
    </row>
    <row r="4317">
      <c r="A4317" s="12" t="inlineStr">
        <is>
          <t>I-FA-0005</t>
        </is>
      </c>
      <c r="B4317" s="12" t="inlineStr">
        <is>
          <t>I</t>
        </is>
      </c>
      <c r="C4317" s="12" t="inlineStr">
        <is>
          <t>Modular / portable power</t>
        </is>
      </c>
      <c r="D4317" s="12" t="inlineStr">
        <is>
          <t>Fire alarm / F&amp;G loop (to the local FACP / F&amp;G node)</t>
        </is>
      </c>
      <c r="E4317" s="12" t="inlineStr"/>
      <c r="F4317" s="12" t="inlineStr">
        <is>
          <t>PCM: power control module</t>
        </is>
      </c>
      <c r="G4317" s="12" t="inlineStr"/>
      <c r="H4317" s="12" t="inlineStr">
        <is>
          <t>CONDITIONAL: SC-1 inlet chiller / evaporative cooler</t>
        </is>
      </c>
      <c r="I4317" s="12" t="inlineStr">
        <is>
          <t>Fire alarm</t>
        </is>
      </c>
      <c r="J4317" s="12" t="inlineStr">
        <is>
          <t>Fire alarm FPLR 2/C #14 shielded, red jacket (NEC 760)</t>
        </is>
      </c>
      <c r="K4317" s="12" t="inlineStr">
        <is>
          <t>FA|2/C|14</t>
        </is>
      </c>
      <c r="L4317" s="12" t="inlineStr">
        <is>
          <t>2/C</t>
        </is>
      </c>
      <c r="M4317" s="12" t="inlineStr">
        <is>
          <t>14</t>
        </is>
      </c>
      <c r="N4317" s="12" t="n">
        <v>1</v>
      </c>
      <c r="O4317" s="12" t="n">
        <v>1</v>
      </c>
      <c r="P4317" s="12" t="n"/>
      <c r="Q4317" s="12" t="n"/>
      <c r="R4317" s="12" t="n"/>
      <c r="S4317" s="12" t="inlineStr">
        <is>
          <t>Duct bank</t>
        </is>
      </c>
      <c r="T4317" s="16" t="n">
        <v>40</v>
      </c>
      <c r="U4317" s="16" t="n">
        <v>52</v>
      </c>
      <c r="V4317" s="16">
        <f>ROUNDUP((T4317+U4317+2*'Read Me'!$B$13)*(1+'Read Me'!$B$12),-1)</f>
        <v/>
      </c>
      <c r="W4317" s="16">
        <f>V4317*N4317*O4317</f>
        <v/>
      </c>
      <c r="X4317" s="12">
        <f>IF(LEFT(I4317,2)="MV",2*N4317*IF(L4317="1/C",O4317,1),0)</f>
        <v/>
      </c>
      <c r="Y4317" s="12">
        <f>IF(OR(LEFT(K4317,4)="LVAX",LEFT(K4317,6)="MV15AX",LEFT(K4317,4)="CTAX",LEFT(K4317,2)="W|"),2*N4317*O4317,0)</f>
        <v/>
      </c>
      <c r="Z4317" s="12" t="inlineStr"/>
      <c r="AA4317" s="12">
        <f>N4317*O4317</f>
        <v/>
      </c>
    </row>
    <row r="4318">
      <c r="A4318" s="12" t="inlineStr">
        <is>
          <t>I-FA-0006</t>
        </is>
      </c>
      <c r="B4318" s="12" t="inlineStr">
        <is>
          <t>I</t>
        </is>
      </c>
      <c r="C4318" s="12" t="inlineStr">
        <is>
          <t>Modular / portable power</t>
        </is>
      </c>
      <c r="D4318" s="12" t="inlineStr">
        <is>
          <t>Fire alarm / F&amp;G loop (to the local FACP / F&amp;G node)</t>
        </is>
      </c>
      <c r="E4318" s="12" t="inlineStr"/>
      <c r="F4318" s="12" t="inlineStr">
        <is>
          <t>PCM: power control module</t>
        </is>
      </c>
      <c r="G4318" s="12" t="inlineStr"/>
      <c r="H4318" s="12" t="inlineStr">
        <is>
          <t>CONDITIONAL: SC-2 inlet chiller / evaporative cooler</t>
        </is>
      </c>
      <c r="I4318" s="12" t="inlineStr">
        <is>
          <t>Fire alarm</t>
        </is>
      </c>
      <c r="J4318" s="12" t="inlineStr">
        <is>
          <t>Fire alarm FPLR 2/C #14 shielded, red jacket (NEC 760)</t>
        </is>
      </c>
      <c r="K4318" s="12" t="inlineStr">
        <is>
          <t>FA|2/C|14</t>
        </is>
      </c>
      <c r="L4318" s="12" t="inlineStr">
        <is>
          <t>2/C</t>
        </is>
      </c>
      <c r="M4318" s="12" t="inlineStr">
        <is>
          <t>14</t>
        </is>
      </c>
      <c r="N4318" s="12" t="n">
        <v>1</v>
      </c>
      <c r="O4318" s="12" t="n">
        <v>1</v>
      </c>
      <c r="P4318" s="12" t="n"/>
      <c r="Q4318" s="12" t="n"/>
      <c r="R4318" s="12" t="n"/>
      <c r="S4318" s="12" t="inlineStr">
        <is>
          <t>HV duct bank</t>
        </is>
      </c>
      <c r="T4318" s="16" t="n">
        <v>4528</v>
      </c>
      <c r="U4318" s="16" t="n">
        <v>38</v>
      </c>
      <c r="V4318" s="16">
        <f>ROUNDUP((T4318+U4318+2*'Read Me'!$B$13)*(1+'Read Me'!$B$12),-1)</f>
        <v/>
      </c>
      <c r="W4318" s="16">
        <f>V4318*N4318*O4318</f>
        <v/>
      </c>
      <c r="X4318" s="12">
        <f>IF(LEFT(I4318,2)="MV",2*N4318*IF(L4318="1/C",O4318,1),0)</f>
        <v/>
      </c>
      <c r="Y4318" s="12">
        <f>IF(OR(LEFT(K4318,4)="LVAX",LEFT(K4318,6)="MV15AX",LEFT(K4318,4)="CTAX",LEFT(K4318,2)="W|"),2*N4318*O4318,0)</f>
        <v/>
      </c>
      <c r="Z4318" s="12" t="inlineStr"/>
      <c r="AA4318" s="12">
        <f>N4318*O4318</f>
        <v/>
      </c>
    </row>
    <row r="4319">
      <c r="A4319" s="12" t="inlineStr">
        <is>
          <t>I-FA-0007</t>
        </is>
      </c>
      <c r="B4319" s="12" t="inlineStr">
        <is>
          <t>I</t>
        </is>
      </c>
      <c r="C4319" s="12" t="inlineStr">
        <is>
          <t>Modular / portable power</t>
        </is>
      </c>
      <c r="D4319" s="12" t="inlineStr">
        <is>
          <t>Fire alarm / F&amp;G loop (to the local FACP / F&amp;G node)</t>
        </is>
      </c>
      <c r="E4319" s="12" t="inlineStr">
        <is>
          <t>PAD-EH</t>
        </is>
      </c>
      <c r="F4319" s="12" t="inlineStr">
        <is>
          <t>PAD-EH 13.8 kV switchgear e-house</t>
        </is>
      </c>
      <c r="G4319" s="12" t="inlineStr">
        <is>
          <t>CONT-1</t>
        </is>
      </c>
      <c r="H4319" s="12" t="inlineStr">
        <is>
          <t>CONT-1: containerized genset 13.8 kV (40 ft)</t>
        </is>
      </c>
      <c r="I4319" s="12" t="inlineStr">
        <is>
          <t>Fire alarm</t>
        </is>
      </c>
      <c r="J4319" s="12" t="inlineStr">
        <is>
          <t>Fire alarm FPLR 2/C #14 shielded, red jacket (NEC 760)</t>
        </is>
      </c>
      <c r="K4319" s="12" t="inlineStr">
        <is>
          <t>FA|2/C|14</t>
        </is>
      </c>
      <c r="L4319" s="12" t="inlineStr">
        <is>
          <t>2/C</t>
        </is>
      </c>
      <c r="M4319" s="12" t="inlineStr">
        <is>
          <t>14</t>
        </is>
      </c>
      <c r="N4319" s="12" t="n">
        <v>1</v>
      </c>
      <c r="O4319" s="12" t="n">
        <v>1</v>
      </c>
      <c r="P4319" s="12" t="n"/>
      <c r="Q4319" s="12" t="n"/>
      <c r="R4319" s="12" t="n"/>
      <c r="S4319" s="12" t="inlineStr">
        <is>
          <t>Surface</t>
        </is>
      </c>
      <c r="T4319" s="16" t="n">
        <v>298</v>
      </c>
      <c r="U4319" s="16" t="n">
        <v>37</v>
      </c>
      <c r="V4319" s="16">
        <f>ROUNDUP((T4319+U4319+2*'Read Me'!$B$13)*(1+'Read Me'!$B$12),-1)</f>
        <v/>
      </c>
      <c r="W4319" s="16">
        <f>V4319*N4319*O4319</f>
        <v/>
      </c>
      <c r="X4319" s="12">
        <f>IF(LEFT(I4319,2)="MV",2*N4319*IF(L4319="1/C",O4319,1),0)</f>
        <v/>
      </c>
      <c r="Y4319" s="12">
        <f>IF(OR(LEFT(K4319,4)="LVAX",LEFT(K4319,6)="MV15AX",LEFT(K4319,4)="CTAX",LEFT(K4319,2)="W|"),2*N4319*O4319,0)</f>
        <v/>
      </c>
      <c r="Z4319" s="12" t="inlineStr"/>
      <c r="AA4319" s="12">
        <f>N4319*O4319</f>
        <v/>
      </c>
    </row>
    <row r="4320">
      <c r="A4320" s="12" t="inlineStr">
        <is>
          <t>I-FA-0008</t>
        </is>
      </c>
      <c r="B4320" s="12" t="inlineStr">
        <is>
          <t>I</t>
        </is>
      </c>
      <c r="C4320" s="12" t="inlineStr">
        <is>
          <t>Modular / portable power</t>
        </is>
      </c>
      <c r="D4320" s="12" t="inlineStr">
        <is>
          <t>Fire alarm / F&amp;G loop (to the local FACP / F&amp;G node)</t>
        </is>
      </c>
      <c r="E4320" s="12" t="inlineStr">
        <is>
          <t>PAD-EH</t>
        </is>
      </c>
      <c r="F4320" s="12" t="inlineStr">
        <is>
          <t>PAD-EH 13.8 kV switchgear e-house</t>
        </is>
      </c>
      <c r="G4320" s="12" t="inlineStr">
        <is>
          <t>CONT-2</t>
        </is>
      </c>
      <c r="H4320" s="12" t="inlineStr">
        <is>
          <t>CONT-2: containerized genset 13.8 kV (40 ft)</t>
        </is>
      </c>
      <c r="I4320" s="12" t="inlineStr">
        <is>
          <t>Fire alarm</t>
        </is>
      </c>
      <c r="J4320" s="12" t="inlineStr">
        <is>
          <t>Fire alarm FPLR 2/C #14 shielded, red jacket (NEC 760)</t>
        </is>
      </c>
      <c r="K4320" s="12" t="inlineStr">
        <is>
          <t>FA|2/C|14</t>
        </is>
      </c>
      <c r="L4320" s="12" t="inlineStr">
        <is>
          <t>2/C</t>
        </is>
      </c>
      <c r="M4320" s="12" t="inlineStr">
        <is>
          <t>14</t>
        </is>
      </c>
      <c r="N4320" s="12" t="n">
        <v>1</v>
      </c>
      <c r="O4320" s="12" t="n">
        <v>1</v>
      </c>
      <c r="P4320" s="12" t="n"/>
      <c r="Q4320" s="12" t="n"/>
      <c r="R4320" s="12" t="n"/>
      <c r="S4320" s="12" t="inlineStr">
        <is>
          <t>Surface</t>
        </is>
      </c>
      <c r="T4320" s="16" t="n">
        <v>267</v>
      </c>
      <c r="U4320" s="16" t="n">
        <v>37</v>
      </c>
      <c r="V4320" s="16">
        <f>ROUNDUP((T4320+U4320+2*'Read Me'!$B$13)*(1+'Read Me'!$B$12),-1)</f>
        <v/>
      </c>
      <c r="W4320" s="16">
        <f>V4320*N4320*O4320</f>
        <v/>
      </c>
      <c r="X4320" s="12">
        <f>IF(LEFT(I4320,2)="MV",2*N4320*IF(L4320="1/C",O4320,1),0)</f>
        <v/>
      </c>
      <c r="Y4320" s="12">
        <f>IF(OR(LEFT(K4320,4)="LVAX",LEFT(K4320,6)="MV15AX",LEFT(K4320,4)="CTAX",LEFT(K4320,2)="W|"),2*N4320*O4320,0)</f>
        <v/>
      </c>
      <c r="Z4320" s="12" t="inlineStr"/>
      <c r="AA4320" s="12">
        <f>N4320*O4320</f>
        <v/>
      </c>
    </row>
    <row r="4321">
      <c r="A4321" s="12" t="inlineStr">
        <is>
          <t>I-FA-0009</t>
        </is>
      </c>
      <c r="B4321" s="12" t="inlineStr">
        <is>
          <t>I</t>
        </is>
      </c>
      <c r="C4321" s="12" t="inlineStr">
        <is>
          <t>Modular / portable power</t>
        </is>
      </c>
      <c r="D4321" s="12" t="inlineStr">
        <is>
          <t>Fire alarm / F&amp;G loop (to the local FACP / F&amp;G node)</t>
        </is>
      </c>
      <c r="E4321" s="12" t="inlineStr">
        <is>
          <t>PAD-EH</t>
        </is>
      </c>
      <c r="F4321" s="12" t="inlineStr">
        <is>
          <t>PAD-EH 13.8 kV switchgear e-house</t>
        </is>
      </c>
      <c r="G4321" s="12" t="inlineStr">
        <is>
          <t>CONT-3</t>
        </is>
      </c>
      <c r="H4321" s="12" t="inlineStr">
        <is>
          <t>CONT-3: containerized gas genset 13.8 kV (40 ft)</t>
        </is>
      </c>
      <c r="I4321" s="12" t="inlineStr">
        <is>
          <t>Fire alarm</t>
        </is>
      </c>
      <c r="J4321" s="12" t="inlineStr">
        <is>
          <t>Fire alarm FPLR 2/C #14 shielded, red jacket (NEC 760)</t>
        </is>
      </c>
      <c r="K4321" s="12" t="inlineStr">
        <is>
          <t>FA|2/C|14</t>
        </is>
      </c>
      <c r="L4321" s="12" t="inlineStr">
        <is>
          <t>2/C</t>
        </is>
      </c>
      <c r="M4321" s="12" t="inlineStr">
        <is>
          <t>14</t>
        </is>
      </c>
      <c r="N4321" s="12" t="n">
        <v>1</v>
      </c>
      <c r="O4321" s="12" t="n">
        <v>1</v>
      </c>
      <c r="P4321" s="12" t="n"/>
      <c r="Q4321" s="12" t="n"/>
      <c r="R4321" s="12" t="n"/>
      <c r="S4321" s="12" t="inlineStr">
        <is>
          <t>Surface</t>
        </is>
      </c>
      <c r="T4321" s="16" t="n">
        <v>191</v>
      </c>
      <c r="U4321" s="16" t="n">
        <v>32</v>
      </c>
      <c r="V4321" s="16">
        <f>ROUNDUP((T4321+U4321+2*'Read Me'!$B$13)*(1+'Read Me'!$B$12),-1)</f>
        <v/>
      </c>
      <c r="W4321" s="16">
        <f>V4321*N4321*O4321</f>
        <v/>
      </c>
      <c r="X4321" s="12">
        <f>IF(LEFT(I4321,2)="MV",2*N4321*IF(L4321="1/C",O4321,1),0)</f>
        <v/>
      </c>
      <c r="Y4321" s="12">
        <f>IF(OR(LEFT(K4321,4)="LVAX",LEFT(K4321,6)="MV15AX",LEFT(K4321,4)="CTAX",LEFT(K4321,2)="W|"),2*N4321*O4321,0)</f>
        <v/>
      </c>
      <c r="Z4321" s="12" t="inlineStr"/>
      <c r="AA4321" s="12">
        <f>N4321*O4321</f>
        <v/>
      </c>
    </row>
    <row r="4322">
      <c r="A4322" s="12" t="inlineStr">
        <is>
          <t>I-FA-0010</t>
        </is>
      </c>
      <c r="B4322" s="12" t="inlineStr">
        <is>
          <t>I</t>
        </is>
      </c>
      <c r="C4322" s="12" t="inlineStr">
        <is>
          <t>Modular / portable power</t>
        </is>
      </c>
      <c r="D4322" s="12" t="inlineStr">
        <is>
          <t>Fire alarm / F&amp;G loop (to the local FACP / F&amp;G node)</t>
        </is>
      </c>
      <c r="E4322" s="12" t="inlineStr">
        <is>
          <t>PAD-EH</t>
        </is>
      </c>
      <c r="F4322" s="12" t="inlineStr">
        <is>
          <t>PAD-EH 13.8 kV switchgear e-house</t>
        </is>
      </c>
      <c r="G4322" s="12" t="inlineStr">
        <is>
          <t>CONT-4</t>
        </is>
      </c>
      <c r="H4322" s="12" t="inlineStr">
        <is>
          <t>CONT-4: containerized gas genset 13.8 kV (40 ft)</t>
        </is>
      </c>
      <c r="I4322" s="12" t="inlineStr">
        <is>
          <t>Fire alarm</t>
        </is>
      </c>
      <c r="J4322" s="12" t="inlineStr">
        <is>
          <t>Fire alarm FPLR 2/C #14 shielded, red jacket (NEC 760)</t>
        </is>
      </c>
      <c r="K4322" s="12" t="inlineStr">
        <is>
          <t>FA|2/C|14</t>
        </is>
      </c>
      <c r="L4322" s="12" t="inlineStr">
        <is>
          <t>2/C</t>
        </is>
      </c>
      <c r="M4322" s="12" t="inlineStr">
        <is>
          <t>14</t>
        </is>
      </c>
      <c r="N4322" s="12" t="n">
        <v>1</v>
      </c>
      <c r="O4322" s="12" t="n">
        <v>1</v>
      </c>
      <c r="P4322" s="12" t="n"/>
      <c r="Q4322" s="12" t="n"/>
      <c r="R4322" s="12" t="n"/>
      <c r="S4322" s="12" t="inlineStr">
        <is>
          <t>Duct bank</t>
        </is>
      </c>
      <c r="T4322" s="16" t="n">
        <v>62</v>
      </c>
      <c r="U4322" s="16" t="n">
        <v>81</v>
      </c>
      <c r="V4322" s="16">
        <f>ROUNDUP((T4322+U4322+2*'Read Me'!$B$13)*(1+'Read Me'!$B$12),-1)</f>
        <v/>
      </c>
      <c r="W4322" s="16">
        <f>V4322*N4322*O4322</f>
        <v/>
      </c>
      <c r="X4322" s="12">
        <f>IF(LEFT(I4322,2)="MV",2*N4322*IF(L4322="1/C",O4322,1),0)</f>
        <v/>
      </c>
      <c r="Y4322" s="12">
        <f>IF(OR(LEFT(K4322,4)="LVAX",LEFT(K4322,6)="MV15AX",LEFT(K4322,4)="CTAX",LEFT(K4322,2)="W|"),2*N4322*O4322,0)</f>
        <v/>
      </c>
      <c r="Z4322" s="12" t="inlineStr"/>
      <c r="AA4322" s="12">
        <f>N4322*O4322</f>
        <v/>
      </c>
    </row>
    <row r="4323">
      <c r="A4323" s="12" t="inlineStr">
        <is>
          <t>I-FA-0011</t>
        </is>
      </c>
      <c r="B4323" s="12" t="inlineStr">
        <is>
          <t>I</t>
        </is>
      </c>
      <c r="C4323" s="12" t="inlineStr">
        <is>
          <t>Modular / portable power</t>
        </is>
      </c>
      <c r="D4323" s="12" t="inlineStr">
        <is>
          <t>Fire alarm / F&amp;G loop (to the local FACP / F&amp;G node)</t>
        </is>
      </c>
      <c r="E4323" s="12" t="inlineStr">
        <is>
          <t>PAD-EH</t>
        </is>
      </c>
      <c r="F4323" s="12" t="inlineStr">
        <is>
          <t>PAD-EH 13.8 kV switchgear e-house</t>
        </is>
      </c>
      <c r="G4323" s="12" t="inlineStr">
        <is>
          <t>CONT-5</t>
        </is>
      </c>
      <c r="H4323" s="12" t="inlineStr">
        <is>
          <t>CONT-5: containerized gas genset 13.8 kV (40 ft)</t>
        </is>
      </c>
      <c r="I4323" s="12" t="inlineStr">
        <is>
          <t>Fire alarm</t>
        </is>
      </c>
      <c r="J4323" s="12" t="inlineStr">
        <is>
          <t>Fire alarm FPLR 2/C #14 shielded, red jacket (NEC 760)</t>
        </is>
      </c>
      <c r="K4323" s="12" t="inlineStr">
        <is>
          <t>FA|2/C|14</t>
        </is>
      </c>
      <c r="L4323" s="12" t="inlineStr">
        <is>
          <t>2/C</t>
        </is>
      </c>
      <c r="M4323" s="12" t="inlineStr">
        <is>
          <t>14</t>
        </is>
      </c>
      <c r="N4323" s="12" t="n">
        <v>1</v>
      </c>
      <c r="O4323" s="12" t="n">
        <v>1</v>
      </c>
      <c r="P4323" s="12" t="n"/>
      <c r="Q4323" s="12" t="n"/>
      <c r="R4323" s="12" t="n"/>
      <c r="S4323" s="12" t="inlineStr">
        <is>
          <t>Duct bank</t>
        </is>
      </c>
      <c r="T4323" s="16" t="n">
        <v>25</v>
      </c>
      <c r="U4323" s="16" t="n">
        <v>58</v>
      </c>
      <c r="V4323" s="16">
        <f>ROUNDUP((T4323+U4323+2*'Read Me'!$B$13)*(1+'Read Me'!$B$12),-1)</f>
        <v/>
      </c>
      <c r="W4323" s="16">
        <f>V4323*N4323*O4323</f>
        <v/>
      </c>
      <c r="X4323" s="12">
        <f>IF(LEFT(I4323,2)="MV",2*N4323*IF(L4323="1/C",O4323,1),0)</f>
        <v/>
      </c>
      <c r="Y4323" s="12">
        <f>IF(OR(LEFT(K4323,4)="LVAX",LEFT(K4323,6)="MV15AX",LEFT(K4323,4)="CTAX",LEFT(K4323,2)="W|"),2*N4323*O4323,0)</f>
        <v/>
      </c>
      <c r="Z4323" s="12" t="inlineStr"/>
      <c r="AA4323" s="12">
        <f>N4323*O4323</f>
        <v/>
      </c>
    </row>
    <row r="4324">
      <c r="A4324" s="12" t="inlineStr">
        <is>
          <t>I-FA-0012</t>
        </is>
      </c>
      <c r="B4324" s="12" t="inlineStr">
        <is>
          <t>I</t>
        </is>
      </c>
      <c r="C4324" s="12" t="inlineStr">
        <is>
          <t>Modular / portable power</t>
        </is>
      </c>
      <c r="D4324" s="12" t="inlineStr">
        <is>
          <t>Fire alarm / F&amp;G loop (to the local FACP / F&amp;G node)</t>
        </is>
      </c>
      <c r="E4324" s="12" t="inlineStr">
        <is>
          <t>PAD-EH</t>
        </is>
      </c>
      <c r="F4324" s="12" t="inlineStr">
        <is>
          <t>PAD-EH 13.8 kV switchgear e-house</t>
        </is>
      </c>
      <c r="G4324" s="12" t="inlineStr">
        <is>
          <t>CONT-6</t>
        </is>
      </c>
      <c r="H4324" s="12" t="inlineStr">
        <is>
          <t>CONT-6: containerized gas genset 13.8 kV (40 ft)</t>
        </is>
      </c>
      <c r="I4324" s="12" t="inlineStr">
        <is>
          <t>Fire alarm</t>
        </is>
      </c>
      <c r="J4324" s="12" t="inlineStr">
        <is>
          <t>Fire alarm FPLR 2/C #14 shielded, red jacket (NEC 760)</t>
        </is>
      </c>
      <c r="K4324" s="12" t="inlineStr">
        <is>
          <t>FA|2/C|14</t>
        </is>
      </c>
      <c r="L4324" s="12" t="inlineStr">
        <is>
          <t>2/C</t>
        </is>
      </c>
      <c r="M4324" s="12" t="inlineStr">
        <is>
          <t>14</t>
        </is>
      </c>
      <c r="N4324" s="12" t="n">
        <v>1</v>
      </c>
      <c r="O4324" s="12" t="n">
        <v>1</v>
      </c>
      <c r="P4324" s="12" t="n"/>
      <c r="Q4324" s="12" t="n"/>
      <c r="R4324" s="12" t="n"/>
      <c r="S4324" s="12" t="inlineStr">
        <is>
          <t>Surface</t>
        </is>
      </c>
      <c r="T4324" s="16" t="n">
        <v>228</v>
      </c>
      <c r="U4324" s="16" t="n">
        <v>46</v>
      </c>
      <c r="V4324" s="16">
        <f>ROUNDUP((T4324+U4324+2*'Read Me'!$B$13)*(1+'Read Me'!$B$12),-1)</f>
        <v/>
      </c>
      <c r="W4324" s="16">
        <f>V4324*N4324*O4324</f>
        <v/>
      </c>
      <c r="X4324" s="12">
        <f>IF(LEFT(I4324,2)="MV",2*N4324*IF(L4324="1/C",O4324,1),0)</f>
        <v/>
      </c>
      <c r="Y4324" s="12">
        <f>IF(OR(LEFT(K4324,4)="LVAX",LEFT(K4324,6)="MV15AX",LEFT(K4324,4)="CTAX",LEFT(K4324,2)="W|"),2*N4324*O4324,0)</f>
        <v/>
      </c>
      <c r="Z4324" s="12" t="inlineStr"/>
      <c r="AA4324" s="12">
        <f>N4324*O4324</f>
        <v/>
      </c>
    </row>
    <row r="4325">
      <c r="A4325" s="12" t="inlineStr">
        <is>
          <t>I-FA-0013</t>
        </is>
      </c>
      <c r="B4325" s="12" t="inlineStr">
        <is>
          <t>I</t>
        </is>
      </c>
      <c r="C4325" s="12" t="inlineStr">
        <is>
          <t>Modular / portable power</t>
        </is>
      </c>
      <c r="D4325" s="12" t="inlineStr">
        <is>
          <t>Fire alarm / F&amp;G loop (to the local FACP / F&amp;G node)</t>
        </is>
      </c>
      <c r="E4325" s="12" t="inlineStr">
        <is>
          <t>PAD-EH</t>
        </is>
      </c>
      <c r="F4325" s="12" t="inlineStr">
        <is>
          <t>PAD-EH 13.8 kV switchgear e-house</t>
        </is>
      </c>
      <c r="G4325" s="12" t="inlineStr">
        <is>
          <t>CONT-7</t>
        </is>
      </c>
      <c r="H4325" s="12" t="inlineStr">
        <is>
          <t>CONT-7: containerized gas genset 13.8 kV (40 ft)</t>
        </is>
      </c>
      <c r="I4325" s="12" t="inlineStr">
        <is>
          <t>Fire alarm</t>
        </is>
      </c>
      <c r="J4325" s="12" t="inlineStr">
        <is>
          <t>Fire alarm FPLR 2/C #14 shielded, red jacket (NEC 760)</t>
        </is>
      </c>
      <c r="K4325" s="12" t="inlineStr">
        <is>
          <t>FA|2/C|14</t>
        </is>
      </c>
      <c r="L4325" s="12" t="inlineStr">
        <is>
          <t>2/C</t>
        </is>
      </c>
      <c r="M4325" s="12" t="inlineStr">
        <is>
          <t>14</t>
        </is>
      </c>
      <c r="N4325" s="12" t="n">
        <v>1</v>
      </c>
      <c r="O4325" s="12" t="n">
        <v>1</v>
      </c>
      <c r="P4325" s="12" t="n"/>
      <c r="Q4325" s="12" t="n"/>
      <c r="R4325" s="12" t="n"/>
      <c r="S4325" s="12" t="inlineStr">
        <is>
          <t>Surface</t>
        </is>
      </c>
      <c r="T4325" s="16" t="n">
        <v>228</v>
      </c>
      <c r="U4325" s="16" t="n">
        <v>46</v>
      </c>
      <c r="V4325" s="16">
        <f>ROUNDUP((T4325+U4325+2*'Read Me'!$B$13)*(1+'Read Me'!$B$12),-1)</f>
        <v/>
      </c>
      <c r="W4325" s="16">
        <f>V4325*N4325*O4325</f>
        <v/>
      </c>
      <c r="X4325" s="12">
        <f>IF(LEFT(I4325,2)="MV",2*N4325*IF(L4325="1/C",O4325,1),0)</f>
        <v/>
      </c>
      <c r="Y4325" s="12">
        <f>IF(OR(LEFT(K4325,4)="LVAX",LEFT(K4325,6)="MV15AX",LEFT(K4325,4)="CTAX",LEFT(K4325,2)="W|"),2*N4325*O4325,0)</f>
        <v/>
      </c>
      <c r="Z4325" s="12" t="inlineStr"/>
      <c r="AA4325" s="12">
        <f>N4325*O4325</f>
        <v/>
      </c>
    </row>
    <row r="4326">
      <c r="A4326" s="12" t="inlineStr">
        <is>
          <t>I-FA-0014</t>
        </is>
      </c>
      <c r="B4326" s="12" t="inlineStr">
        <is>
          <t>I</t>
        </is>
      </c>
      <c r="C4326" s="12" t="inlineStr">
        <is>
          <t>Modular / portable power</t>
        </is>
      </c>
      <c r="D4326" s="12" t="inlineStr">
        <is>
          <t>Fire alarm / F&amp;G loop (to the local FACP / F&amp;G node)</t>
        </is>
      </c>
      <c r="E4326" s="12" t="inlineStr">
        <is>
          <t>PAD-EH</t>
        </is>
      </c>
      <c r="F4326" s="12" t="inlineStr">
        <is>
          <t>PAD-EH 13.8 kV switchgear e-house</t>
        </is>
      </c>
      <c r="G4326" s="12" t="inlineStr">
        <is>
          <t>CONT-8</t>
        </is>
      </c>
      <c r="H4326" s="12" t="inlineStr">
        <is>
          <t>CONT-8: containerized gas genset 13.8 kV (40 ft)</t>
        </is>
      </c>
      <c r="I4326" s="12" t="inlineStr">
        <is>
          <t>Fire alarm</t>
        </is>
      </c>
      <c r="J4326" s="12" t="inlineStr">
        <is>
          <t>Fire alarm FPLR 2/C #14 shielded, red jacket (NEC 760)</t>
        </is>
      </c>
      <c r="K4326" s="12" t="inlineStr">
        <is>
          <t>FA|2/C|14</t>
        </is>
      </c>
      <c r="L4326" s="12" t="inlineStr">
        <is>
          <t>2/C</t>
        </is>
      </c>
      <c r="M4326" s="12" t="inlineStr">
        <is>
          <t>14</t>
        </is>
      </c>
      <c r="N4326" s="12" t="n">
        <v>1</v>
      </c>
      <c r="O4326" s="12" t="n">
        <v>1</v>
      </c>
      <c r="P4326" s="12" t="n"/>
      <c r="Q4326" s="12" t="n"/>
      <c r="R4326" s="12" t="n"/>
      <c r="S4326" s="12" t="inlineStr">
        <is>
          <t>Surface</t>
        </is>
      </c>
      <c r="T4326" s="16" t="n">
        <v>16</v>
      </c>
      <c r="U4326" s="16" t="n">
        <v>117</v>
      </c>
      <c r="V4326" s="16">
        <f>ROUNDUP((T4326+U4326+2*'Read Me'!$B$13)*(1+'Read Me'!$B$12),-1)</f>
        <v/>
      </c>
      <c r="W4326" s="16">
        <f>V4326*N4326*O4326</f>
        <v/>
      </c>
      <c r="X4326" s="12">
        <f>IF(LEFT(I4326,2)="MV",2*N4326*IF(L4326="1/C",O4326,1),0)</f>
        <v/>
      </c>
      <c r="Y4326" s="12">
        <f>IF(OR(LEFT(K4326,4)="LVAX",LEFT(K4326,6)="MV15AX",LEFT(K4326,4)="CTAX",LEFT(K4326,2)="W|"),2*N4326*O4326,0)</f>
        <v/>
      </c>
      <c r="Z4326" s="12" t="inlineStr"/>
      <c r="AA4326" s="12">
        <f>N4326*O4326</f>
        <v/>
      </c>
    </row>
    <row r="4327">
      <c r="A4327" s="12" t="inlineStr">
        <is>
          <t>I-FA-0015</t>
        </is>
      </c>
      <c r="B4327" s="12" t="inlineStr">
        <is>
          <t>I</t>
        </is>
      </c>
      <c r="C4327" s="12" t="inlineStr">
        <is>
          <t>Modular / portable power</t>
        </is>
      </c>
      <c r="D4327" s="12" t="inlineStr">
        <is>
          <t>Fire alarm / F&amp;G loop (to the local FACP / F&amp;G node)</t>
        </is>
      </c>
      <c r="E4327" s="12" t="inlineStr">
        <is>
          <t>PAD-EH</t>
        </is>
      </c>
      <c r="F4327" s="12" t="inlineStr">
        <is>
          <t>PAD-EH 13.8 kV switchgear e-house</t>
        </is>
      </c>
      <c r="G4327" s="12" t="inlineStr">
        <is>
          <t>FC-10</t>
        </is>
      </c>
      <c r="H4327" s="12" t="inlineStr">
        <is>
          <t>FC-10: SOFC module (Bloom ES5 class, 200-300 kW)</t>
        </is>
      </c>
      <c r="I4327" s="12" t="inlineStr">
        <is>
          <t>Fire alarm</t>
        </is>
      </c>
      <c r="J4327" s="12" t="inlineStr">
        <is>
          <t>Fire alarm FPLR 2/C #14 shielded, red jacket (NEC 760)</t>
        </is>
      </c>
      <c r="K4327" s="12" t="inlineStr">
        <is>
          <t>FA|2/C|14</t>
        </is>
      </c>
      <c r="L4327" s="12" t="inlineStr">
        <is>
          <t>2/C</t>
        </is>
      </c>
      <c r="M4327" s="12" t="inlineStr">
        <is>
          <t>14</t>
        </is>
      </c>
      <c r="N4327" s="12" t="n">
        <v>1</v>
      </c>
      <c r="O4327" s="12" t="n">
        <v>1</v>
      </c>
      <c r="P4327" s="12" t="n"/>
      <c r="Q4327" s="12" t="n"/>
      <c r="R4327" s="12" t="n"/>
      <c r="S4327" s="12" t="inlineStr">
        <is>
          <t>Duct bank</t>
        </is>
      </c>
      <c r="T4327" s="16" t="n">
        <v>286</v>
      </c>
      <c r="U4327" s="16" t="n">
        <v>50</v>
      </c>
      <c r="V4327" s="16">
        <f>ROUNDUP((T4327+U4327+2*'Read Me'!$B$13)*(1+'Read Me'!$B$12),-1)</f>
        <v/>
      </c>
      <c r="W4327" s="16">
        <f>V4327*N4327*O4327</f>
        <v/>
      </c>
      <c r="X4327" s="12">
        <f>IF(LEFT(I4327,2)="MV",2*N4327*IF(L4327="1/C",O4327,1),0)</f>
        <v/>
      </c>
      <c r="Y4327" s="12">
        <f>IF(OR(LEFT(K4327,4)="LVAX",LEFT(K4327,6)="MV15AX",LEFT(K4327,4)="CTAX",LEFT(K4327,2)="W|"),2*N4327*O4327,0)</f>
        <v/>
      </c>
      <c r="Z4327" s="12" t="inlineStr"/>
      <c r="AA4327" s="12">
        <f>N4327*O4327</f>
        <v/>
      </c>
    </row>
    <row r="4328">
      <c r="A4328" s="12" t="inlineStr">
        <is>
          <t>I-FA-0016</t>
        </is>
      </c>
      <c r="B4328" s="12" t="inlineStr">
        <is>
          <t>I</t>
        </is>
      </c>
      <c r="C4328" s="12" t="inlineStr">
        <is>
          <t>Modular / portable power</t>
        </is>
      </c>
      <c r="D4328" s="12" t="inlineStr">
        <is>
          <t>Fire alarm / F&amp;G loop (to the local FACP / F&amp;G node)</t>
        </is>
      </c>
      <c r="E4328" s="12" t="inlineStr">
        <is>
          <t>PAD-EH</t>
        </is>
      </c>
      <c r="F4328" s="12" t="inlineStr">
        <is>
          <t>PAD-EH 13.8 kV switchgear e-house</t>
        </is>
      </c>
      <c r="G4328" s="12" t="inlineStr">
        <is>
          <t>FC-11</t>
        </is>
      </c>
      <c r="H4328" s="12" t="inlineStr">
        <is>
          <t>FC-11: SOFC module (Bloom ES5 class, 200-300 kW)</t>
        </is>
      </c>
      <c r="I4328" s="12" t="inlineStr">
        <is>
          <t>Fire alarm</t>
        </is>
      </c>
      <c r="J4328" s="12" t="inlineStr">
        <is>
          <t>Fire alarm FPLR 2/C #14 shielded, red jacket (NEC 760)</t>
        </is>
      </c>
      <c r="K4328" s="12" t="inlineStr">
        <is>
          <t>FA|2/C|14</t>
        </is>
      </c>
      <c r="L4328" s="12" t="inlineStr">
        <is>
          <t>2/C</t>
        </is>
      </c>
      <c r="M4328" s="12" t="inlineStr">
        <is>
          <t>14</t>
        </is>
      </c>
      <c r="N4328" s="12" t="n">
        <v>1</v>
      </c>
      <c r="O4328" s="12" t="n">
        <v>1</v>
      </c>
      <c r="P4328" s="12" t="n"/>
      <c r="Q4328" s="12" t="n"/>
      <c r="R4328" s="12" t="n"/>
      <c r="S4328" s="12" t="inlineStr">
        <is>
          <t>Duct bank</t>
        </is>
      </c>
      <c r="T4328" s="16" t="n">
        <v>272</v>
      </c>
      <c r="U4328" s="16" t="n">
        <v>50</v>
      </c>
      <c r="V4328" s="16">
        <f>ROUNDUP((T4328+U4328+2*'Read Me'!$B$13)*(1+'Read Me'!$B$12),-1)</f>
        <v/>
      </c>
      <c r="W4328" s="16">
        <f>V4328*N4328*O4328</f>
        <v/>
      </c>
      <c r="X4328" s="12">
        <f>IF(LEFT(I4328,2)="MV",2*N4328*IF(L4328="1/C",O4328,1),0)</f>
        <v/>
      </c>
      <c r="Y4328" s="12">
        <f>IF(OR(LEFT(K4328,4)="LVAX",LEFT(K4328,6)="MV15AX",LEFT(K4328,4)="CTAX",LEFT(K4328,2)="W|"),2*N4328*O4328,0)</f>
        <v/>
      </c>
      <c r="Z4328" s="12" t="inlineStr"/>
      <c r="AA4328" s="12">
        <f>N4328*O4328</f>
        <v/>
      </c>
    </row>
    <row r="4329">
      <c r="A4329" s="12" t="inlineStr">
        <is>
          <t>I-FA-0017</t>
        </is>
      </c>
      <c r="B4329" s="12" t="inlineStr">
        <is>
          <t>I</t>
        </is>
      </c>
      <c r="C4329" s="12" t="inlineStr">
        <is>
          <t>Modular / portable power</t>
        </is>
      </c>
      <c r="D4329" s="12" t="inlineStr">
        <is>
          <t>Fire alarm / F&amp;G loop (to the local FACP / F&amp;G node)</t>
        </is>
      </c>
      <c r="E4329" s="12" t="inlineStr">
        <is>
          <t>PAD-EH</t>
        </is>
      </c>
      <c r="F4329" s="12" t="inlineStr">
        <is>
          <t>PAD-EH 13.8 kV switchgear e-house</t>
        </is>
      </c>
      <c r="G4329" s="12" t="inlineStr">
        <is>
          <t>FC-12</t>
        </is>
      </c>
      <c r="H4329" s="12" t="inlineStr">
        <is>
          <t>FC-12: SOFC module (Bloom ES5 class, 200-300 kW)</t>
        </is>
      </c>
      <c r="I4329" s="12" t="inlineStr">
        <is>
          <t>Fire alarm</t>
        </is>
      </c>
      <c r="J4329" s="12" t="inlineStr">
        <is>
          <t>Fire alarm FPLR 2/C #14 shielded, red jacket (NEC 760)</t>
        </is>
      </c>
      <c r="K4329" s="12" t="inlineStr">
        <is>
          <t>FA|2/C|14</t>
        </is>
      </c>
      <c r="L4329" s="12" t="inlineStr">
        <is>
          <t>2/C</t>
        </is>
      </c>
      <c r="M4329" s="12" t="inlineStr">
        <is>
          <t>14</t>
        </is>
      </c>
      <c r="N4329" s="12" t="n">
        <v>1</v>
      </c>
      <c r="O4329" s="12" t="n">
        <v>1</v>
      </c>
      <c r="P4329" s="12" t="n"/>
      <c r="Q4329" s="12" t="n"/>
      <c r="R4329" s="12" t="n"/>
      <c r="S4329" s="12" t="inlineStr">
        <is>
          <t>Duct bank</t>
        </is>
      </c>
      <c r="T4329" s="16" t="n">
        <v>272</v>
      </c>
      <c r="U4329" s="16" t="n">
        <v>41</v>
      </c>
      <c r="V4329" s="16">
        <f>ROUNDUP((T4329+U4329+2*'Read Me'!$B$13)*(1+'Read Me'!$B$12),-1)</f>
        <v/>
      </c>
      <c r="W4329" s="16">
        <f>V4329*N4329*O4329</f>
        <v/>
      </c>
      <c r="X4329" s="12">
        <f>IF(LEFT(I4329,2)="MV",2*N4329*IF(L4329="1/C",O4329,1),0)</f>
        <v/>
      </c>
      <c r="Y4329" s="12">
        <f>IF(OR(LEFT(K4329,4)="LVAX",LEFT(K4329,6)="MV15AX",LEFT(K4329,4)="CTAX",LEFT(K4329,2)="W|"),2*N4329*O4329,0)</f>
        <v/>
      </c>
      <c r="Z4329" s="12" t="inlineStr"/>
      <c r="AA4329" s="12">
        <f>N4329*O4329</f>
        <v/>
      </c>
    </row>
    <row r="4330">
      <c r="A4330" s="12" t="inlineStr">
        <is>
          <t>I-FA-0018</t>
        </is>
      </c>
      <c r="B4330" s="12" t="inlineStr">
        <is>
          <t>I</t>
        </is>
      </c>
      <c r="C4330" s="12" t="inlineStr">
        <is>
          <t>Modular / portable power</t>
        </is>
      </c>
      <c r="D4330" s="12" t="inlineStr">
        <is>
          <t>Fire alarm / F&amp;G loop (to the local FACP / F&amp;G node)</t>
        </is>
      </c>
      <c r="E4330" s="12" t="inlineStr"/>
      <c r="F4330" s="12" t="inlineStr">
        <is>
          <t>PCM: power control module</t>
        </is>
      </c>
      <c r="G4330" s="12" t="inlineStr"/>
      <c r="H4330" s="12" t="inlineStr">
        <is>
          <t>FC-1: SOFC module (Bloom ES5 class, 200-300 kW)</t>
        </is>
      </c>
      <c r="I4330" s="12" t="inlineStr">
        <is>
          <t>Fire alarm</t>
        </is>
      </c>
      <c r="J4330" s="12" t="inlineStr">
        <is>
          <t>Fire alarm FPLR 2/C #14 shielded, red jacket (NEC 760)</t>
        </is>
      </c>
      <c r="K4330" s="12" t="inlineStr">
        <is>
          <t>FA|2/C|14</t>
        </is>
      </c>
      <c r="L4330" s="12" t="inlineStr">
        <is>
          <t>2/C</t>
        </is>
      </c>
      <c r="M4330" s="12" t="inlineStr">
        <is>
          <t>14</t>
        </is>
      </c>
      <c r="N4330" s="12" t="n">
        <v>1</v>
      </c>
      <c r="O4330" s="12" t="n">
        <v>1</v>
      </c>
      <c r="P4330" s="12" t="n"/>
      <c r="Q4330" s="12" t="n"/>
      <c r="R4330" s="12" t="n"/>
      <c r="S4330" s="12" t="inlineStr">
        <is>
          <t>Duct bank</t>
        </is>
      </c>
      <c r="T4330" s="16" t="n">
        <v>1048</v>
      </c>
      <c r="U4330" s="16" t="n">
        <v>96</v>
      </c>
      <c r="V4330" s="16">
        <f>ROUNDUP((T4330+U4330+2*'Read Me'!$B$13)*(1+'Read Me'!$B$12),-1)</f>
        <v/>
      </c>
      <c r="W4330" s="16">
        <f>V4330*N4330*O4330</f>
        <v/>
      </c>
      <c r="X4330" s="12">
        <f>IF(LEFT(I4330,2)="MV",2*N4330*IF(L4330="1/C",O4330,1),0)</f>
        <v/>
      </c>
      <c r="Y4330" s="12">
        <f>IF(OR(LEFT(K4330,4)="LVAX",LEFT(K4330,6)="MV15AX",LEFT(K4330,4)="CTAX",LEFT(K4330,2)="W|"),2*N4330*O4330,0)</f>
        <v/>
      </c>
      <c r="Z4330" s="12" t="inlineStr"/>
      <c r="AA4330" s="12">
        <f>N4330*O4330</f>
        <v/>
      </c>
    </row>
    <row r="4331">
      <c r="A4331" s="12" t="inlineStr">
        <is>
          <t>I-FA-0019</t>
        </is>
      </c>
      <c r="B4331" s="12" t="inlineStr">
        <is>
          <t>I</t>
        </is>
      </c>
      <c r="C4331" s="12" t="inlineStr">
        <is>
          <t>Modular / portable power</t>
        </is>
      </c>
      <c r="D4331" s="12" t="inlineStr">
        <is>
          <t>Fire alarm / F&amp;G loop (to the local FACP / F&amp;G node)</t>
        </is>
      </c>
      <c r="E4331" s="12" t="inlineStr"/>
      <c r="F4331" s="12" t="inlineStr">
        <is>
          <t>PCM: power control module</t>
        </is>
      </c>
      <c r="G4331" s="12" t="inlineStr"/>
      <c r="H4331" s="12" t="inlineStr">
        <is>
          <t>FC-2: SOFC module (Bloom ES5 class, 200-300 kW)</t>
        </is>
      </c>
      <c r="I4331" s="12" t="inlineStr">
        <is>
          <t>Fire alarm</t>
        </is>
      </c>
      <c r="J4331" s="12" t="inlineStr">
        <is>
          <t>Fire alarm FPLR 2/C #14 shielded, red jacket (NEC 760)</t>
        </is>
      </c>
      <c r="K4331" s="12" t="inlineStr">
        <is>
          <t>FA|2/C|14</t>
        </is>
      </c>
      <c r="L4331" s="12" t="inlineStr">
        <is>
          <t>2/C</t>
        </is>
      </c>
      <c r="M4331" s="12" t="inlineStr">
        <is>
          <t>14</t>
        </is>
      </c>
      <c r="N4331" s="12" t="n">
        <v>1</v>
      </c>
      <c r="O4331" s="12" t="n">
        <v>1</v>
      </c>
      <c r="P4331" s="12" t="n"/>
      <c r="Q4331" s="12" t="n"/>
      <c r="R4331" s="12" t="n"/>
      <c r="S4331" s="12" t="inlineStr">
        <is>
          <t>Duct bank</t>
        </is>
      </c>
      <c r="T4331" s="16" t="n">
        <v>1048</v>
      </c>
      <c r="U4331" s="16" t="n">
        <v>82</v>
      </c>
      <c r="V4331" s="16">
        <f>ROUNDUP((T4331+U4331+2*'Read Me'!$B$13)*(1+'Read Me'!$B$12),-1)</f>
        <v/>
      </c>
      <c r="W4331" s="16">
        <f>V4331*N4331*O4331</f>
        <v/>
      </c>
      <c r="X4331" s="12">
        <f>IF(LEFT(I4331,2)="MV",2*N4331*IF(L4331="1/C",O4331,1),0)</f>
        <v/>
      </c>
      <c r="Y4331" s="12">
        <f>IF(OR(LEFT(K4331,4)="LVAX",LEFT(K4331,6)="MV15AX",LEFT(K4331,4)="CTAX",LEFT(K4331,2)="W|"),2*N4331*O4331,0)</f>
        <v/>
      </c>
      <c r="Z4331" s="12" t="inlineStr"/>
      <c r="AA4331" s="12">
        <f>N4331*O4331</f>
        <v/>
      </c>
    </row>
    <row r="4332">
      <c r="A4332" s="12" t="inlineStr">
        <is>
          <t>I-FA-0020</t>
        </is>
      </c>
      <c r="B4332" s="12" t="inlineStr">
        <is>
          <t>I</t>
        </is>
      </c>
      <c r="C4332" s="12" t="inlineStr">
        <is>
          <t>Modular / portable power</t>
        </is>
      </c>
      <c r="D4332" s="12" t="inlineStr">
        <is>
          <t>Fire alarm / F&amp;G loop (to the local FACP / F&amp;G node)</t>
        </is>
      </c>
      <c r="E4332" s="12" t="inlineStr"/>
      <c r="F4332" s="12" t="inlineStr">
        <is>
          <t>PCM: power control module</t>
        </is>
      </c>
      <c r="G4332" s="12" t="inlineStr"/>
      <c r="H4332" s="12" t="inlineStr">
        <is>
          <t>FC-3: SOFC module (Bloom ES5 class, 200-300 kW)</t>
        </is>
      </c>
      <c r="I4332" s="12" t="inlineStr">
        <is>
          <t>Fire alarm</t>
        </is>
      </c>
      <c r="J4332" s="12" t="inlineStr">
        <is>
          <t>Fire alarm FPLR 2/C #14 shielded, red jacket (NEC 760)</t>
        </is>
      </c>
      <c r="K4332" s="12" t="inlineStr">
        <is>
          <t>FA|2/C|14</t>
        </is>
      </c>
      <c r="L4332" s="12" t="inlineStr">
        <is>
          <t>2/C</t>
        </is>
      </c>
      <c r="M4332" s="12" t="inlineStr">
        <is>
          <t>14</t>
        </is>
      </c>
      <c r="N4332" s="12" t="n">
        <v>1</v>
      </c>
      <c r="O4332" s="12" t="n">
        <v>1</v>
      </c>
      <c r="P4332" s="12" t="n"/>
      <c r="Q4332" s="12" t="n"/>
      <c r="R4332" s="12" t="n"/>
      <c r="S4332" s="12" t="inlineStr">
        <is>
          <t>Duct bank</t>
        </is>
      </c>
      <c r="T4332" s="16" t="n">
        <v>1048</v>
      </c>
      <c r="U4332" s="16" t="n">
        <v>68</v>
      </c>
      <c r="V4332" s="16">
        <f>ROUNDUP((T4332+U4332+2*'Read Me'!$B$13)*(1+'Read Me'!$B$12),-1)</f>
        <v/>
      </c>
      <c r="W4332" s="16">
        <f>V4332*N4332*O4332</f>
        <v/>
      </c>
      <c r="X4332" s="12">
        <f>IF(LEFT(I4332,2)="MV",2*N4332*IF(L4332="1/C",O4332,1),0)</f>
        <v/>
      </c>
      <c r="Y4332" s="12">
        <f>IF(OR(LEFT(K4332,4)="LVAX",LEFT(K4332,6)="MV15AX",LEFT(K4332,4)="CTAX",LEFT(K4332,2)="W|"),2*N4332*O4332,0)</f>
        <v/>
      </c>
      <c r="Z4332" s="12" t="inlineStr"/>
      <c r="AA4332" s="12">
        <f>N4332*O4332</f>
        <v/>
      </c>
    </row>
    <row r="4333">
      <c r="A4333" s="12" t="inlineStr">
        <is>
          <t>I-FA-0021</t>
        </is>
      </c>
      <c r="B4333" s="12" t="inlineStr">
        <is>
          <t>I</t>
        </is>
      </c>
      <c r="C4333" s="12" t="inlineStr">
        <is>
          <t>Modular / portable power</t>
        </is>
      </c>
      <c r="D4333" s="12" t="inlineStr">
        <is>
          <t>Fire alarm / F&amp;G loop (to the local FACP / F&amp;G node)</t>
        </is>
      </c>
      <c r="E4333" s="12" t="inlineStr"/>
      <c r="F4333" s="12" t="inlineStr">
        <is>
          <t>PCM: power control module</t>
        </is>
      </c>
      <c r="G4333" s="12" t="inlineStr"/>
      <c r="H4333" s="12" t="inlineStr">
        <is>
          <t>FC-4: SOFC module (Bloom ES5 class, 200-300 kW)</t>
        </is>
      </c>
      <c r="I4333" s="12" t="inlineStr">
        <is>
          <t>Fire alarm</t>
        </is>
      </c>
      <c r="J4333" s="12" t="inlineStr">
        <is>
          <t>Fire alarm FPLR 2/C #14 shielded, red jacket (NEC 760)</t>
        </is>
      </c>
      <c r="K4333" s="12" t="inlineStr">
        <is>
          <t>FA|2/C|14</t>
        </is>
      </c>
      <c r="L4333" s="12" t="inlineStr">
        <is>
          <t>2/C</t>
        </is>
      </c>
      <c r="M4333" s="12" t="inlineStr">
        <is>
          <t>14</t>
        </is>
      </c>
      <c r="N4333" s="12" t="n">
        <v>1</v>
      </c>
      <c r="O4333" s="12" t="n">
        <v>1</v>
      </c>
      <c r="P4333" s="12" t="n"/>
      <c r="Q4333" s="12" t="n"/>
      <c r="R4333" s="12" t="n"/>
      <c r="S4333" s="12" t="inlineStr">
        <is>
          <t>Duct bank</t>
        </is>
      </c>
      <c r="T4333" s="16" t="n">
        <v>1048</v>
      </c>
      <c r="U4333" s="16" t="n">
        <v>54</v>
      </c>
      <c r="V4333" s="16">
        <f>ROUNDUP((T4333+U4333+2*'Read Me'!$B$13)*(1+'Read Me'!$B$12),-1)</f>
        <v/>
      </c>
      <c r="W4333" s="16">
        <f>V4333*N4333*O4333</f>
        <v/>
      </c>
      <c r="X4333" s="12">
        <f>IF(LEFT(I4333,2)="MV",2*N4333*IF(L4333="1/C",O4333,1),0)</f>
        <v/>
      </c>
      <c r="Y4333" s="12">
        <f>IF(OR(LEFT(K4333,4)="LVAX",LEFT(K4333,6)="MV15AX",LEFT(K4333,4)="CTAX",LEFT(K4333,2)="W|"),2*N4333*O4333,0)</f>
        <v/>
      </c>
      <c r="Z4333" s="12" t="inlineStr"/>
      <c r="AA4333" s="12">
        <f>N4333*O4333</f>
        <v/>
      </c>
    </row>
    <row r="4334">
      <c r="A4334" s="12" t="inlineStr">
        <is>
          <t>I-FA-0022</t>
        </is>
      </c>
      <c r="B4334" s="12" t="inlineStr">
        <is>
          <t>I</t>
        </is>
      </c>
      <c r="C4334" s="12" t="inlineStr">
        <is>
          <t>Modular / portable power</t>
        </is>
      </c>
      <c r="D4334" s="12" t="inlineStr">
        <is>
          <t>Fire alarm / F&amp;G loop (to the local FACP / F&amp;G node)</t>
        </is>
      </c>
      <c r="E4334" s="12" t="inlineStr">
        <is>
          <t>PAD-EH</t>
        </is>
      </c>
      <c r="F4334" s="12" t="inlineStr">
        <is>
          <t>PAD-EH 13.8 kV switchgear e-house</t>
        </is>
      </c>
      <c r="G4334" s="12" t="inlineStr"/>
      <c r="H4334" s="12" t="inlineStr">
        <is>
          <t>FC-5..12 inverter / AC cabinet / desulfurizer</t>
        </is>
      </c>
      <c r="I4334" s="12" t="inlineStr">
        <is>
          <t>Fire alarm</t>
        </is>
      </c>
      <c r="J4334" s="12" t="inlineStr">
        <is>
          <t>Fire alarm FPLR 2/C #14 shielded, red jacket (NEC 760)</t>
        </is>
      </c>
      <c r="K4334" s="12" t="inlineStr">
        <is>
          <t>FA|2/C|14</t>
        </is>
      </c>
      <c r="L4334" s="12" t="inlineStr">
        <is>
          <t>2/C</t>
        </is>
      </c>
      <c r="M4334" s="12" t="inlineStr">
        <is>
          <t>14</t>
        </is>
      </c>
      <c r="N4334" s="12" t="n">
        <v>1</v>
      </c>
      <c r="O4334" s="12" t="n">
        <v>1</v>
      </c>
      <c r="P4334" s="12" t="n"/>
      <c r="Q4334" s="12" t="n"/>
      <c r="R4334" s="12" t="n"/>
      <c r="S4334" s="12" t="inlineStr">
        <is>
          <t>Surface</t>
        </is>
      </c>
      <c r="T4334" s="16" t="n">
        <v>202</v>
      </c>
      <c r="U4334" s="16" t="n">
        <v>37</v>
      </c>
      <c r="V4334" s="16">
        <f>ROUNDUP((T4334+U4334+2*'Read Me'!$B$13)*(1+'Read Me'!$B$12),-1)</f>
        <v/>
      </c>
      <c r="W4334" s="16">
        <f>V4334*N4334*O4334</f>
        <v/>
      </c>
      <c r="X4334" s="12">
        <f>IF(LEFT(I4334,2)="MV",2*N4334*IF(L4334="1/C",O4334,1),0)</f>
        <v/>
      </c>
      <c r="Y4334" s="12">
        <f>IF(OR(LEFT(K4334,4)="LVAX",LEFT(K4334,6)="MV15AX",LEFT(K4334,4)="CTAX",LEFT(K4334,2)="W|"),2*N4334*O4334,0)</f>
        <v/>
      </c>
      <c r="Z4334" s="12" t="inlineStr"/>
      <c r="AA4334" s="12">
        <f>N4334*O4334</f>
        <v/>
      </c>
    </row>
    <row r="4335">
      <c r="A4335" s="12" t="inlineStr">
        <is>
          <t>I-FA-0023</t>
        </is>
      </c>
      <c r="B4335" s="12" t="inlineStr">
        <is>
          <t>I</t>
        </is>
      </c>
      <c r="C4335" s="12" t="inlineStr">
        <is>
          <t>Modular / portable power</t>
        </is>
      </c>
      <c r="D4335" s="12" t="inlineStr">
        <is>
          <t>Fire alarm / F&amp;G loop (to the local FACP / F&amp;G node)</t>
        </is>
      </c>
      <c r="E4335" s="12" t="inlineStr">
        <is>
          <t>PAD-EH</t>
        </is>
      </c>
      <c r="F4335" s="12" t="inlineStr">
        <is>
          <t>PAD-EH 13.8 kV switchgear e-house</t>
        </is>
      </c>
      <c r="G4335" s="12" t="inlineStr">
        <is>
          <t>FC-5</t>
        </is>
      </c>
      <c r="H4335" s="12" t="inlineStr">
        <is>
          <t>FC-5: SOFC module (Bloom ES5 class, 200-300 kW)</t>
        </is>
      </c>
      <c r="I4335" s="12" t="inlineStr">
        <is>
          <t>Fire alarm</t>
        </is>
      </c>
      <c r="J4335" s="12" t="inlineStr">
        <is>
          <t>Fire alarm FPLR 2/C #14 shielded, red jacket (NEC 760)</t>
        </is>
      </c>
      <c r="K4335" s="12" t="inlineStr">
        <is>
          <t>FA|2/C|14</t>
        </is>
      </c>
      <c r="L4335" s="12" t="inlineStr">
        <is>
          <t>2/C</t>
        </is>
      </c>
      <c r="M4335" s="12" t="inlineStr">
        <is>
          <t>14</t>
        </is>
      </c>
      <c r="N4335" s="12" t="n">
        <v>1</v>
      </c>
      <c r="O4335" s="12" t="n">
        <v>1</v>
      </c>
      <c r="P4335" s="12" t="n"/>
      <c r="Q4335" s="12" t="n"/>
      <c r="R4335" s="12" t="n"/>
      <c r="S4335" s="12" t="inlineStr">
        <is>
          <t>Duct bank</t>
        </is>
      </c>
      <c r="T4335" s="16" t="n">
        <v>356</v>
      </c>
      <c r="U4335" s="16" t="n">
        <v>50</v>
      </c>
      <c r="V4335" s="16">
        <f>ROUNDUP((T4335+U4335+2*'Read Me'!$B$13)*(1+'Read Me'!$B$12),-1)</f>
        <v/>
      </c>
      <c r="W4335" s="16">
        <f>V4335*N4335*O4335</f>
        <v/>
      </c>
      <c r="X4335" s="12">
        <f>IF(LEFT(I4335,2)="MV",2*N4335*IF(L4335="1/C",O4335,1),0)</f>
        <v/>
      </c>
      <c r="Y4335" s="12">
        <f>IF(OR(LEFT(K4335,4)="LVAX",LEFT(K4335,6)="MV15AX",LEFT(K4335,4)="CTAX",LEFT(K4335,2)="W|"),2*N4335*O4335,0)</f>
        <v/>
      </c>
      <c r="Z4335" s="12" t="inlineStr"/>
      <c r="AA4335" s="12">
        <f>N4335*O4335</f>
        <v/>
      </c>
    </row>
    <row r="4336">
      <c r="A4336" s="12" t="inlineStr">
        <is>
          <t>I-FA-0024</t>
        </is>
      </c>
      <c r="B4336" s="12" t="inlineStr">
        <is>
          <t>I</t>
        </is>
      </c>
      <c r="C4336" s="12" t="inlineStr">
        <is>
          <t>Modular / portable power</t>
        </is>
      </c>
      <c r="D4336" s="12" t="inlineStr">
        <is>
          <t>Fire alarm / F&amp;G loop (to the local FACP / F&amp;G node)</t>
        </is>
      </c>
      <c r="E4336" s="12" t="inlineStr">
        <is>
          <t>PAD-EH</t>
        </is>
      </c>
      <c r="F4336" s="12" t="inlineStr">
        <is>
          <t>PAD-EH 13.8 kV switchgear e-house</t>
        </is>
      </c>
      <c r="G4336" s="12" t="inlineStr">
        <is>
          <t>FC-6</t>
        </is>
      </c>
      <c r="H4336" s="12" t="inlineStr">
        <is>
          <t>FC-6: SOFC module (Bloom ES5 class, 200-300 kW)</t>
        </is>
      </c>
      <c r="I4336" s="12" t="inlineStr">
        <is>
          <t>Fire alarm</t>
        </is>
      </c>
      <c r="J4336" s="12" t="inlineStr">
        <is>
          <t>Fire alarm FPLR 2/C #14 shielded, red jacket (NEC 760)</t>
        </is>
      </c>
      <c r="K4336" s="12" t="inlineStr">
        <is>
          <t>FA|2/C|14</t>
        </is>
      </c>
      <c r="L4336" s="12" t="inlineStr">
        <is>
          <t>2/C</t>
        </is>
      </c>
      <c r="M4336" s="12" t="inlineStr">
        <is>
          <t>14</t>
        </is>
      </c>
      <c r="N4336" s="12" t="n">
        <v>1</v>
      </c>
      <c r="O4336" s="12" t="n">
        <v>1</v>
      </c>
      <c r="P4336" s="12" t="n"/>
      <c r="Q4336" s="12" t="n"/>
      <c r="R4336" s="12" t="n"/>
      <c r="S4336" s="12" t="inlineStr">
        <is>
          <t>Duct bank</t>
        </is>
      </c>
      <c r="T4336" s="16" t="n">
        <v>342</v>
      </c>
      <c r="U4336" s="16" t="n">
        <v>50</v>
      </c>
      <c r="V4336" s="16">
        <f>ROUNDUP((T4336+U4336+2*'Read Me'!$B$13)*(1+'Read Me'!$B$12),-1)</f>
        <v/>
      </c>
      <c r="W4336" s="16">
        <f>V4336*N4336*O4336</f>
        <v/>
      </c>
      <c r="X4336" s="12">
        <f>IF(LEFT(I4336,2)="MV",2*N4336*IF(L4336="1/C",O4336,1),0)</f>
        <v/>
      </c>
      <c r="Y4336" s="12">
        <f>IF(OR(LEFT(K4336,4)="LVAX",LEFT(K4336,6)="MV15AX",LEFT(K4336,4)="CTAX",LEFT(K4336,2)="W|"),2*N4336*O4336,0)</f>
        <v/>
      </c>
      <c r="Z4336" s="12" t="inlineStr"/>
      <c r="AA4336" s="12">
        <f>N4336*O4336</f>
        <v/>
      </c>
    </row>
    <row r="4337">
      <c r="A4337" s="12" t="inlineStr">
        <is>
          <t>I-FA-0025</t>
        </is>
      </c>
      <c r="B4337" s="12" t="inlineStr">
        <is>
          <t>I</t>
        </is>
      </c>
      <c r="C4337" s="12" t="inlineStr">
        <is>
          <t>Modular / portable power</t>
        </is>
      </c>
      <c r="D4337" s="12" t="inlineStr">
        <is>
          <t>Fire alarm / F&amp;G loop (to the local FACP / F&amp;G node)</t>
        </is>
      </c>
      <c r="E4337" s="12" t="inlineStr">
        <is>
          <t>PAD-EH</t>
        </is>
      </c>
      <c r="F4337" s="12" t="inlineStr">
        <is>
          <t>PAD-EH 13.8 kV switchgear e-house</t>
        </is>
      </c>
      <c r="G4337" s="12" t="inlineStr">
        <is>
          <t>FC-7</t>
        </is>
      </c>
      <c r="H4337" s="12" t="inlineStr">
        <is>
          <t>FC-7: SOFC module (Bloom ES5 class, 200-300 kW)</t>
        </is>
      </c>
      <c r="I4337" s="12" t="inlineStr">
        <is>
          <t>Fire alarm</t>
        </is>
      </c>
      <c r="J4337" s="12" t="inlineStr">
        <is>
          <t>Fire alarm FPLR 2/C #14 shielded, red jacket (NEC 760)</t>
        </is>
      </c>
      <c r="K4337" s="12" t="inlineStr">
        <is>
          <t>FA|2/C|14</t>
        </is>
      </c>
      <c r="L4337" s="12" t="inlineStr">
        <is>
          <t>2/C</t>
        </is>
      </c>
      <c r="M4337" s="12" t="inlineStr">
        <is>
          <t>14</t>
        </is>
      </c>
      <c r="N4337" s="12" t="n">
        <v>1</v>
      </c>
      <c r="O4337" s="12" t="n">
        <v>1</v>
      </c>
      <c r="P4337" s="12" t="n"/>
      <c r="Q4337" s="12" t="n"/>
      <c r="R4337" s="12" t="n"/>
      <c r="S4337" s="12" t="inlineStr">
        <is>
          <t>Duct bank</t>
        </is>
      </c>
      <c r="T4337" s="16" t="n">
        <v>328</v>
      </c>
      <c r="U4337" s="16" t="n">
        <v>50</v>
      </c>
      <c r="V4337" s="16">
        <f>ROUNDUP((T4337+U4337+2*'Read Me'!$B$13)*(1+'Read Me'!$B$12),-1)</f>
        <v/>
      </c>
      <c r="W4337" s="16">
        <f>V4337*N4337*O4337</f>
        <v/>
      </c>
      <c r="X4337" s="12">
        <f>IF(LEFT(I4337,2)="MV",2*N4337*IF(L4337="1/C",O4337,1),0)</f>
        <v/>
      </c>
      <c r="Y4337" s="12">
        <f>IF(OR(LEFT(K4337,4)="LVAX",LEFT(K4337,6)="MV15AX",LEFT(K4337,4)="CTAX",LEFT(K4337,2)="W|"),2*N4337*O4337,0)</f>
        <v/>
      </c>
      <c r="Z4337" s="12" t="inlineStr"/>
      <c r="AA4337" s="12">
        <f>N4337*O4337</f>
        <v/>
      </c>
    </row>
    <row r="4338">
      <c r="A4338" s="12" t="inlineStr">
        <is>
          <t>I-FA-0026</t>
        </is>
      </c>
      <c r="B4338" s="12" t="inlineStr">
        <is>
          <t>I</t>
        </is>
      </c>
      <c r="C4338" s="12" t="inlineStr">
        <is>
          <t>Modular / portable power</t>
        </is>
      </c>
      <c r="D4338" s="12" t="inlineStr">
        <is>
          <t>Fire alarm / F&amp;G loop (to the local FACP / F&amp;G node)</t>
        </is>
      </c>
      <c r="E4338" s="12" t="inlineStr">
        <is>
          <t>PAD-EH</t>
        </is>
      </c>
      <c r="F4338" s="12" t="inlineStr">
        <is>
          <t>PAD-EH 13.8 kV switchgear e-house</t>
        </is>
      </c>
      <c r="G4338" s="12" t="inlineStr">
        <is>
          <t>FC-8</t>
        </is>
      </c>
      <c r="H4338" s="12" t="inlineStr">
        <is>
          <t>FC-8: SOFC module (Bloom ES5 class, 200-300 kW)</t>
        </is>
      </c>
      <c r="I4338" s="12" t="inlineStr">
        <is>
          <t>Fire alarm</t>
        </is>
      </c>
      <c r="J4338" s="12" t="inlineStr">
        <is>
          <t>Fire alarm FPLR 2/C #14 shielded, red jacket (NEC 760)</t>
        </is>
      </c>
      <c r="K4338" s="12" t="inlineStr">
        <is>
          <t>FA|2/C|14</t>
        </is>
      </c>
      <c r="L4338" s="12" t="inlineStr">
        <is>
          <t>2/C</t>
        </is>
      </c>
      <c r="M4338" s="12" t="inlineStr">
        <is>
          <t>14</t>
        </is>
      </c>
      <c r="N4338" s="12" t="n">
        <v>1</v>
      </c>
      <c r="O4338" s="12" t="n">
        <v>1</v>
      </c>
      <c r="P4338" s="12" t="n"/>
      <c r="Q4338" s="12" t="n"/>
      <c r="R4338" s="12" t="n"/>
      <c r="S4338" s="12" t="inlineStr">
        <is>
          <t>Duct bank</t>
        </is>
      </c>
      <c r="T4338" s="16" t="n">
        <v>314</v>
      </c>
      <c r="U4338" s="16" t="n">
        <v>50</v>
      </c>
      <c r="V4338" s="16">
        <f>ROUNDUP((T4338+U4338+2*'Read Me'!$B$13)*(1+'Read Me'!$B$12),-1)</f>
        <v/>
      </c>
      <c r="W4338" s="16">
        <f>V4338*N4338*O4338</f>
        <v/>
      </c>
      <c r="X4338" s="12">
        <f>IF(LEFT(I4338,2)="MV",2*N4338*IF(L4338="1/C",O4338,1),0)</f>
        <v/>
      </c>
      <c r="Y4338" s="12">
        <f>IF(OR(LEFT(K4338,4)="LVAX",LEFT(K4338,6)="MV15AX",LEFT(K4338,4)="CTAX",LEFT(K4338,2)="W|"),2*N4338*O4338,0)</f>
        <v/>
      </c>
      <c r="Z4338" s="12" t="inlineStr"/>
      <c r="AA4338" s="12">
        <f>N4338*O4338</f>
        <v/>
      </c>
    </row>
    <row r="4339">
      <c r="A4339" s="12" t="inlineStr">
        <is>
          <t>I-FA-0027</t>
        </is>
      </c>
      <c r="B4339" s="12" t="inlineStr">
        <is>
          <t>I</t>
        </is>
      </c>
      <c r="C4339" s="12" t="inlineStr">
        <is>
          <t>Modular / portable power</t>
        </is>
      </c>
      <c r="D4339" s="12" t="inlineStr">
        <is>
          <t>Fire alarm / F&amp;G loop (to the local FACP / F&amp;G node)</t>
        </is>
      </c>
      <c r="E4339" s="12" t="inlineStr">
        <is>
          <t>PAD-EH</t>
        </is>
      </c>
      <c r="F4339" s="12" t="inlineStr">
        <is>
          <t>PAD-EH 13.8 kV switchgear e-house</t>
        </is>
      </c>
      <c r="G4339" s="12" t="inlineStr">
        <is>
          <t>FC-9</t>
        </is>
      </c>
      <c r="H4339" s="12" t="inlineStr">
        <is>
          <t>FC-9: SOFC module (Bloom ES5 class, 200-300 kW)</t>
        </is>
      </c>
      <c r="I4339" s="12" t="inlineStr">
        <is>
          <t>Fire alarm</t>
        </is>
      </c>
      <c r="J4339" s="12" t="inlineStr">
        <is>
          <t>Fire alarm FPLR 2/C #14 shielded, red jacket (NEC 760)</t>
        </is>
      </c>
      <c r="K4339" s="12" t="inlineStr">
        <is>
          <t>FA|2/C|14</t>
        </is>
      </c>
      <c r="L4339" s="12" t="inlineStr">
        <is>
          <t>2/C</t>
        </is>
      </c>
      <c r="M4339" s="12" t="inlineStr">
        <is>
          <t>14</t>
        </is>
      </c>
      <c r="N4339" s="12" t="n">
        <v>1</v>
      </c>
      <c r="O4339" s="12" t="n">
        <v>1</v>
      </c>
      <c r="P4339" s="12" t="n"/>
      <c r="Q4339" s="12" t="n"/>
      <c r="R4339" s="12" t="n"/>
      <c r="S4339" s="12" t="inlineStr">
        <is>
          <t>Duct bank</t>
        </is>
      </c>
      <c r="T4339" s="16" t="n">
        <v>300</v>
      </c>
      <c r="U4339" s="16" t="n">
        <v>50</v>
      </c>
      <c r="V4339" s="16">
        <f>ROUNDUP((T4339+U4339+2*'Read Me'!$B$13)*(1+'Read Me'!$B$12),-1)</f>
        <v/>
      </c>
      <c r="W4339" s="16">
        <f>V4339*N4339*O4339</f>
        <v/>
      </c>
      <c r="X4339" s="12">
        <f>IF(LEFT(I4339,2)="MV",2*N4339*IF(L4339="1/C",O4339,1),0)</f>
        <v/>
      </c>
      <c r="Y4339" s="12">
        <f>IF(OR(LEFT(K4339,4)="LVAX",LEFT(K4339,6)="MV15AX",LEFT(K4339,4)="CTAX",LEFT(K4339,2)="W|"),2*N4339*O4339,0)</f>
        <v/>
      </c>
      <c r="Z4339" s="12" t="inlineStr"/>
      <c r="AA4339" s="12">
        <f>N4339*O4339</f>
        <v/>
      </c>
    </row>
    <row r="4340">
      <c r="A4340" s="12" t="inlineStr">
        <is>
          <t>I-FA-0028</t>
        </is>
      </c>
      <c r="B4340" s="12" t="inlineStr">
        <is>
          <t>I</t>
        </is>
      </c>
      <c r="C4340" s="12" t="inlineStr">
        <is>
          <t>Modular / portable power</t>
        </is>
      </c>
      <c r="D4340" s="12" t="inlineStr">
        <is>
          <t>Fire alarm / F&amp;G loop (to the local FACP / F&amp;G node)</t>
        </is>
      </c>
      <c r="E4340" s="12" t="inlineStr"/>
      <c r="F4340" s="12" t="inlineStr">
        <is>
          <t>PCM: power control module</t>
        </is>
      </c>
      <c r="G4340" s="12" t="inlineStr"/>
      <c r="H4340" s="12" t="inlineStr">
        <is>
          <t>Fuel-cell inverter / AC cabinet / desulfurizer</t>
        </is>
      </c>
      <c r="I4340" s="12" t="inlineStr">
        <is>
          <t>Fire alarm</t>
        </is>
      </c>
      <c r="J4340" s="12" t="inlineStr">
        <is>
          <t>Fire alarm FPLR 2/C #14 shielded, red jacket (NEC 760)</t>
        </is>
      </c>
      <c r="K4340" s="12" t="inlineStr">
        <is>
          <t>FA|2/C|14</t>
        </is>
      </c>
      <c r="L4340" s="12" t="inlineStr">
        <is>
          <t>2/C</t>
        </is>
      </c>
      <c r="M4340" s="12" t="inlineStr">
        <is>
          <t>14</t>
        </is>
      </c>
      <c r="N4340" s="12" t="n">
        <v>1</v>
      </c>
      <c r="O4340" s="12" t="n">
        <v>1</v>
      </c>
      <c r="P4340" s="12" t="n"/>
      <c r="Q4340" s="12" t="n"/>
      <c r="R4340" s="12" t="n"/>
      <c r="S4340" s="12" t="inlineStr">
        <is>
          <t>Duct bank</t>
        </is>
      </c>
      <c r="T4340" s="16" t="n">
        <v>1032</v>
      </c>
      <c r="U4340" s="16" t="n">
        <v>34</v>
      </c>
      <c r="V4340" s="16">
        <f>ROUNDUP((T4340+U4340+2*'Read Me'!$B$13)*(1+'Read Me'!$B$12),-1)</f>
        <v/>
      </c>
      <c r="W4340" s="16">
        <f>V4340*N4340*O4340</f>
        <v/>
      </c>
      <c r="X4340" s="12">
        <f>IF(LEFT(I4340,2)="MV",2*N4340*IF(L4340="1/C",O4340,1),0)</f>
        <v/>
      </c>
      <c r="Y4340" s="12">
        <f>IF(OR(LEFT(K4340,4)="LVAX",LEFT(K4340,6)="MV15AX",LEFT(K4340,4)="CTAX",LEFT(K4340,2)="W|"),2*N4340*O4340,0)</f>
        <v/>
      </c>
      <c r="Z4340" s="12" t="inlineStr"/>
      <c r="AA4340" s="12">
        <f>N4340*O4340</f>
        <v/>
      </c>
    </row>
    <row r="4341">
      <c r="A4341" s="12" t="inlineStr">
        <is>
          <t>I-FA-0029</t>
        </is>
      </c>
      <c r="B4341" s="12" t="inlineStr">
        <is>
          <t>I</t>
        </is>
      </c>
      <c r="C4341" s="12" t="inlineStr">
        <is>
          <t>Modular / portable power</t>
        </is>
      </c>
      <c r="D4341" s="12" t="inlineStr">
        <is>
          <t>Fire alarm / F&amp;G loop (to the local FACP / F&amp;G node)</t>
        </is>
      </c>
      <c r="E4341" s="12" t="inlineStr">
        <is>
          <t>PAD-EH</t>
        </is>
      </c>
      <c r="F4341" s="12" t="inlineStr">
        <is>
          <t>PAD-EH 13.8 kV switchgear e-house</t>
        </is>
      </c>
      <c r="G4341" s="12" t="inlineStr">
        <is>
          <t>GEN-E</t>
        </is>
      </c>
      <c r="H4341" s="12" t="inlineStr">
        <is>
          <t>GEN-E: enclosed industrial gas genset 2 MW</t>
        </is>
      </c>
      <c r="I4341" s="12" t="inlineStr">
        <is>
          <t>Fire alarm</t>
        </is>
      </c>
      <c r="J4341" s="12" t="inlineStr">
        <is>
          <t>Fire alarm FPLR 2/C #14 shielded, red jacket (NEC 760)</t>
        </is>
      </c>
      <c r="K4341" s="12" t="inlineStr">
        <is>
          <t>FA|2/C|14</t>
        </is>
      </c>
      <c r="L4341" s="12" t="inlineStr">
        <is>
          <t>2/C</t>
        </is>
      </c>
      <c r="M4341" s="12" t="inlineStr">
        <is>
          <t>14</t>
        </is>
      </c>
      <c r="N4341" s="12" t="n">
        <v>1</v>
      </c>
      <c r="O4341" s="12" t="n">
        <v>1</v>
      </c>
      <c r="P4341" s="12" t="n"/>
      <c r="Q4341" s="12" t="n"/>
      <c r="R4341" s="12" t="n"/>
      <c r="S4341" s="12" t="inlineStr">
        <is>
          <t>Surface</t>
        </is>
      </c>
      <c r="T4341" s="16" t="n">
        <v>153</v>
      </c>
      <c r="U4341" s="16" t="n">
        <v>32</v>
      </c>
      <c r="V4341" s="16">
        <f>ROUNDUP((T4341+U4341+2*'Read Me'!$B$13)*(1+'Read Me'!$B$12),-1)</f>
        <v/>
      </c>
      <c r="W4341" s="16">
        <f>V4341*N4341*O4341</f>
        <v/>
      </c>
      <c r="X4341" s="12">
        <f>IF(LEFT(I4341,2)="MV",2*N4341*IF(L4341="1/C",O4341,1),0)</f>
        <v/>
      </c>
      <c r="Y4341" s="12">
        <f>IF(OR(LEFT(K4341,4)="LVAX",LEFT(K4341,6)="MV15AX",LEFT(K4341,4)="CTAX",LEFT(K4341,2)="W|"),2*N4341*O4341,0)</f>
        <v/>
      </c>
      <c r="Z4341" s="12" t="inlineStr"/>
      <c r="AA4341" s="12">
        <f>N4341*O4341</f>
        <v/>
      </c>
    </row>
    <row r="4342">
      <c r="A4342" s="12" t="inlineStr">
        <is>
          <t>I-FA-0030</t>
        </is>
      </c>
      <c r="B4342" s="12" t="inlineStr">
        <is>
          <t>I</t>
        </is>
      </c>
      <c r="C4342" s="12" t="inlineStr">
        <is>
          <t>Modular / portable power</t>
        </is>
      </c>
      <c r="D4342" s="12" t="inlineStr">
        <is>
          <t>Fire alarm / F&amp;G loop (to the local FACP / F&amp;G node)</t>
        </is>
      </c>
      <c r="E4342" s="12" t="inlineStr">
        <is>
          <t>PAD-EH</t>
        </is>
      </c>
      <c r="F4342" s="12" t="inlineStr">
        <is>
          <t>PAD-EH 13.8 kV switchgear e-house</t>
        </is>
      </c>
      <c r="G4342" s="12" t="inlineStr">
        <is>
          <t>GEN-O</t>
        </is>
      </c>
      <c r="H4342" s="12" t="inlineStr">
        <is>
          <t>GEN-O: open engine-generator skid</t>
        </is>
      </c>
      <c r="I4342" s="12" t="inlineStr">
        <is>
          <t>Fire alarm</t>
        </is>
      </c>
      <c r="J4342" s="12" t="inlineStr">
        <is>
          <t>Fire alarm FPLR 2/C #14 shielded, red jacket (NEC 760)</t>
        </is>
      </c>
      <c r="K4342" s="12" t="inlineStr">
        <is>
          <t>FA|2/C|14</t>
        </is>
      </c>
      <c r="L4342" s="12" t="inlineStr">
        <is>
          <t>2/C</t>
        </is>
      </c>
      <c r="M4342" s="12" t="inlineStr">
        <is>
          <t>14</t>
        </is>
      </c>
      <c r="N4342" s="12" t="n">
        <v>1</v>
      </c>
      <c r="O4342" s="12" t="n">
        <v>1</v>
      </c>
      <c r="P4342" s="12" t="n"/>
      <c r="Q4342" s="12" t="n"/>
      <c r="R4342" s="12" t="n"/>
      <c r="S4342" s="12" t="inlineStr">
        <is>
          <t>Surface</t>
        </is>
      </c>
      <c r="T4342" s="16" t="n">
        <v>153</v>
      </c>
      <c r="U4342" s="16" t="n">
        <v>79</v>
      </c>
      <c r="V4342" s="16">
        <f>ROUNDUP((T4342+U4342+2*'Read Me'!$B$13)*(1+'Read Me'!$B$12),-1)</f>
        <v/>
      </c>
      <c r="W4342" s="16">
        <f>V4342*N4342*O4342</f>
        <v/>
      </c>
      <c r="X4342" s="12">
        <f>IF(LEFT(I4342,2)="MV",2*N4342*IF(L4342="1/C",O4342,1),0)</f>
        <v/>
      </c>
      <c r="Y4342" s="12">
        <f>IF(OR(LEFT(K4342,4)="LVAX",LEFT(K4342,6)="MV15AX",LEFT(K4342,4)="CTAX",LEFT(K4342,2)="W|"),2*N4342*O4342,0)</f>
        <v/>
      </c>
      <c r="Z4342" s="12" t="inlineStr"/>
      <c r="AA4342" s="12">
        <f>N4342*O4342</f>
        <v/>
      </c>
    </row>
    <row r="4343">
      <c r="A4343" s="12" t="inlineStr">
        <is>
          <t>I-FA-0031</t>
        </is>
      </c>
      <c r="B4343" s="12" t="inlineStr">
        <is>
          <t>I</t>
        </is>
      </c>
      <c r="C4343" s="12" t="inlineStr">
        <is>
          <t>Modular / portable power</t>
        </is>
      </c>
      <c r="D4343" s="12" t="inlineStr">
        <is>
          <t>Fire alarm / F&amp;G loop (to the local FACP / F&amp;G node)</t>
        </is>
      </c>
      <c r="E4343" s="12" t="inlineStr"/>
      <c r="F4343" s="12" t="inlineStr">
        <is>
          <t>PCM: power control module</t>
        </is>
      </c>
      <c r="G4343" s="12" t="inlineStr"/>
      <c r="H4343" s="12" t="inlineStr">
        <is>
          <t>Lube oil / starting air / oily water building</t>
        </is>
      </c>
      <c r="I4343" s="12" t="inlineStr">
        <is>
          <t>Fire alarm</t>
        </is>
      </c>
      <c r="J4343" s="12" t="inlineStr">
        <is>
          <t>Fire alarm FPLR 2/C #14 shielded, red jacket (NEC 760)</t>
        </is>
      </c>
      <c r="K4343" s="12" t="inlineStr">
        <is>
          <t>FA|2/C|14</t>
        </is>
      </c>
      <c r="L4343" s="12" t="inlineStr">
        <is>
          <t>2/C</t>
        </is>
      </c>
      <c r="M4343" s="12" t="inlineStr">
        <is>
          <t>14</t>
        </is>
      </c>
      <c r="N4343" s="12" t="n">
        <v>1</v>
      </c>
      <c r="O4343" s="12" t="n">
        <v>1</v>
      </c>
      <c r="P4343" s="12" t="n"/>
      <c r="Q4343" s="12" t="n"/>
      <c r="R4343" s="12" t="n"/>
      <c r="S4343" s="12" t="inlineStr">
        <is>
          <t>Tray</t>
        </is>
      </c>
      <c r="T4343" s="16" t="n">
        <v>32</v>
      </c>
      <c r="U4343" s="16" t="n">
        <v>164</v>
      </c>
      <c r="V4343" s="16">
        <f>ROUNDUP((T4343+U4343+2*'Read Me'!$B$13)*(1+'Read Me'!$B$12),-1)</f>
        <v/>
      </c>
      <c r="W4343" s="16">
        <f>V4343*N4343*O4343</f>
        <v/>
      </c>
      <c r="X4343" s="12">
        <f>IF(LEFT(I4343,2)="MV",2*N4343*IF(L4343="1/C",O4343,1),0)</f>
        <v/>
      </c>
      <c r="Y4343" s="12">
        <f>IF(OR(LEFT(K4343,4)="LVAX",LEFT(K4343,6)="MV15AX",LEFT(K4343,4)="CTAX",LEFT(K4343,2)="W|"),2*N4343*O4343,0)</f>
        <v/>
      </c>
      <c r="Z4343" s="12" t="inlineStr"/>
      <c r="AA4343" s="12">
        <f>N4343*O4343</f>
        <v/>
      </c>
    </row>
    <row r="4344">
      <c r="A4344" s="12" t="inlineStr">
        <is>
          <t>I-FA-0032</t>
        </is>
      </c>
      <c r="B4344" s="12" t="inlineStr">
        <is>
          <t>I</t>
        </is>
      </c>
      <c r="C4344" s="12" t="inlineStr">
        <is>
          <t>Modular / portable power</t>
        </is>
      </c>
      <c r="D4344" s="12" t="inlineStr">
        <is>
          <t>Fire alarm / F&amp;G loop (to the local FACP / F&amp;G node)</t>
        </is>
      </c>
      <c r="E4344" s="12" t="inlineStr">
        <is>
          <t>PAD-EH</t>
        </is>
      </c>
      <c r="F4344" s="12" t="inlineStr">
        <is>
          <t>PAD-EH 13.8 kV switchgear e-house</t>
        </is>
      </c>
      <c r="G4344" s="12" t="inlineStr">
        <is>
          <t>MOB-1</t>
        </is>
      </c>
      <c r="H4344" s="12" t="inlineStr">
        <is>
          <t>MOB-1: trailer genset</t>
        </is>
      </c>
      <c r="I4344" s="12" t="inlineStr">
        <is>
          <t>Fire alarm</t>
        </is>
      </c>
      <c r="J4344" s="12" t="inlineStr">
        <is>
          <t>Fire alarm FPLR 2/C #14 shielded, red jacket (NEC 760)</t>
        </is>
      </c>
      <c r="K4344" s="12" t="inlineStr">
        <is>
          <t>FA|2/C|14</t>
        </is>
      </c>
      <c r="L4344" s="12" t="inlineStr">
        <is>
          <t>2/C</t>
        </is>
      </c>
      <c r="M4344" s="12" t="inlineStr">
        <is>
          <t>14</t>
        </is>
      </c>
      <c r="N4344" s="12" t="n">
        <v>1</v>
      </c>
      <c r="O4344" s="12" t="n">
        <v>1</v>
      </c>
      <c r="P4344" s="12" t="n"/>
      <c r="Q4344" s="12" t="n"/>
      <c r="R4344" s="12" t="n"/>
      <c r="S4344" s="12" t="inlineStr">
        <is>
          <t>Surface</t>
        </is>
      </c>
      <c r="T4344" s="16" t="n">
        <v>113</v>
      </c>
      <c r="U4344" s="16" t="n">
        <v>160</v>
      </c>
      <c r="V4344" s="16">
        <f>ROUNDUP((T4344+U4344+2*'Read Me'!$B$13)*(1+'Read Me'!$B$12),-1)</f>
        <v/>
      </c>
      <c r="W4344" s="16">
        <f>V4344*N4344*O4344</f>
        <v/>
      </c>
      <c r="X4344" s="12">
        <f>IF(LEFT(I4344,2)="MV",2*N4344*IF(L4344="1/C",O4344,1),0)</f>
        <v/>
      </c>
      <c r="Y4344" s="12">
        <f>IF(OR(LEFT(K4344,4)="LVAX",LEFT(K4344,6)="MV15AX",LEFT(K4344,4)="CTAX",LEFT(K4344,2)="W|"),2*N4344*O4344,0)</f>
        <v/>
      </c>
      <c r="Z4344" s="12" t="inlineStr"/>
      <c r="AA4344" s="12">
        <f>N4344*O4344</f>
        <v/>
      </c>
    </row>
    <row r="4345">
      <c r="A4345" s="12" t="inlineStr">
        <is>
          <t>I-FA-0033</t>
        </is>
      </c>
      <c r="B4345" s="12" t="inlineStr">
        <is>
          <t>I</t>
        </is>
      </c>
      <c r="C4345" s="12" t="inlineStr">
        <is>
          <t>Modular / portable power</t>
        </is>
      </c>
      <c r="D4345" s="12" t="inlineStr">
        <is>
          <t>Fire alarm / F&amp;G loop (to the local FACP / F&amp;G node)</t>
        </is>
      </c>
      <c r="E4345" s="12" t="inlineStr"/>
      <c r="F4345" s="12" t="inlineStr">
        <is>
          <t>PCM: power control module</t>
        </is>
      </c>
      <c r="G4345" s="12" t="inlineStr">
        <is>
          <t>MOD-EH</t>
        </is>
      </c>
      <c r="H4345" s="12" t="inlineStr">
        <is>
          <t>MOD-EH: 13.8 kV modular collector e-house</t>
        </is>
      </c>
      <c r="I4345" s="12" t="inlineStr">
        <is>
          <t>Fire alarm</t>
        </is>
      </c>
      <c r="J4345" s="12" t="inlineStr">
        <is>
          <t>Fire alarm FPLR 2/C #14 shielded, red jacket (NEC 760)</t>
        </is>
      </c>
      <c r="K4345" s="12" t="inlineStr">
        <is>
          <t>FA|2/C|14</t>
        </is>
      </c>
      <c r="L4345" s="12" t="inlineStr">
        <is>
          <t>2/C</t>
        </is>
      </c>
      <c r="M4345" s="12" t="inlineStr">
        <is>
          <t>14</t>
        </is>
      </c>
      <c r="N4345" s="12" t="n">
        <v>1</v>
      </c>
      <c r="O4345" s="12" t="n">
        <v>1</v>
      </c>
      <c r="P4345" s="12" t="n"/>
      <c r="Q4345" s="12" t="n"/>
      <c r="R4345" s="12" t="n"/>
      <c r="S4345" s="12" t="inlineStr">
        <is>
          <t>Duct bank</t>
        </is>
      </c>
      <c r="T4345" s="16" t="n">
        <v>355</v>
      </c>
      <c r="U4345" s="16" t="n">
        <v>32</v>
      </c>
      <c r="V4345" s="16">
        <f>ROUNDUP((T4345+U4345+2*'Read Me'!$B$13)*(1+'Read Me'!$B$12),-1)</f>
        <v/>
      </c>
      <c r="W4345" s="16">
        <f>V4345*N4345*O4345</f>
        <v/>
      </c>
      <c r="X4345" s="12">
        <f>IF(LEFT(I4345,2)="MV",2*N4345*IF(L4345="1/C",O4345,1),0)</f>
        <v/>
      </c>
      <c r="Y4345" s="12">
        <f>IF(OR(LEFT(K4345,4)="LVAX",LEFT(K4345,6)="MV15AX",LEFT(K4345,4)="CTAX",LEFT(K4345,2)="W|"),2*N4345*O4345,0)</f>
        <v/>
      </c>
      <c r="Z4345" s="12" t="inlineStr"/>
      <c r="AA4345" s="12">
        <f>N4345*O4345</f>
        <v/>
      </c>
    </row>
    <row r="4346">
      <c r="A4346" s="12" t="inlineStr">
        <is>
          <t>I-FA-0034</t>
        </is>
      </c>
      <c r="B4346" s="12" t="inlineStr">
        <is>
          <t>I</t>
        </is>
      </c>
      <c r="C4346" s="12" t="inlineStr">
        <is>
          <t>Modular / portable power</t>
        </is>
      </c>
      <c r="D4346" s="12" t="inlineStr">
        <is>
          <t>Fire alarm / F&amp;G loop (to the local FACP / F&amp;G node)</t>
        </is>
      </c>
      <c r="E4346" s="12" t="inlineStr"/>
      <c r="F4346" s="12" t="inlineStr">
        <is>
          <t>PCM: power control module</t>
        </is>
      </c>
      <c r="G4346" s="12" t="inlineStr"/>
      <c r="H4346" s="12" t="inlineStr">
        <is>
          <t>MT-1: microturbine 1 MW (Capstone C1000 class)</t>
        </is>
      </c>
      <c r="I4346" s="12" t="inlineStr">
        <is>
          <t>Fire alarm</t>
        </is>
      </c>
      <c r="J4346" s="12" t="inlineStr">
        <is>
          <t>Fire alarm FPLR 2/C #14 shielded, red jacket (NEC 760)</t>
        </is>
      </c>
      <c r="K4346" s="12" t="inlineStr">
        <is>
          <t>FA|2/C|14</t>
        </is>
      </c>
      <c r="L4346" s="12" t="inlineStr">
        <is>
          <t>2/C</t>
        </is>
      </c>
      <c r="M4346" s="12" t="inlineStr">
        <is>
          <t>14</t>
        </is>
      </c>
      <c r="N4346" s="12" t="n">
        <v>1</v>
      </c>
      <c r="O4346" s="12" t="n">
        <v>1</v>
      </c>
      <c r="P4346" s="12" t="n"/>
      <c r="Q4346" s="12" t="n"/>
      <c r="R4346" s="12" t="n"/>
      <c r="S4346" s="12" t="inlineStr">
        <is>
          <t>Duct bank</t>
        </is>
      </c>
      <c r="T4346" s="16" t="n">
        <v>807</v>
      </c>
      <c r="U4346" s="16" t="n">
        <v>117</v>
      </c>
      <c r="V4346" s="16">
        <f>ROUNDUP((T4346+U4346+2*'Read Me'!$B$13)*(1+'Read Me'!$B$12),-1)</f>
        <v/>
      </c>
      <c r="W4346" s="16">
        <f>V4346*N4346*O4346</f>
        <v/>
      </c>
      <c r="X4346" s="12">
        <f>IF(LEFT(I4346,2)="MV",2*N4346*IF(L4346="1/C",O4346,1),0)</f>
        <v/>
      </c>
      <c r="Y4346" s="12">
        <f>IF(OR(LEFT(K4346,4)="LVAX",LEFT(K4346,6)="MV15AX",LEFT(K4346,4)="CTAX",LEFT(K4346,2)="W|"),2*N4346*O4346,0)</f>
        <v/>
      </c>
      <c r="Z4346" s="12" t="inlineStr"/>
      <c r="AA4346" s="12">
        <f>N4346*O4346</f>
        <v/>
      </c>
    </row>
    <row r="4347">
      <c r="A4347" s="12" t="inlineStr">
        <is>
          <t>I-FA-0035</t>
        </is>
      </c>
      <c r="B4347" s="12" t="inlineStr">
        <is>
          <t>I</t>
        </is>
      </c>
      <c r="C4347" s="12" t="inlineStr">
        <is>
          <t>Modular / portable power</t>
        </is>
      </c>
      <c r="D4347" s="12" t="inlineStr">
        <is>
          <t>Fire alarm / F&amp;G loop (to the local FACP / F&amp;G node)</t>
        </is>
      </c>
      <c r="E4347" s="12" t="inlineStr"/>
      <c r="F4347" s="12" t="inlineStr">
        <is>
          <t>PCM: power control module</t>
        </is>
      </c>
      <c r="G4347" s="12" t="inlineStr"/>
      <c r="H4347" s="12" t="inlineStr">
        <is>
          <t>MT-2: microturbine 1 MW (Capstone C1000 class)</t>
        </is>
      </c>
      <c r="I4347" s="12" t="inlineStr">
        <is>
          <t>Fire alarm</t>
        </is>
      </c>
      <c r="J4347" s="12" t="inlineStr">
        <is>
          <t>Fire alarm FPLR 2/C #14 shielded, red jacket (NEC 760)</t>
        </is>
      </c>
      <c r="K4347" s="12" t="inlineStr">
        <is>
          <t>FA|2/C|14</t>
        </is>
      </c>
      <c r="L4347" s="12" t="inlineStr">
        <is>
          <t>2/C</t>
        </is>
      </c>
      <c r="M4347" s="12" t="inlineStr">
        <is>
          <t>14</t>
        </is>
      </c>
      <c r="N4347" s="12" t="n">
        <v>1</v>
      </c>
      <c r="O4347" s="12" t="n">
        <v>1</v>
      </c>
      <c r="P4347" s="12" t="n"/>
      <c r="Q4347" s="12" t="n"/>
      <c r="R4347" s="12" t="n"/>
      <c r="S4347" s="12" t="inlineStr">
        <is>
          <t>Duct bank</t>
        </is>
      </c>
      <c r="T4347" s="16" t="n">
        <v>807</v>
      </c>
      <c r="U4347" s="16" t="n">
        <v>131</v>
      </c>
      <c r="V4347" s="16">
        <f>ROUNDUP((T4347+U4347+2*'Read Me'!$B$13)*(1+'Read Me'!$B$12),-1)</f>
        <v/>
      </c>
      <c r="W4347" s="16">
        <f>V4347*N4347*O4347</f>
        <v/>
      </c>
      <c r="X4347" s="12">
        <f>IF(LEFT(I4347,2)="MV",2*N4347*IF(L4347="1/C",O4347,1),0)</f>
        <v/>
      </c>
      <c r="Y4347" s="12">
        <f>IF(OR(LEFT(K4347,4)="LVAX",LEFT(K4347,6)="MV15AX",LEFT(K4347,4)="CTAX",LEFT(K4347,2)="W|"),2*N4347*O4347,0)</f>
        <v/>
      </c>
      <c r="Z4347" s="12" t="inlineStr"/>
      <c r="AA4347" s="12">
        <f>N4347*O4347</f>
        <v/>
      </c>
    </row>
    <row r="4348">
      <c r="A4348" s="12" t="inlineStr">
        <is>
          <t>I-FA-0036</t>
        </is>
      </c>
      <c r="B4348" s="12" t="inlineStr">
        <is>
          <t>I</t>
        </is>
      </c>
      <c r="C4348" s="12" t="inlineStr">
        <is>
          <t>Modular / portable power</t>
        </is>
      </c>
      <c r="D4348" s="12" t="inlineStr">
        <is>
          <t>Fire alarm / F&amp;G loop (to the local FACP / F&amp;G node)</t>
        </is>
      </c>
      <c r="E4348" s="12" t="inlineStr"/>
      <c r="F4348" s="12" t="inlineStr">
        <is>
          <t>PCM: power control module</t>
        </is>
      </c>
      <c r="G4348" s="12" t="inlineStr"/>
      <c r="H4348" s="12" t="inlineStr">
        <is>
          <t>MT-3: microturbine 1 MW (Capstone C1000 class)</t>
        </is>
      </c>
      <c r="I4348" s="12" t="inlineStr">
        <is>
          <t>Fire alarm</t>
        </is>
      </c>
      <c r="J4348" s="12" t="inlineStr">
        <is>
          <t>Fire alarm FPLR 2/C #14 shielded, red jacket (NEC 760)</t>
        </is>
      </c>
      <c r="K4348" s="12" t="inlineStr">
        <is>
          <t>FA|2/C|14</t>
        </is>
      </c>
      <c r="L4348" s="12" t="inlineStr">
        <is>
          <t>2/C</t>
        </is>
      </c>
      <c r="M4348" s="12" t="inlineStr">
        <is>
          <t>14</t>
        </is>
      </c>
      <c r="N4348" s="12" t="n">
        <v>1</v>
      </c>
      <c r="O4348" s="12" t="n">
        <v>1</v>
      </c>
      <c r="P4348" s="12" t="n"/>
      <c r="Q4348" s="12" t="n"/>
      <c r="R4348" s="12" t="n"/>
      <c r="S4348" s="12" t="inlineStr">
        <is>
          <t>Duct bank</t>
        </is>
      </c>
      <c r="T4348" s="16" t="n">
        <v>807</v>
      </c>
      <c r="U4348" s="16" t="n">
        <v>145</v>
      </c>
      <c r="V4348" s="16">
        <f>ROUNDUP((T4348+U4348+2*'Read Me'!$B$13)*(1+'Read Me'!$B$12),-1)</f>
        <v/>
      </c>
      <c r="W4348" s="16">
        <f>V4348*N4348*O4348</f>
        <v/>
      </c>
      <c r="X4348" s="12">
        <f>IF(LEFT(I4348,2)="MV",2*N4348*IF(L4348="1/C",O4348,1),0)</f>
        <v/>
      </c>
      <c r="Y4348" s="12">
        <f>IF(OR(LEFT(K4348,4)="LVAX",LEFT(K4348,6)="MV15AX",LEFT(K4348,4)="CTAX",LEFT(K4348,2)="W|"),2*N4348*O4348,0)</f>
        <v/>
      </c>
      <c r="Z4348" s="12" t="inlineStr"/>
      <c r="AA4348" s="12">
        <f>N4348*O4348</f>
        <v/>
      </c>
    </row>
    <row r="4349">
      <c r="A4349" s="12" t="inlineStr">
        <is>
          <t>I-FA-0037</t>
        </is>
      </c>
      <c r="B4349" s="12" t="inlineStr">
        <is>
          <t>I</t>
        </is>
      </c>
      <c r="C4349" s="12" t="inlineStr">
        <is>
          <t>Modular / portable power</t>
        </is>
      </c>
      <c r="D4349" s="12" t="inlineStr">
        <is>
          <t>Fire alarm / F&amp;G loop (to the local FACP / F&amp;G node)</t>
        </is>
      </c>
      <c r="E4349" s="12" t="inlineStr">
        <is>
          <t>PAD-EH</t>
        </is>
      </c>
      <c r="F4349" s="12" t="inlineStr">
        <is>
          <t>PAD-EH 13.8 kV switchgear e-house</t>
        </is>
      </c>
      <c r="G4349" s="12" t="inlineStr">
        <is>
          <t>MT-4</t>
        </is>
      </c>
      <c r="H4349" s="12" t="inlineStr">
        <is>
          <t>MT-4: microturbine 1 MW (Capstone C1000 class)</t>
        </is>
      </c>
      <c r="I4349" s="12" t="inlineStr">
        <is>
          <t>Fire alarm</t>
        </is>
      </c>
      <c r="J4349" s="12" t="inlineStr">
        <is>
          <t>Fire alarm FPLR 2/C #14 shielded, red jacket (NEC 760)</t>
        </is>
      </c>
      <c r="K4349" s="12" t="inlineStr">
        <is>
          <t>FA|2/C|14</t>
        </is>
      </c>
      <c r="L4349" s="12" t="inlineStr">
        <is>
          <t>2/C</t>
        </is>
      </c>
      <c r="M4349" s="12" t="inlineStr">
        <is>
          <t>14</t>
        </is>
      </c>
      <c r="N4349" s="12" t="n">
        <v>1</v>
      </c>
      <c r="O4349" s="12" t="n">
        <v>1</v>
      </c>
      <c r="P4349" s="12" t="n"/>
      <c r="Q4349" s="12" t="n"/>
      <c r="R4349" s="12" t="n"/>
      <c r="S4349" s="12" t="inlineStr">
        <is>
          <t>Surface</t>
        </is>
      </c>
      <c r="T4349" s="16" t="n">
        <v>198</v>
      </c>
      <c r="U4349" s="16" t="n">
        <v>47</v>
      </c>
      <c r="V4349" s="16">
        <f>ROUNDUP((T4349+U4349+2*'Read Me'!$B$13)*(1+'Read Me'!$B$12),-1)</f>
        <v/>
      </c>
      <c r="W4349" s="16">
        <f>V4349*N4349*O4349</f>
        <v/>
      </c>
      <c r="X4349" s="12">
        <f>IF(LEFT(I4349,2)="MV",2*N4349*IF(L4349="1/C",O4349,1),0)</f>
        <v/>
      </c>
      <c r="Y4349" s="12">
        <f>IF(OR(LEFT(K4349,4)="LVAX",LEFT(K4349,6)="MV15AX",LEFT(K4349,4)="CTAX",LEFT(K4349,2)="W|"),2*N4349*O4349,0)</f>
        <v/>
      </c>
      <c r="Z4349" s="12" t="inlineStr"/>
      <c r="AA4349" s="12">
        <f>N4349*O4349</f>
        <v/>
      </c>
    </row>
    <row r="4350">
      <c r="A4350" s="12" t="inlineStr">
        <is>
          <t>I-FA-0038</t>
        </is>
      </c>
      <c r="B4350" s="12" t="inlineStr">
        <is>
          <t>I</t>
        </is>
      </c>
      <c r="C4350" s="12" t="inlineStr">
        <is>
          <t>Modular / portable power</t>
        </is>
      </c>
      <c r="D4350" s="12" t="inlineStr">
        <is>
          <t>Fire alarm / F&amp;G loop (to the local FACP / F&amp;G node)</t>
        </is>
      </c>
      <c r="E4350" s="12" t="inlineStr">
        <is>
          <t>PAD-EH</t>
        </is>
      </c>
      <c r="F4350" s="12" t="inlineStr">
        <is>
          <t>PAD-EH 13.8 kV switchgear e-house</t>
        </is>
      </c>
      <c r="G4350" s="12" t="inlineStr">
        <is>
          <t>MT-5</t>
        </is>
      </c>
      <c r="H4350" s="12" t="inlineStr">
        <is>
          <t>MT-5: microturbine 1 MW (Capstone C1000 class)</t>
        </is>
      </c>
      <c r="I4350" s="12" t="inlineStr">
        <is>
          <t>Fire alarm</t>
        </is>
      </c>
      <c r="J4350" s="12" t="inlineStr">
        <is>
          <t>Fire alarm FPLR 2/C #14 shielded, red jacket (NEC 760)</t>
        </is>
      </c>
      <c r="K4350" s="12" t="inlineStr">
        <is>
          <t>FA|2/C|14</t>
        </is>
      </c>
      <c r="L4350" s="12" t="inlineStr">
        <is>
          <t>2/C</t>
        </is>
      </c>
      <c r="M4350" s="12" t="inlineStr">
        <is>
          <t>14</t>
        </is>
      </c>
      <c r="N4350" s="12" t="n">
        <v>1</v>
      </c>
      <c r="O4350" s="12" t="n">
        <v>1</v>
      </c>
      <c r="P4350" s="12" t="n"/>
      <c r="Q4350" s="12" t="n"/>
      <c r="R4350" s="12" t="n"/>
      <c r="S4350" s="12" t="inlineStr">
        <is>
          <t>Surface</t>
        </is>
      </c>
      <c r="T4350" s="16" t="n">
        <v>198</v>
      </c>
      <c r="U4350" s="16" t="n">
        <v>37</v>
      </c>
      <c r="V4350" s="16">
        <f>ROUNDUP((T4350+U4350+2*'Read Me'!$B$13)*(1+'Read Me'!$B$12),-1)</f>
        <v/>
      </c>
      <c r="W4350" s="16">
        <f>V4350*N4350*O4350</f>
        <v/>
      </c>
      <c r="X4350" s="12">
        <f>IF(LEFT(I4350,2)="MV",2*N4350*IF(L4350="1/C",O4350,1),0)</f>
        <v/>
      </c>
      <c r="Y4350" s="12">
        <f>IF(OR(LEFT(K4350,4)="LVAX",LEFT(K4350,6)="MV15AX",LEFT(K4350,4)="CTAX",LEFT(K4350,2)="W|"),2*N4350*O4350,0)</f>
        <v/>
      </c>
      <c r="Z4350" s="12" t="inlineStr"/>
      <c r="AA4350" s="12">
        <f>N4350*O4350</f>
        <v/>
      </c>
    </row>
    <row r="4351">
      <c r="A4351" s="12" t="inlineStr">
        <is>
          <t>I-FA-0039</t>
        </is>
      </c>
      <c r="B4351" s="12" t="inlineStr">
        <is>
          <t>I</t>
        </is>
      </c>
      <c r="C4351" s="12" t="inlineStr">
        <is>
          <t>Modular / portable power</t>
        </is>
      </c>
      <c r="D4351" s="12" t="inlineStr">
        <is>
          <t>Fire alarm / F&amp;G loop (to the local FACP / F&amp;G node)</t>
        </is>
      </c>
      <c r="E4351" s="12" t="inlineStr">
        <is>
          <t>PAD-EH</t>
        </is>
      </c>
      <c r="F4351" s="12" t="inlineStr">
        <is>
          <t>PAD-EH 13.8 kV switchgear e-house</t>
        </is>
      </c>
      <c r="G4351" s="12" t="inlineStr">
        <is>
          <t>MT-6</t>
        </is>
      </c>
      <c r="H4351" s="12" t="inlineStr">
        <is>
          <t>MT-6: microturbine 1 MW (Capstone C1000 class)</t>
        </is>
      </c>
      <c r="I4351" s="12" t="inlineStr">
        <is>
          <t>Fire alarm</t>
        </is>
      </c>
      <c r="J4351" s="12" t="inlineStr">
        <is>
          <t>Fire alarm FPLR 2/C #14 shielded, red jacket (NEC 760)</t>
        </is>
      </c>
      <c r="K4351" s="12" t="inlineStr">
        <is>
          <t>FA|2/C|14</t>
        </is>
      </c>
      <c r="L4351" s="12" t="inlineStr">
        <is>
          <t>2/C</t>
        </is>
      </c>
      <c r="M4351" s="12" t="inlineStr">
        <is>
          <t>14</t>
        </is>
      </c>
      <c r="N4351" s="12" t="n">
        <v>1</v>
      </c>
      <c r="O4351" s="12" t="n">
        <v>1</v>
      </c>
      <c r="P4351" s="12" t="n"/>
      <c r="Q4351" s="12" t="n"/>
      <c r="R4351" s="12" t="n"/>
      <c r="S4351" s="12" t="inlineStr">
        <is>
          <t>Surface</t>
        </is>
      </c>
      <c r="T4351" s="16" t="n">
        <v>67</v>
      </c>
      <c r="U4351" s="16" t="n">
        <v>90</v>
      </c>
      <c r="V4351" s="16">
        <f>ROUNDUP((T4351+U4351+2*'Read Me'!$B$13)*(1+'Read Me'!$B$12),-1)</f>
        <v/>
      </c>
      <c r="W4351" s="16">
        <f>V4351*N4351*O4351</f>
        <v/>
      </c>
      <c r="X4351" s="12">
        <f>IF(LEFT(I4351,2)="MV",2*N4351*IF(L4351="1/C",O4351,1),0)</f>
        <v/>
      </c>
      <c r="Y4351" s="12">
        <f>IF(OR(LEFT(K4351,4)="LVAX",LEFT(K4351,6)="MV15AX",LEFT(K4351,4)="CTAX",LEFT(K4351,2)="W|"),2*N4351*O4351,0)</f>
        <v/>
      </c>
      <c r="Z4351" s="12" t="inlineStr"/>
      <c r="AA4351" s="12">
        <f>N4351*O4351</f>
        <v/>
      </c>
    </row>
    <row r="4352">
      <c r="A4352" s="12" t="inlineStr">
        <is>
          <t>I-FA-0040</t>
        </is>
      </c>
      <c r="B4352" s="12" t="inlineStr">
        <is>
          <t>I</t>
        </is>
      </c>
      <c r="C4352" s="12" t="inlineStr">
        <is>
          <t>Modular / portable power</t>
        </is>
      </c>
      <c r="D4352" s="12" t="inlineStr">
        <is>
          <t>Fire alarm / F&amp;G loop (to the local FACP / F&amp;G node)</t>
        </is>
      </c>
      <c r="E4352" s="12" t="inlineStr"/>
      <c r="F4352" s="12" t="inlineStr">
        <is>
          <t>PCM: power control module</t>
        </is>
      </c>
      <c r="G4352" s="12" t="inlineStr"/>
      <c r="H4352" s="12" t="inlineStr">
        <is>
          <t>PCM: power control module</t>
        </is>
      </c>
      <c r="I4352" s="12" t="inlineStr">
        <is>
          <t>Fire alarm</t>
        </is>
      </c>
      <c r="J4352" s="12" t="inlineStr">
        <is>
          <t>Fire alarm FPLR 2/C #14 shielded, red jacket (NEC 760)</t>
        </is>
      </c>
      <c r="K4352" s="12" t="inlineStr">
        <is>
          <t>FA|2/C|14</t>
        </is>
      </c>
      <c r="L4352" s="12" t="inlineStr">
        <is>
          <t>2/C</t>
        </is>
      </c>
      <c r="M4352" s="12" t="inlineStr">
        <is>
          <t>14</t>
        </is>
      </c>
      <c r="N4352" s="12" t="n">
        <v>1</v>
      </c>
      <c r="O4352" s="12" t="n">
        <v>1</v>
      </c>
      <c r="P4352" s="12" t="n"/>
      <c r="Q4352" s="12" t="n"/>
      <c r="R4352" s="12" t="n"/>
      <c r="S4352" s="12" t="inlineStr">
        <is>
          <t>Tray</t>
        </is>
      </c>
      <c r="T4352" s="16" t="n">
        <v>0</v>
      </c>
      <c r="U4352" s="16" t="n">
        <v>32</v>
      </c>
      <c r="V4352" s="16">
        <f>ROUNDUP((T4352+U4352+2*'Read Me'!$B$13)*(1+'Read Me'!$B$12),-1)</f>
        <v/>
      </c>
      <c r="W4352" s="16">
        <f>V4352*N4352*O4352</f>
        <v/>
      </c>
      <c r="X4352" s="12">
        <f>IF(LEFT(I4352,2)="MV",2*N4352*IF(L4352="1/C",O4352,1),0)</f>
        <v/>
      </c>
      <c r="Y4352" s="12">
        <f>IF(OR(LEFT(K4352,4)="LVAX",LEFT(K4352,6)="MV15AX",LEFT(K4352,4)="CTAX",LEFT(K4352,2)="W|"),2*N4352*O4352,0)</f>
        <v/>
      </c>
      <c r="Z4352" s="12" t="inlineStr"/>
      <c r="AA4352" s="12">
        <f>N4352*O4352</f>
        <v/>
      </c>
    </row>
    <row r="4353">
      <c r="A4353" s="12" t="inlineStr">
        <is>
          <t>I-FA-0041</t>
        </is>
      </c>
      <c r="B4353" s="12" t="inlineStr">
        <is>
          <t>I</t>
        </is>
      </c>
      <c r="C4353" s="12" t="inlineStr">
        <is>
          <t>Modular / portable power</t>
        </is>
      </c>
      <c r="D4353" s="12" t="inlineStr">
        <is>
          <t>Fire alarm / F&amp;G loop (to the local FACP / F&amp;G node)</t>
        </is>
      </c>
      <c r="E4353" s="12" t="inlineStr"/>
      <c r="F4353" s="12" t="inlineStr">
        <is>
          <t>PCM: power control module</t>
        </is>
      </c>
      <c r="G4353" s="12" t="inlineStr"/>
      <c r="H4353" s="12" t="inlineStr">
        <is>
          <t>RICE CEMS</t>
        </is>
      </c>
      <c r="I4353" s="12" t="inlineStr">
        <is>
          <t>Fire alarm</t>
        </is>
      </c>
      <c r="J4353" s="12" t="inlineStr">
        <is>
          <t>Fire alarm FPLR 2/C #14 shielded, red jacket (NEC 760)</t>
        </is>
      </c>
      <c r="K4353" s="12" t="inlineStr">
        <is>
          <t>FA|2/C|14</t>
        </is>
      </c>
      <c r="L4353" s="12" t="inlineStr">
        <is>
          <t>2/C</t>
        </is>
      </c>
      <c r="M4353" s="12" t="inlineStr">
        <is>
          <t>14</t>
        </is>
      </c>
      <c r="N4353" s="12" t="n">
        <v>1</v>
      </c>
      <c r="O4353" s="12" t="n">
        <v>1</v>
      </c>
      <c r="P4353" s="12" t="n"/>
      <c r="Q4353" s="12" t="n"/>
      <c r="R4353" s="12" t="n"/>
      <c r="S4353" s="12" t="inlineStr">
        <is>
          <t>Duct bank</t>
        </is>
      </c>
      <c r="T4353" s="16" t="n">
        <v>260</v>
      </c>
      <c r="U4353" s="16" t="n">
        <v>131</v>
      </c>
      <c r="V4353" s="16">
        <f>ROUNDUP((T4353+U4353+2*'Read Me'!$B$13)*(1+'Read Me'!$B$12),-1)</f>
        <v/>
      </c>
      <c r="W4353" s="16">
        <f>V4353*N4353*O4353</f>
        <v/>
      </c>
      <c r="X4353" s="12">
        <f>IF(LEFT(I4353,2)="MV",2*N4353*IF(L4353="1/C",O4353,1),0)</f>
        <v/>
      </c>
      <c r="Y4353" s="12">
        <f>IF(OR(LEFT(K4353,4)="LVAX",LEFT(K4353,6)="MV15AX",LEFT(K4353,4)="CTAX",LEFT(K4353,2)="W|"),2*N4353*O4353,0)</f>
        <v/>
      </c>
      <c r="Z4353" s="12" t="inlineStr"/>
      <c r="AA4353" s="12">
        <f>N4353*O4353</f>
        <v/>
      </c>
    </row>
    <row r="4354">
      <c r="A4354" s="12" t="inlineStr">
        <is>
          <t>I-FA-0042</t>
        </is>
      </c>
      <c r="B4354" s="12" t="inlineStr">
        <is>
          <t>I</t>
        </is>
      </c>
      <c r="C4354" s="12" t="inlineStr">
        <is>
          <t>Modular / portable power</t>
        </is>
      </c>
      <c r="D4354" s="12" t="inlineStr">
        <is>
          <t>Fire alarm / F&amp;G loop (to the local FACP / F&amp;G node)</t>
        </is>
      </c>
      <c r="E4354" s="12" t="inlineStr"/>
      <c r="F4354" s="12" t="inlineStr">
        <is>
          <t>PCM: power control module</t>
        </is>
      </c>
      <c r="G4354" s="12" t="inlineStr">
        <is>
          <t>RICE</t>
        </is>
      </c>
      <c r="H4354" s="12" t="inlineStr">
        <is>
          <t>RICE engine hall (8 engines)</t>
        </is>
      </c>
      <c r="I4354" s="12" t="inlineStr">
        <is>
          <t>Fire alarm</t>
        </is>
      </c>
      <c r="J4354" s="12" t="inlineStr">
        <is>
          <t>Fire alarm FPLR 2/C #14 shielded, red jacket (NEC 760)</t>
        </is>
      </c>
      <c r="K4354" s="12" t="inlineStr">
        <is>
          <t>FA|2/C|14</t>
        </is>
      </c>
      <c r="L4354" s="12" t="inlineStr">
        <is>
          <t>2/C</t>
        </is>
      </c>
      <c r="M4354" s="12" t="inlineStr">
        <is>
          <t>14</t>
        </is>
      </c>
      <c r="N4354" s="12" t="n">
        <v>1</v>
      </c>
      <c r="O4354" s="12" t="n">
        <v>1</v>
      </c>
      <c r="P4354" s="12" t="n"/>
      <c r="Q4354" s="12" t="n"/>
      <c r="R4354" s="12" t="n"/>
      <c r="S4354" s="12" t="inlineStr">
        <is>
          <t>Duct bank</t>
        </is>
      </c>
      <c r="T4354" s="16" t="n">
        <v>367</v>
      </c>
      <c r="U4354" s="16" t="n">
        <v>95</v>
      </c>
      <c r="V4354" s="16">
        <f>ROUNDUP((T4354+U4354+2*'Read Me'!$B$13)*(1+'Read Me'!$B$12),-1)</f>
        <v/>
      </c>
      <c r="W4354" s="16">
        <f>V4354*N4354*O4354</f>
        <v/>
      </c>
      <c r="X4354" s="12">
        <f>IF(LEFT(I4354,2)="MV",2*N4354*IF(L4354="1/C",O4354,1),0)</f>
        <v/>
      </c>
      <c r="Y4354" s="12">
        <f>IF(OR(LEFT(K4354,4)="LVAX",LEFT(K4354,6)="MV15AX",LEFT(K4354,4)="CTAX",LEFT(K4354,2)="W|"),2*N4354*O4354,0)</f>
        <v/>
      </c>
      <c r="Z4354" s="12" t="inlineStr"/>
      <c r="AA4354" s="12">
        <f>N4354*O4354</f>
        <v/>
      </c>
    </row>
    <row r="4355">
      <c r="A4355" s="12" t="inlineStr">
        <is>
          <t>I-FA-0043</t>
        </is>
      </c>
      <c r="B4355" s="12" t="inlineStr">
        <is>
          <t>I</t>
        </is>
      </c>
      <c r="C4355" s="12" t="inlineStr">
        <is>
          <t>Modular / portable power</t>
        </is>
      </c>
      <c r="D4355" s="12" t="inlineStr">
        <is>
          <t>Fire alarm / F&amp;G loop (to the local FACP / F&amp;G node)</t>
        </is>
      </c>
      <c r="E4355" s="12" t="inlineStr"/>
      <c r="F4355" s="12" t="inlineStr">
        <is>
          <t>PCM: power control module</t>
        </is>
      </c>
      <c r="G4355" s="12" t="inlineStr">
        <is>
          <t>SC-1</t>
        </is>
      </c>
      <c r="H4355" s="12" t="inlineStr">
        <is>
          <t>SC-1: aeroderivative simple-cycle unit (LM6000 class)</t>
        </is>
      </c>
      <c r="I4355" s="12" t="inlineStr">
        <is>
          <t>Fire alarm</t>
        </is>
      </c>
      <c r="J4355" s="12" t="inlineStr">
        <is>
          <t>Fire alarm FPLR 2/C #14 shielded, red jacket (NEC 760)</t>
        </is>
      </c>
      <c r="K4355" s="12" t="inlineStr">
        <is>
          <t>FA|2/C|14</t>
        </is>
      </c>
      <c r="L4355" s="12" t="inlineStr">
        <is>
          <t>2/C</t>
        </is>
      </c>
      <c r="M4355" s="12" t="inlineStr">
        <is>
          <t>14</t>
        </is>
      </c>
      <c r="N4355" s="12" t="n">
        <v>1</v>
      </c>
      <c r="O4355" s="12" t="n">
        <v>1</v>
      </c>
      <c r="P4355" s="12" t="n"/>
      <c r="Q4355" s="12" t="n"/>
      <c r="R4355" s="12" t="n"/>
      <c r="S4355" s="12" t="inlineStr">
        <is>
          <t>Duct bank</t>
        </is>
      </c>
      <c r="T4355" s="16" t="n">
        <v>40</v>
      </c>
      <c r="U4355" s="16" t="n">
        <v>52</v>
      </c>
      <c r="V4355" s="16">
        <f>ROUNDUP((T4355+U4355+2*'Read Me'!$B$13)*(1+'Read Me'!$B$12),-1)</f>
        <v/>
      </c>
      <c r="W4355" s="16">
        <f>V4355*N4355*O4355</f>
        <v/>
      </c>
      <c r="X4355" s="12">
        <f>IF(LEFT(I4355,2)="MV",2*N4355*IF(L4355="1/C",O4355,1),0)</f>
        <v/>
      </c>
      <c r="Y4355" s="12">
        <f>IF(OR(LEFT(K4355,4)="LVAX",LEFT(K4355,6)="MV15AX",LEFT(K4355,4)="CTAX",LEFT(K4355,2)="W|"),2*N4355*O4355,0)</f>
        <v/>
      </c>
      <c r="Z4355" s="12" t="inlineStr"/>
      <c r="AA4355" s="12">
        <f>N4355*O4355</f>
        <v/>
      </c>
    </row>
    <row r="4356">
      <c r="A4356" s="12" t="inlineStr">
        <is>
          <t>I-FA-0044</t>
        </is>
      </c>
      <c r="B4356" s="12" t="inlineStr">
        <is>
          <t>I</t>
        </is>
      </c>
      <c r="C4356" s="12" t="inlineStr">
        <is>
          <t>Modular / portable power</t>
        </is>
      </c>
      <c r="D4356" s="12" t="inlineStr">
        <is>
          <t>Fire alarm / F&amp;G loop (to the local FACP / F&amp;G node)</t>
        </is>
      </c>
      <c r="E4356" s="12" t="inlineStr"/>
      <c r="F4356" s="12" t="inlineStr">
        <is>
          <t>PCM: power control module</t>
        </is>
      </c>
      <c r="G4356" s="12" t="inlineStr">
        <is>
          <t>SC-2</t>
        </is>
      </c>
      <c r="H4356" s="12" t="inlineStr">
        <is>
          <t>SC-2: aeroderivative simple-cycle unit (LM6000 class)</t>
        </is>
      </c>
      <c r="I4356" s="12" t="inlineStr">
        <is>
          <t>Fire alarm</t>
        </is>
      </c>
      <c r="J4356" s="12" t="inlineStr">
        <is>
          <t>Fire alarm FPLR 2/C #14 shielded, red jacket (NEC 760)</t>
        </is>
      </c>
      <c r="K4356" s="12" t="inlineStr">
        <is>
          <t>FA|2/C|14</t>
        </is>
      </c>
      <c r="L4356" s="12" t="inlineStr">
        <is>
          <t>2/C</t>
        </is>
      </c>
      <c r="M4356" s="12" t="inlineStr">
        <is>
          <t>14</t>
        </is>
      </c>
      <c r="N4356" s="12" t="n">
        <v>1</v>
      </c>
      <c r="O4356" s="12" t="n">
        <v>1</v>
      </c>
      <c r="P4356" s="12" t="n"/>
      <c r="Q4356" s="12" t="n"/>
      <c r="R4356" s="12" t="n"/>
      <c r="S4356" s="12" t="inlineStr">
        <is>
          <t>HV duct bank</t>
        </is>
      </c>
      <c r="T4356" s="16" t="n">
        <v>4478</v>
      </c>
      <c r="U4356" s="16" t="n">
        <v>38</v>
      </c>
      <c r="V4356" s="16">
        <f>ROUNDUP((T4356+U4356+2*'Read Me'!$B$13)*(1+'Read Me'!$B$12),-1)</f>
        <v/>
      </c>
      <c r="W4356" s="16">
        <f>V4356*N4356*O4356</f>
        <v/>
      </c>
      <c r="X4356" s="12">
        <f>IF(LEFT(I4356,2)="MV",2*N4356*IF(L4356="1/C",O4356,1),0)</f>
        <v/>
      </c>
      <c r="Y4356" s="12">
        <f>IF(OR(LEFT(K4356,4)="LVAX",LEFT(K4356,6)="MV15AX",LEFT(K4356,4)="CTAX",LEFT(K4356,2)="W|"),2*N4356*O4356,0)</f>
        <v/>
      </c>
      <c r="Z4356" s="12" t="inlineStr"/>
      <c r="AA4356" s="12">
        <f>N4356*O4356</f>
        <v/>
      </c>
    </row>
    <row r="4357">
      <c r="A4357" s="12" t="inlineStr">
        <is>
          <t>I-FA-0045</t>
        </is>
      </c>
      <c r="B4357" s="12" t="inlineStr">
        <is>
          <t>I</t>
        </is>
      </c>
      <c r="C4357" s="12" t="inlineStr">
        <is>
          <t>Modular / portable power</t>
        </is>
      </c>
      <c r="D4357" s="12" t="inlineStr">
        <is>
          <t>Fire alarm / F&amp;G loop (to the local FACP / F&amp;G node)</t>
        </is>
      </c>
      <c r="E4357" s="12" t="inlineStr">
        <is>
          <t>PAD-EH</t>
        </is>
      </c>
      <c r="F4357" s="12" t="inlineStr">
        <is>
          <t>PAD-EH 13.8 kV switchgear e-house</t>
        </is>
      </c>
      <c r="G4357" s="12" t="inlineStr">
        <is>
          <t>TM-1</t>
        </is>
      </c>
      <c r="H4357" s="12" t="inlineStr">
        <is>
          <t>TM-1: trailer-mounted aeroderivative GT (TM2500 class, ~35 MW)</t>
        </is>
      </c>
      <c r="I4357" s="12" t="inlineStr">
        <is>
          <t>Fire alarm</t>
        </is>
      </c>
      <c r="J4357" s="12" t="inlineStr">
        <is>
          <t>Fire alarm FPLR 2/C #14 shielded, red jacket (NEC 760)</t>
        </is>
      </c>
      <c r="K4357" s="12" t="inlineStr">
        <is>
          <t>FA|2/C|14</t>
        </is>
      </c>
      <c r="L4357" s="12" t="inlineStr">
        <is>
          <t>2/C</t>
        </is>
      </c>
      <c r="M4357" s="12" t="inlineStr">
        <is>
          <t>14</t>
        </is>
      </c>
      <c r="N4357" s="12" t="n">
        <v>1</v>
      </c>
      <c r="O4357" s="12" t="n">
        <v>1</v>
      </c>
      <c r="P4357" s="12" t="n"/>
      <c r="Q4357" s="12" t="n"/>
      <c r="R4357" s="12" t="n"/>
      <c r="S4357" s="12" t="inlineStr">
        <is>
          <t>Surface</t>
        </is>
      </c>
      <c r="T4357" s="16" t="n">
        <v>382</v>
      </c>
      <c r="U4357" s="16" t="n">
        <v>50</v>
      </c>
      <c r="V4357" s="16">
        <f>ROUNDUP((T4357+U4357+2*'Read Me'!$B$13)*(1+'Read Me'!$B$12),-1)</f>
        <v/>
      </c>
      <c r="W4357" s="16">
        <f>V4357*N4357*O4357</f>
        <v/>
      </c>
      <c r="X4357" s="12">
        <f>IF(LEFT(I4357,2)="MV",2*N4357*IF(L4357="1/C",O4357,1),0)</f>
        <v/>
      </c>
      <c r="Y4357" s="12">
        <f>IF(OR(LEFT(K4357,4)="LVAX",LEFT(K4357,6)="MV15AX",LEFT(K4357,4)="CTAX",LEFT(K4357,2)="W|"),2*N4357*O4357,0)</f>
        <v/>
      </c>
      <c r="Z4357" s="12" t="inlineStr"/>
      <c r="AA4357" s="12">
        <f>N4357*O4357</f>
        <v/>
      </c>
    </row>
    <row r="4358">
      <c r="A4358" s="12" t="inlineStr">
        <is>
          <t>I-FA-0046</t>
        </is>
      </c>
      <c r="B4358" s="12" t="inlineStr">
        <is>
          <t>I</t>
        </is>
      </c>
      <c r="C4358" s="12" t="inlineStr">
        <is>
          <t>Modular / portable power</t>
        </is>
      </c>
      <c r="D4358" s="12" t="inlineStr">
        <is>
          <t>Fire alarm / F&amp;G loop (to the local FACP / F&amp;G node)</t>
        </is>
      </c>
      <c r="E4358" s="12" t="inlineStr">
        <is>
          <t>PAD-EH</t>
        </is>
      </c>
      <c r="F4358" s="12" t="inlineStr">
        <is>
          <t>PAD-EH 13.8 kV switchgear e-house</t>
        </is>
      </c>
      <c r="G4358" s="12" t="inlineStr">
        <is>
          <t>TM-2</t>
        </is>
      </c>
      <c r="H4358" s="12" t="inlineStr">
        <is>
          <t>TM-2: trailer-mounted aeroderivative GT (TM2500 class, ~35 MW)</t>
        </is>
      </c>
      <c r="I4358" s="12" t="inlineStr">
        <is>
          <t>Fire alarm</t>
        </is>
      </c>
      <c r="J4358" s="12" t="inlineStr">
        <is>
          <t>Fire alarm FPLR 2/C #14 shielded, red jacket (NEC 760)</t>
        </is>
      </c>
      <c r="K4358" s="12" t="inlineStr">
        <is>
          <t>FA|2/C|14</t>
        </is>
      </c>
      <c r="L4358" s="12" t="inlineStr">
        <is>
          <t>2/C</t>
        </is>
      </c>
      <c r="M4358" s="12" t="inlineStr">
        <is>
          <t>14</t>
        </is>
      </c>
      <c r="N4358" s="12" t="n">
        <v>1</v>
      </c>
      <c r="O4358" s="12" t="n">
        <v>1</v>
      </c>
      <c r="P4358" s="12" t="n"/>
      <c r="Q4358" s="12" t="n"/>
      <c r="R4358" s="12" t="n"/>
      <c r="S4358" s="12" t="inlineStr">
        <is>
          <t>Surface</t>
        </is>
      </c>
      <c r="T4358" s="16" t="n">
        <v>386</v>
      </c>
      <c r="U4358" s="16" t="n">
        <v>52</v>
      </c>
      <c r="V4358" s="16">
        <f>ROUNDUP((T4358+U4358+2*'Read Me'!$B$13)*(1+'Read Me'!$B$12),-1)</f>
        <v/>
      </c>
      <c r="W4358" s="16">
        <f>V4358*N4358*O4358</f>
        <v/>
      </c>
      <c r="X4358" s="12">
        <f>IF(LEFT(I4358,2)="MV",2*N4358*IF(L4358="1/C",O4358,1),0)</f>
        <v/>
      </c>
      <c r="Y4358" s="12">
        <f>IF(OR(LEFT(K4358,4)="LVAX",LEFT(K4358,6)="MV15AX",LEFT(K4358,4)="CTAX",LEFT(K4358,2)="W|"),2*N4358*O4358,0)</f>
        <v/>
      </c>
      <c r="Z4358" s="12" t="inlineStr"/>
      <c r="AA4358" s="12">
        <f>N4358*O4358</f>
        <v/>
      </c>
    </row>
    <row r="4359">
      <c r="A4359" s="12" t="inlineStr">
        <is>
          <t>I-I-0001</t>
        </is>
      </c>
      <c r="B4359" s="12" t="inlineStr">
        <is>
          <t>I</t>
        </is>
      </c>
      <c r="C4359" s="12" t="inlineStr">
        <is>
          <t>Modular / portable power</t>
        </is>
      </c>
      <c r="D4359" s="12" t="inlineStr">
        <is>
          <t>Instrumentation</t>
        </is>
      </c>
      <c r="E4359" s="12" t="inlineStr"/>
      <c r="F4359" s="12" t="inlineStr">
        <is>
          <t>PCM: power control module</t>
        </is>
      </c>
      <c r="G4359" s="12" t="inlineStr"/>
      <c r="H4359" s="12" t="inlineStr">
        <is>
          <t>Aqueous ammonia (SC units)</t>
        </is>
      </c>
      <c r="I4359" s="12" t="inlineStr">
        <is>
          <t>Instrumentation</t>
        </is>
      </c>
      <c r="J4359" s="12" t="inlineStr">
        <is>
          <t>Instrumentation PLTC / TC-ER 300 V, #18 twisted shielded pairs, overall shield</t>
        </is>
      </c>
      <c r="K4359" s="12" t="inlineStr">
        <is>
          <t>PLTC|4 pr|18</t>
        </is>
      </c>
      <c r="L4359" s="12" t="inlineStr">
        <is>
          <t>4 pr</t>
        </is>
      </c>
      <c r="M4359" s="12" t="inlineStr">
        <is>
          <t>18</t>
        </is>
      </c>
      <c r="N4359" s="12" t="n">
        <v>1</v>
      </c>
      <c r="O4359" s="12" t="n">
        <v>1</v>
      </c>
      <c r="P4359" s="12" t="n"/>
      <c r="Q4359" s="12" t="n"/>
      <c r="R4359" s="12" t="n"/>
      <c r="S4359" s="12" t="inlineStr">
        <is>
          <t>HV duct bank</t>
        </is>
      </c>
      <c r="T4359" s="16" t="n">
        <v>4299</v>
      </c>
      <c r="U4359" s="16" t="n">
        <v>38</v>
      </c>
      <c r="V4359" s="16">
        <f>ROUNDUP((T4359+U4359+2*'Read Me'!$B$13)*(1+'Read Me'!$B$12),-1)</f>
        <v/>
      </c>
      <c r="W4359" s="16">
        <f>V4359*N4359*O4359</f>
        <v/>
      </c>
      <c r="X4359" s="12">
        <f>IF(LEFT(I4359,2)="MV",2*N4359*IF(L4359="1/C",O4359,1),0)</f>
        <v/>
      </c>
      <c r="Y4359" s="12">
        <f>IF(OR(LEFT(K4359,4)="LVAX",LEFT(K4359,6)="MV15AX",LEFT(K4359,4)="CTAX",LEFT(K4359,2)="W|"),2*N4359*O4359,0)</f>
        <v/>
      </c>
      <c r="Z4359" s="12" t="inlineStr"/>
      <c r="AA4359" s="12">
        <f>N4359*O4359</f>
        <v/>
      </c>
    </row>
    <row r="4360">
      <c r="A4360" s="12" t="inlineStr">
        <is>
          <t>I-I-0002</t>
        </is>
      </c>
      <c r="B4360" s="12" t="inlineStr">
        <is>
          <t>I</t>
        </is>
      </c>
      <c r="C4360" s="12" t="inlineStr">
        <is>
          <t>Modular / portable power</t>
        </is>
      </c>
      <c r="D4360" s="12" t="inlineStr">
        <is>
          <t>Analog instrument to JB JB-Black-start genset-AI01: 20 x 1 pr (field cables)</t>
        </is>
      </c>
      <c r="E4360" s="12" t="inlineStr"/>
      <c r="F4360" s="12" t="inlineStr">
        <is>
          <t>Black-start genset (proposed; requires study)</t>
        </is>
      </c>
      <c r="G4360" s="12" t="inlineStr">
        <is>
          <t>JB-Black-start genset-AI01</t>
        </is>
      </c>
      <c r="H4360" s="12" t="inlineStr">
        <is>
          <t>Black-start genset (proposed; requires study)</t>
        </is>
      </c>
      <c r="I4360" s="12" t="inlineStr">
        <is>
          <t>Instrumentation</t>
        </is>
      </c>
      <c r="J4360" s="12" t="inlineStr">
        <is>
          <t>Instrumentation PLTC / TC-ER 300 V, #18 twisted shielded pairs, overall shield</t>
        </is>
      </c>
      <c r="K4360" s="12" t="inlineStr">
        <is>
          <t>PLTC|1 pr|16</t>
        </is>
      </c>
      <c r="L4360" s="12" t="inlineStr">
        <is>
          <t>1 pr</t>
        </is>
      </c>
      <c r="M4360" s="12" t="inlineStr">
        <is>
          <t>16</t>
        </is>
      </c>
      <c r="N4360" s="12" t="n">
        <v>20</v>
      </c>
      <c r="O4360" s="12" t="n">
        <v>1</v>
      </c>
      <c r="P4360" s="12" t="n"/>
      <c r="Q4360" s="12" t="n"/>
      <c r="R4360" s="12" t="n"/>
      <c r="S4360" s="12" t="inlineStr">
        <is>
          <t>Tray / conduit</t>
        </is>
      </c>
      <c r="T4360" s="16" t="n">
        <v>59</v>
      </c>
      <c r="U4360" s="16" t="n">
        <v>10</v>
      </c>
      <c r="V4360" s="16">
        <f>ROUNDUP((T4360+U4360+2*'Read Me'!$B$13)*(1+'Read Me'!$B$12),-1)</f>
        <v/>
      </c>
      <c r="W4360" s="16">
        <f>V4360*N4360*O4360</f>
        <v/>
      </c>
      <c r="X4360" s="12">
        <f>IF(LEFT(I4360,2)="MV",2*N4360*IF(L4360="1/C",O4360,1),0)</f>
        <v/>
      </c>
      <c r="Y4360" s="12">
        <f>IF(OR(LEFT(K4360,4)="LVAX",LEFT(K4360,6)="MV15AX",LEFT(K4360,4)="CTAX",LEFT(K4360,2)="W|"),2*N4360*O4360,0)</f>
        <v/>
      </c>
      <c r="Z4360" s="12" t="inlineStr">
        <is>
          <t>device-to-JB field wiring, one cable per device</t>
        </is>
      </c>
      <c r="AA4360" s="12">
        <f>N4360*O4360</f>
        <v/>
      </c>
    </row>
    <row r="4361">
      <c r="A4361" s="12" t="inlineStr">
        <is>
          <t>I-I-0003</t>
        </is>
      </c>
      <c r="B4361" s="12" t="inlineStr">
        <is>
          <t>I</t>
        </is>
      </c>
      <c r="C4361" s="12" t="inlineStr">
        <is>
          <t>Modular / portable power</t>
        </is>
      </c>
      <c r="D4361" s="12" t="inlineStr">
        <is>
          <t>Home run JB-Black-start genset-AI01 to the control / marshalling room</t>
        </is>
      </c>
      <c r="E4361" s="12" t="inlineStr"/>
      <c r="F4361" s="12" t="inlineStr">
        <is>
          <t>PCM: power control module</t>
        </is>
      </c>
      <c r="G4361" s="12" t="inlineStr">
        <is>
          <t>JB-Black-start genset-AI01</t>
        </is>
      </c>
      <c r="H4361" s="12" t="inlineStr">
        <is>
          <t>Black-start genset (proposed; requires study)</t>
        </is>
      </c>
      <c r="I4361" s="12" t="inlineStr">
        <is>
          <t>Instrumentation</t>
        </is>
      </c>
      <c r="J4361" s="12" t="inlineStr">
        <is>
          <t>Instrumentation PLTC / TC-ER 300 V, #18 twisted shielded pairs, overall shield</t>
        </is>
      </c>
      <c r="K4361" s="12" t="inlineStr">
        <is>
          <t>PLTC|24 pr|18</t>
        </is>
      </c>
      <c r="L4361" s="12" t="inlineStr">
        <is>
          <t>24 pr</t>
        </is>
      </c>
      <c r="M4361" s="12" t="inlineStr">
        <is>
          <t>18</t>
        </is>
      </c>
      <c r="N4361" s="12" t="n">
        <v>1</v>
      </c>
      <c r="O4361" s="12" t="n">
        <v>1</v>
      </c>
      <c r="P4361" s="12" t="n"/>
      <c r="Q4361" s="12" t="n"/>
      <c r="R4361" s="12" t="n"/>
      <c r="S4361" s="12" t="inlineStr">
        <is>
          <t>Duct bank</t>
        </is>
      </c>
      <c r="T4361" s="16" t="n">
        <v>624</v>
      </c>
      <c r="U4361" s="16" t="n">
        <v>32</v>
      </c>
      <c r="V4361" s="16">
        <f>ROUNDUP((T4361+U4361+2*'Read Me'!$B$13)*(1+'Read Me'!$B$12),-1)</f>
        <v/>
      </c>
      <c r="W4361" s="16">
        <f>V4361*N4361*O4361</f>
        <v/>
      </c>
      <c r="X4361" s="12">
        <f>IF(LEFT(I4361,2)="MV",2*N4361*IF(L4361="1/C",O4361,1),0)</f>
        <v/>
      </c>
      <c r="Y4361" s="12">
        <f>IF(OR(LEFT(K4361,4)="LVAX",LEFT(K4361,6)="MV15AX",LEFT(K4361,4)="CTAX",LEFT(K4361,2)="W|"),2*N4361*O4361,0)</f>
        <v/>
      </c>
      <c r="Z4361" s="12" t="inlineStr"/>
      <c r="AA4361" s="12">
        <f>N4361*O4361</f>
        <v/>
      </c>
    </row>
    <row r="4362">
      <c r="A4362" s="12" t="inlineStr">
        <is>
          <t>I-I-0004</t>
        </is>
      </c>
      <c r="B4362" s="12" t="inlineStr">
        <is>
          <t>I</t>
        </is>
      </c>
      <c r="C4362" s="12" t="inlineStr">
        <is>
          <t>Modular / portable power</t>
        </is>
      </c>
      <c r="D4362" s="12" t="inlineStr">
        <is>
          <t>Discrete device to JB JB-Black-start genset-DI01: 20 x 1 pr (field cables)</t>
        </is>
      </c>
      <c r="E4362" s="12" t="inlineStr"/>
      <c r="F4362" s="12" t="inlineStr">
        <is>
          <t>Black-start genset (proposed; requires study)</t>
        </is>
      </c>
      <c r="G4362" s="12" t="inlineStr">
        <is>
          <t>JB-Black-start genset-DI01</t>
        </is>
      </c>
      <c r="H4362" s="12" t="inlineStr">
        <is>
          <t>Black-start genset (proposed; requires study)</t>
        </is>
      </c>
      <c r="I4362" s="12" t="inlineStr">
        <is>
          <t>Instrumentation</t>
        </is>
      </c>
      <c r="J4362" s="12" t="inlineStr">
        <is>
          <t>Instrumentation PLTC / TC-ER 300 V, #18 twisted shielded pairs, overall shield</t>
        </is>
      </c>
      <c r="K4362" s="12" t="inlineStr">
        <is>
          <t>PLTC|1 pr|16</t>
        </is>
      </c>
      <c r="L4362" s="12" t="inlineStr">
        <is>
          <t>1 pr</t>
        </is>
      </c>
      <c r="M4362" s="12" t="inlineStr">
        <is>
          <t>16</t>
        </is>
      </c>
      <c r="N4362" s="12" t="n">
        <v>20</v>
      </c>
      <c r="O4362" s="12" t="n">
        <v>1</v>
      </c>
      <c r="P4362" s="12" t="n"/>
      <c r="Q4362" s="12" t="n"/>
      <c r="R4362" s="12" t="n"/>
      <c r="S4362" s="12" t="inlineStr">
        <is>
          <t>Tray / conduit</t>
        </is>
      </c>
      <c r="T4362" s="16" t="n">
        <v>59</v>
      </c>
      <c r="U4362" s="16" t="n">
        <v>10</v>
      </c>
      <c r="V4362" s="16">
        <f>ROUNDUP((T4362+U4362+2*'Read Me'!$B$13)*(1+'Read Me'!$B$12),-1)</f>
        <v/>
      </c>
      <c r="W4362" s="16">
        <f>V4362*N4362*O4362</f>
        <v/>
      </c>
      <c r="X4362" s="12">
        <f>IF(LEFT(I4362,2)="MV",2*N4362*IF(L4362="1/C",O4362,1),0)</f>
        <v/>
      </c>
      <c r="Y4362" s="12">
        <f>IF(OR(LEFT(K4362,4)="LVAX",LEFT(K4362,6)="MV15AX",LEFT(K4362,4)="CTAX",LEFT(K4362,2)="W|"),2*N4362*O4362,0)</f>
        <v/>
      </c>
      <c r="Z4362" s="12" t="inlineStr">
        <is>
          <t>device-to-JB field wiring, one cable per device</t>
        </is>
      </c>
      <c r="AA4362" s="12">
        <f>N4362*O4362</f>
        <v/>
      </c>
    </row>
    <row r="4363">
      <c r="A4363" s="12" t="inlineStr">
        <is>
          <t>I-I-0005</t>
        </is>
      </c>
      <c r="B4363" s="12" t="inlineStr">
        <is>
          <t>I</t>
        </is>
      </c>
      <c r="C4363" s="12" t="inlineStr">
        <is>
          <t>Modular / portable power</t>
        </is>
      </c>
      <c r="D4363" s="12" t="inlineStr">
        <is>
          <t>Home run JB-Black-start genset-DI01 to the control / marshalling room</t>
        </is>
      </c>
      <c r="E4363" s="12" t="inlineStr"/>
      <c r="F4363" s="12" t="inlineStr">
        <is>
          <t>PCM: power control module</t>
        </is>
      </c>
      <c r="G4363" s="12" t="inlineStr">
        <is>
          <t>JB-Black-start genset-DI01</t>
        </is>
      </c>
      <c r="H4363" s="12" t="inlineStr">
        <is>
          <t>Black-start genset (proposed; requires study)</t>
        </is>
      </c>
      <c r="I4363" s="12" t="inlineStr">
        <is>
          <t>Instrumentation</t>
        </is>
      </c>
      <c r="J4363" s="12" t="inlineStr">
        <is>
          <t>Instrumentation PLTC / TC-ER 300 V, #18 twisted shielded pairs, overall shield</t>
        </is>
      </c>
      <c r="K4363" s="12" t="inlineStr">
        <is>
          <t>PLTC|24 pr|18</t>
        </is>
      </c>
      <c r="L4363" s="12" t="inlineStr">
        <is>
          <t>24 pr</t>
        </is>
      </c>
      <c r="M4363" s="12" t="inlineStr">
        <is>
          <t>18</t>
        </is>
      </c>
      <c r="N4363" s="12" t="n">
        <v>1</v>
      </c>
      <c r="O4363" s="12" t="n">
        <v>1</v>
      </c>
      <c r="P4363" s="12" t="n"/>
      <c r="Q4363" s="12" t="n"/>
      <c r="R4363" s="12" t="n"/>
      <c r="S4363" s="12" t="inlineStr">
        <is>
          <t>Duct bank</t>
        </is>
      </c>
      <c r="T4363" s="16" t="n">
        <v>624</v>
      </c>
      <c r="U4363" s="16" t="n">
        <v>32</v>
      </c>
      <c r="V4363" s="16">
        <f>ROUNDUP((T4363+U4363+2*'Read Me'!$B$13)*(1+'Read Me'!$B$12),-1)</f>
        <v/>
      </c>
      <c r="W4363" s="16">
        <f>V4363*N4363*O4363</f>
        <v/>
      </c>
      <c r="X4363" s="12">
        <f>IF(LEFT(I4363,2)="MV",2*N4363*IF(L4363="1/C",O4363,1),0)</f>
        <v/>
      </c>
      <c r="Y4363" s="12">
        <f>IF(OR(LEFT(K4363,4)="LVAX",LEFT(K4363,6)="MV15AX",LEFT(K4363,4)="CTAX",LEFT(K4363,2)="W|"),2*N4363*O4363,0)</f>
        <v/>
      </c>
      <c r="Z4363" s="12" t="inlineStr"/>
      <c r="AA4363" s="12">
        <f>N4363*O4363</f>
        <v/>
      </c>
    </row>
    <row r="4364">
      <c r="A4364" s="12" t="inlineStr">
        <is>
          <t>I-I-0006</t>
        </is>
      </c>
      <c r="B4364" s="12" t="inlineStr">
        <is>
          <t>I</t>
        </is>
      </c>
      <c r="C4364" s="12" t="inlineStr">
        <is>
          <t>Modular / portable power</t>
        </is>
      </c>
      <c r="D4364" s="12" t="inlineStr">
        <is>
          <t>Analog instrument to JB JB-Black-start genset-AI01: 20 x 1 pr (field cables)</t>
        </is>
      </c>
      <c r="E4364" s="12" t="inlineStr"/>
      <c r="F4364" s="12" t="inlineStr">
        <is>
          <t>Black-start genset (proposed; requires study)</t>
        </is>
      </c>
      <c r="G4364" s="12" t="inlineStr">
        <is>
          <t>JB-Black-start genset-AI01</t>
        </is>
      </c>
      <c r="H4364" s="12" t="inlineStr">
        <is>
          <t>Black-start genset (proposed; requires study)</t>
        </is>
      </c>
      <c r="I4364" s="12" t="inlineStr">
        <is>
          <t>Instrumentation</t>
        </is>
      </c>
      <c r="J4364" s="12" t="inlineStr">
        <is>
          <t>Instrumentation PLTC / TC-ER 300 V, #18 twisted shielded pairs, overall shield</t>
        </is>
      </c>
      <c r="K4364" s="12" t="inlineStr">
        <is>
          <t>PLTC|1 pr|16</t>
        </is>
      </c>
      <c r="L4364" s="12" t="inlineStr">
        <is>
          <t>1 pr</t>
        </is>
      </c>
      <c r="M4364" s="12" t="inlineStr">
        <is>
          <t>16</t>
        </is>
      </c>
      <c r="N4364" s="12" t="n">
        <v>20</v>
      </c>
      <c r="O4364" s="12" t="n">
        <v>1</v>
      </c>
      <c r="P4364" s="12" t="n"/>
      <c r="Q4364" s="12" t="n"/>
      <c r="R4364" s="12" t="n"/>
      <c r="S4364" s="12" t="inlineStr">
        <is>
          <t>Tray / conduit</t>
        </is>
      </c>
      <c r="T4364" s="16" t="n">
        <v>59</v>
      </c>
      <c r="U4364" s="16" t="n">
        <v>10</v>
      </c>
      <c r="V4364" s="16">
        <f>ROUNDUP((T4364+U4364+2*'Read Me'!$B$13)*(1+'Read Me'!$B$12),-1)</f>
        <v/>
      </c>
      <c r="W4364" s="16">
        <f>V4364*N4364*O4364</f>
        <v/>
      </c>
      <c r="X4364" s="12">
        <f>IF(LEFT(I4364,2)="MV",2*N4364*IF(L4364="1/C",O4364,1),0)</f>
        <v/>
      </c>
      <c r="Y4364" s="12">
        <f>IF(OR(LEFT(K4364,4)="LVAX",LEFT(K4364,6)="MV15AX",LEFT(K4364,4)="CTAX",LEFT(K4364,2)="W|"),2*N4364*O4364,0)</f>
        <v/>
      </c>
      <c r="Z4364" s="12" t="inlineStr">
        <is>
          <t>device-to-JB field wiring, one cable per device</t>
        </is>
      </c>
      <c r="AA4364" s="12">
        <f>N4364*O4364</f>
        <v/>
      </c>
    </row>
    <row r="4365">
      <c r="A4365" s="12" t="inlineStr">
        <is>
          <t>I-I-0007</t>
        </is>
      </c>
      <c r="B4365" s="12" t="inlineStr">
        <is>
          <t>I</t>
        </is>
      </c>
      <c r="C4365" s="12" t="inlineStr">
        <is>
          <t>Modular / portable power</t>
        </is>
      </c>
      <c r="D4365" s="12" t="inlineStr">
        <is>
          <t>Home run JB-Black-start genset-AI01 to the control / marshalling room</t>
        </is>
      </c>
      <c r="E4365" s="12" t="inlineStr"/>
      <c r="F4365" s="12" t="inlineStr">
        <is>
          <t>PCM: power control module</t>
        </is>
      </c>
      <c r="G4365" s="12" t="inlineStr">
        <is>
          <t>JB-Black-start genset-AI01</t>
        </is>
      </c>
      <c r="H4365" s="12" t="inlineStr">
        <is>
          <t>Black-start genset (proposed; requires study)</t>
        </is>
      </c>
      <c r="I4365" s="12" t="inlineStr">
        <is>
          <t>Instrumentation</t>
        </is>
      </c>
      <c r="J4365" s="12" t="inlineStr">
        <is>
          <t>Instrumentation PLTC / TC-ER 300 V, #18 twisted shielded pairs, overall shield</t>
        </is>
      </c>
      <c r="K4365" s="12" t="inlineStr">
        <is>
          <t>PLTC|24 pr|18</t>
        </is>
      </c>
      <c r="L4365" s="12" t="inlineStr">
        <is>
          <t>24 pr</t>
        </is>
      </c>
      <c r="M4365" s="12" t="inlineStr">
        <is>
          <t>18</t>
        </is>
      </c>
      <c r="N4365" s="12" t="n">
        <v>1</v>
      </c>
      <c r="O4365" s="12" t="n">
        <v>1</v>
      </c>
      <c r="P4365" s="12" t="n"/>
      <c r="Q4365" s="12" t="n"/>
      <c r="R4365" s="12" t="n"/>
      <c r="S4365" s="12" t="inlineStr">
        <is>
          <t>Duct bank</t>
        </is>
      </c>
      <c r="T4365" s="16" t="n">
        <v>624</v>
      </c>
      <c r="U4365" s="16" t="n">
        <v>40</v>
      </c>
      <c r="V4365" s="16">
        <f>ROUNDUP((T4365+U4365+2*'Read Me'!$B$13)*(1+'Read Me'!$B$12),-1)</f>
        <v/>
      </c>
      <c r="W4365" s="16">
        <f>V4365*N4365*O4365</f>
        <v/>
      </c>
      <c r="X4365" s="12">
        <f>IF(LEFT(I4365,2)="MV",2*N4365*IF(L4365="1/C",O4365,1),0)</f>
        <v/>
      </c>
      <c r="Y4365" s="12">
        <f>IF(OR(LEFT(K4365,4)="LVAX",LEFT(K4365,6)="MV15AX",LEFT(K4365,4)="CTAX",LEFT(K4365,2)="W|"),2*N4365*O4365,0)</f>
        <v/>
      </c>
      <c r="Z4365" s="12" t="inlineStr"/>
      <c r="AA4365" s="12">
        <f>N4365*O4365</f>
        <v/>
      </c>
    </row>
    <row r="4366">
      <c r="A4366" s="12" t="inlineStr">
        <is>
          <t>I-I-0008</t>
        </is>
      </c>
      <c r="B4366" s="12" t="inlineStr">
        <is>
          <t>I</t>
        </is>
      </c>
      <c r="C4366" s="12" t="inlineStr">
        <is>
          <t>Modular / portable power</t>
        </is>
      </c>
      <c r="D4366" s="12" t="inlineStr">
        <is>
          <t>Discrete device to JB JB-Black-start genset-DI01: 20 x 1 pr (field cables)</t>
        </is>
      </c>
      <c r="E4366" s="12" t="inlineStr"/>
      <c r="F4366" s="12" t="inlineStr">
        <is>
          <t>Black-start genset (proposed; requires study)</t>
        </is>
      </c>
      <c r="G4366" s="12" t="inlineStr">
        <is>
          <t>JB-Black-start genset-DI01</t>
        </is>
      </c>
      <c r="H4366" s="12" t="inlineStr">
        <is>
          <t>Black-start genset (proposed; requires study)</t>
        </is>
      </c>
      <c r="I4366" s="12" t="inlineStr">
        <is>
          <t>Instrumentation</t>
        </is>
      </c>
      <c r="J4366" s="12" t="inlineStr">
        <is>
          <t>Instrumentation PLTC / TC-ER 300 V, #18 twisted shielded pairs, overall shield</t>
        </is>
      </c>
      <c r="K4366" s="12" t="inlineStr">
        <is>
          <t>PLTC|1 pr|16</t>
        </is>
      </c>
      <c r="L4366" s="12" t="inlineStr">
        <is>
          <t>1 pr</t>
        </is>
      </c>
      <c r="M4366" s="12" t="inlineStr">
        <is>
          <t>16</t>
        </is>
      </c>
      <c r="N4366" s="12" t="n">
        <v>20</v>
      </c>
      <c r="O4366" s="12" t="n">
        <v>1</v>
      </c>
      <c r="P4366" s="12" t="n"/>
      <c r="Q4366" s="12" t="n"/>
      <c r="R4366" s="12" t="n"/>
      <c r="S4366" s="12" t="inlineStr">
        <is>
          <t>Tray / conduit</t>
        </is>
      </c>
      <c r="T4366" s="16" t="n">
        <v>59</v>
      </c>
      <c r="U4366" s="16" t="n">
        <v>10</v>
      </c>
      <c r="V4366" s="16">
        <f>ROUNDUP((T4366+U4366+2*'Read Me'!$B$13)*(1+'Read Me'!$B$12),-1)</f>
        <v/>
      </c>
      <c r="W4366" s="16">
        <f>V4366*N4366*O4366</f>
        <v/>
      </c>
      <c r="X4366" s="12">
        <f>IF(LEFT(I4366,2)="MV",2*N4366*IF(L4366="1/C",O4366,1),0)</f>
        <v/>
      </c>
      <c r="Y4366" s="12">
        <f>IF(OR(LEFT(K4366,4)="LVAX",LEFT(K4366,6)="MV15AX",LEFT(K4366,4)="CTAX",LEFT(K4366,2)="W|"),2*N4366*O4366,0)</f>
        <v/>
      </c>
      <c r="Z4366" s="12" t="inlineStr">
        <is>
          <t>device-to-JB field wiring, one cable per device</t>
        </is>
      </c>
      <c r="AA4366" s="12">
        <f>N4366*O4366</f>
        <v/>
      </c>
    </row>
    <row r="4367">
      <c r="A4367" s="12" t="inlineStr">
        <is>
          <t>I-I-0009</t>
        </is>
      </c>
      <c r="B4367" s="12" t="inlineStr">
        <is>
          <t>I</t>
        </is>
      </c>
      <c r="C4367" s="12" t="inlineStr">
        <is>
          <t>Modular / portable power</t>
        </is>
      </c>
      <c r="D4367" s="12" t="inlineStr">
        <is>
          <t>Home run JB-Black-start genset-DI01 to the control / marshalling room</t>
        </is>
      </c>
      <c r="E4367" s="12" t="inlineStr"/>
      <c r="F4367" s="12" t="inlineStr">
        <is>
          <t>PCM: power control module</t>
        </is>
      </c>
      <c r="G4367" s="12" t="inlineStr">
        <is>
          <t>JB-Black-start genset-DI01</t>
        </is>
      </c>
      <c r="H4367" s="12" t="inlineStr">
        <is>
          <t>Black-start genset (proposed; requires study)</t>
        </is>
      </c>
      <c r="I4367" s="12" t="inlineStr">
        <is>
          <t>Instrumentation</t>
        </is>
      </c>
      <c r="J4367" s="12" t="inlineStr">
        <is>
          <t>Instrumentation PLTC / TC-ER 300 V, #18 twisted shielded pairs, overall shield</t>
        </is>
      </c>
      <c r="K4367" s="12" t="inlineStr">
        <is>
          <t>PLTC|24 pr|18</t>
        </is>
      </c>
      <c r="L4367" s="12" t="inlineStr">
        <is>
          <t>24 pr</t>
        </is>
      </c>
      <c r="M4367" s="12" t="inlineStr">
        <is>
          <t>18</t>
        </is>
      </c>
      <c r="N4367" s="12" t="n">
        <v>1</v>
      </c>
      <c r="O4367" s="12" t="n">
        <v>1</v>
      </c>
      <c r="P4367" s="12" t="n"/>
      <c r="Q4367" s="12" t="n"/>
      <c r="R4367" s="12" t="n"/>
      <c r="S4367" s="12" t="inlineStr">
        <is>
          <t>Duct bank</t>
        </is>
      </c>
      <c r="T4367" s="16" t="n">
        <v>624</v>
      </c>
      <c r="U4367" s="16" t="n">
        <v>40</v>
      </c>
      <c r="V4367" s="16">
        <f>ROUNDUP((T4367+U4367+2*'Read Me'!$B$13)*(1+'Read Me'!$B$12),-1)</f>
        <v/>
      </c>
      <c r="W4367" s="16">
        <f>V4367*N4367*O4367</f>
        <v/>
      </c>
      <c r="X4367" s="12">
        <f>IF(LEFT(I4367,2)="MV",2*N4367*IF(L4367="1/C",O4367,1),0)</f>
        <v/>
      </c>
      <c r="Y4367" s="12">
        <f>IF(OR(LEFT(K4367,4)="LVAX",LEFT(K4367,6)="MV15AX",LEFT(K4367,4)="CTAX",LEFT(K4367,2)="W|"),2*N4367*O4367,0)</f>
        <v/>
      </c>
      <c r="Z4367" s="12" t="inlineStr"/>
      <c r="AA4367" s="12">
        <f>N4367*O4367</f>
        <v/>
      </c>
    </row>
    <row r="4368">
      <c r="A4368" s="12" t="inlineStr">
        <is>
          <t>I-I-0010</t>
        </is>
      </c>
      <c r="B4368" s="12" t="inlineStr">
        <is>
          <t>I</t>
        </is>
      </c>
      <c r="C4368" s="12" t="inlineStr">
        <is>
          <t>Modular / portable power</t>
        </is>
      </c>
      <c r="D4368" s="12" t="inlineStr">
        <is>
          <t>Instrumentation</t>
        </is>
      </c>
      <c r="E4368" s="12" t="inlineStr"/>
      <c r="F4368" s="12" t="inlineStr">
        <is>
          <t>PCM: power control module</t>
        </is>
      </c>
      <c r="G4368" s="12" t="inlineStr"/>
      <c r="H4368" s="12" t="inlineStr">
        <is>
          <t>CONDITIONAL: BESS black-start alternative</t>
        </is>
      </c>
      <c r="I4368" s="12" t="inlineStr">
        <is>
          <t>Instrumentation</t>
        </is>
      </c>
      <c r="J4368" s="12" t="inlineStr">
        <is>
          <t>Instrumentation PLTC / TC-ER 300 V, #18 twisted shielded pairs, overall shield</t>
        </is>
      </c>
      <c r="K4368" s="12" t="inlineStr">
        <is>
          <t>PLTC|4 pr|18</t>
        </is>
      </c>
      <c r="L4368" s="12" t="inlineStr">
        <is>
          <t>4 pr</t>
        </is>
      </c>
      <c r="M4368" s="12" t="inlineStr">
        <is>
          <t>18</t>
        </is>
      </c>
      <c r="N4368" s="12" t="n">
        <v>1</v>
      </c>
      <c r="O4368" s="12" t="n">
        <v>1</v>
      </c>
      <c r="P4368" s="12" t="n"/>
      <c r="Q4368" s="12" t="n"/>
      <c r="R4368" s="12" t="n"/>
      <c r="S4368" s="12" t="inlineStr">
        <is>
          <t>Duct bank</t>
        </is>
      </c>
      <c r="T4368" s="16" t="n">
        <v>550</v>
      </c>
      <c r="U4368" s="16" t="n">
        <v>32</v>
      </c>
      <c r="V4368" s="16">
        <f>ROUNDUP((T4368+U4368+2*'Read Me'!$B$13)*(1+'Read Me'!$B$12),-1)</f>
        <v/>
      </c>
      <c r="W4368" s="16">
        <f>V4368*N4368*O4368</f>
        <v/>
      </c>
      <c r="X4368" s="12">
        <f>IF(LEFT(I4368,2)="MV",2*N4368*IF(L4368="1/C",O4368,1),0)</f>
        <v/>
      </c>
      <c r="Y4368" s="12">
        <f>IF(OR(LEFT(K4368,4)="LVAX",LEFT(K4368,6)="MV15AX",LEFT(K4368,4)="CTAX",LEFT(K4368,2)="W|"),2*N4368*O4368,0)</f>
        <v/>
      </c>
      <c r="Z4368" s="12" t="inlineStr"/>
      <c r="AA4368" s="12">
        <f>N4368*O4368</f>
        <v/>
      </c>
    </row>
    <row r="4369">
      <c r="A4369" s="12" t="inlineStr">
        <is>
          <t>I-I-0011</t>
        </is>
      </c>
      <c r="B4369" s="12" t="inlineStr">
        <is>
          <t>I</t>
        </is>
      </c>
      <c r="C4369" s="12" t="inlineStr">
        <is>
          <t>Modular / portable power</t>
        </is>
      </c>
      <c r="D4369" s="12" t="inlineStr">
        <is>
          <t>Thermocouples</t>
        </is>
      </c>
      <c r="E4369" s="12" t="inlineStr"/>
      <c r="F4369" s="12" t="inlineStr">
        <is>
          <t>PCM: power control module</t>
        </is>
      </c>
      <c r="G4369" s="12" t="inlineStr"/>
      <c r="H4369" s="12" t="inlineStr">
        <is>
          <t>CONDITIONAL: BESS black-start alternative</t>
        </is>
      </c>
      <c r="I4369" s="12" t="inlineStr">
        <is>
          <t>Instrumentation</t>
        </is>
      </c>
      <c r="J4369" s="12" t="inlineStr">
        <is>
          <t>Thermocouple extension KX, #16 shielded pairs, PLTC</t>
        </is>
      </c>
      <c r="K4369" s="12" t="inlineStr">
        <is>
          <t>TCX|12 pr|16</t>
        </is>
      </c>
      <c r="L4369" s="12" t="inlineStr">
        <is>
          <t>12 pr</t>
        </is>
      </c>
      <c r="M4369" s="12" t="inlineStr">
        <is>
          <t>16</t>
        </is>
      </c>
      <c r="N4369" s="12" t="n">
        <v>1</v>
      </c>
      <c r="O4369" s="12" t="n">
        <v>1</v>
      </c>
      <c r="P4369" s="12" t="n"/>
      <c r="Q4369" s="12" t="n"/>
      <c r="R4369" s="12" t="n"/>
      <c r="S4369" s="12" t="inlineStr">
        <is>
          <t>Duct bank</t>
        </is>
      </c>
      <c r="T4369" s="16" t="n">
        <v>550</v>
      </c>
      <c r="U4369" s="16" t="n">
        <v>32</v>
      </c>
      <c r="V4369" s="16">
        <f>ROUNDUP((T4369+U4369+2*'Read Me'!$B$13)*(1+'Read Me'!$B$12),-1)</f>
        <v/>
      </c>
      <c r="W4369" s="16">
        <f>V4369*N4369*O4369</f>
        <v/>
      </c>
      <c r="X4369" s="12">
        <f>IF(LEFT(I4369,2)="MV",2*N4369*IF(L4369="1/C",O4369,1),0)</f>
        <v/>
      </c>
      <c r="Y4369" s="12">
        <f>IF(OR(LEFT(K4369,4)="LVAX",LEFT(K4369,6)="MV15AX",LEFT(K4369,4)="CTAX",LEFT(K4369,2)="W|"),2*N4369*O4369,0)</f>
        <v/>
      </c>
      <c r="Z4369" s="12" t="inlineStr"/>
      <c r="AA4369" s="12">
        <f>N4369*O4369</f>
        <v/>
      </c>
    </row>
    <row r="4370">
      <c r="A4370" s="12" t="inlineStr">
        <is>
          <t>I-I-0012</t>
        </is>
      </c>
      <c r="B4370" s="12" t="inlineStr">
        <is>
          <t>I</t>
        </is>
      </c>
      <c r="C4370" s="12" t="inlineStr">
        <is>
          <t>Modular / portable power</t>
        </is>
      </c>
      <c r="D4370" s="12" t="inlineStr">
        <is>
          <t>Thermocouples</t>
        </is>
      </c>
      <c r="E4370" s="12" t="inlineStr"/>
      <c r="F4370" s="12" t="inlineStr">
        <is>
          <t>PCM: power control module</t>
        </is>
      </c>
      <c r="G4370" s="12" t="inlineStr"/>
      <c r="H4370" s="12" t="inlineStr">
        <is>
          <t>CONDITIONAL: BESS black-start alternative</t>
        </is>
      </c>
      <c r="I4370" s="12" t="inlineStr">
        <is>
          <t>Instrumentation</t>
        </is>
      </c>
      <c r="J4370" s="12" t="inlineStr">
        <is>
          <t>Thermocouple extension KX, #16 shielded pairs, PLTC</t>
        </is>
      </c>
      <c r="K4370" s="12" t="inlineStr">
        <is>
          <t>TCX|12 pr|16</t>
        </is>
      </c>
      <c r="L4370" s="12" t="inlineStr">
        <is>
          <t>12 pr</t>
        </is>
      </c>
      <c r="M4370" s="12" t="inlineStr">
        <is>
          <t>16</t>
        </is>
      </c>
      <c r="N4370" s="12" t="n">
        <v>1</v>
      </c>
      <c r="O4370" s="12" t="n">
        <v>1</v>
      </c>
      <c r="P4370" s="12" t="n"/>
      <c r="Q4370" s="12" t="n"/>
      <c r="R4370" s="12" t="n"/>
      <c r="S4370" s="12" t="inlineStr">
        <is>
          <t>Duct bank</t>
        </is>
      </c>
      <c r="T4370" s="16" t="n">
        <v>550</v>
      </c>
      <c r="U4370" s="16" t="n">
        <v>32</v>
      </c>
      <c r="V4370" s="16">
        <f>ROUNDUP((T4370+U4370+2*'Read Me'!$B$13)*(1+'Read Me'!$B$12),-1)</f>
        <v/>
      </c>
      <c r="W4370" s="16">
        <f>V4370*N4370*O4370</f>
        <v/>
      </c>
      <c r="X4370" s="12">
        <f>IF(LEFT(I4370,2)="MV",2*N4370*IF(L4370="1/C",O4370,1),0)</f>
        <v/>
      </c>
      <c r="Y4370" s="12">
        <f>IF(OR(LEFT(K4370,4)="LVAX",LEFT(K4370,6)="MV15AX",LEFT(K4370,4)="CTAX",LEFT(K4370,2)="W|"),2*N4370*O4370,0)</f>
        <v/>
      </c>
      <c r="Z4370" s="12" t="inlineStr"/>
      <c r="AA4370" s="12">
        <f>N4370*O4370</f>
        <v/>
      </c>
    </row>
    <row r="4371">
      <c r="A4371" s="12" t="inlineStr">
        <is>
          <t>I-I-0013</t>
        </is>
      </c>
      <c r="B4371" s="12" t="inlineStr">
        <is>
          <t>I</t>
        </is>
      </c>
      <c r="C4371" s="12" t="inlineStr">
        <is>
          <t>Modular / portable power</t>
        </is>
      </c>
      <c r="D4371" s="12" t="inlineStr">
        <is>
          <t>Instrumentation</t>
        </is>
      </c>
      <c r="E4371" s="12" t="inlineStr"/>
      <c r="F4371" s="12" t="inlineStr">
        <is>
          <t>PCM: power control module</t>
        </is>
      </c>
      <c r="G4371" s="12" t="inlineStr"/>
      <c r="H4371" s="12" t="inlineStr">
        <is>
          <t>CONDITIONAL: SC-1 inlet chiller / evaporative cooler</t>
        </is>
      </c>
      <c r="I4371" s="12" t="inlineStr">
        <is>
          <t>Instrumentation</t>
        </is>
      </c>
      <c r="J4371" s="12" t="inlineStr">
        <is>
          <t>Instrumentation PLTC / TC-ER 300 V, #18 twisted shielded pairs, overall shield</t>
        </is>
      </c>
      <c r="K4371" s="12" t="inlineStr">
        <is>
          <t>PLTC|4 pr|18</t>
        </is>
      </c>
      <c r="L4371" s="12" t="inlineStr">
        <is>
          <t>4 pr</t>
        </is>
      </c>
      <c r="M4371" s="12" t="inlineStr">
        <is>
          <t>18</t>
        </is>
      </c>
      <c r="N4371" s="12" t="n">
        <v>1</v>
      </c>
      <c r="O4371" s="12" t="n">
        <v>1</v>
      </c>
      <c r="P4371" s="12" t="n"/>
      <c r="Q4371" s="12" t="n"/>
      <c r="R4371" s="12" t="n"/>
      <c r="S4371" s="12" t="inlineStr">
        <is>
          <t>Duct bank</t>
        </is>
      </c>
      <c r="T4371" s="16" t="n">
        <v>40</v>
      </c>
      <c r="U4371" s="16" t="n">
        <v>52</v>
      </c>
      <c r="V4371" s="16">
        <f>ROUNDUP((T4371+U4371+2*'Read Me'!$B$13)*(1+'Read Me'!$B$12),-1)</f>
        <v/>
      </c>
      <c r="W4371" s="16">
        <f>V4371*N4371*O4371</f>
        <v/>
      </c>
      <c r="X4371" s="12">
        <f>IF(LEFT(I4371,2)="MV",2*N4371*IF(L4371="1/C",O4371,1),0)</f>
        <v/>
      </c>
      <c r="Y4371" s="12">
        <f>IF(OR(LEFT(K4371,4)="LVAX",LEFT(K4371,6)="MV15AX",LEFT(K4371,4)="CTAX",LEFT(K4371,2)="W|"),2*N4371*O4371,0)</f>
        <v/>
      </c>
      <c r="Z4371" s="12" t="inlineStr"/>
      <c r="AA4371" s="12">
        <f>N4371*O4371</f>
        <v/>
      </c>
    </row>
    <row r="4372">
      <c r="A4372" s="12" t="inlineStr">
        <is>
          <t>I-I-0014</t>
        </is>
      </c>
      <c r="B4372" s="12" t="inlineStr">
        <is>
          <t>I</t>
        </is>
      </c>
      <c r="C4372" s="12" t="inlineStr">
        <is>
          <t>Modular / portable power</t>
        </is>
      </c>
      <c r="D4372" s="12" t="inlineStr">
        <is>
          <t>Thermocouples</t>
        </is>
      </c>
      <c r="E4372" s="12" t="inlineStr"/>
      <c r="F4372" s="12" t="inlineStr">
        <is>
          <t>PCM: power control module</t>
        </is>
      </c>
      <c r="G4372" s="12" t="inlineStr"/>
      <c r="H4372" s="12" t="inlineStr">
        <is>
          <t>CONDITIONAL: SC-1 inlet chiller / evaporative cooler</t>
        </is>
      </c>
      <c r="I4372" s="12" t="inlineStr">
        <is>
          <t>Instrumentation</t>
        </is>
      </c>
      <c r="J4372" s="12" t="inlineStr">
        <is>
          <t>Thermocouple extension KX, #16 shielded pairs, PLTC</t>
        </is>
      </c>
      <c r="K4372" s="12" t="inlineStr">
        <is>
          <t>TCX|12 pr|16</t>
        </is>
      </c>
      <c r="L4372" s="12" t="inlineStr">
        <is>
          <t>12 pr</t>
        </is>
      </c>
      <c r="M4372" s="12" t="inlineStr">
        <is>
          <t>16</t>
        </is>
      </c>
      <c r="N4372" s="12" t="n">
        <v>1</v>
      </c>
      <c r="O4372" s="12" t="n">
        <v>1</v>
      </c>
      <c r="P4372" s="12" t="n"/>
      <c r="Q4372" s="12" t="n"/>
      <c r="R4372" s="12" t="n"/>
      <c r="S4372" s="12" t="inlineStr">
        <is>
          <t>Duct bank</t>
        </is>
      </c>
      <c r="T4372" s="16" t="n">
        <v>40</v>
      </c>
      <c r="U4372" s="16" t="n">
        <v>52</v>
      </c>
      <c r="V4372" s="16">
        <f>ROUNDUP((T4372+U4372+2*'Read Me'!$B$13)*(1+'Read Me'!$B$12),-1)</f>
        <v/>
      </c>
      <c r="W4372" s="16">
        <f>V4372*N4372*O4372</f>
        <v/>
      </c>
      <c r="X4372" s="12">
        <f>IF(LEFT(I4372,2)="MV",2*N4372*IF(L4372="1/C",O4372,1),0)</f>
        <v/>
      </c>
      <c r="Y4372" s="12">
        <f>IF(OR(LEFT(K4372,4)="LVAX",LEFT(K4372,6)="MV15AX",LEFT(K4372,4)="CTAX",LEFT(K4372,2)="W|"),2*N4372*O4372,0)</f>
        <v/>
      </c>
      <c r="Z4372" s="12" t="inlineStr"/>
      <c r="AA4372" s="12">
        <f>N4372*O4372</f>
        <v/>
      </c>
    </row>
    <row r="4373">
      <c r="A4373" s="12" t="inlineStr">
        <is>
          <t>I-I-0015</t>
        </is>
      </c>
      <c r="B4373" s="12" t="inlineStr">
        <is>
          <t>I</t>
        </is>
      </c>
      <c r="C4373" s="12" t="inlineStr">
        <is>
          <t>Modular / portable power</t>
        </is>
      </c>
      <c r="D4373" s="12" t="inlineStr">
        <is>
          <t>Thermocouples</t>
        </is>
      </c>
      <c r="E4373" s="12" t="inlineStr"/>
      <c r="F4373" s="12" t="inlineStr">
        <is>
          <t>PCM: power control module</t>
        </is>
      </c>
      <c r="G4373" s="12" t="inlineStr"/>
      <c r="H4373" s="12" t="inlineStr">
        <is>
          <t>CONDITIONAL: SC-1 inlet chiller / evaporative cooler</t>
        </is>
      </c>
      <c r="I4373" s="12" t="inlineStr">
        <is>
          <t>Instrumentation</t>
        </is>
      </c>
      <c r="J4373" s="12" t="inlineStr">
        <is>
          <t>Thermocouple extension KX, #16 shielded pairs, PLTC</t>
        </is>
      </c>
      <c r="K4373" s="12" t="inlineStr">
        <is>
          <t>TCX|12 pr|16</t>
        </is>
      </c>
      <c r="L4373" s="12" t="inlineStr">
        <is>
          <t>12 pr</t>
        </is>
      </c>
      <c r="M4373" s="12" t="inlineStr">
        <is>
          <t>16</t>
        </is>
      </c>
      <c r="N4373" s="12" t="n">
        <v>1</v>
      </c>
      <c r="O4373" s="12" t="n">
        <v>1</v>
      </c>
      <c r="P4373" s="12" t="n"/>
      <c r="Q4373" s="12" t="n"/>
      <c r="R4373" s="12" t="n"/>
      <c r="S4373" s="12" t="inlineStr">
        <is>
          <t>Duct bank</t>
        </is>
      </c>
      <c r="T4373" s="16" t="n">
        <v>40</v>
      </c>
      <c r="U4373" s="16" t="n">
        <v>52</v>
      </c>
      <c r="V4373" s="16">
        <f>ROUNDUP((T4373+U4373+2*'Read Me'!$B$13)*(1+'Read Me'!$B$12),-1)</f>
        <v/>
      </c>
      <c r="W4373" s="16">
        <f>V4373*N4373*O4373</f>
        <v/>
      </c>
      <c r="X4373" s="12">
        <f>IF(LEFT(I4373,2)="MV",2*N4373*IF(L4373="1/C",O4373,1),0)</f>
        <v/>
      </c>
      <c r="Y4373" s="12">
        <f>IF(OR(LEFT(K4373,4)="LVAX",LEFT(K4373,6)="MV15AX",LEFT(K4373,4)="CTAX",LEFT(K4373,2)="W|"),2*N4373*O4373,0)</f>
        <v/>
      </c>
      <c r="Z4373" s="12" t="inlineStr"/>
      <c r="AA4373" s="12">
        <f>N4373*O4373</f>
        <v/>
      </c>
    </row>
    <row r="4374">
      <c r="A4374" s="12" t="inlineStr">
        <is>
          <t>I-I-0016</t>
        </is>
      </c>
      <c r="B4374" s="12" t="inlineStr">
        <is>
          <t>I</t>
        </is>
      </c>
      <c r="C4374" s="12" t="inlineStr">
        <is>
          <t>Modular / portable power</t>
        </is>
      </c>
      <c r="D4374" s="12" t="inlineStr">
        <is>
          <t>Instrumentation</t>
        </is>
      </c>
      <c r="E4374" s="12" t="inlineStr"/>
      <c r="F4374" s="12" t="inlineStr">
        <is>
          <t>PCM: power control module</t>
        </is>
      </c>
      <c r="G4374" s="12" t="inlineStr"/>
      <c r="H4374" s="12" t="inlineStr">
        <is>
          <t>CONDITIONAL: SC-2 inlet chiller / evaporative cooler</t>
        </is>
      </c>
      <c r="I4374" s="12" t="inlineStr">
        <is>
          <t>Instrumentation</t>
        </is>
      </c>
      <c r="J4374" s="12" t="inlineStr">
        <is>
          <t>Instrumentation PLTC / TC-ER 300 V, #18 twisted shielded pairs, overall shield</t>
        </is>
      </c>
      <c r="K4374" s="12" t="inlineStr">
        <is>
          <t>PLTC|4 pr|18</t>
        </is>
      </c>
      <c r="L4374" s="12" t="inlineStr">
        <is>
          <t>4 pr</t>
        </is>
      </c>
      <c r="M4374" s="12" t="inlineStr">
        <is>
          <t>18</t>
        </is>
      </c>
      <c r="N4374" s="12" t="n">
        <v>1</v>
      </c>
      <c r="O4374" s="12" t="n">
        <v>1</v>
      </c>
      <c r="P4374" s="12" t="n"/>
      <c r="Q4374" s="12" t="n"/>
      <c r="R4374" s="12" t="n"/>
      <c r="S4374" s="12" t="inlineStr">
        <is>
          <t>HV duct bank</t>
        </is>
      </c>
      <c r="T4374" s="16" t="n">
        <v>4528</v>
      </c>
      <c r="U4374" s="16" t="n">
        <v>38</v>
      </c>
      <c r="V4374" s="16">
        <f>ROUNDUP((T4374+U4374+2*'Read Me'!$B$13)*(1+'Read Me'!$B$12),-1)</f>
        <v/>
      </c>
      <c r="W4374" s="16">
        <f>V4374*N4374*O4374</f>
        <v/>
      </c>
      <c r="X4374" s="12">
        <f>IF(LEFT(I4374,2)="MV",2*N4374*IF(L4374="1/C",O4374,1),0)</f>
        <v/>
      </c>
      <c r="Y4374" s="12">
        <f>IF(OR(LEFT(K4374,4)="LVAX",LEFT(K4374,6)="MV15AX",LEFT(K4374,4)="CTAX",LEFT(K4374,2)="W|"),2*N4374*O4374,0)</f>
        <v/>
      </c>
      <c r="Z4374" s="12" t="inlineStr"/>
      <c r="AA4374" s="12">
        <f>N4374*O4374</f>
        <v/>
      </c>
    </row>
    <row r="4375">
      <c r="A4375" s="12" t="inlineStr">
        <is>
          <t>I-I-0017</t>
        </is>
      </c>
      <c r="B4375" s="12" t="inlineStr">
        <is>
          <t>I</t>
        </is>
      </c>
      <c r="C4375" s="12" t="inlineStr">
        <is>
          <t>Modular / portable power</t>
        </is>
      </c>
      <c r="D4375" s="12" t="inlineStr">
        <is>
          <t>Thermocouples</t>
        </is>
      </c>
      <c r="E4375" s="12" t="inlineStr"/>
      <c r="F4375" s="12" t="inlineStr">
        <is>
          <t>PCM: power control module</t>
        </is>
      </c>
      <c r="G4375" s="12" t="inlineStr"/>
      <c r="H4375" s="12" t="inlineStr">
        <is>
          <t>CONDITIONAL: SC-2 inlet chiller / evaporative cooler</t>
        </is>
      </c>
      <c r="I4375" s="12" t="inlineStr">
        <is>
          <t>Instrumentation</t>
        </is>
      </c>
      <c r="J4375" s="12" t="inlineStr">
        <is>
          <t>Thermocouple extension KX, #16 shielded pairs, PLTC</t>
        </is>
      </c>
      <c r="K4375" s="12" t="inlineStr">
        <is>
          <t>TCX|12 pr|16</t>
        </is>
      </c>
      <c r="L4375" s="12" t="inlineStr">
        <is>
          <t>12 pr</t>
        </is>
      </c>
      <c r="M4375" s="12" t="inlineStr">
        <is>
          <t>16</t>
        </is>
      </c>
      <c r="N4375" s="12" t="n">
        <v>1</v>
      </c>
      <c r="O4375" s="12" t="n">
        <v>1</v>
      </c>
      <c r="P4375" s="12" t="n"/>
      <c r="Q4375" s="12" t="n"/>
      <c r="R4375" s="12" t="n"/>
      <c r="S4375" s="12" t="inlineStr">
        <is>
          <t>HV duct bank</t>
        </is>
      </c>
      <c r="T4375" s="16" t="n">
        <v>4528</v>
      </c>
      <c r="U4375" s="16" t="n">
        <v>38</v>
      </c>
      <c r="V4375" s="16">
        <f>ROUNDUP((T4375+U4375+2*'Read Me'!$B$13)*(1+'Read Me'!$B$12),-1)</f>
        <v/>
      </c>
      <c r="W4375" s="16">
        <f>V4375*N4375*O4375</f>
        <v/>
      </c>
      <c r="X4375" s="12">
        <f>IF(LEFT(I4375,2)="MV",2*N4375*IF(L4375="1/C",O4375,1),0)</f>
        <v/>
      </c>
      <c r="Y4375" s="12">
        <f>IF(OR(LEFT(K4375,4)="LVAX",LEFT(K4375,6)="MV15AX",LEFT(K4375,4)="CTAX",LEFT(K4375,2)="W|"),2*N4375*O4375,0)</f>
        <v/>
      </c>
      <c r="Z4375" s="12" t="inlineStr"/>
      <c r="AA4375" s="12">
        <f>N4375*O4375</f>
        <v/>
      </c>
    </row>
    <row r="4376">
      <c r="A4376" s="12" t="inlineStr">
        <is>
          <t>I-I-0018</t>
        </is>
      </c>
      <c r="B4376" s="12" t="inlineStr">
        <is>
          <t>I</t>
        </is>
      </c>
      <c r="C4376" s="12" t="inlineStr">
        <is>
          <t>Modular / portable power</t>
        </is>
      </c>
      <c r="D4376" s="12" t="inlineStr">
        <is>
          <t>Thermocouples</t>
        </is>
      </c>
      <c r="E4376" s="12" t="inlineStr"/>
      <c r="F4376" s="12" t="inlineStr">
        <is>
          <t>PCM: power control module</t>
        </is>
      </c>
      <c r="G4376" s="12" t="inlineStr"/>
      <c r="H4376" s="12" t="inlineStr">
        <is>
          <t>CONDITIONAL: SC-2 inlet chiller / evaporative cooler</t>
        </is>
      </c>
      <c r="I4376" s="12" t="inlineStr">
        <is>
          <t>Instrumentation</t>
        </is>
      </c>
      <c r="J4376" s="12" t="inlineStr">
        <is>
          <t>Thermocouple extension KX, #16 shielded pairs, PLTC</t>
        </is>
      </c>
      <c r="K4376" s="12" t="inlineStr">
        <is>
          <t>TCX|12 pr|16</t>
        </is>
      </c>
      <c r="L4376" s="12" t="inlineStr">
        <is>
          <t>12 pr</t>
        </is>
      </c>
      <c r="M4376" s="12" t="inlineStr">
        <is>
          <t>16</t>
        </is>
      </c>
      <c r="N4376" s="12" t="n">
        <v>1</v>
      </c>
      <c r="O4376" s="12" t="n">
        <v>1</v>
      </c>
      <c r="P4376" s="12" t="n"/>
      <c r="Q4376" s="12" t="n"/>
      <c r="R4376" s="12" t="n"/>
      <c r="S4376" s="12" t="inlineStr">
        <is>
          <t>HV duct bank</t>
        </is>
      </c>
      <c r="T4376" s="16" t="n">
        <v>4528</v>
      </c>
      <c r="U4376" s="16" t="n">
        <v>38</v>
      </c>
      <c r="V4376" s="16">
        <f>ROUNDUP((T4376+U4376+2*'Read Me'!$B$13)*(1+'Read Me'!$B$12),-1)</f>
        <v/>
      </c>
      <c r="W4376" s="16">
        <f>V4376*N4376*O4376</f>
        <v/>
      </c>
      <c r="X4376" s="12">
        <f>IF(LEFT(I4376,2)="MV",2*N4376*IF(L4376="1/C",O4376,1),0)</f>
        <v/>
      </c>
      <c r="Y4376" s="12">
        <f>IF(OR(LEFT(K4376,4)="LVAX",LEFT(K4376,6)="MV15AX",LEFT(K4376,4)="CTAX",LEFT(K4376,2)="W|"),2*N4376*O4376,0)</f>
        <v/>
      </c>
      <c r="Z4376" s="12" t="inlineStr"/>
      <c r="AA4376" s="12">
        <f>N4376*O4376</f>
        <v/>
      </c>
    </row>
    <row r="4377">
      <c r="A4377" s="12" t="inlineStr">
        <is>
          <t>I-I-0019</t>
        </is>
      </c>
      <c r="B4377" s="12" t="inlineStr">
        <is>
          <t>I</t>
        </is>
      </c>
      <c r="C4377" s="12" t="inlineStr">
        <is>
          <t>Modular / portable power</t>
        </is>
      </c>
      <c r="D4377" s="12" t="inlineStr">
        <is>
          <t>Analog instrument to JB JB-CONT-1-AI01: 20 x 1 pr (field cables)</t>
        </is>
      </c>
      <c r="E4377" s="12" t="inlineStr">
        <is>
          <t>CONT-1</t>
        </is>
      </c>
      <c r="F4377" s="12" t="inlineStr">
        <is>
          <t>CONT-1: containerized genset 13.8 kV (40 ft)</t>
        </is>
      </c>
      <c r="G4377" s="12" t="inlineStr">
        <is>
          <t>JB-CONT-1-AI01</t>
        </is>
      </c>
      <c r="H4377" s="12" t="inlineStr">
        <is>
          <t>CONT-1: containerized genset 13.8 kV (40 ft)</t>
        </is>
      </c>
      <c r="I4377" s="12" t="inlineStr">
        <is>
          <t>Instrumentation</t>
        </is>
      </c>
      <c r="J4377" s="12" t="inlineStr">
        <is>
          <t>Instrumentation PLTC / TC-ER 300 V, #18 twisted shielded pairs, overall shield</t>
        </is>
      </c>
      <c r="K4377" s="12" t="inlineStr">
        <is>
          <t>PLTC|1 pr|16</t>
        </is>
      </c>
      <c r="L4377" s="12" t="inlineStr">
        <is>
          <t>1 pr</t>
        </is>
      </c>
      <c r="M4377" s="12" t="inlineStr">
        <is>
          <t>16</t>
        </is>
      </c>
      <c r="N4377" s="12" t="n">
        <v>20</v>
      </c>
      <c r="O4377" s="12" t="n">
        <v>1</v>
      </c>
      <c r="P4377" s="12" t="n"/>
      <c r="Q4377" s="12" t="n"/>
      <c r="R4377" s="12" t="n"/>
      <c r="S4377" s="12" t="inlineStr">
        <is>
          <t>Tray / conduit</t>
        </is>
      </c>
      <c r="T4377" s="16" t="n">
        <v>54</v>
      </c>
      <c r="U4377" s="16" t="n">
        <v>10</v>
      </c>
      <c r="V4377" s="16">
        <f>ROUNDUP((T4377+U4377+2*'Read Me'!$B$13)*(1+'Read Me'!$B$12),-1)</f>
        <v/>
      </c>
      <c r="W4377" s="16">
        <f>V4377*N4377*O4377</f>
        <v/>
      </c>
      <c r="X4377" s="12">
        <f>IF(LEFT(I4377,2)="MV",2*N4377*IF(L4377="1/C",O4377,1),0)</f>
        <v/>
      </c>
      <c r="Y4377" s="12">
        <f>IF(OR(LEFT(K4377,4)="LVAX",LEFT(K4377,6)="MV15AX",LEFT(K4377,4)="CTAX",LEFT(K4377,2)="W|"),2*N4377*O4377,0)</f>
        <v/>
      </c>
      <c r="Z4377" s="12" t="inlineStr">
        <is>
          <t>device-to-JB field wiring, one cable per device</t>
        </is>
      </c>
      <c r="AA4377" s="12">
        <f>N4377*O4377</f>
        <v/>
      </c>
    </row>
    <row r="4378">
      <c r="A4378" s="12" t="inlineStr">
        <is>
          <t>I-I-0020</t>
        </is>
      </c>
      <c r="B4378" s="12" t="inlineStr">
        <is>
          <t>I</t>
        </is>
      </c>
      <c r="C4378" s="12" t="inlineStr">
        <is>
          <t>Modular / portable power</t>
        </is>
      </c>
      <c r="D4378" s="12" t="inlineStr">
        <is>
          <t>Home run JB-CONT-1-AI01 to the control / marshalling room</t>
        </is>
      </c>
      <c r="E4378" s="12" t="inlineStr">
        <is>
          <t>PAD-EH</t>
        </is>
      </c>
      <c r="F4378" s="12" t="inlineStr">
        <is>
          <t>PAD-EH 13.8 kV switchgear e-house</t>
        </is>
      </c>
      <c r="G4378" s="12" t="inlineStr">
        <is>
          <t>JB-CONT-1-AI01</t>
        </is>
      </c>
      <c r="H4378" s="12" t="inlineStr">
        <is>
          <t>CONT-1: containerized genset 13.8 kV (40 ft)</t>
        </is>
      </c>
      <c r="I4378" s="12" t="inlineStr">
        <is>
          <t>Instrumentation</t>
        </is>
      </c>
      <c r="J4378" s="12" t="inlineStr">
        <is>
          <t>Instrumentation PLTC / TC-ER 300 V, #18 twisted shielded pairs, overall shield</t>
        </is>
      </c>
      <c r="K4378" s="12" t="inlineStr">
        <is>
          <t>PLTC|24 pr|18</t>
        </is>
      </c>
      <c r="L4378" s="12" t="inlineStr">
        <is>
          <t>24 pr</t>
        </is>
      </c>
      <c r="M4378" s="12" t="inlineStr">
        <is>
          <t>18</t>
        </is>
      </c>
      <c r="N4378" s="12" t="n">
        <v>1</v>
      </c>
      <c r="O4378" s="12" t="n">
        <v>1</v>
      </c>
      <c r="P4378" s="12" t="n"/>
      <c r="Q4378" s="12" t="n"/>
      <c r="R4378" s="12" t="n"/>
      <c r="S4378" s="12" t="inlineStr">
        <is>
          <t>Surface</t>
        </is>
      </c>
      <c r="T4378" s="16" t="n">
        <v>298</v>
      </c>
      <c r="U4378" s="16" t="n">
        <v>37</v>
      </c>
      <c r="V4378" s="16">
        <f>ROUNDUP((T4378+U4378+2*'Read Me'!$B$13)*(1+'Read Me'!$B$12),-1)</f>
        <v/>
      </c>
      <c r="W4378" s="16">
        <f>V4378*N4378*O4378</f>
        <v/>
      </c>
      <c r="X4378" s="12">
        <f>IF(LEFT(I4378,2)="MV",2*N4378*IF(L4378="1/C",O4378,1),0)</f>
        <v/>
      </c>
      <c r="Y4378" s="12">
        <f>IF(OR(LEFT(K4378,4)="LVAX",LEFT(K4378,6)="MV15AX",LEFT(K4378,4)="CTAX",LEFT(K4378,2)="W|"),2*N4378*O4378,0)</f>
        <v/>
      </c>
      <c r="Z4378" s="12" t="inlineStr"/>
      <c r="AA4378" s="12">
        <f>N4378*O4378</f>
        <v/>
      </c>
    </row>
    <row r="4379">
      <c r="A4379" s="12" t="inlineStr">
        <is>
          <t>I-I-0021</t>
        </is>
      </c>
      <c r="B4379" s="12" t="inlineStr">
        <is>
          <t>I</t>
        </is>
      </c>
      <c r="C4379" s="12" t="inlineStr">
        <is>
          <t>Modular / portable power</t>
        </is>
      </c>
      <c r="D4379" s="12" t="inlineStr">
        <is>
          <t>Discrete device to JB JB-CONT-1-DI01: 20 x 1 pr (field cables)</t>
        </is>
      </c>
      <c r="E4379" s="12" t="inlineStr">
        <is>
          <t>CONT-1</t>
        </is>
      </c>
      <c r="F4379" s="12" t="inlineStr">
        <is>
          <t>CONT-1: containerized genset 13.8 kV (40 ft)</t>
        </is>
      </c>
      <c r="G4379" s="12" t="inlineStr">
        <is>
          <t>JB-CONT-1-DI01</t>
        </is>
      </c>
      <c r="H4379" s="12" t="inlineStr">
        <is>
          <t>CONT-1: containerized genset 13.8 kV (40 ft)</t>
        </is>
      </c>
      <c r="I4379" s="12" t="inlineStr">
        <is>
          <t>Instrumentation</t>
        </is>
      </c>
      <c r="J4379" s="12" t="inlineStr">
        <is>
          <t>Instrumentation PLTC / TC-ER 300 V, #18 twisted shielded pairs, overall shield</t>
        </is>
      </c>
      <c r="K4379" s="12" t="inlineStr">
        <is>
          <t>PLTC|1 pr|16</t>
        </is>
      </c>
      <c r="L4379" s="12" t="inlineStr">
        <is>
          <t>1 pr</t>
        </is>
      </c>
      <c r="M4379" s="12" t="inlineStr">
        <is>
          <t>16</t>
        </is>
      </c>
      <c r="N4379" s="12" t="n">
        <v>20</v>
      </c>
      <c r="O4379" s="12" t="n">
        <v>1</v>
      </c>
      <c r="P4379" s="12" t="n"/>
      <c r="Q4379" s="12" t="n"/>
      <c r="R4379" s="12" t="n"/>
      <c r="S4379" s="12" t="inlineStr">
        <is>
          <t>Tray / conduit</t>
        </is>
      </c>
      <c r="T4379" s="16" t="n">
        <v>54</v>
      </c>
      <c r="U4379" s="16" t="n">
        <v>10</v>
      </c>
      <c r="V4379" s="16">
        <f>ROUNDUP((T4379+U4379+2*'Read Me'!$B$13)*(1+'Read Me'!$B$12),-1)</f>
        <v/>
      </c>
      <c r="W4379" s="16">
        <f>V4379*N4379*O4379</f>
        <v/>
      </c>
      <c r="X4379" s="12">
        <f>IF(LEFT(I4379,2)="MV",2*N4379*IF(L4379="1/C",O4379,1),0)</f>
        <v/>
      </c>
      <c r="Y4379" s="12">
        <f>IF(OR(LEFT(K4379,4)="LVAX",LEFT(K4379,6)="MV15AX",LEFT(K4379,4)="CTAX",LEFT(K4379,2)="W|"),2*N4379*O4379,0)</f>
        <v/>
      </c>
      <c r="Z4379" s="12" t="inlineStr">
        <is>
          <t>device-to-JB field wiring, one cable per device</t>
        </is>
      </c>
      <c r="AA4379" s="12">
        <f>N4379*O4379</f>
        <v/>
      </c>
    </row>
    <row r="4380">
      <c r="A4380" s="12" t="inlineStr">
        <is>
          <t>I-I-0022</t>
        </is>
      </c>
      <c r="B4380" s="12" t="inlineStr">
        <is>
          <t>I</t>
        </is>
      </c>
      <c r="C4380" s="12" t="inlineStr">
        <is>
          <t>Modular / portable power</t>
        </is>
      </c>
      <c r="D4380" s="12" t="inlineStr">
        <is>
          <t>Home run JB-CONT-1-DI01 to the control / marshalling room</t>
        </is>
      </c>
      <c r="E4380" s="12" t="inlineStr">
        <is>
          <t>PAD-EH</t>
        </is>
      </c>
      <c r="F4380" s="12" t="inlineStr">
        <is>
          <t>PAD-EH 13.8 kV switchgear e-house</t>
        </is>
      </c>
      <c r="G4380" s="12" t="inlineStr">
        <is>
          <t>JB-CONT-1-DI01</t>
        </is>
      </c>
      <c r="H4380" s="12" t="inlineStr">
        <is>
          <t>CONT-1: containerized genset 13.8 kV (40 ft)</t>
        </is>
      </c>
      <c r="I4380" s="12" t="inlineStr">
        <is>
          <t>Instrumentation</t>
        </is>
      </c>
      <c r="J4380" s="12" t="inlineStr">
        <is>
          <t>Instrumentation PLTC / TC-ER 300 V, #18 twisted shielded pairs, overall shield</t>
        </is>
      </c>
      <c r="K4380" s="12" t="inlineStr">
        <is>
          <t>PLTC|24 pr|18</t>
        </is>
      </c>
      <c r="L4380" s="12" t="inlineStr">
        <is>
          <t>24 pr</t>
        </is>
      </c>
      <c r="M4380" s="12" t="inlineStr">
        <is>
          <t>18</t>
        </is>
      </c>
      <c r="N4380" s="12" t="n">
        <v>1</v>
      </c>
      <c r="O4380" s="12" t="n">
        <v>1</v>
      </c>
      <c r="P4380" s="12" t="n"/>
      <c r="Q4380" s="12" t="n"/>
      <c r="R4380" s="12" t="n"/>
      <c r="S4380" s="12" t="inlineStr">
        <is>
          <t>Surface</t>
        </is>
      </c>
      <c r="T4380" s="16" t="n">
        <v>298</v>
      </c>
      <c r="U4380" s="16" t="n">
        <v>37</v>
      </c>
      <c r="V4380" s="16">
        <f>ROUNDUP((T4380+U4380+2*'Read Me'!$B$13)*(1+'Read Me'!$B$12),-1)</f>
        <v/>
      </c>
      <c r="W4380" s="16">
        <f>V4380*N4380*O4380</f>
        <v/>
      </c>
      <c r="X4380" s="12">
        <f>IF(LEFT(I4380,2)="MV",2*N4380*IF(L4380="1/C",O4380,1),0)</f>
        <v/>
      </c>
      <c r="Y4380" s="12">
        <f>IF(OR(LEFT(K4380,4)="LVAX",LEFT(K4380,6)="MV15AX",LEFT(K4380,4)="CTAX",LEFT(K4380,2)="W|"),2*N4380*O4380,0)</f>
        <v/>
      </c>
      <c r="Z4380" s="12" t="inlineStr"/>
      <c r="AA4380" s="12">
        <f>N4380*O4380</f>
        <v/>
      </c>
    </row>
    <row r="4381">
      <c r="A4381" s="12" t="inlineStr">
        <is>
          <t>I-I-0023</t>
        </is>
      </c>
      <c r="B4381" s="12" t="inlineStr">
        <is>
          <t>I</t>
        </is>
      </c>
      <c r="C4381" s="12" t="inlineStr">
        <is>
          <t>Modular / portable power</t>
        </is>
      </c>
      <c r="D4381" s="12" t="inlineStr">
        <is>
          <t>Analog instrument to JB JB-CONT-2-AI01: 20 x 1 pr (field cables)</t>
        </is>
      </c>
      <c r="E4381" s="12" t="inlineStr">
        <is>
          <t>CONT-2</t>
        </is>
      </c>
      <c r="F4381" s="12" t="inlineStr">
        <is>
          <t>CONT-2: containerized genset 13.8 kV (40 ft)</t>
        </is>
      </c>
      <c r="G4381" s="12" t="inlineStr">
        <is>
          <t>JB-CONT-2-AI01</t>
        </is>
      </c>
      <c r="H4381" s="12" t="inlineStr">
        <is>
          <t>CONT-2: containerized genset 13.8 kV (40 ft)</t>
        </is>
      </c>
      <c r="I4381" s="12" t="inlineStr">
        <is>
          <t>Instrumentation</t>
        </is>
      </c>
      <c r="J4381" s="12" t="inlineStr">
        <is>
          <t>Instrumentation PLTC / TC-ER 300 V, #18 twisted shielded pairs, overall shield</t>
        </is>
      </c>
      <c r="K4381" s="12" t="inlineStr">
        <is>
          <t>PLTC|1 pr|16</t>
        </is>
      </c>
      <c r="L4381" s="12" t="inlineStr">
        <is>
          <t>1 pr</t>
        </is>
      </c>
      <c r="M4381" s="12" t="inlineStr">
        <is>
          <t>16</t>
        </is>
      </c>
      <c r="N4381" s="12" t="n">
        <v>20</v>
      </c>
      <c r="O4381" s="12" t="n">
        <v>1</v>
      </c>
      <c r="P4381" s="12" t="n"/>
      <c r="Q4381" s="12" t="n"/>
      <c r="R4381" s="12" t="n"/>
      <c r="S4381" s="12" t="inlineStr">
        <is>
          <t>Tray / conduit</t>
        </is>
      </c>
      <c r="T4381" s="16" t="n">
        <v>54</v>
      </c>
      <c r="U4381" s="16" t="n">
        <v>10</v>
      </c>
      <c r="V4381" s="16">
        <f>ROUNDUP((T4381+U4381+2*'Read Me'!$B$13)*(1+'Read Me'!$B$12),-1)</f>
        <v/>
      </c>
      <c r="W4381" s="16">
        <f>V4381*N4381*O4381</f>
        <v/>
      </c>
      <c r="X4381" s="12">
        <f>IF(LEFT(I4381,2)="MV",2*N4381*IF(L4381="1/C",O4381,1),0)</f>
        <v/>
      </c>
      <c r="Y4381" s="12">
        <f>IF(OR(LEFT(K4381,4)="LVAX",LEFT(K4381,6)="MV15AX",LEFT(K4381,4)="CTAX",LEFT(K4381,2)="W|"),2*N4381*O4381,0)</f>
        <v/>
      </c>
      <c r="Z4381" s="12" t="inlineStr">
        <is>
          <t>device-to-JB field wiring, one cable per device</t>
        </is>
      </c>
      <c r="AA4381" s="12">
        <f>N4381*O4381</f>
        <v/>
      </c>
    </row>
    <row r="4382">
      <c r="A4382" s="12" t="inlineStr">
        <is>
          <t>I-I-0024</t>
        </is>
      </c>
      <c r="B4382" s="12" t="inlineStr">
        <is>
          <t>I</t>
        </is>
      </c>
      <c r="C4382" s="12" t="inlineStr">
        <is>
          <t>Modular / portable power</t>
        </is>
      </c>
      <c r="D4382" s="12" t="inlineStr">
        <is>
          <t>Home run JB-CONT-2-AI01 to the control / marshalling room</t>
        </is>
      </c>
      <c r="E4382" s="12" t="inlineStr">
        <is>
          <t>PAD-EH</t>
        </is>
      </c>
      <c r="F4382" s="12" t="inlineStr">
        <is>
          <t>PAD-EH 13.8 kV switchgear e-house</t>
        </is>
      </c>
      <c r="G4382" s="12" t="inlineStr">
        <is>
          <t>JB-CONT-2-AI01</t>
        </is>
      </c>
      <c r="H4382" s="12" t="inlineStr">
        <is>
          <t>CONT-2: containerized genset 13.8 kV (40 ft)</t>
        </is>
      </c>
      <c r="I4382" s="12" t="inlineStr">
        <is>
          <t>Instrumentation</t>
        </is>
      </c>
      <c r="J4382" s="12" t="inlineStr">
        <is>
          <t>Instrumentation PLTC / TC-ER 300 V, #18 twisted shielded pairs, overall shield</t>
        </is>
      </c>
      <c r="K4382" s="12" t="inlineStr">
        <is>
          <t>PLTC|24 pr|18</t>
        </is>
      </c>
      <c r="L4382" s="12" t="inlineStr">
        <is>
          <t>24 pr</t>
        </is>
      </c>
      <c r="M4382" s="12" t="inlineStr">
        <is>
          <t>18</t>
        </is>
      </c>
      <c r="N4382" s="12" t="n">
        <v>1</v>
      </c>
      <c r="O4382" s="12" t="n">
        <v>1</v>
      </c>
      <c r="P4382" s="12" t="n"/>
      <c r="Q4382" s="12" t="n"/>
      <c r="R4382" s="12" t="n"/>
      <c r="S4382" s="12" t="inlineStr">
        <is>
          <t>Surface</t>
        </is>
      </c>
      <c r="T4382" s="16" t="n">
        <v>267</v>
      </c>
      <c r="U4382" s="16" t="n">
        <v>37</v>
      </c>
      <c r="V4382" s="16">
        <f>ROUNDUP((T4382+U4382+2*'Read Me'!$B$13)*(1+'Read Me'!$B$12),-1)</f>
        <v/>
      </c>
      <c r="W4382" s="16">
        <f>V4382*N4382*O4382</f>
        <v/>
      </c>
      <c r="X4382" s="12">
        <f>IF(LEFT(I4382,2)="MV",2*N4382*IF(L4382="1/C",O4382,1),0)</f>
        <v/>
      </c>
      <c r="Y4382" s="12">
        <f>IF(OR(LEFT(K4382,4)="LVAX",LEFT(K4382,6)="MV15AX",LEFT(K4382,4)="CTAX",LEFT(K4382,2)="W|"),2*N4382*O4382,0)</f>
        <v/>
      </c>
      <c r="Z4382" s="12" t="inlineStr"/>
      <c r="AA4382" s="12">
        <f>N4382*O4382</f>
        <v/>
      </c>
    </row>
    <row r="4383">
      <c r="A4383" s="12" t="inlineStr">
        <is>
          <t>I-I-0025</t>
        </is>
      </c>
      <c r="B4383" s="12" t="inlineStr">
        <is>
          <t>I</t>
        </is>
      </c>
      <c r="C4383" s="12" t="inlineStr">
        <is>
          <t>Modular / portable power</t>
        </is>
      </c>
      <c r="D4383" s="12" t="inlineStr">
        <is>
          <t>Discrete device to JB JB-CONT-2-DI01: 20 x 1 pr (field cables)</t>
        </is>
      </c>
      <c r="E4383" s="12" t="inlineStr">
        <is>
          <t>CONT-2</t>
        </is>
      </c>
      <c r="F4383" s="12" t="inlineStr">
        <is>
          <t>CONT-2: containerized genset 13.8 kV (40 ft)</t>
        </is>
      </c>
      <c r="G4383" s="12" t="inlineStr">
        <is>
          <t>JB-CONT-2-DI01</t>
        </is>
      </c>
      <c r="H4383" s="12" t="inlineStr">
        <is>
          <t>CONT-2: containerized genset 13.8 kV (40 ft)</t>
        </is>
      </c>
      <c r="I4383" s="12" t="inlineStr">
        <is>
          <t>Instrumentation</t>
        </is>
      </c>
      <c r="J4383" s="12" t="inlineStr">
        <is>
          <t>Instrumentation PLTC / TC-ER 300 V, #18 twisted shielded pairs, overall shield</t>
        </is>
      </c>
      <c r="K4383" s="12" t="inlineStr">
        <is>
          <t>PLTC|1 pr|16</t>
        </is>
      </c>
      <c r="L4383" s="12" t="inlineStr">
        <is>
          <t>1 pr</t>
        </is>
      </c>
      <c r="M4383" s="12" t="inlineStr">
        <is>
          <t>16</t>
        </is>
      </c>
      <c r="N4383" s="12" t="n">
        <v>20</v>
      </c>
      <c r="O4383" s="12" t="n">
        <v>1</v>
      </c>
      <c r="P4383" s="12" t="n"/>
      <c r="Q4383" s="12" t="n"/>
      <c r="R4383" s="12" t="n"/>
      <c r="S4383" s="12" t="inlineStr">
        <is>
          <t>Tray / conduit</t>
        </is>
      </c>
      <c r="T4383" s="16" t="n">
        <v>54</v>
      </c>
      <c r="U4383" s="16" t="n">
        <v>10</v>
      </c>
      <c r="V4383" s="16">
        <f>ROUNDUP((T4383+U4383+2*'Read Me'!$B$13)*(1+'Read Me'!$B$12),-1)</f>
        <v/>
      </c>
      <c r="W4383" s="16">
        <f>V4383*N4383*O4383</f>
        <v/>
      </c>
      <c r="X4383" s="12">
        <f>IF(LEFT(I4383,2)="MV",2*N4383*IF(L4383="1/C",O4383,1),0)</f>
        <v/>
      </c>
      <c r="Y4383" s="12">
        <f>IF(OR(LEFT(K4383,4)="LVAX",LEFT(K4383,6)="MV15AX",LEFT(K4383,4)="CTAX",LEFT(K4383,2)="W|"),2*N4383*O4383,0)</f>
        <v/>
      </c>
      <c r="Z4383" s="12" t="inlineStr">
        <is>
          <t>device-to-JB field wiring, one cable per device</t>
        </is>
      </c>
      <c r="AA4383" s="12">
        <f>N4383*O4383</f>
        <v/>
      </c>
    </row>
    <row r="4384">
      <c r="A4384" s="12" t="inlineStr">
        <is>
          <t>I-I-0026</t>
        </is>
      </c>
      <c r="B4384" s="12" t="inlineStr">
        <is>
          <t>I</t>
        </is>
      </c>
      <c r="C4384" s="12" t="inlineStr">
        <is>
          <t>Modular / portable power</t>
        </is>
      </c>
      <c r="D4384" s="12" t="inlineStr">
        <is>
          <t>Home run JB-CONT-2-DI01 to the control / marshalling room</t>
        </is>
      </c>
      <c r="E4384" s="12" t="inlineStr">
        <is>
          <t>PAD-EH</t>
        </is>
      </c>
      <c r="F4384" s="12" t="inlineStr">
        <is>
          <t>PAD-EH 13.8 kV switchgear e-house</t>
        </is>
      </c>
      <c r="G4384" s="12" t="inlineStr">
        <is>
          <t>JB-CONT-2-DI01</t>
        </is>
      </c>
      <c r="H4384" s="12" t="inlineStr">
        <is>
          <t>CONT-2: containerized genset 13.8 kV (40 ft)</t>
        </is>
      </c>
      <c r="I4384" s="12" t="inlineStr">
        <is>
          <t>Instrumentation</t>
        </is>
      </c>
      <c r="J4384" s="12" t="inlineStr">
        <is>
          <t>Instrumentation PLTC / TC-ER 300 V, #18 twisted shielded pairs, overall shield</t>
        </is>
      </c>
      <c r="K4384" s="12" t="inlineStr">
        <is>
          <t>PLTC|24 pr|18</t>
        </is>
      </c>
      <c r="L4384" s="12" t="inlineStr">
        <is>
          <t>24 pr</t>
        </is>
      </c>
      <c r="M4384" s="12" t="inlineStr">
        <is>
          <t>18</t>
        </is>
      </c>
      <c r="N4384" s="12" t="n">
        <v>1</v>
      </c>
      <c r="O4384" s="12" t="n">
        <v>1</v>
      </c>
      <c r="P4384" s="12" t="n"/>
      <c r="Q4384" s="12" t="n"/>
      <c r="R4384" s="12" t="n"/>
      <c r="S4384" s="12" t="inlineStr">
        <is>
          <t>Surface</t>
        </is>
      </c>
      <c r="T4384" s="16" t="n">
        <v>267</v>
      </c>
      <c r="U4384" s="16" t="n">
        <v>37</v>
      </c>
      <c r="V4384" s="16">
        <f>ROUNDUP((T4384+U4384+2*'Read Me'!$B$13)*(1+'Read Me'!$B$12),-1)</f>
        <v/>
      </c>
      <c r="W4384" s="16">
        <f>V4384*N4384*O4384</f>
        <v/>
      </c>
      <c r="X4384" s="12">
        <f>IF(LEFT(I4384,2)="MV",2*N4384*IF(L4384="1/C",O4384,1),0)</f>
        <v/>
      </c>
      <c r="Y4384" s="12">
        <f>IF(OR(LEFT(K4384,4)="LVAX",LEFT(K4384,6)="MV15AX",LEFT(K4384,4)="CTAX",LEFT(K4384,2)="W|"),2*N4384*O4384,0)</f>
        <v/>
      </c>
      <c r="Z4384" s="12" t="inlineStr"/>
      <c r="AA4384" s="12">
        <f>N4384*O4384</f>
        <v/>
      </c>
    </row>
    <row r="4385">
      <c r="A4385" s="12" t="inlineStr">
        <is>
          <t>I-I-0027</t>
        </is>
      </c>
      <c r="B4385" s="12" t="inlineStr">
        <is>
          <t>I</t>
        </is>
      </c>
      <c r="C4385" s="12" t="inlineStr">
        <is>
          <t>Modular / portable power</t>
        </is>
      </c>
      <c r="D4385" s="12" t="inlineStr">
        <is>
          <t>Analog instrument to JB JB-CONT-3-AI01: 20 x 1 pr (field cables)</t>
        </is>
      </c>
      <c r="E4385" s="12" t="inlineStr">
        <is>
          <t>CONT-3</t>
        </is>
      </c>
      <c r="F4385" s="12" t="inlineStr">
        <is>
          <t>CONT-3: containerized gas genset 13.8 kV (40 ft)</t>
        </is>
      </c>
      <c r="G4385" s="12" t="inlineStr">
        <is>
          <t>JB-CONT-3-AI01</t>
        </is>
      </c>
      <c r="H4385" s="12" t="inlineStr">
        <is>
          <t>CONT-3: containerized gas genset 13.8 kV (40 ft)</t>
        </is>
      </c>
      <c r="I4385" s="12" t="inlineStr">
        <is>
          <t>Instrumentation</t>
        </is>
      </c>
      <c r="J4385" s="12" t="inlineStr">
        <is>
          <t>Instrumentation PLTC / TC-ER 300 V, #18 twisted shielded pairs, overall shield</t>
        </is>
      </c>
      <c r="K4385" s="12" t="inlineStr">
        <is>
          <t>PLTC|1 pr|16</t>
        </is>
      </c>
      <c r="L4385" s="12" t="inlineStr">
        <is>
          <t>1 pr</t>
        </is>
      </c>
      <c r="M4385" s="12" t="inlineStr">
        <is>
          <t>16</t>
        </is>
      </c>
      <c r="N4385" s="12" t="n">
        <v>20</v>
      </c>
      <c r="O4385" s="12" t="n">
        <v>1</v>
      </c>
      <c r="P4385" s="12" t="n"/>
      <c r="Q4385" s="12" t="n"/>
      <c r="R4385" s="12" t="n"/>
      <c r="S4385" s="12" t="inlineStr">
        <is>
          <t>Tray / conduit</t>
        </is>
      </c>
      <c r="T4385" s="16" t="n">
        <v>54</v>
      </c>
      <c r="U4385" s="16" t="n">
        <v>10</v>
      </c>
      <c r="V4385" s="16">
        <f>ROUNDUP((T4385+U4385+2*'Read Me'!$B$13)*(1+'Read Me'!$B$12),-1)</f>
        <v/>
      </c>
      <c r="W4385" s="16">
        <f>V4385*N4385*O4385</f>
        <v/>
      </c>
      <c r="X4385" s="12">
        <f>IF(LEFT(I4385,2)="MV",2*N4385*IF(L4385="1/C",O4385,1),0)</f>
        <v/>
      </c>
      <c r="Y4385" s="12">
        <f>IF(OR(LEFT(K4385,4)="LVAX",LEFT(K4385,6)="MV15AX",LEFT(K4385,4)="CTAX",LEFT(K4385,2)="W|"),2*N4385*O4385,0)</f>
        <v/>
      </c>
      <c r="Z4385" s="12" t="inlineStr">
        <is>
          <t>device-to-JB field wiring, one cable per device</t>
        </is>
      </c>
      <c r="AA4385" s="12">
        <f>N4385*O4385</f>
        <v/>
      </c>
    </row>
    <row r="4386">
      <c r="A4386" s="12" t="inlineStr">
        <is>
          <t>I-I-0028</t>
        </is>
      </c>
      <c r="B4386" s="12" t="inlineStr">
        <is>
          <t>I</t>
        </is>
      </c>
      <c r="C4386" s="12" t="inlineStr">
        <is>
          <t>Modular / portable power</t>
        </is>
      </c>
      <c r="D4386" s="12" t="inlineStr">
        <is>
          <t>Home run JB-CONT-3-AI01 to the control / marshalling room</t>
        </is>
      </c>
      <c r="E4386" s="12" t="inlineStr">
        <is>
          <t>PAD-EH</t>
        </is>
      </c>
      <c r="F4386" s="12" t="inlineStr">
        <is>
          <t>PAD-EH 13.8 kV switchgear e-house</t>
        </is>
      </c>
      <c r="G4386" s="12" t="inlineStr">
        <is>
          <t>JB-CONT-3-AI01</t>
        </is>
      </c>
      <c r="H4386" s="12" t="inlineStr">
        <is>
          <t>CONT-3: containerized gas genset 13.8 kV (40 ft)</t>
        </is>
      </c>
      <c r="I4386" s="12" t="inlineStr">
        <is>
          <t>Instrumentation</t>
        </is>
      </c>
      <c r="J4386" s="12" t="inlineStr">
        <is>
          <t>Instrumentation PLTC / TC-ER 300 V, #18 twisted shielded pairs, overall shield</t>
        </is>
      </c>
      <c r="K4386" s="12" t="inlineStr">
        <is>
          <t>PLTC|24 pr|18</t>
        </is>
      </c>
      <c r="L4386" s="12" t="inlineStr">
        <is>
          <t>24 pr</t>
        </is>
      </c>
      <c r="M4386" s="12" t="inlineStr">
        <is>
          <t>18</t>
        </is>
      </c>
      <c r="N4386" s="12" t="n">
        <v>1</v>
      </c>
      <c r="O4386" s="12" t="n">
        <v>1</v>
      </c>
      <c r="P4386" s="12" t="n"/>
      <c r="Q4386" s="12" t="n"/>
      <c r="R4386" s="12" t="n"/>
      <c r="S4386" s="12" t="inlineStr">
        <is>
          <t>Surface</t>
        </is>
      </c>
      <c r="T4386" s="16" t="n">
        <v>191</v>
      </c>
      <c r="U4386" s="16" t="n">
        <v>32</v>
      </c>
      <c r="V4386" s="16">
        <f>ROUNDUP((T4386+U4386+2*'Read Me'!$B$13)*(1+'Read Me'!$B$12),-1)</f>
        <v/>
      </c>
      <c r="W4386" s="16">
        <f>V4386*N4386*O4386</f>
        <v/>
      </c>
      <c r="X4386" s="12">
        <f>IF(LEFT(I4386,2)="MV",2*N4386*IF(L4386="1/C",O4386,1),0)</f>
        <v/>
      </c>
      <c r="Y4386" s="12">
        <f>IF(OR(LEFT(K4386,4)="LVAX",LEFT(K4386,6)="MV15AX",LEFT(K4386,4)="CTAX",LEFT(K4386,2)="W|"),2*N4386*O4386,0)</f>
        <v/>
      </c>
      <c r="Z4386" s="12" t="inlineStr"/>
      <c r="AA4386" s="12">
        <f>N4386*O4386</f>
        <v/>
      </c>
    </row>
    <row r="4387">
      <c r="A4387" s="12" t="inlineStr">
        <is>
          <t>I-I-0029</t>
        </is>
      </c>
      <c r="B4387" s="12" t="inlineStr">
        <is>
          <t>I</t>
        </is>
      </c>
      <c r="C4387" s="12" t="inlineStr">
        <is>
          <t>Modular / portable power</t>
        </is>
      </c>
      <c r="D4387" s="12" t="inlineStr">
        <is>
          <t>Discrete device to JB JB-CONT-3-DI01: 20 x 1 pr (field cables)</t>
        </is>
      </c>
      <c r="E4387" s="12" t="inlineStr">
        <is>
          <t>CONT-3</t>
        </is>
      </c>
      <c r="F4387" s="12" t="inlineStr">
        <is>
          <t>CONT-3: containerized gas genset 13.8 kV (40 ft)</t>
        </is>
      </c>
      <c r="G4387" s="12" t="inlineStr">
        <is>
          <t>JB-CONT-3-DI01</t>
        </is>
      </c>
      <c r="H4387" s="12" t="inlineStr">
        <is>
          <t>CONT-3: containerized gas genset 13.8 kV (40 ft)</t>
        </is>
      </c>
      <c r="I4387" s="12" t="inlineStr">
        <is>
          <t>Instrumentation</t>
        </is>
      </c>
      <c r="J4387" s="12" t="inlineStr">
        <is>
          <t>Instrumentation PLTC / TC-ER 300 V, #18 twisted shielded pairs, overall shield</t>
        </is>
      </c>
      <c r="K4387" s="12" t="inlineStr">
        <is>
          <t>PLTC|1 pr|16</t>
        </is>
      </c>
      <c r="L4387" s="12" t="inlineStr">
        <is>
          <t>1 pr</t>
        </is>
      </c>
      <c r="M4387" s="12" t="inlineStr">
        <is>
          <t>16</t>
        </is>
      </c>
      <c r="N4387" s="12" t="n">
        <v>20</v>
      </c>
      <c r="O4387" s="12" t="n">
        <v>1</v>
      </c>
      <c r="P4387" s="12" t="n"/>
      <c r="Q4387" s="12" t="n"/>
      <c r="R4387" s="12" t="n"/>
      <c r="S4387" s="12" t="inlineStr">
        <is>
          <t>Tray / conduit</t>
        </is>
      </c>
      <c r="T4387" s="16" t="n">
        <v>54</v>
      </c>
      <c r="U4387" s="16" t="n">
        <v>10</v>
      </c>
      <c r="V4387" s="16">
        <f>ROUNDUP((T4387+U4387+2*'Read Me'!$B$13)*(1+'Read Me'!$B$12),-1)</f>
        <v/>
      </c>
      <c r="W4387" s="16">
        <f>V4387*N4387*O4387</f>
        <v/>
      </c>
      <c r="X4387" s="12">
        <f>IF(LEFT(I4387,2)="MV",2*N4387*IF(L4387="1/C",O4387,1),0)</f>
        <v/>
      </c>
      <c r="Y4387" s="12">
        <f>IF(OR(LEFT(K4387,4)="LVAX",LEFT(K4387,6)="MV15AX",LEFT(K4387,4)="CTAX",LEFT(K4387,2)="W|"),2*N4387*O4387,0)</f>
        <v/>
      </c>
      <c r="Z4387" s="12" t="inlineStr">
        <is>
          <t>device-to-JB field wiring, one cable per device</t>
        </is>
      </c>
      <c r="AA4387" s="12">
        <f>N4387*O4387</f>
        <v/>
      </c>
    </row>
    <row r="4388">
      <c r="A4388" s="12" t="inlineStr">
        <is>
          <t>I-I-0030</t>
        </is>
      </c>
      <c r="B4388" s="12" t="inlineStr">
        <is>
          <t>I</t>
        </is>
      </c>
      <c r="C4388" s="12" t="inlineStr">
        <is>
          <t>Modular / portable power</t>
        </is>
      </c>
      <c r="D4388" s="12" t="inlineStr">
        <is>
          <t>Home run JB-CONT-3-DI01 to the control / marshalling room</t>
        </is>
      </c>
      <c r="E4388" s="12" t="inlineStr">
        <is>
          <t>PAD-EH</t>
        </is>
      </c>
      <c r="F4388" s="12" t="inlineStr">
        <is>
          <t>PAD-EH 13.8 kV switchgear e-house</t>
        </is>
      </c>
      <c r="G4388" s="12" t="inlineStr">
        <is>
          <t>JB-CONT-3-DI01</t>
        </is>
      </c>
      <c r="H4388" s="12" t="inlineStr">
        <is>
          <t>CONT-3: containerized gas genset 13.8 kV (40 ft)</t>
        </is>
      </c>
      <c r="I4388" s="12" t="inlineStr">
        <is>
          <t>Instrumentation</t>
        </is>
      </c>
      <c r="J4388" s="12" t="inlineStr">
        <is>
          <t>Instrumentation PLTC / TC-ER 300 V, #18 twisted shielded pairs, overall shield</t>
        </is>
      </c>
      <c r="K4388" s="12" t="inlineStr">
        <is>
          <t>PLTC|24 pr|18</t>
        </is>
      </c>
      <c r="L4388" s="12" t="inlineStr">
        <is>
          <t>24 pr</t>
        </is>
      </c>
      <c r="M4388" s="12" t="inlineStr">
        <is>
          <t>18</t>
        </is>
      </c>
      <c r="N4388" s="12" t="n">
        <v>1</v>
      </c>
      <c r="O4388" s="12" t="n">
        <v>1</v>
      </c>
      <c r="P4388" s="12" t="n"/>
      <c r="Q4388" s="12" t="n"/>
      <c r="R4388" s="12" t="n"/>
      <c r="S4388" s="12" t="inlineStr">
        <is>
          <t>Surface</t>
        </is>
      </c>
      <c r="T4388" s="16" t="n">
        <v>191</v>
      </c>
      <c r="U4388" s="16" t="n">
        <v>32</v>
      </c>
      <c r="V4388" s="16">
        <f>ROUNDUP((T4388+U4388+2*'Read Me'!$B$13)*(1+'Read Me'!$B$12),-1)</f>
        <v/>
      </c>
      <c r="W4388" s="16">
        <f>V4388*N4388*O4388</f>
        <v/>
      </c>
      <c r="X4388" s="12">
        <f>IF(LEFT(I4388,2)="MV",2*N4388*IF(L4388="1/C",O4388,1),0)</f>
        <v/>
      </c>
      <c r="Y4388" s="12">
        <f>IF(OR(LEFT(K4388,4)="LVAX",LEFT(K4388,6)="MV15AX",LEFT(K4388,4)="CTAX",LEFT(K4388,2)="W|"),2*N4388*O4388,0)</f>
        <v/>
      </c>
      <c r="Z4388" s="12" t="inlineStr"/>
      <c r="AA4388" s="12">
        <f>N4388*O4388</f>
        <v/>
      </c>
    </row>
    <row r="4389">
      <c r="A4389" s="12" t="inlineStr">
        <is>
          <t>I-I-0031</t>
        </is>
      </c>
      <c r="B4389" s="12" t="inlineStr">
        <is>
          <t>I</t>
        </is>
      </c>
      <c r="C4389" s="12" t="inlineStr">
        <is>
          <t>Modular / portable power</t>
        </is>
      </c>
      <c r="D4389" s="12" t="inlineStr">
        <is>
          <t>Analog instrument to JB JB-CONT-4-AI01: 20 x 1 pr (field cables)</t>
        </is>
      </c>
      <c r="E4389" s="12" t="inlineStr">
        <is>
          <t>CONT-4</t>
        </is>
      </c>
      <c r="F4389" s="12" t="inlineStr">
        <is>
          <t>CONT-4: containerized gas genset 13.8 kV (40 ft)</t>
        </is>
      </c>
      <c r="G4389" s="12" t="inlineStr">
        <is>
          <t>JB-CONT-4-AI01</t>
        </is>
      </c>
      <c r="H4389" s="12" t="inlineStr">
        <is>
          <t>CONT-4: containerized gas genset 13.8 kV (40 ft)</t>
        </is>
      </c>
      <c r="I4389" s="12" t="inlineStr">
        <is>
          <t>Instrumentation</t>
        </is>
      </c>
      <c r="J4389" s="12" t="inlineStr">
        <is>
          <t>Instrumentation PLTC / TC-ER 300 V, #18 twisted shielded pairs, overall shield</t>
        </is>
      </c>
      <c r="K4389" s="12" t="inlineStr">
        <is>
          <t>PLTC|1 pr|16</t>
        </is>
      </c>
      <c r="L4389" s="12" t="inlineStr">
        <is>
          <t>1 pr</t>
        </is>
      </c>
      <c r="M4389" s="12" t="inlineStr">
        <is>
          <t>16</t>
        </is>
      </c>
      <c r="N4389" s="12" t="n">
        <v>20</v>
      </c>
      <c r="O4389" s="12" t="n">
        <v>1</v>
      </c>
      <c r="P4389" s="12" t="n"/>
      <c r="Q4389" s="12" t="n"/>
      <c r="R4389" s="12" t="n"/>
      <c r="S4389" s="12" t="inlineStr">
        <is>
          <t>Tray / conduit</t>
        </is>
      </c>
      <c r="T4389" s="16" t="n">
        <v>54</v>
      </c>
      <c r="U4389" s="16" t="n">
        <v>10</v>
      </c>
      <c r="V4389" s="16">
        <f>ROUNDUP((T4389+U4389+2*'Read Me'!$B$13)*(1+'Read Me'!$B$12),-1)</f>
        <v/>
      </c>
      <c r="W4389" s="16">
        <f>V4389*N4389*O4389</f>
        <v/>
      </c>
      <c r="X4389" s="12">
        <f>IF(LEFT(I4389,2)="MV",2*N4389*IF(L4389="1/C",O4389,1),0)</f>
        <v/>
      </c>
      <c r="Y4389" s="12">
        <f>IF(OR(LEFT(K4389,4)="LVAX",LEFT(K4389,6)="MV15AX",LEFT(K4389,4)="CTAX",LEFT(K4389,2)="W|"),2*N4389*O4389,0)</f>
        <v/>
      </c>
      <c r="Z4389" s="12" t="inlineStr">
        <is>
          <t>device-to-JB field wiring, one cable per device</t>
        </is>
      </c>
      <c r="AA4389" s="12">
        <f>N4389*O4389</f>
        <v/>
      </c>
    </row>
    <row r="4390">
      <c r="A4390" s="12" t="inlineStr">
        <is>
          <t>I-I-0032</t>
        </is>
      </c>
      <c r="B4390" s="12" t="inlineStr">
        <is>
          <t>I</t>
        </is>
      </c>
      <c r="C4390" s="12" t="inlineStr">
        <is>
          <t>Modular / portable power</t>
        </is>
      </c>
      <c r="D4390" s="12" t="inlineStr">
        <is>
          <t>Home run JB-CONT-4-AI01 to the control / marshalling room</t>
        </is>
      </c>
      <c r="E4390" s="12" t="inlineStr">
        <is>
          <t>PAD-EH</t>
        </is>
      </c>
      <c r="F4390" s="12" t="inlineStr">
        <is>
          <t>PAD-EH 13.8 kV switchgear e-house</t>
        </is>
      </c>
      <c r="G4390" s="12" t="inlineStr">
        <is>
          <t>JB-CONT-4-AI01</t>
        </is>
      </c>
      <c r="H4390" s="12" t="inlineStr">
        <is>
          <t>CONT-4: containerized gas genset 13.8 kV (40 ft)</t>
        </is>
      </c>
      <c r="I4390" s="12" t="inlineStr">
        <is>
          <t>Instrumentation</t>
        </is>
      </c>
      <c r="J4390" s="12" t="inlineStr">
        <is>
          <t>Instrumentation PLTC / TC-ER 300 V, #18 twisted shielded pairs, overall shield</t>
        </is>
      </c>
      <c r="K4390" s="12" t="inlineStr">
        <is>
          <t>PLTC|24 pr|18</t>
        </is>
      </c>
      <c r="L4390" s="12" t="inlineStr">
        <is>
          <t>24 pr</t>
        </is>
      </c>
      <c r="M4390" s="12" t="inlineStr">
        <is>
          <t>18</t>
        </is>
      </c>
      <c r="N4390" s="12" t="n">
        <v>1</v>
      </c>
      <c r="O4390" s="12" t="n">
        <v>1</v>
      </c>
      <c r="P4390" s="12" t="n"/>
      <c r="Q4390" s="12" t="n"/>
      <c r="R4390" s="12" t="n"/>
      <c r="S4390" s="12" t="inlineStr">
        <is>
          <t>Duct bank</t>
        </is>
      </c>
      <c r="T4390" s="16" t="n">
        <v>62</v>
      </c>
      <c r="U4390" s="16" t="n">
        <v>81</v>
      </c>
      <c r="V4390" s="16">
        <f>ROUNDUP((T4390+U4390+2*'Read Me'!$B$13)*(1+'Read Me'!$B$12),-1)</f>
        <v/>
      </c>
      <c r="W4390" s="16">
        <f>V4390*N4390*O4390</f>
        <v/>
      </c>
      <c r="X4390" s="12">
        <f>IF(LEFT(I4390,2)="MV",2*N4390*IF(L4390="1/C",O4390,1),0)</f>
        <v/>
      </c>
      <c r="Y4390" s="12">
        <f>IF(OR(LEFT(K4390,4)="LVAX",LEFT(K4390,6)="MV15AX",LEFT(K4390,4)="CTAX",LEFT(K4390,2)="W|"),2*N4390*O4390,0)</f>
        <v/>
      </c>
      <c r="Z4390" s="12" t="inlineStr"/>
      <c r="AA4390" s="12">
        <f>N4390*O4390</f>
        <v/>
      </c>
    </row>
    <row r="4391">
      <c r="A4391" s="12" t="inlineStr">
        <is>
          <t>I-I-0033</t>
        </is>
      </c>
      <c r="B4391" s="12" t="inlineStr">
        <is>
          <t>I</t>
        </is>
      </c>
      <c r="C4391" s="12" t="inlineStr">
        <is>
          <t>Modular / portable power</t>
        </is>
      </c>
      <c r="D4391" s="12" t="inlineStr">
        <is>
          <t>Discrete device to JB JB-CONT-4-DI01: 20 x 1 pr (field cables)</t>
        </is>
      </c>
      <c r="E4391" s="12" t="inlineStr">
        <is>
          <t>CONT-4</t>
        </is>
      </c>
      <c r="F4391" s="12" t="inlineStr">
        <is>
          <t>CONT-4: containerized gas genset 13.8 kV (40 ft)</t>
        </is>
      </c>
      <c r="G4391" s="12" t="inlineStr">
        <is>
          <t>JB-CONT-4-DI01</t>
        </is>
      </c>
      <c r="H4391" s="12" t="inlineStr">
        <is>
          <t>CONT-4: containerized gas genset 13.8 kV (40 ft)</t>
        </is>
      </c>
      <c r="I4391" s="12" t="inlineStr">
        <is>
          <t>Instrumentation</t>
        </is>
      </c>
      <c r="J4391" s="12" t="inlineStr">
        <is>
          <t>Instrumentation PLTC / TC-ER 300 V, #18 twisted shielded pairs, overall shield</t>
        </is>
      </c>
      <c r="K4391" s="12" t="inlineStr">
        <is>
          <t>PLTC|1 pr|16</t>
        </is>
      </c>
      <c r="L4391" s="12" t="inlineStr">
        <is>
          <t>1 pr</t>
        </is>
      </c>
      <c r="M4391" s="12" t="inlineStr">
        <is>
          <t>16</t>
        </is>
      </c>
      <c r="N4391" s="12" t="n">
        <v>20</v>
      </c>
      <c r="O4391" s="12" t="n">
        <v>1</v>
      </c>
      <c r="P4391" s="12" t="n"/>
      <c r="Q4391" s="12" t="n"/>
      <c r="R4391" s="12" t="n"/>
      <c r="S4391" s="12" t="inlineStr">
        <is>
          <t>Tray / conduit</t>
        </is>
      </c>
      <c r="T4391" s="16" t="n">
        <v>54</v>
      </c>
      <c r="U4391" s="16" t="n">
        <v>10</v>
      </c>
      <c r="V4391" s="16">
        <f>ROUNDUP((T4391+U4391+2*'Read Me'!$B$13)*(1+'Read Me'!$B$12),-1)</f>
        <v/>
      </c>
      <c r="W4391" s="16">
        <f>V4391*N4391*O4391</f>
        <v/>
      </c>
      <c r="X4391" s="12">
        <f>IF(LEFT(I4391,2)="MV",2*N4391*IF(L4391="1/C",O4391,1),0)</f>
        <v/>
      </c>
      <c r="Y4391" s="12">
        <f>IF(OR(LEFT(K4391,4)="LVAX",LEFT(K4391,6)="MV15AX",LEFT(K4391,4)="CTAX",LEFT(K4391,2)="W|"),2*N4391*O4391,0)</f>
        <v/>
      </c>
      <c r="Z4391" s="12" t="inlineStr">
        <is>
          <t>device-to-JB field wiring, one cable per device</t>
        </is>
      </c>
      <c r="AA4391" s="12">
        <f>N4391*O4391</f>
        <v/>
      </c>
    </row>
    <row r="4392">
      <c r="A4392" s="12" t="inlineStr">
        <is>
          <t>I-I-0034</t>
        </is>
      </c>
      <c r="B4392" s="12" t="inlineStr">
        <is>
          <t>I</t>
        </is>
      </c>
      <c r="C4392" s="12" t="inlineStr">
        <is>
          <t>Modular / portable power</t>
        </is>
      </c>
      <c r="D4392" s="12" t="inlineStr">
        <is>
          <t>Home run JB-CONT-4-DI01 to the control / marshalling room</t>
        </is>
      </c>
      <c r="E4392" s="12" t="inlineStr">
        <is>
          <t>PAD-EH</t>
        </is>
      </c>
      <c r="F4392" s="12" t="inlineStr">
        <is>
          <t>PAD-EH 13.8 kV switchgear e-house</t>
        </is>
      </c>
      <c r="G4392" s="12" t="inlineStr">
        <is>
          <t>JB-CONT-4-DI01</t>
        </is>
      </c>
      <c r="H4392" s="12" t="inlineStr">
        <is>
          <t>CONT-4: containerized gas genset 13.8 kV (40 ft)</t>
        </is>
      </c>
      <c r="I4392" s="12" t="inlineStr">
        <is>
          <t>Instrumentation</t>
        </is>
      </c>
      <c r="J4392" s="12" t="inlineStr">
        <is>
          <t>Instrumentation PLTC / TC-ER 300 V, #18 twisted shielded pairs, overall shield</t>
        </is>
      </c>
      <c r="K4392" s="12" t="inlineStr">
        <is>
          <t>PLTC|24 pr|18</t>
        </is>
      </c>
      <c r="L4392" s="12" t="inlineStr">
        <is>
          <t>24 pr</t>
        </is>
      </c>
      <c r="M4392" s="12" t="inlineStr">
        <is>
          <t>18</t>
        </is>
      </c>
      <c r="N4392" s="12" t="n">
        <v>1</v>
      </c>
      <c r="O4392" s="12" t="n">
        <v>1</v>
      </c>
      <c r="P4392" s="12" t="n"/>
      <c r="Q4392" s="12" t="n"/>
      <c r="R4392" s="12" t="n"/>
      <c r="S4392" s="12" t="inlineStr">
        <is>
          <t>Duct bank</t>
        </is>
      </c>
      <c r="T4392" s="16" t="n">
        <v>62</v>
      </c>
      <c r="U4392" s="16" t="n">
        <v>81</v>
      </c>
      <c r="V4392" s="16">
        <f>ROUNDUP((T4392+U4392+2*'Read Me'!$B$13)*(1+'Read Me'!$B$12),-1)</f>
        <v/>
      </c>
      <c r="W4392" s="16">
        <f>V4392*N4392*O4392</f>
        <v/>
      </c>
      <c r="X4392" s="12">
        <f>IF(LEFT(I4392,2)="MV",2*N4392*IF(L4392="1/C",O4392,1),0)</f>
        <v/>
      </c>
      <c r="Y4392" s="12">
        <f>IF(OR(LEFT(K4392,4)="LVAX",LEFT(K4392,6)="MV15AX",LEFT(K4392,4)="CTAX",LEFT(K4392,2)="W|"),2*N4392*O4392,0)</f>
        <v/>
      </c>
      <c r="Z4392" s="12" t="inlineStr"/>
      <c r="AA4392" s="12">
        <f>N4392*O4392</f>
        <v/>
      </c>
    </row>
    <row r="4393">
      <c r="A4393" s="12" t="inlineStr">
        <is>
          <t>I-I-0035</t>
        </is>
      </c>
      <c r="B4393" s="12" t="inlineStr">
        <is>
          <t>I</t>
        </is>
      </c>
      <c r="C4393" s="12" t="inlineStr">
        <is>
          <t>Modular / portable power</t>
        </is>
      </c>
      <c r="D4393" s="12" t="inlineStr">
        <is>
          <t>Analog instrument to JB JB-CONT-5-AI01: 20 x 1 pr (field cables)</t>
        </is>
      </c>
      <c r="E4393" s="12" t="inlineStr">
        <is>
          <t>CONT-5</t>
        </is>
      </c>
      <c r="F4393" s="12" t="inlineStr">
        <is>
          <t>CONT-5: containerized gas genset 13.8 kV (40 ft)</t>
        </is>
      </c>
      <c r="G4393" s="12" t="inlineStr">
        <is>
          <t>JB-CONT-5-AI01</t>
        </is>
      </c>
      <c r="H4393" s="12" t="inlineStr">
        <is>
          <t>CONT-5: containerized gas genset 13.8 kV (40 ft)</t>
        </is>
      </c>
      <c r="I4393" s="12" t="inlineStr">
        <is>
          <t>Instrumentation</t>
        </is>
      </c>
      <c r="J4393" s="12" t="inlineStr">
        <is>
          <t>Instrumentation PLTC / TC-ER 300 V, #18 twisted shielded pairs, overall shield</t>
        </is>
      </c>
      <c r="K4393" s="12" t="inlineStr">
        <is>
          <t>PLTC|1 pr|16</t>
        </is>
      </c>
      <c r="L4393" s="12" t="inlineStr">
        <is>
          <t>1 pr</t>
        </is>
      </c>
      <c r="M4393" s="12" t="inlineStr">
        <is>
          <t>16</t>
        </is>
      </c>
      <c r="N4393" s="12" t="n">
        <v>20</v>
      </c>
      <c r="O4393" s="12" t="n">
        <v>1</v>
      </c>
      <c r="P4393" s="12" t="n"/>
      <c r="Q4393" s="12" t="n"/>
      <c r="R4393" s="12" t="n"/>
      <c r="S4393" s="12" t="inlineStr">
        <is>
          <t>Tray / conduit</t>
        </is>
      </c>
      <c r="T4393" s="16" t="n">
        <v>54</v>
      </c>
      <c r="U4393" s="16" t="n">
        <v>10</v>
      </c>
      <c r="V4393" s="16">
        <f>ROUNDUP((T4393+U4393+2*'Read Me'!$B$13)*(1+'Read Me'!$B$12),-1)</f>
        <v/>
      </c>
      <c r="W4393" s="16">
        <f>V4393*N4393*O4393</f>
        <v/>
      </c>
      <c r="X4393" s="12">
        <f>IF(LEFT(I4393,2)="MV",2*N4393*IF(L4393="1/C",O4393,1),0)</f>
        <v/>
      </c>
      <c r="Y4393" s="12">
        <f>IF(OR(LEFT(K4393,4)="LVAX",LEFT(K4393,6)="MV15AX",LEFT(K4393,4)="CTAX",LEFT(K4393,2)="W|"),2*N4393*O4393,0)</f>
        <v/>
      </c>
      <c r="Z4393" s="12" t="inlineStr">
        <is>
          <t>device-to-JB field wiring, one cable per device</t>
        </is>
      </c>
      <c r="AA4393" s="12">
        <f>N4393*O4393</f>
        <v/>
      </c>
    </row>
    <row r="4394">
      <c r="A4394" s="12" t="inlineStr">
        <is>
          <t>I-I-0036</t>
        </is>
      </c>
      <c r="B4394" s="12" t="inlineStr">
        <is>
          <t>I</t>
        </is>
      </c>
      <c r="C4394" s="12" t="inlineStr">
        <is>
          <t>Modular / portable power</t>
        </is>
      </c>
      <c r="D4394" s="12" t="inlineStr">
        <is>
          <t>Home run JB-CONT-5-AI01 to the control / marshalling room</t>
        </is>
      </c>
      <c r="E4394" s="12" t="inlineStr">
        <is>
          <t>PAD-EH</t>
        </is>
      </c>
      <c r="F4394" s="12" t="inlineStr">
        <is>
          <t>PAD-EH 13.8 kV switchgear e-house</t>
        </is>
      </c>
      <c r="G4394" s="12" t="inlineStr">
        <is>
          <t>JB-CONT-5-AI01</t>
        </is>
      </c>
      <c r="H4394" s="12" t="inlineStr">
        <is>
          <t>CONT-5: containerized gas genset 13.8 kV (40 ft)</t>
        </is>
      </c>
      <c r="I4394" s="12" t="inlineStr">
        <is>
          <t>Instrumentation</t>
        </is>
      </c>
      <c r="J4394" s="12" t="inlineStr">
        <is>
          <t>Instrumentation PLTC / TC-ER 300 V, #18 twisted shielded pairs, overall shield</t>
        </is>
      </c>
      <c r="K4394" s="12" t="inlineStr">
        <is>
          <t>PLTC|24 pr|18</t>
        </is>
      </c>
      <c r="L4394" s="12" t="inlineStr">
        <is>
          <t>24 pr</t>
        </is>
      </c>
      <c r="M4394" s="12" t="inlineStr">
        <is>
          <t>18</t>
        </is>
      </c>
      <c r="N4394" s="12" t="n">
        <v>1</v>
      </c>
      <c r="O4394" s="12" t="n">
        <v>1</v>
      </c>
      <c r="P4394" s="12" t="n"/>
      <c r="Q4394" s="12" t="n"/>
      <c r="R4394" s="12" t="n"/>
      <c r="S4394" s="12" t="inlineStr">
        <is>
          <t>Duct bank</t>
        </is>
      </c>
      <c r="T4394" s="16" t="n">
        <v>25</v>
      </c>
      <c r="U4394" s="16" t="n">
        <v>58</v>
      </c>
      <c r="V4394" s="16">
        <f>ROUNDUP((T4394+U4394+2*'Read Me'!$B$13)*(1+'Read Me'!$B$12),-1)</f>
        <v/>
      </c>
      <c r="W4394" s="16">
        <f>V4394*N4394*O4394</f>
        <v/>
      </c>
      <c r="X4394" s="12">
        <f>IF(LEFT(I4394,2)="MV",2*N4394*IF(L4394="1/C",O4394,1),0)</f>
        <v/>
      </c>
      <c r="Y4394" s="12">
        <f>IF(OR(LEFT(K4394,4)="LVAX",LEFT(K4394,6)="MV15AX",LEFT(K4394,4)="CTAX",LEFT(K4394,2)="W|"),2*N4394*O4394,0)</f>
        <v/>
      </c>
      <c r="Z4394" s="12" t="inlineStr"/>
      <c r="AA4394" s="12">
        <f>N4394*O4394</f>
        <v/>
      </c>
    </row>
    <row r="4395">
      <c r="A4395" s="12" t="inlineStr">
        <is>
          <t>I-I-0037</t>
        </is>
      </c>
      <c r="B4395" s="12" t="inlineStr">
        <is>
          <t>I</t>
        </is>
      </c>
      <c r="C4395" s="12" t="inlineStr">
        <is>
          <t>Modular / portable power</t>
        </is>
      </c>
      <c r="D4395" s="12" t="inlineStr">
        <is>
          <t>Discrete device to JB JB-CONT-5-DI01: 20 x 1 pr (field cables)</t>
        </is>
      </c>
      <c r="E4395" s="12" t="inlineStr">
        <is>
          <t>CONT-5</t>
        </is>
      </c>
      <c r="F4395" s="12" t="inlineStr">
        <is>
          <t>CONT-5: containerized gas genset 13.8 kV (40 ft)</t>
        </is>
      </c>
      <c r="G4395" s="12" t="inlineStr">
        <is>
          <t>JB-CONT-5-DI01</t>
        </is>
      </c>
      <c r="H4395" s="12" t="inlineStr">
        <is>
          <t>CONT-5: containerized gas genset 13.8 kV (40 ft)</t>
        </is>
      </c>
      <c r="I4395" s="12" t="inlineStr">
        <is>
          <t>Instrumentation</t>
        </is>
      </c>
      <c r="J4395" s="12" t="inlineStr">
        <is>
          <t>Instrumentation PLTC / TC-ER 300 V, #18 twisted shielded pairs, overall shield</t>
        </is>
      </c>
      <c r="K4395" s="12" t="inlineStr">
        <is>
          <t>PLTC|1 pr|16</t>
        </is>
      </c>
      <c r="L4395" s="12" t="inlineStr">
        <is>
          <t>1 pr</t>
        </is>
      </c>
      <c r="M4395" s="12" t="inlineStr">
        <is>
          <t>16</t>
        </is>
      </c>
      <c r="N4395" s="12" t="n">
        <v>20</v>
      </c>
      <c r="O4395" s="12" t="n">
        <v>1</v>
      </c>
      <c r="P4395" s="12" t="n"/>
      <c r="Q4395" s="12" t="n"/>
      <c r="R4395" s="12" t="n"/>
      <c r="S4395" s="12" t="inlineStr">
        <is>
          <t>Tray / conduit</t>
        </is>
      </c>
      <c r="T4395" s="16" t="n">
        <v>54</v>
      </c>
      <c r="U4395" s="16" t="n">
        <v>10</v>
      </c>
      <c r="V4395" s="16">
        <f>ROUNDUP((T4395+U4395+2*'Read Me'!$B$13)*(1+'Read Me'!$B$12),-1)</f>
        <v/>
      </c>
      <c r="W4395" s="16">
        <f>V4395*N4395*O4395</f>
        <v/>
      </c>
      <c r="X4395" s="12">
        <f>IF(LEFT(I4395,2)="MV",2*N4395*IF(L4395="1/C",O4395,1),0)</f>
        <v/>
      </c>
      <c r="Y4395" s="12">
        <f>IF(OR(LEFT(K4395,4)="LVAX",LEFT(K4395,6)="MV15AX",LEFT(K4395,4)="CTAX",LEFT(K4395,2)="W|"),2*N4395*O4395,0)</f>
        <v/>
      </c>
      <c r="Z4395" s="12" t="inlineStr">
        <is>
          <t>device-to-JB field wiring, one cable per device</t>
        </is>
      </c>
      <c r="AA4395" s="12">
        <f>N4395*O4395</f>
        <v/>
      </c>
    </row>
    <row r="4396">
      <c r="A4396" s="12" t="inlineStr">
        <is>
          <t>I-I-0038</t>
        </is>
      </c>
      <c r="B4396" s="12" t="inlineStr">
        <is>
          <t>I</t>
        </is>
      </c>
      <c r="C4396" s="12" t="inlineStr">
        <is>
          <t>Modular / portable power</t>
        </is>
      </c>
      <c r="D4396" s="12" t="inlineStr">
        <is>
          <t>Home run JB-CONT-5-DI01 to the control / marshalling room</t>
        </is>
      </c>
      <c r="E4396" s="12" t="inlineStr">
        <is>
          <t>PAD-EH</t>
        </is>
      </c>
      <c r="F4396" s="12" t="inlineStr">
        <is>
          <t>PAD-EH 13.8 kV switchgear e-house</t>
        </is>
      </c>
      <c r="G4396" s="12" t="inlineStr">
        <is>
          <t>JB-CONT-5-DI01</t>
        </is>
      </c>
      <c r="H4396" s="12" t="inlineStr">
        <is>
          <t>CONT-5: containerized gas genset 13.8 kV (40 ft)</t>
        </is>
      </c>
      <c r="I4396" s="12" t="inlineStr">
        <is>
          <t>Instrumentation</t>
        </is>
      </c>
      <c r="J4396" s="12" t="inlineStr">
        <is>
          <t>Instrumentation PLTC / TC-ER 300 V, #18 twisted shielded pairs, overall shield</t>
        </is>
      </c>
      <c r="K4396" s="12" t="inlineStr">
        <is>
          <t>PLTC|24 pr|18</t>
        </is>
      </c>
      <c r="L4396" s="12" t="inlineStr">
        <is>
          <t>24 pr</t>
        </is>
      </c>
      <c r="M4396" s="12" t="inlineStr">
        <is>
          <t>18</t>
        </is>
      </c>
      <c r="N4396" s="12" t="n">
        <v>1</v>
      </c>
      <c r="O4396" s="12" t="n">
        <v>1</v>
      </c>
      <c r="P4396" s="12" t="n"/>
      <c r="Q4396" s="12" t="n"/>
      <c r="R4396" s="12" t="n"/>
      <c r="S4396" s="12" t="inlineStr">
        <is>
          <t>Duct bank</t>
        </is>
      </c>
      <c r="T4396" s="16" t="n">
        <v>25</v>
      </c>
      <c r="U4396" s="16" t="n">
        <v>58</v>
      </c>
      <c r="V4396" s="16">
        <f>ROUNDUP((T4396+U4396+2*'Read Me'!$B$13)*(1+'Read Me'!$B$12),-1)</f>
        <v/>
      </c>
      <c r="W4396" s="16">
        <f>V4396*N4396*O4396</f>
        <v/>
      </c>
      <c r="X4396" s="12">
        <f>IF(LEFT(I4396,2)="MV",2*N4396*IF(L4396="1/C",O4396,1),0)</f>
        <v/>
      </c>
      <c r="Y4396" s="12">
        <f>IF(OR(LEFT(K4396,4)="LVAX",LEFT(K4396,6)="MV15AX",LEFT(K4396,4)="CTAX",LEFT(K4396,2)="W|"),2*N4396*O4396,0)</f>
        <v/>
      </c>
      <c r="Z4396" s="12" t="inlineStr"/>
      <c r="AA4396" s="12">
        <f>N4396*O4396</f>
        <v/>
      </c>
    </row>
    <row r="4397">
      <c r="A4397" s="12" t="inlineStr">
        <is>
          <t>I-I-0039</t>
        </is>
      </c>
      <c r="B4397" s="12" t="inlineStr">
        <is>
          <t>I</t>
        </is>
      </c>
      <c r="C4397" s="12" t="inlineStr">
        <is>
          <t>Modular / portable power</t>
        </is>
      </c>
      <c r="D4397" s="12" t="inlineStr">
        <is>
          <t>Analog instrument to JB JB-CONT-6-AI01: 20 x 1 pr (field cables)</t>
        </is>
      </c>
      <c r="E4397" s="12" t="inlineStr">
        <is>
          <t>CONT-6</t>
        </is>
      </c>
      <c r="F4397" s="12" t="inlineStr">
        <is>
          <t>CONT-6: containerized gas genset 13.8 kV (40 ft)</t>
        </is>
      </c>
      <c r="G4397" s="12" t="inlineStr">
        <is>
          <t>JB-CONT-6-AI01</t>
        </is>
      </c>
      <c r="H4397" s="12" t="inlineStr">
        <is>
          <t>CONT-6: containerized gas genset 13.8 kV (40 ft)</t>
        </is>
      </c>
      <c r="I4397" s="12" t="inlineStr">
        <is>
          <t>Instrumentation</t>
        </is>
      </c>
      <c r="J4397" s="12" t="inlineStr">
        <is>
          <t>Instrumentation PLTC / TC-ER 300 V, #18 twisted shielded pairs, overall shield</t>
        </is>
      </c>
      <c r="K4397" s="12" t="inlineStr">
        <is>
          <t>PLTC|1 pr|16</t>
        </is>
      </c>
      <c r="L4397" s="12" t="inlineStr">
        <is>
          <t>1 pr</t>
        </is>
      </c>
      <c r="M4397" s="12" t="inlineStr">
        <is>
          <t>16</t>
        </is>
      </c>
      <c r="N4397" s="12" t="n">
        <v>20</v>
      </c>
      <c r="O4397" s="12" t="n">
        <v>1</v>
      </c>
      <c r="P4397" s="12" t="n"/>
      <c r="Q4397" s="12" t="n"/>
      <c r="R4397" s="12" t="n"/>
      <c r="S4397" s="12" t="inlineStr">
        <is>
          <t>Tray / conduit</t>
        </is>
      </c>
      <c r="T4397" s="16" t="n">
        <v>54</v>
      </c>
      <c r="U4397" s="16" t="n">
        <v>10</v>
      </c>
      <c r="V4397" s="16">
        <f>ROUNDUP((T4397+U4397+2*'Read Me'!$B$13)*(1+'Read Me'!$B$12),-1)</f>
        <v/>
      </c>
      <c r="W4397" s="16">
        <f>V4397*N4397*O4397</f>
        <v/>
      </c>
      <c r="X4397" s="12">
        <f>IF(LEFT(I4397,2)="MV",2*N4397*IF(L4397="1/C",O4397,1),0)</f>
        <v/>
      </c>
      <c r="Y4397" s="12">
        <f>IF(OR(LEFT(K4397,4)="LVAX",LEFT(K4397,6)="MV15AX",LEFT(K4397,4)="CTAX",LEFT(K4397,2)="W|"),2*N4397*O4397,0)</f>
        <v/>
      </c>
      <c r="Z4397" s="12" t="inlineStr">
        <is>
          <t>device-to-JB field wiring, one cable per device</t>
        </is>
      </c>
      <c r="AA4397" s="12">
        <f>N4397*O4397</f>
        <v/>
      </c>
    </row>
    <row r="4398">
      <c r="A4398" s="12" t="inlineStr">
        <is>
          <t>I-I-0040</t>
        </is>
      </c>
      <c r="B4398" s="12" t="inlineStr">
        <is>
          <t>I</t>
        </is>
      </c>
      <c r="C4398" s="12" t="inlineStr">
        <is>
          <t>Modular / portable power</t>
        </is>
      </c>
      <c r="D4398" s="12" t="inlineStr">
        <is>
          <t>Home run JB-CONT-6-AI01 to the control / marshalling room</t>
        </is>
      </c>
      <c r="E4398" s="12" t="inlineStr">
        <is>
          <t>PAD-EH</t>
        </is>
      </c>
      <c r="F4398" s="12" t="inlineStr">
        <is>
          <t>PAD-EH 13.8 kV switchgear e-house</t>
        </is>
      </c>
      <c r="G4398" s="12" t="inlineStr">
        <is>
          <t>JB-CONT-6-AI01</t>
        </is>
      </c>
      <c r="H4398" s="12" t="inlineStr">
        <is>
          <t>CONT-6: containerized gas genset 13.8 kV (40 ft)</t>
        </is>
      </c>
      <c r="I4398" s="12" t="inlineStr">
        <is>
          <t>Instrumentation</t>
        </is>
      </c>
      <c r="J4398" s="12" t="inlineStr">
        <is>
          <t>Instrumentation PLTC / TC-ER 300 V, #18 twisted shielded pairs, overall shield</t>
        </is>
      </c>
      <c r="K4398" s="12" t="inlineStr">
        <is>
          <t>PLTC|24 pr|18</t>
        </is>
      </c>
      <c r="L4398" s="12" t="inlineStr">
        <is>
          <t>24 pr</t>
        </is>
      </c>
      <c r="M4398" s="12" t="inlineStr">
        <is>
          <t>18</t>
        </is>
      </c>
      <c r="N4398" s="12" t="n">
        <v>1</v>
      </c>
      <c r="O4398" s="12" t="n">
        <v>1</v>
      </c>
      <c r="P4398" s="12" t="n"/>
      <c r="Q4398" s="12" t="n"/>
      <c r="R4398" s="12" t="n"/>
      <c r="S4398" s="12" t="inlineStr">
        <is>
          <t>Surface</t>
        </is>
      </c>
      <c r="T4398" s="16" t="n">
        <v>228</v>
      </c>
      <c r="U4398" s="16" t="n">
        <v>46</v>
      </c>
      <c r="V4398" s="16">
        <f>ROUNDUP((T4398+U4398+2*'Read Me'!$B$13)*(1+'Read Me'!$B$12),-1)</f>
        <v/>
      </c>
      <c r="W4398" s="16">
        <f>V4398*N4398*O4398</f>
        <v/>
      </c>
      <c r="X4398" s="12">
        <f>IF(LEFT(I4398,2)="MV",2*N4398*IF(L4398="1/C",O4398,1),0)</f>
        <v/>
      </c>
      <c r="Y4398" s="12">
        <f>IF(OR(LEFT(K4398,4)="LVAX",LEFT(K4398,6)="MV15AX",LEFT(K4398,4)="CTAX",LEFT(K4398,2)="W|"),2*N4398*O4398,0)</f>
        <v/>
      </c>
      <c r="Z4398" s="12" t="inlineStr"/>
      <c r="AA4398" s="12">
        <f>N4398*O4398</f>
        <v/>
      </c>
    </row>
    <row r="4399">
      <c r="A4399" s="12" t="inlineStr">
        <is>
          <t>I-I-0041</t>
        </is>
      </c>
      <c r="B4399" s="12" t="inlineStr">
        <is>
          <t>I</t>
        </is>
      </c>
      <c r="C4399" s="12" t="inlineStr">
        <is>
          <t>Modular / portable power</t>
        </is>
      </c>
      <c r="D4399" s="12" t="inlineStr">
        <is>
          <t>Discrete device to JB JB-CONT-6-DI01: 20 x 1 pr (field cables)</t>
        </is>
      </c>
      <c r="E4399" s="12" t="inlineStr">
        <is>
          <t>CONT-6</t>
        </is>
      </c>
      <c r="F4399" s="12" t="inlineStr">
        <is>
          <t>CONT-6: containerized gas genset 13.8 kV (40 ft)</t>
        </is>
      </c>
      <c r="G4399" s="12" t="inlineStr">
        <is>
          <t>JB-CONT-6-DI01</t>
        </is>
      </c>
      <c r="H4399" s="12" t="inlineStr">
        <is>
          <t>CONT-6: containerized gas genset 13.8 kV (40 ft)</t>
        </is>
      </c>
      <c r="I4399" s="12" t="inlineStr">
        <is>
          <t>Instrumentation</t>
        </is>
      </c>
      <c r="J4399" s="12" t="inlineStr">
        <is>
          <t>Instrumentation PLTC / TC-ER 300 V, #18 twisted shielded pairs, overall shield</t>
        </is>
      </c>
      <c r="K4399" s="12" t="inlineStr">
        <is>
          <t>PLTC|1 pr|16</t>
        </is>
      </c>
      <c r="L4399" s="12" t="inlineStr">
        <is>
          <t>1 pr</t>
        </is>
      </c>
      <c r="M4399" s="12" t="inlineStr">
        <is>
          <t>16</t>
        </is>
      </c>
      <c r="N4399" s="12" t="n">
        <v>20</v>
      </c>
      <c r="O4399" s="12" t="n">
        <v>1</v>
      </c>
      <c r="P4399" s="12" t="n"/>
      <c r="Q4399" s="12" t="n"/>
      <c r="R4399" s="12" t="n"/>
      <c r="S4399" s="12" t="inlineStr">
        <is>
          <t>Tray / conduit</t>
        </is>
      </c>
      <c r="T4399" s="16" t="n">
        <v>54</v>
      </c>
      <c r="U4399" s="16" t="n">
        <v>10</v>
      </c>
      <c r="V4399" s="16">
        <f>ROUNDUP((T4399+U4399+2*'Read Me'!$B$13)*(1+'Read Me'!$B$12),-1)</f>
        <v/>
      </c>
      <c r="W4399" s="16">
        <f>V4399*N4399*O4399</f>
        <v/>
      </c>
      <c r="X4399" s="12">
        <f>IF(LEFT(I4399,2)="MV",2*N4399*IF(L4399="1/C",O4399,1),0)</f>
        <v/>
      </c>
      <c r="Y4399" s="12">
        <f>IF(OR(LEFT(K4399,4)="LVAX",LEFT(K4399,6)="MV15AX",LEFT(K4399,4)="CTAX",LEFT(K4399,2)="W|"),2*N4399*O4399,0)</f>
        <v/>
      </c>
      <c r="Z4399" s="12" t="inlineStr">
        <is>
          <t>device-to-JB field wiring, one cable per device</t>
        </is>
      </c>
      <c r="AA4399" s="12">
        <f>N4399*O4399</f>
        <v/>
      </c>
    </row>
    <row r="4400">
      <c r="A4400" s="12" t="inlineStr">
        <is>
          <t>I-I-0042</t>
        </is>
      </c>
      <c r="B4400" s="12" t="inlineStr">
        <is>
          <t>I</t>
        </is>
      </c>
      <c r="C4400" s="12" t="inlineStr">
        <is>
          <t>Modular / portable power</t>
        </is>
      </c>
      <c r="D4400" s="12" t="inlineStr">
        <is>
          <t>Home run JB-CONT-6-DI01 to the control / marshalling room</t>
        </is>
      </c>
      <c r="E4400" s="12" t="inlineStr">
        <is>
          <t>PAD-EH</t>
        </is>
      </c>
      <c r="F4400" s="12" t="inlineStr">
        <is>
          <t>PAD-EH 13.8 kV switchgear e-house</t>
        </is>
      </c>
      <c r="G4400" s="12" t="inlineStr">
        <is>
          <t>JB-CONT-6-DI01</t>
        </is>
      </c>
      <c r="H4400" s="12" t="inlineStr">
        <is>
          <t>CONT-6: containerized gas genset 13.8 kV (40 ft)</t>
        </is>
      </c>
      <c r="I4400" s="12" t="inlineStr">
        <is>
          <t>Instrumentation</t>
        </is>
      </c>
      <c r="J4400" s="12" t="inlineStr">
        <is>
          <t>Instrumentation PLTC / TC-ER 300 V, #18 twisted shielded pairs, overall shield</t>
        </is>
      </c>
      <c r="K4400" s="12" t="inlineStr">
        <is>
          <t>PLTC|24 pr|18</t>
        </is>
      </c>
      <c r="L4400" s="12" t="inlineStr">
        <is>
          <t>24 pr</t>
        </is>
      </c>
      <c r="M4400" s="12" t="inlineStr">
        <is>
          <t>18</t>
        </is>
      </c>
      <c r="N4400" s="12" t="n">
        <v>1</v>
      </c>
      <c r="O4400" s="12" t="n">
        <v>1</v>
      </c>
      <c r="P4400" s="12" t="n"/>
      <c r="Q4400" s="12" t="n"/>
      <c r="R4400" s="12" t="n"/>
      <c r="S4400" s="12" t="inlineStr">
        <is>
          <t>Surface</t>
        </is>
      </c>
      <c r="T4400" s="16" t="n">
        <v>228</v>
      </c>
      <c r="U4400" s="16" t="n">
        <v>46</v>
      </c>
      <c r="V4400" s="16">
        <f>ROUNDUP((T4400+U4400+2*'Read Me'!$B$13)*(1+'Read Me'!$B$12),-1)</f>
        <v/>
      </c>
      <c r="W4400" s="16">
        <f>V4400*N4400*O4400</f>
        <v/>
      </c>
      <c r="X4400" s="12">
        <f>IF(LEFT(I4400,2)="MV",2*N4400*IF(L4400="1/C",O4400,1),0)</f>
        <v/>
      </c>
      <c r="Y4400" s="12">
        <f>IF(OR(LEFT(K4400,4)="LVAX",LEFT(K4400,6)="MV15AX",LEFT(K4400,4)="CTAX",LEFT(K4400,2)="W|"),2*N4400*O4400,0)</f>
        <v/>
      </c>
      <c r="Z4400" s="12" t="inlineStr"/>
      <c r="AA4400" s="12">
        <f>N4400*O4400</f>
        <v/>
      </c>
    </row>
    <row r="4401">
      <c r="A4401" s="12" t="inlineStr">
        <is>
          <t>I-I-0043</t>
        </is>
      </c>
      <c r="B4401" s="12" t="inlineStr">
        <is>
          <t>I</t>
        </is>
      </c>
      <c r="C4401" s="12" t="inlineStr">
        <is>
          <t>Modular / portable power</t>
        </is>
      </c>
      <c r="D4401" s="12" t="inlineStr">
        <is>
          <t>Analog instrument to JB JB-CONT-7-AI01: 20 x 1 pr (field cables)</t>
        </is>
      </c>
      <c r="E4401" s="12" t="inlineStr">
        <is>
          <t>CONT-7</t>
        </is>
      </c>
      <c r="F4401" s="12" t="inlineStr">
        <is>
          <t>CONT-7: containerized gas genset 13.8 kV (40 ft)</t>
        </is>
      </c>
      <c r="G4401" s="12" t="inlineStr">
        <is>
          <t>JB-CONT-7-AI01</t>
        </is>
      </c>
      <c r="H4401" s="12" t="inlineStr">
        <is>
          <t>CONT-7: containerized gas genset 13.8 kV (40 ft)</t>
        </is>
      </c>
      <c r="I4401" s="12" t="inlineStr">
        <is>
          <t>Instrumentation</t>
        </is>
      </c>
      <c r="J4401" s="12" t="inlineStr">
        <is>
          <t>Instrumentation PLTC / TC-ER 300 V, #18 twisted shielded pairs, overall shield</t>
        </is>
      </c>
      <c r="K4401" s="12" t="inlineStr">
        <is>
          <t>PLTC|1 pr|16</t>
        </is>
      </c>
      <c r="L4401" s="12" t="inlineStr">
        <is>
          <t>1 pr</t>
        </is>
      </c>
      <c r="M4401" s="12" t="inlineStr">
        <is>
          <t>16</t>
        </is>
      </c>
      <c r="N4401" s="12" t="n">
        <v>20</v>
      </c>
      <c r="O4401" s="12" t="n">
        <v>1</v>
      </c>
      <c r="P4401" s="12" t="n"/>
      <c r="Q4401" s="12" t="n"/>
      <c r="R4401" s="12" t="n"/>
      <c r="S4401" s="12" t="inlineStr">
        <is>
          <t>Tray / conduit</t>
        </is>
      </c>
      <c r="T4401" s="16" t="n">
        <v>54</v>
      </c>
      <c r="U4401" s="16" t="n">
        <v>10</v>
      </c>
      <c r="V4401" s="16">
        <f>ROUNDUP((T4401+U4401+2*'Read Me'!$B$13)*(1+'Read Me'!$B$12),-1)</f>
        <v/>
      </c>
      <c r="W4401" s="16">
        <f>V4401*N4401*O4401</f>
        <v/>
      </c>
      <c r="X4401" s="12">
        <f>IF(LEFT(I4401,2)="MV",2*N4401*IF(L4401="1/C",O4401,1),0)</f>
        <v/>
      </c>
      <c r="Y4401" s="12">
        <f>IF(OR(LEFT(K4401,4)="LVAX",LEFT(K4401,6)="MV15AX",LEFT(K4401,4)="CTAX",LEFT(K4401,2)="W|"),2*N4401*O4401,0)</f>
        <v/>
      </c>
      <c r="Z4401" s="12" t="inlineStr">
        <is>
          <t>device-to-JB field wiring, one cable per device</t>
        </is>
      </c>
      <c r="AA4401" s="12">
        <f>N4401*O4401</f>
        <v/>
      </c>
    </row>
    <row r="4402">
      <c r="A4402" s="12" t="inlineStr">
        <is>
          <t>I-I-0044</t>
        </is>
      </c>
      <c r="B4402" s="12" t="inlineStr">
        <is>
          <t>I</t>
        </is>
      </c>
      <c r="C4402" s="12" t="inlineStr">
        <is>
          <t>Modular / portable power</t>
        </is>
      </c>
      <c r="D4402" s="12" t="inlineStr">
        <is>
          <t>Home run JB-CONT-7-AI01 to the control / marshalling room</t>
        </is>
      </c>
      <c r="E4402" s="12" t="inlineStr">
        <is>
          <t>PAD-EH</t>
        </is>
      </c>
      <c r="F4402" s="12" t="inlineStr">
        <is>
          <t>PAD-EH 13.8 kV switchgear e-house</t>
        </is>
      </c>
      <c r="G4402" s="12" t="inlineStr">
        <is>
          <t>JB-CONT-7-AI01</t>
        </is>
      </c>
      <c r="H4402" s="12" t="inlineStr">
        <is>
          <t>CONT-7: containerized gas genset 13.8 kV (40 ft)</t>
        </is>
      </c>
      <c r="I4402" s="12" t="inlineStr">
        <is>
          <t>Instrumentation</t>
        </is>
      </c>
      <c r="J4402" s="12" t="inlineStr">
        <is>
          <t>Instrumentation PLTC / TC-ER 300 V, #18 twisted shielded pairs, overall shield</t>
        </is>
      </c>
      <c r="K4402" s="12" t="inlineStr">
        <is>
          <t>PLTC|24 pr|18</t>
        </is>
      </c>
      <c r="L4402" s="12" t="inlineStr">
        <is>
          <t>24 pr</t>
        </is>
      </c>
      <c r="M4402" s="12" t="inlineStr">
        <is>
          <t>18</t>
        </is>
      </c>
      <c r="N4402" s="12" t="n">
        <v>1</v>
      </c>
      <c r="O4402" s="12" t="n">
        <v>1</v>
      </c>
      <c r="P4402" s="12" t="n"/>
      <c r="Q4402" s="12" t="n"/>
      <c r="R4402" s="12" t="n"/>
      <c r="S4402" s="12" t="inlineStr">
        <is>
          <t>Surface</t>
        </is>
      </c>
      <c r="T4402" s="16" t="n">
        <v>228</v>
      </c>
      <c r="U4402" s="16" t="n">
        <v>46</v>
      </c>
      <c r="V4402" s="16">
        <f>ROUNDUP((T4402+U4402+2*'Read Me'!$B$13)*(1+'Read Me'!$B$12),-1)</f>
        <v/>
      </c>
      <c r="W4402" s="16">
        <f>V4402*N4402*O4402</f>
        <v/>
      </c>
      <c r="X4402" s="12">
        <f>IF(LEFT(I4402,2)="MV",2*N4402*IF(L4402="1/C",O4402,1),0)</f>
        <v/>
      </c>
      <c r="Y4402" s="12">
        <f>IF(OR(LEFT(K4402,4)="LVAX",LEFT(K4402,6)="MV15AX",LEFT(K4402,4)="CTAX",LEFT(K4402,2)="W|"),2*N4402*O4402,0)</f>
        <v/>
      </c>
      <c r="Z4402" s="12" t="inlineStr"/>
      <c r="AA4402" s="12">
        <f>N4402*O4402</f>
        <v/>
      </c>
    </row>
    <row r="4403">
      <c r="A4403" s="12" t="inlineStr">
        <is>
          <t>I-I-0045</t>
        </is>
      </c>
      <c r="B4403" s="12" t="inlineStr">
        <is>
          <t>I</t>
        </is>
      </c>
      <c r="C4403" s="12" t="inlineStr">
        <is>
          <t>Modular / portable power</t>
        </is>
      </c>
      <c r="D4403" s="12" t="inlineStr">
        <is>
          <t>Discrete device to JB JB-CONT-7-DI01: 20 x 1 pr (field cables)</t>
        </is>
      </c>
      <c r="E4403" s="12" t="inlineStr">
        <is>
          <t>CONT-7</t>
        </is>
      </c>
      <c r="F4403" s="12" t="inlineStr">
        <is>
          <t>CONT-7: containerized gas genset 13.8 kV (40 ft)</t>
        </is>
      </c>
      <c r="G4403" s="12" t="inlineStr">
        <is>
          <t>JB-CONT-7-DI01</t>
        </is>
      </c>
      <c r="H4403" s="12" t="inlineStr">
        <is>
          <t>CONT-7: containerized gas genset 13.8 kV (40 ft)</t>
        </is>
      </c>
      <c r="I4403" s="12" t="inlineStr">
        <is>
          <t>Instrumentation</t>
        </is>
      </c>
      <c r="J4403" s="12" t="inlineStr">
        <is>
          <t>Instrumentation PLTC / TC-ER 300 V, #18 twisted shielded pairs, overall shield</t>
        </is>
      </c>
      <c r="K4403" s="12" t="inlineStr">
        <is>
          <t>PLTC|1 pr|16</t>
        </is>
      </c>
      <c r="L4403" s="12" t="inlineStr">
        <is>
          <t>1 pr</t>
        </is>
      </c>
      <c r="M4403" s="12" t="inlineStr">
        <is>
          <t>16</t>
        </is>
      </c>
      <c r="N4403" s="12" t="n">
        <v>20</v>
      </c>
      <c r="O4403" s="12" t="n">
        <v>1</v>
      </c>
      <c r="P4403" s="12" t="n"/>
      <c r="Q4403" s="12" t="n"/>
      <c r="R4403" s="12" t="n"/>
      <c r="S4403" s="12" t="inlineStr">
        <is>
          <t>Tray / conduit</t>
        </is>
      </c>
      <c r="T4403" s="16" t="n">
        <v>54</v>
      </c>
      <c r="U4403" s="16" t="n">
        <v>10</v>
      </c>
      <c r="V4403" s="16">
        <f>ROUNDUP((T4403+U4403+2*'Read Me'!$B$13)*(1+'Read Me'!$B$12),-1)</f>
        <v/>
      </c>
      <c r="W4403" s="16">
        <f>V4403*N4403*O4403</f>
        <v/>
      </c>
      <c r="X4403" s="12">
        <f>IF(LEFT(I4403,2)="MV",2*N4403*IF(L4403="1/C",O4403,1),0)</f>
        <v/>
      </c>
      <c r="Y4403" s="12">
        <f>IF(OR(LEFT(K4403,4)="LVAX",LEFT(K4403,6)="MV15AX",LEFT(K4403,4)="CTAX",LEFT(K4403,2)="W|"),2*N4403*O4403,0)</f>
        <v/>
      </c>
      <c r="Z4403" s="12" t="inlineStr">
        <is>
          <t>device-to-JB field wiring, one cable per device</t>
        </is>
      </c>
      <c r="AA4403" s="12">
        <f>N4403*O4403</f>
        <v/>
      </c>
    </row>
    <row r="4404">
      <c r="A4404" s="12" t="inlineStr">
        <is>
          <t>I-I-0046</t>
        </is>
      </c>
      <c r="B4404" s="12" t="inlineStr">
        <is>
          <t>I</t>
        </is>
      </c>
      <c r="C4404" s="12" t="inlineStr">
        <is>
          <t>Modular / portable power</t>
        </is>
      </c>
      <c r="D4404" s="12" t="inlineStr">
        <is>
          <t>Home run JB-CONT-7-DI01 to the control / marshalling room</t>
        </is>
      </c>
      <c r="E4404" s="12" t="inlineStr">
        <is>
          <t>PAD-EH</t>
        </is>
      </c>
      <c r="F4404" s="12" t="inlineStr">
        <is>
          <t>PAD-EH 13.8 kV switchgear e-house</t>
        </is>
      </c>
      <c r="G4404" s="12" t="inlineStr">
        <is>
          <t>JB-CONT-7-DI01</t>
        </is>
      </c>
      <c r="H4404" s="12" t="inlineStr">
        <is>
          <t>CONT-7: containerized gas genset 13.8 kV (40 ft)</t>
        </is>
      </c>
      <c r="I4404" s="12" t="inlineStr">
        <is>
          <t>Instrumentation</t>
        </is>
      </c>
      <c r="J4404" s="12" t="inlineStr">
        <is>
          <t>Instrumentation PLTC / TC-ER 300 V, #18 twisted shielded pairs, overall shield</t>
        </is>
      </c>
      <c r="K4404" s="12" t="inlineStr">
        <is>
          <t>PLTC|24 pr|18</t>
        </is>
      </c>
      <c r="L4404" s="12" t="inlineStr">
        <is>
          <t>24 pr</t>
        </is>
      </c>
      <c r="M4404" s="12" t="inlineStr">
        <is>
          <t>18</t>
        </is>
      </c>
      <c r="N4404" s="12" t="n">
        <v>1</v>
      </c>
      <c r="O4404" s="12" t="n">
        <v>1</v>
      </c>
      <c r="P4404" s="12" t="n"/>
      <c r="Q4404" s="12" t="n"/>
      <c r="R4404" s="12" t="n"/>
      <c r="S4404" s="12" t="inlineStr">
        <is>
          <t>Surface</t>
        </is>
      </c>
      <c r="T4404" s="16" t="n">
        <v>228</v>
      </c>
      <c r="U4404" s="16" t="n">
        <v>46</v>
      </c>
      <c r="V4404" s="16">
        <f>ROUNDUP((T4404+U4404+2*'Read Me'!$B$13)*(1+'Read Me'!$B$12),-1)</f>
        <v/>
      </c>
      <c r="W4404" s="16">
        <f>V4404*N4404*O4404</f>
        <v/>
      </c>
      <c r="X4404" s="12">
        <f>IF(LEFT(I4404,2)="MV",2*N4404*IF(L4404="1/C",O4404,1),0)</f>
        <v/>
      </c>
      <c r="Y4404" s="12">
        <f>IF(OR(LEFT(K4404,4)="LVAX",LEFT(K4404,6)="MV15AX",LEFT(K4404,4)="CTAX",LEFT(K4404,2)="W|"),2*N4404*O4404,0)</f>
        <v/>
      </c>
      <c r="Z4404" s="12" t="inlineStr"/>
      <c r="AA4404" s="12">
        <f>N4404*O4404</f>
        <v/>
      </c>
    </row>
    <row r="4405">
      <c r="A4405" s="12" t="inlineStr">
        <is>
          <t>I-I-0047</t>
        </is>
      </c>
      <c r="B4405" s="12" t="inlineStr">
        <is>
          <t>I</t>
        </is>
      </c>
      <c r="C4405" s="12" t="inlineStr">
        <is>
          <t>Modular / portable power</t>
        </is>
      </c>
      <c r="D4405" s="12" t="inlineStr">
        <is>
          <t>Analog instrument to JB JB-CONT-8-AI01: 20 x 1 pr (field cables)</t>
        </is>
      </c>
      <c r="E4405" s="12" t="inlineStr">
        <is>
          <t>CONT-8</t>
        </is>
      </c>
      <c r="F4405" s="12" t="inlineStr">
        <is>
          <t>CONT-8: containerized gas genset 13.8 kV (40 ft)</t>
        </is>
      </c>
      <c r="G4405" s="12" t="inlineStr">
        <is>
          <t>JB-CONT-8-AI01</t>
        </is>
      </c>
      <c r="H4405" s="12" t="inlineStr">
        <is>
          <t>CONT-8: containerized gas genset 13.8 kV (40 ft)</t>
        </is>
      </c>
      <c r="I4405" s="12" t="inlineStr">
        <is>
          <t>Instrumentation</t>
        </is>
      </c>
      <c r="J4405" s="12" t="inlineStr">
        <is>
          <t>Instrumentation PLTC / TC-ER 300 V, #18 twisted shielded pairs, overall shield</t>
        </is>
      </c>
      <c r="K4405" s="12" t="inlineStr">
        <is>
          <t>PLTC|1 pr|16</t>
        </is>
      </c>
      <c r="L4405" s="12" t="inlineStr">
        <is>
          <t>1 pr</t>
        </is>
      </c>
      <c r="M4405" s="12" t="inlineStr">
        <is>
          <t>16</t>
        </is>
      </c>
      <c r="N4405" s="12" t="n">
        <v>20</v>
      </c>
      <c r="O4405" s="12" t="n">
        <v>1</v>
      </c>
      <c r="P4405" s="12" t="n"/>
      <c r="Q4405" s="12" t="n"/>
      <c r="R4405" s="12" t="n"/>
      <c r="S4405" s="12" t="inlineStr">
        <is>
          <t>Tray / conduit</t>
        </is>
      </c>
      <c r="T4405" s="16" t="n">
        <v>54</v>
      </c>
      <c r="U4405" s="16" t="n">
        <v>10</v>
      </c>
      <c r="V4405" s="16">
        <f>ROUNDUP((T4405+U4405+2*'Read Me'!$B$13)*(1+'Read Me'!$B$12),-1)</f>
        <v/>
      </c>
      <c r="W4405" s="16">
        <f>V4405*N4405*O4405</f>
        <v/>
      </c>
      <c r="X4405" s="12">
        <f>IF(LEFT(I4405,2)="MV",2*N4405*IF(L4405="1/C",O4405,1),0)</f>
        <v/>
      </c>
      <c r="Y4405" s="12">
        <f>IF(OR(LEFT(K4405,4)="LVAX",LEFT(K4405,6)="MV15AX",LEFT(K4405,4)="CTAX",LEFT(K4405,2)="W|"),2*N4405*O4405,0)</f>
        <v/>
      </c>
      <c r="Z4405" s="12" t="inlineStr">
        <is>
          <t>device-to-JB field wiring, one cable per device</t>
        </is>
      </c>
      <c r="AA4405" s="12">
        <f>N4405*O4405</f>
        <v/>
      </c>
    </row>
    <row r="4406">
      <c r="A4406" s="12" t="inlineStr">
        <is>
          <t>I-I-0048</t>
        </is>
      </c>
      <c r="B4406" s="12" t="inlineStr">
        <is>
          <t>I</t>
        </is>
      </c>
      <c r="C4406" s="12" t="inlineStr">
        <is>
          <t>Modular / portable power</t>
        </is>
      </c>
      <c r="D4406" s="12" t="inlineStr">
        <is>
          <t>Home run JB-CONT-8-AI01 to the control / marshalling room</t>
        </is>
      </c>
      <c r="E4406" s="12" t="inlineStr">
        <is>
          <t>PAD-EH</t>
        </is>
      </c>
      <c r="F4406" s="12" t="inlineStr">
        <is>
          <t>PAD-EH 13.8 kV switchgear e-house</t>
        </is>
      </c>
      <c r="G4406" s="12" t="inlineStr">
        <is>
          <t>JB-CONT-8-AI01</t>
        </is>
      </c>
      <c r="H4406" s="12" t="inlineStr">
        <is>
          <t>CONT-8: containerized gas genset 13.8 kV (40 ft)</t>
        </is>
      </c>
      <c r="I4406" s="12" t="inlineStr">
        <is>
          <t>Instrumentation</t>
        </is>
      </c>
      <c r="J4406" s="12" t="inlineStr">
        <is>
          <t>Instrumentation PLTC / TC-ER 300 V, #18 twisted shielded pairs, overall shield</t>
        </is>
      </c>
      <c r="K4406" s="12" t="inlineStr">
        <is>
          <t>PLTC|24 pr|18</t>
        </is>
      </c>
      <c r="L4406" s="12" t="inlineStr">
        <is>
          <t>24 pr</t>
        </is>
      </c>
      <c r="M4406" s="12" t="inlineStr">
        <is>
          <t>18</t>
        </is>
      </c>
      <c r="N4406" s="12" t="n">
        <v>1</v>
      </c>
      <c r="O4406" s="12" t="n">
        <v>1</v>
      </c>
      <c r="P4406" s="12" t="n"/>
      <c r="Q4406" s="12" t="n"/>
      <c r="R4406" s="12" t="n"/>
      <c r="S4406" s="12" t="inlineStr">
        <is>
          <t>Surface</t>
        </is>
      </c>
      <c r="T4406" s="16" t="n">
        <v>16</v>
      </c>
      <c r="U4406" s="16" t="n">
        <v>117</v>
      </c>
      <c r="V4406" s="16">
        <f>ROUNDUP((T4406+U4406+2*'Read Me'!$B$13)*(1+'Read Me'!$B$12),-1)</f>
        <v/>
      </c>
      <c r="W4406" s="16">
        <f>V4406*N4406*O4406</f>
        <v/>
      </c>
      <c r="X4406" s="12">
        <f>IF(LEFT(I4406,2)="MV",2*N4406*IF(L4406="1/C",O4406,1),0)</f>
        <v/>
      </c>
      <c r="Y4406" s="12">
        <f>IF(OR(LEFT(K4406,4)="LVAX",LEFT(K4406,6)="MV15AX",LEFT(K4406,4)="CTAX",LEFT(K4406,2)="W|"),2*N4406*O4406,0)</f>
        <v/>
      </c>
      <c r="Z4406" s="12" t="inlineStr"/>
      <c r="AA4406" s="12">
        <f>N4406*O4406</f>
        <v/>
      </c>
    </row>
    <row r="4407">
      <c r="A4407" s="12" t="inlineStr">
        <is>
          <t>I-I-0049</t>
        </is>
      </c>
      <c r="B4407" s="12" t="inlineStr">
        <is>
          <t>I</t>
        </is>
      </c>
      <c r="C4407" s="12" t="inlineStr">
        <is>
          <t>Modular / portable power</t>
        </is>
      </c>
      <c r="D4407" s="12" t="inlineStr">
        <is>
          <t>Discrete device to JB JB-CONT-8-DI01: 20 x 1 pr (field cables)</t>
        </is>
      </c>
      <c r="E4407" s="12" t="inlineStr">
        <is>
          <t>CONT-8</t>
        </is>
      </c>
      <c r="F4407" s="12" t="inlineStr">
        <is>
          <t>CONT-8: containerized gas genset 13.8 kV (40 ft)</t>
        </is>
      </c>
      <c r="G4407" s="12" t="inlineStr">
        <is>
          <t>JB-CONT-8-DI01</t>
        </is>
      </c>
      <c r="H4407" s="12" t="inlineStr">
        <is>
          <t>CONT-8: containerized gas genset 13.8 kV (40 ft)</t>
        </is>
      </c>
      <c r="I4407" s="12" t="inlineStr">
        <is>
          <t>Instrumentation</t>
        </is>
      </c>
      <c r="J4407" s="12" t="inlineStr">
        <is>
          <t>Instrumentation PLTC / TC-ER 300 V, #18 twisted shielded pairs, overall shield</t>
        </is>
      </c>
      <c r="K4407" s="12" t="inlineStr">
        <is>
          <t>PLTC|1 pr|16</t>
        </is>
      </c>
      <c r="L4407" s="12" t="inlineStr">
        <is>
          <t>1 pr</t>
        </is>
      </c>
      <c r="M4407" s="12" t="inlineStr">
        <is>
          <t>16</t>
        </is>
      </c>
      <c r="N4407" s="12" t="n">
        <v>20</v>
      </c>
      <c r="O4407" s="12" t="n">
        <v>1</v>
      </c>
      <c r="P4407" s="12" t="n"/>
      <c r="Q4407" s="12" t="n"/>
      <c r="R4407" s="12" t="n"/>
      <c r="S4407" s="12" t="inlineStr">
        <is>
          <t>Tray / conduit</t>
        </is>
      </c>
      <c r="T4407" s="16" t="n">
        <v>54</v>
      </c>
      <c r="U4407" s="16" t="n">
        <v>10</v>
      </c>
      <c r="V4407" s="16">
        <f>ROUNDUP((T4407+U4407+2*'Read Me'!$B$13)*(1+'Read Me'!$B$12),-1)</f>
        <v/>
      </c>
      <c r="W4407" s="16">
        <f>V4407*N4407*O4407</f>
        <v/>
      </c>
      <c r="X4407" s="12">
        <f>IF(LEFT(I4407,2)="MV",2*N4407*IF(L4407="1/C",O4407,1),0)</f>
        <v/>
      </c>
      <c r="Y4407" s="12">
        <f>IF(OR(LEFT(K4407,4)="LVAX",LEFT(K4407,6)="MV15AX",LEFT(K4407,4)="CTAX",LEFT(K4407,2)="W|"),2*N4407*O4407,0)</f>
        <v/>
      </c>
      <c r="Z4407" s="12" t="inlineStr">
        <is>
          <t>device-to-JB field wiring, one cable per device</t>
        </is>
      </c>
      <c r="AA4407" s="12">
        <f>N4407*O4407</f>
        <v/>
      </c>
    </row>
    <row r="4408">
      <c r="A4408" s="12" t="inlineStr">
        <is>
          <t>I-I-0050</t>
        </is>
      </c>
      <c r="B4408" s="12" t="inlineStr">
        <is>
          <t>I</t>
        </is>
      </c>
      <c r="C4408" s="12" t="inlineStr">
        <is>
          <t>Modular / portable power</t>
        </is>
      </c>
      <c r="D4408" s="12" t="inlineStr">
        <is>
          <t>Home run JB-CONT-8-DI01 to the control / marshalling room</t>
        </is>
      </c>
      <c r="E4408" s="12" t="inlineStr">
        <is>
          <t>PAD-EH</t>
        </is>
      </c>
      <c r="F4408" s="12" t="inlineStr">
        <is>
          <t>PAD-EH 13.8 kV switchgear e-house</t>
        </is>
      </c>
      <c r="G4408" s="12" t="inlineStr">
        <is>
          <t>JB-CONT-8-DI01</t>
        </is>
      </c>
      <c r="H4408" s="12" t="inlineStr">
        <is>
          <t>CONT-8: containerized gas genset 13.8 kV (40 ft)</t>
        </is>
      </c>
      <c r="I4408" s="12" t="inlineStr">
        <is>
          <t>Instrumentation</t>
        </is>
      </c>
      <c r="J4408" s="12" t="inlineStr">
        <is>
          <t>Instrumentation PLTC / TC-ER 300 V, #18 twisted shielded pairs, overall shield</t>
        </is>
      </c>
      <c r="K4408" s="12" t="inlineStr">
        <is>
          <t>PLTC|24 pr|18</t>
        </is>
      </c>
      <c r="L4408" s="12" t="inlineStr">
        <is>
          <t>24 pr</t>
        </is>
      </c>
      <c r="M4408" s="12" t="inlineStr">
        <is>
          <t>18</t>
        </is>
      </c>
      <c r="N4408" s="12" t="n">
        <v>1</v>
      </c>
      <c r="O4408" s="12" t="n">
        <v>1</v>
      </c>
      <c r="P4408" s="12" t="n"/>
      <c r="Q4408" s="12" t="n"/>
      <c r="R4408" s="12" t="n"/>
      <c r="S4408" s="12" t="inlineStr">
        <is>
          <t>Surface</t>
        </is>
      </c>
      <c r="T4408" s="16" t="n">
        <v>16</v>
      </c>
      <c r="U4408" s="16" t="n">
        <v>117</v>
      </c>
      <c r="V4408" s="16">
        <f>ROUNDUP((T4408+U4408+2*'Read Me'!$B$13)*(1+'Read Me'!$B$12),-1)</f>
        <v/>
      </c>
      <c r="W4408" s="16">
        <f>V4408*N4408*O4408</f>
        <v/>
      </c>
      <c r="X4408" s="12">
        <f>IF(LEFT(I4408,2)="MV",2*N4408*IF(L4408="1/C",O4408,1),0)</f>
        <v/>
      </c>
      <c r="Y4408" s="12">
        <f>IF(OR(LEFT(K4408,4)="LVAX",LEFT(K4408,6)="MV15AX",LEFT(K4408,4)="CTAX",LEFT(K4408,2)="W|"),2*N4408*O4408,0)</f>
        <v/>
      </c>
      <c r="Z4408" s="12" t="inlineStr"/>
      <c r="AA4408" s="12">
        <f>N4408*O4408</f>
        <v/>
      </c>
    </row>
    <row r="4409">
      <c r="A4409" s="12" t="inlineStr">
        <is>
          <t>I-I-0051</t>
        </is>
      </c>
      <c r="B4409" s="12" t="inlineStr">
        <is>
          <t>I</t>
        </is>
      </c>
      <c r="C4409" s="12" t="inlineStr">
        <is>
          <t>Modular / portable power</t>
        </is>
      </c>
      <c r="D4409" s="12" t="inlineStr">
        <is>
          <t>Analog instrument to JB JB-Demin tank + trail-AI01: 4 x 1 pr (field cables)</t>
        </is>
      </c>
      <c r="E4409" s="12" t="inlineStr"/>
      <c r="F4409" s="12" t="inlineStr">
        <is>
          <t>Demin tank + trailer pad</t>
        </is>
      </c>
      <c r="G4409" s="12" t="inlineStr">
        <is>
          <t>JB-Demin tank + trail-AI01</t>
        </is>
      </c>
      <c r="H4409" s="12" t="inlineStr">
        <is>
          <t>Demin tank + trailer pad</t>
        </is>
      </c>
      <c r="I4409" s="12" t="inlineStr">
        <is>
          <t>Instrumentation</t>
        </is>
      </c>
      <c r="J4409" s="12" t="inlineStr">
        <is>
          <t>Instrumentation PLTC / TC-ER 300 V, #18 twisted shielded pairs, overall shield</t>
        </is>
      </c>
      <c r="K4409" s="12" t="inlineStr">
        <is>
          <t>PLTC|1 pr|16</t>
        </is>
      </c>
      <c r="L4409" s="12" t="inlineStr">
        <is>
          <t>1 pr</t>
        </is>
      </c>
      <c r="M4409" s="12" t="inlineStr">
        <is>
          <t>16</t>
        </is>
      </c>
      <c r="N4409" s="12" t="n">
        <v>4</v>
      </c>
      <c r="O4409" s="12" t="n">
        <v>1</v>
      </c>
      <c r="P4409" s="12" t="n"/>
      <c r="Q4409" s="12" t="n"/>
      <c r="R4409" s="12" t="n"/>
      <c r="S4409" s="12" t="inlineStr">
        <is>
          <t>Tray / conduit</t>
        </is>
      </c>
      <c r="T4409" s="16" t="n">
        <v>78</v>
      </c>
      <c r="U4409" s="16" t="n">
        <v>10</v>
      </c>
      <c r="V4409" s="16">
        <f>ROUNDUP((T4409+U4409+2*'Read Me'!$B$13)*(1+'Read Me'!$B$12),-1)</f>
        <v/>
      </c>
      <c r="W4409" s="16">
        <f>V4409*N4409*O4409</f>
        <v/>
      </c>
      <c r="X4409" s="12">
        <f>IF(LEFT(I4409,2)="MV",2*N4409*IF(L4409="1/C",O4409,1),0)</f>
        <v/>
      </c>
      <c r="Y4409" s="12">
        <f>IF(OR(LEFT(K4409,4)="LVAX",LEFT(K4409,6)="MV15AX",LEFT(K4409,4)="CTAX",LEFT(K4409,2)="W|"),2*N4409*O4409,0)</f>
        <v/>
      </c>
      <c r="Z4409" s="12" t="inlineStr">
        <is>
          <t>device-to-JB field wiring, one cable per device</t>
        </is>
      </c>
      <c r="AA4409" s="12">
        <f>N4409*O4409</f>
        <v/>
      </c>
    </row>
    <row r="4410">
      <c r="A4410" s="12" t="inlineStr">
        <is>
          <t>I-I-0052</t>
        </is>
      </c>
      <c r="B4410" s="12" t="inlineStr">
        <is>
          <t>I</t>
        </is>
      </c>
      <c r="C4410" s="12" t="inlineStr">
        <is>
          <t>Modular / portable power</t>
        </is>
      </c>
      <c r="D4410" s="12" t="inlineStr">
        <is>
          <t>Home run JB-Demin tank + trail-AI01 to the control / marshalling room</t>
        </is>
      </c>
      <c r="E4410" s="12" t="inlineStr"/>
      <c r="F4410" s="12" t="inlineStr">
        <is>
          <t>PCM: power control module</t>
        </is>
      </c>
      <c r="G4410" s="12" t="inlineStr">
        <is>
          <t>JB-Demin tank + trail-AI01</t>
        </is>
      </c>
      <c r="H4410" s="12" t="inlineStr">
        <is>
          <t>Demin tank + trailer pad</t>
        </is>
      </c>
      <c r="I4410" s="12" t="inlineStr">
        <is>
          <t>Instrumentation</t>
        </is>
      </c>
      <c r="J4410" s="12" t="inlineStr">
        <is>
          <t>Instrumentation PLTC / TC-ER 300 V, #18 twisted shielded pairs, overall shield</t>
        </is>
      </c>
      <c r="K4410" s="12" t="inlineStr">
        <is>
          <t>PLTC|24 pr|18</t>
        </is>
      </c>
      <c r="L4410" s="12" t="inlineStr">
        <is>
          <t>24 pr</t>
        </is>
      </c>
      <c r="M4410" s="12" t="inlineStr">
        <is>
          <t>18</t>
        </is>
      </c>
      <c r="N4410" s="12" t="n">
        <v>1</v>
      </c>
      <c r="O4410" s="12" t="n">
        <v>1</v>
      </c>
      <c r="P4410" s="12" t="n"/>
      <c r="Q4410" s="12" t="n"/>
      <c r="R4410" s="12" t="n"/>
      <c r="S4410" s="12" t="inlineStr">
        <is>
          <t>HV duct bank</t>
        </is>
      </c>
      <c r="T4410" s="16" t="n">
        <v>4353</v>
      </c>
      <c r="U4410" s="16" t="n">
        <v>73</v>
      </c>
      <c r="V4410" s="16">
        <f>ROUNDUP((T4410+U4410+2*'Read Me'!$B$13)*(1+'Read Me'!$B$12),-1)</f>
        <v/>
      </c>
      <c r="W4410" s="16">
        <f>V4410*N4410*O4410</f>
        <v/>
      </c>
      <c r="X4410" s="12">
        <f>IF(LEFT(I4410,2)="MV",2*N4410*IF(L4410="1/C",O4410,1),0)</f>
        <v/>
      </c>
      <c r="Y4410" s="12">
        <f>IF(OR(LEFT(K4410,4)="LVAX",LEFT(K4410,6)="MV15AX",LEFT(K4410,4)="CTAX",LEFT(K4410,2)="W|"),2*N4410*O4410,0)</f>
        <v/>
      </c>
      <c r="Z4410" s="12" t="inlineStr"/>
      <c r="AA4410" s="12">
        <f>N4410*O4410</f>
        <v/>
      </c>
    </row>
    <row r="4411">
      <c r="A4411" s="12" t="inlineStr">
        <is>
          <t>I-I-0053</t>
        </is>
      </c>
      <c r="B4411" s="12" t="inlineStr">
        <is>
          <t>I</t>
        </is>
      </c>
      <c r="C4411" s="12" t="inlineStr">
        <is>
          <t>Modular / portable power</t>
        </is>
      </c>
      <c r="D4411" s="12" t="inlineStr">
        <is>
          <t>Discrete device to JB JB-Demin tank + trail-DI01: 4 x 1 pr (field cables)</t>
        </is>
      </c>
      <c r="E4411" s="12" t="inlineStr"/>
      <c r="F4411" s="12" t="inlineStr">
        <is>
          <t>Demin tank + trailer pad</t>
        </is>
      </c>
      <c r="G4411" s="12" t="inlineStr">
        <is>
          <t>JB-Demin tank + trail-DI01</t>
        </is>
      </c>
      <c r="H4411" s="12" t="inlineStr">
        <is>
          <t>Demin tank + trailer pad</t>
        </is>
      </c>
      <c r="I4411" s="12" t="inlineStr">
        <is>
          <t>Instrumentation</t>
        </is>
      </c>
      <c r="J4411" s="12" t="inlineStr">
        <is>
          <t>Instrumentation PLTC / TC-ER 300 V, #18 twisted shielded pairs, overall shield</t>
        </is>
      </c>
      <c r="K4411" s="12" t="inlineStr">
        <is>
          <t>PLTC|1 pr|16</t>
        </is>
      </c>
      <c r="L4411" s="12" t="inlineStr">
        <is>
          <t>1 pr</t>
        </is>
      </c>
      <c r="M4411" s="12" t="inlineStr">
        <is>
          <t>16</t>
        </is>
      </c>
      <c r="N4411" s="12" t="n">
        <v>4</v>
      </c>
      <c r="O4411" s="12" t="n">
        <v>1</v>
      </c>
      <c r="P4411" s="12" t="n"/>
      <c r="Q4411" s="12" t="n"/>
      <c r="R4411" s="12" t="n"/>
      <c r="S4411" s="12" t="inlineStr">
        <is>
          <t>Tray / conduit</t>
        </is>
      </c>
      <c r="T4411" s="16" t="n">
        <v>78</v>
      </c>
      <c r="U4411" s="16" t="n">
        <v>10</v>
      </c>
      <c r="V4411" s="16">
        <f>ROUNDUP((T4411+U4411+2*'Read Me'!$B$13)*(1+'Read Me'!$B$12),-1)</f>
        <v/>
      </c>
      <c r="W4411" s="16">
        <f>V4411*N4411*O4411</f>
        <v/>
      </c>
      <c r="X4411" s="12">
        <f>IF(LEFT(I4411,2)="MV",2*N4411*IF(L4411="1/C",O4411,1),0)</f>
        <v/>
      </c>
      <c r="Y4411" s="12">
        <f>IF(OR(LEFT(K4411,4)="LVAX",LEFT(K4411,6)="MV15AX",LEFT(K4411,4)="CTAX",LEFT(K4411,2)="W|"),2*N4411*O4411,0)</f>
        <v/>
      </c>
      <c r="Z4411" s="12" t="inlineStr">
        <is>
          <t>device-to-JB field wiring, one cable per device</t>
        </is>
      </c>
      <c r="AA4411" s="12">
        <f>N4411*O4411</f>
        <v/>
      </c>
    </row>
    <row r="4412">
      <c r="A4412" s="12" t="inlineStr">
        <is>
          <t>I-I-0054</t>
        </is>
      </c>
      <c r="B4412" s="12" t="inlineStr">
        <is>
          <t>I</t>
        </is>
      </c>
      <c r="C4412" s="12" t="inlineStr">
        <is>
          <t>Modular / portable power</t>
        </is>
      </c>
      <c r="D4412" s="12" t="inlineStr">
        <is>
          <t>Home run JB-Demin tank + trail-DI01 to the control / marshalling room</t>
        </is>
      </c>
      <c r="E4412" s="12" t="inlineStr"/>
      <c r="F4412" s="12" t="inlineStr">
        <is>
          <t>PCM: power control module</t>
        </is>
      </c>
      <c r="G4412" s="12" t="inlineStr">
        <is>
          <t>JB-Demin tank + trail-DI01</t>
        </is>
      </c>
      <c r="H4412" s="12" t="inlineStr">
        <is>
          <t>Demin tank + trailer pad</t>
        </is>
      </c>
      <c r="I4412" s="12" t="inlineStr">
        <is>
          <t>Instrumentation</t>
        </is>
      </c>
      <c r="J4412" s="12" t="inlineStr">
        <is>
          <t>Instrumentation PLTC / TC-ER 300 V, #18 twisted shielded pairs, overall shield</t>
        </is>
      </c>
      <c r="K4412" s="12" t="inlineStr">
        <is>
          <t>PLTC|24 pr|18</t>
        </is>
      </c>
      <c r="L4412" s="12" t="inlineStr">
        <is>
          <t>24 pr</t>
        </is>
      </c>
      <c r="M4412" s="12" t="inlineStr">
        <is>
          <t>18</t>
        </is>
      </c>
      <c r="N4412" s="12" t="n">
        <v>1</v>
      </c>
      <c r="O4412" s="12" t="n">
        <v>1</v>
      </c>
      <c r="P4412" s="12" t="n"/>
      <c r="Q4412" s="12" t="n"/>
      <c r="R4412" s="12" t="n"/>
      <c r="S4412" s="12" t="inlineStr">
        <is>
          <t>HV duct bank</t>
        </is>
      </c>
      <c r="T4412" s="16" t="n">
        <v>4353</v>
      </c>
      <c r="U4412" s="16" t="n">
        <v>73</v>
      </c>
      <c r="V4412" s="16">
        <f>ROUNDUP((T4412+U4412+2*'Read Me'!$B$13)*(1+'Read Me'!$B$12),-1)</f>
        <v/>
      </c>
      <c r="W4412" s="16">
        <f>V4412*N4412*O4412</f>
        <v/>
      </c>
      <c r="X4412" s="12">
        <f>IF(LEFT(I4412,2)="MV",2*N4412*IF(L4412="1/C",O4412,1),0)</f>
        <v/>
      </c>
      <c r="Y4412" s="12">
        <f>IF(OR(LEFT(K4412,4)="LVAX",LEFT(K4412,6)="MV15AX",LEFT(K4412,4)="CTAX",LEFT(K4412,2)="W|"),2*N4412*O4412,0)</f>
        <v/>
      </c>
      <c r="Z4412" s="12" t="inlineStr"/>
      <c r="AA4412" s="12">
        <f>N4412*O4412</f>
        <v/>
      </c>
    </row>
    <row r="4413">
      <c r="A4413" s="12" t="inlineStr">
        <is>
          <t>I-I-0055</t>
        </is>
      </c>
      <c r="B4413" s="12" t="inlineStr">
        <is>
          <t>I</t>
        </is>
      </c>
      <c r="C4413" s="12" t="inlineStr">
        <is>
          <t>Modular / portable power</t>
        </is>
      </c>
      <c r="D4413" s="12" t="inlineStr">
        <is>
          <t>Analog instrument to JB JB-FC-10-AI01: 10 x 1 pr (field cables)</t>
        </is>
      </c>
      <c r="E4413" s="12" t="inlineStr">
        <is>
          <t>FC-10</t>
        </is>
      </c>
      <c r="F4413" s="12" t="inlineStr">
        <is>
          <t>FC-10: SOFC module (Bloom ES5 class, 200-300 kW)</t>
        </is>
      </c>
      <c r="G4413" s="12" t="inlineStr">
        <is>
          <t>JB-FC-10-AI01</t>
        </is>
      </c>
      <c r="H4413" s="12" t="inlineStr">
        <is>
          <t>FC-10: SOFC module (Bloom ES5 class, 200-300 kW)</t>
        </is>
      </c>
      <c r="I4413" s="12" t="inlineStr">
        <is>
          <t>Instrumentation</t>
        </is>
      </c>
      <c r="J4413" s="12" t="inlineStr">
        <is>
          <t>Instrumentation PLTC / TC-ER 300 V, #18 twisted shielded pairs, overall shield</t>
        </is>
      </c>
      <c r="K4413" s="12" t="inlineStr">
        <is>
          <t>PLTC|1 pr|16</t>
        </is>
      </c>
      <c r="L4413" s="12" t="inlineStr">
        <is>
          <t>1 pr</t>
        </is>
      </c>
      <c r="M4413" s="12" t="inlineStr">
        <is>
          <t>16</t>
        </is>
      </c>
      <c r="N4413" s="12" t="n">
        <v>10</v>
      </c>
      <c r="O4413" s="12" t="n">
        <v>1</v>
      </c>
      <c r="P4413" s="12" t="n"/>
      <c r="Q4413" s="12" t="n"/>
      <c r="R4413" s="12" t="n"/>
      <c r="S4413" s="12" t="inlineStr">
        <is>
          <t>Tray / conduit</t>
        </is>
      </c>
      <c r="T4413" s="16" t="n">
        <v>45</v>
      </c>
      <c r="U4413" s="16" t="n">
        <v>10</v>
      </c>
      <c r="V4413" s="16">
        <f>ROUNDUP((T4413+U4413+2*'Read Me'!$B$13)*(1+'Read Me'!$B$12),-1)</f>
        <v/>
      </c>
      <c r="W4413" s="16">
        <f>V4413*N4413*O4413</f>
        <v/>
      </c>
      <c r="X4413" s="12">
        <f>IF(LEFT(I4413,2)="MV",2*N4413*IF(L4413="1/C",O4413,1),0)</f>
        <v/>
      </c>
      <c r="Y4413" s="12">
        <f>IF(OR(LEFT(K4413,4)="LVAX",LEFT(K4413,6)="MV15AX",LEFT(K4413,4)="CTAX",LEFT(K4413,2)="W|"),2*N4413*O4413,0)</f>
        <v/>
      </c>
      <c r="Z4413" s="12" t="inlineStr">
        <is>
          <t>device-to-JB field wiring, one cable per device</t>
        </is>
      </c>
      <c r="AA4413" s="12">
        <f>N4413*O4413</f>
        <v/>
      </c>
    </row>
    <row r="4414">
      <c r="A4414" s="12" t="inlineStr">
        <is>
          <t>I-I-0056</t>
        </is>
      </c>
      <c r="B4414" s="12" t="inlineStr">
        <is>
          <t>I</t>
        </is>
      </c>
      <c r="C4414" s="12" t="inlineStr">
        <is>
          <t>Modular / portable power</t>
        </is>
      </c>
      <c r="D4414" s="12" t="inlineStr">
        <is>
          <t>Home run JB-FC-10-AI01 to the control / marshalling room</t>
        </is>
      </c>
      <c r="E4414" s="12" t="inlineStr">
        <is>
          <t>PAD-EH</t>
        </is>
      </c>
      <c r="F4414" s="12" t="inlineStr">
        <is>
          <t>PAD-EH 13.8 kV switchgear e-house</t>
        </is>
      </c>
      <c r="G4414" s="12" t="inlineStr">
        <is>
          <t>JB-FC-10-AI01</t>
        </is>
      </c>
      <c r="H4414" s="12" t="inlineStr">
        <is>
          <t>FC-10: SOFC module (Bloom ES5 class, 200-300 kW)</t>
        </is>
      </c>
      <c r="I4414" s="12" t="inlineStr">
        <is>
          <t>Instrumentation</t>
        </is>
      </c>
      <c r="J4414" s="12" t="inlineStr">
        <is>
          <t>Instrumentation PLTC / TC-ER 300 V, #18 twisted shielded pairs, overall shield</t>
        </is>
      </c>
      <c r="K4414" s="12" t="inlineStr">
        <is>
          <t>PLTC|24 pr|18</t>
        </is>
      </c>
      <c r="L4414" s="12" t="inlineStr">
        <is>
          <t>24 pr</t>
        </is>
      </c>
      <c r="M4414" s="12" t="inlineStr">
        <is>
          <t>18</t>
        </is>
      </c>
      <c r="N4414" s="12" t="n">
        <v>1</v>
      </c>
      <c r="O4414" s="12" t="n">
        <v>1</v>
      </c>
      <c r="P4414" s="12" t="n"/>
      <c r="Q4414" s="12" t="n"/>
      <c r="R4414" s="12" t="n"/>
      <c r="S4414" s="12" t="inlineStr">
        <is>
          <t>Duct bank</t>
        </is>
      </c>
      <c r="T4414" s="16" t="n">
        <v>286</v>
      </c>
      <c r="U4414" s="16" t="n">
        <v>50</v>
      </c>
      <c r="V4414" s="16">
        <f>ROUNDUP((T4414+U4414+2*'Read Me'!$B$13)*(1+'Read Me'!$B$12),-1)</f>
        <v/>
      </c>
      <c r="W4414" s="16">
        <f>V4414*N4414*O4414</f>
        <v/>
      </c>
      <c r="X4414" s="12">
        <f>IF(LEFT(I4414,2)="MV",2*N4414*IF(L4414="1/C",O4414,1),0)</f>
        <v/>
      </c>
      <c r="Y4414" s="12">
        <f>IF(OR(LEFT(K4414,4)="LVAX",LEFT(K4414,6)="MV15AX",LEFT(K4414,4)="CTAX",LEFT(K4414,2)="W|"),2*N4414*O4414,0)</f>
        <v/>
      </c>
      <c r="Z4414" s="12" t="inlineStr"/>
      <c r="AA4414" s="12">
        <f>N4414*O4414</f>
        <v/>
      </c>
    </row>
    <row r="4415">
      <c r="A4415" s="12" t="inlineStr">
        <is>
          <t>I-I-0057</t>
        </is>
      </c>
      <c r="B4415" s="12" t="inlineStr">
        <is>
          <t>I</t>
        </is>
      </c>
      <c r="C4415" s="12" t="inlineStr">
        <is>
          <t>Modular / portable power</t>
        </is>
      </c>
      <c r="D4415" s="12" t="inlineStr">
        <is>
          <t>Discrete device to JB JB-FC-10-DI01: 10 x 1 pr (field cables)</t>
        </is>
      </c>
      <c r="E4415" s="12" t="inlineStr">
        <is>
          <t>FC-10</t>
        </is>
      </c>
      <c r="F4415" s="12" t="inlineStr">
        <is>
          <t>FC-10: SOFC module (Bloom ES5 class, 200-300 kW)</t>
        </is>
      </c>
      <c r="G4415" s="12" t="inlineStr">
        <is>
          <t>JB-FC-10-DI01</t>
        </is>
      </c>
      <c r="H4415" s="12" t="inlineStr">
        <is>
          <t>FC-10: SOFC module (Bloom ES5 class, 200-300 kW)</t>
        </is>
      </c>
      <c r="I4415" s="12" t="inlineStr">
        <is>
          <t>Instrumentation</t>
        </is>
      </c>
      <c r="J4415" s="12" t="inlineStr">
        <is>
          <t>Instrumentation PLTC / TC-ER 300 V, #18 twisted shielded pairs, overall shield</t>
        </is>
      </c>
      <c r="K4415" s="12" t="inlineStr">
        <is>
          <t>PLTC|1 pr|16</t>
        </is>
      </c>
      <c r="L4415" s="12" t="inlineStr">
        <is>
          <t>1 pr</t>
        </is>
      </c>
      <c r="M4415" s="12" t="inlineStr">
        <is>
          <t>16</t>
        </is>
      </c>
      <c r="N4415" s="12" t="n">
        <v>10</v>
      </c>
      <c r="O4415" s="12" t="n">
        <v>1</v>
      </c>
      <c r="P4415" s="12" t="n"/>
      <c r="Q4415" s="12" t="n"/>
      <c r="R4415" s="12" t="n"/>
      <c r="S4415" s="12" t="inlineStr">
        <is>
          <t>Tray / conduit</t>
        </is>
      </c>
      <c r="T4415" s="16" t="n">
        <v>45</v>
      </c>
      <c r="U4415" s="16" t="n">
        <v>10</v>
      </c>
      <c r="V4415" s="16">
        <f>ROUNDUP((T4415+U4415+2*'Read Me'!$B$13)*(1+'Read Me'!$B$12),-1)</f>
        <v/>
      </c>
      <c r="W4415" s="16">
        <f>V4415*N4415*O4415</f>
        <v/>
      </c>
      <c r="X4415" s="12">
        <f>IF(LEFT(I4415,2)="MV",2*N4415*IF(L4415="1/C",O4415,1),0)</f>
        <v/>
      </c>
      <c r="Y4415" s="12">
        <f>IF(OR(LEFT(K4415,4)="LVAX",LEFT(K4415,6)="MV15AX",LEFT(K4415,4)="CTAX",LEFT(K4415,2)="W|"),2*N4415*O4415,0)</f>
        <v/>
      </c>
      <c r="Z4415" s="12" t="inlineStr">
        <is>
          <t>device-to-JB field wiring, one cable per device</t>
        </is>
      </c>
      <c r="AA4415" s="12">
        <f>N4415*O4415</f>
        <v/>
      </c>
    </row>
    <row r="4416">
      <c r="A4416" s="12" t="inlineStr">
        <is>
          <t>I-I-0058</t>
        </is>
      </c>
      <c r="B4416" s="12" t="inlineStr">
        <is>
          <t>I</t>
        </is>
      </c>
      <c r="C4416" s="12" t="inlineStr">
        <is>
          <t>Modular / portable power</t>
        </is>
      </c>
      <c r="D4416" s="12" t="inlineStr">
        <is>
          <t>Home run JB-FC-10-DI01 to the control / marshalling room</t>
        </is>
      </c>
      <c r="E4416" s="12" t="inlineStr">
        <is>
          <t>PAD-EH</t>
        </is>
      </c>
      <c r="F4416" s="12" t="inlineStr">
        <is>
          <t>PAD-EH 13.8 kV switchgear e-house</t>
        </is>
      </c>
      <c r="G4416" s="12" t="inlineStr">
        <is>
          <t>JB-FC-10-DI01</t>
        </is>
      </c>
      <c r="H4416" s="12" t="inlineStr">
        <is>
          <t>FC-10: SOFC module (Bloom ES5 class, 200-300 kW)</t>
        </is>
      </c>
      <c r="I4416" s="12" t="inlineStr">
        <is>
          <t>Instrumentation</t>
        </is>
      </c>
      <c r="J4416" s="12" t="inlineStr">
        <is>
          <t>Instrumentation PLTC / TC-ER 300 V, #18 twisted shielded pairs, overall shield</t>
        </is>
      </c>
      <c r="K4416" s="12" t="inlineStr">
        <is>
          <t>PLTC|24 pr|18</t>
        </is>
      </c>
      <c r="L4416" s="12" t="inlineStr">
        <is>
          <t>24 pr</t>
        </is>
      </c>
      <c r="M4416" s="12" t="inlineStr">
        <is>
          <t>18</t>
        </is>
      </c>
      <c r="N4416" s="12" t="n">
        <v>1</v>
      </c>
      <c r="O4416" s="12" t="n">
        <v>1</v>
      </c>
      <c r="P4416" s="12" t="n"/>
      <c r="Q4416" s="12" t="n"/>
      <c r="R4416" s="12" t="n"/>
      <c r="S4416" s="12" t="inlineStr">
        <is>
          <t>Duct bank</t>
        </is>
      </c>
      <c r="T4416" s="16" t="n">
        <v>286</v>
      </c>
      <c r="U4416" s="16" t="n">
        <v>50</v>
      </c>
      <c r="V4416" s="16">
        <f>ROUNDUP((T4416+U4416+2*'Read Me'!$B$13)*(1+'Read Me'!$B$12),-1)</f>
        <v/>
      </c>
      <c r="W4416" s="16">
        <f>V4416*N4416*O4416</f>
        <v/>
      </c>
      <c r="X4416" s="12">
        <f>IF(LEFT(I4416,2)="MV",2*N4416*IF(L4416="1/C",O4416,1),0)</f>
        <v/>
      </c>
      <c r="Y4416" s="12">
        <f>IF(OR(LEFT(K4416,4)="LVAX",LEFT(K4416,6)="MV15AX",LEFT(K4416,4)="CTAX",LEFT(K4416,2)="W|"),2*N4416*O4416,0)</f>
        <v/>
      </c>
      <c r="Z4416" s="12" t="inlineStr"/>
      <c r="AA4416" s="12">
        <f>N4416*O4416</f>
        <v/>
      </c>
    </row>
    <row r="4417">
      <c r="A4417" s="12" t="inlineStr">
        <is>
          <t>I-I-0059</t>
        </is>
      </c>
      <c r="B4417" s="12" t="inlineStr">
        <is>
          <t>I</t>
        </is>
      </c>
      <c r="C4417" s="12" t="inlineStr">
        <is>
          <t>Modular / portable power</t>
        </is>
      </c>
      <c r="D4417" s="12" t="inlineStr">
        <is>
          <t>Analog instrument to JB JB-FC-11-AI01: 10 x 1 pr (field cables)</t>
        </is>
      </c>
      <c r="E4417" s="12" t="inlineStr">
        <is>
          <t>FC-11</t>
        </is>
      </c>
      <c r="F4417" s="12" t="inlineStr">
        <is>
          <t>FC-11: SOFC module (Bloom ES5 class, 200-300 kW)</t>
        </is>
      </c>
      <c r="G4417" s="12" t="inlineStr">
        <is>
          <t>JB-FC-11-AI01</t>
        </is>
      </c>
      <c r="H4417" s="12" t="inlineStr">
        <is>
          <t>FC-11: SOFC module (Bloom ES5 class, 200-300 kW)</t>
        </is>
      </c>
      <c r="I4417" s="12" t="inlineStr">
        <is>
          <t>Instrumentation</t>
        </is>
      </c>
      <c r="J4417" s="12" t="inlineStr">
        <is>
          <t>Instrumentation PLTC / TC-ER 300 V, #18 twisted shielded pairs, overall shield</t>
        </is>
      </c>
      <c r="K4417" s="12" t="inlineStr">
        <is>
          <t>PLTC|1 pr|16</t>
        </is>
      </c>
      <c r="L4417" s="12" t="inlineStr">
        <is>
          <t>1 pr</t>
        </is>
      </c>
      <c r="M4417" s="12" t="inlineStr">
        <is>
          <t>16</t>
        </is>
      </c>
      <c r="N4417" s="12" t="n">
        <v>10</v>
      </c>
      <c r="O4417" s="12" t="n">
        <v>1</v>
      </c>
      <c r="P4417" s="12" t="n"/>
      <c r="Q4417" s="12" t="n"/>
      <c r="R4417" s="12" t="n"/>
      <c r="S4417" s="12" t="inlineStr">
        <is>
          <t>Tray / conduit</t>
        </is>
      </c>
      <c r="T4417" s="16" t="n">
        <v>45</v>
      </c>
      <c r="U4417" s="16" t="n">
        <v>10</v>
      </c>
      <c r="V4417" s="16">
        <f>ROUNDUP((T4417+U4417+2*'Read Me'!$B$13)*(1+'Read Me'!$B$12),-1)</f>
        <v/>
      </c>
      <c r="W4417" s="16">
        <f>V4417*N4417*O4417</f>
        <v/>
      </c>
      <c r="X4417" s="12">
        <f>IF(LEFT(I4417,2)="MV",2*N4417*IF(L4417="1/C",O4417,1),0)</f>
        <v/>
      </c>
      <c r="Y4417" s="12">
        <f>IF(OR(LEFT(K4417,4)="LVAX",LEFT(K4417,6)="MV15AX",LEFT(K4417,4)="CTAX",LEFT(K4417,2)="W|"),2*N4417*O4417,0)</f>
        <v/>
      </c>
      <c r="Z4417" s="12" t="inlineStr">
        <is>
          <t>device-to-JB field wiring, one cable per device</t>
        </is>
      </c>
      <c r="AA4417" s="12">
        <f>N4417*O4417</f>
        <v/>
      </c>
    </row>
    <row r="4418">
      <c r="A4418" s="12" t="inlineStr">
        <is>
          <t>I-I-0060</t>
        </is>
      </c>
      <c r="B4418" s="12" t="inlineStr">
        <is>
          <t>I</t>
        </is>
      </c>
      <c r="C4418" s="12" t="inlineStr">
        <is>
          <t>Modular / portable power</t>
        </is>
      </c>
      <c r="D4418" s="12" t="inlineStr">
        <is>
          <t>Home run JB-FC-11-AI01 to the control / marshalling room</t>
        </is>
      </c>
      <c r="E4418" s="12" t="inlineStr">
        <is>
          <t>PAD-EH</t>
        </is>
      </c>
      <c r="F4418" s="12" t="inlineStr">
        <is>
          <t>PAD-EH 13.8 kV switchgear e-house</t>
        </is>
      </c>
      <c r="G4418" s="12" t="inlineStr">
        <is>
          <t>JB-FC-11-AI01</t>
        </is>
      </c>
      <c r="H4418" s="12" t="inlineStr">
        <is>
          <t>FC-11: SOFC module (Bloom ES5 class, 200-300 kW)</t>
        </is>
      </c>
      <c r="I4418" s="12" t="inlineStr">
        <is>
          <t>Instrumentation</t>
        </is>
      </c>
      <c r="J4418" s="12" t="inlineStr">
        <is>
          <t>Instrumentation PLTC / TC-ER 300 V, #18 twisted shielded pairs, overall shield</t>
        </is>
      </c>
      <c r="K4418" s="12" t="inlineStr">
        <is>
          <t>PLTC|24 pr|18</t>
        </is>
      </c>
      <c r="L4418" s="12" t="inlineStr">
        <is>
          <t>24 pr</t>
        </is>
      </c>
      <c r="M4418" s="12" t="inlineStr">
        <is>
          <t>18</t>
        </is>
      </c>
      <c r="N4418" s="12" t="n">
        <v>1</v>
      </c>
      <c r="O4418" s="12" t="n">
        <v>1</v>
      </c>
      <c r="P4418" s="12" t="n"/>
      <c r="Q4418" s="12" t="n"/>
      <c r="R4418" s="12" t="n"/>
      <c r="S4418" s="12" t="inlineStr">
        <is>
          <t>Duct bank</t>
        </is>
      </c>
      <c r="T4418" s="16" t="n">
        <v>272</v>
      </c>
      <c r="U4418" s="16" t="n">
        <v>50</v>
      </c>
      <c r="V4418" s="16">
        <f>ROUNDUP((T4418+U4418+2*'Read Me'!$B$13)*(1+'Read Me'!$B$12),-1)</f>
        <v/>
      </c>
      <c r="W4418" s="16">
        <f>V4418*N4418*O4418</f>
        <v/>
      </c>
      <c r="X4418" s="12">
        <f>IF(LEFT(I4418,2)="MV",2*N4418*IF(L4418="1/C",O4418,1),0)</f>
        <v/>
      </c>
      <c r="Y4418" s="12">
        <f>IF(OR(LEFT(K4418,4)="LVAX",LEFT(K4418,6)="MV15AX",LEFT(K4418,4)="CTAX",LEFT(K4418,2)="W|"),2*N4418*O4418,0)</f>
        <v/>
      </c>
      <c r="Z4418" s="12" t="inlineStr"/>
      <c r="AA4418" s="12">
        <f>N4418*O4418</f>
        <v/>
      </c>
    </row>
    <row r="4419">
      <c r="A4419" s="12" t="inlineStr">
        <is>
          <t>I-I-0061</t>
        </is>
      </c>
      <c r="B4419" s="12" t="inlineStr">
        <is>
          <t>I</t>
        </is>
      </c>
      <c r="C4419" s="12" t="inlineStr">
        <is>
          <t>Modular / portable power</t>
        </is>
      </c>
      <c r="D4419" s="12" t="inlineStr">
        <is>
          <t>Discrete device to JB JB-FC-11-DI01: 10 x 1 pr (field cables)</t>
        </is>
      </c>
      <c r="E4419" s="12" t="inlineStr">
        <is>
          <t>FC-11</t>
        </is>
      </c>
      <c r="F4419" s="12" t="inlineStr">
        <is>
          <t>FC-11: SOFC module (Bloom ES5 class, 200-300 kW)</t>
        </is>
      </c>
      <c r="G4419" s="12" t="inlineStr">
        <is>
          <t>JB-FC-11-DI01</t>
        </is>
      </c>
      <c r="H4419" s="12" t="inlineStr">
        <is>
          <t>FC-11: SOFC module (Bloom ES5 class, 200-300 kW)</t>
        </is>
      </c>
      <c r="I4419" s="12" t="inlineStr">
        <is>
          <t>Instrumentation</t>
        </is>
      </c>
      <c r="J4419" s="12" t="inlineStr">
        <is>
          <t>Instrumentation PLTC / TC-ER 300 V, #18 twisted shielded pairs, overall shield</t>
        </is>
      </c>
      <c r="K4419" s="12" t="inlineStr">
        <is>
          <t>PLTC|1 pr|16</t>
        </is>
      </c>
      <c r="L4419" s="12" t="inlineStr">
        <is>
          <t>1 pr</t>
        </is>
      </c>
      <c r="M4419" s="12" t="inlineStr">
        <is>
          <t>16</t>
        </is>
      </c>
      <c r="N4419" s="12" t="n">
        <v>10</v>
      </c>
      <c r="O4419" s="12" t="n">
        <v>1</v>
      </c>
      <c r="P4419" s="12" t="n"/>
      <c r="Q4419" s="12" t="n"/>
      <c r="R4419" s="12" t="n"/>
      <c r="S4419" s="12" t="inlineStr">
        <is>
          <t>Tray / conduit</t>
        </is>
      </c>
      <c r="T4419" s="16" t="n">
        <v>45</v>
      </c>
      <c r="U4419" s="16" t="n">
        <v>10</v>
      </c>
      <c r="V4419" s="16">
        <f>ROUNDUP((T4419+U4419+2*'Read Me'!$B$13)*(1+'Read Me'!$B$12),-1)</f>
        <v/>
      </c>
      <c r="W4419" s="16">
        <f>V4419*N4419*O4419</f>
        <v/>
      </c>
      <c r="X4419" s="12">
        <f>IF(LEFT(I4419,2)="MV",2*N4419*IF(L4419="1/C",O4419,1),0)</f>
        <v/>
      </c>
      <c r="Y4419" s="12">
        <f>IF(OR(LEFT(K4419,4)="LVAX",LEFT(K4419,6)="MV15AX",LEFT(K4419,4)="CTAX",LEFT(K4419,2)="W|"),2*N4419*O4419,0)</f>
        <v/>
      </c>
      <c r="Z4419" s="12" t="inlineStr">
        <is>
          <t>device-to-JB field wiring, one cable per device</t>
        </is>
      </c>
      <c r="AA4419" s="12">
        <f>N4419*O4419</f>
        <v/>
      </c>
    </row>
    <row r="4420">
      <c r="A4420" s="12" t="inlineStr">
        <is>
          <t>I-I-0062</t>
        </is>
      </c>
      <c r="B4420" s="12" t="inlineStr">
        <is>
          <t>I</t>
        </is>
      </c>
      <c r="C4420" s="12" t="inlineStr">
        <is>
          <t>Modular / portable power</t>
        </is>
      </c>
      <c r="D4420" s="12" t="inlineStr">
        <is>
          <t>Home run JB-FC-11-DI01 to the control / marshalling room</t>
        </is>
      </c>
      <c r="E4420" s="12" t="inlineStr">
        <is>
          <t>PAD-EH</t>
        </is>
      </c>
      <c r="F4420" s="12" t="inlineStr">
        <is>
          <t>PAD-EH 13.8 kV switchgear e-house</t>
        </is>
      </c>
      <c r="G4420" s="12" t="inlineStr">
        <is>
          <t>JB-FC-11-DI01</t>
        </is>
      </c>
      <c r="H4420" s="12" t="inlineStr">
        <is>
          <t>FC-11: SOFC module (Bloom ES5 class, 200-300 kW)</t>
        </is>
      </c>
      <c r="I4420" s="12" t="inlineStr">
        <is>
          <t>Instrumentation</t>
        </is>
      </c>
      <c r="J4420" s="12" t="inlineStr">
        <is>
          <t>Instrumentation PLTC / TC-ER 300 V, #18 twisted shielded pairs, overall shield</t>
        </is>
      </c>
      <c r="K4420" s="12" t="inlineStr">
        <is>
          <t>PLTC|24 pr|18</t>
        </is>
      </c>
      <c r="L4420" s="12" t="inlineStr">
        <is>
          <t>24 pr</t>
        </is>
      </c>
      <c r="M4420" s="12" t="inlineStr">
        <is>
          <t>18</t>
        </is>
      </c>
      <c r="N4420" s="12" t="n">
        <v>1</v>
      </c>
      <c r="O4420" s="12" t="n">
        <v>1</v>
      </c>
      <c r="P4420" s="12" t="n"/>
      <c r="Q4420" s="12" t="n"/>
      <c r="R4420" s="12" t="n"/>
      <c r="S4420" s="12" t="inlineStr">
        <is>
          <t>Duct bank</t>
        </is>
      </c>
      <c r="T4420" s="16" t="n">
        <v>272</v>
      </c>
      <c r="U4420" s="16" t="n">
        <v>50</v>
      </c>
      <c r="V4420" s="16">
        <f>ROUNDUP((T4420+U4420+2*'Read Me'!$B$13)*(1+'Read Me'!$B$12),-1)</f>
        <v/>
      </c>
      <c r="W4420" s="16">
        <f>V4420*N4420*O4420</f>
        <v/>
      </c>
      <c r="X4420" s="12">
        <f>IF(LEFT(I4420,2)="MV",2*N4420*IF(L4420="1/C",O4420,1),0)</f>
        <v/>
      </c>
      <c r="Y4420" s="12">
        <f>IF(OR(LEFT(K4420,4)="LVAX",LEFT(K4420,6)="MV15AX",LEFT(K4420,4)="CTAX",LEFT(K4420,2)="W|"),2*N4420*O4420,0)</f>
        <v/>
      </c>
      <c r="Z4420" s="12" t="inlineStr"/>
      <c r="AA4420" s="12">
        <f>N4420*O4420</f>
        <v/>
      </c>
    </row>
    <row r="4421">
      <c r="A4421" s="12" t="inlineStr">
        <is>
          <t>I-I-0063</t>
        </is>
      </c>
      <c r="B4421" s="12" t="inlineStr">
        <is>
          <t>I</t>
        </is>
      </c>
      <c r="C4421" s="12" t="inlineStr">
        <is>
          <t>Modular / portable power</t>
        </is>
      </c>
      <c r="D4421" s="12" t="inlineStr">
        <is>
          <t>Analog instrument to JB JB-FC-12-AI01: 10 x 1 pr (field cables)</t>
        </is>
      </c>
      <c r="E4421" s="12" t="inlineStr">
        <is>
          <t>FC-12</t>
        </is>
      </c>
      <c r="F4421" s="12" t="inlineStr">
        <is>
          <t>FC-12: SOFC module (Bloom ES5 class, 200-300 kW)</t>
        </is>
      </c>
      <c r="G4421" s="12" t="inlineStr">
        <is>
          <t>JB-FC-12-AI01</t>
        </is>
      </c>
      <c r="H4421" s="12" t="inlineStr">
        <is>
          <t>FC-12: SOFC module (Bloom ES5 class, 200-300 kW)</t>
        </is>
      </c>
      <c r="I4421" s="12" t="inlineStr">
        <is>
          <t>Instrumentation</t>
        </is>
      </c>
      <c r="J4421" s="12" t="inlineStr">
        <is>
          <t>Instrumentation PLTC / TC-ER 300 V, #18 twisted shielded pairs, overall shield</t>
        </is>
      </c>
      <c r="K4421" s="12" t="inlineStr">
        <is>
          <t>PLTC|1 pr|16</t>
        </is>
      </c>
      <c r="L4421" s="12" t="inlineStr">
        <is>
          <t>1 pr</t>
        </is>
      </c>
      <c r="M4421" s="12" t="inlineStr">
        <is>
          <t>16</t>
        </is>
      </c>
      <c r="N4421" s="12" t="n">
        <v>10</v>
      </c>
      <c r="O4421" s="12" t="n">
        <v>1</v>
      </c>
      <c r="P4421" s="12" t="n"/>
      <c r="Q4421" s="12" t="n"/>
      <c r="R4421" s="12" t="n"/>
      <c r="S4421" s="12" t="inlineStr">
        <is>
          <t>Tray / conduit</t>
        </is>
      </c>
      <c r="T4421" s="16" t="n">
        <v>45</v>
      </c>
      <c r="U4421" s="16" t="n">
        <v>10</v>
      </c>
      <c r="V4421" s="16">
        <f>ROUNDUP((T4421+U4421+2*'Read Me'!$B$13)*(1+'Read Me'!$B$12),-1)</f>
        <v/>
      </c>
      <c r="W4421" s="16">
        <f>V4421*N4421*O4421</f>
        <v/>
      </c>
      <c r="X4421" s="12">
        <f>IF(LEFT(I4421,2)="MV",2*N4421*IF(L4421="1/C",O4421,1),0)</f>
        <v/>
      </c>
      <c r="Y4421" s="12">
        <f>IF(OR(LEFT(K4421,4)="LVAX",LEFT(K4421,6)="MV15AX",LEFT(K4421,4)="CTAX",LEFT(K4421,2)="W|"),2*N4421*O4421,0)</f>
        <v/>
      </c>
      <c r="Z4421" s="12" t="inlineStr">
        <is>
          <t>device-to-JB field wiring, one cable per device</t>
        </is>
      </c>
      <c r="AA4421" s="12">
        <f>N4421*O4421</f>
        <v/>
      </c>
    </row>
    <row r="4422">
      <c r="A4422" s="12" t="inlineStr">
        <is>
          <t>I-I-0064</t>
        </is>
      </c>
      <c r="B4422" s="12" t="inlineStr">
        <is>
          <t>I</t>
        </is>
      </c>
      <c r="C4422" s="12" t="inlineStr">
        <is>
          <t>Modular / portable power</t>
        </is>
      </c>
      <c r="D4422" s="12" t="inlineStr">
        <is>
          <t>Home run JB-FC-12-AI01 to the control / marshalling room</t>
        </is>
      </c>
      <c r="E4422" s="12" t="inlineStr">
        <is>
          <t>PAD-EH</t>
        </is>
      </c>
      <c r="F4422" s="12" t="inlineStr">
        <is>
          <t>PAD-EH 13.8 kV switchgear e-house</t>
        </is>
      </c>
      <c r="G4422" s="12" t="inlineStr">
        <is>
          <t>JB-FC-12-AI01</t>
        </is>
      </c>
      <c r="H4422" s="12" t="inlineStr">
        <is>
          <t>FC-12: SOFC module (Bloom ES5 class, 200-300 kW)</t>
        </is>
      </c>
      <c r="I4422" s="12" t="inlineStr">
        <is>
          <t>Instrumentation</t>
        </is>
      </c>
      <c r="J4422" s="12" t="inlineStr">
        <is>
          <t>Instrumentation PLTC / TC-ER 300 V, #18 twisted shielded pairs, overall shield</t>
        </is>
      </c>
      <c r="K4422" s="12" t="inlineStr">
        <is>
          <t>PLTC|24 pr|18</t>
        </is>
      </c>
      <c r="L4422" s="12" t="inlineStr">
        <is>
          <t>24 pr</t>
        </is>
      </c>
      <c r="M4422" s="12" t="inlineStr">
        <is>
          <t>18</t>
        </is>
      </c>
      <c r="N4422" s="12" t="n">
        <v>1</v>
      </c>
      <c r="O4422" s="12" t="n">
        <v>1</v>
      </c>
      <c r="P4422" s="12" t="n"/>
      <c r="Q4422" s="12" t="n"/>
      <c r="R4422" s="12" t="n"/>
      <c r="S4422" s="12" t="inlineStr">
        <is>
          <t>Duct bank</t>
        </is>
      </c>
      <c r="T4422" s="16" t="n">
        <v>272</v>
      </c>
      <c r="U4422" s="16" t="n">
        <v>41</v>
      </c>
      <c r="V4422" s="16">
        <f>ROUNDUP((T4422+U4422+2*'Read Me'!$B$13)*(1+'Read Me'!$B$12),-1)</f>
        <v/>
      </c>
      <c r="W4422" s="16">
        <f>V4422*N4422*O4422</f>
        <v/>
      </c>
      <c r="X4422" s="12">
        <f>IF(LEFT(I4422,2)="MV",2*N4422*IF(L4422="1/C",O4422,1),0)</f>
        <v/>
      </c>
      <c r="Y4422" s="12">
        <f>IF(OR(LEFT(K4422,4)="LVAX",LEFT(K4422,6)="MV15AX",LEFT(K4422,4)="CTAX",LEFT(K4422,2)="W|"),2*N4422*O4422,0)</f>
        <v/>
      </c>
      <c r="Z4422" s="12" t="inlineStr"/>
      <c r="AA4422" s="12">
        <f>N4422*O4422</f>
        <v/>
      </c>
    </row>
    <row r="4423">
      <c r="A4423" s="12" t="inlineStr">
        <is>
          <t>I-I-0065</t>
        </is>
      </c>
      <c r="B4423" s="12" t="inlineStr">
        <is>
          <t>I</t>
        </is>
      </c>
      <c r="C4423" s="12" t="inlineStr">
        <is>
          <t>Modular / portable power</t>
        </is>
      </c>
      <c r="D4423" s="12" t="inlineStr">
        <is>
          <t>Discrete device to JB JB-FC-12-DI01: 10 x 1 pr (field cables)</t>
        </is>
      </c>
      <c r="E4423" s="12" t="inlineStr">
        <is>
          <t>FC-12</t>
        </is>
      </c>
      <c r="F4423" s="12" t="inlineStr">
        <is>
          <t>FC-12: SOFC module (Bloom ES5 class, 200-300 kW)</t>
        </is>
      </c>
      <c r="G4423" s="12" t="inlineStr">
        <is>
          <t>JB-FC-12-DI01</t>
        </is>
      </c>
      <c r="H4423" s="12" t="inlineStr">
        <is>
          <t>FC-12: SOFC module (Bloom ES5 class, 200-300 kW)</t>
        </is>
      </c>
      <c r="I4423" s="12" t="inlineStr">
        <is>
          <t>Instrumentation</t>
        </is>
      </c>
      <c r="J4423" s="12" t="inlineStr">
        <is>
          <t>Instrumentation PLTC / TC-ER 300 V, #18 twisted shielded pairs, overall shield</t>
        </is>
      </c>
      <c r="K4423" s="12" t="inlineStr">
        <is>
          <t>PLTC|1 pr|16</t>
        </is>
      </c>
      <c r="L4423" s="12" t="inlineStr">
        <is>
          <t>1 pr</t>
        </is>
      </c>
      <c r="M4423" s="12" t="inlineStr">
        <is>
          <t>16</t>
        </is>
      </c>
      <c r="N4423" s="12" t="n">
        <v>10</v>
      </c>
      <c r="O4423" s="12" t="n">
        <v>1</v>
      </c>
      <c r="P4423" s="12" t="n"/>
      <c r="Q4423" s="12" t="n"/>
      <c r="R4423" s="12" t="n"/>
      <c r="S4423" s="12" t="inlineStr">
        <is>
          <t>Tray / conduit</t>
        </is>
      </c>
      <c r="T4423" s="16" t="n">
        <v>45</v>
      </c>
      <c r="U4423" s="16" t="n">
        <v>10</v>
      </c>
      <c r="V4423" s="16">
        <f>ROUNDUP((T4423+U4423+2*'Read Me'!$B$13)*(1+'Read Me'!$B$12),-1)</f>
        <v/>
      </c>
      <c r="W4423" s="16">
        <f>V4423*N4423*O4423</f>
        <v/>
      </c>
      <c r="X4423" s="12">
        <f>IF(LEFT(I4423,2)="MV",2*N4423*IF(L4423="1/C",O4423,1),0)</f>
        <v/>
      </c>
      <c r="Y4423" s="12">
        <f>IF(OR(LEFT(K4423,4)="LVAX",LEFT(K4423,6)="MV15AX",LEFT(K4423,4)="CTAX",LEFT(K4423,2)="W|"),2*N4423*O4423,0)</f>
        <v/>
      </c>
      <c r="Z4423" s="12" t="inlineStr">
        <is>
          <t>device-to-JB field wiring, one cable per device</t>
        </is>
      </c>
      <c r="AA4423" s="12">
        <f>N4423*O4423</f>
        <v/>
      </c>
    </row>
    <row r="4424">
      <c r="A4424" s="12" t="inlineStr">
        <is>
          <t>I-I-0066</t>
        </is>
      </c>
      <c r="B4424" s="12" t="inlineStr">
        <is>
          <t>I</t>
        </is>
      </c>
      <c r="C4424" s="12" t="inlineStr">
        <is>
          <t>Modular / portable power</t>
        </is>
      </c>
      <c r="D4424" s="12" t="inlineStr">
        <is>
          <t>Home run JB-FC-12-DI01 to the control / marshalling room</t>
        </is>
      </c>
      <c r="E4424" s="12" t="inlineStr">
        <is>
          <t>PAD-EH</t>
        </is>
      </c>
      <c r="F4424" s="12" t="inlineStr">
        <is>
          <t>PAD-EH 13.8 kV switchgear e-house</t>
        </is>
      </c>
      <c r="G4424" s="12" t="inlineStr">
        <is>
          <t>JB-FC-12-DI01</t>
        </is>
      </c>
      <c r="H4424" s="12" t="inlineStr">
        <is>
          <t>FC-12: SOFC module (Bloom ES5 class, 200-300 kW)</t>
        </is>
      </c>
      <c r="I4424" s="12" t="inlineStr">
        <is>
          <t>Instrumentation</t>
        </is>
      </c>
      <c r="J4424" s="12" t="inlineStr">
        <is>
          <t>Instrumentation PLTC / TC-ER 300 V, #18 twisted shielded pairs, overall shield</t>
        </is>
      </c>
      <c r="K4424" s="12" t="inlineStr">
        <is>
          <t>PLTC|24 pr|18</t>
        </is>
      </c>
      <c r="L4424" s="12" t="inlineStr">
        <is>
          <t>24 pr</t>
        </is>
      </c>
      <c r="M4424" s="12" t="inlineStr">
        <is>
          <t>18</t>
        </is>
      </c>
      <c r="N4424" s="12" t="n">
        <v>1</v>
      </c>
      <c r="O4424" s="12" t="n">
        <v>1</v>
      </c>
      <c r="P4424" s="12" t="n"/>
      <c r="Q4424" s="12" t="n"/>
      <c r="R4424" s="12" t="n"/>
      <c r="S4424" s="12" t="inlineStr">
        <is>
          <t>Duct bank</t>
        </is>
      </c>
      <c r="T4424" s="16" t="n">
        <v>272</v>
      </c>
      <c r="U4424" s="16" t="n">
        <v>41</v>
      </c>
      <c r="V4424" s="16">
        <f>ROUNDUP((T4424+U4424+2*'Read Me'!$B$13)*(1+'Read Me'!$B$12),-1)</f>
        <v/>
      </c>
      <c r="W4424" s="16">
        <f>V4424*N4424*O4424</f>
        <v/>
      </c>
      <c r="X4424" s="12">
        <f>IF(LEFT(I4424,2)="MV",2*N4424*IF(L4424="1/C",O4424,1),0)</f>
        <v/>
      </c>
      <c r="Y4424" s="12">
        <f>IF(OR(LEFT(K4424,4)="LVAX",LEFT(K4424,6)="MV15AX",LEFT(K4424,4)="CTAX",LEFT(K4424,2)="W|"),2*N4424*O4424,0)</f>
        <v/>
      </c>
      <c r="Z4424" s="12" t="inlineStr"/>
      <c r="AA4424" s="12">
        <f>N4424*O4424</f>
        <v/>
      </c>
    </row>
    <row r="4425">
      <c r="A4425" s="12" t="inlineStr">
        <is>
          <t>I-I-0067</t>
        </is>
      </c>
      <c r="B4425" s="12" t="inlineStr">
        <is>
          <t>I</t>
        </is>
      </c>
      <c r="C4425" s="12" t="inlineStr">
        <is>
          <t>Modular / portable power</t>
        </is>
      </c>
      <c r="D4425" s="12" t="inlineStr">
        <is>
          <t>Analog instrument to JB JB-FC-1: SOFC module -AI01: 10 x 1 pr (field cables)</t>
        </is>
      </c>
      <c r="E4425" s="12" t="inlineStr"/>
      <c r="F4425" s="12" t="inlineStr">
        <is>
          <t>FC-1: SOFC module (Bloom ES5 class, 200-300 kW)</t>
        </is>
      </c>
      <c r="G4425" s="12" t="inlineStr">
        <is>
          <t>JB-FC-1: SOFC module -AI01</t>
        </is>
      </c>
      <c r="H4425" s="12" t="inlineStr">
        <is>
          <t>FC-1: SOFC module (Bloom ES5 class, 200-300 kW)</t>
        </is>
      </c>
      <c r="I4425" s="12" t="inlineStr">
        <is>
          <t>Instrumentation</t>
        </is>
      </c>
      <c r="J4425" s="12" t="inlineStr">
        <is>
          <t>Instrumentation PLTC / TC-ER 300 V, #18 twisted shielded pairs, overall shield</t>
        </is>
      </c>
      <c r="K4425" s="12" t="inlineStr">
        <is>
          <t>PLTC|1 pr|16</t>
        </is>
      </c>
      <c r="L4425" s="12" t="inlineStr">
        <is>
          <t>1 pr</t>
        </is>
      </c>
      <c r="M4425" s="12" t="inlineStr">
        <is>
          <t>16</t>
        </is>
      </c>
      <c r="N4425" s="12" t="n">
        <v>10</v>
      </c>
      <c r="O4425" s="12" t="n">
        <v>1</v>
      </c>
      <c r="P4425" s="12" t="n"/>
      <c r="Q4425" s="12" t="n"/>
      <c r="R4425" s="12" t="n"/>
      <c r="S4425" s="12" t="inlineStr">
        <is>
          <t>Tray / conduit</t>
        </is>
      </c>
      <c r="T4425" s="16" t="n">
        <v>45</v>
      </c>
      <c r="U4425" s="16" t="n">
        <v>10</v>
      </c>
      <c r="V4425" s="16">
        <f>ROUNDUP((T4425+U4425+2*'Read Me'!$B$13)*(1+'Read Me'!$B$12),-1)</f>
        <v/>
      </c>
      <c r="W4425" s="16">
        <f>V4425*N4425*O4425</f>
        <v/>
      </c>
      <c r="X4425" s="12">
        <f>IF(LEFT(I4425,2)="MV",2*N4425*IF(L4425="1/C",O4425,1),0)</f>
        <v/>
      </c>
      <c r="Y4425" s="12">
        <f>IF(OR(LEFT(K4425,4)="LVAX",LEFT(K4425,6)="MV15AX",LEFT(K4425,4)="CTAX",LEFT(K4425,2)="W|"),2*N4425*O4425,0)</f>
        <v/>
      </c>
      <c r="Z4425" s="12" t="inlineStr">
        <is>
          <t>device-to-JB field wiring, one cable per device</t>
        </is>
      </c>
      <c r="AA4425" s="12">
        <f>N4425*O4425</f>
        <v/>
      </c>
    </row>
    <row r="4426">
      <c r="A4426" s="12" t="inlineStr">
        <is>
          <t>I-I-0068</t>
        </is>
      </c>
      <c r="B4426" s="12" t="inlineStr">
        <is>
          <t>I</t>
        </is>
      </c>
      <c r="C4426" s="12" t="inlineStr">
        <is>
          <t>Modular / portable power</t>
        </is>
      </c>
      <c r="D4426" s="12" t="inlineStr">
        <is>
          <t>Home run JB-FC-1: SOFC module -AI01 to the control / marshalling room</t>
        </is>
      </c>
      <c r="E4426" s="12" t="inlineStr"/>
      <c r="F4426" s="12" t="inlineStr">
        <is>
          <t>PCM: power control module</t>
        </is>
      </c>
      <c r="G4426" s="12" t="inlineStr">
        <is>
          <t>JB-FC-1: SOFC module -AI01</t>
        </is>
      </c>
      <c r="H4426" s="12" t="inlineStr">
        <is>
          <t>FC-1: SOFC module (Bloom ES5 class, 200-300 kW)</t>
        </is>
      </c>
      <c r="I4426" s="12" t="inlineStr">
        <is>
          <t>Instrumentation</t>
        </is>
      </c>
      <c r="J4426" s="12" t="inlineStr">
        <is>
          <t>Instrumentation PLTC / TC-ER 300 V, #18 twisted shielded pairs, overall shield</t>
        </is>
      </c>
      <c r="K4426" s="12" t="inlineStr">
        <is>
          <t>PLTC|24 pr|18</t>
        </is>
      </c>
      <c r="L4426" s="12" t="inlineStr">
        <is>
          <t>24 pr</t>
        </is>
      </c>
      <c r="M4426" s="12" t="inlineStr">
        <is>
          <t>18</t>
        </is>
      </c>
      <c r="N4426" s="12" t="n">
        <v>1</v>
      </c>
      <c r="O4426" s="12" t="n">
        <v>1</v>
      </c>
      <c r="P4426" s="12" t="n"/>
      <c r="Q4426" s="12" t="n"/>
      <c r="R4426" s="12" t="n"/>
      <c r="S4426" s="12" t="inlineStr">
        <is>
          <t>Duct bank</t>
        </is>
      </c>
      <c r="T4426" s="16" t="n">
        <v>1048</v>
      </c>
      <c r="U4426" s="16" t="n">
        <v>96</v>
      </c>
      <c r="V4426" s="16">
        <f>ROUNDUP((T4426+U4426+2*'Read Me'!$B$13)*(1+'Read Me'!$B$12),-1)</f>
        <v/>
      </c>
      <c r="W4426" s="16">
        <f>V4426*N4426*O4426</f>
        <v/>
      </c>
      <c r="X4426" s="12">
        <f>IF(LEFT(I4426,2)="MV",2*N4426*IF(L4426="1/C",O4426,1),0)</f>
        <v/>
      </c>
      <c r="Y4426" s="12">
        <f>IF(OR(LEFT(K4426,4)="LVAX",LEFT(K4426,6)="MV15AX",LEFT(K4426,4)="CTAX",LEFT(K4426,2)="W|"),2*N4426*O4426,0)</f>
        <v/>
      </c>
      <c r="Z4426" s="12" t="inlineStr"/>
      <c r="AA4426" s="12">
        <f>N4426*O4426</f>
        <v/>
      </c>
    </row>
    <row r="4427">
      <c r="A4427" s="12" t="inlineStr">
        <is>
          <t>I-I-0069</t>
        </is>
      </c>
      <c r="B4427" s="12" t="inlineStr">
        <is>
          <t>I</t>
        </is>
      </c>
      <c r="C4427" s="12" t="inlineStr">
        <is>
          <t>Modular / portable power</t>
        </is>
      </c>
      <c r="D4427" s="12" t="inlineStr">
        <is>
          <t>Discrete device to JB JB-FC-1: SOFC module -DI01: 10 x 1 pr (field cables)</t>
        </is>
      </c>
      <c r="E4427" s="12" t="inlineStr"/>
      <c r="F4427" s="12" t="inlineStr">
        <is>
          <t>FC-1: SOFC module (Bloom ES5 class, 200-300 kW)</t>
        </is>
      </c>
      <c r="G4427" s="12" t="inlineStr">
        <is>
          <t>JB-FC-1: SOFC module -DI01</t>
        </is>
      </c>
      <c r="H4427" s="12" t="inlineStr">
        <is>
          <t>FC-1: SOFC module (Bloom ES5 class, 200-300 kW)</t>
        </is>
      </c>
      <c r="I4427" s="12" t="inlineStr">
        <is>
          <t>Instrumentation</t>
        </is>
      </c>
      <c r="J4427" s="12" t="inlineStr">
        <is>
          <t>Instrumentation PLTC / TC-ER 300 V, #18 twisted shielded pairs, overall shield</t>
        </is>
      </c>
      <c r="K4427" s="12" t="inlineStr">
        <is>
          <t>PLTC|1 pr|16</t>
        </is>
      </c>
      <c r="L4427" s="12" t="inlineStr">
        <is>
          <t>1 pr</t>
        </is>
      </c>
      <c r="M4427" s="12" t="inlineStr">
        <is>
          <t>16</t>
        </is>
      </c>
      <c r="N4427" s="12" t="n">
        <v>10</v>
      </c>
      <c r="O4427" s="12" t="n">
        <v>1</v>
      </c>
      <c r="P4427" s="12" t="n"/>
      <c r="Q4427" s="12" t="n"/>
      <c r="R4427" s="12" t="n"/>
      <c r="S4427" s="12" t="inlineStr">
        <is>
          <t>Tray / conduit</t>
        </is>
      </c>
      <c r="T4427" s="16" t="n">
        <v>45</v>
      </c>
      <c r="U4427" s="16" t="n">
        <v>10</v>
      </c>
      <c r="V4427" s="16">
        <f>ROUNDUP((T4427+U4427+2*'Read Me'!$B$13)*(1+'Read Me'!$B$12),-1)</f>
        <v/>
      </c>
      <c r="W4427" s="16">
        <f>V4427*N4427*O4427</f>
        <v/>
      </c>
      <c r="X4427" s="12">
        <f>IF(LEFT(I4427,2)="MV",2*N4427*IF(L4427="1/C",O4427,1),0)</f>
        <v/>
      </c>
      <c r="Y4427" s="12">
        <f>IF(OR(LEFT(K4427,4)="LVAX",LEFT(K4427,6)="MV15AX",LEFT(K4427,4)="CTAX",LEFT(K4427,2)="W|"),2*N4427*O4427,0)</f>
        <v/>
      </c>
      <c r="Z4427" s="12" t="inlineStr">
        <is>
          <t>device-to-JB field wiring, one cable per device</t>
        </is>
      </c>
      <c r="AA4427" s="12">
        <f>N4427*O4427</f>
        <v/>
      </c>
    </row>
    <row r="4428">
      <c r="A4428" s="12" t="inlineStr">
        <is>
          <t>I-I-0070</t>
        </is>
      </c>
      <c r="B4428" s="12" t="inlineStr">
        <is>
          <t>I</t>
        </is>
      </c>
      <c r="C4428" s="12" t="inlineStr">
        <is>
          <t>Modular / portable power</t>
        </is>
      </c>
      <c r="D4428" s="12" t="inlineStr">
        <is>
          <t>Home run JB-FC-1: SOFC module -DI01 to the control / marshalling room</t>
        </is>
      </c>
      <c r="E4428" s="12" t="inlineStr"/>
      <c r="F4428" s="12" t="inlineStr">
        <is>
          <t>PCM: power control module</t>
        </is>
      </c>
      <c r="G4428" s="12" t="inlineStr">
        <is>
          <t>JB-FC-1: SOFC module -DI01</t>
        </is>
      </c>
      <c r="H4428" s="12" t="inlineStr">
        <is>
          <t>FC-1: SOFC module (Bloom ES5 class, 200-300 kW)</t>
        </is>
      </c>
      <c r="I4428" s="12" t="inlineStr">
        <is>
          <t>Instrumentation</t>
        </is>
      </c>
      <c r="J4428" s="12" t="inlineStr">
        <is>
          <t>Instrumentation PLTC / TC-ER 300 V, #18 twisted shielded pairs, overall shield</t>
        </is>
      </c>
      <c r="K4428" s="12" t="inlineStr">
        <is>
          <t>PLTC|24 pr|18</t>
        </is>
      </c>
      <c r="L4428" s="12" t="inlineStr">
        <is>
          <t>24 pr</t>
        </is>
      </c>
      <c r="M4428" s="12" t="inlineStr">
        <is>
          <t>18</t>
        </is>
      </c>
      <c r="N4428" s="12" t="n">
        <v>1</v>
      </c>
      <c r="O4428" s="12" t="n">
        <v>1</v>
      </c>
      <c r="P4428" s="12" t="n"/>
      <c r="Q4428" s="12" t="n"/>
      <c r="R4428" s="12" t="n"/>
      <c r="S4428" s="12" t="inlineStr">
        <is>
          <t>Duct bank</t>
        </is>
      </c>
      <c r="T4428" s="16" t="n">
        <v>1048</v>
      </c>
      <c r="U4428" s="16" t="n">
        <v>96</v>
      </c>
      <c r="V4428" s="16">
        <f>ROUNDUP((T4428+U4428+2*'Read Me'!$B$13)*(1+'Read Me'!$B$12),-1)</f>
        <v/>
      </c>
      <c r="W4428" s="16">
        <f>V4428*N4428*O4428</f>
        <v/>
      </c>
      <c r="X4428" s="12">
        <f>IF(LEFT(I4428,2)="MV",2*N4428*IF(L4428="1/C",O4428,1),0)</f>
        <v/>
      </c>
      <c r="Y4428" s="12">
        <f>IF(OR(LEFT(K4428,4)="LVAX",LEFT(K4428,6)="MV15AX",LEFT(K4428,4)="CTAX",LEFT(K4428,2)="W|"),2*N4428*O4428,0)</f>
        <v/>
      </c>
      <c r="Z4428" s="12" t="inlineStr"/>
      <c r="AA4428" s="12">
        <f>N4428*O4428</f>
        <v/>
      </c>
    </row>
    <row r="4429">
      <c r="A4429" s="12" t="inlineStr">
        <is>
          <t>I-I-0071</t>
        </is>
      </c>
      <c r="B4429" s="12" t="inlineStr">
        <is>
          <t>I</t>
        </is>
      </c>
      <c r="C4429" s="12" t="inlineStr">
        <is>
          <t>Modular / portable power</t>
        </is>
      </c>
      <c r="D4429" s="12" t="inlineStr">
        <is>
          <t>Analog instrument to JB JB-FC-2: SOFC module -AI01: 10 x 1 pr (field cables)</t>
        </is>
      </c>
      <c r="E4429" s="12" t="inlineStr"/>
      <c r="F4429" s="12" t="inlineStr">
        <is>
          <t>FC-2: SOFC module (Bloom ES5 class, 200-300 kW)</t>
        </is>
      </c>
      <c r="G4429" s="12" t="inlineStr">
        <is>
          <t>JB-FC-2: SOFC module -AI01</t>
        </is>
      </c>
      <c r="H4429" s="12" t="inlineStr">
        <is>
          <t>FC-2: SOFC module (Bloom ES5 class, 200-300 kW)</t>
        </is>
      </c>
      <c r="I4429" s="12" t="inlineStr">
        <is>
          <t>Instrumentation</t>
        </is>
      </c>
      <c r="J4429" s="12" t="inlineStr">
        <is>
          <t>Instrumentation PLTC / TC-ER 300 V, #18 twisted shielded pairs, overall shield</t>
        </is>
      </c>
      <c r="K4429" s="12" t="inlineStr">
        <is>
          <t>PLTC|1 pr|16</t>
        </is>
      </c>
      <c r="L4429" s="12" t="inlineStr">
        <is>
          <t>1 pr</t>
        </is>
      </c>
      <c r="M4429" s="12" t="inlineStr">
        <is>
          <t>16</t>
        </is>
      </c>
      <c r="N4429" s="12" t="n">
        <v>10</v>
      </c>
      <c r="O4429" s="12" t="n">
        <v>1</v>
      </c>
      <c r="P4429" s="12" t="n"/>
      <c r="Q4429" s="12" t="n"/>
      <c r="R4429" s="12" t="n"/>
      <c r="S4429" s="12" t="inlineStr">
        <is>
          <t>Tray / conduit</t>
        </is>
      </c>
      <c r="T4429" s="16" t="n">
        <v>45</v>
      </c>
      <c r="U4429" s="16" t="n">
        <v>10</v>
      </c>
      <c r="V4429" s="16">
        <f>ROUNDUP((T4429+U4429+2*'Read Me'!$B$13)*(1+'Read Me'!$B$12),-1)</f>
        <v/>
      </c>
      <c r="W4429" s="16">
        <f>V4429*N4429*O4429</f>
        <v/>
      </c>
      <c r="X4429" s="12">
        <f>IF(LEFT(I4429,2)="MV",2*N4429*IF(L4429="1/C",O4429,1),0)</f>
        <v/>
      </c>
      <c r="Y4429" s="12">
        <f>IF(OR(LEFT(K4429,4)="LVAX",LEFT(K4429,6)="MV15AX",LEFT(K4429,4)="CTAX",LEFT(K4429,2)="W|"),2*N4429*O4429,0)</f>
        <v/>
      </c>
      <c r="Z4429" s="12" t="inlineStr">
        <is>
          <t>device-to-JB field wiring, one cable per device</t>
        </is>
      </c>
      <c r="AA4429" s="12">
        <f>N4429*O4429</f>
        <v/>
      </c>
    </row>
    <row r="4430">
      <c r="A4430" s="12" t="inlineStr">
        <is>
          <t>I-I-0072</t>
        </is>
      </c>
      <c r="B4430" s="12" t="inlineStr">
        <is>
          <t>I</t>
        </is>
      </c>
      <c r="C4430" s="12" t="inlineStr">
        <is>
          <t>Modular / portable power</t>
        </is>
      </c>
      <c r="D4430" s="12" t="inlineStr">
        <is>
          <t>Home run JB-FC-2: SOFC module -AI01 to the control / marshalling room</t>
        </is>
      </c>
      <c r="E4430" s="12" t="inlineStr"/>
      <c r="F4430" s="12" t="inlineStr">
        <is>
          <t>PCM: power control module</t>
        </is>
      </c>
      <c r="G4430" s="12" t="inlineStr">
        <is>
          <t>JB-FC-2: SOFC module -AI01</t>
        </is>
      </c>
      <c r="H4430" s="12" t="inlineStr">
        <is>
          <t>FC-2: SOFC module (Bloom ES5 class, 200-300 kW)</t>
        </is>
      </c>
      <c r="I4430" s="12" t="inlineStr">
        <is>
          <t>Instrumentation</t>
        </is>
      </c>
      <c r="J4430" s="12" t="inlineStr">
        <is>
          <t>Instrumentation PLTC / TC-ER 300 V, #18 twisted shielded pairs, overall shield</t>
        </is>
      </c>
      <c r="K4430" s="12" t="inlineStr">
        <is>
          <t>PLTC|24 pr|18</t>
        </is>
      </c>
      <c r="L4430" s="12" t="inlineStr">
        <is>
          <t>24 pr</t>
        </is>
      </c>
      <c r="M4430" s="12" t="inlineStr">
        <is>
          <t>18</t>
        </is>
      </c>
      <c r="N4430" s="12" t="n">
        <v>1</v>
      </c>
      <c r="O4430" s="12" t="n">
        <v>1</v>
      </c>
      <c r="P4430" s="12" t="n"/>
      <c r="Q4430" s="12" t="n"/>
      <c r="R4430" s="12" t="n"/>
      <c r="S4430" s="12" t="inlineStr">
        <is>
          <t>Duct bank</t>
        </is>
      </c>
      <c r="T4430" s="16" t="n">
        <v>1048</v>
      </c>
      <c r="U4430" s="16" t="n">
        <v>82</v>
      </c>
      <c r="V4430" s="16">
        <f>ROUNDUP((T4430+U4430+2*'Read Me'!$B$13)*(1+'Read Me'!$B$12),-1)</f>
        <v/>
      </c>
      <c r="W4430" s="16">
        <f>V4430*N4430*O4430</f>
        <v/>
      </c>
      <c r="X4430" s="12">
        <f>IF(LEFT(I4430,2)="MV",2*N4430*IF(L4430="1/C",O4430,1),0)</f>
        <v/>
      </c>
      <c r="Y4430" s="12">
        <f>IF(OR(LEFT(K4430,4)="LVAX",LEFT(K4430,6)="MV15AX",LEFT(K4430,4)="CTAX",LEFT(K4430,2)="W|"),2*N4430*O4430,0)</f>
        <v/>
      </c>
      <c r="Z4430" s="12" t="inlineStr"/>
      <c r="AA4430" s="12">
        <f>N4430*O4430</f>
        <v/>
      </c>
    </row>
    <row r="4431">
      <c r="A4431" s="12" t="inlineStr">
        <is>
          <t>I-I-0073</t>
        </is>
      </c>
      <c r="B4431" s="12" t="inlineStr">
        <is>
          <t>I</t>
        </is>
      </c>
      <c r="C4431" s="12" t="inlineStr">
        <is>
          <t>Modular / portable power</t>
        </is>
      </c>
      <c r="D4431" s="12" t="inlineStr">
        <is>
          <t>Discrete device to JB JB-FC-2: SOFC module -DI01: 10 x 1 pr (field cables)</t>
        </is>
      </c>
      <c r="E4431" s="12" t="inlineStr"/>
      <c r="F4431" s="12" t="inlineStr">
        <is>
          <t>FC-2: SOFC module (Bloom ES5 class, 200-300 kW)</t>
        </is>
      </c>
      <c r="G4431" s="12" t="inlineStr">
        <is>
          <t>JB-FC-2: SOFC module -DI01</t>
        </is>
      </c>
      <c r="H4431" s="12" t="inlineStr">
        <is>
          <t>FC-2: SOFC module (Bloom ES5 class, 200-300 kW)</t>
        </is>
      </c>
      <c r="I4431" s="12" t="inlineStr">
        <is>
          <t>Instrumentation</t>
        </is>
      </c>
      <c r="J4431" s="12" t="inlineStr">
        <is>
          <t>Instrumentation PLTC / TC-ER 300 V, #18 twisted shielded pairs, overall shield</t>
        </is>
      </c>
      <c r="K4431" s="12" t="inlineStr">
        <is>
          <t>PLTC|1 pr|16</t>
        </is>
      </c>
      <c r="L4431" s="12" t="inlineStr">
        <is>
          <t>1 pr</t>
        </is>
      </c>
      <c r="M4431" s="12" t="inlineStr">
        <is>
          <t>16</t>
        </is>
      </c>
      <c r="N4431" s="12" t="n">
        <v>10</v>
      </c>
      <c r="O4431" s="12" t="n">
        <v>1</v>
      </c>
      <c r="P4431" s="12" t="n"/>
      <c r="Q4431" s="12" t="n"/>
      <c r="R4431" s="12" t="n"/>
      <c r="S4431" s="12" t="inlineStr">
        <is>
          <t>Tray / conduit</t>
        </is>
      </c>
      <c r="T4431" s="16" t="n">
        <v>45</v>
      </c>
      <c r="U4431" s="16" t="n">
        <v>10</v>
      </c>
      <c r="V4431" s="16">
        <f>ROUNDUP((T4431+U4431+2*'Read Me'!$B$13)*(1+'Read Me'!$B$12),-1)</f>
        <v/>
      </c>
      <c r="W4431" s="16">
        <f>V4431*N4431*O4431</f>
        <v/>
      </c>
      <c r="X4431" s="12">
        <f>IF(LEFT(I4431,2)="MV",2*N4431*IF(L4431="1/C",O4431,1),0)</f>
        <v/>
      </c>
      <c r="Y4431" s="12">
        <f>IF(OR(LEFT(K4431,4)="LVAX",LEFT(K4431,6)="MV15AX",LEFT(K4431,4)="CTAX",LEFT(K4431,2)="W|"),2*N4431*O4431,0)</f>
        <v/>
      </c>
      <c r="Z4431" s="12" t="inlineStr">
        <is>
          <t>device-to-JB field wiring, one cable per device</t>
        </is>
      </c>
      <c r="AA4431" s="12">
        <f>N4431*O4431</f>
        <v/>
      </c>
    </row>
    <row r="4432">
      <c r="A4432" s="12" t="inlineStr">
        <is>
          <t>I-I-0074</t>
        </is>
      </c>
      <c r="B4432" s="12" t="inlineStr">
        <is>
          <t>I</t>
        </is>
      </c>
      <c r="C4432" s="12" t="inlineStr">
        <is>
          <t>Modular / portable power</t>
        </is>
      </c>
      <c r="D4432" s="12" t="inlineStr">
        <is>
          <t>Home run JB-FC-2: SOFC module -DI01 to the control / marshalling room</t>
        </is>
      </c>
      <c r="E4432" s="12" t="inlineStr"/>
      <c r="F4432" s="12" t="inlineStr">
        <is>
          <t>PCM: power control module</t>
        </is>
      </c>
      <c r="G4432" s="12" t="inlineStr">
        <is>
          <t>JB-FC-2: SOFC module -DI01</t>
        </is>
      </c>
      <c r="H4432" s="12" t="inlineStr">
        <is>
          <t>FC-2: SOFC module (Bloom ES5 class, 200-300 kW)</t>
        </is>
      </c>
      <c r="I4432" s="12" t="inlineStr">
        <is>
          <t>Instrumentation</t>
        </is>
      </c>
      <c r="J4432" s="12" t="inlineStr">
        <is>
          <t>Instrumentation PLTC / TC-ER 300 V, #18 twisted shielded pairs, overall shield</t>
        </is>
      </c>
      <c r="K4432" s="12" t="inlineStr">
        <is>
          <t>PLTC|24 pr|18</t>
        </is>
      </c>
      <c r="L4432" s="12" t="inlineStr">
        <is>
          <t>24 pr</t>
        </is>
      </c>
      <c r="M4432" s="12" t="inlineStr">
        <is>
          <t>18</t>
        </is>
      </c>
      <c r="N4432" s="12" t="n">
        <v>1</v>
      </c>
      <c r="O4432" s="12" t="n">
        <v>1</v>
      </c>
      <c r="P4432" s="12" t="n"/>
      <c r="Q4432" s="12" t="n"/>
      <c r="R4432" s="12" t="n"/>
      <c r="S4432" s="12" t="inlineStr">
        <is>
          <t>Duct bank</t>
        </is>
      </c>
      <c r="T4432" s="16" t="n">
        <v>1048</v>
      </c>
      <c r="U4432" s="16" t="n">
        <v>82</v>
      </c>
      <c r="V4432" s="16">
        <f>ROUNDUP((T4432+U4432+2*'Read Me'!$B$13)*(1+'Read Me'!$B$12),-1)</f>
        <v/>
      </c>
      <c r="W4432" s="16">
        <f>V4432*N4432*O4432</f>
        <v/>
      </c>
      <c r="X4432" s="12">
        <f>IF(LEFT(I4432,2)="MV",2*N4432*IF(L4432="1/C",O4432,1),0)</f>
        <v/>
      </c>
      <c r="Y4432" s="12">
        <f>IF(OR(LEFT(K4432,4)="LVAX",LEFT(K4432,6)="MV15AX",LEFT(K4432,4)="CTAX",LEFT(K4432,2)="W|"),2*N4432*O4432,0)</f>
        <v/>
      </c>
      <c r="Z4432" s="12" t="inlineStr"/>
      <c r="AA4432" s="12">
        <f>N4432*O4432</f>
        <v/>
      </c>
    </row>
    <row r="4433">
      <c r="A4433" s="12" t="inlineStr">
        <is>
          <t>I-I-0075</t>
        </is>
      </c>
      <c r="B4433" s="12" t="inlineStr">
        <is>
          <t>I</t>
        </is>
      </c>
      <c r="C4433" s="12" t="inlineStr">
        <is>
          <t>Modular / portable power</t>
        </is>
      </c>
      <c r="D4433" s="12" t="inlineStr">
        <is>
          <t>Analog instrument to JB JB-FC-3: SOFC module -AI01: 10 x 1 pr (field cables)</t>
        </is>
      </c>
      <c r="E4433" s="12" t="inlineStr"/>
      <c r="F4433" s="12" t="inlineStr">
        <is>
          <t>FC-3: SOFC module (Bloom ES5 class, 200-300 kW)</t>
        </is>
      </c>
      <c r="G4433" s="12" t="inlineStr">
        <is>
          <t>JB-FC-3: SOFC module -AI01</t>
        </is>
      </c>
      <c r="H4433" s="12" t="inlineStr">
        <is>
          <t>FC-3: SOFC module (Bloom ES5 class, 200-300 kW)</t>
        </is>
      </c>
      <c r="I4433" s="12" t="inlineStr">
        <is>
          <t>Instrumentation</t>
        </is>
      </c>
      <c r="J4433" s="12" t="inlineStr">
        <is>
          <t>Instrumentation PLTC / TC-ER 300 V, #18 twisted shielded pairs, overall shield</t>
        </is>
      </c>
      <c r="K4433" s="12" t="inlineStr">
        <is>
          <t>PLTC|1 pr|16</t>
        </is>
      </c>
      <c r="L4433" s="12" t="inlineStr">
        <is>
          <t>1 pr</t>
        </is>
      </c>
      <c r="M4433" s="12" t="inlineStr">
        <is>
          <t>16</t>
        </is>
      </c>
      <c r="N4433" s="12" t="n">
        <v>10</v>
      </c>
      <c r="O4433" s="12" t="n">
        <v>1</v>
      </c>
      <c r="P4433" s="12" t="n"/>
      <c r="Q4433" s="12" t="n"/>
      <c r="R4433" s="12" t="n"/>
      <c r="S4433" s="12" t="inlineStr">
        <is>
          <t>Tray / conduit</t>
        </is>
      </c>
      <c r="T4433" s="16" t="n">
        <v>45</v>
      </c>
      <c r="U4433" s="16" t="n">
        <v>10</v>
      </c>
      <c r="V4433" s="16">
        <f>ROUNDUP((T4433+U4433+2*'Read Me'!$B$13)*(1+'Read Me'!$B$12),-1)</f>
        <v/>
      </c>
      <c r="W4433" s="16">
        <f>V4433*N4433*O4433</f>
        <v/>
      </c>
      <c r="X4433" s="12">
        <f>IF(LEFT(I4433,2)="MV",2*N4433*IF(L4433="1/C",O4433,1),0)</f>
        <v/>
      </c>
      <c r="Y4433" s="12">
        <f>IF(OR(LEFT(K4433,4)="LVAX",LEFT(K4433,6)="MV15AX",LEFT(K4433,4)="CTAX",LEFT(K4433,2)="W|"),2*N4433*O4433,0)</f>
        <v/>
      </c>
      <c r="Z4433" s="12" t="inlineStr">
        <is>
          <t>device-to-JB field wiring, one cable per device</t>
        </is>
      </c>
      <c r="AA4433" s="12">
        <f>N4433*O4433</f>
        <v/>
      </c>
    </row>
    <row r="4434">
      <c r="A4434" s="12" t="inlineStr">
        <is>
          <t>I-I-0076</t>
        </is>
      </c>
      <c r="B4434" s="12" t="inlineStr">
        <is>
          <t>I</t>
        </is>
      </c>
      <c r="C4434" s="12" t="inlineStr">
        <is>
          <t>Modular / portable power</t>
        </is>
      </c>
      <c r="D4434" s="12" t="inlineStr">
        <is>
          <t>Home run JB-FC-3: SOFC module -AI01 to the control / marshalling room</t>
        </is>
      </c>
      <c r="E4434" s="12" t="inlineStr"/>
      <c r="F4434" s="12" t="inlineStr">
        <is>
          <t>PCM: power control module</t>
        </is>
      </c>
      <c r="G4434" s="12" t="inlineStr">
        <is>
          <t>JB-FC-3: SOFC module -AI01</t>
        </is>
      </c>
      <c r="H4434" s="12" t="inlineStr">
        <is>
          <t>FC-3: SOFC module (Bloom ES5 class, 200-300 kW)</t>
        </is>
      </c>
      <c r="I4434" s="12" t="inlineStr">
        <is>
          <t>Instrumentation</t>
        </is>
      </c>
      <c r="J4434" s="12" t="inlineStr">
        <is>
          <t>Instrumentation PLTC / TC-ER 300 V, #18 twisted shielded pairs, overall shield</t>
        </is>
      </c>
      <c r="K4434" s="12" t="inlineStr">
        <is>
          <t>PLTC|24 pr|18</t>
        </is>
      </c>
      <c r="L4434" s="12" t="inlineStr">
        <is>
          <t>24 pr</t>
        </is>
      </c>
      <c r="M4434" s="12" t="inlineStr">
        <is>
          <t>18</t>
        </is>
      </c>
      <c r="N4434" s="12" t="n">
        <v>1</v>
      </c>
      <c r="O4434" s="12" t="n">
        <v>1</v>
      </c>
      <c r="P4434" s="12" t="n"/>
      <c r="Q4434" s="12" t="n"/>
      <c r="R4434" s="12" t="n"/>
      <c r="S4434" s="12" t="inlineStr">
        <is>
          <t>Duct bank</t>
        </is>
      </c>
      <c r="T4434" s="16" t="n">
        <v>1048</v>
      </c>
      <c r="U4434" s="16" t="n">
        <v>68</v>
      </c>
      <c r="V4434" s="16">
        <f>ROUNDUP((T4434+U4434+2*'Read Me'!$B$13)*(1+'Read Me'!$B$12),-1)</f>
        <v/>
      </c>
      <c r="W4434" s="16">
        <f>V4434*N4434*O4434</f>
        <v/>
      </c>
      <c r="X4434" s="12">
        <f>IF(LEFT(I4434,2)="MV",2*N4434*IF(L4434="1/C",O4434,1),0)</f>
        <v/>
      </c>
      <c r="Y4434" s="12">
        <f>IF(OR(LEFT(K4434,4)="LVAX",LEFT(K4434,6)="MV15AX",LEFT(K4434,4)="CTAX",LEFT(K4434,2)="W|"),2*N4434*O4434,0)</f>
        <v/>
      </c>
      <c r="Z4434" s="12" t="inlineStr"/>
      <c r="AA4434" s="12">
        <f>N4434*O4434</f>
        <v/>
      </c>
    </row>
    <row r="4435">
      <c r="A4435" s="12" t="inlineStr">
        <is>
          <t>I-I-0077</t>
        </is>
      </c>
      <c r="B4435" s="12" t="inlineStr">
        <is>
          <t>I</t>
        </is>
      </c>
      <c r="C4435" s="12" t="inlineStr">
        <is>
          <t>Modular / portable power</t>
        </is>
      </c>
      <c r="D4435" s="12" t="inlineStr">
        <is>
          <t>Discrete device to JB JB-FC-3: SOFC module -DI01: 10 x 1 pr (field cables)</t>
        </is>
      </c>
      <c r="E4435" s="12" t="inlineStr"/>
      <c r="F4435" s="12" t="inlineStr">
        <is>
          <t>FC-3: SOFC module (Bloom ES5 class, 200-300 kW)</t>
        </is>
      </c>
      <c r="G4435" s="12" t="inlineStr">
        <is>
          <t>JB-FC-3: SOFC module -DI01</t>
        </is>
      </c>
      <c r="H4435" s="12" t="inlineStr">
        <is>
          <t>FC-3: SOFC module (Bloom ES5 class, 200-300 kW)</t>
        </is>
      </c>
      <c r="I4435" s="12" t="inlineStr">
        <is>
          <t>Instrumentation</t>
        </is>
      </c>
      <c r="J4435" s="12" t="inlineStr">
        <is>
          <t>Instrumentation PLTC / TC-ER 300 V, #18 twisted shielded pairs, overall shield</t>
        </is>
      </c>
      <c r="K4435" s="12" t="inlineStr">
        <is>
          <t>PLTC|1 pr|16</t>
        </is>
      </c>
      <c r="L4435" s="12" t="inlineStr">
        <is>
          <t>1 pr</t>
        </is>
      </c>
      <c r="M4435" s="12" t="inlineStr">
        <is>
          <t>16</t>
        </is>
      </c>
      <c r="N4435" s="12" t="n">
        <v>10</v>
      </c>
      <c r="O4435" s="12" t="n">
        <v>1</v>
      </c>
      <c r="P4435" s="12" t="n"/>
      <c r="Q4435" s="12" t="n"/>
      <c r="R4435" s="12" t="n"/>
      <c r="S4435" s="12" t="inlineStr">
        <is>
          <t>Tray / conduit</t>
        </is>
      </c>
      <c r="T4435" s="16" t="n">
        <v>45</v>
      </c>
      <c r="U4435" s="16" t="n">
        <v>10</v>
      </c>
      <c r="V4435" s="16">
        <f>ROUNDUP((T4435+U4435+2*'Read Me'!$B$13)*(1+'Read Me'!$B$12),-1)</f>
        <v/>
      </c>
      <c r="W4435" s="16">
        <f>V4435*N4435*O4435</f>
        <v/>
      </c>
      <c r="X4435" s="12">
        <f>IF(LEFT(I4435,2)="MV",2*N4435*IF(L4435="1/C",O4435,1),0)</f>
        <v/>
      </c>
      <c r="Y4435" s="12">
        <f>IF(OR(LEFT(K4435,4)="LVAX",LEFT(K4435,6)="MV15AX",LEFT(K4435,4)="CTAX",LEFT(K4435,2)="W|"),2*N4435*O4435,0)</f>
        <v/>
      </c>
      <c r="Z4435" s="12" t="inlineStr">
        <is>
          <t>device-to-JB field wiring, one cable per device</t>
        </is>
      </c>
      <c r="AA4435" s="12">
        <f>N4435*O4435</f>
        <v/>
      </c>
    </row>
    <row r="4436">
      <c r="A4436" s="12" t="inlineStr">
        <is>
          <t>I-I-0078</t>
        </is>
      </c>
      <c r="B4436" s="12" t="inlineStr">
        <is>
          <t>I</t>
        </is>
      </c>
      <c r="C4436" s="12" t="inlineStr">
        <is>
          <t>Modular / portable power</t>
        </is>
      </c>
      <c r="D4436" s="12" t="inlineStr">
        <is>
          <t>Home run JB-FC-3: SOFC module -DI01 to the control / marshalling room</t>
        </is>
      </c>
      <c r="E4436" s="12" t="inlineStr"/>
      <c r="F4436" s="12" t="inlineStr">
        <is>
          <t>PCM: power control module</t>
        </is>
      </c>
      <c r="G4436" s="12" t="inlineStr">
        <is>
          <t>JB-FC-3: SOFC module -DI01</t>
        </is>
      </c>
      <c r="H4436" s="12" t="inlineStr">
        <is>
          <t>FC-3: SOFC module (Bloom ES5 class, 200-300 kW)</t>
        </is>
      </c>
      <c r="I4436" s="12" t="inlineStr">
        <is>
          <t>Instrumentation</t>
        </is>
      </c>
      <c r="J4436" s="12" t="inlineStr">
        <is>
          <t>Instrumentation PLTC / TC-ER 300 V, #18 twisted shielded pairs, overall shield</t>
        </is>
      </c>
      <c r="K4436" s="12" t="inlineStr">
        <is>
          <t>PLTC|24 pr|18</t>
        </is>
      </c>
      <c r="L4436" s="12" t="inlineStr">
        <is>
          <t>24 pr</t>
        </is>
      </c>
      <c r="M4436" s="12" t="inlineStr">
        <is>
          <t>18</t>
        </is>
      </c>
      <c r="N4436" s="12" t="n">
        <v>1</v>
      </c>
      <c r="O4436" s="12" t="n">
        <v>1</v>
      </c>
      <c r="P4436" s="12" t="n"/>
      <c r="Q4436" s="12" t="n"/>
      <c r="R4436" s="12" t="n"/>
      <c r="S4436" s="12" t="inlineStr">
        <is>
          <t>Duct bank</t>
        </is>
      </c>
      <c r="T4436" s="16" t="n">
        <v>1048</v>
      </c>
      <c r="U4436" s="16" t="n">
        <v>68</v>
      </c>
      <c r="V4436" s="16">
        <f>ROUNDUP((T4436+U4436+2*'Read Me'!$B$13)*(1+'Read Me'!$B$12),-1)</f>
        <v/>
      </c>
      <c r="W4436" s="16">
        <f>V4436*N4436*O4436</f>
        <v/>
      </c>
      <c r="X4436" s="12">
        <f>IF(LEFT(I4436,2)="MV",2*N4436*IF(L4436="1/C",O4436,1),0)</f>
        <v/>
      </c>
      <c r="Y4436" s="12">
        <f>IF(OR(LEFT(K4436,4)="LVAX",LEFT(K4436,6)="MV15AX",LEFT(K4436,4)="CTAX",LEFT(K4436,2)="W|"),2*N4436*O4436,0)</f>
        <v/>
      </c>
      <c r="Z4436" s="12" t="inlineStr"/>
      <c r="AA4436" s="12">
        <f>N4436*O4436</f>
        <v/>
      </c>
    </row>
    <row r="4437">
      <c r="A4437" s="12" t="inlineStr">
        <is>
          <t>I-I-0079</t>
        </is>
      </c>
      <c r="B4437" s="12" t="inlineStr">
        <is>
          <t>I</t>
        </is>
      </c>
      <c r="C4437" s="12" t="inlineStr">
        <is>
          <t>Modular / portable power</t>
        </is>
      </c>
      <c r="D4437" s="12" t="inlineStr">
        <is>
          <t>Analog instrument to JB JB-FC-4: SOFC module -AI01: 10 x 1 pr (field cables)</t>
        </is>
      </c>
      <c r="E4437" s="12" t="inlineStr"/>
      <c r="F4437" s="12" t="inlineStr">
        <is>
          <t>FC-4: SOFC module (Bloom ES5 class, 200-300 kW)</t>
        </is>
      </c>
      <c r="G4437" s="12" t="inlineStr">
        <is>
          <t>JB-FC-4: SOFC module -AI01</t>
        </is>
      </c>
      <c r="H4437" s="12" t="inlineStr">
        <is>
          <t>FC-4: SOFC module (Bloom ES5 class, 200-300 kW)</t>
        </is>
      </c>
      <c r="I4437" s="12" t="inlineStr">
        <is>
          <t>Instrumentation</t>
        </is>
      </c>
      <c r="J4437" s="12" t="inlineStr">
        <is>
          <t>Instrumentation PLTC / TC-ER 300 V, #18 twisted shielded pairs, overall shield</t>
        </is>
      </c>
      <c r="K4437" s="12" t="inlineStr">
        <is>
          <t>PLTC|1 pr|16</t>
        </is>
      </c>
      <c r="L4437" s="12" t="inlineStr">
        <is>
          <t>1 pr</t>
        </is>
      </c>
      <c r="M4437" s="12" t="inlineStr">
        <is>
          <t>16</t>
        </is>
      </c>
      <c r="N4437" s="12" t="n">
        <v>10</v>
      </c>
      <c r="O4437" s="12" t="n">
        <v>1</v>
      </c>
      <c r="P4437" s="12" t="n"/>
      <c r="Q4437" s="12" t="n"/>
      <c r="R4437" s="12" t="n"/>
      <c r="S4437" s="12" t="inlineStr">
        <is>
          <t>Tray / conduit</t>
        </is>
      </c>
      <c r="T4437" s="16" t="n">
        <v>45</v>
      </c>
      <c r="U4437" s="16" t="n">
        <v>10</v>
      </c>
      <c r="V4437" s="16">
        <f>ROUNDUP((T4437+U4437+2*'Read Me'!$B$13)*(1+'Read Me'!$B$12),-1)</f>
        <v/>
      </c>
      <c r="W4437" s="16">
        <f>V4437*N4437*O4437</f>
        <v/>
      </c>
      <c r="X4437" s="12">
        <f>IF(LEFT(I4437,2)="MV",2*N4437*IF(L4437="1/C",O4437,1),0)</f>
        <v/>
      </c>
      <c r="Y4437" s="12">
        <f>IF(OR(LEFT(K4437,4)="LVAX",LEFT(K4437,6)="MV15AX",LEFT(K4437,4)="CTAX",LEFT(K4437,2)="W|"),2*N4437*O4437,0)</f>
        <v/>
      </c>
      <c r="Z4437" s="12" t="inlineStr">
        <is>
          <t>device-to-JB field wiring, one cable per device</t>
        </is>
      </c>
      <c r="AA4437" s="12">
        <f>N4437*O4437</f>
        <v/>
      </c>
    </row>
    <row r="4438">
      <c r="A4438" s="12" t="inlineStr">
        <is>
          <t>I-I-0080</t>
        </is>
      </c>
      <c r="B4438" s="12" t="inlineStr">
        <is>
          <t>I</t>
        </is>
      </c>
      <c r="C4438" s="12" t="inlineStr">
        <is>
          <t>Modular / portable power</t>
        </is>
      </c>
      <c r="D4438" s="12" t="inlineStr">
        <is>
          <t>Home run JB-FC-4: SOFC module -AI01 to the control / marshalling room</t>
        </is>
      </c>
      <c r="E4438" s="12" t="inlineStr"/>
      <c r="F4438" s="12" t="inlineStr">
        <is>
          <t>PCM: power control module</t>
        </is>
      </c>
      <c r="G4438" s="12" t="inlineStr">
        <is>
          <t>JB-FC-4: SOFC module -AI01</t>
        </is>
      </c>
      <c r="H4438" s="12" t="inlineStr">
        <is>
          <t>FC-4: SOFC module (Bloom ES5 class, 200-300 kW)</t>
        </is>
      </c>
      <c r="I4438" s="12" t="inlineStr">
        <is>
          <t>Instrumentation</t>
        </is>
      </c>
      <c r="J4438" s="12" t="inlineStr">
        <is>
          <t>Instrumentation PLTC / TC-ER 300 V, #18 twisted shielded pairs, overall shield</t>
        </is>
      </c>
      <c r="K4438" s="12" t="inlineStr">
        <is>
          <t>PLTC|24 pr|18</t>
        </is>
      </c>
      <c r="L4438" s="12" t="inlineStr">
        <is>
          <t>24 pr</t>
        </is>
      </c>
      <c r="M4438" s="12" t="inlineStr">
        <is>
          <t>18</t>
        </is>
      </c>
      <c r="N4438" s="12" t="n">
        <v>1</v>
      </c>
      <c r="O4438" s="12" t="n">
        <v>1</v>
      </c>
      <c r="P4438" s="12" t="n"/>
      <c r="Q4438" s="12" t="n"/>
      <c r="R4438" s="12" t="n"/>
      <c r="S4438" s="12" t="inlineStr">
        <is>
          <t>Duct bank</t>
        </is>
      </c>
      <c r="T4438" s="16" t="n">
        <v>1048</v>
      </c>
      <c r="U4438" s="16" t="n">
        <v>54</v>
      </c>
      <c r="V4438" s="16">
        <f>ROUNDUP((T4438+U4438+2*'Read Me'!$B$13)*(1+'Read Me'!$B$12),-1)</f>
        <v/>
      </c>
      <c r="W4438" s="16">
        <f>V4438*N4438*O4438</f>
        <v/>
      </c>
      <c r="X4438" s="12">
        <f>IF(LEFT(I4438,2)="MV",2*N4438*IF(L4438="1/C",O4438,1),0)</f>
        <v/>
      </c>
      <c r="Y4438" s="12">
        <f>IF(OR(LEFT(K4438,4)="LVAX",LEFT(K4438,6)="MV15AX",LEFT(K4438,4)="CTAX",LEFT(K4438,2)="W|"),2*N4438*O4438,0)</f>
        <v/>
      </c>
      <c r="Z4438" s="12" t="inlineStr"/>
      <c r="AA4438" s="12">
        <f>N4438*O4438</f>
        <v/>
      </c>
    </row>
    <row r="4439">
      <c r="A4439" s="12" t="inlineStr">
        <is>
          <t>I-I-0081</t>
        </is>
      </c>
      <c r="B4439" s="12" t="inlineStr">
        <is>
          <t>I</t>
        </is>
      </c>
      <c r="C4439" s="12" t="inlineStr">
        <is>
          <t>Modular / portable power</t>
        </is>
      </c>
      <c r="D4439" s="12" t="inlineStr">
        <is>
          <t>Discrete device to JB JB-FC-4: SOFC module -DI01: 10 x 1 pr (field cables)</t>
        </is>
      </c>
      <c r="E4439" s="12" t="inlineStr"/>
      <c r="F4439" s="12" t="inlineStr">
        <is>
          <t>FC-4: SOFC module (Bloom ES5 class, 200-300 kW)</t>
        </is>
      </c>
      <c r="G4439" s="12" t="inlineStr">
        <is>
          <t>JB-FC-4: SOFC module -DI01</t>
        </is>
      </c>
      <c r="H4439" s="12" t="inlineStr">
        <is>
          <t>FC-4: SOFC module (Bloom ES5 class, 200-300 kW)</t>
        </is>
      </c>
      <c r="I4439" s="12" t="inlineStr">
        <is>
          <t>Instrumentation</t>
        </is>
      </c>
      <c r="J4439" s="12" t="inlineStr">
        <is>
          <t>Instrumentation PLTC / TC-ER 300 V, #18 twisted shielded pairs, overall shield</t>
        </is>
      </c>
      <c r="K4439" s="12" t="inlineStr">
        <is>
          <t>PLTC|1 pr|16</t>
        </is>
      </c>
      <c r="L4439" s="12" t="inlineStr">
        <is>
          <t>1 pr</t>
        </is>
      </c>
      <c r="M4439" s="12" t="inlineStr">
        <is>
          <t>16</t>
        </is>
      </c>
      <c r="N4439" s="12" t="n">
        <v>10</v>
      </c>
      <c r="O4439" s="12" t="n">
        <v>1</v>
      </c>
      <c r="P4439" s="12" t="n"/>
      <c r="Q4439" s="12" t="n"/>
      <c r="R4439" s="12" t="n"/>
      <c r="S4439" s="12" t="inlineStr">
        <is>
          <t>Tray / conduit</t>
        </is>
      </c>
      <c r="T4439" s="16" t="n">
        <v>45</v>
      </c>
      <c r="U4439" s="16" t="n">
        <v>10</v>
      </c>
      <c r="V4439" s="16">
        <f>ROUNDUP((T4439+U4439+2*'Read Me'!$B$13)*(1+'Read Me'!$B$12),-1)</f>
        <v/>
      </c>
      <c r="W4439" s="16">
        <f>V4439*N4439*O4439</f>
        <v/>
      </c>
      <c r="X4439" s="12">
        <f>IF(LEFT(I4439,2)="MV",2*N4439*IF(L4439="1/C",O4439,1),0)</f>
        <v/>
      </c>
      <c r="Y4439" s="12">
        <f>IF(OR(LEFT(K4439,4)="LVAX",LEFT(K4439,6)="MV15AX",LEFT(K4439,4)="CTAX",LEFT(K4439,2)="W|"),2*N4439*O4439,0)</f>
        <v/>
      </c>
      <c r="Z4439" s="12" t="inlineStr">
        <is>
          <t>device-to-JB field wiring, one cable per device</t>
        </is>
      </c>
      <c r="AA4439" s="12">
        <f>N4439*O4439</f>
        <v/>
      </c>
    </row>
    <row r="4440">
      <c r="A4440" s="12" t="inlineStr">
        <is>
          <t>I-I-0082</t>
        </is>
      </c>
      <c r="B4440" s="12" t="inlineStr">
        <is>
          <t>I</t>
        </is>
      </c>
      <c r="C4440" s="12" t="inlineStr">
        <is>
          <t>Modular / portable power</t>
        </is>
      </c>
      <c r="D4440" s="12" t="inlineStr">
        <is>
          <t>Home run JB-FC-4: SOFC module -DI01 to the control / marshalling room</t>
        </is>
      </c>
      <c r="E4440" s="12" t="inlineStr"/>
      <c r="F4440" s="12" t="inlineStr">
        <is>
          <t>PCM: power control module</t>
        </is>
      </c>
      <c r="G4440" s="12" t="inlineStr">
        <is>
          <t>JB-FC-4: SOFC module -DI01</t>
        </is>
      </c>
      <c r="H4440" s="12" t="inlineStr">
        <is>
          <t>FC-4: SOFC module (Bloom ES5 class, 200-300 kW)</t>
        </is>
      </c>
      <c r="I4440" s="12" t="inlineStr">
        <is>
          <t>Instrumentation</t>
        </is>
      </c>
      <c r="J4440" s="12" t="inlineStr">
        <is>
          <t>Instrumentation PLTC / TC-ER 300 V, #18 twisted shielded pairs, overall shield</t>
        </is>
      </c>
      <c r="K4440" s="12" t="inlineStr">
        <is>
          <t>PLTC|24 pr|18</t>
        </is>
      </c>
      <c r="L4440" s="12" t="inlineStr">
        <is>
          <t>24 pr</t>
        </is>
      </c>
      <c r="M4440" s="12" t="inlineStr">
        <is>
          <t>18</t>
        </is>
      </c>
      <c r="N4440" s="12" t="n">
        <v>1</v>
      </c>
      <c r="O4440" s="12" t="n">
        <v>1</v>
      </c>
      <c r="P4440" s="12" t="n"/>
      <c r="Q4440" s="12" t="n"/>
      <c r="R4440" s="12" t="n"/>
      <c r="S4440" s="12" t="inlineStr">
        <is>
          <t>Duct bank</t>
        </is>
      </c>
      <c r="T4440" s="16" t="n">
        <v>1048</v>
      </c>
      <c r="U4440" s="16" t="n">
        <v>54</v>
      </c>
      <c r="V4440" s="16">
        <f>ROUNDUP((T4440+U4440+2*'Read Me'!$B$13)*(1+'Read Me'!$B$12),-1)</f>
        <v/>
      </c>
      <c r="W4440" s="16">
        <f>V4440*N4440*O4440</f>
        <v/>
      </c>
      <c r="X4440" s="12">
        <f>IF(LEFT(I4440,2)="MV",2*N4440*IF(L4440="1/C",O4440,1),0)</f>
        <v/>
      </c>
      <c r="Y4440" s="12">
        <f>IF(OR(LEFT(K4440,4)="LVAX",LEFT(K4440,6)="MV15AX",LEFT(K4440,4)="CTAX",LEFT(K4440,2)="W|"),2*N4440*O4440,0)</f>
        <v/>
      </c>
      <c r="Z4440" s="12" t="inlineStr"/>
      <c r="AA4440" s="12">
        <f>N4440*O4440</f>
        <v/>
      </c>
    </row>
    <row r="4441">
      <c r="A4441" s="12" t="inlineStr">
        <is>
          <t>I-I-0083</t>
        </is>
      </c>
      <c r="B4441" s="12" t="inlineStr">
        <is>
          <t>I</t>
        </is>
      </c>
      <c r="C4441" s="12" t="inlineStr">
        <is>
          <t>Modular / portable power</t>
        </is>
      </c>
      <c r="D4441" s="12" t="inlineStr">
        <is>
          <t>Instrumentation</t>
        </is>
      </c>
      <c r="E4441" s="12" t="inlineStr">
        <is>
          <t>PAD-EH</t>
        </is>
      </c>
      <c r="F4441" s="12" t="inlineStr">
        <is>
          <t>PAD-EH 13.8 kV switchgear e-house</t>
        </is>
      </c>
      <c r="G4441" s="12" t="inlineStr"/>
      <c r="H4441" s="12" t="inlineStr">
        <is>
          <t>FC-5..12 inverter / AC cabinet / desulfurizer</t>
        </is>
      </c>
      <c r="I4441" s="12" t="inlineStr">
        <is>
          <t>Instrumentation</t>
        </is>
      </c>
      <c r="J4441" s="12" t="inlineStr">
        <is>
          <t>Instrumentation PLTC / TC-ER 300 V, #18 twisted shielded pairs, overall shield</t>
        </is>
      </c>
      <c r="K4441" s="12" t="inlineStr">
        <is>
          <t>PLTC|4 pr|18</t>
        </is>
      </c>
      <c r="L4441" s="12" t="inlineStr">
        <is>
          <t>4 pr</t>
        </is>
      </c>
      <c r="M4441" s="12" t="inlineStr">
        <is>
          <t>18</t>
        </is>
      </c>
      <c r="N4441" s="12" t="n">
        <v>1</v>
      </c>
      <c r="O4441" s="12" t="n">
        <v>1</v>
      </c>
      <c r="P4441" s="12" t="n"/>
      <c r="Q4441" s="12" t="n"/>
      <c r="R4441" s="12" t="n"/>
      <c r="S4441" s="12" t="inlineStr">
        <is>
          <t>Surface</t>
        </is>
      </c>
      <c r="T4441" s="16" t="n">
        <v>202</v>
      </c>
      <c r="U4441" s="16" t="n">
        <v>37</v>
      </c>
      <c r="V4441" s="16">
        <f>ROUNDUP((T4441+U4441+2*'Read Me'!$B$13)*(1+'Read Me'!$B$12),-1)</f>
        <v/>
      </c>
      <c r="W4441" s="16">
        <f>V4441*N4441*O4441</f>
        <v/>
      </c>
      <c r="X4441" s="12">
        <f>IF(LEFT(I4441,2)="MV",2*N4441*IF(L4441="1/C",O4441,1),0)</f>
        <v/>
      </c>
      <c r="Y4441" s="12">
        <f>IF(OR(LEFT(K4441,4)="LVAX",LEFT(K4441,6)="MV15AX",LEFT(K4441,4)="CTAX",LEFT(K4441,2)="W|"),2*N4441*O4441,0)</f>
        <v/>
      </c>
      <c r="Z4441" s="12" t="inlineStr"/>
      <c r="AA4441" s="12">
        <f>N4441*O4441</f>
        <v/>
      </c>
    </row>
    <row r="4442">
      <c r="A4442" s="12" t="inlineStr">
        <is>
          <t>I-I-0084</t>
        </is>
      </c>
      <c r="B4442" s="12" t="inlineStr">
        <is>
          <t>I</t>
        </is>
      </c>
      <c r="C4442" s="12" t="inlineStr">
        <is>
          <t>Modular / portable power</t>
        </is>
      </c>
      <c r="D4442" s="12" t="inlineStr">
        <is>
          <t>Thermocouples</t>
        </is>
      </c>
      <c r="E4442" s="12" t="inlineStr">
        <is>
          <t>PAD-EH</t>
        </is>
      </c>
      <c r="F4442" s="12" t="inlineStr">
        <is>
          <t>PAD-EH 13.8 kV switchgear e-house</t>
        </is>
      </c>
      <c r="G4442" s="12" t="inlineStr"/>
      <c r="H4442" s="12" t="inlineStr">
        <is>
          <t>FC-5..12 inverter / AC cabinet / desulfurizer</t>
        </is>
      </c>
      <c r="I4442" s="12" t="inlineStr">
        <is>
          <t>Instrumentation</t>
        </is>
      </c>
      <c r="J4442" s="12" t="inlineStr">
        <is>
          <t>Thermocouple extension KX, #16 shielded pairs, PLTC</t>
        </is>
      </c>
      <c r="K4442" s="12" t="inlineStr">
        <is>
          <t>TCX|12 pr|16</t>
        </is>
      </c>
      <c r="L4442" s="12" t="inlineStr">
        <is>
          <t>12 pr</t>
        </is>
      </c>
      <c r="M4442" s="12" t="inlineStr">
        <is>
          <t>16</t>
        </is>
      </c>
      <c r="N4442" s="12" t="n">
        <v>1</v>
      </c>
      <c r="O4442" s="12" t="n">
        <v>1</v>
      </c>
      <c r="P4442" s="12" t="n"/>
      <c r="Q4442" s="12" t="n"/>
      <c r="R4442" s="12" t="n"/>
      <c r="S4442" s="12" t="inlineStr">
        <is>
          <t>Surface</t>
        </is>
      </c>
      <c r="T4442" s="16" t="n">
        <v>202</v>
      </c>
      <c r="U4442" s="16" t="n">
        <v>37</v>
      </c>
      <c r="V4442" s="16">
        <f>ROUNDUP((T4442+U4442+2*'Read Me'!$B$13)*(1+'Read Me'!$B$12),-1)</f>
        <v/>
      </c>
      <c r="W4442" s="16">
        <f>V4442*N4442*O4442</f>
        <v/>
      </c>
      <c r="X4442" s="12">
        <f>IF(LEFT(I4442,2)="MV",2*N4442*IF(L4442="1/C",O4442,1),0)</f>
        <v/>
      </c>
      <c r="Y4442" s="12">
        <f>IF(OR(LEFT(K4442,4)="LVAX",LEFT(K4442,6)="MV15AX",LEFT(K4442,4)="CTAX",LEFT(K4442,2)="W|"),2*N4442*O4442,0)</f>
        <v/>
      </c>
      <c r="Z4442" s="12" t="inlineStr"/>
      <c r="AA4442" s="12">
        <f>N4442*O4442</f>
        <v/>
      </c>
    </row>
    <row r="4443">
      <c r="A4443" s="12" t="inlineStr">
        <is>
          <t>I-I-0085</t>
        </is>
      </c>
      <c r="B4443" s="12" t="inlineStr">
        <is>
          <t>I</t>
        </is>
      </c>
      <c r="C4443" s="12" t="inlineStr">
        <is>
          <t>Modular / portable power</t>
        </is>
      </c>
      <c r="D4443" s="12" t="inlineStr">
        <is>
          <t>Thermocouples</t>
        </is>
      </c>
      <c r="E4443" s="12" t="inlineStr">
        <is>
          <t>PAD-EH</t>
        </is>
      </c>
      <c r="F4443" s="12" t="inlineStr">
        <is>
          <t>PAD-EH 13.8 kV switchgear e-house</t>
        </is>
      </c>
      <c r="G4443" s="12" t="inlineStr"/>
      <c r="H4443" s="12" t="inlineStr">
        <is>
          <t>FC-5..12 inverter / AC cabinet / desulfurizer</t>
        </is>
      </c>
      <c r="I4443" s="12" t="inlineStr">
        <is>
          <t>Instrumentation</t>
        </is>
      </c>
      <c r="J4443" s="12" t="inlineStr">
        <is>
          <t>Thermocouple extension KX, #16 shielded pairs, PLTC</t>
        </is>
      </c>
      <c r="K4443" s="12" t="inlineStr">
        <is>
          <t>TCX|12 pr|16</t>
        </is>
      </c>
      <c r="L4443" s="12" t="inlineStr">
        <is>
          <t>12 pr</t>
        </is>
      </c>
      <c r="M4443" s="12" t="inlineStr">
        <is>
          <t>16</t>
        </is>
      </c>
      <c r="N4443" s="12" t="n">
        <v>1</v>
      </c>
      <c r="O4443" s="12" t="n">
        <v>1</v>
      </c>
      <c r="P4443" s="12" t="n"/>
      <c r="Q4443" s="12" t="n"/>
      <c r="R4443" s="12" t="n"/>
      <c r="S4443" s="12" t="inlineStr">
        <is>
          <t>Surface</t>
        </is>
      </c>
      <c r="T4443" s="16" t="n">
        <v>202</v>
      </c>
      <c r="U4443" s="16" t="n">
        <v>37</v>
      </c>
      <c r="V4443" s="16">
        <f>ROUNDUP((T4443+U4443+2*'Read Me'!$B$13)*(1+'Read Me'!$B$12),-1)</f>
        <v/>
      </c>
      <c r="W4443" s="16">
        <f>V4443*N4443*O4443</f>
        <v/>
      </c>
      <c r="X4443" s="12">
        <f>IF(LEFT(I4443,2)="MV",2*N4443*IF(L4443="1/C",O4443,1),0)</f>
        <v/>
      </c>
      <c r="Y4443" s="12">
        <f>IF(OR(LEFT(K4443,4)="LVAX",LEFT(K4443,6)="MV15AX",LEFT(K4443,4)="CTAX",LEFT(K4443,2)="W|"),2*N4443*O4443,0)</f>
        <v/>
      </c>
      <c r="Z4443" s="12" t="inlineStr"/>
      <c r="AA4443" s="12">
        <f>N4443*O4443</f>
        <v/>
      </c>
    </row>
    <row r="4444">
      <c r="A4444" s="12" t="inlineStr">
        <is>
          <t>I-I-0086</t>
        </is>
      </c>
      <c r="B4444" s="12" t="inlineStr">
        <is>
          <t>I</t>
        </is>
      </c>
      <c r="C4444" s="12" t="inlineStr">
        <is>
          <t>Modular / portable power</t>
        </is>
      </c>
      <c r="D4444" s="12" t="inlineStr">
        <is>
          <t>Analog instrument to JB JB-FC-5-AI01: 10 x 1 pr (field cables)</t>
        </is>
      </c>
      <c r="E4444" s="12" t="inlineStr">
        <is>
          <t>FC-5</t>
        </is>
      </c>
      <c r="F4444" s="12" t="inlineStr">
        <is>
          <t>FC-5: SOFC module (Bloom ES5 class, 200-300 kW)</t>
        </is>
      </c>
      <c r="G4444" s="12" t="inlineStr">
        <is>
          <t>JB-FC-5-AI01</t>
        </is>
      </c>
      <c r="H4444" s="12" t="inlineStr">
        <is>
          <t>FC-5: SOFC module (Bloom ES5 class, 200-300 kW)</t>
        </is>
      </c>
      <c r="I4444" s="12" t="inlineStr">
        <is>
          <t>Instrumentation</t>
        </is>
      </c>
      <c r="J4444" s="12" t="inlineStr">
        <is>
          <t>Instrumentation PLTC / TC-ER 300 V, #18 twisted shielded pairs, overall shield</t>
        </is>
      </c>
      <c r="K4444" s="12" t="inlineStr">
        <is>
          <t>PLTC|1 pr|16</t>
        </is>
      </c>
      <c r="L4444" s="12" t="inlineStr">
        <is>
          <t>1 pr</t>
        </is>
      </c>
      <c r="M4444" s="12" t="inlineStr">
        <is>
          <t>16</t>
        </is>
      </c>
      <c r="N4444" s="12" t="n">
        <v>10</v>
      </c>
      <c r="O4444" s="12" t="n">
        <v>1</v>
      </c>
      <c r="P4444" s="12" t="n"/>
      <c r="Q4444" s="12" t="n"/>
      <c r="R4444" s="12" t="n"/>
      <c r="S4444" s="12" t="inlineStr">
        <is>
          <t>Tray / conduit</t>
        </is>
      </c>
      <c r="T4444" s="16" t="n">
        <v>45</v>
      </c>
      <c r="U4444" s="16" t="n">
        <v>10</v>
      </c>
      <c r="V4444" s="16">
        <f>ROUNDUP((T4444+U4444+2*'Read Me'!$B$13)*(1+'Read Me'!$B$12),-1)</f>
        <v/>
      </c>
      <c r="W4444" s="16">
        <f>V4444*N4444*O4444</f>
        <v/>
      </c>
      <c r="X4444" s="12">
        <f>IF(LEFT(I4444,2)="MV",2*N4444*IF(L4444="1/C",O4444,1),0)</f>
        <v/>
      </c>
      <c r="Y4444" s="12">
        <f>IF(OR(LEFT(K4444,4)="LVAX",LEFT(K4444,6)="MV15AX",LEFT(K4444,4)="CTAX",LEFT(K4444,2)="W|"),2*N4444*O4444,0)</f>
        <v/>
      </c>
      <c r="Z4444" s="12" t="inlineStr">
        <is>
          <t>device-to-JB field wiring, one cable per device</t>
        </is>
      </c>
      <c r="AA4444" s="12">
        <f>N4444*O4444</f>
        <v/>
      </c>
    </row>
    <row r="4445">
      <c r="A4445" s="12" t="inlineStr">
        <is>
          <t>I-I-0087</t>
        </is>
      </c>
      <c r="B4445" s="12" t="inlineStr">
        <is>
          <t>I</t>
        </is>
      </c>
      <c r="C4445" s="12" t="inlineStr">
        <is>
          <t>Modular / portable power</t>
        </is>
      </c>
      <c r="D4445" s="12" t="inlineStr">
        <is>
          <t>Home run JB-FC-5-AI01 to the control / marshalling room</t>
        </is>
      </c>
      <c r="E4445" s="12" t="inlineStr">
        <is>
          <t>PAD-EH</t>
        </is>
      </c>
      <c r="F4445" s="12" t="inlineStr">
        <is>
          <t>PAD-EH 13.8 kV switchgear e-house</t>
        </is>
      </c>
      <c r="G4445" s="12" t="inlineStr">
        <is>
          <t>JB-FC-5-AI01</t>
        </is>
      </c>
      <c r="H4445" s="12" t="inlineStr">
        <is>
          <t>FC-5: SOFC module (Bloom ES5 class, 200-300 kW)</t>
        </is>
      </c>
      <c r="I4445" s="12" t="inlineStr">
        <is>
          <t>Instrumentation</t>
        </is>
      </c>
      <c r="J4445" s="12" t="inlineStr">
        <is>
          <t>Instrumentation PLTC / TC-ER 300 V, #18 twisted shielded pairs, overall shield</t>
        </is>
      </c>
      <c r="K4445" s="12" t="inlineStr">
        <is>
          <t>PLTC|24 pr|18</t>
        </is>
      </c>
      <c r="L4445" s="12" t="inlineStr">
        <is>
          <t>24 pr</t>
        </is>
      </c>
      <c r="M4445" s="12" t="inlineStr">
        <is>
          <t>18</t>
        </is>
      </c>
      <c r="N4445" s="12" t="n">
        <v>1</v>
      </c>
      <c r="O4445" s="12" t="n">
        <v>1</v>
      </c>
      <c r="P4445" s="12" t="n"/>
      <c r="Q4445" s="12" t="n"/>
      <c r="R4445" s="12" t="n"/>
      <c r="S4445" s="12" t="inlineStr">
        <is>
          <t>Duct bank</t>
        </is>
      </c>
      <c r="T4445" s="16" t="n">
        <v>356</v>
      </c>
      <c r="U4445" s="16" t="n">
        <v>50</v>
      </c>
      <c r="V4445" s="16">
        <f>ROUNDUP((T4445+U4445+2*'Read Me'!$B$13)*(1+'Read Me'!$B$12),-1)</f>
        <v/>
      </c>
      <c r="W4445" s="16">
        <f>V4445*N4445*O4445</f>
        <v/>
      </c>
      <c r="X4445" s="12">
        <f>IF(LEFT(I4445,2)="MV",2*N4445*IF(L4445="1/C",O4445,1),0)</f>
        <v/>
      </c>
      <c r="Y4445" s="12">
        <f>IF(OR(LEFT(K4445,4)="LVAX",LEFT(K4445,6)="MV15AX",LEFT(K4445,4)="CTAX",LEFT(K4445,2)="W|"),2*N4445*O4445,0)</f>
        <v/>
      </c>
      <c r="Z4445" s="12" t="inlineStr"/>
      <c r="AA4445" s="12">
        <f>N4445*O4445</f>
        <v/>
      </c>
    </row>
    <row r="4446">
      <c r="A4446" s="12" t="inlineStr">
        <is>
          <t>I-I-0088</t>
        </is>
      </c>
      <c r="B4446" s="12" t="inlineStr">
        <is>
          <t>I</t>
        </is>
      </c>
      <c r="C4446" s="12" t="inlineStr">
        <is>
          <t>Modular / portable power</t>
        </is>
      </c>
      <c r="D4446" s="12" t="inlineStr">
        <is>
          <t>Discrete device to JB JB-FC-5-DI01: 10 x 1 pr (field cables)</t>
        </is>
      </c>
      <c r="E4446" s="12" t="inlineStr">
        <is>
          <t>FC-5</t>
        </is>
      </c>
      <c r="F4446" s="12" t="inlineStr">
        <is>
          <t>FC-5: SOFC module (Bloom ES5 class, 200-300 kW)</t>
        </is>
      </c>
      <c r="G4446" s="12" t="inlineStr">
        <is>
          <t>JB-FC-5-DI01</t>
        </is>
      </c>
      <c r="H4446" s="12" t="inlineStr">
        <is>
          <t>FC-5: SOFC module (Bloom ES5 class, 200-300 kW)</t>
        </is>
      </c>
      <c r="I4446" s="12" t="inlineStr">
        <is>
          <t>Instrumentation</t>
        </is>
      </c>
      <c r="J4446" s="12" t="inlineStr">
        <is>
          <t>Instrumentation PLTC / TC-ER 300 V, #18 twisted shielded pairs, overall shield</t>
        </is>
      </c>
      <c r="K4446" s="12" t="inlineStr">
        <is>
          <t>PLTC|1 pr|16</t>
        </is>
      </c>
      <c r="L4446" s="12" t="inlineStr">
        <is>
          <t>1 pr</t>
        </is>
      </c>
      <c r="M4446" s="12" t="inlineStr">
        <is>
          <t>16</t>
        </is>
      </c>
      <c r="N4446" s="12" t="n">
        <v>10</v>
      </c>
      <c r="O4446" s="12" t="n">
        <v>1</v>
      </c>
      <c r="P4446" s="12" t="n"/>
      <c r="Q4446" s="12" t="n"/>
      <c r="R4446" s="12" t="n"/>
      <c r="S4446" s="12" t="inlineStr">
        <is>
          <t>Tray / conduit</t>
        </is>
      </c>
      <c r="T4446" s="16" t="n">
        <v>45</v>
      </c>
      <c r="U4446" s="16" t="n">
        <v>10</v>
      </c>
      <c r="V4446" s="16">
        <f>ROUNDUP((T4446+U4446+2*'Read Me'!$B$13)*(1+'Read Me'!$B$12),-1)</f>
        <v/>
      </c>
      <c r="W4446" s="16">
        <f>V4446*N4446*O4446</f>
        <v/>
      </c>
      <c r="X4446" s="12">
        <f>IF(LEFT(I4446,2)="MV",2*N4446*IF(L4446="1/C",O4446,1),0)</f>
        <v/>
      </c>
      <c r="Y4446" s="12">
        <f>IF(OR(LEFT(K4446,4)="LVAX",LEFT(K4446,6)="MV15AX",LEFT(K4446,4)="CTAX",LEFT(K4446,2)="W|"),2*N4446*O4446,0)</f>
        <v/>
      </c>
      <c r="Z4446" s="12" t="inlineStr">
        <is>
          <t>device-to-JB field wiring, one cable per device</t>
        </is>
      </c>
      <c r="AA4446" s="12">
        <f>N4446*O4446</f>
        <v/>
      </c>
    </row>
    <row r="4447">
      <c r="A4447" s="12" t="inlineStr">
        <is>
          <t>I-I-0089</t>
        </is>
      </c>
      <c r="B4447" s="12" t="inlineStr">
        <is>
          <t>I</t>
        </is>
      </c>
      <c r="C4447" s="12" t="inlineStr">
        <is>
          <t>Modular / portable power</t>
        </is>
      </c>
      <c r="D4447" s="12" t="inlineStr">
        <is>
          <t>Home run JB-FC-5-DI01 to the control / marshalling room</t>
        </is>
      </c>
      <c r="E4447" s="12" t="inlineStr">
        <is>
          <t>PAD-EH</t>
        </is>
      </c>
      <c r="F4447" s="12" t="inlineStr">
        <is>
          <t>PAD-EH 13.8 kV switchgear e-house</t>
        </is>
      </c>
      <c r="G4447" s="12" t="inlineStr">
        <is>
          <t>JB-FC-5-DI01</t>
        </is>
      </c>
      <c r="H4447" s="12" t="inlineStr">
        <is>
          <t>FC-5: SOFC module (Bloom ES5 class, 200-300 kW)</t>
        </is>
      </c>
      <c r="I4447" s="12" t="inlineStr">
        <is>
          <t>Instrumentation</t>
        </is>
      </c>
      <c r="J4447" s="12" t="inlineStr">
        <is>
          <t>Instrumentation PLTC / TC-ER 300 V, #18 twisted shielded pairs, overall shield</t>
        </is>
      </c>
      <c r="K4447" s="12" t="inlineStr">
        <is>
          <t>PLTC|24 pr|18</t>
        </is>
      </c>
      <c r="L4447" s="12" t="inlineStr">
        <is>
          <t>24 pr</t>
        </is>
      </c>
      <c r="M4447" s="12" t="inlineStr">
        <is>
          <t>18</t>
        </is>
      </c>
      <c r="N4447" s="12" t="n">
        <v>1</v>
      </c>
      <c r="O4447" s="12" t="n">
        <v>1</v>
      </c>
      <c r="P4447" s="12" t="n"/>
      <c r="Q4447" s="12" t="n"/>
      <c r="R4447" s="12" t="n"/>
      <c r="S4447" s="12" t="inlineStr">
        <is>
          <t>Duct bank</t>
        </is>
      </c>
      <c r="T4447" s="16" t="n">
        <v>356</v>
      </c>
      <c r="U4447" s="16" t="n">
        <v>50</v>
      </c>
      <c r="V4447" s="16">
        <f>ROUNDUP((T4447+U4447+2*'Read Me'!$B$13)*(1+'Read Me'!$B$12),-1)</f>
        <v/>
      </c>
      <c r="W4447" s="16">
        <f>V4447*N4447*O4447</f>
        <v/>
      </c>
      <c r="X4447" s="12">
        <f>IF(LEFT(I4447,2)="MV",2*N4447*IF(L4447="1/C",O4447,1),0)</f>
        <v/>
      </c>
      <c r="Y4447" s="12">
        <f>IF(OR(LEFT(K4447,4)="LVAX",LEFT(K4447,6)="MV15AX",LEFT(K4447,4)="CTAX",LEFT(K4447,2)="W|"),2*N4447*O4447,0)</f>
        <v/>
      </c>
      <c r="Z4447" s="12" t="inlineStr"/>
      <c r="AA4447" s="12">
        <f>N4447*O4447</f>
        <v/>
      </c>
    </row>
    <row r="4448">
      <c r="A4448" s="12" t="inlineStr">
        <is>
          <t>I-I-0090</t>
        </is>
      </c>
      <c r="B4448" s="12" t="inlineStr">
        <is>
          <t>I</t>
        </is>
      </c>
      <c r="C4448" s="12" t="inlineStr">
        <is>
          <t>Modular / portable power</t>
        </is>
      </c>
      <c r="D4448" s="12" t="inlineStr">
        <is>
          <t>Analog instrument to JB JB-FC-6-AI01: 10 x 1 pr (field cables)</t>
        </is>
      </c>
      <c r="E4448" s="12" t="inlineStr">
        <is>
          <t>FC-6</t>
        </is>
      </c>
      <c r="F4448" s="12" t="inlineStr">
        <is>
          <t>FC-6: SOFC module (Bloom ES5 class, 200-300 kW)</t>
        </is>
      </c>
      <c r="G4448" s="12" t="inlineStr">
        <is>
          <t>JB-FC-6-AI01</t>
        </is>
      </c>
      <c r="H4448" s="12" t="inlineStr">
        <is>
          <t>FC-6: SOFC module (Bloom ES5 class, 200-300 kW)</t>
        </is>
      </c>
      <c r="I4448" s="12" t="inlineStr">
        <is>
          <t>Instrumentation</t>
        </is>
      </c>
      <c r="J4448" s="12" t="inlineStr">
        <is>
          <t>Instrumentation PLTC / TC-ER 300 V, #18 twisted shielded pairs, overall shield</t>
        </is>
      </c>
      <c r="K4448" s="12" t="inlineStr">
        <is>
          <t>PLTC|1 pr|16</t>
        </is>
      </c>
      <c r="L4448" s="12" t="inlineStr">
        <is>
          <t>1 pr</t>
        </is>
      </c>
      <c r="M4448" s="12" t="inlineStr">
        <is>
          <t>16</t>
        </is>
      </c>
      <c r="N4448" s="12" t="n">
        <v>10</v>
      </c>
      <c r="O4448" s="12" t="n">
        <v>1</v>
      </c>
      <c r="P4448" s="12" t="n"/>
      <c r="Q4448" s="12" t="n"/>
      <c r="R4448" s="12" t="n"/>
      <c r="S4448" s="12" t="inlineStr">
        <is>
          <t>Tray / conduit</t>
        </is>
      </c>
      <c r="T4448" s="16" t="n">
        <v>45</v>
      </c>
      <c r="U4448" s="16" t="n">
        <v>10</v>
      </c>
      <c r="V4448" s="16">
        <f>ROUNDUP((T4448+U4448+2*'Read Me'!$B$13)*(1+'Read Me'!$B$12),-1)</f>
        <v/>
      </c>
      <c r="W4448" s="16">
        <f>V4448*N4448*O4448</f>
        <v/>
      </c>
      <c r="X4448" s="12">
        <f>IF(LEFT(I4448,2)="MV",2*N4448*IF(L4448="1/C",O4448,1),0)</f>
        <v/>
      </c>
      <c r="Y4448" s="12">
        <f>IF(OR(LEFT(K4448,4)="LVAX",LEFT(K4448,6)="MV15AX",LEFT(K4448,4)="CTAX",LEFT(K4448,2)="W|"),2*N4448*O4448,0)</f>
        <v/>
      </c>
      <c r="Z4448" s="12" t="inlineStr">
        <is>
          <t>device-to-JB field wiring, one cable per device</t>
        </is>
      </c>
      <c r="AA4448" s="12">
        <f>N4448*O4448</f>
        <v/>
      </c>
    </row>
    <row r="4449">
      <c r="A4449" s="12" t="inlineStr">
        <is>
          <t>I-I-0091</t>
        </is>
      </c>
      <c r="B4449" s="12" t="inlineStr">
        <is>
          <t>I</t>
        </is>
      </c>
      <c r="C4449" s="12" t="inlineStr">
        <is>
          <t>Modular / portable power</t>
        </is>
      </c>
      <c r="D4449" s="12" t="inlineStr">
        <is>
          <t>Home run JB-FC-6-AI01 to the control / marshalling room</t>
        </is>
      </c>
      <c r="E4449" s="12" t="inlineStr">
        <is>
          <t>PAD-EH</t>
        </is>
      </c>
      <c r="F4449" s="12" t="inlineStr">
        <is>
          <t>PAD-EH 13.8 kV switchgear e-house</t>
        </is>
      </c>
      <c r="G4449" s="12" t="inlineStr">
        <is>
          <t>JB-FC-6-AI01</t>
        </is>
      </c>
      <c r="H4449" s="12" t="inlineStr">
        <is>
          <t>FC-6: SOFC module (Bloom ES5 class, 200-300 kW)</t>
        </is>
      </c>
      <c r="I4449" s="12" t="inlineStr">
        <is>
          <t>Instrumentation</t>
        </is>
      </c>
      <c r="J4449" s="12" t="inlineStr">
        <is>
          <t>Instrumentation PLTC / TC-ER 300 V, #18 twisted shielded pairs, overall shield</t>
        </is>
      </c>
      <c r="K4449" s="12" t="inlineStr">
        <is>
          <t>PLTC|24 pr|18</t>
        </is>
      </c>
      <c r="L4449" s="12" t="inlineStr">
        <is>
          <t>24 pr</t>
        </is>
      </c>
      <c r="M4449" s="12" t="inlineStr">
        <is>
          <t>18</t>
        </is>
      </c>
      <c r="N4449" s="12" t="n">
        <v>1</v>
      </c>
      <c r="O4449" s="12" t="n">
        <v>1</v>
      </c>
      <c r="P4449" s="12" t="n"/>
      <c r="Q4449" s="12" t="n"/>
      <c r="R4449" s="12" t="n"/>
      <c r="S4449" s="12" t="inlineStr">
        <is>
          <t>Duct bank</t>
        </is>
      </c>
      <c r="T4449" s="16" t="n">
        <v>342</v>
      </c>
      <c r="U4449" s="16" t="n">
        <v>50</v>
      </c>
      <c r="V4449" s="16">
        <f>ROUNDUP((T4449+U4449+2*'Read Me'!$B$13)*(1+'Read Me'!$B$12),-1)</f>
        <v/>
      </c>
      <c r="W4449" s="16">
        <f>V4449*N4449*O4449</f>
        <v/>
      </c>
      <c r="X4449" s="12">
        <f>IF(LEFT(I4449,2)="MV",2*N4449*IF(L4449="1/C",O4449,1),0)</f>
        <v/>
      </c>
      <c r="Y4449" s="12">
        <f>IF(OR(LEFT(K4449,4)="LVAX",LEFT(K4449,6)="MV15AX",LEFT(K4449,4)="CTAX",LEFT(K4449,2)="W|"),2*N4449*O4449,0)</f>
        <v/>
      </c>
      <c r="Z4449" s="12" t="inlineStr"/>
      <c r="AA4449" s="12">
        <f>N4449*O4449</f>
        <v/>
      </c>
    </row>
    <row r="4450">
      <c r="A4450" s="12" t="inlineStr">
        <is>
          <t>I-I-0092</t>
        </is>
      </c>
      <c r="B4450" s="12" t="inlineStr">
        <is>
          <t>I</t>
        </is>
      </c>
      <c r="C4450" s="12" t="inlineStr">
        <is>
          <t>Modular / portable power</t>
        </is>
      </c>
      <c r="D4450" s="12" t="inlineStr">
        <is>
          <t>Discrete device to JB JB-FC-6-DI01: 10 x 1 pr (field cables)</t>
        </is>
      </c>
      <c r="E4450" s="12" t="inlineStr">
        <is>
          <t>FC-6</t>
        </is>
      </c>
      <c r="F4450" s="12" t="inlineStr">
        <is>
          <t>FC-6: SOFC module (Bloom ES5 class, 200-300 kW)</t>
        </is>
      </c>
      <c r="G4450" s="12" t="inlineStr">
        <is>
          <t>JB-FC-6-DI01</t>
        </is>
      </c>
      <c r="H4450" s="12" t="inlineStr">
        <is>
          <t>FC-6: SOFC module (Bloom ES5 class, 200-300 kW)</t>
        </is>
      </c>
      <c r="I4450" s="12" t="inlineStr">
        <is>
          <t>Instrumentation</t>
        </is>
      </c>
      <c r="J4450" s="12" t="inlineStr">
        <is>
          <t>Instrumentation PLTC / TC-ER 300 V, #18 twisted shielded pairs, overall shield</t>
        </is>
      </c>
      <c r="K4450" s="12" t="inlineStr">
        <is>
          <t>PLTC|1 pr|16</t>
        </is>
      </c>
      <c r="L4450" s="12" t="inlineStr">
        <is>
          <t>1 pr</t>
        </is>
      </c>
      <c r="M4450" s="12" t="inlineStr">
        <is>
          <t>16</t>
        </is>
      </c>
      <c r="N4450" s="12" t="n">
        <v>10</v>
      </c>
      <c r="O4450" s="12" t="n">
        <v>1</v>
      </c>
      <c r="P4450" s="12" t="n"/>
      <c r="Q4450" s="12" t="n"/>
      <c r="R4450" s="12" t="n"/>
      <c r="S4450" s="12" t="inlineStr">
        <is>
          <t>Tray / conduit</t>
        </is>
      </c>
      <c r="T4450" s="16" t="n">
        <v>45</v>
      </c>
      <c r="U4450" s="16" t="n">
        <v>10</v>
      </c>
      <c r="V4450" s="16">
        <f>ROUNDUP((T4450+U4450+2*'Read Me'!$B$13)*(1+'Read Me'!$B$12),-1)</f>
        <v/>
      </c>
      <c r="W4450" s="16">
        <f>V4450*N4450*O4450</f>
        <v/>
      </c>
      <c r="X4450" s="12">
        <f>IF(LEFT(I4450,2)="MV",2*N4450*IF(L4450="1/C",O4450,1),0)</f>
        <v/>
      </c>
      <c r="Y4450" s="12">
        <f>IF(OR(LEFT(K4450,4)="LVAX",LEFT(K4450,6)="MV15AX",LEFT(K4450,4)="CTAX",LEFT(K4450,2)="W|"),2*N4450*O4450,0)</f>
        <v/>
      </c>
      <c r="Z4450" s="12" t="inlineStr">
        <is>
          <t>device-to-JB field wiring, one cable per device</t>
        </is>
      </c>
      <c r="AA4450" s="12">
        <f>N4450*O4450</f>
        <v/>
      </c>
    </row>
    <row r="4451">
      <c r="A4451" s="12" t="inlineStr">
        <is>
          <t>I-I-0093</t>
        </is>
      </c>
      <c r="B4451" s="12" t="inlineStr">
        <is>
          <t>I</t>
        </is>
      </c>
      <c r="C4451" s="12" t="inlineStr">
        <is>
          <t>Modular / portable power</t>
        </is>
      </c>
      <c r="D4451" s="12" t="inlineStr">
        <is>
          <t>Home run JB-FC-6-DI01 to the control / marshalling room</t>
        </is>
      </c>
      <c r="E4451" s="12" t="inlineStr">
        <is>
          <t>PAD-EH</t>
        </is>
      </c>
      <c r="F4451" s="12" t="inlineStr">
        <is>
          <t>PAD-EH 13.8 kV switchgear e-house</t>
        </is>
      </c>
      <c r="G4451" s="12" t="inlineStr">
        <is>
          <t>JB-FC-6-DI01</t>
        </is>
      </c>
      <c r="H4451" s="12" t="inlineStr">
        <is>
          <t>FC-6: SOFC module (Bloom ES5 class, 200-300 kW)</t>
        </is>
      </c>
      <c r="I4451" s="12" t="inlineStr">
        <is>
          <t>Instrumentation</t>
        </is>
      </c>
      <c r="J4451" s="12" t="inlineStr">
        <is>
          <t>Instrumentation PLTC / TC-ER 300 V, #18 twisted shielded pairs, overall shield</t>
        </is>
      </c>
      <c r="K4451" s="12" t="inlineStr">
        <is>
          <t>PLTC|24 pr|18</t>
        </is>
      </c>
      <c r="L4451" s="12" t="inlineStr">
        <is>
          <t>24 pr</t>
        </is>
      </c>
      <c r="M4451" s="12" t="inlineStr">
        <is>
          <t>18</t>
        </is>
      </c>
      <c r="N4451" s="12" t="n">
        <v>1</v>
      </c>
      <c r="O4451" s="12" t="n">
        <v>1</v>
      </c>
      <c r="P4451" s="12" t="n"/>
      <c r="Q4451" s="12" t="n"/>
      <c r="R4451" s="12" t="n"/>
      <c r="S4451" s="12" t="inlineStr">
        <is>
          <t>Duct bank</t>
        </is>
      </c>
      <c r="T4451" s="16" t="n">
        <v>342</v>
      </c>
      <c r="U4451" s="16" t="n">
        <v>50</v>
      </c>
      <c r="V4451" s="16">
        <f>ROUNDUP((T4451+U4451+2*'Read Me'!$B$13)*(1+'Read Me'!$B$12),-1)</f>
        <v/>
      </c>
      <c r="W4451" s="16">
        <f>V4451*N4451*O4451</f>
        <v/>
      </c>
      <c r="X4451" s="12">
        <f>IF(LEFT(I4451,2)="MV",2*N4451*IF(L4451="1/C",O4451,1),0)</f>
        <v/>
      </c>
      <c r="Y4451" s="12">
        <f>IF(OR(LEFT(K4451,4)="LVAX",LEFT(K4451,6)="MV15AX",LEFT(K4451,4)="CTAX",LEFT(K4451,2)="W|"),2*N4451*O4451,0)</f>
        <v/>
      </c>
      <c r="Z4451" s="12" t="inlineStr"/>
      <c r="AA4451" s="12">
        <f>N4451*O4451</f>
        <v/>
      </c>
    </row>
    <row r="4452">
      <c r="A4452" s="12" t="inlineStr">
        <is>
          <t>I-I-0094</t>
        </is>
      </c>
      <c r="B4452" s="12" t="inlineStr">
        <is>
          <t>I</t>
        </is>
      </c>
      <c r="C4452" s="12" t="inlineStr">
        <is>
          <t>Modular / portable power</t>
        </is>
      </c>
      <c r="D4452" s="12" t="inlineStr">
        <is>
          <t>Analog instrument to JB JB-FC-7-AI01: 10 x 1 pr (field cables)</t>
        </is>
      </c>
      <c r="E4452" s="12" t="inlineStr">
        <is>
          <t>FC-7</t>
        </is>
      </c>
      <c r="F4452" s="12" t="inlineStr">
        <is>
          <t>FC-7: SOFC module (Bloom ES5 class, 200-300 kW)</t>
        </is>
      </c>
      <c r="G4452" s="12" t="inlineStr">
        <is>
          <t>JB-FC-7-AI01</t>
        </is>
      </c>
      <c r="H4452" s="12" t="inlineStr">
        <is>
          <t>FC-7: SOFC module (Bloom ES5 class, 200-300 kW)</t>
        </is>
      </c>
      <c r="I4452" s="12" t="inlineStr">
        <is>
          <t>Instrumentation</t>
        </is>
      </c>
      <c r="J4452" s="12" t="inlineStr">
        <is>
          <t>Instrumentation PLTC / TC-ER 300 V, #18 twisted shielded pairs, overall shield</t>
        </is>
      </c>
      <c r="K4452" s="12" t="inlineStr">
        <is>
          <t>PLTC|1 pr|16</t>
        </is>
      </c>
      <c r="L4452" s="12" t="inlineStr">
        <is>
          <t>1 pr</t>
        </is>
      </c>
      <c r="M4452" s="12" t="inlineStr">
        <is>
          <t>16</t>
        </is>
      </c>
      <c r="N4452" s="12" t="n">
        <v>10</v>
      </c>
      <c r="O4452" s="12" t="n">
        <v>1</v>
      </c>
      <c r="P4452" s="12" t="n"/>
      <c r="Q4452" s="12" t="n"/>
      <c r="R4452" s="12" t="n"/>
      <c r="S4452" s="12" t="inlineStr">
        <is>
          <t>Tray / conduit</t>
        </is>
      </c>
      <c r="T4452" s="16" t="n">
        <v>45</v>
      </c>
      <c r="U4452" s="16" t="n">
        <v>10</v>
      </c>
      <c r="V4452" s="16">
        <f>ROUNDUP((T4452+U4452+2*'Read Me'!$B$13)*(1+'Read Me'!$B$12),-1)</f>
        <v/>
      </c>
      <c r="W4452" s="16">
        <f>V4452*N4452*O4452</f>
        <v/>
      </c>
      <c r="X4452" s="12">
        <f>IF(LEFT(I4452,2)="MV",2*N4452*IF(L4452="1/C",O4452,1),0)</f>
        <v/>
      </c>
      <c r="Y4452" s="12">
        <f>IF(OR(LEFT(K4452,4)="LVAX",LEFT(K4452,6)="MV15AX",LEFT(K4452,4)="CTAX",LEFT(K4452,2)="W|"),2*N4452*O4452,0)</f>
        <v/>
      </c>
      <c r="Z4452" s="12" t="inlineStr">
        <is>
          <t>device-to-JB field wiring, one cable per device</t>
        </is>
      </c>
      <c r="AA4452" s="12">
        <f>N4452*O4452</f>
        <v/>
      </c>
    </row>
    <row r="4453">
      <c r="A4453" s="12" t="inlineStr">
        <is>
          <t>I-I-0095</t>
        </is>
      </c>
      <c r="B4453" s="12" t="inlineStr">
        <is>
          <t>I</t>
        </is>
      </c>
      <c r="C4453" s="12" t="inlineStr">
        <is>
          <t>Modular / portable power</t>
        </is>
      </c>
      <c r="D4453" s="12" t="inlineStr">
        <is>
          <t>Home run JB-FC-7-AI01 to the control / marshalling room</t>
        </is>
      </c>
      <c r="E4453" s="12" t="inlineStr">
        <is>
          <t>PAD-EH</t>
        </is>
      </c>
      <c r="F4453" s="12" t="inlineStr">
        <is>
          <t>PAD-EH 13.8 kV switchgear e-house</t>
        </is>
      </c>
      <c r="G4453" s="12" t="inlineStr">
        <is>
          <t>JB-FC-7-AI01</t>
        </is>
      </c>
      <c r="H4453" s="12" t="inlineStr">
        <is>
          <t>FC-7: SOFC module (Bloom ES5 class, 200-300 kW)</t>
        </is>
      </c>
      <c r="I4453" s="12" t="inlineStr">
        <is>
          <t>Instrumentation</t>
        </is>
      </c>
      <c r="J4453" s="12" t="inlineStr">
        <is>
          <t>Instrumentation PLTC / TC-ER 300 V, #18 twisted shielded pairs, overall shield</t>
        </is>
      </c>
      <c r="K4453" s="12" t="inlineStr">
        <is>
          <t>PLTC|24 pr|18</t>
        </is>
      </c>
      <c r="L4453" s="12" t="inlineStr">
        <is>
          <t>24 pr</t>
        </is>
      </c>
      <c r="M4453" s="12" t="inlineStr">
        <is>
          <t>18</t>
        </is>
      </c>
      <c r="N4453" s="12" t="n">
        <v>1</v>
      </c>
      <c r="O4453" s="12" t="n">
        <v>1</v>
      </c>
      <c r="P4453" s="12" t="n"/>
      <c r="Q4453" s="12" t="n"/>
      <c r="R4453" s="12" t="n"/>
      <c r="S4453" s="12" t="inlineStr">
        <is>
          <t>Duct bank</t>
        </is>
      </c>
      <c r="T4453" s="16" t="n">
        <v>328</v>
      </c>
      <c r="U4453" s="16" t="n">
        <v>50</v>
      </c>
      <c r="V4453" s="16">
        <f>ROUNDUP((T4453+U4453+2*'Read Me'!$B$13)*(1+'Read Me'!$B$12),-1)</f>
        <v/>
      </c>
      <c r="W4453" s="16">
        <f>V4453*N4453*O4453</f>
        <v/>
      </c>
      <c r="X4453" s="12">
        <f>IF(LEFT(I4453,2)="MV",2*N4453*IF(L4453="1/C",O4453,1),0)</f>
        <v/>
      </c>
      <c r="Y4453" s="12">
        <f>IF(OR(LEFT(K4453,4)="LVAX",LEFT(K4453,6)="MV15AX",LEFT(K4453,4)="CTAX",LEFT(K4453,2)="W|"),2*N4453*O4453,0)</f>
        <v/>
      </c>
      <c r="Z4453" s="12" t="inlineStr"/>
      <c r="AA4453" s="12">
        <f>N4453*O4453</f>
        <v/>
      </c>
    </row>
    <row r="4454">
      <c r="A4454" s="12" t="inlineStr">
        <is>
          <t>I-I-0096</t>
        </is>
      </c>
      <c r="B4454" s="12" t="inlineStr">
        <is>
          <t>I</t>
        </is>
      </c>
      <c r="C4454" s="12" t="inlineStr">
        <is>
          <t>Modular / portable power</t>
        </is>
      </c>
      <c r="D4454" s="12" t="inlineStr">
        <is>
          <t>Discrete device to JB JB-FC-7-DI01: 10 x 1 pr (field cables)</t>
        </is>
      </c>
      <c r="E4454" s="12" t="inlineStr">
        <is>
          <t>FC-7</t>
        </is>
      </c>
      <c r="F4454" s="12" t="inlineStr">
        <is>
          <t>FC-7: SOFC module (Bloom ES5 class, 200-300 kW)</t>
        </is>
      </c>
      <c r="G4454" s="12" t="inlineStr">
        <is>
          <t>JB-FC-7-DI01</t>
        </is>
      </c>
      <c r="H4454" s="12" t="inlineStr">
        <is>
          <t>FC-7: SOFC module (Bloom ES5 class, 200-300 kW)</t>
        </is>
      </c>
      <c r="I4454" s="12" t="inlineStr">
        <is>
          <t>Instrumentation</t>
        </is>
      </c>
      <c r="J4454" s="12" t="inlineStr">
        <is>
          <t>Instrumentation PLTC / TC-ER 300 V, #18 twisted shielded pairs, overall shield</t>
        </is>
      </c>
      <c r="K4454" s="12" t="inlineStr">
        <is>
          <t>PLTC|1 pr|16</t>
        </is>
      </c>
      <c r="L4454" s="12" t="inlineStr">
        <is>
          <t>1 pr</t>
        </is>
      </c>
      <c r="M4454" s="12" t="inlineStr">
        <is>
          <t>16</t>
        </is>
      </c>
      <c r="N4454" s="12" t="n">
        <v>10</v>
      </c>
      <c r="O4454" s="12" t="n">
        <v>1</v>
      </c>
      <c r="P4454" s="12" t="n"/>
      <c r="Q4454" s="12" t="n"/>
      <c r="R4454" s="12" t="n"/>
      <c r="S4454" s="12" t="inlineStr">
        <is>
          <t>Tray / conduit</t>
        </is>
      </c>
      <c r="T4454" s="16" t="n">
        <v>45</v>
      </c>
      <c r="U4454" s="16" t="n">
        <v>10</v>
      </c>
      <c r="V4454" s="16">
        <f>ROUNDUP((T4454+U4454+2*'Read Me'!$B$13)*(1+'Read Me'!$B$12),-1)</f>
        <v/>
      </c>
      <c r="W4454" s="16">
        <f>V4454*N4454*O4454</f>
        <v/>
      </c>
      <c r="X4454" s="12">
        <f>IF(LEFT(I4454,2)="MV",2*N4454*IF(L4454="1/C",O4454,1),0)</f>
        <v/>
      </c>
      <c r="Y4454" s="12">
        <f>IF(OR(LEFT(K4454,4)="LVAX",LEFT(K4454,6)="MV15AX",LEFT(K4454,4)="CTAX",LEFT(K4454,2)="W|"),2*N4454*O4454,0)</f>
        <v/>
      </c>
      <c r="Z4454" s="12" t="inlineStr">
        <is>
          <t>device-to-JB field wiring, one cable per device</t>
        </is>
      </c>
      <c r="AA4454" s="12">
        <f>N4454*O4454</f>
        <v/>
      </c>
    </row>
    <row r="4455">
      <c r="A4455" s="12" t="inlineStr">
        <is>
          <t>I-I-0097</t>
        </is>
      </c>
      <c r="B4455" s="12" t="inlineStr">
        <is>
          <t>I</t>
        </is>
      </c>
      <c r="C4455" s="12" t="inlineStr">
        <is>
          <t>Modular / portable power</t>
        </is>
      </c>
      <c r="D4455" s="12" t="inlineStr">
        <is>
          <t>Home run JB-FC-7-DI01 to the control / marshalling room</t>
        </is>
      </c>
      <c r="E4455" s="12" t="inlineStr">
        <is>
          <t>PAD-EH</t>
        </is>
      </c>
      <c r="F4455" s="12" t="inlineStr">
        <is>
          <t>PAD-EH 13.8 kV switchgear e-house</t>
        </is>
      </c>
      <c r="G4455" s="12" t="inlineStr">
        <is>
          <t>JB-FC-7-DI01</t>
        </is>
      </c>
      <c r="H4455" s="12" t="inlineStr">
        <is>
          <t>FC-7: SOFC module (Bloom ES5 class, 200-300 kW)</t>
        </is>
      </c>
      <c r="I4455" s="12" t="inlineStr">
        <is>
          <t>Instrumentation</t>
        </is>
      </c>
      <c r="J4455" s="12" t="inlineStr">
        <is>
          <t>Instrumentation PLTC / TC-ER 300 V, #18 twisted shielded pairs, overall shield</t>
        </is>
      </c>
      <c r="K4455" s="12" t="inlineStr">
        <is>
          <t>PLTC|24 pr|18</t>
        </is>
      </c>
      <c r="L4455" s="12" t="inlineStr">
        <is>
          <t>24 pr</t>
        </is>
      </c>
      <c r="M4455" s="12" t="inlineStr">
        <is>
          <t>18</t>
        </is>
      </c>
      <c r="N4455" s="12" t="n">
        <v>1</v>
      </c>
      <c r="O4455" s="12" t="n">
        <v>1</v>
      </c>
      <c r="P4455" s="12" t="n"/>
      <c r="Q4455" s="12" t="n"/>
      <c r="R4455" s="12" t="n"/>
      <c r="S4455" s="12" t="inlineStr">
        <is>
          <t>Duct bank</t>
        </is>
      </c>
      <c r="T4455" s="16" t="n">
        <v>328</v>
      </c>
      <c r="U4455" s="16" t="n">
        <v>50</v>
      </c>
      <c r="V4455" s="16">
        <f>ROUNDUP((T4455+U4455+2*'Read Me'!$B$13)*(1+'Read Me'!$B$12),-1)</f>
        <v/>
      </c>
      <c r="W4455" s="16">
        <f>V4455*N4455*O4455</f>
        <v/>
      </c>
      <c r="X4455" s="12">
        <f>IF(LEFT(I4455,2)="MV",2*N4455*IF(L4455="1/C",O4455,1),0)</f>
        <v/>
      </c>
      <c r="Y4455" s="12">
        <f>IF(OR(LEFT(K4455,4)="LVAX",LEFT(K4455,6)="MV15AX",LEFT(K4455,4)="CTAX",LEFT(K4455,2)="W|"),2*N4455*O4455,0)</f>
        <v/>
      </c>
      <c r="Z4455" s="12" t="inlineStr"/>
      <c r="AA4455" s="12">
        <f>N4455*O4455</f>
        <v/>
      </c>
    </row>
    <row r="4456">
      <c r="A4456" s="12" t="inlineStr">
        <is>
          <t>I-I-0098</t>
        </is>
      </c>
      <c r="B4456" s="12" t="inlineStr">
        <is>
          <t>I</t>
        </is>
      </c>
      <c r="C4456" s="12" t="inlineStr">
        <is>
          <t>Modular / portable power</t>
        </is>
      </c>
      <c r="D4456" s="12" t="inlineStr">
        <is>
          <t>Analog instrument to JB JB-FC-8-AI01: 10 x 1 pr (field cables)</t>
        </is>
      </c>
      <c r="E4456" s="12" t="inlineStr">
        <is>
          <t>FC-8</t>
        </is>
      </c>
      <c r="F4456" s="12" t="inlineStr">
        <is>
          <t>FC-8: SOFC module (Bloom ES5 class, 200-300 kW)</t>
        </is>
      </c>
      <c r="G4456" s="12" t="inlineStr">
        <is>
          <t>JB-FC-8-AI01</t>
        </is>
      </c>
      <c r="H4456" s="12" t="inlineStr">
        <is>
          <t>FC-8: SOFC module (Bloom ES5 class, 200-300 kW)</t>
        </is>
      </c>
      <c r="I4456" s="12" t="inlineStr">
        <is>
          <t>Instrumentation</t>
        </is>
      </c>
      <c r="J4456" s="12" t="inlineStr">
        <is>
          <t>Instrumentation PLTC / TC-ER 300 V, #18 twisted shielded pairs, overall shield</t>
        </is>
      </c>
      <c r="K4456" s="12" t="inlineStr">
        <is>
          <t>PLTC|1 pr|16</t>
        </is>
      </c>
      <c r="L4456" s="12" t="inlineStr">
        <is>
          <t>1 pr</t>
        </is>
      </c>
      <c r="M4456" s="12" t="inlineStr">
        <is>
          <t>16</t>
        </is>
      </c>
      <c r="N4456" s="12" t="n">
        <v>10</v>
      </c>
      <c r="O4456" s="12" t="n">
        <v>1</v>
      </c>
      <c r="P4456" s="12" t="n"/>
      <c r="Q4456" s="12" t="n"/>
      <c r="R4456" s="12" t="n"/>
      <c r="S4456" s="12" t="inlineStr">
        <is>
          <t>Tray / conduit</t>
        </is>
      </c>
      <c r="T4456" s="16" t="n">
        <v>45</v>
      </c>
      <c r="U4456" s="16" t="n">
        <v>10</v>
      </c>
      <c r="V4456" s="16">
        <f>ROUNDUP((T4456+U4456+2*'Read Me'!$B$13)*(1+'Read Me'!$B$12),-1)</f>
        <v/>
      </c>
      <c r="W4456" s="16">
        <f>V4456*N4456*O4456</f>
        <v/>
      </c>
      <c r="X4456" s="12">
        <f>IF(LEFT(I4456,2)="MV",2*N4456*IF(L4456="1/C",O4456,1),0)</f>
        <v/>
      </c>
      <c r="Y4456" s="12">
        <f>IF(OR(LEFT(K4456,4)="LVAX",LEFT(K4456,6)="MV15AX",LEFT(K4456,4)="CTAX",LEFT(K4456,2)="W|"),2*N4456*O4456,0)</f>
        <v/>
      </c>
      <c r="Z4456" s="12" t="inlineStr">
        <is>
          <t>device-to-JB field wiring, one cable per device</t>
        </is>
      </c>
      <c r="AA4456" s="12">
        <f>N4456*O4456</f>
        <v/>
      </c>
    </row>
    <row r="4457">
      <c r="A4457" s="12" t="inlineStr">
        <is>
          <t>I-I-0099</t>
        </is>
      </c>
      <c r="B4457" s="12" t="inlineStr">
        <is>
          <t>I</t>
        </is>
      </c>
      <c r="C4457" s="12" t="inlineStr">
        <is>
          <t>Modular / portable power</t>
        </is>
      </c>
      <c r="D4457" s="12" t="inlineStr">
        <is>
          <t>Home run JB-FC-8-AI01 to the control / marshalling room</t>
        </is>
      </c>
      <c r="E4457" s="12" t="inlineStr">
        <is>
          <t>PAD-EH</t>
        </is>
      </c>
      <c r="F4457" s="12" t="inlineStr">
        <is>
          <t>PAD-EH 13.8 kV switchgear e-house</t>
        </is>
      </c>
      <c r="G4457" s="12" t="inlineStr">
        <is>
          <t>JB-FC-8-AI01</t>
        </is>
      </c>
      <c r="H4457" s="12" t="inlineStr">
        <is>
          <t>FC-8: SOFC module (Bloom ES5 class, 200-300 kW)</t>
        </is>
      </c>
      <c r="I4457" s="12" t="inlineStr">
        <is>
          <t>Instrumentation</t>
        </is>
      </c>
      <c r="J4457" s="12" t="inlineStr">
        <is>
          <t>Instrumentation PLTC / TC-ER 300 V, #18 twisted shielded pairs, overall shield</t>
        </is>
      </c>
      <c r="K4457" s="12" t="inlineStr">
        <is>
          <t>PLTC|24 pr|18</t>
        </is>
      </c>
      <c r="L4457" s="12" t="inlineStr">
        <is>
          <t>24 pr</t>
        </is>
      </c>
      <c r="M4457" s="12" t="inlineStr">
        <is>
          <t>18</t>
        </is>
      </c>
      <c r="N4457" s="12" t="n">
        <v>1</v>
      </c>
      <c r="O4457" s="12" t="n">
        <v>1</v>
      </c>
      <c r="P4457" s="12" t="n"/>
      <c r="Q4457" s="12" t="n"/>
      <c r="R4457" s="12" t="n"/>
      <c r="S4457" s="12" t="inlineStr">
        <is>
          <t>Duct bank</t>
        </is>
      </c>
      <c r="T4457" s="16" t="n">
        <v>314</v>
      </c>
      <c r="U4457" s="16" t="n">
        <v>50</v>
      </c>
      <c r="V4457" s="16">
        <f>ROUNDUP((T4457+U4457+2*'Read Me'!$B$13)*(1+'Read Me'!$B$12),-1)</f>
        <v/>
      </c>
      <c r="W4457" s="16">
        <f>V4457*N4457*O4457</f>
        <v/>
      </c>
      <c r="X4457" s="12">
        <f>IF(LEFT(I4457,2)="MV",2*N4457*IF(L4457="1/C",O4457,1),0)</f>
        <v/>
      </c>
      <c r="Y4457" s="12">
        <f>IF(OR(LEFT(K4457,4)="LVAX",LEFT(K4457,6)="MV15AX",LEFT(K4457,4)="CTAX",LEFT(K4457,2)="W|"),2*N4457*O4457,0)</f>
        <v/>
      </c>
      <c r="Z4457" s="12" t="inlineStr"/>
      <c r="AA4457" s="12">
        <f>N4457*O4457</f>
        <v/>
      </c>
    </row>
    <row r="4458">
      <c r="A4458" s="12" t="inlineStr">
        <is>
          <t>I-I-0100</t>
        </is>
      </c>
      <c r="B4458" s="12" t="inlineStr">
        <is>
          <t>I</t>
        </is>
      </c>
      <c r="C4458" s="12" t="inlineStr">
        <is>
          <t>Modular / portable power</t>
        </is>
      </c>
      <c r="D4458" s="12" t="inlineStr">
        <is>
          <t>Discrete device to JB JB-FC-8-DI01: 10 x 1 pr (field cables)</t>
        </is>
      </c>
      <c r="E4458" s="12" t="inlineStr">
        <is>
          <t>FC-8</t>
        </is>
      </c>
      <c r="F4458" s="12" t="inlineStr">
        <is>
          <t>FC-8: SOFC module (Bloom ES5 class, 200-300 kW)</t>
        </is>
      </c>
      <c r="G4458" s="12" t="inlineStr">
        <is>
          <t>JB-FC-8-DI01</t>
        </is>
      </c>
      <c r="H4458" s="12" t="inlineStr">
        <is>
          <t>FC-8: SOFC module (Bloom ES5 class, 200-300 kW)</t>
        </is>
      </c>
      <c r="I4458" s="12" t="inlineStr">
        <is>
          <t>Instrumentation</t>
        </is>
      </c>
      <c r="J4458" s="12" t="inlineStr">
        <is>
          <t>Instrumentation PLTC / TC-ER 300 V, #18 twisted shielded pairs, overall shield</t>
        </is>
      </c>
      <c r="K4458" s="12" t="inlineStr">
        <is>
          <t>PLTC|1 pr|16</t>
        </is>
      </c>
      <c r="L4458" s="12" t="inlineStr">
        <is>
          <t>1 pr</t>
        </is>
      </c>
      <c r="M4458" s="12" t="inlineStr">
        <is>
          <t>16</t>
        </is>
      </c>
      <c r="N4458" s="12" t="n">
        <v>10</v>
      </c>
      <c r="O4458" s="12" t="n">
        <v>1</v>
      </c>
      <c r="P4458" s="12" t="n"/>
      <c r="Q4458" s="12" t="n"/>
      <c r="R4458" s="12" t="n"/>
      <c r="S4458" s="12" t="inlineStr">
        <is>
          <t>Tray / conduit</t>
        </is>
      </c>
      <c r="T4458" s="16" t="n">
        <v>45</v>
      </c>
      <c r="U4458" s="16" t="n">
        <v>10</v>
      </c>
      <c r="V4458" s="16">
        <f>ROUNDUP((T4458+U4458+2*'Read Me'!$B$13)*(1+'Read Me'!$B$12),-1)</f>
        <v/>
      </c>
      <c r="W4458" s="16">
        <f>V4458*N4458*O4458</f>
        <v/>
      </c>
      <c r="X4458" s="12">
        <f>IF(LEFT(I4458,2)="MV",2*N4458*IF(L4458="1/C",O4458,1),0)</f>
        <v/>
      </c>
      <c r="Y4458" s="12">
        <f>IF(OR(LEFT(K4458,4)="LVAX",LEFT(K4458,6)="MV15AX",LEFT(K4458,4)="CTAX",LEFT(K4458,2)="W|"),2*N4458*O4458,0)</f>
        <v/>
      </c>
      <c r="Z4458" s="12" t="inlineStr">
        <is>
          <t>device-to-JB field wiring, one cable per device</t>
        </is>
      </c>
      <c r="AA4458" s="12">
        <f>N4458*O4458</f>
        <v/>
      </c>
    </row>
    <row r="4459">
      <c r="A4459" s="12" t="inlineStr">
        <is>
          <t>I-I-0101</t>
        </is>
      </c>
      <c r="B4459" s="12" t="inlineStr">
        <is>
          <t>I</t>
        </is>
      </c>
      <c r="C4459" s="12" t="inlineStr">
        <is>
          <t>Modular / portable power</t>
        </is>
      </c>
      <c r="D4459" s="12" t="inlineStr">
        <is>
          <t>Home run JB-FC-8-DI01 to the control / marshalling room</t>
        </is>
      </c>
      <c r="E4459" s="12" t="inlineStr">
        <is>
          <t>PAD-EH</t>
        </is>
      </c>
      <c r="F4459" s="12" t="inlineStr">
        <is>
          <t>PAD-EH 13.8 kV switchgear e-house</t>
        </is>
      </c>
      <c r="G4459" s="12" t="inlineStr">
        <is>
          <t>JB-FC-8-DI01</t>
        </is>
      </c>
      <c r="H4459" s="12" t="inlineStr">
        <is>
          <t>FC-8: SOFC module (Bloom ES5 class, 200-300 kW)</t>
        </is>
      </c>
      <c r="I4459" s="12" t="inlineStr">
        <is>
          <t>Instrumentation</t>
        </is>
      </c>
      <c r="J4459" s="12" t="inlineStr">
        <is>
          <t>Instrumentation PLTC / TC-ER 300 V, #18 twisted shielded pairs, overall shield</t>
        </is>
      </c>
      <c r="K4459" s="12" t="inlineStr">
        <is>
          <t>PLTC|24 pr|18</t>
        </is>
      </c>
      <c r="L4459" s="12" t="inlineStr">
        <is>
          <t>24 pr</t>
        </is>
      </c>
      <c r="M4459" s="12" t="inlineStr">
        <is>
          <t>18</t>
        </is>
      </c>
      <c r="N4459" s="12" t="n">
        <v>1</v>
      </c>
      <c r="O4459" s="12" t="n">
        <v>1</v>
      </c>
      <c r="P4459" s="12" t="n"/>
      <c r="Q4459" s="12" t="n"/>
      <c r="R4459" s="12" t="n"/>
      <c r="S4459" s="12" t="inlineStr">
        <is>
          <t>Duct bank</t>
        </is>
      </c>
      <c r="T4459" s="16" t="n">
        <v>314</v>
      </c>
      <c r="U4459" s="16" t="n">
        <v>50</v>
      </c>
      <c r="V4459" s="16">
        <f>ROUNDUP((T4459+U4459+2*'Read Me'!$B$13)*(1+'Read Me'!$B$12),-1)</f>
        <v/>
      </c>
      <c r="W4459" s="16">
        <f>V4459*N4459*O4459</f>
        <v/>
      </c>
      <c r="X4459" s="12">
        <f>IF(LEFT(I4459,2)="MV",2*N4459*IF(L4459="1/C",O4459,1),0)</f>
        <v/>
      </c>
      <c r="Y4459" s="12">
        <f>IF(OR(LEFT(K4459,4)="LVAX",LEFT(K4459,6)="MV15AX",LEFT(K4459,4)="CTAX",LEFT(K4459,2)="W|"),2*N4459*O4459,0)</f>
        <v/>
      </c>
      <c r="Z4459" s="12" t="inlineStr"/>
      <c r="AA4459" s="12">
        <f>N4459*O4459</f>
        <v/>
      </c>
    </row>
    <row r="4460">
      <c r="A4460" s="12" t="inlineStr">
        <is>
          <t>I-I-0102</t>
        </is>
      </c>
      <c r="B4460" s="12" t="inlineStr">
        <is>
          <t>I</t>
        </is>
      </c>
      <c r="C4460" s="12" t="inlineStr">
        <is>
          <t>Modular / portable power</t>
        </is>
      </c>
      <c r="D4460" s="12" t="inlineStr">
        <is>
          <t>Analog instrument to JB JB-FC-9-AI01: 10 x 1 pr (field cables)</t>
        </is>
      </c>
      <c r="E4460" s="12" t="inlineStr">
        <is>
          <t>FC-9</t>
        </is>
      </c>
      <c r="F4460" s="12" t="inlineStr">
        <is>
          <t>FC-9: SOFC module (Bloom ES5 class, 200-300 kW)</t>
        </is>
      </c>
      <c r="G4460" s="12" t="inlineStr">
        <is>
          <t>JB-FC-9-AI01</t>
        </is>
      </c>
      <c r="H4460" s="12" t="inlineStr">
        <is>
          <t>FC-9: SOFC module (Bloom ES5 class, 200-300 kW)</t>
        </is>
      </c>
      <c r="I4460" s="12" t="inlineStr">
        <is>
          <t>Instrumentation</t>
        </is>
      </c>
      <c r="J4460" s="12" t="inlineStr">
        <is>
          <t>Instrumentation PLTC / TC-ER 300 V, #18 twisted shielded pairs, overall shield</t>
        </is>
      </c>
      <c r="K4460" s="12" t="inlineStr">
        <is>
          <t>PLTC|1 pr|16</t>
        </is>
      </c>
      <c r="L4460" s="12" t="inlineStr">
        <is>
          <t>1 pr</t>
        </is>
      </c>
      <c r="M4460" s="12" t="inlineStr">
        <is>
          <t>16</t>
        </is>
      </c>
      <c r="N4460" s="12" t="n">
        <v>10</v>
      </c>
      <c r="O4460" s="12" t="n">
        <v>1</v>
      </c>
      <c r="P4460" s="12" t="n"/>
      <c r="Q4460" s="12" t="n"/>
      <c r="R4460" s="12" t="n"/>
      <c r="S4460" s="12" t="inlineStr">
        <is>
          <t>Tray / conduit</t>
        </is>
      </c>
      <c r="T4460" s="16" t="n">
        <v>45</v>
      </c>
      <c r="U4460" s="16" t="n">
        <v>10</v>
      </c>
      <c r="V4460" s="16">
        <f>ROUNDUP((T4460+U4460+2*'Read Me'!$B$13)*(1+'Read Me'!$B$12),-1)</f>
        <v/>
      </c>
      <c r="W4460" s="16">
        <f>V4460*N4460*O4460</f>
        <v/>
      </c>
      <c r="X4460" s="12">
        <f>IF(LEFT(I4460,2)="MV",2*N4460*IF(L4460="1/C",O4460,1),0)</f>
        <v/>
      </c>
      <c r="Y4460" s="12">
        <f>IF(OR(LEFT(K4460,4)="LVAX",LEFT(K4460,6)="MV15AX",LEFT(K4460,4)="CTAX",LEFT(K4460,2)="W|"),2*N4460*O4460,0)</f>
        <v/>
      </c>
      <c r="Z4460" s="12" t="inlineStr">
        <is>
          <t>device-to-JB field wiring, one cable per device</t>
        </is>
      </c>
      <c r="AA4460" s="12">
        <f>N4460*O4460</f>
        <v/>
      </c>
    </row>
    <row r="4461">
      <c r="A4461" s="12" t="inlineStr">
        <is>
          <t>I-I-0103</t>
        </is>
      </c>
      <c r="B4461" s="12" t="inlineStr">
        <is>
          <t>I</t>
        </is>
      </c>
      <c r="C4461" s="12" t="inlineStr">
        <is>
          <t>Modular / portable power</t>
        </is>
      </c>
      <c r="D4461" s="12" t="inlineStr">
        <is>
          <t>Home run JB-FC-9-AI01 to the control / marshalling room</t>
        </is>
      </c>
      <c r="E4461" s="12" t="inlineStr">
        <is>
          <t>PAD-EH</t>
        </is>
      </c>
      <c r="F4461" s="12" t="inlineStr">
        <is>
          <t>PAD-EH 13.8 kV switchgear e-house</t>
        </is>
      </c>
      <c r="G4461" s="12" t="inlineStr">
        <is>
          <t>JB-FC-9-AI01</t>
        </is>
      </c>
      <c r="H4461" s="12" t="inlineStr">
        <is>
          <t>FC-9: SOFC module (Bloom ES5 class, 200-300 kW)</t>
        </is>
      </c>
      <c r="I4461" s="12" t="inlineStr">
        <is>
          <t>Instrumentation</t>
        </is>
      </c>
      <c r="J4461" s="12" t="inlineStr">
        <is>
          <t>Instrumentation PLTC / TC-ER 300 V, #18 twisted shielded pairs, overall shield</t>
        </is>
      </c>
      <c r="K4461" s="12" t="inlineStr">
        <is>
          <t>PLTC|24 pr|18</t>
        </is>
      </c>
      <c r="L4461" s="12" t="inlineStr">
        <is>
          <t>24 pr</t>
        </is>
      </c>
      <c r="M4461" s="12" t="inlineStr">
        <is>
          <t>18</t>
        </is>
      </c>
      <c r="N4461" s="12" t="n">
        <v>1</v>
      </c>
      <c r="O4461" s="12" t="n">
        <v>1</v>
      </c>
      <c r="P4461" s="12" t="n"/>
      <c r="Q4461" s="12" t="n"/>
      <c r="R4461" s="12" t="n"/>
      <c r="S4461" s="12" t="inlineStr">
        <is>
          <t>Duct bank</t>
        </is>
      </c>
      <c r="T4461" s="16" t="n">
        <v>300</v>
      </c>
      <c r="U4461" s="16" t="n">
        <v>50</v>
      </c>
      <c r="V4461" s="16">
        <f>ROUNDUP((T4461+U4461+2*'Read Me'!$B$13)*(1+'Read Me'!$B$12),-1)</f>
        <v/>
      </c>
      <c r="W4461" s="16">
        <f>V4461*N4461*O4461</f>
        <v/>
      </c>
      <c r="X4461" s="12">
        <f>IF(LEFT(I4461,2)="MV",2*N4461*IF(L4461="1/C",O4461,1),0)</f>
        <v/>
      </c>
      <c r="Y4461" s="12">
        <f>IF(OR(LEFT(K4461,4)="LVAX",LEFT(K4461,6)="MV15AX",LEFT(K4461,4)="CTAX",LEFT(K4461,2)="W|"),2*N4461*O4461,0)</f>
        <v/>
      </c>
      <c r="Z4461" s="12" t="inlineStr"/>
      <c r="AA4461" s="12">
        <f>N4461*O4461</f>
        <v/>
      </c>
    </row>
    <row r="4462">
      <c r="A4462" s="12" t="inlineStr">
        <is>
          <t>I-I-0104</t>
        </is>
      </c>
      <c r="B4462" s="12" t="inlineStr">
        <is>
          <t>I</t>
        </is>
      </c>
      <c r="C4462" s="12" t="inlineStr">
        <is>
          <t>Modular / portable power</t>
        </is>
      </c>
      <c r="D4462" s="12" t="inlineStr">
        <is>
          <t>Discrete device to JB JB-FC-9-DI01: 10 x 1 pr (field cables)</t>
        </is>
      </c>
      <c r="E4462" s="12" t="inlineStr">
        <is>
          <t>FC-9</t>
        </is>
      </c>
      <c r="F4462" s="12" t="inlineStr">
        <is>
          <t>FC-9: SOFC module (Bloom ES5 class, 200-300 kW)</t>
        </is>
      </c>
      <c r="G4462" s="12" t="inlineStr">
        <is>
          <t>JB-FC-9-DI01</t>
        </is>
      </c>
      <c r="H4462" s="12" t="inlineStr">
        <is>
          <t>FC-9: SOFC module (Bloom ES5 class, 200-300 kW)</t>
        </is>
      </c>
      <c r="I4462" s="12" t="inlineStr">
        <is>
          <t>Instrumentation</t>
        </is>
      </c>
      <c r="J4462" s="12" t="inlineStr">
        <is>
          <t>Instrumentation PLTC / TC-ER 300 V, #18 twisted shielded pairs, overall shield</t>
        </is>
      </c>
      <c r="K4462" s="12" t="inlineStr">
        <is>
          <t>PLTC|1 pr|16</t>
        </is>
      </c>
      <c r="L4462" s="12" t="inlineStr">
        <is>
          <t>1 pr</t>
        </is>
      </c>
      <c r="M4462" s="12" t="inlineStr">
        <is>
          <t>16</t>
        </is>
      </c>
      <c r="N4462" s="12" t="n">
        <v>10</v>
      </c>
      <c r="O4462" s="12" t="n">
        <v>1</v>
      </c>
      <c r="P4462" s="12" t="n"/>
      <c r="Q4462" s="12" t="n"/>
      <c r="R4462" s="12" t="n"/>
      <c r="S4462" s="12" t="inlineStr">
        <is>
          <t>Tray / conduit</t>
        </is>
      </c>
      <c r="T4462" s="16" t="n">
        <v>45</v>
      </c>
      <c r="U4462" s="16" t="n">
        <v>10</v>
      </c>
      <c r="V4462" s="16">
        <f>ROUNDUP((T4462+U4462+2*'Read Me'!$B$13)*(1+'Read Me'!$B$12),-1)</f>
        <v/>
      </c>
      <c r="W4462" s="16">
        <f>V4462*N4462*O4462</f>
        <v/>
      </c>
      <c r="X4462" s="12">
        <f>IF(LEFT(I4462,2)="MV",2*N4462*IF(L4462="1/C",O4462,1),0)</f>
        <v/>
      </c>
      <c r="Y4462" s="12">
        <f>IF(OR(LEFT(K4462,4)="LVAX",LEFT(K4462,6)="MV15AX",LEFT(K4462,4)="CTAX",LEFT(K4462,2)="W|"),2*N4462*O4462,0)</f>
        <v/>
      </c>
      <c r="Z4462" s="12" t="inlineStr">
        <is>
          <t>device-to-JB field wiring, one cable per device</t>
        </is>
      </c>
      <c r="AA4462" s="12">
        <f>N4462*O4462</f>
        <v/>
      </c>
    </row>
    <row r="4463">
      <c r="A4463" s="12" t="inlineStr">
        <is>
          <t>I-I-0105</t>
        </is>
      </c>
      <c r="B4463" s="12" t="inlineStr">
        <is>
          <t>I</t>
        </is>
      </c>
      <c r="C4463" s="12" t="inlineStr">
        <is>
          <t>Modular / portable power</t>
        </is>
      </c>
      <c r="D4463" s="12" t="inlineStr">
        <is>
          <t>Home run JB-FC-9-DI01 to the control / marshalling room</t>
        </is>
      </c>
      <c r="E4463" s="12" t="inlineStr">
        <is>
          <t>PAD-EH</t>
        </is>
      </c>
      <c r="F4463" s="12" t="inlineStr">
        <is>
          <t>PAD-EH 13.8 kV switchgear e-house</t>
        </is>
      </c>
      <c r="G4463" s="12" t="inlineStr">
        <is>
          <t>JB-FC-9-DI01</t>
        </is>
      </c>
      <c r="H4463" s="12" t="inlineStr">
        <is>
          <t>FC-9: SOFC module (Bloom ES5 class, 200-300 kW)</t>
        </is>
      </c>
      <c r="I4463" s="12" t="inlineStr">
        <is>
          <t>Instrumentation</t>
        </is>
      </c>
      <c r="J4463" s="12" t="inlineStr">
        <is>
          <t>Instrumentation PLTC / TC-ER 300 V, #18 twisted shielded pairs, overall shield</t>
        </is>
      </c>
      <c r="K4463" s="12" t="inlineStr">
        <is>
          <t>PLTC|24 pr|18</t>
        </is>
      </c>
      <c r="L4463" s="12" t="inlineStr">
        <is>
          <t>24 pr</t>
        </is>
      </c>
      <c r="M4463" s="12" t="inlineStr">
        <is>
          <t>18</t>
        </is>
      </c>
      <c r="N4463" s="12" t="n">
        <v>1</v>
      </c>
      <c r="O4463" s="12" t="n">
        <v>1</v>
      </c>
      <c r="P4463" s="12" t="n"/>
      <c r="Q4463" s="12" t="n"/>
      <c r="R4463" s="12" t="n"/>
      <c r="S4463" s="12" t="inlineStr">
        <is>
          <t>Duct bank</t>
        </is>
      </c>
      <c r="T4463" s="16" t="n">
        <v>300</v>
      </c>
      <c r="U4463" s="16" t="n">
        <v>50</v>
      </c>
      <c r="V4463" s="16">
        <f>ROUNDUP((T4463+U4463+2*'Read Me'!$B$13)*(1+'Read Me'!$B$12),-1)</f>
        <v/>
      </c>
      <c r="W4463" s="16">
        <f>V4463*N4463*O4463</f>
        <v/>
      </c>
      <c r="X4463" s="12">
        <f>IF(LEFT(I4463,2)="MV",2*N4463*IF(L4463="1/C",O4463,1),0)</f>
        <v/>
      </c>
      <c r="Y4463" s="12">
        <f>IF(OR(LEFT(K4463,4)="LVAX",LEFT(K4463,6)="MV15AX",LEFT(K4463,4)="CTAX",LEFT(K4463,2)="W|"),2*N4463*O4463,0)</f>
        <v/>
      </c>
      <c r="Z4463" s="12" t="inlineStr"/>
      <c r="AA4463" s="12">
        <f>N4463*O4463</f>
        <v/>
      </c>
    </row>
    <row r="4464">
      <c r="A4464" s="12" t="inlineStr">
        <is>
          <t>I-I-0106</t>
        </is>
      </c>
      <c r="B4464" s="12" t="inlineStr">
        <is>
          <t>I</t>
        </is>
      </c>
      <c r="C4464" s="12" t="inlineStr">
        <is>
          <t>Modular / portable power</t>
        </is>
      </c>
      <c r="D4464" s="12" t="inlineStr">
        <is>
          <t>Instrumentation</t>
        </is>
      </c>
      <c r="E4464" s="12" t="inlineStr"/>
      <c r="F4464" s="12" t="inlineStr">
        <is>
          <t>PCM: power control module</t>
        </is>
      </c>
      <c r="G4464" s="12" t="inlineStr"/>
      <c r="H4464" s="12" t="inlineStr">
        <is>
          <t>Fuel-cell inverter / AC cabinet / desulfurizer</t>
        </is>
      </c>
      <c r="I4464" s="12" t="inlineStr">
        <is>
          <t>Instrumentation</t>
        </is>
      </c>
      <c r="J4464" s="12" t="inlineStr">
        <is>
          <t>Instrumentation ITC / PLTC, IS, #18 shielded pairs, blue jacket</t>
        </is>
      </c>
      <c r="K4464" s="12" t="inlineStr">
        <is>
          <t>ITC|4 pr|18</t>
        </is>
      </c>
      <c r="L4464" s="12" t="inlineStr">
        <is>
          <t>4 pr</t>
        </is>
      </c>
      <c r="M4464" s="12" t="inlineStr">
        <is>
          <t>18</t>
        </is>
      </c>
      <c r="N4464" s="12" t="n">
        <v>1</v>
      </c>
      <c r="O4464" s="12" t="n">
        <v>1</v>
      </c>
      <c r="P4464" s="12" t="n"/>
      <c r="Q4464" s="12" t="n"/>
      <c r="R4464" s="12" t="n"/>
      <c r="S4464" s="12" t="inlineStr">
        <is>
          <t>Duct bank</t>
        </is>
      </c>
      <c r="T4464" s="16" t="n">
        <v>1032</v>
      </c>
      <c r="U4464" s="16" t="n">
        <v>34</v>
      </c>
      <c r="V4464" s="16">
        <f>ROUNDUP((T4464+U4464+2*'Read Me'!$B$13)*(1+'Read Me'!$B$12),-1)</f>
        <v/>
      </c>
      <c r="W4464" s="16">
        <f>V4464*N4464*O4464</f>
        <v/>
      </c>
      <c r="X4464" s="12">
        <f>IF(LEFT(I4464,2)="MV",2*N4464*IF(L4464="1/C",O4464,1),0)</f>
        <v/>
      </c>
      <c r="Y4464" s="12">
        <f>IF(OR(LEFT(K4464,4)="LVAX",LEFT(K4464,6)="MV15AX",LEFT(K4464,4)="CTAX",LEFT(K4464,2)="W|"),2*N4464*O4464,0)</f>
        <v/>
      </c>
      <c r="Z4464" s="12" t="inlineStr"/>
      <c r="AA4464" s="12">
        <f>N4464*O4464</f>
        <v/>
      </c>
    </row>
    <row r="4465">
      <c r="A4465" s="12" t="inlineStr">
        <is>
          <t>I-I-0107</t>
        </is>
      </c>
      <c r="B4465" s="12" t="inlineStr">
        <is>
          <t>I</t>
        </is>
      </c>
      <c r="C4465" s="12" t="inlineStr">
        <is>
          <t>Modular / portable power</t>
        </is>
      </c>
      <c r="D4465" s="12" t="inlineStr">
        <is>
          <t>Thermocouples</t>
        </is>
      </c>
      <c r="E4465" s="12" t="inlineStr"/>
      <c r="F4465" s="12" t="inlineStr">
        <is>
          <t>PCM: power control module</t>
        </is>
      </c>
      <c r="G4465" s="12" t="inlineStr"/>
      <c r="H4465" s="12" t="inlineStr">
        <is>
          <t>Fuel-cell inverter / AC cabinet / desulfurizer</t>
        </is>
      </c>
      <c r="I4465" s="12" t="inlineStr">
        <is>
          <t>Instrumentation</t>
        </is>
      </c>
      <c r="J4465" s="12" t="inlineStr">
        <is>
          <t>Thermocouple extension KX, #16 shielded pairs, PLTC</t>
        </is>
      </c>
      <c r="K4465" s="12" t="inlineStr">
        <is>
          <t>TCX|12 pr|16</t>
        </is>
      </c>
      <c r="L4465" s="12" t="inlineStr">
        <is>
          <t>12 pr</t>
        </is>
      </c>
      <c r="M4465" s="12" t="inlineStr">
        <is>
          <t>16</t>
        </is>
      </c>
      <c r="N4465" s="12" t="n">
        <v>1</v>
      </c>
      <c r="O4465" s="12" t="n">
        <v>1</v>
      </c>
      <c r="P4465" s="12" t="n"/>
      <c r="Q4465" s="12" t="n"/>
      <c r="R4465" s="12" t="n"/>
      <c r="S4465" s="12" t="inlineStr">
        <is>
          <t>Duct bank</t>
        </is>
      </c>
      <c r="T4465" s="16" t="n">
        <v>1032</v>
      </c>
      <c r="U4465" s="16" t="n">
        <v>34</v>
      </c>
      <c r="V4465" s="16">
        <f>ROUNDUP((T4465+U4465+2*'Read Me'!$B$13)*(1+'Read Me'!$B$12),-1)</f>
        <v/>
      </c>
      <c r="W4465" s="16">
        <f>V4465*N4465*O4465</f>
        <v/>
      </c>
      <c r="X4465" s="12">
        <f>IF(LEFT(I4465,2)="MV",2*N4465*IF(L4465="1/C",O4465,1),0)</f>
        <v/>
      </c>
      <c r="Y4465" s="12">
        <f>IF(OR(LEFT(K4465,4)="LVAX",LEFT(K4465,6)="MV15AX",LEFT(K4465,4)="CTAX",LEFT(K4465,2)="W|"),2*N4465*O4465,0)</f>
        <v/>
      </c>
      <c r="Z4465" s="12" t="inlineStr"/>
      <c r="AA4465" s="12">
        <f>N4465*O4465</f>
        <v/>
      </c>
    </row>
    <row r="4466">
      <c r="A4466" s="12" t="inlineStr">
        <is>
          <t>I-I-0108</t>
        </is>
      </c>
      <c r="B4466" s="12" t="inlineStr">
        <is>
          <t>I</t>
        </is>
      </c>
      <c r="C4466" s="12" t="inlineStr">
        <is>
          <t>Modular / portable power</t>
        </is>
      </c>
      <c r="D4466" s="12" t="inlineStr">
        <is>
          <t>Thermocouples</t>
        </is>
      </c>
      <c r="E4466" s="12" t="inlineStr"/>
      <c r="F4466" s="12" t="inlineStr">
        <is>
          <t>PCM: power control module</t>
        </is>
      </c>
      <c r="G4466" s="12" t="inlineStr"/>
      <c r="H4466" s="12" t="inlineStr">
        <is>
          <t>Fuel-cell inverter / AC cabinet / desulfurizer</t>
        </is>
      </c>
      <c r="I4466" s="12" t="inlineStr">
        <is>
          <t>Instrumentation</t>
        </is>
      </c>
      <c r="J4466" s="12" t="inlineStr">
        <is>
          <t>Thermocouple extension KX, #16 shielded pairs, PLTC</t>
        </is>
      </c>
      <c r="K4466" s="12" t="inlineStr">
        <is>
          <t>TCX|12 pr|16</t>
        </is>
      </c>
      <c r="L4466" s="12" t="inlineStr">
        <is>
          <t>12 pr</t>
        </is>
      </c>
      <c r="M4466" s="12" t="inlineStr">
        <is>
          <t>16</t>
        </is>
      </c>
      <c r="N4466" s="12" t="n">
        <v>1</v>
      </c>
      <c r="O4466" s="12" t="n">
        <v>1</v>
      </c>
      <c r="P4466" s="12" t="n"/>
      <c r="Q4466" s="12" t="n"/>
      <c r="R4466" s="12" t="n"/>
      <c r="S4466" s="12" t="inlineStr">
        <is>
          <t>Duct bank</t>
        </is>
      </c>
      <c r="T4466" s="16" t="n">
        <v>1032</v>
      </c>
      <c r="U4466" s="16" t="n">
        <v>34</v>
      </c>
      <c r="V4466" s="16">
        <f>ROUNDUP((T4466+U4466+2*'Read Me'!$B$13)*(1+'Read Me'!$B$12),-1)</f>
        <v/>
      </c>
      <c r="W4466" s="16">
        <f>V4466*N4466*O4466</f>
        <v/>
      </c>
      <c r="X4466" s="12">
        <f>IF(LEFT(I4466,2)="MV",2*N4466*IF(L4466="1/C",O4466,1),0)</f>
        <v/>
      </c>
      <c r="Y4466" s="12">
        <f>IF(OR(LEFT(K4466,4)="LVAX",LEFT(K4466,6)="MV15AX",LEFT(K4466,4)="CTAX",LEFT(K4466,2)="W|"),2*N4466*O4466,0)</f>
        <v/>
      </c>
      <c r="Z4466" s="12" t="inlineStr"/>
      <c r="AA4466" s="12">
        <f>N4466*O4466</f>
        <v/>
      </c>
    </row>
    <row r="4467">
      <c r="A4467" s="12" t="inlineStr">
        <is>
          <t>I-I-0109</t>
        </is>
      </c>
      <c r="B4467" s="12" t="inlineStr">
        <is>
          <t>I</t>
        </is>
      </c>
      <c r="C4467" s="12" t="inlineStr">
        <is>
          <t>Modular / portable power</t>
        </is>
      </c>
      <c r="D4467" s="12" t="inlineStr">
        <is>
          <t>Analog instrument to JB JB-Fuel-gas compresso-AI01: 20 x 1 pr (field cables)</t>
        </is>
      </c>
      <c r="E4467" s="12" t="inlineStr"/>
      <c r="F4467" s="12" t="inlineStr">
        <is>
          <t>Fuel-gas compressors 3 x 100% electric</t>
        </is>
      </c>
      <c r="G4467" s="12" t="inlineStr">
        <is>
          <t>JB-Fuel-gas compresso-AI01</t>
        </is>
      </c>
      <c r="H4467" s="12" t="inlineStr">
        <is>
          <t>Fuel-gas compressors 3 x 100% electric</t>
        </is>
      </c>
      <c r="I4467" s="12" t="inlineStr">
        <is>
          <t>Instrumentation</t>
        </is>
      </c>
      <c r="J4467" s="12" t="inlineStr">
        <is>
          <t>Instrumentation ITC / PLTC, IS, #18 shielded pairs, blue jacket</t>
        </is>
      </c>
      <c r="K4467" s="12" t="inlineStr">
        <is>
          <t>ITC|1 pr|16</t>
        </is>
      </c>
      <c r="L4467" s="12" t="inlineStr">
        <is>
          <t>1 pr</t>
        </is>
      </c>
      <c r="M4467" s="12" t="inlineStr">
        <is>
          <t>16</t>
        </is>
      </c>
      <c r="N4467" s="12" t="n">
        <v>20</v>
      </c>
      <c r="O4467" s="12" t="n">
        <v>1</v>
      </c>
      <c r="P4467" s="12" t="n"/>
      <c r="Q4467" s="12" t="n"/>
      <c r="R4467" s="12" t="n"/>
      <c r="S4467" s="12" t="inlineStr">
        <is>
          <t>Tray / conduit</t>
        </is>
      </c>
      <c r="T4467" s="16" t="n">
        <v>103</v>
      </c>
      <c r="U4467" s="16" t="n">
        <v>10</v>
      </c>
      <c r="V4467" s="16">
        <f>ROUNDUP((T4467+U4467+2*'Read Me'!$B$13)*(1+'Read Me'!$B$12),-1)</f>
        <v/>
      </c>
      <c r="W4467" s="16">
        <f>V4467*N4467*O4467</f>
        <v/>
      </c>
      <c r="X4467" s="12">
        <f>IF(LEFT(I4467,2)="MV",2*N4467*IF(L4467="1/C",O4467,1),0)</f>
        <v/>
      </c>
      <c r="Y4467" s="12">
        <f>IF(OR(LEFT(K4467,4)="LVAX",LEFT(K4467,6)="MV15AX",LEFT(K4467,4)="CTAX",LEFT(K4467,2)="W|"),2*N4467*O4467,0)</f>
        <v/>
      </c>
      <c r="Z4467" s="12" t="inlineStr">
        <is>
          <t>device-to-JB field wiring, one cable per device</t>
        </is>
      </c>
      <c r="AA4467" s="12">
        <f>N4467*O4467</f>
        <v/>
      </c>
    </row>
    <row r="4468">
      <c r="A4468" s="12" t="inlineStr">
        <is>
          <t>I-I-0110</t>
        </is>
      </c>
      <c r="B4468" s="12" t="inlineStr">
        <is>
          <t>I</t>
        </is>
      </c>
      <c r="C4468" s="12" t="inlineStr">
        <is>
          <t>Modular / portable power</t>
        </is>
      </c>
      <c r="D4468" s="12" t="inlineStr">
        <is>
          <t>Home run JB-Fuel-gas compresso-AI01 to the control / marshalling room</t>
        </is>
      </c>
      <c r="E4468" s="12" t="inlineStr"/>
      <c r="F4468" s="12" t="inlineStr">
        <is>
          <t>PCM: power control module</t>
        </is>
      </c>
      <c r="G4468" s="12" t="inlineStr">
        <is>
          <t>JB-Fuel-gas compresso-AI01</t>
        </is>
      </c>
      <c r="H4468" s="12" t="inlineStr">
        <is>
          <t>Fuel-gas compressors 3 x 100% electric</t>
        </is>
      </c>
      <c r="I4468" s="12" t="inlineStr">
        <is>
          <t>Instrumentation</t>
        </is>
      </c>
      <c r="J4468" s="12" t="inlineStr">
        <is>
          <t>Instrumentation ITC / PLTC, IS, #18 shielded pairs, blue jacket</t>
        </is>
      </c>
      <c r="K4468" s="12" t="inlineStr">
        <is>
          <t>ITC|24 pr|18</t>
        </is>
      </c>
      <c r="L4468" s="12" t="inlineStr">
        <is>
          <t>24 pr</t>
        </is>
      </c>
      <c r="M4468" s="12" t="inlineStr">
        <is>
          <t>18</t>
        </is>
      </c>
      <c r="N4468" s="12" t="n">
        <v>1</v>
      </c>
      <c r="O4468" s="12" t="n">
        <v>1</v>
      </c>
      <c r="P4468" s="12" t="n"/>
      <c r="Q4468" s="12" t="n"/>
      <c r="R4468" s="12" t="n"/>
      <c r="S4468" s="12" t="inlineStr">
        <is>
          <t>HV duct bank</t>
        </is>
      </c>
      <c r="T4468" s="16" t="n">
        <v>4433</v>
      </c>
      <c r="U4468" s="16" t="n">
        <v>38</v>
      </c>
      <c r="V4468" s="16">
        <f>ROUNDUP((T4468+U4468+2*'Read Me'!$B$13)*(1+'Read Me'!$B$12),-1)</f>
        <v/>
      </c>
      <c r="W4468" s="16">
        <f>V4468*N4468*O4468</f>
        <v/>
      </c>
      <c r="X4468" s="12">
        <f>IF(LEFT(I4468,2)="MV",2*N4468*IF(L4468="1/C",O4468,1),0)</f>
        <v/>
      </c>
      <c r="Y4468" s="12">
        <f>IF(OR(LEFT(K4468,4)="LVAX",LEFT(K4468,6)="MV15AX",LEFT(K4468,4)="CTAX",LEFT(K4468,2)="W|"),2*N4468*O4468,0)</f>
        <v/>
      </c>
      <c r="Z4468" s="12" t="inlineStr"/>
      <c r="AA4468" s="12">
        <f>N4468*O4468</f>
        <v/>
      </c>
    </row>
    <row r="4469">
      <c r="A4469" s="12" t="inlineStr">
        <is>
          <t>I-I-0111</t>
        </is>
      </c>
      <c r="B4469" s="12" t="inlineStr">
        <is>
          <t>I</t>
        </is>
      </c>
      <c r="C4469" s="12" t="inlineStr">
        <is>
          <t>Modular / portable power</t>
        </is>
      </c>
      <c r="D4469" s="12" t="inlineStr">
        <is>
          <t>Analog instrument to JB JB-Fuel-gas compresso-AI02: 10 x 1 pr (field cables)</t>
        </is>
      </c>
      <c r="E4469" s="12" t="inlineStr"/>
      <c r="F4469" s="12" t="inlineStr">
        <is>
          <t>Fuel-gas compressors 3 x 100% electric</t>
        </is>
      </c>
      <c r="G4469" s="12" t="inlineStr">
        <is>
          <t>JB-Fuel-gas compresso-AI02</t>
        </is>
      </c>
      <c r="H4469" s="12" t="inlineStr">
        <is>
          <t>Fuel-gas compressors 3 x 100% electric</t>
        </is>
      </c>
      <c r="I4469" s="12" t="inlineStr">
        <is>
          <t>Instrumentation</t>
        </is>
      </c>
      <c r="J4469" s="12" t="inlineStr">
        <is>
          <t>Instrumentation ITC / PLTC, IS, #18 shielded pairs, blue jacket</t>
        </is>
      </c>
      <c r="K4469" s="12" t="inlineStr">
        <is>
          <t>ITC|1 pr|16</t>
        </is>
      </c>
      <c r="L4469" s="12" t="inlineStr">
        <is>
          <t>1 pr</t>
        </is>
      </c>
      <c r="M4469" s="12" t="inlineStr">
        <is>
          <t>16</t>
        </is>
      </c>
      <c r="N4469" s="12" t="n">
        <v>10</v>
      </c>
      <c r="O4469" s="12" t="n">
        <v>1</v>
      </c>
      <c r="P4469" s="12" t="n"/>
      <c r="Q4469" s="12" t="n"/>
      <c r="R4469" s="12" t="n"/>
      <c r="S4469" s="12" t="inlineStr">
        <is>
          <t>Tray / conduit</t>
        </is>
      </c>
      <c r="T4469" s="16" t="n">
        <v>103</v>
      </c>
      <c r="U4469" s="16" t="n">
        <v>10</v>
      </c>
      <c r="V4469" s="16">
        <f>ROUNDUP((T4469+U4469+2*'Read Me'!$B$13)*(1+'Read Me'!$B$12),-1)</f>
        <v/>
      </c>
      <c r="W4469" s="16">
        <f>V4469*N4469*O4469</f>
        <v/>
      </c>
      <c r="X4469" s="12">
        <f>IF(LEFT(I4469,2)="MV",2*N4469*IF(L4469="1/C",O4469,1),0)</f>
        <v/>
      </c>
      <c r="Y4469" s="12">
        <f>IF(OR(LEFT(K4469,4)="LVAX",LEFT(K4469,6)="MV15AX",LEFT(K4469,4)="CTAX",LEFT(K4469,2)="W|"),2*N4469*O4469,0)</f>
        <v/>
      </c>
      <c r="Z4469" s="12" t="inlineStr">
        <is>
          <t>device-to-JB field wiring, one cable per device</t>
        </is>
      </c>
      <c r="AA4469" s="12">
        <f>N4469*O4469</f>
        <v/>
      </c>
    </row>
    <row r="4470">
      <c r="A4470" s="12" t="inlineStr">
        <is>
          <t>I-I-0112</t>
        </is>
      </c>
      <c r="B4470" s="12" t="inlineStr">
        <is>
          <t>I</t>
        </is>
      </c>
      <c r="C4470" s="12" t="inlineStr">
        <is>
          <t>Modular / portable power</t>
        </is>
      </c>
      <c r="D4470" s="12" t="inlineStr">
        <is>
          <t>Home run JB-Fuel-gas compresso-AI02 to the control / marshalling room</t>
        </is>
      </c>
      <c r="E4470" s="12" t="inlineStr"/>
      <c r="F4470" s="12" t="inlineStr">
        <is>
          <t>PCM: power control module</t>
        </is>
      </c>
      <c r="G4470" s="12" t="inlineStr">
        <is>
          <t>JB-Fuel-gas compresso-AI02</t>
        </is>
      </c>
      <c r="H4470" s="12" t="inlineStr">
        <is>
          <t>Fuel-gas compressors 3 x 100% electric</t>
        </is>
      </c>
      <c r="I4470" s="12" t="inlineStr">
        <is>
          <t>Instrumentation</t>
        </is>
      </c>
      <c r="J4470" s="12" t="inlineStr">
        <is>
          <t>Instrumentation ITC / PLTC, IS, #18 shielded pairs, blue jacket</t>
        </is>
      </c>
      <c r="K4470" s="12" t="inlineStr">
        <is>
          <t>ITC|24 pr|18</t>
        </is>
      </c>
      <c r="L4470" s="12" t="inlineStr">
        <is>
          <t>24 pr</t>
        </is>
      </c>
      <c r="M4470" s="12" t="inlineStr">
        <is>
          <t>18</t>
        </is>
      </c>
      <c r="N4470" s="12" t="n">
        <v>1</v>
      </c>
      <c r="O4470" s="12" t="n">
        <v>1</v>
      </c>
      <c r="P4470" s="12" t="n"/>
      <c r="Q4470" s="12" t="n"/>
      <c r="R4470" s="12" t="n"/>
      <c r="S4470" s="12" t="inlineStr">
        <is>
          <t>HV duct bank</t>
        </is>
      </c>
      <c r="T4470" s="16" t="n">
        <v>4433</v>
      </c>
      <c r="U4470" s="16" t="n">
        <v>38</v>
      </c>
      <c r="V4470" s="16">
        <f>ROUNDUP((T4470+U4470+2*'Read Me'!$B$13)*(1+'Read Me'!$B$12),-1)</f>
        <v/>
      </c>
      <c r="W4470" s="16">
        <f>V4470*N4470*O4470</f>
        <v/>
      </c>
      <c r="X4470" s="12">
        <f>IF(LEFT(I4470,2)="MV",2*N4470*IF(L4470="1/C",O4470,1),0)</f>
        <v/>
      </c>
      <c r="Y4470" s="12">
        <f>IF(OR(LEFT(K4470,4)="LVAX",LEFT(K4470,6)="MV15AX",LEFT(K4470,4)="CTAX",LEFT(K4470,2)="W|"),2*N4470*O4470,0)</f>
        <v/>
      </c>
      <c r="Z4470" s="12" t="inlineStr"/>
      <c r="AA4470" s="12">
        <f>N4470*O4470</f>
        <v/>
      </c>
    </row>
    <row r="4471">
      <c r="A4471" s="12" t="inlineStr">
        <is>
          <t>I-I-0113</t>
        </is>
      </c>
      <c r="B4471" s="12" t="inlineStr">
        <is>
          <t>I</t>
        </is>
      </c>
      <c r="C4471" s="12" t="inlineStr">
        <is>
          <t>Modular / portable power</t>
        </is>
      </c>
      <c r="D4471" s="12" t="inlineStr">
        <is>
          <t>Discrete device to JB JB-Fuel-gas compresso-DI01: 20 x 1 pr (field cables)</t>
        </is>
      </c>
      <c r="E4471" s="12" t="inlineStr"/>
      <c r="F4471" s="12" t="inlineStr">
        <is>
          <t>Fuel-gas compressors 3 x 100% electric</t>
        </is>
      </c>
      <c r="G4471" s="12" t="inlineStr">
        <is>
          <t>JB-Fuel-gas compresso-DI01</t>
        </is>
      </c>
      <c r="H4471" s="12" t="inlineStr">
        <is>
          <t>Fuel-gas compressors 3 x 100% electric</t>
        </is>
      </c>
      <c r="I4471" s="12" t="inlineStr">
        <is>
          <t>Instrumentation</t>
        </is>
      </c>
      <c r="J4471" s="12" t="inlineStr">
        <is>
          <t>Instrumentation ITC / PLTC, IS, #18 shielded pairs, blue jacket</t>
        </is>
      </c>
      <c r="K4471" s="12" t="inlineStr">
        <is>
          <t>ITC|1 pr|16</t>
        </is>
      </c>
      <c r="L4471" s="12" t="inlineStr">
        <is>
          <t>1 pr</t>
        </is>
      </c>
      <c r="M4471" s="12" t="inlineStr">
        <is>
          <t>16</t>
        </is>
      </c>
      <c r="N4471" s="12" t="n">
        <v>20</v>
      </c>
      <c r="O4471" s="12" t="n">
        <v>1</v>
      </c>
      <c r="P4471" s="12" t="n"/>
      <c r="Q4471" s="12" t="n"/>
      <c r="R4471" s="12" t="n"/>
      <c r="S4471" s="12" t="inlineStr">
        <is>
          <t>Tray / conduit</t>
        </is>
      </c>
      <c r="T4471" s="16" t="n">
        <v>103</v>
      </c>
      <c r="U4471" s="16" t="n">
        <v>10</v>
      </c>
      <c r="V4471" s="16">
        <f>ROUNDUP((T4471+U4471+2*'Read Me'!$B$13)*(1+'Read Me'!$B$12),-1)</f>
        <v/>
      </c>
      <c r="W4471" s="16">
        <f>V4471*N4471*O4471</f>
        <v/>
      </c>
      <c r="X4471" s="12">
        <f>IF(LEFT(I4471,2)="MV",2*N4471*IF(L4471="1/C",O4471,1),0)</f>
        <v/>
      </c>
      <c r="Y4471" s="12">
        <f>IF(OR(LEFT(K4471,4)="LVAX",LEFT(K4471,6)="MV15AX",LEFT(K4471,4)="CTAX",LEFT(K4471,2)="W|"),2*N4471*O4471,0)</f>
        <v/>
      </c>
      <c r="Z4471" s="12" t="inlineStr">
        <is>
          <t>device-to-JB field wiring, one cable per device</t>
        </is>
      </c>
      <c r="AA4471" s="12">
        <f>N4471*O4471</f>
        <v/>
      </c>
    </row>
    <row r="4472">
      <c r="A4472" s="12" t="inlineStr">
        <is>
          <t>I-I-0114</t>
        </is>
      </c>
      <c r="B4472" s="12" t="inlineStr">
        <is>
          <t>I</t>
        </is>
      </c>
      <c r="C4472" s="12" t="inlineStr">
        <is>
          <t>Modular / portable power</t>
        </is>
      </c>
      <c r="D4472" s="12" t="inlineStr">
        <is>
          <t>Home run JB-Fuel-gas compresso-DI01 to the control / marshalling room</t>
        </is>
      </c>
      <c r="E4472" s="12" t="inlineStr"/>
      <c r="F4472" s="12" t="inlineStr">
        <is>
          <t>PCM: power control module</t>
        </is>
      </c>
      <c r="G4472" s="12" t="inlineStr">
        <is>
          <t>JB-Fuel-gas compresso-DI01</t>
        </is>
      </c>
      <c r="H4472" s="12" t="inlineStr">
        <is>
          <t>Fuel-gas compressors 3 x 100% electric</t>
        </is>
      </c>
      <c r="I4472" s="12" t="inlineStr">
        <is>
          <t>Instrumentation</t>
        </is>
      </c>
      <c r="J4472" s="12" t="inlineStr">
        <is>
          <t>Instrumentation ITC / PLTC, IS, #18 shielded pairs, blue jacket</t>
        </is>
      </c>
      <c r="K4472" s="12" t="inlineStr">
        <is>
          <t>ITC|24 pr|18</t>
        </is>
      </c>
      <c r="L4472" s="12" t="inlineStr">
        <is>
          <t>24 pr</t>
        </is>
      </c>
      <c r="M4472" s="12" t="inlineStr">
        <is>
          <t>18</t>
        </is>
      </c>
      <c r="N4472" s="12" t="n">
        <v>1</v>
      </c>
      <c r="O4472" s="12" t="n">
        <v>1</v>
      </c>
      <c r="P4472" s="12" t="n"/>
      <c r="Q4472" s="12" t="n"/>
      <c r="R4472" s="12" t="n"/>
      <c r="S4472" s="12" t="inlineStr">
        <is>
          <t>HV duct bank</t>
        </is>
      </c>
      <c r="T4472" s="16" t="n">
        <v>4433</v>
      </c>
      <c r="U4472" s="16" t="n">
        <v>38</v>
      </c>
      <c r="V4472" s="16">
        <f>ROUNDUP((T4472+U4472+2*'Read Me'!$B$13)*(1+'Read Me'!$B$12),-1)</f>
        <v/>
      </c>
      <c r="W4472" s="16">
        <f>V4472*N4472*O4472</f>
        <v/>
      </c>
      <c r="X4472" s="12">
        <f>IF(LEFT(I4472,2)="MV",2*N4472*IF(L4472="1/C",O4472,1),0)</f>
        <v/>
      </c>
      <c r="Y4472" s="12">
        <f>IF(OR(LEFT(K4472,4)="LVAX",LEFT(K4472,6)="MV15AX",LEFT(K4472,4)="CTAX",LEFT(K4472,2)="W|"),2*N4472*O4472,0)</f>
        <v/>
      </c>
      <c r="Z4472" s="12" t="inlineStr"/>
      <c r="AA4472" s="12">
        <f>N4472*O4472</f>
        <v/>
      </c>
    </row>
    <row r="4473">
      <c r="A4473" s="12" t="inlineStr">
        <is>
          <t>I-I-0115</t>
        </is>
      </c>
      <c r="B4473" s="12" t="inlineStr">
        <is>
          <t>I</t>
        </is>
      </c>
      <c r="C4473" s="12" t="inlineStr">
        <is>
          <t>Modular / portable power</t>
        </is>
      </c>
      <c r="D4473" s="12" t="inlineStr">
        <is>
          <t>RTD to JB JB-Fuel-gas compresso-RTD01: 10 x 1 tri (field cables)</t>
        </is>
      </c>
      <c r="E4473" s="12" t="inlineStr"/>
      <c r="F4473" s="12" t="inlineStr">
        <is>
          <t>Fuel-gas compressors 3 x 100% electric</t>
        </is>
      </c>
      <c r="G4473" s="12" t="inlineStr">
        <is>
          <t>JB-Fuel-gas compresso-RTD01</t>
        </is>
      </c>
      <c r="H4473" s="12" t="inlineStr">
        <is>
          <t>Fuel-gas compressors 3 x 100% electric</t>
        </is>
      </c>
      <c r="I4473" s="12" t="inlineStr">
        <is>
          <t>Instrumentation</t>
        </is>
      </c>
      <c r="J4473" s="12" t="inlineStr">
        <is>
          <t>RTD cable, #18 shielded triads, PLTC</t>
        </is>
      </c>
      <c r="K4473" s="12" t="inlineStr">
        <is>
          <t>RTD|1 tri|18</t>
        </is>
      </c>
      <c r="L4473" s="12" t="inlineStr">
        <is>
          <t>1 tri</t>
        </is>
      </c>
      <c r="M4473" s="12" t="inlineStr">
        <is>
          <t>18</t>
        </is>
      </c>
      <c r="N4473" s="12" t="n">
        <v>10</v>
      </c>
      <c r="O4473" s="12" t="n">
        <v>1</v>
      </c>
      <c r="P4473" s="12" t="n"/>
      <c r="Q4473" s="12" t="n"/>
      <c r="R4473" s="12" t="n"/>
      <c r="S4473" s="12" t="inlineStr">
        <is>
          <t>Tray / conduit</t>
        </is>
      </c>
      <c r="T4473" s="16" t="n">
        <v>103</v>
      </c>
      <c r="U4473" s="16" t="n">
        <v>10</v>
      </c>
      <c r="V4473" s="16">
        <f>ROUNDUP((T4473+U4473+2*'Read Me'!$B$13)*(1+'Read Me'!$B$12),-1)</f>
        <v/>
      </c>
      <c r="W4473" s="16">
        <f>V4473*N4473*O4473</f>
        <v/>
      </c>
      <c r="X4473" s="12">
        <f>IF(LEFT(I4473,2)="MV",2*N4473*IF(L4473="1/C",O4473,1),0)</f>
        <v/>
      </c>
      <c r="Y4473" s="12">
        <f>IF(OR(LEFT(K4473,4)="LVAX",LEFT(K4473,6)="MV15AX",LEFT(K4473,4)="CTAX",LEFT(K4473,2)="W|"),2*N4473*O4473,0)</f>
        <v/>
      </c>
      <c r="Z4473" s="12" t="inlineStr">
        <is>
          <t>device-to-JB field wiring, one cable per device</t>
        </is>
      </c>
      <c r="AA4473" s="12">
        <f>N4473*O4473</f>
        <v/>
      </c>
    </row>
    <row r="4474">
      <c r="A4474" s="12" t="inlineStr">
        <is>
          <t>I-I-0116</t>
        </is>
      </c>
      <c r="B4474" s="12" t="inlineStr">
        <is>
          <t>I</t>
        </is>
      </c>
      <c r="C4474" s="12" t="inlineStr">
        <is>
          <t>Modular / portable power</t>
        </is>
      </c>
      <c r="D4474" s="12" t="inlineStr">
        <is>
          <t>Home run JB-Fuel-gas compresso-RTD01 to the control / marshalling room</t>
        </is>
      </c>
      <c r="E4474" s="12" t="inlineStr"/>
      <c r="F4474" s="12" t="inlineStr">
        <is>
          <t>PCM: power control module</t>
        </is>
      </c>
      <c r="G4474" s="12" t="inlineStr">
        <is>
          <t>JB-Fuel-gas compresso-RTD01</t>
        </is>
      </c>
      <c r="H4474" s="12" t="inlineStr">
        <is>
          <t>Fuel-gas compressors 3 x 100% electric</t>
        </is>
      </c>
      <c r="I4474" s="12" t="inlineStr">
        <is>
          <t>Instrumentation</t>
        </is>
      </c>
      <c r="J4474" s="12" t="inlineStr">
        <is>
          <t>RTD cable, #18 shielded triads, PLTC</t>
        </is>
      </c>
      <c r="K4474" s="12" t="inlineStr">
        <is>
          <t>RTD|12 tri|18</t>
        </is>
      </c>
      <c r="L4474" s="12" t="inlineStr">
        <is>
          <t>12 tri</t>
        </is>
      </c>
      <c r="M4474" s="12" t="inlineStr">
        <is>
          <t>18</t>
        </is>
      </c>
      <c r="N4474" s="12" t="n">
        <v>1</v>
      </c>
      <c r="O4474" s="12" t="n">
        <v>1</v>
      </c>
      <c r="P4474" s="12" t="n"/>
      <c r="Q4474" s="12" t="n"/>
      <c r="R4474" s="12" t="n"/>
      <c r="S4474" s="12" t="inlineStr">
        <is>
          <t>HV duct bank</t>
        </is>
      </c>
      <c r="T4474" s="16" t="n">
        <v>4433</v>
      </c>
      <c r="U4474" s="16" t="n">
        <v>38</v>
      </c>
      <c r="V4474" s="16">
        <f>ROUNDUP((T4474+U4474+2*'Read Me'!$B$13)*(1+'Read Me'!$B$12),-1)</f>
        <v/>
      </c>
      <c r="W4474" s="16">
        <f>V4474*N4474*O4474</f>
        <v/>
      </c>
      <c r="X4474" s="12">
        <f>IF(LEFT(I4474,2)="MV",2*N4474*IF(L4474="1/C",O4474,1),0)</f>
        <v/>
      </c>
      <c r="Y4474" s="12">
        <f>IF(OR(LEFT(K4474,4)="LVAX",LEFT(K4474,6)="MV15AX",LEFT(K4474,4)="CTAX",LEFT(K4474,2)="W|"),2*N4474*O4474,0)</f>
        <v/>
      </c>
      <c r="Z4474" s="12" t="inlineStr"/>
      <c r="AA4474" s="12">
        <f>N4474*O4474</f>
        <v/>
      </c>
    </row>
    <row r="4475">
      <c r="A4475" s="12" t="inlineStr">
        <is>
          <t>I-I-0117</t>
        </is>
      </c>
      <c r="B4475" s="12" t="inlineStr">
        <is>
          <t>I</t>
        </is>
      </c>
      <c r="C4475" s="12" t="inlineStr">
        <is>
          <t>Modular / portable power</t>
        </is>
      </c>
      <c r="D4475" s="12" t="inlineStr">
        <is>
          <t>RTD to JB JB-Fuel-gas compresso-RTD02: 2 x 1 tri (field cables)</t>
        </is>
      </c>
      <c r="E4475" s="12" t="inlineStr"/>
      <c r="F4475" s="12" t="inlineStr">
        <is>
          <t>Fuel-gas compressors 3 x 100% electric</t>
        </is>
      </c>
      <c r="G4475" s="12" t="inlineStr">
        <is>
          <t>JB-Fuel-gas compresso-RTD02</t>
        </is>
      </c>
      <c r="H4475" s="12" t="inlineStr">
        <is>
          <t>Fuel-gas compressors 3 x 100% electric</t>
        </is>
      </c>
      <c r="I4475" s="12" t="inlineStr">
        <is>
          <t>Instrumentation</t>
        </is>
      </c>
      <c r="J4475" s="12" t="inlineStr">
        <is>
          <t>RTD cable, #18 shielded triads, PLTC</t>
        </is>
      </c>
      <c r="K4475" s="12" t="inlineStr">
        <is>
          <t>RTD|1 tri|18</t>
        </is>
      </c>
      <c r="L4475" s="12" t="inlineStr">
        <is>
          <t>1 tri</t>
        </is>
      </c>
      <c r="M4475" s="12" t="inlineStr">
        <is>
          <t>18</t>
        </is>
      </c>
      <c r="N4475" s="12" t="n">
        <v>2</v>
      </c>
      <c r="O4475" s="12" t="n">
        <v>1</v>
      </c>
      <c r="P4475" s="12" t="n"/>
      <c r="Q4475" s="12" t="n"/>
      <c r="R4475" s="12" t="n"/>
      <c r="S4475" s="12" t="inlineStr">
        <is>
          <t>Tray / conduit</t>
        </is>
      </c>
      <c r="T4475" s="16" t="n">
        <v>103</v>
      </c>
      <c r="U4475" s="16" t="n">
        <v>10</v>
      </c>
      <c r="V4475" s="16">
        <f>ROUNDUP((T4475+U4475+2*'Read Me'!$B$13)*(1+'Read Me'!$B$12),-1)</f>
        <v/>
      </c>
      <c r="W4475" s="16">
        <f>V4475*N4475*O4475</f>
        <v/>
      </c>
      <c r="X4475" s="12">
        <f>IF(LEFT(I4475,2)="MV",2*N4475*IF(L4475="1/C",O4475,1),0)</f>
        <v/>
      </c>
      <c r="Y4475" s="12">
        <f>IF(OR(LEFT(K4475,4)="LVAX",LEFT(K4475,6)="MV15AX",LEFT(K4475,4)="CTAX",LEFT(K4475,2)="W|"),2*N4475*O4475,0)</f>
        <v/>
      </c>
      <c r="Z4475" s="12" t="inlineStr">
        <is>
          <t>device-to-JB field wiring, one cable per device</t>
        </is>
      </c>
      <c r="AA4475" s="12">
        <f>N4475*O4475</f>
        <v/>
      </c>
    </row>
    <row r="4476">
      <c r="A4476" s="12" t="inlineStr">
        <is>
          <t>I-I-0118</t>
        </is>
      </c>
      <c r="B4476" s="12" t="inlineStr">
        <is>
          <t>I</t>
        </is>
      </c>
      <c r="C4476" s="12" t="inlineStr">
        <is>
          <t>Modular / portable power</t>
        </is>
      </c>
      <c r="D4476" s="12" t="inlineStr">
        <is>
          <t>Home run JB-Fuel-gas compresso-RTD02 to the control / marshalling room</t>
        </is>
      </c>
      <c r="E4476" s="12" t="inlineStr"/>
      <c r="F4476" s="12" t="inlineStr">
        <is>
          <t>PCM: power control module</t>
        </is>
      </c>
      <c r="G4476" s="12" t="inlineStr">
        <is>
          <t>JB-Fuel-gas compresso-RTD02</t>
        </is>
      </c>
      <c r="H4476" s="12" t="inlineStr">
        <is>
          <t>Fuel-gas compressors 3 x 100% electric</t>
        </is>
      </c>
      <c r="I4476" s="12" t="inlineStr">
        <is>
          <t>Instrumentation</t>
        </is>
      </c>
      <c r="J4476" s="12" t="inlineStr">
        <is>
          <t>RTD cable, #18 shielded triads, PLTC</t>
        </is>
      </c>
      <c r="K4476" s="12" t="inlineStr">
        <is>
          <t>RTD|12 tri|18</t>
        </is>
      </c>
      <c r="L4476" s="12" t="inlineStr">
        <is>
          <t>12 tri</t>
        </is>
      </c>
      <c r="M4476" s="12" t="inlineStr">
        <is>
          <t>18</t>
        </is>
      </c>
      <c r="N4476" s="12" t="n">
        <v>1</v>
      </c>
      <c r="O4476" s="12" t="n">
        <v>1</v>
      </c>
      <c r="P4476" s="12" t="n"/>
      <c r="Q4476" s="12" t="n"/>
      <c r="R4476" s="12" t="n"/>
      <c r="S4476" s="12" t="inlineStr">
        <is>
          <t>HV duct bank</t>
        </is>
      </c>
      <c r="T4476" s="16" t="n">
        <v>4433</v>
      </c>
      <c r="U4476" s="16" t="n">
        <v>38</v>
      </c>
      <c r="V4476" s="16">
        <f>ROUNDUP((T4476+U4476+2*'Read Me'!$B$13)*(1+'Read Me'!$B$12),-1)</f>
        <v/>
      </c>
      <c r="W4476" s="16">
        <f>V4476*N4476*O4476</f>
        <v/>
      </c>
      <c r="X4476" s="12">
        <f>IF(LEFT(I4476,2)="MV",2*N4476*IF(L4476="1/C",O4476,1),0)</f>
        <v/>
      </c>
      <c r="Y4476" s="12">
        <f>IF(OR(LEFT(K4476,4)="LVAX",LEFT(K4476,6)="MV15AX",LEFT(K4476,4)="CTAX",LEFT(K4476,2)="W|"),2*N4476*O4476,0)</f>
        <v/>
      </c>
      <c r="Z4476" s="12" t="inlineStr"/>
      <c r="AA4476" s="12">
        <f>N4476*O4476</f>
        <v/>
      </c>
    </row>
    <row r="4477">
      <c r="A4477" s="12" t="inlineStr">
        <is>
          <t>I-I-0119</t>
        </is>
      </c>
      <c r="B4477" s="12" t="inlineStr">
        <is>
          <t>I</t>
        </is>
      </c>
      <c r="C4477" s="12" t="inlineStr">
        <is>
          <t>Modular / portable power</t>
        </is>
      </c>
      <c r="D4477" s="12" t="inlineStr">
        <is>
          <t>Analog instrument to JB JB-GEN-E-AI01: 20 x 1 pr (field cables)</t>
        </is>
      </c>
      <c r="E4477" s="12" t="inlineStr">
        <is>
          <t>GEN-E</t>
        </is>
      </c>
      <c r="F4477" s="12" t="inlineStr">
        <is>
          <t>GEN-E: enclosed industrial gas genset 2 MW</t>
        </is>
      </c>
      <c r="G4477" s="12" t="inlineStr">
        <is>
          <t>JB-GEN-E-AI01</t>
        </is>
      </c>
      <c r="H4477" s="12" t="inlineStr">
        <is>
          <t>GEN-E: enclosed industrial gas genset 2 MW</t>
        </is>
      </c>
      <c r="I4477" s="12" t="inlineStr">
        <is>
          <t>Instrumentation</t>
        </is>
      </c>
      <c r="J4477" s="12" t="inlineStr">
        <is>
          <t>Instrumentation PLTC / TC-ER 300 V, #18 twisted shielded pairs, overall shield</t>
        </is>
      </c>
      <c r="K4477" s="12" t="inlineStr">
        <is>
          <t>PLTC|1 pr|16</t>
        </is>
      </c>
      <c r="L4477" s="12" t="inlineStr">
        <is>
          <t>1 pr</t>
        </is>
      </c>
      <c r="M4477" s="12" t="inlineStr">
        <is>
          <t>16</t>
        </is>
      </c>
      <c r="N4477" s="12" t="n">
        <v>20</v>
      </c>
      <c r="O4477" s="12" t="n">
        <v>1</v>
      </c>
      <c r="P4477" s="12" t="n"/>
      <c r="Q4477" s="12" t="n"/>
      <c r="R4477" s="12" t="n"/>
      <c r="S4477" s="12" t="inlineStr">
        <is>
          <t>Tray / conduit</t>
        </is>
      </c>
      <c r="T4477" s="16" t="n">
        <v>60</v>
      </c>
      <c r="U4477" s="16" t="n">
        <v>10</v>
      </c>
      <c r="V4477" s="16">
        <f>ROUNDUP((T4477+U4477+2*'Read Me'!$B$13)*(1+'Read Me'!$B$12),-1)</f>
        <v/>
      </c>
      <c r="W4477" s="16">
        <f>V4477*N4477*O4477</f>
        <v/>
      </c>
      <c r="X4477" s="12">
        <f>IF(LEFT(I4477,2)="MV",2*N4477*IF(L4477="1/C",O4477,1),0)</f>
        <v/>
      </c>
      <c r="Y4477" s="12">
        <f>IF(OR(LEFT(K4477,4)="LVAX",LEFT(K4477,6)="MV15AX",LEFT(K4477,4)="CTAX",LEFT(K4477,2)="W|"),2*N4477*O4477,0)</f>
        <v/>
      </c>
      <c r="Z4477" s="12" t="inlineStr">
        <is>
          <t>device-to-JB field wiring, one cable per device</t>
        </is>
      </c>
      <c r="AA4477" s="12">
        <f>N4477*O4477</f>
        <v/>
      </c>
    </row>
    <row r="4478">
      <c r="A4478" s="12" t="inlineStr">
        <is>
          <t>I-I-0120</t>
        </is>
      </c>
      <c r="B4478" s="12" t="inlineStr">
        <is>
          <t>I</t>
        </is>
      </c>
      <c r="C4478" s="12" t="inlineStr">
        <is>
          <t>Modular / portable power</t>
        </is>
      </c>
      <c r="D4478" s="12" t="inlineStr">
        <is>
          <t>Home run JB-GEN-E-AI01 to the control / marshalling room</t>
        </is>
      </c>
      <c r="E4478" s="12" t="inlineStr">
        <is>
          <t>PAD-EH</t>
        </is>
      </c>
      <c r="F4478" s="12" t="inlineStr">
        <is>
          <t>PAD-EH 13.8 kV switchgear e-house</t>
        </is>
      </c>
      <c r="G4478" s="12" t="inlineStr">
        <is>
          <t>JB-GEN-E-AI01</t>
        </is>
      </c>
      <c r="H4478" s="12" t="inlineStr">
        <is>
          <t>GEN-E: enclosed industrial gas genset 2 MW</t>
        </is>
      </c>
      <c r="I4478" s="12" t="inlineStr">
        <is>
          <t>Instrumentation</t>
        </is>
      </c>
      <c r="J4478" s="12" t="inlineStr">
        <is>
          <t>Instrumentation PLTC / TC-ER 300 V, #18 twisted shielded pairs, overall shield</t>
        </is>
      </c>
      <c r="K4478" s="12" t="inlineStr">
        <is>
          <t>PLTC|24 pr|18</t>
        </is>
      </c>
      <c r="L4478" s="12" t="inlineStr">
        <is>
          <t>24 pr</t>
        </is>
      </c>
      <c r="M4478" s="12" t="inlineStr">
        <is>
          <t>18</t>
        </is>
      </c>
      <c r="N4478" s="12" t="n">
        <v>1</v>
      </c>
      <c r="O4478" s="12" t="n">
        <v>1</v>
      </c>
      <c r="P4478" s="12" t="n"/>
      <c r="Q4478" s="12" t="n"/>
      <c r="R4478" s="12" t="n"/>
      <c r="S4478" s="12" t="inlineStr">
        <is>
          <t>Surface</t>
        </is>
      </c>
      <c r="T4478" s="16" t="n">
        <v>153</v>
      </c>
      <c r="U4478" s="16" t="n">
        <v>32</v>
      </c>
      <c r="V4478" s="16">
        <f>ROUNDUP((T4478+U4478+2*'Read Me'!$B$13)*(1+'Read Me'!$B$12),-1)</f>
        <v/>
      </c>
      <c r="W4478" s="16">
        <f>V4478*N4478*O4478</f>
        <v/>
      </c>
      <c r="X4478" s="12">
        <f>IF(LEFT(I4478,2)="MV",2*N4478*IF(L4478="1/C",O4478,1),0)</f>
        <v/>
      </c>
      <c r="Y4478" s="12">
        <f>IF(OR(LEFT(K4478,4)="LVAX",LEFT(K4478,6)="MV15AX",LEFT(K4478,4)="CTAX",LEFT(K4478,2)="W|"),2*N4478*O4478,0)</f>
        <v/>
      </c>
      <c r="Z4478" s="12" t="inlineStr"/>
      <c r="AA4478" s="12">
        <f>N4478*O4478</f>
        <v/>
      </c>
    </row>
    <row r="4479">
      <c r="A4479" s="12" t="inlineStr">
        <is>
          <t>I-I-0121</t>
        </is>
      </c>
      <c r="B4479" s="12" t="inlineStr">
        <is>
          <t>I</t>
        </is>
      </c>
      <c r="C4479" s="12" t="inlineStr">
        <is>
          <t>Modular / portable power</t>
        </is>
      </c>
      <c r="D4479" s="12" t="inlineStr">
        <is>
          <t>Discrete device to JB JB-GEN-E-DI01: 20 x 1 pr (field cables)</t>
        </is>
      </c>
      <c r="E4479" s="12" t="inlineStr">
        <is>
          <t>GEN-E</t>
        </is>
      </c>
      <c r="F4479" s="12" t="inlineStr">
        <is>
          <t>GEN-E: enclosed industrial gas genset 2 MW</t>
        </is>
      </c>
      <c r="G4479" s="12" t="inlineStr">
        <is>
          <t>JB-GEN-E-DI01</t>
        </is>
      </c>
      <c r="H4479" s="12" t="inlineStr">
        <is>
          <t>GEN-E: enclosed industrial gas genset 2 MW</t>
        </is>
      </c>
      <c r="I4479" s="12" t="inlineStr">
        <is>
          <t>Instrumentation</t>
        </is>
      </c>
      <c r="J4479" s="12" t="inlineStr">
        <is>
          <t>Instrumentation PLTC / TC-ER 300 V, #18 twisted shielded pairs, overall shield</t>
        </is>
      </c>
      <c r="K4479" s="12" t="inlineStr">
        <is>
          <t>PLTC|1 pr|16</t>
        </is>
      </c>
      <c r="L4479" s="12" t="inlineStr">
        <is>
          <t>1 pr</t>
        </is>
      </c>
      <c r="M4479" s="12" t="inlineStr">
        <is>
          <t>16</t>
        </is>
      </c>
      <c r="N4479" s="12" t="n">
        <v>20</v>
      </c>
      <c r="O4479" s="12" t="n">
        <v>1</v>
      </c>
      <c r="P4479" s="12" t="n"/>
      <c r="Q4479" s="12" t="n"/>
      <c r="R4479" s="12" t="n"/>
      <c r="S4479" s="12" t="inlineStr">
        <is>
          <t>Tray / conduit</t>
        </is>
      </c>
      <c r="T4479" s="16" t="n">
        <v>60</v>
      </c>
      <c r="U4479" s="16" t="n">
        <v>10</v>
      </c>
      <c r="V4479" s="16">
        <f>ROUNDUP((T4479+U4479+2*'Read Me'!$B$13)*(1+'Read Me'!$B$12),-1)</f>
        <v/>
      </c>
      <c r="W4479" s="16">
        <f>V4479*N4479*O4479</f>
        <v/>
      </c>
      <c r="X4479" s="12">
        <f>IF(LEFT(I4479,2)="MV",2*N4479*IF(L4479="1/C",O4479,1),0)</f>
        <v/>
      </c>
      <c r="Y4479" s="12">
        <f>IF(OR(LEFT(K4479,4)="LVAX",LEFT(K4479,6)="MV15AX",LEFT(K4479,4)="CTAX",LEFT(K4479,2)="W|"),2*N4479*O4479,0)</f>
        <v/>
      </c>
      <c r="Z4479" s="12" t="inlineStr">
        <is>
          <t>device-to-JB field wiring, one cable per device</t>
        </is>
      </c>
      <c r="AA4479" s="12">
        <f>N4479*O4479</f>
        <v/>
      </c>
    </row>
    <row r="4480">
      <c r="A4480" s="12" t="inlineStr">
        <is>
          <t>I-I-0122</t>
        </is>
      </c>
      <c r="B4480" s="12" t="inlineStr">
        <is>
          <t>I</t>
        </is>
      </c>
      <c r="C4480" s="12" t="inlineStr">
        <is>
          <t>Modular / portable power</t>
        </is>
      </c>
      <c r="D4480" s="12" t="inlineStr">
        <is>
          <t>Home run JB-GEN-E-DI01 to the control / marshalling room</t>
        </is>
      </c>
      <c r="E4480" s="12" t="inlineStr">
        <is>
          <t>PAD-EH</t>
        </is>
      </c>
      <c r="F4480" s="12" t="inlineStr">
        <is>
          <t>PAD-EH 13.8 kV switchgear e-house</t>
        </is>
      </c>
      <c r="G4480" s="12" t="inlineStr">
        <is>
          <t>JB-GEN-E-DI01</t>
        </is>
      </c>
      <c r="H4480" s="12" t="inlineStr">
        <is>
          <t>GEN-E: enclosed industrial gas genset 2 MW</t>
        </is>
      </c>
      <c r="I4480" s="12" t="inlineStr">
        <is>
          <t>Instrumentation</t>
        </is>
      </c>
      <c r="J4480" s="12" t="inlineStr">
        <is>
          <t>Instrumentation PLTC / TC-ER 300 V, #18 twisted shielded pairs, overall shield</t>
        </is>
      </c>
      <c r="K4480" s="12" t="inlineStr">
        <is>
          <t>PLTC|24 pr|18</t>
        </is>
      </c>
      <c r="L4480" s="12" t="inlineStr">
        <is>
          <t>24 pr</t>
        </is>
      </c>
      <c r="M4480" s="12" t="inlineStr">
        <is>
          <t>18</t>
        </is>
      </c>
      <c r="N4480" s="12" t="n">
        <v>1</v>
      </c>
      <c r="O4480" s="12" t="n">
        <v>1</v>
      </c>
      <c r="P4480" s="12" t="n"/>
      <c r="Q4480" s="12" t="n"/>
      <c r="R4480" s="12" t="n"/>
      <c r="S4480" s="12" t="inlineStr">
        <is>
          <t>Surface</t>
        </is>
      </c>
      <c r="T4480" s="16" t="n">
        <v>153</v>
      </c>
      <c r="U4480" s="16" t="n">
        <v>32</v>
      </c>
      <c r="V4480" s="16">
        <f>ROUNDUP((T4480+U4480+2*'Read Me'!$B$13)*(1+'Read Me'!$B$12),-1)</f>
        <v/>
      </c>
      <c r="W4480" s="16">
        <f>V4480*N4480*O4480</f>
        <v/>
      </c>
      <c r="X4480" s="12">
        <f>IF(LEFT(I4480,2)="MV",2*N4480*IF(L4480="1/C",O4480,1),0)</f>
        <v/>
      </c>
      <c r="Y4480" s="12">
        <f>IF(OR(LEFT(K4480,4)="LVAX",LEFT(K4480,6)="MV15AX",LEFT(K4480,4)="CTAX",LEFT(K4480,2)="W|"),2*N4480*O4480,0)</f>
        <v/>
      </c>
      <c r="Z4480" s="12" t="inlineStr"/>
      <c r="AA4480" s="12">
        <f>N4480*O4480</f>
        <v/>
      </c>
    </row>
    <row r="4481">
      <c r="A4481" s="12" t="inlineStr">
        <is>
          <t>I-I-0123</t>
        </is>
      </c>
      <c r="B4481" s="12" t="inlineStr">
        <is>
          <t>I</t>
        </is>
      </c>
      <c r="C4481" s="12" t="inlineStr">
        <is>
          <t>Modular / portable power</t>
        </is>
      </c>
      <c r="D4481" s="12" t="inlineStr">
        <is>
          <t>Analog instrument to JB JB-GEN-O-AI01: 20 x 1 pr (field cables)</t>
        </is>
      </c>
      <c r="E4481" s="12" t="inlineStr">
        <is>
          <t>GEN-O</t>
        </is>
      </c>
      <c r="F4481" s="12" t="inlineStr">
        <is>
          <t>GEN-O: open engine-generator skid</t>
        </is>
      </c>
      <c r="G4481" s="12" t="inlineStr">
        <is>
          <t>JB-GEN-O-AI01</t>
        </is>
      </c>
      <c r="H4481" s="12" t="inlineStr">
        <is>
          <t>GEN-O: open engine-generator skid</t>
        </is>
      </c>
      <c r="I4481" s="12" t="inlineStr">
        <is>
          <t>Instrumentation</t>
        </is>
      </c>
      <c r="J4481" s="12" t="inlineStr">
        <is>
          <t>Instrumentation PLTC / TC-ER 300 V, #18 twisted shielded pairs, overall shield</t>
        </is>
      </c>
      <c r="K4481" s="12" t="inlineStr">
        <is>
          <t>PLTC|1 pr|16</t>
        </is>
      </c>
      <c r="L4481" s="12" t="inlineStr">
        <is>
          <t>1 pr</t>
        </is>
      </c>
      <c r="M4481" s="12" t="inlineStr">
        <is>
          <t>16</t>
        </is>
      </c>
      <c r="N4481" s="12" t="n">
        <v>20</v>
      </c>
      <c r="O4481" s="12" t="n">
        <v>1</v>
      </c>
      <c r="P4481" s="12" t="n"/>
      <c r="Q4481" s="12" t="n"/>
      <c r="R4481" s="12" t="n"/>
      <c r="S4481" s="12" t="inlineStr">
        <is>
          <t>Tray / conduit</t>
        </is>
      </c>
      <c r="T4481" s="16" t="n">
        <v>45</v>
      </c>
      <c r="U4481" s="16" t="n">
        <v>10</v>
      </c>
      <c r="V4481" s="16">
        <f>ROUNDUP((T4481+U4481+2*'Read Me'!$B$13)*(1+'Read Me'!$B$12),-1)</f>
        <v/>
      </c>
      <c r="W4481" s="16">
        <f>V4481*N4481*O4481</f>
        <v/>
      </c>
      <c r="X4481" s="12">
        <f>IF(LEFT(I4481,2)="MV",2*N4481*IF(L4481="1/C",O4481,1),0)</f>
        <v/>
      </c>
      <c r="Y4481" s="12">
        <f>IF(OR(LEFT(K4481,4)="LVAX",LEFT(K4481,6)="MV15AX",LEFT(K4481,4)="CTAX",LEFT(K4481,2)="W|"),2*N4481*O4481,0)</f>
        <v/>
      </c>
      <c r="Z4481" s="12" t="inlineStr">
        <is>
          <t>device-to-JB field wiring, one cable per device</t>
        </is>
      </c>
      <c r="AA4481" s="12">
        <f>N4481*O4481</f>
        <v/>
      </c>
    </row>
    <row r="4482">
      <c r="A4482" s="12" t="inlineStr">
        <is>
          <t>I-I-0124</t>
        </is>
      </c>
      <c r="B4482" s="12" t="inlineStr">
        <is>
          <t>I</t>
        </is>
      </c>
      <c r="C4482" s="12" t="inlineStr">
        <is>
          <t>Modular / portable power</t>
        </is>
      </c>
      <c r="D4482" s="12" t="inlineStr">
        <is>
          <t>Home run JB-GEN-O-AI01 to the control / marshalling room</t>
        </is>
      </c>
      <c r="E4482" s="12" t="inlineStr">
        <is>
          <t>PAD-EH</t>
        </is>
      </c>
      <c r="F4482" s="12" t="inlineStr">
        <is>
          <t>PAD-EH 13.8 kV switchgear e-house</t>
        </is>
      </c>
      <c r="G4482" s="12" t="inlineStr">
        <is>
          <t>JB-GEN-O-AI01</t>
        </is>
      </c>
      <c r="H4482" s="12" t="inlineStr">
        <is>
          <t>GEN-O: open engine-generator skid</t>
        </is>
      </c>
      <c r="I4482" s="12" t="inlineStr">
        <is>
          <t>Instrumentation</t>
        </is>
      </c>
      <c r="J4482" s="12" t="inlineStr">
        <is>
          <t>Instrumentation PLTC / TC-ER 300 V, #18 twisted shielded pairs, overall shield</t>
        </is>
      </c>
      <c r="K4482" s="12" t="inlineStr">
        <is>
          <t>PLTC|24 pr|18</t>
        </is>
      </c>
      <c r="L4482" s="12" t="inlineStr">
        <is>
          <t>24 pr</t>
        </is>
      </c>
      <c r="M4482" s="12" t="inlineStr">
        <is>
          <t>18</t>
        </is>
      </c>
      <c r="N4482" s="12" t="n">
        <v>1</v>
      </c>
      <c r="O4482" s="12" t="n">
        <v>1</v>
      </c>
      <c r="P4482" s="12" t="n"/>
      <c r="Q4482" s="12" t="n"/>
      <c r="R4482" s="12" t="n"/>
      <c r="S4482" s="12" t="inlineStr">
        <is>
          <t>Surface</t>
        </is>
      </c>
      <c r="T4482" s="16" t="n">
        <v>153</v>
      </c>
      <c r="U4482" s="16" t="n">
        <v>79</v>
      </c>
      <c r="V4482" s="16">
        <f>ROUNDUP((T4482+U4482+2*'Read Me'!$B$13)*(1+'Read Me'!$B$12),-1)</f>
        <v/>
      </c>
      <c r="W4482" s="16">
        <f>V4482*N4482*O4482</f>
        <v/>
      </c>
      <c r="X4482" s="12">
        <f>IF(LEFT(I4482,2)="MV",2*N4482*IF(L4482="1/C",O4482,1),0)</f>
        <v/>
      </c>
      <c r="Y4482" s="12">
        <f>IF(OR(LEFT(K4482,4)="LVAX",LEFT(K4482,6)="MV15AX",LEFT(K4482,4)="CTAX",LEFT(K4482,2)="W|"),2*N4482*O4482,0)</f>
        <v/>
      </c>
      <c r="Z4482" s="12" t="inlineStr"/>
      <c r="AA4482" s="12">
        <f>N4482*O4482</f>
        <v/>
      </c>
    </row>
    <row r="4483">
      <c r="A4483" s="12" t="inlineStr">
        <is>
          <t>I-I-0125</t>
        </is>
      </c>
      <c r="B4483" s="12" t="inlineStr">
        <is>
          <t>I</t>
        </is>
      </c>
      <c r="C4483" s="12" t="inlineStr">
        <is>
          <t>Modular / portable power</t>
        </is>
      </c>
      <c r="D4483" s="12" t="inlineStr">
        <is>
          <t>Discrete device to JB JB-GEN-O-DI01: 20 x 1 pr (field cables)</t>
        </is>
      </c>
      <c r="E4483" s="12" t="inlineStr">
        <is>
          <t>GEN-O</t>
        </is>
      </c>
      <c r="F4483" s="12" t="inlineStr">
        <is>
          <t>GEN-O: open engine-generator skid</t>
        </is>
      </c>
      <c r="G4483" s="12" t="inlineStr">
        <is>
          <t>JB-GEN-O-DI01</t>
        </is>
      </c>
      <c r="H4483" s="12" t="inlineStr">
        <is>
          <t>GEN-O: open engine-generator skid</t>
        </is>
      </c>
      <c r="I4483" s="12" t="inlineStr">
        <is>
          <t>Instrumentation</t>
        </is>
      </c>
      <c r="J4483" s="12" t="inlineStr">
        <is>
          <t>Instrumentation PLTC / TC-ER 300 V, #18 twisted shielded pairs, overall shield</t>
        </is>
      </c>
      <c r="K4483" s="12" t="inlineStr">
        <is>
          <t>PLTC|1 pr|16</t>
        </is>
      </c>
      <c r="L4483" s="12" t="inlineStr">
        <is>
          <t>1 pr</t>
        </is>
      </c>
      <c r="M4483" s="12" t="inlineStr">
        <is>
          <t>16</t>
        </is>
      </c>
      <c r="N4483" s="12" t="n">
        <v>20</v>
      </c>
      <c r="O4483" s="12" t="n">
        <v>1</v>
      </c>
      <c r="P4483" s="12" t="n"/>
      <c r="Q4483" s="12" t="n"/>
      <c r="R4483" s="12" t="n"/>
      <c r="S4483" s="12" t="inlineStr">
        <is>
          <t>Tray / conduit</t>
        </is>
      </c>
      <c r="T4483" s="16" t="n">
        <v>45</v>
      </c>
      <c r="U4483" s="16" t="n">
        <v>10</v>
      </c>
      <c r="V4483" s="16">
        <f>ROUNDUP((T4483+U4483+2*'Read Me'!$B$13)*(1+'Read Me'!$B$12),-1)</f>
        <v/>
      </c>
      <c r="W4483" s="16">
        <f>V4483*N4483*O4483</f>
        <v/>
      </c>
      <c r="X4483" s="12">
        <f>IF(LEFT(I4483,2)="MV",2*N4483*IF(L4483="1/C",O4483,1),0)</f>
        <v/>
      </c>
      <c r="Y4483" s="12">
        <f>IF(OR(LEFT(K4483,4)="LVAX",LEFT(K4483,6)="MV15AX",LEFT(K4483,4)="CTAX",LEFT(K4483,2)="W|"),2*N4483*O4483,0)</f>
        <v/>
      </c>
      <c r="Z4483" s="12" t="inlineStr">
        <is>
          <t>device-to-JB field wiring, one cable per device</t>
        </is>
      </c>
      <c r="AA4483" s="12">
        <f>N4483*O4483</f>
        <v/>
      </c>
    </row>
    <row r="4484">
      <c r="A4484" s="12" t="inlineStr">
        <is>
          <t>I-I-0126</t>
        </is>
      </c>
      <c r="B4484" s="12" t="inlineStr">
        <is>
          <t>I</t>
        </is>
      </c>
      <c r="C4484" s="12" t="inlineStr">
        <is>
          <t>Modular / portable power</t>
        </is>
      </c>
      <c r="D4484" s="12" t="inlineStr">
        <is>
          <t>Home run JB-GEN-O-DI01 to the control / marshalling room</t>
        </is>
      </c>
      <c r="E4484" s="12" t="inlineStr">
        <is>
          <t>PAD-EH</t>
        </is>
      </c>
      <c r="F4484" s="12" t="inlineStr">
        <is>
          <t>PAD-EH 13.8 kV switchgear e-house</t>
        </is>
      </c>
      <c r="G4484" s="12" t="inlineStr">
        <is>
          <t>JB-GEN-O-DI01</t>
        </is>
      </c>
      <c r="H4484" s="12" t="inlineStr">
        <is>
          <t>GEN-O: open engine-generator skid</t>
        </is>
      </c>
      <c r="I4484" s="12" t="inlineStr">
        <is>
          <t>Instrumentation</t>
        </is>
      </c>
      <c r="J4484" s="12" t="inlineStr">
        <is>
          <t>Instrumentation PLTC / TC-ER 300 V, #18 twisted shielded pairs, overall shield</t>
        </is>
      </c>
      <c r="K4484" s="12" t="inlineStr">
        <is>
          <t>PLTC|24 pr|18</t>
        </is>
      </c>
      <c r="L4484" s="12" t="inlineStr">
        <is>
          <t>24 pr</t>
        </is>
      </c>
      <c r="M4484" s="12" t="inlineStr">
        <is>
          <t>18</t>
        </is>
      </c>
      <c r="N4484" s="12" t="n">
        <v>1</v>
      </c>
      <c r="O4484" s="12" t="n">
        <v>1</v>
      </c>
      <c r="P4484" s="12" t="n"/>
      <c r="Q4484" s="12" t="n"/>
      <c r="R4484" s="12" t="n"/>
      <c r="S4484" s="12" t="inlineStr">
        <is>
          <t>Surface</t>
        </is>
      </c>
      <c r="T4484" s="16" t="n">
        <v>153</v>
      </c>
      <c r="U4484" s="16" t="n">
        <v>79</v>
      </c>
      <c r="V4484" s="16">
        <f>ROUNDUP((T4484+U4484+2*'Read Me'!$B$13)*(1+'Read Me'!$B$12),-1)</f>
        <v/>
      </c>
      <c r="W4484" s="16">
        <f>V4484*N4484*O4484</f>
        <v/>
      </c>
      <c r="X4484" s="12">
        <f>IF(LEFT(I4484,2)="MV",2*N4484*IF(L4484="1/C",O4484,1),0)</f>
        <v/>
      </c>
      <c r="Y4484" s="12">
        <f>IF(OR(LEFT(K4484,4)="LVAX",LEFT(K4484,6)="MV15AX",LEFT(K4484,4)="CTAX",LEFT(K4484,2)="W|"),2*N4484*O4484,0)</f>
        <v/>
      </c>
      <c r="Z4484" s="12" t="inlineStr"/>
      <c r="AA4484" s="12">
        <f>N4484*O4484</f>
        <v/>
      </c>
    </row>
    <row r="4485">
      <c r="A4485" s="12" t="inlineStr">
        <is>
          <t>I-I-0127</t>
        </is>
      </c>
      <c r="B4485" s="12" t="inlineStr">
        <is>
          <t>I</t>
        </is>
      </c>
      <c r="C4485" s="12" t="inlineStr">
        <is>
          <t>Modular / portable power</t>
        </is>
      </c>
      <c r="D4485" s="12" t="inlineStr">
        <is>
          <t>Instrumentation</t>
        </is>
      </c>
      <c r="E4485" s="12" t="inlineStr"/>
      <c r="F4485" s="12" t="inlineStr">
        <is>
          <t>PCM: power control module</t>
        </is>
      </c>
      <c r="G4485" s="12" t="inlineStr"/>
      <c r="H4485" s="12" t="inlineStr">
        <is>
          <t>Gas conditioning skid</t>
        </is>
      </c>
      <c r="I4485" s="12" t="inlineStr">
        <is>
          <t>Instrumentation</t>
        </is>
      </c>
      <c r="J4485" s="12" t="inlineStr">
        <is>
          <t>Instrumentation ITC / PLTC, IS, #18 shielded pairs, blue jacket</t>
        </is>
      </c>
      <c r="K4485" s="12" t="inlineStr">
        <is>
          <t>ITC|4 pr|18</t>
        </is>
      </c>
      <c r="L4485" s="12" t="inlineStr">
        <is>
          <t>4 pr</t>
        </is>
      </c>
      <c r="M4485" s="12" t="inlineStr">
        <is>
          <t>18</t>
        </is>
      </c>
      <c r="N4485" s="12" t="n">
        <v>1</v>
      </c>
      <c r="O4485" s="12" t="n">
        <v>1</v>
      </c>
      <c r="P4485" s="12" t="n"/>
      <c r="Q4485" s="12" t="n"/>
      <c r="R4485" s="12" t="n"/>
      <c r="S4485" s="12" t="inlineStr">
        <is>
          <t>Tray</t>
        </is>
      </c>
      <c r="T4485" s="16" t="n">
        <v>32</v>
      </c>
      <c r="U4485" s="16" t="n">
        <v>94</v>
      </c>
      <c r="V4485" s="16">
        <f>ROUNDUP((T4485+U4485+2*'Read Me'!$B$13)*(1+'Read Me'!$B$12),-1)</f>
        <v/>
      </c>
      <c r="W4485" s="16">
        <f>V4485*N4485*O4485</f>
        <v/>
      </c>
      <c r="X4485" s="12">
        <f>IF(LEFT(I4485,2)="MV",2*N4485*IF(L4485="1/C",O4485,1),0)</f>
        <v/>
      </c>
      <c r="Y4485" s="12">
        <f>IF(OR(LEFT(K4485,4)="LVAX",LEFT(K4485,6)="MV15AX",LEFT(K4485,4)="CTAX",LEFT(K4485,2)="W|"),2*N4485*O4485,0)</f>
        <v/>
      </c>
      <c r="Z4485" s="12" t="inlineStr"/>
      <c r="AA4485" s="12">
        <f>N4485*O4485</f>
        <v/>
      </c>
    </row>
    <row r="4486">
      <c r="A4486" s="12" t="inlineStr">
        <is>
          <t>I-I-0128</t>
        </is>
      </c>
      <c r="B4486" s="12" t="inlineStr">
        <is>
          <t>I</t>
        </is>
      </c>
      <c r="C4486" s="12" t="inlineStr">
        <is>
          <t>Modular / portable power</t>
        </is>
      </c>
      <c r="D4486" s="12" t="inlineStr">
        <is>
          <t>Instrumentation</t>
        </is>
      </c>
      <c r="E4486" s="12" t="inlineStr"/>
      <c r="F4486" s="12" t="inlineStr">
        <is>
          <t>PCM: power control module</t>
        </is>
      </c>
      <c r="G4486" s="12" t="inlineStr"/>
      <c r="H4486" s="12" t="inlineStr">
        <is>
          <t>Gas conditioning skid</t>
        </is>
      </c>
      <c r="I4486" s="12" t="inlineStr">
        <is>
          <t>Instrumentation</t>
        </is>
      </c>
      <c r="J4486" s="12" t="inlineStr">
        <is>
          <t>Instrumentation ITC / PLTC, IS, #18 shielded pairs, blue jacket</t>
        </is>
      </c>
      <c r="K4486" s="12" t="inlineStr">
        <is>
          <t>ITC|12 pr|18</t>
        </is>
      </c>
      <c r="L4486" s="12" t="inlineStr">
        <is>
          <t>12 pr</t>
        </is>
      </c>
      <c r="M4486" s="12" t="inlineStr">
        <is>
          <t>18</t>
        </is>
      </c>
      <c r="N4486" s="12" t="n">
        <v>1</v>
      </c>
      <c r="O4486" s="12" t="n">
        <v>1</v>
      </c>
      <c r="P4486" s="12" t="n"/>
      <c r="Q4486" s="12" t="n"/>
      <c r="R4486" s="12" t="n"/>
      <c r="S4486" s="12" t="inlineStr">
        <is>
          <t>Tray</t>
        </is>
      </c>
      <c r="T4486" s="16" t="n">
        <v>32</v>
      </c>
      <c r="U4486" s="16" t="n">
        <v>94</v>
      </c>
      <c r="V4486" s="16">
        <f>ROUNDUP((T4486+U4486+2*'Read Me'!$B$13)*(1+'Read Me'!$B$12),-1)</f>
        <v/>
      </c>
      <c r="W4486" s="16">
        <f>V4486*N4486*O4486</f>
        <v/>
      </c>
      <c r="X4486" s="12">
        <f>IF(LEFT(I4486,2)="MV",2*N4486*IF(L4486="1/C",O4486,1),0)</f>
        <v/>
      </c>
      <c r="Y4486" s="12">
        <f>IF(OR(LEFT(K4486,4)="LVAX",LEFT(K4486,6)="MV15AX",LEFT(K4486,4)="CTAX",LEFT(K4486,2)="W|"),2*N4486*O4486,0)</f>
        <v/>
      </c>
      <c r="Z4486" s="12" t="inlineStr"/>
      <c r="AA4486" s="12">
        <f>N4486*O4486</f>
        <v/>
      </c>
    </row>
    <row r="4487">
      <c r="A4487" s="12" t="inlineStr">
        <is>
          <t>I-I-0129</t>
        </is>
      </c>
      <c r="B4487" s="12" t="inlineStr">
        <is>
          <t>I</t>
        </is>
      </c>
      <c r="C4487" s="12" t="inlineStr">
        <is>
          <t>Modular / portable power</t>
        </is>
      </c>
      <c r="D4487" s="12" t="inlineStr">
        <is>
          <t>Analog instrument to JB JB-MOB-1-AI01: 20 x 1 pr (field cables)</t>
        </is>
      </c>
      <c r="E4487" s="12" t="inlineStr">
        <is>
          <t>MOB-1</t>
        </is>
      </c>
      <c r="F4487" s="12" t="inlineStr">
        <is>
          <t>MOB-1: trailer genset</t>
        </is>
      </c>
      <c r="G4487" s="12" t="inlineStr">
        <is>
          <t>JB-MOB-1-AI01</t>
        </is>
      </c>
      <c r="H4487" s="12" t="inlineStr">
        <is>
          <t>MOB-1: trailer genset</t>
        </is>
      </c>
      <c r="I4487" s="12" t="inlineStr">
        <is>
          <t>Instrumentation</t>
        </is>
      </c>
      <c r="J4487" s="12" t="inlineStr">
        <is>
          <t>Instrumentation PLTC / TC-ER 300 V, #18 twisted shielded pairs, overall shield</t>
        </is>
      </c>
      <c r="K4487" s="12" t="inlineStr">
        <is>
          <t>PLTC|1 pr|16</t>
        </is>
      </c>
      <c r="L4487" s="12" t="inlineStr">
        <is>
          <t>1 pr</t>
        </is>
      </c>
      <c r="M4487" s="12" t="inlineStr">
        <is>
          <t>16</t>
        </is>
      </c>
      <c r="N4487" s="12" t="n">
        <v>20</v>
      </c>
      <c r="O4487" s="12" t="n">
        <v>1</v>
      </c>
      <c r="P4487" s="12" t="n"/>
      <c r="Q4487" s="12" t="n"/>
      <c r="R4487" s="12" t="n"/>
      <c r="S4487" s="12" t="inlineStr">
        <is>
          <t>Tray / conduit</t>
        </is>
      </c>
      <c r="T4487" s="16" t="n">
        <v>61</v>
      </c>
      <c r="U4487" s="16" t="n">
        <v>10</v>
      </c>
      <c r="V4487" s="16">
        <f>ROUNDUP((T4487+U4487+2*'Read Me'!$B$13)*(1+'Read Me'!$B$12),-1)</f>
        <v/>
      </c>
      <c r="W4487" s="16">
        <f>V4487*N4487*O4487</f>
        <v/>
      </c>
      <c r="X4487" s="12">
        <f>IF(LEFT(I4487,2)="MV",2*N4487*IF(L4487="1/C",O4487,1),0)</f>
        <v/>
      </c>
      <c r="Y4487" s="12">
        <f>IF(OR(LEFT(K4487,4)="LVAX",LEFT(K4487,6)="MV15AX",LEFT(K4487,4)="CTAX",LEFT(K4487,2)="W|"),2*N4487*O4487,0)</f>
        <v/>
      </c>
      <c r="Z4487" s="12" t="inlineStr">
        <is>
          <t>device-to-JB field wiring, one cable per device</t>
        </is>
      </c>
      <c r="AA4487" s="12">
        <f>N4487*O4487</f>
        <v/>
      </c>
    </row>
    <row r="4488">
      <c r="A4488" s="12" t="inlineStr">
        <is>
          <t>I-I-0130</t>
        </is>
      </c>
      <c r="B4488" s="12" t="inlineStr">
        <is>
          <t>I</t>
        </is>
      </c>
      <c r="C4488" s="12" t="inlineStr">
        <is>
          <t>Modular / portable power</t>
        </is>
      </c>
      <c r="D4488" s="12" t="inlineStr">
        <is>
          <t>Home run JB-MOB-1-AI01 to the control / marshalling room</t>
        </is>
      </c>
      <c r="E4488" s="12" t="inlineStr">
        <is>
          <t>PAD-EH</t>
        </is>
      </c>
      <c r="F4488" s="12" t="inlineStr">
        <is>
          <t>PAD-EH 13.8 kV switchgear e-house</t>
        </is>
      </c>
      <c r="G4488" s="12" t="inlineStr">
        <is>
          <t>JB-MOB-1-AI01</t>
        </is>
      </c>
      <c r="H4488" s="12" t="inlineStr">
        <is>
          <t>MOB-1: trailer genset</t>
        </is>
      </c>
      <c r="I4488" s="12" t="inlineStr">
        <is>
          <t>Instrumentation</t>
        </is>
      </c>
      <c r="J4488" s="12" t="inlineStr">
        <is>
          <t>Instrumentation PLTC / TC-ER 300 V, #18 twisted shielded pairs, overall shield</t>
        </is>
      </c>
      <c r="K4488" s="12" t="inlineStr">
        <is>
          <t>PLTC|24 pr|18</t>
        </is>
      </c>
      <c r="L4488" s="12" t="inlineStr">
        <is>
          <t>24 pr</t>
        </is>
      </c>
      <c r="M4488" s="12" t="inlineStr">
        <is>
          <t>18</t>
        </is>
      </c>
      <c r="N4488" s="12" t="n">
        <v>1</v>
      </c>
      <c r="O4488" s="12" t="n">
        <v>1</v>
      </c>
      <c r="P4488" s="12" t="n"/>
      <c r="Q4488" s="12" t="n"/>
      <c r="R4488" s="12" t="n"/>
      <c r="S4488" s="12" t="inlineStr">
        <is>
          <t>Surface</t>
        </is>
      </c>
      <c r="T4488" s="16" t="n">
        <v>113</v>
      </c>
      <c r="U4488" s="16" t="n">
        <v>160</v>
      </c>
      <c r="V4488" s="16">
        <f>ROUNDUP((T4488+U4488+2*'Read Me'!$B$13)*(1+'Read Me'!$B$12),-1)</f>
        <v/>
      </c>
      <c r="W4488" s="16">
        <f>V4488*N4488*O4488</f>
        <v/>
      </c>
      <c r="X4488" s="12">
        <f>IF(LEFT(I4488,2)="MV",2*N4488*IF(L4488="1/C",O4488,1),0)</f>
        <v/>
      </c>
      <c r="Y4488" s="12">
        <f>IF(OR(LEFT(K4488,4)="LVAX",LEFT(K4488,6)="MV15AX",LEFT(K4488,4)="CTAX",LEFT(K4488,2)="W|"),2*N4488*O4488,0)</f>
        <v/>
      </c>
      <c r="Z4488" s="12" t="inlineStr"/>
      <c r="AA4488" s="12">
        <f>N4488*O4488</f>
        <v/>
      </c>
    </row>
    <row r="4489">
      <c r="A4489" s="12" t="inlineStr">
        <is>
          <t>I-I-0131</t>
        </is>
      </c>
      <c r="B4489" s="12" t="inlineStr">
        <is>
          <t>I</t>
        </is>
      </c>
      <c r="C4489" s="12" t="inlineStr">
        <is>
          <t>Modular / portable power</t>
        </is>
      </c>
      <c r="D4489" s="12" t="inlineStr">
        <is>
          <t>Discrete device to JB JB-MOB-1-DI01: 20 x 1 pr (field cables)</t>
        </is>
      </c>
      <c r="E4489" s="12" t="inlineStr">
        <is>
          <t>MOB-1</t>
        </is>
      </c>
      <c r="F4489" s="12" t="inlineStr">
        <is>
          <t>MOB-1: trailer genset</t>
        </is>
      </c>
      <c r="G4489" s="12" t="inlineStr">
        <is>
          <t>JB-MOB-1-DI01</t>
        </is>
      </c>
      <c r="H4489" s="12" t="inlineStr">
        <is>
          <t>MOB-1: trailer genset</t>
        </is>
      </c>
      <c r="I4489" s="12" t="inlineStr">
        <is>
          <t>Instrumentation</t>
        </is>
      </c>
      <c r="J4489" s="12" t="inlineStr">
        <is>
          <t>Instrumentation PLTC / TC-ER 300 V, #18 twisted shielded pairs, overall shield</t>
        </is>
      </c>
      <c r="K4489" s="12" t="inlineStr">
        <is>
          <t>PLTC|1 pr|16</t>
        </is>
      </c>
      <c r="L4489" s="12" t="inlineStr">
        <is>
          <t>1 pr</t>
        </is>
      </c>
      <c r="M4489" s="12" t="inlineStr">
        <is>
          <t>16</t>
        </is>
      </c>
      <c r="N4489" s="12" t="n">
        <v>20</v>
      </c>
      <c r="O4489" s="12" t="n">
        <v>1</v>
      </c>
      <c r="P4489" s="12" t="n"/>
      <c r="Q4489" s="12" t="n"/>
      <c r="R4489" s="12" t="n"/>
      <c r="S4489" s="12" t="inlineStr">
        <is>
          <t>Tray / conduit</t>
        </is>
      </c>
      <c r="T4489" s="16" t="n">
        <v>61</v>
      </c>
      <c r="U4489" s="16" t="n">
        <v>10</v>
      </c>
      <c r="V4489" s="16">
        <f>ROUNDUP((T4489+U4489+2*'Read Me'!$B$13)*(1+'Read Me'!$B$12),-1)</f>
        <v/>
      </c>
      <c r="W4489" s="16">
        <f>V4489*N4489*O4489</f>
        <v/>
      </c>
      <c r="X4489" s="12">
        <f>IF(LEFT(I4489,2)="MV",2*N4489*IF(L4489="1/C",O4489,1),0)</f>
        <v/>
      </c>
      <c r="Y4489" s="12">
        <f>IF(OR(LEFT(K4489,4)="LVAX",LEFT(K4489,6)="MV15AX",LEFT(K4489,4)="CTAX",LEFT(K4489,2)="W|"),2*N4489*O4489,0)</f>
        <v/>
      </c>
      <c r="Z4489" s="12" t="inlineStr">
        <is>
          <t>device-to-JB field wiring, one cable per device</t>
        </is>
      </c>
      <c r="AA4489" s="12">
        <f>N4489*O4489</f>
        <v/>
      </c>
    </row>
    <row r="4490">
      <c r="A4490" s="12" t="inlineStr">
        <is>
          <t>I-I-0132</t>
        </is>
      </c>
      <c r="B4490" s="12" t="inlineStr">
        <is>
          <t>I</t>
        </is>
      </c>
      <c r="C4490" s="12" t="inlineStr">
        <is>
          <t>Modular / portable power</t>
        </is>
      </c>
      <c r="D4490" s="12" t="inlineStr">
        <is>
          <t>Home run JB-MOB-1-DI01 to the control / marshalling room</t>
        </is>
      </c>
      <c r="E4490" s="12" t="inlineStr">
        <is>
          <t>PAD-EH</t>
        </is>
      </c>
      <c r="F4490" s="12" t="inlineStr">
        <is>
          <t>PAD-EH 13.8 kV switchgear e-house</t>
        </is>
      </c>
      <c r="G4490" s="12" t="inlineStr">
        <is>
          <t>JB-MOB-1-DI01</t>
        </is>
      </c>
      <c r="H4490" s="12" t="inlineStr">
        <is>
          <t>MOB-1: trailer genset</t>
        </is>
      </c>
      <c r="I4490" s="12" t="inlineStr">
        <is>
          <t>Instrumentation</t>
        </is>
      </c>
      <c r="J4490" s="12" t="inlineStr">
        <is>
          <t>Instrumentation PLTC / TC-ER 300 V, #18 twisted shielded pairs, overall shield</t>
        </is>
      </c>
      <c r="K4490" s="12" t="inlineStr">
        <is>
          <t>PLTC|24 pr|18</t>
        </is>
      </c>
      <c r="L4490" s="12" t="inlineStr">
        <is>
          <t>24 pr</t>
        </is>
      </c>
      <c r="M4490" s="12" t="inlineStr">
        <is>
          <t>18</t>
        </is>
      </c>
      <c r="N4490" s="12" t="n">
        <v>1</v>
      </c>
      <c r="O4490" s="12" t="n">
        <v>1</v>
      </c>
      <c r="P4490" s="12" t="n"/>
      <c r="Q4490" s="12" t="n"/>
      <c r="R4490" s="12" t="n"/>
      <c r="S4490" s="12" t="inlineStr">
        <is>
          <t>Surface</t>
        </is>
      </c>
      <c r="T4490" s="16" t="n">
        <v>113</v>
      </c>
      <c r="U4490" s="16" t="n">
        <v>160</v>
      </c>
      <c r="V4490" s="16">
        <f>ROUNDUP((T4490+U4490+2*'Read Me'!$B$13)*(1+'Read Me'!$B$12),-1)</f>
        <v/>
      </c>
      <c r="W4490" s="16">
        <f>V4490*N4490*O4490</f>
        <v/>
      </c>
      <c r="X4490" s="12">
        <f>IF(LEFT(I4490,2)="MV",2*N4490*IF(L4490="1/C",O4490,1),0)</f>
        <v/>
      </c>
      <c r="Y4490" s="12">
        <f>IF(OR(LEFT(K4490,4)="LVAX",LEFT(K4490,6)="MV15AX",LEFT(K4490,4)="CTAX",LEFT(K4490,2)="W|"),2*N4490*O4490,0)</f>
        <v/>
      </c>
      <c r="Z4490" s="12" t="inlineStr"/>
      <c r="AA4490" s="12">
        <f>N4490*O4490</f>
        <v/>
      </c>
    </row>
    <row r="4491">
      <c r="A4491" s="12" t="inlineStr">
        <is>
          <t>I-I-0133</t>
        </is>
      </c>
      <c r="B4491" s="12" t="inlineStr">
        <is>
          <t>I</t>
        </is>
      </c>
      <c r="C4491" s="12" t="inlineStr">
        <is>
          <t>Modular / portable power</t>
        </is>
      </c>
      <c r="D4491" s="12" t="inlineStr">
        <is>
          <t>Instrumentation</t>
        </is>
      </c>
      <c r="E4491" s="12" t="inlineStr"/>
      <c r="F4491" s="12" t="inlineStr">
        <is>
          <t>PCM: power control module</t>
        </is>
      </c>
      <c r="G4491" s="12" t="inlineStr"/>
      <c r="H4491" s="12" t="inlineStr">
        <is>
          <t>MOD-LV 480 V board + 480 V : 13.8 kV step-up</t>
        </is>
      </c>
      <c r="I4491" s="12" t="inlineStr">
        <is>
          <t>Instrumentation</t>
        </is>
      </c>
      <c r="J4491" s="12" t="inlineStr">
        <is>
          <t>Instrumentation PLTC / TC-ER 300 V, #18 twisted shielded pairs, overall shield</t>
        </is>
      </c>
      <c r="K4491" s="12" t="inlineStr">
        <is>
          <t>PLTC|4 pr|18</t>
        </is>
      </c>
      <c r="L4491" s="12" t="inlineStr">
        <is>
          <t>4 pr</t>
        </is>
      </c>
      <c r="M4491" s="12" t="inlineStr">
        <is>
          <t>18</t>
        </is>
      </c>
      <c r="N4491" s="12" t="n">
        <v>1</v>
      </c>
      <c r="O4491" s="12" t="n">
        <v>1</v>
      </c>
      <c r="P4491" s="12" t="n"/>
      <c r="Q4491" s="12" t="n"/>
      <c r="R4491" s="12" t="n"/>
      <c r="S4491" s="12" t="inlineStr">
        <is>
          <t>Duct bank</t>
        </is>
      </c>
      <c r="T4491" s="16" t="n">
        <v>773</v>
      </c>
      <c r="U4491" s="16" t="n">
        <v>34</v>
      </c>
      <c r="V4491" s="16">
        <f>ROUNDUP((T4491+U4491+2*'Read Me'!$B$13)*(1+'Read Me'!$B$12),-1)</f>
        <v/>
      </c>
      <c r="W4491" s="16">
        <f>V4491*N4491*O4491</f>
        <v/>
      </c>
      <c r="X4491" s="12">
        <f>IF(LEFT(I4491,2)="MV",2*N4491*IF(L4491="1/C",O4491,1),0)</f>
        <v/>
      </c>
      <c r="Y4491" s="12">
        <f>IF(OR(LEFT(K4491,4)="LVAX",LEFT(K4491,6)="MV15AX",LEFT(K4491,4)="CTAX",LEFT(K4491,2)="W|"),2*N4491*O4491,0)</f>
        <v/>
      </c>
      <c r="Z4491" s="12" t="inlineStr"/>
      <c r="AA4491" s="12">
        <f>N4491*O4491</f>
        <v/>
      </c>
    </row>
    <row r="4492">
      <c r="A4492" s="12" t="inlineStr">
        <is>
          <t>I-I-0134</t>
        </is>
      </c>
      <c r="B4492" s="12" t="inlineStr">
        <is>
          <t>I</t>
        </is>
      </c>
      <c r="C4492" s="12" t="inlineStr">
        <is>
          <t>Modular / portable power</t>
        </is>
      </c>
      <c r="D4492" s="12" t="inlineStr">
        <is>
          <t>Analog instrument to JB JB-MT-1: microturbine-AI01: 6 x 1 pr (field cables)</t>
        </is>
      </c>
      <c r="E4492" s="12" t="inlineStr"/>
      <c r="F4492" s="12" t="inlineStr">
        <is>
          <t>MT-1: microturbine 1 MW (Capstone C1000 class)</t>
        </is>
      </c>
      <c r="G4492" s="12" t="inlineStr">
        <is>
          <t>JB-MT-1: microturbine-AI01</t>
        </is>
      </c>
      <c r="H4492" s="12" t="inlineStr">
        <is>
          <t>MT-1: microturbine 1 MW (Capstone C1000 class)</t>
        </is>
      </c>
      <c r="I4492" s="12" t="inlineStr">
        <is>
          <t>Instrumentation</t>
        </is>
      </c>
      <c r="J4492" s="12" t="inlineStr">
        <is>
          <t>Instrumentation PLTC / TC-ER 300 V, #18 twisted shielded pairs, overall shield</t>
        </is>
      </c>
      <c r="K4492" s="12" t="inlineStr">
        <is>
          <t>PLTC|1 pr|16</t>
        </is>
      </c>
      <c r="L4492" s="12" t="inlineStr">
        <is>
          <t>1 pr</t>
        </is>
      </c>
      <c r="M4492" s="12" t="inlineStr">
        <is>
          <t>16</t>
        </is>
      </c>
      <c r="N4492" s="12" t="n">
        <v>6</v>
      </c>
      <c r="O4492" s="12" t="n">
        <v>1</v>
      </c>
      <c r="P4492" s="12" t="n"/>
      <c r="Q4492" s="12" t="n"/>
      <c r="R4492" s="12" t="n"/>
      <c r="S4492" s="12" t="inlineStr">
        <is>
          <t>Tray / conduit</t>
        </is>
      </c>
      <c r="T4492" s="16" t="n">
        <v>47</v>
      </c>
      <c r="U4492" s="16" t="n">
        <v>10</v>
      </c>
      <c r="V4492" s="16">
        <f>ROUNDUP((T4492+U4492+2*'Read Me'!$B$13)*(1+'Read Me'!$B$12),-1)</f>
        <v/>
      </c>
      <c r="W4492" s="16">
        <f>V4492*N4492*O4492</f>
        <v/>
      </c>
      <c r="X4492" s="12">
        <f>IF(LEFT(I4492,2)="MV",2*N4492*IF(L4492="1/C",O4492,1),0)</f>
        <v/>
      </c>
      <c r="Y4492" s="12">
        <f>IF(OR(LEFT(K4492,4)="LVAX",LEFT(K4492,6)="MV15AX",LEFT(K4492,4)="CTAX",LEFT(K4492,2)="W|"),2*N4492*O4492,0)</f>
        <v/>
      </c>
      <c r="Z4492" s="12" t="inlineStr">
        <is>
          <t>device-to-JB field wiring, one cable per device</t>
        </is>
      </c>
      <c r="AA4492" s="12">
        <f>N4492*O4492</f>
        <v/>
      </c>
    </row>
    <row r="4493">
      <c r="A4493" s="12" t="inlineStr">
        <is>
          <t>I-I-0135</t>
        </is>
      </c>
      <c r="B4493" s="12" t="inlineStr">
        <is>
          <t>I</t>
        </is>
      </c>
      <c r="C4493" s="12" t="inlineStr">
        <is>
          <t>Modular / portable power</t>
        </is>
      </c>
      <c r="D4493" s="12" t="inlineStr">
        <is>
          <t>Home run JB-MT-1: microturbine-AI01 to the control / marshalling room</t>
        </is>
      </c>
      <c r="E4493" s="12" t="inlineStr"/>
      <c r="F4493" s="12" t="inlineStr">
        <is>
          <t>PCM: power control module</t>
        </is>
      </c>
      <c r="G4493" s="12" t="inlineStr">
        <is>
          <t>JB-MT-1: microturbine-AI01</t>
        </is>
      </c>
      <c r="H4493" s="12" t="inlineStr">
        <is>
          <t>MT-1: microturbine 1 MW (Capstone C1000 class)</t>
        </is>
      </c>
      <c r="I4493" s="12" t="inlineStr">
        <is>
          <t>Instrumentation</t>
        </is>
      </c>
      <c r="J4493" s="12" t="inlineStr">
        <is>
          <t>Instrumentation PLTC / TC-ER 300 V, #18 twisted shielded pairs, overall shield</t>
        </is>
      </c>
      <c r="K4493" s="12" t="inlineStr">
        <is>
          <t>PLTC|24 pr|18</t>
        </is>
      </c>
      <c r="L4493" s="12" t="inlineStr">
        <is>
          <t>24 pr</t>
        </is>
      </c>
      <c r="M4493" s="12" t="inlineStr">
        <is>
          <t>18</t>
        </is>
      </c>
      <c r="N4493" s="12" t="n">
        <v>1</v>
      </c>
      <c r="O4493" s="12" t="n">
        <v>1</v>
      </c>
      <c r="P4493" s="12" t="n"/>
      <c r="Q4493" s="12" t="n"/>
      <c r="R4493" s="12" t="n"/>
      <c r="S4493" s="12" t="inlineStr">
        <is>
          <t>Duct bank</t>
        </is>
      </c>
      <c r="T4493" s="16" t="n">
        <v>807</v>
      </c>
      <c r="U4493" s="16" t="n">
        <v>117</v>
      </c>
      <c r="V4493" s="16">
        <f>ROUNDUP((T4493+U4493+2*'Read Me'!$B$13)*(1+'Read Me'!$B$12),-1)</f>
        <v/>
      </c>
      <c r="W4493" s="16">
        <f>V4493*N4493*O4493</f>
        <v/>
      </c>
      <c r="X4493" s="12">
        <f>IF(LEFT(I4493,2)="MV",2*N4493*IF(L4493="1/C",O4493,1),0)</f>
        <v/>
      </c>
      <c r="Y4493" s="12">
        <f>IF(OR(LEFT(K4493,4)="LVAX",LEFT(K4493,6)="MV15AX",LEFT(K4493,4)="CTAX",LEFT(K4493,2)="W|"),2*N4493*O4493,0)</f>
        <v/>
      </c>
      <c r="Z4493" s="12" t="inlineStr"/>
      <c r="AA4493" s="12">
        <f>N4493*O4493</f>
        <v/>
      </c>
    </row>
    <row r="4494">
      <c r="A4494" s="12" t="inlineStr">
        <is>
          <t>I-I-0136</t>
        </is>
      </c>
      <c r="B4494" s="12" t="inlineStr">
        <is>
          <t>I</t>
        </is>
      </c>
      <c r="C4494" s="12" t="inlineStr">
        <is>
          <t>Modular / portable power</t>
        </is>
      </c>
      <c r="D4494" s="12" t="inlineStr">
        <is>
          <t>Discrete device to JB JB-MT-1: microturbine-DI01: 6 x 1 pr (field cables)</t>
        </is>
      </c>
      <c r="E4494" s="12" t="inlineStr"/>
      <c r="F4494" s="12" t="inlineStr">
        <is>
          <t>MT-1: microturbine 1 MW (Capstone C1000 class)</t>
        </is>
      </c>
      <c r="G4494" s="12" t="inlineStr">
        <is>
          <t>JB-MT-1: microturbine-DI01</t>
        </is>
      </c>
      <c r="H4494" s="12" t="inlineStr">
        <is>
          <t>MT-1: microturbine 1 MW (Capstone C1000 class)</t>
        </is>
      </c>
      <c r="I4494" s="12" t="inlineStr">
        <is>
          <t>Instrumentation</t>
        </is>
      </c>
      <c r="J4494" s="12" t="inlineStr">
        <is>
          <t>Instrumentation PLTC / TC-ER 300 V, #18 twisted shielded pairs, overall shield</t>
        </is>
      </c>
      <c r="K4494" s="12" t="inlineStr">
        <is>
          <t>PLTC|1 pr|16</t>
        </is>
      </c>
      <c r="L4494" s="12" t="inlineStr">
        <is>
          <t>1 pr</t>
        </is>
      </c>
      <c r="M4494" s="12" t="inlineStr">
        <is>
          <t>16</t>
        </is>
      </c>
      <c r="N4494" s="12" t="n">
        <v>6</v>
      </c>
      <c r="O4494" s="12" t="n">
        <v>1</v>
      </c>
      <c r="P4494" s="12" t="n"/>
      <c r="Q4494" s="12" t="n"/>
      <c r="R4494" s="12" t="n"/>
      <c r="S4494" s="12" t="inlineStr">
        <is>
          <t>Tray / conduit</t>
        </is>
      </c>
      <c r="T4494" s="16" t="n">
        <v>47</v>
      </c>
      <c r="U4494" s="16" t="n">
        <v>10</v>
      </c>
      <c r="V4494" s="16">
        <f>ROUNDUP((T4494+U4494+2*'Read Me'!$B$13)*(1+'Read Me'!$B$12),-1)</f>
        <v/>
      </c>
      <c r="W4494" s="16">
        <f>V4494*N4494*O4494</f>
        <v/>
      </c>
      <c r="X4494" s="12">
        <f>IF(LEFT(I4494,2)="MV",2*N4494*IF(L4494="1/C",O4494,1),0)</f>
        <v/>
      </c>
      <c r="Y4494" s="12">
        <f>IF(OR(LEFT(K4494,4)="LVAX",LEFT(K4494,6)="MV15AX",LEFT(K4494,4)="CTAX",LEFT(K4494,2)="W|"),2*N4494*O4494,0)</f>
        <v/>
      </c>
      <c r="Z4494" s="12" t="inlineStr">
        <is>
          <t>device-to-JB field wiring, one cable per device</t>
        </is>
      </c>
      <c r="AA4494" s="12">
        <f>N4494*O4494</f>
        <v/>
      </c>
    </row>
    <row r="4495">
      <c r="A4495" s="12" t="inlineStr">
        <is>
          <t>I-I-0137</t>
        </is>
      </c>
      <c r="B4495" s="12" t="inlineStr">
        <is>
          <t>I</t>
        </is>
      </c>
      <c r="C4495" s="12" t="inlineStr">
        <is>
          <t>Modular / portable power</t>
        </is>
      </c>
      <c r="D4495" s="12" t="inlineStr">
        <is>
          <t>Home run JB-MT-1: microturbine-DI01 to the control / marshalling room</t>
        </is>
      </c>
      <c r="E4495" s="12" t="inlineStr"/>
      <c r="F4495" s="12" t="inlineStr">
        <is>
          <t>PCM: power control module</t>
        </is>
      </c>
      <c r="G4495" s="12" t="inlineStr">
        <is>
          <t>JB-MT-1: microturbine-DI01</t>
        </is>
      </c>
      <c r="H4495" s="12" t="inlineStr">
        <is>
          <t>MT-1: microturbine 1 MW (Capstone C1000 class)</t>
        </is>
      </c>
      <c r="I4495" s="12" t="inlineStr">
        <is>
          <t>Instrumentation</t>
        </is>
      </c>
      <c r="J4495" s="12" t="inlineStr">
        <is>
          <t>Instrumentation PLTC / TC-ER 300 V, #18 twisted shielded pairs, overall shield</t>
        </is>
      </c>
      <c r="K4495" s="12" t="inlineStr">
        <is>
          <t>PLTC|24 pr|18</t>
        </is>
      </c>
      <c r="L4495" s="12" t="inlineStr">
        <is>
          <t>24 pr</t>
        </is>
      </c>
      <c r="M4495" s="12" t="inlineStr">
        <is>
          <t>18</t>
        </is>
      </c>
      <c r="N4495" s="12" t="n">
        <v>1</v>
      </c>
      <c r="O4495" s="12" t="n">
        <v>1</v>
      </c>
      <c r="P4495" s="12" t="n"/>
      <c r="Q4495" s="12" t="n"/>
      <c r="R4495" s="12" t="n"/>
      <c r="S4495" s="12" t="inlineStr">
        <is>
          <t>Duct bank</t>
        </is>
      </c>
      <c r="T4495" s="16" t="n">
        <v>807</v>
      </c>
      <c r="U4495" s="16" t="n">
        <v>117</v>
      </c>
      <c r="V4495" s="16">
        <f>ROUNDUP((T4495+U4495+2*'Read Me'!$B$13)*(1+'Read Me'!$B$12),-1)</f>
        <v/>
      </c>
      <c r="W4495" s="16">
        <f>V4495*N4495*O4495</f>
        <v/>
      </c>
      <c r="X4495" s="12">
        <f>IF(LEFT(I4495,2)="MV",2*N4495*IF(L4495="1/C",O4495,1),0)</f>
        <v/>
      </c>
      <c r="Y4495" s="12">
        <f>IF(OR(LEFT(K4495,4)="LVAX",LEFT(K4495,6)="MV15AX",LEFT(K4495,4)="CTAX",LEFT(K4495,2)="W|"),2*N4495*O4495,0)</f>
        <v/>
      </c>
      <c r="Z4495" s="12" t="inlineStr"/>
      <c r="AA4495" s="12">
        <f>N4495*O4495</f>
        <v/>
      </c>
    </row>
    <row r="4496">
      <c r="A4496" s="12" t="inlineStr">
        <is>
          <t>I-I-0138</t>
        </is>
      </c>
      <c r="B4496" s="12" t="inlineStr">
        <is>
          <t>I</t>
        </is>
      </c>
      <c r="C4496" s="12" t="inlineStr">
        <is>
          <t>Modular / portable power</t>
        </is>
      </c>
      <c r="D4496" s="12" t="inlineStr">
        <is>
          <t>Analog instrument to JB JB-MT-2: microturbine-AI01: 6 x 1 pr (field cables)</t>
        </is>
      </c>
      <c r="E4496" s="12" t="inlineStr"/>
      <c r="F4496" s="12" t="inlineStr">
        <is>
          <t>MT-2: microturbine 1 MW (Capstone C1000 class)</t>
        </is>
      </c>
      <c r="G4496" s="12" t="inlineStr">
        <is>
          <t>JB-MT-2: microturbine-AI01</t>
        </is>
      </c>
      <c r="H4496" s="12" t="inlineStr">
        <is>
          <t>MT-2: microturbine 1 MW (Capstone C1000 class)</t>
        </is>
      </c>
      <c r="I4496" s="12" t="inlineStr">
        <is>
          <t>Instrumentation</t>
        </is>
      </c>
      <c r="J4496" s="12" t="inlineStr">
        <is>
          <t>Instrumentation PLTC / TC-ER 300 V, #18 twisted shielded pairs, overall shield</t>
        </is>
      </c>
      <c r="K4496" s="12" t="inlineStr">
        <is>
          <t>PLTC|1 pr|16</t>
        </is>
      </c>
      <c r="L4496" s="12" t="inlineStr">
        <is>
          <t>1 pr</t>
        </is>
      </c>
      <c r="M4496" s="12" t="inlineStr">
        <is>
          <t>16</t>
        </is>
      </c>
      <c r="N4496" s="12" t="n">
        <v>6</v>
      </c>
      <c r="O4496" s="12" t="n">
        <v>1</v>
      </c>
      <c r="P4496" s="12" t="n"/>
      <c r="Q4496" s="12" t="n"/>
      <c r="R4496" s="12" t="n"/>
      <c r="S4496" s="12" t="inlineStr">
        <is>
          <t>Tray / conduit</t>
        </is>
      </c>
      <c r="T4496" s="16" t="n">
        <v>47</v>
      </c>
      <c r="U4496" s="16" t="n">
        <v>10</v>
      </c>
      <c r="V4496" s="16">
        <f>ROUNDUP((T4496+U4496+2*'Read Me'!$B$13)*(1+'Read Me'!$B$12),-1)</f>
        <v/>
      </c>
      <c r="W4496" s="16">
        <f>V4496*N4496*O4496</f>
        <v/>
      </c>
      <c r="X4496" s="12">
        <f>IF(LEFT(I4496,2)="MV",2*N4496*IF(L4496="1/C",O4496,1),0)</f>
        <v/>
      </c>
      <c r="Y4496" s="12">
        <f>IF(OR(LEFT(K4496,4)="LVAX",LEFT(K4496,6)="MV15AX",LEFT(K4496,4)="CTAX",LEFT(K4496,2)="W|"),2*N4496*O4496,0)</f>
        <v/>
      </c>
      <c r="Z4496" s="12" t="inlineStr">
        <is>
          <t>device-to-JB field wiring, one cable per device</t>
        </is>
      </c>
      <c r="AA4496" s="12">
        <f>N4496*O4496</f>
        <v/>
      </c>
    </row>
    <row r="4497">
      <c r="A4497" s="12" t="inlineStr">
        <is>
          <t>I-I-0139</t>
        </is>
      </c>
      <c r="B4497" s="12" t="inlineStr">
        <is>
          <t>I</t>
        </is>
      </c>
      <c r="C4497" s="12" t="inlineStr">
        <is>
          <t>Modular / portable power</t>
        </is>
      </c>
      <c r="D4497" s="12" t="inlineStr">
        <is>
          <t>Home run JB-MT-2: microturbine-AI01 to the control / marshalling room</t>
        </is>
      </c>
      <c r="E4497" s="12" t="inlineStr"/>
      <c r="F4497" s="12" t="inlineStr">
        <is>
          <t>PCM: power control module</t>
        </is>
      </c>
      <c r="G4497" s="12" t="inlineStr">
        <is>
          <t>JB-MT-2: microturbine-AI01</t>
        </is>
      </c>
      <c r="H4497" s="12" t="inlineStr">
        <is>
          <t>MT-2: microturbine 1 MW (Capstone C1000 class)</t>
        </is>
      </c>
      <c r="I4497" s="12" t="inlineStr">
        <is>
          <t>Instrumentation</t>
        </is>
      </c>
      <c r="J4497" s="12" t="inlineStr">
        <is>
          <t>Instrumentation PLTC / TC-ER 300 V, #18 twisted shielded pairs, overall shield</t>
        </is>
      </c>
      <c r="K4497" s="12" t="inlineStr">
        <is>
          <t>PLTC|24 pr|18</t>
        </is>
      </c>
      <c r="L4497" s="12" t="inlineStr">
        <is>
          <t>24 pr</t>
        </is>
      </c>
      <c r="M4497" s="12" t="inlineStr">
        <is>
          <t>18</t>
        </is>
      </c>
      <c r="N4497" s="12" t="n">
        <v>1</v>
      </c>
      <c r="O4497" s="12" t="n">
        <v>1</v>
      </c>
      <c r="P4497" s="12" t="n"/>
      <c r="Q4497" s="12" t="n"/>
      <c r="R4497" s="12" t="n"/>
      <c r="S4497" s="12" t="inlineStr">
        <is>
          <t>Duct bank</t>
        </is>
      </c>
      <c r="T4497" s="16" t="n">
        <v>807</v>
      </c>
      <c r="U4497" s="16" t="n">
        <v>131</v>
      </c>
      <c r="V4497" s="16">
        <f>ROUNDUP((T4497+U4497+2*'Read Me'!$B$13)*(1+'Read Me'!$B$12),-1)</f>
        <v/>
      </c>
      <c r="W4497" s="16">
        <f>V4497*N4497*O4497</f>
        <v/>
      </c>
      <c r="X4497" s="12">
        <f>IF(LEFT(I4497,2)="MV",2*N4497*IF(L4497="1/C",O4497,1),0)</f>
        <v/>
      </c>
      <c r="Y4497" s="12">
        <f>IF(OR(LEFT(K4497,4)="LVAX",LEFT(K4497,6)="MV15AX",LEFT(K4497,4)="CTAX",LEFT(K4497,2)="W|"),2*N4497*O4497,0)</f>
        <v/>
      </c>
      <c r="Z4497" s="12" t="inlineStr"/>
      <c r="AA4497" s="12">
        <f>N4497*O4497</f>
        <v/>
      </c>
    </row>
    <row r="4498">
      <c r="A4498" s="12" t="inlineStr">
        <is>
          <t>I-I-0140</t>
        </is>
      </c>
      <c r="B4498" s="12" t="inlineStr">
        <is>
          <t>I</t>
        </is>
      </c>
      <c r="C4498" s="12" t="inlineStr">
        <is>
          <t>Modular / portable power</t>
        </is>
      </c>
      <c r="D4498" s="12" t="inlineStr">
        <is>
          <t>Discrete device to JB JB-MT-2: microturbine-DI01: 6 x 1 pr (field cables)</t>
        </is>
      </c>
      <c r="E4498" s="12" t="inlineStr"/>
      <c r="F4498" s="12" t="inlineStr">
        <is>
          <t>MT-2: microturbine 1 MW (Capstone C1000 class)</t>
        </is>
      </c>
      <c r="G4498" s="12" t="inlineStr">
        <is>
          <t>JB-MT-2: microturbine-DI01</t>
        </is>
      </c>
      <c r="H4498" s="12" t="inlineStr">
        <is>
          <t>MT-2: microturbine 1 MW (Capstone C1000 class)</t>
        </is>
      </c>
      <c r="I4498" s="12" t="inlineStr">
        <is>
          <t>Instrumentation</t>
        </is>
      </c>
      <c r="J4498" s="12" t="inlineStr">
        <is>
          <t>Instrumentation PLTC / TC-ER 300 V, #18 twisted shielded pairs, overall shield</t>
        </is>
      </c>
      <c r="K4498" s="12" t="inlineStr">
        <is>
          <t>PLTC|1 pr|16</t>
        </is>
      </c>
      <c r="L4498" s="12" t="inlineStr">
        <is>
          <t>1 pr</t>
        </is>
      </c>
      <c r="M4498" s="12" t="inlineStr">
        <is>
          <t>16</t>
        </is>
      </c>
      <c r="N4498" s="12" t="n">
        <v>6</v>
      </c>
      <c r="O4498" s="12" t="n">
        <v>1</v>
      </c>
      <c r="P4498" s="12" t="n"/>
      <c r="Q4498" s="12" t="n"/>
      <c r="R4498" s="12" t="n"/>
      <c r="S4498" s="12" t="inlineStr">
        <is>
          <t>Tray / conduit</t>
        </is>
      </c>
      <c r="T4498" s="16" t="n">
        <v>47</v>
      </c>
      <c r="U4498" s="16" t="n">
        <v>10</v>
      </c>
      <c r="V4498" s="16">
        <f>ROUNDUP((T4498+U4498+2*'Read Me'!$B$13)*(1+'Read Me'!$B$12),-1)</f>
        <v/>
      </c>
      <c r="W4498" s="16">
        <f>V4498*N4498*O4498</f>
        <v/>
      </c>
      <c r="X4498" s="12">
        <f>IF(LEFT(I4498,2)="MV",2*N4498*IF(L4498="1/C",O4498,1),0)</f>
        <v/>
      </c>
      <c r="Y4498" s="12">
        <f>IF(OR(LEFT(K4498,4)="LVAX",LEFT(K4498,6)="MV15AX",LEFT(K4498,4)="CTAX",LEFT(K4498,2)="W|"),2*N4498*O4498,0)</f>
        <v/>
      </c>
      <c r="Z4498" s="12" t="inlineStr">
        <is>
          <t>device-to-JB field wiring, one cable per device</t>
        </is>
      </c>
      <c r="AA4498" s="12">
        <f>N4498*O4498</f>
        <v/>
      </c>
    </row>
    <row r="4499">
      <c r="A4499" s="12" t="inlineStr">
        <is>
          <t>I-I-0141</t>
        </is>
      </c>
      <c r="B4499" s="12" t="inlineStr">
        <is>
          <t>I</t>
        </is>
      </c>
      <c r="C4499" s="12" t="inlineStr">
        <is>
          <t>Modular / portable power</t>
        </is>
      </c>
      <c r="D4499" s="12" t="inlineStr">
        <is>
          <t>Home run JB-MT-2: microturbine-DI01 to the control / marshalling room</t>
        </is>
      </c>
      <c r="E4499" s="12" t="inlineStr"/>
      <c r="F4499" s="12" t="inlineStr">
        <is>
          <t>PCM: power control module</t>
        </is>
      </c>
      <c r="G4499" s="12" t="inlineStr">
        <is>
          <t>JB-MT-2: microturbine-DI01</t>
        </is>
      </c>
      <c r="H4499" s="12" t="inlineStr">
        <is>
          <t>MT-2: microturbine 1 MW (Capstone C1000 class)</t>
        </is>
      </c>
      <c r="I4499" s="12" t="inlineStr">
        <is>
          <t>Instrumentation</t>
        </is>
      </c>
      <c r="J4499" s="12" t="inlineStr">
        <is>
          <t>Instrumentation PLTC / TC-ER 300 V, #18 twisted shielded pairs, overall shield</t>
        </is>
      </c>
      <c r="K4499" s="12" t="inlineStr">
        <is>
          <t>PLTC|24 pr|18</t>
        </is>
      </c>
      <c r="L4499" s="12" t="inlineStr">
        <is>
          <t>24 pr</t>
        </is>
      </c>
      <c r="M4499" s="12" t="inlineStr">
        <is>
          <t>18</t>
        </is>
      </c>
      <c r="N4499" s="12" t="n">
        <v>1</v>
      </c>
      <c r="O4499" s="12" t="n">
        <v>1</v>
      </c>
      <c r="P4499" s="12" t="n"/>
      <c r="Q4499" s="12" t="n"/>
      <c r="R4499" s="12" t="n"/>
      <c r="S4499" s="12" t="inlineStr">
        <is>
          <t>Duct bank</t>
        </is>
      </c>
      <c r="T4499" s="16" t="n">
        <v>807</v>
      </c>
      <c r="U4499" s="16" t="n">
        <v>131</v>
      </c>
      <c r="V4499" s="16">
        <f>ROUNDUP((T4499+U4499+2*'Read Me'!$B$13)*(1+'Read Me'!$B$12),-1)</f>
        <v/>
      </c>
      <c r="W4499" s="16">
        <f>V4499*N4499*O4499</f>
        <v/>
      </c>
      <c r="X4499" s="12">
        <f>IF(LEFT(I4499,2)="MV",2*N4499*IF(L4499="1/C",O4499,1),0)</f>
        <v/>
      </c>
      <c r="Y4499" s="12">
        <f>IF(OR(LEFT(K4499,4)="LVAX",LEFT(K4499,6)="MV15AX",LEFT(K4499,4)="CTAX",LEFT(K4499,2)="W|"),2*N4499*O4499,0)</f>
        <v/>
      </c>
      <c r="Z4499" s="12" t="inlineStr"/>
      <c r="AA4499" s="12">
        <f>N4499*O4499</f>
        <v/>
      </c>
    </row>
    <row r="4500">
      <c r="A4500" s="12" t="inlineStr">
        <is>
          <t>I-I-0142</t>
        </is>
      </c>
      <c r="B4500" s="12" t="inlineStr">
        <is>
          <t>I</t>
        </is>
      </c>
      <c r="C4500" s="12" t="inlineStr">
        <is>
          <t>Modular / portable power</t>
        </is>
      </c>
      <c r="D4500" s="12" t="inlineStr">
        <is>
          <t>Analog instrument to JB JB-MT-3: microturbine-AI01: 6 x 1 pr (field cables)</t>
        </is>
      </c>
      <c r="E4500" s="12" t="inlineStr"/>
      <c r="F4500" s="12" t="inlineStr">
        <is>
          <t>MT-3: microturbine 1 MW (Capstone C1000 class)</t>
        </is>
      </c>
      <c r="G4500" s="12" t="inlineStr">
        <is>
          <t>JB-MT-3: microturbine-AI01</t>
        </is>
      </c>
      <c r="H4500" s="12" t="inlineStr">
        <is>
          <t>MT-3: microturbine 1 MW (Capstone C1000 class)</t>
        </is>
      </c>
      <c r="I4500" s="12" t="inlineStr">
        <is>
          <t>Instrumentation</t>
        </is>
      </c>
      <c r="J4500" s="12" t="inlineStr">
        <is>
          <t>Instrumentation PLTC / TC-ER 300 V, #18 twisted shielded pairs, overall shield</t>
        </is>
      </c>
      <c r="K4500" s="12" t="inlineStr">
        <is>
          <t>PLTC|1 pr|16</t>
        </is>
      </c>
      <c r="L4500" s="12" t="inlineStr">
        <is>
          <t>1 pr</t>
        </is>
      </c>
      <c r="M4500" s="12" t="inlineStr">
        <is>
          <t>16</t>
        </is>
      </c>
      <c r="N4500" s="12" t="n">
        <v>6</v>
      </c>
      <c r="O4500" s="12" t="n">
        <v>1</v>
      </c>
      <c r="P4500" s="12" t="n"/>
      <c r="Q4500" s="12" t="n"/>
      <c r="R4500" s="12" t="n"/>
      <c r="S4500" s="12" t="inlineStr">
        <is>
          <t>Tray / conduit</t>
        </is>
      </c>
      <c r="T4500" s="16" t="n">
        <v>47</v>
      </c>
      <c r="U4500" s="16" t="n">
        <v>10</v>
      </c>
      <c r="V4500" s="16">
        <f>ROUNDUP((T4500+U4500+2*'Read Me'!$B$13)*(1+'Read Me'!$B$12),-1)</f>
        <v/>
      </c>
      <c r="W4500" s="16">
        <f>V4500*N4500*O4500</f>
        <v/>
      </c>
      <c r="X4500" s="12">
        <f>IF(LEFT(I4500,2)="MV",2*N4500*IF(L4500="1/C",O4500,1),0)</f>
        <v/>
      </c>
      <c r="Y4500" s="12">
        <f>IF(OR(LEFT(K4500,4)="LVAX",LEFT(K4500,6)="MV15AX",LEFT(K4500,4)="CTAX",LEFT(K4500,2)="W|"),2*N4500*O4500,0)</f>
        <v/>
      </c>
      <c r="Z4500" s="12" t="inlineStr">
        <is>
          <t>device-to-JB field wiring, one cable per device</t>
        </is>
      </c>
      <c r="AA4500" s="12">
        <f>N4500*O4500</f>
        <v/>
      </c>
    </row>
    <row r="4501">
      <c r="A4501" s="12" t="inlineStr">
        <is>
          <t>I-I-0143</t>
        </is>
      </c>
      <c r="B4501" s="12" t="inlineStr">
        <is>
          <t>I</t>
        </is>
      </c>
      <c r="C4501" s="12" t="inlineStr">
        <is>
          <t>Modular / portable power</t>
        </is>
      </c>
      <c r="D4501" s="12" t="inlineStr">
        <is>
          <t>Home run JB-MT-3: microturbine-AI01 to the control / marshalling room</t>
        </is>
      </c>
      <c r="E4501" s="12" t="inlineStr"/>
      <c r="F4501" s="12" t="inlineStr">
        <is>
          <t>PCM: power control module</t>
        </is>
      </c>
      <c r="G4501" s="12" t="inlineStr">
        <is>
          <t>JB-MT-3: microturbine-AI01</t>
        </is>
      </c>
      <c r="H4501" s="12" t="inlineStr">
        <is>
          <t>MT-3: microturbine 1 MW (Capstone C1000 class)</t>
        </is>
      </c>
      <c r="I4501" s="12" t="inlineStr">
        <is>
          <t>Instrumentation</t>
        </is>
      </c>
      <c r="J4501" s="12" t="inlineStr">
        <is>
          <t>Instrumentation PLTC / TC-ER 300 V, #18 twisted shielded pairs, overall shield</t>
        </is>
      </c>
      <c r="K4501" s="12" t="inlineStr">
        <is>
          <t>PLTC|24 pr|18</t>
        </is>
      </c>
      <c r="L4501" s="12" t="inlineStr">
        <is>
          <t>24 pr</t>
        </is>
      </c>
      <c r="M4501" s="12" t="inlineStr">
        <is>
          <t>18</t>
        </is>
      </c>
      <c r="N4501" s="12" t="n">
        <v>1</v>
      </c>
      <c r="O4501" s="12" t="n">
        <v>1</v>
      </c>
      <c r="P4501" s="12" t="n"/>
      <c r="Q4501" s="12" t="n"/>
      <c r="R4501" s="12" t="n"/>
      <c r="S4501" s="12" t="inlineStr">
        <is>
          <t>Duct bank</t>
        </is>
      </c>
      <c r="T4501" s="16" t="n">
        <v>807</v>
      </c>
      <c r="U4501" s="16" t="n">
        <v>145</v>
      </c>
      <c r="V4501" s="16">
        <f>ROUNDUP((T4501+U4501+2*'Read Me'!$B$13)*(1+'Read Me'!$B$12),-1)</f>
        <v/>
      </c>
      <c r="W4501" s="16">
        <f>V4501*N4501*O4501</f>
        <v/>
      </c>
      <c r="X4501" s="12">
        <f>IF(LEFT(I4501,2)="MV",2*N4501*IF(L4501="1/C",O4501,1),0)</f>
        <v/>
      </c>
      <c r="Y4501" s="12">
        <f>IF(OR(LEFT(K4501,4)="LVAX",LEFT(K4501,6)="MV15AX",LEFT(K4501,4)="CTAX",LEFT(K4501,2)="W|"),2*N4501*O4501,0)</f>
        <v/>
      </c>
      <c r="Z4501" s="12" t="inlineStr"/>
      <c r="AA4501" s="12">
        <f>N4501*O4501</f>
        <v/>
      </c>
    </row>
    <row r="4502">
      <c r="A4502" s="12" t="inlineStr">
        <is>
          <t>I-I-0144</t>
        </is>
      </c>
      <c r="B4502" s="12" t="inlineStr">
        <is>
          <t>I</t>
        </is>
      </c>
      <c r="C4502" s="12" t="inlineStr">
        <is>
          <t>Modular / portable power</t>
        </is>
      </c>
      <c r="D4502" s="12" t="inlineStr">
        <is>
          <t>Discrete device to JB JB-MT-3: microturbine-DI01: 6 x 1 pr (field cables)</t>
        </is>
      </c>
      <c r="E4502" s="12" t="inlineStr"/>
      <c r="F4502" s="12" t="inlineStr">
        <is>
          <t>MT-3: microturbine 1 MW (Capstone C1000 class)</t>
        </is>
      </c>
      <c r="G4502" s="12" t="inlineStr">
        <is>
          <t>JB-MT-3: microturbine-DI01</t>
        </is>
      </c>
      <c r="H4502" s="12" t="inlineStr">
        <is>
          <t>MT-3: microturbine 1 MW (Capstone C1000 class)</t>
        </is>
      </c>
      <c r="I4502" s="12" t="inlineStr">
        <is>
          <t>Instrumentation</t>
        </is>
      </c>
      <c r="J4502" s="12" t="inlineStr">
        <is>
          <t>Instrumentation PLTC / TC-ER 300 V, #18 twisted shielded pairs, overall shield</t>
        </is>
      </c>
      <c r="K4502" s="12" t="inlineStr">
        <is>
          <t>PLTC|1 pr|16</t>
        </is>
      </c>
      <c r="L4502" s="12" t="inlineStr">
        <is>
          <t>1 pr</t>
        </is>
      </c>
      <c r="M4502" s="12" t="inlineStr">
        <is>
          <t>16</t>
        </is>
      </c>
      <c r="N4502" s="12" t="n">
        <v>6</v>
      </c>
      <c r="O4502" s="12" t="n">
        <v>1</v>
      </c>
      <c r="P4502" s="12" t="n"/>
      <c r="Q4502" s="12" t="n"/>
      <c r="R4502" s="12" t="n"/>
      <c r="S4502" s="12" t="inlineStr">
        <is>
          <t>Tray / conduit</t>
        </is>
      </c>
      <c r="T4502" s="16" t="n">
        <v>47</v>
      </c>
      <c r="U4502" s="16" t="n">
        <v>10</v>
      </c>
      <c r="V4502" s="16">
        <f>ROUNDUP((T4502+U4502+2*'Read Me'!$B$13)*(1+'Read Me'!$B$12),-1)</f>
        <v/>
      </c>
      <c r="W4502" s="16">
        <f>V4502*N4502*O4502</f>
        <v/>
      </c>
      <c r="X4502" s="12">
        <f>IF(LEFT(I4502,2)="MV",2*N4502*IF(L4502="1/C",O4502,1),0)</f>
        <v/>
      </c>
      <c r="Y4502" s="12">
        <f>IF(OR(LEFT(K4502,4)="LVAX",LEFT(K4502,6)="MV15AX",LEFT(K4502,4)="CTAX",LEFT(K4502,2)="W|"),2*N4502*O4502,0)</f>
        <v/>
      </c>
      <c r="Z4502" s="12" t="inlineStr">
        <is>
          <t>device-to-JB field wiring, one cable per device</t>
        </is>
      </c>
      <c r="AA4502" s="12">
        <f>N4502*O4502</f>
        <v/>
      </c>
    </row>
    <row r="4503">
      <c r="A4503" s="12" t="inlineStr">
        <is>
          <t>I-I-0145</t>
        </is>
      </c>
      <c r="B4503" s="12" t="inlineStr">
        <is>
          <t>I</t>
        </is>
      </c>
      <c r="C4503" s="12" t="inlineStr">
        <is>
          <t>Modular / portable power</t>
        </is>
      </c>
      <c r="D4503" s="12" t="inlineStr">
        <is>
          <t>Home run JB-MT-3: microturbine-DI01 to the control / marshalling room</t>
        </is>
      </c>
      <c r="E4503" s="12" t="inlineStr"/>
      <c r="F4503" s="12" t="inlineStr">
        <is>
          <t>PCM: power control module</t>
        </is>
      </c>
      <c r="G4503" s="12" t="inlineStr">
        <is>
          <t>JB-MT-3: microturbine-DI01</t>
        </is>
      </c>
      <c r="H4503" s="12" t="inlineStr">
        <is>
          <t>MT-3: microturbine 1 MW (Capstone C1000 class)</t>
        </is>
      </c>
      <c r="I4503" s="12" t="inlineStr">
        <is>
          <t>Instrumentation</t>
        </is>
      </c>
      <c r="J4503" s="12" t="inlineStr">
        <is>
          <t>Instrumentation PLTC / TC-ER 300 V, #18 twisted shielded pairs, overall shield</t>
        </is>
      </c>
      <c r="K4503" s="12" t="inlineStr">
        <is>
          <t>PLTC|24 pr|18</t>
        </is>
      </c>
      <c r="L4503" s="12" t="inlineStr">
        <is>
          <t>24 pr</t>
        </is>
      </c>
      <c r="M4503" s="12" t="inlineStr">
        <is>
          <t>18</t>
        </is>
      </c>
      <c r="N4503" s="12" t="n">
        <v>1</v>
      </c>
      <c r="O4503" s="12" t="n">
        <v>1</v>
      </c>
      <c r="P4503" s="12" t="n"/>
      <c r="Q4503" s="12" t="n"/>
      <c r="R4503" s="12" t="n"/>
      <c r="S4503" s="12" t="inlineStr">
        <is>
          <t>Duct bank</t>
        </is>
      </c>
      <c r="T4503" s="16" t="n">
        <v>807</v>
      </c>
      <c r="U4503" s="16" t="n">
        <v>145</v>
      </c>
      <c r="V4503" s="16">
        <f>ROUNDUP((T4503+U4503+2*'Read Me'!$B$13)*(1+'Read Me'!$B$12),-1)</f>
        <v/>
      </c>
      <c r="W4503" s="16">
        <f>V4503*N4503*O4503</f>
        <v/>
      </c>
      <c r="X4503" s="12">
        <f>IF(LEFT(I4503,2)="MV",2*N4503*IF(L4503="1/C",O4503,1),0)</f>
        <v/>
      </c>
      <c r="Y4503" s="12">
        <f>IF(OR(LEFT(K4503,4)="LVAX",LEFT(K4503,6)="MV15AX",LEFT(K4503,4)="CTAX",LEFT(K4503,2)="W|"),2*N4503*O4503,0)</f>
        <v/>
      </c>
      <c r="Z4503" s="12" t="inlineStr"/>
      <c r="AA4503" s="12">
        <f>N4503*O4503</f>
        <v/>
      </c>
    </row>
    <row r="4504">
      <c r="A4504" s="12" t="inlineStr">
        <is>
          <t>I-I-0146</t>
        </is>
      </c>
      <c r="B4504" s="12" t="inlineStr">
        <is>
          <t>I</t>
        </is>
      </c>
      <c r="C4504" s="12" t="inlineStr">
        <is>
          <t>Modular / portable power</t>
        </is>
      </c>
      <c r="D4504" s="12" t="inlineStr">
        <is>
          <t>Analog instrument to JB JB-MT-4-AI01: 6 x 1 pr (field cables)</t>
        </is>
      </c>
      <c r="E4504" s="12" t="inlineStr">
        <is>
          <t>MT-4</t>
        </is>
      </c>
      <c r="F4504" s="12" t="inlineStr">
        <is>
          <t>MT-4: microturbine 1 MW (Capstone C1000 class)</t>
        </is>
      </c>
      <c r="G4504" s="12" t="inlineStr">
        <is>
          <t>JB-MT-4-AI01</t>
        </is>
      </c>
      <c r="H4504" s="12" t="inlineStr">
        <is>
          <t>MT-4: microturbine 1 MW (Capstone C1000 class)</t>
        </is>
      </c>
      <c r="I4504" s="12" t="inlineStr">
        <is>
          <t>Instrumentation</t>
        </is>
      </c>
      <c r="J4504" s="12" t="inlineStr">
        <is>
          <t>Instrumentation PLTC / TC-ER 300 V, #18 twisted shielded pairs, overall shield</t>
        </is>
      </c>
      <c r="K4504" s="12" t="inlineStr">
        <is>
          <t>PLTC|1 pr|16</t>
        </is>
      </c>
      <c r="L4504" s="12" t="inlineStr">
        <is>
          <t>1 pr</t>
        </is>
      </c>
      <c r="M4504" s="12" t="inlineStr">
        <is>
          <t>16</t>
        </is>
      </c>
      <c r="N4504" s="12" t="n">
        <v>6</v>
      </c>
      <c r="O4504" s="12" t="n">
        <v>1</v>
      </c>
      <c r="P4504" s="12" t="n"/>
      <c r="Q4504" s="12" t="n"/>
      <c r="R4504" s="12" t="n"/>
      <c r="S4504" s="12" t="inlineStr">
        <is>
          <t>Tray / conduit</t>
        </is>
      </c>
      <c r="T4504" s="16" t="n">
        <v>47</v>
      </c>
      <c r="U4504" s="16" t="n">
        <v>10</v>
      </c>
      <c r="V4504" s="16">
        <f>ROUNDUP((T4504+U4504+2*'Read Me'!$B$13)*(1+'Read Me'!$B$12),-1)</f>
        <v/>
      </c>
      <c r="W4504" s="16">
        <f>V4504*N4504*O4504</f>
        <v/>
      </c>
      <c r="X4504" s="12">
        <f>IF(LEFT(I4504,2)="MV",2*N4504*IF(L4504="1/C",O4504,1),0)</f>
        <v/>
      </c>
      <c r="Y4504" s="12">
        <f>IF(OR(LEFT(K4504,4)="LVAX",LEFT(K4504,6)="MV15AX",LEFT(K4504,4)="CTAX",LEFT(K4504,2)="W|"),2*N4504*O4504,0)</f>
        <v/>
      </c>
      <c r="Z4504" s="12" t="inlineStr">
        <is>
          <t>device-to-JB field wiring, one cable per device</t>
        </is>
      </c>
      <c r="AA4504" s="12">
        <f>N4504*O4504</f>
        <v/>
      </c>
    </row>
    <row r="4505">
      <c r="A4505" s="12" t="inlineStr">
        <is>
          <t>I-I-0147</t>
        </is>
      </c>
      <c r="B4505" s="12" t="inlineStr">
        <is>
          <t>I</t>
        </is>
      </c>
      <c r="C4505" s="12" t="inlineStr">
        <is>
          <t>Modular / portable power</t>
        </is>
      </c>
      <c r="D4505" s="12" t="inlineStr">
        <is>
          <t>Home run JB-MT-4-AI01 to the control / marshalling room</t>
        </is>
      </c>
      <c r="E4505" s="12" t="inlineStr">
        <is>
          <t>PAD-EH</t>
        </is>
      </c>
      <c r="F4505" s="12" t="inlineStr">
        <is>
          <t>PAD-EH 13.8 kV switchgear e-house</t>
        </is>
      </c>
      <c r="G4505" s="12" t="inlineStr">
        <is>
          <t>JB-MT-4-AI01</t>
        </is>
      </c>
      <c r="H4505" s="12" t="inlineStr">
        <is>
          <t>MT-4: microturbine 1 MW (Capstone C1000 class)</t>
        </is>
      </c>
      <c r="I4505" s="12" t="inlineStr">
        <is>
          <t>Instrumentation</t>
        </is>
      </c>
      <c r="J4505" s="12" t="inlineStr">
        <is>
          <t>Instrumentation PLTC / TC-ER 300 V, #18 twisted shielded pairs, overall shield</t>
        </is>
      </c>
      <c r="K4505" s="12" t="inlineStr">
        <is>
          <t>PLTC|24 pr|18</t>
        </is>
      </c>
      <c r="L4505" s="12" t="inlineStr">
        <is>
          <t>24 pr</t>
        </is>
      </c>
      <c r="M4505" s="12" t="inlineStr">
        <is>
          <t>18</t>
        </is>
      </c>
      <c r="N4505" s="12" t="n">
        <v>1</v>
      </c>
      <c r="O4505" s="12" t="n">
        <v>1</v>
      </c>
      <c r="P4505" s="12" t="n"/>
      <c r="Q4505" s="12" t="n"/>
      <c r="R4505" s="12" t="n"/>
      <c r="S4505" s="12" t="inlineStr">
        <is>
          <t>Surface</t>
        </is>
      </c>
      <c r="T4505" s="16" t="n">
        <v>198</v>
      </c>
      <c r="U4505" s="16" t="n">
        <v>47</v>
      </c>
      <c r="V4505" s="16">
        <f>ROUNDUP((T4505+U4505+2*'Read Me'!$B$13)*(1+'Read Me'!$B$12),-1)</f>
        <v/>
      </c>
      <c r="W4505" s="16">
        <f>V4505*N4505*O4505</f>
        <v/>
      </c>
      <c r="X4505" s="12">
        <f>IF(LEFT(I4505,2)="MV",2*N4505*IF(L4505="1/C",O4505,1),0)</f>
        <v/>
      </c>
      <c r="Y4505" s="12">
        <f>IF(OR(LEFT(K4505,4)="LVAX",LEFT(K4505,6)="MV15AX",LEFT(K4505,4)="CTAX",LEFT(K4505,2)="W|"),2*N4505*O4505,0)</f>
        <v/>
      </c>
      <c r="Z4505" s="12" t="inlineStr"/>
      <c r="AA4505" s="12">
        <f>N4505*O4505</f>
        <v/>
      </c>
    </row>
    <row r="4506">
      <c r="A4506" s="12" t="inlineStr">
        <is>
          <t>I-I-0148</t>
        </is>
      </c>
      <c r="B4506" s="12" t="inlineStr">
        <is>
          <t>I</t>
        </is>
      </c>
      <c r="C4506" s="12" t="inlineStr">
        <is>
          <t>Modular / portable power</t>
        </is>
      </c>
      <c r="D4506" s="12" t="inlineStr">
        <is>
          <t>Discrete device to JB JB-MT-4-DI01: 6 x 1 pr (field cables)</t>
        </is>
      </c>
      <c r="E4506" s="12" t="inlineStr">
        <is>
          <t>MT-4</t>
        </is>
      </c>
      <c r="F4506" s="12" t="inlineStr">
        <is>
          <t>MT-4: microturbine 1 MW (Capstone C1000 class)</t>
        </is>
      </c>
      <c r="G4506" s="12" t="inlineStr">
        <is>
          <t>JB-MT-4-DI01</t>
        </is>
      </c>
      <c r="H4506" s="12" t="inlineStr">
        <is>
          <t>MT-4: microturbine 1 MW (Capstone C1000 class)</t>
        </is>
      </c>
      <c r="I4506" s="12" t="inlineStr">
        <is>
          <t>Instrumentation</t>
        </is>
      </c>
      <c r="J4506" s="12" t="inlineStr">
        <is>
          <t>Instrumentation PLTC / TC-ER 300 V, #18 twisted shielded pairs, overall shield</t>
        </is>
      </c>
      <c r="K4506" s="12" t="inlineStr">
        <is>
          <t>PLTC|1 pr|16</t>
        </is>
      </c>
      <c r="L4506" s="12" t="inlineStr">
        <is>
          <t>1 pr</t>
        </is>
      </c>
      <c r="M4506" s="12" t="inlineStr">
        <is>
          <t>16</t>
        </is>
      </c>
      <c r="N4506" s="12" t="n">
        <v>6</v>
      </c>
      <c r="O4506" s="12" t="n">
        <v>1</v>
      </c>
      <c r="P4506" s="12" t="n"/>
      <c r="Q4506" s="12" t="n"/>
      <c r="R4506" s="12" t="n"/>
      <c r="S4506" s="12" t="inlineStr">
        <is>
          <t>Tray / conduit</t>
        </is>
      </c>
      <c r="T4506" s="16" t="n">
        <v>47</v>
      </c>
      <c r="U4506" s="16" t="n">
        <v>10</v>
      </c>
      <c r="V4506" s="16">
        <f>ROUNDUP((T4506+U4506+2*'Read Me'!$B$13)*(1+'Read Me'!$B$12),-1)</f>
        <v/>
      </c>
      <c r="W4506" s="16">
        <f>V4506*N4506*O4506</f>
        <v/>
      </c>
      <c r="X4506" s="12">
        <f>IF(LEFT(I4506,2)="MV",2*N4506*IF(L4506="1/C",O4506,1),0)</f>
        <v/>
      </c>
      <c r="Y4506" s="12">
        <f>IF(OR(LEFT(K4506,4)="LVAX",LEFT(K4506,6)="MV15AX",LEFT(K4506,4)="CTAX",LEFT(K4506,2)="W|"),2*N4506*O4506,0)</f>
        <v/>
      </c>
      <c r="Z4506" s="12" t="inlineStr">
        <is>
          <t>device-to-JB field wiring, one cable per device</t>
        </is>
      </c>
      <c r="AA4506" s="12">
        <f>N4506*O4506</f>
        <v/>
      </c>
    </row>
    <row r="4507">
      <c r="A4507" s="12" t="inlineStr">
        <is>
          <t>I-I-0149</t>
        </is>
      </c>
      <c r="B4507" s="12" t="inlineStr">
        <is>
          <t>I</t>
        </is>
      </c>
      <c r="C4507" s="12" t="inlineStr">
        <is>
          <t>Modular / portable power</t>
        </is>
      </c>
      <c r="D4507" s="12" t="inlineStr">
        <is>
          <t>Home run JB-MT-4-DI01 to the control / marshalling room</t>
        </is>
      </c>
      <c r="E4507" s="12" t="inlineStr">
        <is>
          <t>PAD-EH</t>
        </is>
      </c>
      <c r="F4507" s="12" t="inlineStr">
        <is>
          <t>PAD-EH 13.8 kV switchgear e-house</t>
        </is>
      </c>
      <c r="G4507" s="12" t="inlineStr">
        <is>
          <t>JB-MT-4-DI01</t>
        </is>
      </c>
      <c r="H4507" s="12" t="inlineStr">
        <is>
          <t>MT-4: microturbine 1 MW (Capstone C1000 class)</t>
        </is>
      </c>
      <c r="I4507" s="12" t="inlineStr">
        <is>
          <t>Instrumentation</t>
        </is>
      </c>
      <c r="J4507" s="12" t="inlineStr">
        <is>
          <t>Instrumentation PLTC / TC-ER 300 V, #18 twisted shielded pairs, overall shield</t>
        </is>
      </c>
      <c r="K4507" s="12" t="inlineStr">
        <is>
          <t>PLTC|24 pr|18</t>
        </is>
      </c>
      <c r="L4507" s="12" t="inlineStr">
        <is>
          <t>24 pr</t>
        </is>
      </c>
      <c r="M4507" s="12" t="inlineStr">
        <is>
          <t>18</t>
        </is>
      </c>
      <c r="N4507" s="12" t="n">
        <v>1</v>
      </c>
      <c r="O4507" s="12" t="n">
        <v>1</v>
      </c>
      <c r="P4507" s="12" t="n"/>
      <c r="Q4507" s="12" t="n"/>
      <c r="R4507" s="12" t="n"/>
      <c r="S4507" s="12" t="inlineStr">
        <is>
          <t>Surface</t>
        </is>
      </c>
      <c r="T4507" s="16" t="n">
        <v>198</v>
      </c>
      <c r="U4507" s="16" t="n">
        <v>47</v>
      </c>
      <c r="V4507" s="16">
        <f>ROUNDUP((T4507+U4507+2*'Read Me'!$B$13)*(1+'Read Me'!$B$12),-1)</f>
        <v/>
      </c>
      <c r="W4507" s="16">
        <f>V4507*N4507*O4507</f>
        <v/>
      </c>
      <c r="X4507" s="12">
        <f>IF(LEFT(I4507,2)="MV",2*N4507*IF(L4507="1/C",O4507,1),0)</f>
        <v/>
      </c>
      <c r="Y4507" s="12">
        <f>IF(OR(LEFT(K4507,4)="LVAX",LEFT(K4507,6)="MV15AX",LEFT(K4507,4)="CTAX",LEFT(K4507,2)="W|"),2*N4507*O4507,0)</f>
        <v/>
      </c>
      <c r="Z4507" s="12" t="inlineStr"/>
      <c r="AA4507" s="12">
        <f>N4507*O4507</f>
        <v/>
      </c>
    </row>
    <row r="4508">
      <c r="A4508" s="12" t="inlineStr">
        <is>
          <t>I-I-0150</t>
        </is>
      </c>
      <c r="B4508" s="12" t="inlineStr">
        <is>
          <t>I</t>
        </is>
      </c>
      <c r="C4508" s="12" t="inlineStr">
        <is>
          <t>Modular / portable power</t>
        </is>
      </c>
      <c r="D4508" s="12" t="inlineStr">
        <is>
          <t>Analog instrument to JB JB-MT-5-AI01: 6 x 1 pr (field cables)</t>
        </is>
      </c>
      <c r="E4508" s="12" t="inlineStr">
        <is>
          <t>MT-5</t>
        </is>
      </c>
      <c r="F4508" s="12" t="inlineStr">
        <is>
          <t>MT-5: microturbine 1 MW (Capstone C1000 class)</t>
        </is>
      </c>
      <c r="G4508" s="12" t="inlineStr">
        <is>
          <t>JB-MT-5-AI01</t>
        </is>
      </c>
      <c r="H4508" s="12" t="inlineStr">
        <is>
          <t>MT-5: microturbine 1 MW (Capstone C1000 class)</t>
        </is>
      </c>
      <c r="I4508" s="12" t="inlineStr">
        <is>
          <t>Instrumentation</t>
        </is>
      </c>
      <c r="J4508" s="12" t="inlineStr">
        <is>
          <t>Instrumentation PLTC / TC-ER 300 V, #18 twisted shielded pairs, overall shield</t>
        </is>
      </c>
      <c r="K4508" s="12" t="inlineStr">
        <is>
          <t>PLTC|1 pr|16</t>
        </is>
      </c>
      <c r="L4508" s="12" t="inlineStr">
        <is>
          <t>1 pr</t>
        </is>
      </c>
      <c r="M4508" s="12" t="inlineStr">
        <is>
          <t>16</t>
        </is>
      </c>
      <c r="N4508" s="12" t="n">
        <v>6</v>
      </c>
      <c r="O4508" s="12" t="n">
        <v>1</v>
      </c>
      <c r="P4508" s="12" t="n"/>
      <c r="Q4508" s="12" t="n"/>
      <c r="R4508" s="12" t="n"/>
      <c r="S4508" s="12" t="inlineStr">
        <is>
          <t>Tray / conduit</t>
        </is>
      </c>
      <c r="T4508" s="16" t="n">
        <v>47</v>
      </c>
      <c r="U4508" s="16" t="n">
        <v>10</v>
      </c>
      <c r="V4508" s="16">
        <f>ROUNDUP((T4508+U4508+2*'Read Me'!$B$13)*(1+'Read Me'!$B$12),-1)</f>
        <v/>
      </c>
      <c r="W4508" s="16">
        <f>V4508*N4508*O4508</f>
        <v/>
      </c>
      <c r="X4508" s="12">
        <f>IF(LEFT(I4508,2)="MV",2*N4508*IF(L4508="1/C",O4508,1),0)</f>
        <v/>
      </c>
      <c r="Y4508" s="12">
        <f>IF(OR(LEFT(K4508,4)="LVAX",LEFT(K4508,6)="MV15AX",LEFT(K4508,4)="CTAX",LEFT(K4508,2)="W|"),2*N4508*O4508,0)</f>
        <v/>
      </c>
      <c r="Z4508" s="12" t="inlineStr">
        <is>
          <t>device-to-JB field wiring, one cable per device</t>
        </is>
      </c>
      <c r="AA4508" s="12">
        <f>N4508*O4508</f>
        <v/>
      </c>
    </row>
    <row r="4509">
      <c r="A4509" s="12" t="inlineStr">
        <is>
          <t>I-I-0151</t>
        </is>
      </c>
      <c r="B4509" s="12" t="inlineStr">
        <is>
          <t>I</t>
        </is>
      </c>
      <c r="C4509" s="12" t="inlineStr">
        <is>
          <t>Modular / portable power</t>
        </is>
      </c>
      <c r="D4509" s="12" t="inlineStr">
        <is>
          <t>Home run JB-MT-5-AI01 to the control / marshalling room</t>
        </is>
      </c>
      <c r="E4509" s="12" t="inlineStr">
        <is>
          <t>PAD-EH</t>
        </is>
      </c>
      <c r="F4509" s="12" t="inlineStr">
        <is>
          <t>PAD-EH 13.8 kV switchgear e-house</t>
        </is>
      </c>
      <c r="G4509" s="12" t="inlineStr">
        <is>
          <t>JB-MT-5-AI01</t>
        </is>
      </c>
      <c r="H4509" s="12" t="inlineStr">
        <is>
          <t>MT-5: microturbine 1 MW (Capstone C1000 class)</t>
        </is>
      </c>
      <c r="I4509" s="12" t="inlineStr">
        <is>
          <t>Instrumentation</t>
        </is>
      </c>
      <c r="J4509" s="12" t="inlineStr">
        <is>
          <t>Instrumentation PLTC / TC-ER 300 V, #18 twisted shielded pairs, overall shield</t>
        </is>
      </c>
      <c r="K4509" s="12" t="inlineStr">
        <is>
          <t>PLTC|24 pr|18</t>
        </is>
      </c>
      <c r="L4509" s="12" t="inlineStr">
        <is>
          <t>24 pr</t>
        </is>
      </c>
      <c r="M4509" s="12" t="inlineStr">
        <is>
          <t>18</t>
        </is>
      </c>
      <c r="N4509" s="12" t="n">
        <v>1</v>
      </c>
      <c r="O4509" s="12" t="n">
        <v>1</v>
      </c>
      <c r="P4509" s="12" t="n"/>
      <c r="Q4509" s="12" t="n"/>
      <c r="R4509" s="12" t="n"/>
      <c r="S4509" s="12" t="inlineStr">
        <is>
          <t>Surface</t>
        </is>
      </c>
      <c r="T4509" s="16" t="n">
        <v>198</v>
      </c>
      <c r="U4509" s="16" t="n">
        <v>37</v>
      </c>
      <c r="V4509" s="16">
        <f>ROUNDUP((T4509+U4509+2*'Read Me'!$B$13)*(1+'Read Me'!$B$12),-1)</f>
        <v/>
      </c>
      <c r="W4509" s="16">
        <f>V4509*N4509*O4509</f>
        <v/>
      </c>
      <c r="X4509" s="12">
        <f>IF(LEFT(I4509,2)="MV",2*N4509*IF(L4509="1/C",O4509,1),0)</f>
        <v/>
      </c>
      <c r="Y4509" s="12">
        <f>IF(OR(LEFT(K4509,4)="LVAX",LEFT(K4509,6)="MV15AX",LEFT(K4509,4)="CTAX",LEFT(K4509,2)="W|"),2*N4509*O4509,0)</f>
        <v/>
      </c>
      <c r="Z4509" s="12" t="inlineStr"/>
      <c r="AA4509" s="12">
        <f>N4509*O4509</f>
        <v/>
      </c>
    </row>
    <row r="4510">
      <c r="A4510" s="12" t="inlineStr">
        <is>
          <t>I-I-0152</t>
        </is>
      </c>
      <c r="B4510" s="12" t="inlineStr">
        <is>
          <t>I</t>
        </is>
      </c>
      <c r="C4510" s="12" t="inlineStr">
        <is>
          <t>Modular / portable power</t>
        </is>
      </c>
      <c r="D4510" s="12" t="inlineStr">
        <is>
          <t>Discrete device to JB JB-MT-5-DI01: 6 x 1 pr (field cables)</t>
        </is>
      </c>
      <c r="E4510" s="12" t="inlineStr">
        <is>
          <t>MT-5</t>
        </is>
      </c>
      <c r="F4510" s="12" t="inlineStr">
        <is>
          <t>MT-5: microturbine 1 MW (Capstone C1000 class)</t>
        </is>
      </c>
      <c r="G4510" s="12" t="inlineStr">
        <is>
          <t>JB-MT-5-DI01</t>
        </is>
      </c>
      <c r="H4510" s="12" t="inlineStr">
        <is>
          <t>MT-5: microturbine 1 MW (Capstone C1000 class)</t>
        </is>
      </c>
      <c r="I4510" s="12" t="inlineStr">
        <is>
          <t>Instrumentation</t>
        </is>
      </c>
      <c r="J4510" s="12" t="inlineStr">
        <is>
          <t>Instrumentation PLTC / TC-ER 300 V, #18 twisted shielded pairs, overall shield</t>
        </is>
      </c>
      <c r="K4510" s="12" t="inlineStr">
        <is>
          <t>PLTC|1 pr|16</t>
        </is>
      </c>
      <c r="L4510" s="12" t="inlineStr">
        <is>
          <t>1 pr</t>
        </is>
      </c>
      <c r="M4510" s="12" t="inlineStr">
        <is>
          <t>16</t>
        </is>
      </c>
      <c r="N4510" s="12" t="n">
        <v>6</v>
      </c>
      <c r="O4510" s="12" t="n">
        <v>1</v>
      </c>
      <c r="P4510" s="12" t="n"/>
      <c r="Q4510" s="12" t="n"/>
      <c r="R4510" s="12" t="n"/>
      <c r="S4510" s="12" t="inlineStr">
        <is>
          <t>Tray / conduit</t>
        </is>
      </c>
      <c r="T4510" s="16" t="n">
        <v>47</v>
      </c>
      <c r="U4510" s="16" t="n">
        <v>10</v>
      </c>
      <c r="V4510" s="16">
        <f>ROUNDUP((T4510+U4510+2*'Read Me'!$B$13)*(1+'Read Me'!$B$12),-1)</f>
        <v/>
      </c>
      <c r="W4510" s="16">
        <f>V4510*N4510*O4510</f>
        <v/>
      </c>
      <c r="X4510" s="12">
        <f>IF(LEFT(I4510,2)="MV",2*N4510*IF(L4510="1/C",O4510,1),0)</f>
        <v/>
      </c>
      <c r="Y4510" s="12">
        <f>IF(OR(LEFT(K4510,4)="LVAX",LEFT(K4510,6)="MV15AX",LEFT(K4510,4)="CTAX",LEFT(K4510,2)="W|"),2*N4510*O4510,0)</f>
        <v/>
      </c>
      <c r="Z4510" s="12" t="inlineStr">
        <is>
          <t>device-to-JB field wiring, one cable per device</t>
        </is>
      </c>
      <c r="AA4510" s="12">
        <f>N4510*O4510</f>
        <v/>
      </c>
    </row>
    <row r="4511">
      <c r="A4511" s="12" t="inlineStr">
        <is>
          <t>I-I-0153</t>
        </is>
      </c>
      <c r="B4511" s="12" t="inlineStr">
        <is>
          <t>I</t>
        </is>
      </c>
      <c r="C4511" s="12" t="inlineStr">
        <is>
          <t>Modular / portable power</t>
        </is>
      </c>
      <c r="D4511" s="12" t="inlineStr">
        <is>
          <t>Home run JB-MT-5-DI01 to the control / marshalling room</t>
        </is>
      </c>
      <c r="E4511" s="12" t="inlineStr">
        <is>
          <t>PAD-EH</t>
        </is>
      </c>
      <c r="F4511" s="12" t="inlineStr">
        <is>
          <t>PAD-EH 13.8 kV switchgear e-house</t>
        </is>
      </c>
      <c r="G4511" s="12" t="inlineStr">
        <is>
          <t>JB-MT-5-DI01</t>
        </is>
      </c>
      <c r="H4511" s="12" t="inlineStr">
        <is>
          <t>MT-5: microturbine 1 MW (Capstone C1000 class)</t>
        </is>
      </c>
      <c r="I4511" s="12" t="inlineStr">
        <is>
          <t>Instrumentation</t>
        </is>
      </c>
      <c r="J4511" s="12" t="inlineStr">
        <is>
          <t>Instrumentation PLTC / TC-ER 300 V, #18 twisted shielded pairs, overall shield</t>
        </is>
      </c>
      <c r="K4511" s="12" t="inlineStr">
        <is>
          <t>PLTC|24 pr|18</t>
        </is>
      </c>
      <c r="L4511" s="12" t="inlineStr">
        <is>
          <t>24 pr</t>
        </is>
      </c>
      <c r="M4511" s="12" t="inlineStr">
        <is>
          <t>18</t>
        </is>
      </c>
      <c r="N4511" s="12" t="n">
        <v>1</v>
      </c>
      <c r="O4511" s="12" t="n">
        <v>1</v>
      </c>
      <c r="P4511" s="12" t="n"/>
      <c r="Q4511" s="12" t="n"/>
      <c r="R4511" s="12" t="n"/>
      <c r="S4511" s="12" t="inlineStr">
        <is>
          <t>Surface</t>
        </is>
      </c>
      <c r="T4511" s="16" t="n">
        <v>198</v>
      </c>
      <c r="U4511" s="16" t="n">
        <v>37</v>
      </c>
      <c r="V4511" s="16">
        <f>ROUNDUP((T4511+U4511+2*'Read Me'!$B$13)*(1+'Read Me'!$B$12),-1)</f>
        <v/>
      </c>
      <c r="W4511" s="16">
        <f>V4511*N4511*O4511</f>
        <v/>
      </c>
      <c r="X4511" s="12">
        <f>IF(LEFT(I4511,2)="MV",2*N4511*IF(L4511="1/C",O4511,1),0)</f>
        <v/>
      </c>
      <c r="Y4511" s="12">
        <f>IF(OR(LEFT(K4511,4)="LVAX",LEFT(K4511,6)="MV15AX",LEFT(K4511,4)="CTAX",LEFT(K4511,2)="W|"),2*N4511*O4511,0)</f>
        <v/>
      </c>
      <c r="Z4511" s="12" t="inlineStr"/>
      <c r="AA4511" s="12">
        <f>N4511*O4511</f>
        <v/>
      </c>
    </row>
    <row r="4512">
      <c r="A4512" s="12" t="inlineStr">
        <is>
          <t>I-I-0154</t>
        </is>
      </c>
      <c r="B4512" s="12" t="inlineStr">
        <is>
          <t>I</t>
        </is>
      </c>
      <c r="C4512" s="12" t="inlineStr">
        <is>
          <t>Modular / portable power</t>
        </is>
      </c>
      <c r="D4512" s="12" t="inlineStr">
        <is>
          <t>Analog instrument to JB JB-MT-6-AI01: 6 x 1 pr (field cables)</t>
        </is>
      </c>
      <c r="E4512" s="12" t="inlineStr">
        <is>
          <t>MT-6</t>
        </is>
      </c>
      <c r="F4512" s="12" t="inlineStr">
        <is>
          <t>MT-6: microturbine 1 MW (Capstone C1000 class)</t>
        </is>
      </c>
      <c r="G4512" s="12" t="inlineStr">
        <is>
          <t>JB-MT-6-AI01</t>
        </is>
      </c>
      <c r="H4512" s="12" t="inlineStr">
        <is>
          <t>MT-6: microturbine 1 MW (Capstone C1000 class)</t>
        </is>
      </c>
      <c r="I4512" s="12" t="inlineStr">
        <is>
          <t>Instrumentation</t>
        </is>
      </c>
      <c r="J4512" s="12" t="inlineStr">
        <is>
          <t>Instrumentation PLTC / TC-ER 300 V, #18 twisted shielded pairs, overall shield</t>
        </is>
      </c>
      <c r="K4512" s="12" t="inlineStr">
        <is>
          <t>PLTC|1 pr|16</t>
        </is>
      </c>
      <c r="L4512" s="12" t="inlineStr">
        <is>
          <t>1 pr</t>
        </is>
      </c>
      <c r="M4512" s="12" t="inlineStr">
        <is>
          <t>16</t>
        </is>
      </c>
      <c r="N4512" s="12" t="n">
        <v>6</v>
      </c>
      <c r="O4512" s="12" t="n">
        <v>1</v>
      </c>
      <c r="P4512" s="12" t="n"/>
      <c r="Q4512" s="12" t="n"/>
      <c r="R4512" s="12" t="n"/>
      <c r="S4512" s="12" t="inlineStr">
        <is>
          <t>Tray / conduit</t>
        </is>
      </c>
      <c r="T4512" s="16" t="n">
        <v>47</v>
      </c>
      <c r="U4512" s="16" t="n">
        <v>10</v>
      </c>
      <c r="V4512" s="16">
        <f>ROUNDUP((T4512+U4512+2*'Read Me'!$B$13)*(1+'Read Me'!$B$12),-1)</f>
        <v/>
      </c>
      <c r="W4512" s="16">
        <f>V4512*N4512*O4512</f>
        <v/>
      </c>
      <c r="X4512" s="12">
        <f>IF(LEFT(I4512,2)="MV",2*N4512*IF(L4512="1/C",O4512,1),0)</f>
        <v/>
      </c>
      <c r="Y4512" s="12">
        <f>IF(OR(LEFT(K4512,4)="LVAX",LEFT(K4512,6)="MV15AX",LEFT(K4512,4)="CTAX",LEFT(K4512,2)="W|"),2*N4512*O4512,0)</f>
        <v/>
      </c>
      <c r="Z4512" s="12" t="inlineStr">
        <is>
          <t>device-to-JB field wiring, one cable per device</t>
        </is>
      </c>
      <c r="AA4512" s="12">
        <f>N4512*O4512</f>
        <v/>
      </c>
    </row>
    <row r="4513">
      <c r="A4513" s="12" t="inlineStr">
        <is>
          <t>I-I-0155</t>
        </is>
      </c>
      <c r="B4513" s="12" t="inlineStr">
        <is>
          <t>I</t>
        </is>
      </c>
      <c r="C4513" s="12" t="inlineStr">
        <is>
          <t>Modular / portable power</t>
        </is>
      </c>
      <c r="D4513" s="12" t="inlineStr">
        <is>
          <t>Home run JB-MT-6-AI01 to the control / marshalling room</t>
        </is>
      </c>
      <c r="E4513" s="12" t="inlineStr">
        <is>
          <t>PAD-EH</t>
        </is>
      </c>
      <c r="F4513" s="12" t="inlineStr">
        <is>
          <t>PAD-EH 13.8 kV switchgear e-house</t>
        </is>
      </c>
      <c r="G4513" s="12" t="inlineStr">
        <is>
          <t>JB-MT-6-AI01</t>
        </is>
      </c>
      <c r="H4513" s="12" t="inlineStr">
        <is>
          <t>MT-6: microturbine 1 MW (Capstone C1000 class)</t>
        </is>
      </c>
      <c r="I4513" s="12" t="inlineStr">
        <is>
          <t>Instrumentation</t>
        </is>
      </c>
      <c r="J4513" s="12" t="inlineStr">
        <is>
          <t>Instrumentation PLTC / TC-ER 300 V, #18 twisted shielded pairs, overall shield</t>
        </is>
      </c>
      <c r="K4513" s="12" t="inlineStr">
        <is>
          <t>PLTC|24 pr|18</t>
        </is>
      </c>
      <c r="L4513" s="12" t="inlineStr">
        <is>
          <t>24 pr</t>
        </is>
      </c>
      <c r="M4513" s="12" t="inlineStr">
        <is>
          <t>18</t>
        </is>
      </c>
      <c r="N4513" s="12" t="n">
        <v>1</v>
      </c>
      <c r="O4513" s="12" t="n">
        <v>1</v>
      </c>
      <c r="P4513" s="12" t="n"/>
      <c r="Q4513" s="12" t="n"/>
      <c r="R4513" s="12" t="n"/>
      <c r="S4513" s="12" t="inlineStr">
        <is>
          <t>Surface</t>
        </is>
      </c>
      <c r="T4513" s="16" t="n">
        <v>67</v>
      </c>
      <c r="U4513" s="16" t="n">
        <v>90</v>
      </c>
      <c r="V4513" s="16">
        <f>ROUNDUP((T4513+U4513+2*'Read Me'!$B$13)*(1+'Read Me'!$B$12),-1)</f>
        <v/>
      </c>
      <c r="W4513" s="16">
        <f>V4513*N4513*O4513</f>
        <v/>
      </c>
      <c r="X4513" s="12">
        <f>IF(LEFT(I4513,2)="MV",2*N4513*IF(L4513="1/C",O4513,1),0)</f>
        <v/>
      </c>
      <c r="Y4513" s="12">
        <f>IF(OR(LEFT(K4513,4)="LVAX",LEFT(K4513,6)="MV15AX",LEFT(K4513,4)="CTAX",LEFT(K4513,2)="W|"),2*N4513*O4513,0)</f>
        <v/>
      </c>
      <c r="Z4513" s="12" t="inlineStr"/>
      <c r="AA4513" s="12">
        <f>N4513*O4513</f>
        <v/>
      </c>
    </row>
    <row r="4514">
      <c r="A4514" s="12" t="inlineStr">
        <is>
          <t>I-I-0156</t>
        </is>
      </c>
      <c r="B4514" s="12" t="inlineStr">
        <is>
          <t>I</t>
        </is>
      </c>
      <c r="C4514" s="12" t="inlineStr">
        <is>
          <t>Modular / portable power</t>
        </is>
      </c>
      <c r="D4514" s="12" t="inlineStr">
        <is>
          <t>Discrete device to JB JB-MT-6-DI01: 6 x 1 pr (field cables)</t>
        </is>
      </c>
      <c r="E4514" s="12" t="inlineStr">
        <is>
          <t>MT-6</t>
        </is>
      </c>
      <c r="F4514" s="12" t="inlineStr">
        <is>
          <t>MT-6: microturbine 1 MW (Capstone C1000 class)</t>
        </is>
      </c>
      <c r="G4514" s="12" t="inlineStr">
        <is>
          <t>JB-MT-6-DI01</t>
        </is>
      </c>
      <c r="H4514" s="12" t="inlineStr">
        <is>
          <t>MT-6: microturbine 1 MW (Capstone C1000 class)</t>
        </is>
      </c>
      <c r="I4514" s="12" t="inlineStr">
        <is>
          <t>Instrumentation</t>
        </is>
      </c>
      <c r="J4514" s="12" t="inlineStr">
        <is>
          <t>Instrumentation PLTC / TC-ER 300 V, #18 twisted shielded pairs, overall shield</t>
        </is>
      </c>
      <c r="K4514" s="12" t="inlineStr">
        <is>
          <t>PLTC|1 pr|16</t>
        </is>
      </c>
      <c r="L4514" s="12" t="inlineStr">
        <is>
          <t>1 pr</t>
        </is>
      </c>
      <c r="M4514" s="12" t="inlineStr">
        <is>
          <t>16</t>
        </is>
      </c>
      <c r="N4514" s="12" t="n">
        <v>6</v>
      </c>
      <c r="O4514" s="12" t="n">
        <v>1</v>
      </c>
      <c r="P4514" s="12" t="n"/>
      <c r="Q4514" s="12" t="n"/>
      <c r="R4514" s="12" t="n"/>
      <c r="S4514" s="12" t="inlineStr">
        <is>
          <t>Tray / conduit</t>
        </is>
      </c>
      <c r="T4514" s="16" t="n">
        <v>47</v>
      </c>
      <c r="U4514" s="16" t="n">
        <v>10</v>
      </c>
      <c r="V4514" s="16">
        <f>ROUNDUP((T4514+U4514+2*'Read Me'!$B$13)*(1+'Read Me'!$B$12),-1)</f>
        <v/>
      </c>
      <c r="W4514" s="16">
        <f>V4514*N4514*O4514</f>
        <v/>
      </c>
      <c r="X4514" s="12">
        <f>IF(LEFT(I4514,2)="MV",2*N4514*IF(L4514="1/C",O4514,1),0)</f>
        <v/>
      </c>
      <c r="Y4514" s="12">
        <f>IF(OR(LEFT(K4514,4)="LVAX",LEFT(K4514,6)="MV15AX",LEFT(K4514,4)="CTAX",LEFT(K4514,2)="W|"),2*N4514*O4514,0)</f>
        <v/>
      </c>
      <c r="Z4514" s="12" t="inlineStr">
        <is>
          <t>device-to-JB field wiring, one cable per device</t>
        </is>
      </c>
      <c r="AA4514" s="12">
        <f>N4514*O4514</f>
        <v/>
      </c>
    </row>
    <row r="4515">
      <c r="A4515" s="12" t="inlineStr">
        <is>
          <t>I-I-0157</t>
        </is>
      </c>
      <c r="B4515" s="12" t="inlineStr">
        <is>
          <t>I</t>
        </is>
      </c>
      <c r="C4515" s="12" t="inlineStr">
        <is>
          <t>Modular / portable power</t>
        </is>
      </c>
      <c r="D4515" s="12" t="inlineStr">
        <is>
          <t>Home run JB-MT-6-DI01 to the control / marshalling room</t>
        </is>
      </c>
      <c r="E4515" s="12" t="inlineStr">
        <is>
          <t>PAD-EH</t>
        </is>
      </c>
      <c r="F4515" s="12" t="inlineStr">
        <is>
          <t>PAD-EH 13.8 kV switchgear e-house</t>
        </is>
      </c>
      <c r="G4515" s="12" t="inlineStr">
        <is>
          <t>JB-MT-6-DI01</t>
        </is>
      </c>
      <c r="H4515" s="12" t="inlineStr">
        <is>
          <t>MT-6: microturbine 1 MW (Capstone C1000 class)</t>
        </is>
      </c>
      <c r="I4515" s="12" t="inlineStr">
        <is>
          <t>Instrumentation</t>
        </is>
      </c>
      <c r="J4515" s="12" t="inlineStr">
        <is>
          <t>Instrumentation PLTC / TC-ER 300 V, #18 twisted shielded pairs, overall shield</t>
        </is>
      </c>
      <c r="K4515" s="12" t="inlineStr">
        <is>
          <t>PLTC|24 pr|18</t>
        </is>
      </c>
      <c r="L4515" s="12" t="inlineStr">
        <is>
          <t>24 pr</t>
        </is>
      </c>
      <c r="M4515" s="12" t="inlineStr">
        <is>
          <t>18</t>
        </is>
      </c>
      <c r="N4515" s="12" t="n">
        <v>1</v>
      </c>
      <c r="O4515" s="12" t="n">
        <v>1</v>
      </c>
      <c r="P4515" s="12" t="n"/>
      <c r="Q4515" s="12" t="n"/>
      <c r="R4515" s="12" t="n"/>
      <c r="S4515" s="12" t="inlineStr">
        <is>
          <t>Surface</t>
        </is>
      </c>
      <c r="T4515" s="16" t="n">
        <v>67</v>
      </c>
      <c r="U4515" s="16" t="n">
        <v>90</v>
      </c>
      <c r="V4515" s="16">
        <f>ROUNDUP((T4515+U4515+2*'Read Me'!$B$13)*(1+'Read Me'!$B$12),-1)</f>
        <v/>
      </c>
      <c r="W4515" s="16">
        <f>V4515*N4515*O4515</f>
        <v/>
      </c>
      <c r="X4515" s="12">
        <f>IF(LEFT(I4515,2)="MV",2*N4515*IF(L4515="1/C",O4515,1),0)</f>
        <v/>
      </c>
      <c r="Y4515" s="12">
        <f>IF(OR(LEFT(K4515,4)="LVAX",LEFT(K4515,6)="MV15AX",LEFT(K4515,4)="CTAX",LEFT(K4515,2)="W|"),2*N4515*O4515,0)</f>
        <v/>
      </c>
      <c r="Z4515" s="12" t="inlineStr"/>
      <c r="AA4515" s="12">
        <f>N4515*O4515</f>
        <v/>
      </c>
    </row>
    <row r="4516">
      <c r="A4516" s="12" t="inlineStr">
        <is>
          <t>I-I-0158</t>
        </is>
      </c>
      <c r="B4516" s="12" t="inlineStr">
        <is>
          <t>I</t>
        </is>
      </c>
      <c r="C4516" s="12" t="inlineStr">
        <is>
          <t>Modular / portable power</t>
        </is>
      </c>
      <c r="D4516" s="12" t="inlineStr">
        <is>
          <t>Analog instrument to JB JB-RICE 1 SCR + oxida-AI01: 10 x 1 pr (field cables)</t>
        </is>
      </c>
      <c r="E4516" s="12" t="inlineStr"/>
      <c r="F4516" s="12" t="inlineStr">
        <is>
          <t>RICE 1 SCR + oxidation catalyst and stack</t>
        </is>
      </c>
      <c r="G4516" s="12" t="inlineStr">
        <is>
          <t>JB-RICE 1 SCR + oxida-AI01</t>
        </is>
      </c>
      <c r="H4516" s="12" t="inlineStr">
        <is>
          <t>RICE 1 SCR + oxidation catalyst and stack</t>
        </is>
      </c>
      <c r="I4516" s="12" t="inlineStr">
        <is>
          <t>Instrumentation</t>
        </is>
      </c>
      <c r="J4516" s="12" t="inlineStr">
        <is>
          <t>Instrumentation PLTC / TC-ER 300 V, #18 twisted shielded pairs, overall shield</t>
        </is>
      </c>
      <c r="K4516" s="12" t="inlineStr">
        <is>
          <t>PLTC|1 pr|16</t>
        </is>
      </c>
      <c r="L4516" s="12" t="inlineStr">
        <is>
          <t>1 pr</t>
        </is>
      </c>
      <c r="M4516" s="12" t="inlineStr">
        <is>
          <t>16</t>
        </is>
      </c>
      <c r="N4516" s="12" t="n">
        <v>10</v>
      </c>
      <c r="O4516" s="12" t="n">
        <v>1</v>
      </c>
      <c r="P4516" s="12" t="n"/>
      <c r="Q4516" s="12" t="n"/>
      <c r="R4516" s="12" t="n"/>
      <c r="S4516" s="12" t="inlineStr">
        <is>
          <t>Tray / conduit</t>
        </is>
      </c>
      <c r="T4516" s="16" t="n">
        <v>92</v>
      </c>
      <c r="U4516" s="16" t="n">
        <v>10</v>
      </c>
      <c r="V4516" s="16">
        <f>ROUNDUP((T4516+U4516+2*'Read Me'!$B$13)*(1+'Read Me'!$B$12),-1)</f>
        <v/>
      </c>
      <c r="W4516" s="16">
        <f>V4516*N4516*O4516</f>
        <v/>
      </c>
      <c r="X4516" s="12">
        <f>IF(LEFT(I4516,2)="MV",2*N4516*IF(L4516="1/C",O4516,1),0)</f>
        <v/>
      </c>
      <c r="Y4516" s="12">
        <f>IF(OR(LEFT(K4516,4)="LVAX",LEFT(K4516,6)="MV15AX",LEFT(K4516,4)="CTAX",LEFT(K4516,2)="W|"),2*N4516*O4516,0)</f>
        <v/>
      </c>
      <c r="Z4516" s="12" t="inlineStr">
        <is>
          <t>device-to-JB field wiring, one cable per device</t>
        </is>
      </c>
      <c r="AA4516" s="12">
        <f>N4516*O4516</f>
        <v/>
      </c>
    </row>
    <row r="4517">
      <c r="A4517" s="12" t="inlineStr">
        <is>
          <t>I-I-0159</t>
        </is>
      </c>
      <c r="B4517" s="12" t="inlineStr">
        <is>
          <t>I</t>
        </is>
      </c>
      <c r="C4517" s="12" t="inlineStr">
        <is>
          <t>Modular / portable power</t>
        </is>
      </c>
      <c r="D4517" s="12" t="inlineStr">
        <is>
          <t>Home run JB-RICE 1 SCR + oxida-AI01 to the control / marshalling room</t>
        </is>
      </c>
      <c r="E4517" s="12" t="inlineStr"/>
      <c r="F4517" s="12" t="inlineStr">
        <is>
          <t>PCM: power control module</t>
        </is>
      </c>
      <c r="G4517" s="12" t="inlineStr">
        <is>
          <t>JB-RICE 1 SCR + oxida-AI01</t>
        </is>
      </c>
      <c r="H4517" s="12" t="inlineStr">
        <is>
          <t>RICE 1 SCR + oxidation catalyst and stack</t>
        </is>
      </c>
      <c r="I4517" s="12" t="inlineStr">
        <is>
          <t>Instrumentation</t>
        </is>
      </c>
      <c r="J4517" s="12" t="inlineStr">
        <is>
          <t>Instrumentation PLTC / TC-ER 300 V, #18 twisted shielded pairs, overall shield</t>
        </is>
      </c>
      <c r="K4517" s="12" t="inlineStr">
        <is>
          <t>PLTC|24 pr|18</t>
        </is>
      </c>
      <c r="L4517" s="12" t="inlineStr">
        <is>
          <t>24 pr</t>
        </is>
      </c>
      <c r="M4517" s="12" t="inlineStr">
        <is>
          <t>18</t>
        </is>
      </c>
      <c r="N4517" s="12" t="n">
        <v>1</v>
      </c>
      <c r="O4517" s="12" t="n">
        <v>1</v>
      </c>
      <c r="P4517" s="12" t="n"/>
      <c r="Q4517" s="12" t="n"/>
      <c r="R4517" s="12" t="n"/>
      <c r="S4517" s="12" t="inlineStr">
        <is>
          <t>Duct bank</t>
        </is>
      </c>
      <c r="T4517" s="16" t="n">
        <v>470</v>
      </c>
      <c r="U4517" s="16" t="n">
        <v>160</v>
      </c>
      <c r="V4517" s="16">
        <f>ROUNDUP((T4517+U4517+2*'Read Me'!$B$13)*(1+'Read Me'!$B$12),-1)</f>
        <v/>
      </c>
      <c r="W4517" s="16">
        <f>V4517*N4517*O4517</f>
        <v/>
      </c>
      <c r="X4517" s="12">
        <f>IF(LEFT(I4517,2)="MV",2*N4517*IF(L4517="1/C",O4517,1),0)</f>
        <v/>
      </c>
      <c r="Y4517" s="12">
        <f>IF(OR(LEFT(K4517,4)="LVAX",LEFT(K4517,6)="MV15AX",LEFT(K4517,4)="CTAX",LEFT(K4517,2)="W|"),2*N4517*O4517,0)</f>
        <v/>
      </c>
      <c r="Z4517" s="12" t="inlineStr"/>
      <c r="AA4517" s="12">
        <f>N4517*O4517</f>
        <v/>
      </c>
    </row>
    <row r="4518">
      <c r="A4518" s="12" t="inlineStr">
        <is>
          <t>I-I-0160</t>
        </is>
      </c>
      <c r="B4518" s="12" t="inlineStr">
        <is>
          <t>I</t>
        </is>
      </c>
      <c r="C4518" s="12" t="inlineStr">
        <is>
          <t>Modular / portable power</t>
        </is>
      </c>
      <c r="D4518" s="12" t="inlineStr">
        <is>
          <t>Discrete device to JB JB-RICE 1 SCR + oxida-DI01: 6 x 1 pr (field cables)</t>
        </is>
      </c>
      <c r="E4518" s="12" t="inlineStr"/>
      <c r="F4518" s="12" t="inlineStr">
        <is>
          <t>RICE 1 SCR + oxidation catalyst and stack</t>
        </is>
      </c>
      <c r="G4518" s="12" t="inlineStr">
        <is>
          <t>JB-RICE 1 SCR + oxida-DI01</t>
        </is>
      </c>
      <c r="H4518" s="12" t="inlineStr">
        <is>
          <t>RICE 1 SCR + oxidation catalyst and stack</t>
        </is>
      </c>
      <c r="I4518" s="12" t="inlineStr">
        <is>
          <t>Instrumentation</t>
        </is>
      </c>
      <c r="J4518" s="12" t="inlineStr">
        <is>
          <t>Instrumentation PLTC / TC-ER 300 V, #18 twisted shielded pairs, overall shield</t>
        </is>
      </c>
      <c r="K4518" s="12" t="inlineStr">
        <is>
          <t>PLTC|1 pr|16</t>
        </is>
      </c>
      <c r="L4518" s="12" t="inlineStr">
        <is>
          <t>1 pr</t>
        </is>
      </c>
      <c r="M4518" s="12" t="inlineStr">
        <is>
          <t>16</t>
        </is>
      </c>
      <c r="N4518" s="12" t="n">
        <v>6</v>
      </c>
      <c r="O4518" s="12" t="n">
        <v>1</v>
      </c>
      <c r="P4518" s="12" t="n"/>
      <c r="Q4518" s="12" t="n"/>
      <c r="R4518" s="12" t="n"/>
      <c r="S4518" s="12" t="inlineStr">
        <is>
          <t>Tray / conduit</t>
        </is>
      </c>
      <c r="T4518" s="16" t="n">
        <v>92</v>
      </c>
      <c r="U4518" s="16" t="n">
        <v>10</v>
      </c>
      <c r="V4518" s="16">
        <f>ROUNDUP((T4518+U4518+2*'Read Me'!$B$13)*(1+'Read Me'!$B$12),-1)</f>
        <v/>
      </c>
      <c r="W4518" s="16">
        <f>V4518*N4518*O4518</f>
        <v/>
      </c>
      <c r="X4518" s="12">
        <f>IF(LEFT(I4518,2)="MV",2*N4518*IF(L4518="1/C",O4518,1),0)</f>
        <v/>
      </c>
      <c r="Y4518" s="12">
        <f>IF(OR(LEFT(K4518,4)="LVAX",LEFT(K4518,6)="MV15AX",LEFT(K4518,4)="CTAX",LEFT(K4518,2)="W|"),2*N4518*O4518,0)</f>
        <v/>
      </c>
      <c r="Z4518" s="12" t="inlineStr">
        <is>
          <t>device-to-JB field wiring, one cable per device</t>
        </is>
      </c>
      <c r="AA4518" s="12">
        <f>N4518*O4518</f>
        <v/>
      </c>
    </row>
    <row r="4519">
      <c r="A4519" s="12" t="inlineStr">
        <is>
          <t>I-I-0161</t>
        </is>
      </c>
      <c r="B4519" s="12" t="inlineStr">
        <is>
          <t>I</t>
        </is>
      </c>
      <c r="C4519" s="12" t="inlineStr">
        <is>
          <t>Modular / portable power</t>
        </is>
      </c>
      <c r="D4519" s="12" t="inlineStr">
        <is>
          <t>Home run JB-RICE 1 SCR + oxida-DI01 to the control / marshalling room</t>
        </is>
      </c>
      <c r="E4519" s="12" t="inlineStr"/>
      <c r="F4519" s="12" t="inlineStr">
        <is>
          <t>PCM: power control module</t>
        </is>
      </c>
      <c r="G4519" s="12" t="inlineStr">
        <is>
          <t>JB-RICE 1 SCR + oxida-DI01</t>
        </is>
      </c>
      <c r="H4519" s="12" t="inlineStr">
        <is>
          <t>RICE 1 SCR + oxidation catalyst and stack</t>
        </is>
      </c>
      <c r="I4519" s="12" t="inlineStr">
        <is>
          <t>Instrumentation</t>
        </is>
      </c>
      <c r="J4519" s="12" t="inlineStr">
        <is>
          <t>Instrumentation PLTC / TC-ER 300 V, #18 twisted shielded pairs, overall shield</t>
        </is>
      </c>
      <c r="K4519" s="12" t="inlineStr">
        <is>
          <t>PLTC|24 pr|18</t>
        </is>
      </c>
      <c r="L4519" s="12" t="inlineStr">
        <is>
          <t>24 pr</t>
        </is>
      </c>
      <c r="M4519" s="12" t="inlineStr">
        <is>
          <t>18</t>
        </is>
      </c>
      <c r="N4519" s="12" t="n">
        <v>1</v>
      </c>
      <c r="O4519" s="12" t="n">
        <v>1</v>
      </c>
      <c r="P4519" s="12" t="n"/>
      <c r="Q4519" s="12" t="n"/>
      <c r="R4519" s="12" t="n"/>
      <c r="S4519" s="12" t="inlineStr">
        <is>
          <t>Duct bank</t>
        </is>
      </c>
      <c r="T4519" s="16" t="n">
        <v>470</v>
      </c>
      <c r="U4519" s="16" t="n">
        <v>160</v>
      </c>
      <c r="V4519" s="16">
        <f>ROUNDUP((T4519+U4519+2*'Read Me'!$B$13)*(1+'Read Me'!$B$12),-1)</f>
        <v/>
      </c>
      <c r="W4519" s="16">
        <f>V4519*N4519*O4519</f>
        <v/>
      </c>
      <c r="X4519" s="12">
        <f>IF(LEFT(I4519,2)="MV",2*N4519*IF(L4519="1/C",O4519,1),0)</f>
        <v/>
      </c>
      <c r="Y4519" s="12">
        <f>IF(OR(LEFT(K4519,4)="LVAX",LEFT(K4519,6)="MV15AX",LEFT(K4519,4)="CTAX",LEFT(K4519,2)="W|"),2*N4519*O4519,0)</f>
        <v/>
      </c>
      <c r="Z4519" s="12" t="inlineStr"/>
      <c r="AA4519" s="12">
        <f>N4519*O4519</f>
        <v/>
      </c>
    </row>
    <row r="4520">
      <c r="A4520" s="12" t="inlineStr">
        <is>
          <t>I-I-0162</t>
        </is>
      </c>
      <c r="B4520" s="12" t="inlineStr">
        <is>
          <t>I</t>
        </is>
      </c>
      <c r="C4520" s="12" t="inlineStr">
        <is>
          <t>Modular / portable power</t>
        </is>
      </c>
      <c r="D4520" s="12" t="inlineStr">
        <is>
          <t>Analog instrument to JB JB-RICE 1 radiators (-AI01: 5 x 1 pr (field cables)</t>
        </is>
      </c>
      <c r="E4520" s="12" t="inlineStr"/>
      <c r="F4520" s="12" t="inlineStr">
        <is>
          <t>RICE 1 radiators (5)</t>
        </is>
      </c>
      <c r="G4520" s="12" t="inlineStr">
        <is>
          <t>JB-RICE 1 radiators (-AI01</t>
        </is>
      </c>
      <c r="H4520" s="12" t="inlineStr">
        <is>
          <t>RICE 1 radiators (5)</t>
        </is>
      </c>
      <c r="I4520" s="12" t="inlineStr">
        <is>
          <t>Instrumentation</t>
        </is>
      </c>
      <c r="J4520" s="12" t="inlineStr">
        <is>
          <t>Instrumentation PLTC / TC-ER 300 V, #18 twisted shielded pairs, overall shield</t>
        </is>
      </c>
      <c r="K4520" s="12" t="inlineStr">
        <is>
          <t>PLTC|1 pr|16</t>
        </is>
      </c>
      <c r="L4520" s="12" t="inlineStr">
        <is>
          <t>1 pr</t>
        </is>
      </c>
      <c r="M4520" s="12" t="inlineStr">
        <is>
          <t>16</t>
        </is>
      </c>
      <c r="N4520" s="12" t="n">
        <v>5</v>
      </c>
      <c r="O4520" s="12" t="n">
        <v>1</v>
      </c>
      <c r="P4520" s="12" t="n"/>
      <c r="Q4520" s="12" t="n"/>
      <c r="R4520" s="12" t="n"/>
      <c r="S4520" s="12" t="inlineStr">
        <is>
          <t>Tray / conduit</t>
        </is>
      </c>
      <c r="T4520" s="16" t="n">
        <v>80</v>
      </c>
      <c r="U4520" s="16" t="n">
        <v>10</v>
      </c>
      <c r="V4520" s="16">
        <f>ROUNDUP((T4520+U4520+2*'Read Me'!$B$13)*(1+'Read Me'!$B$12),-1)</f>
        <v/>
      </c>
      <c r="W4520" s="16">
        <f>V4520*N4520*O4520</f>
        <v/>
      </c>
      <c r="X4520" s="12">
        <f>IF(LEFT(I4520,2)="MV",2*N4520*IF(L4520="1/C",O4520,1),0)</f>
        <v/>
      </c>
      <c r="Y4520" s="12">
        <f>IF(OR(LEFT(K4520,4)="LVAX",LEFT(K4520,6)="MV15AX",LEFT(K4520,4)="CTAX",LEFT(K4520,2)="W|"),2*N4520*O4520,0)</f>
        <v/>
      </c>
      <c r="Z4520" s="12" t="inlineStr">
        <is>
          <t>device-to-JB field wiring, one cable per device</t>
        </is>
      </c>
      <c r="AA4520" s="12">
        <f>N4520*O4520</f>
        <v/>
      </c>
    </row>
    <row r="4521">
      <c r="A4521" s="12" t="inlineStr">
        <is>
          <t>I-I-0163</t>
        </is>
      </c>
      <c r="B4521" s="12" t="inlineStr">
        <is>
          <t>I</t>
        </is>
      </c>
      <c r="C4521" s="12" t="inlineStr">
        <is>
          <t>Modular / portable power</t>
        </is>
      </c>
      <c r="D4521" s="12" t="inlineStr">
        <is>
          <t>Home run JB-RICE 1 radiators (-AI01 to the control / marshalling room</t>
        </is>
      </c>
      <c r="E4521" s="12" t="inlineStr"/>
      <c r="F4521" s="12" t="inlineStr">
        <is>
          <t>PCM: power control module</t>
        </is>
      </c>
      <c r="G4521" s="12" t="inlineStr">
        <is>
          <t>JB-RICE 1 radiators (-AI01</t>
        </is>
      </c>
      <c r="H4521" s="12" t="inlineStr">
        <is>
          <t>RICE 1 radiators (5)</t>
        </is>
      </c>
      <c r="I4521" s="12" t="inlineStr">
        <is>
          <t>Instrumentation</t>
        </is>
      </c>
      <c r="J4521" s="12" t="inlineStr">
        <is>
          <t>Instrumentation PLTC / TC-ER 300 V, #18 twisted shielded pairs, overall shield</t>
        </is>
      </c>
      <c r="K4521" s="12" t="inlineStr">
        <is>
          <t>PLTC|24 pr|18</t>
        </is>
      </c>
      <c r="L4521" s="12" t="inlineStr">
        <is>
          <t>24 pr</t>
        </is>
      </c>
      <c r="M4521" s="12" t="inlineStr">
        <is>
          <t>18</t>
        </is>
      </c>
      <c r="N4521" s="12" t="n">
        <v>1</v>
      </c>
      <c r="O4521" s="12" t="n">
        <v>1</v>
      </c>
      <c r="P4521" s="12" t="n"/>
      <c r="Q4521" s="12" t="n"/>
      <c r="R4521" s="12" t="n"/>
      <c r="S4521" s="12" t="inlineStr">
        <is>
          <t>Duct bank</t>
        </is>
      </c>
      <c r="T4521" s="16" t="n">
        <v>745</v>
      </c>
      <c r="U4521" s="16" t="n">
        <v>139</v>
      </c>
      <c r="V4521" s="16">
        <f>ROUNDUP((T4521+U4521+2*'Read Me'!$B$13)*(1+'Read Me'!$B$12),-1)</f>
        <v/>
      </c>
      <c r="W4521" s="16">
        <f>V4521*N4521*O4521</f>
        <v/>
      </c>
      <c r="X4521" s="12">
        <f>IF(LEFT(I4521,2)="MV",2*N4521*IF(L4521="1/C",O4521,1),0)</f>
        <v/>
      </c>
      <c r="Y4521" s="12">
        <f>IF(OR(LEFT(K4521,4)="LVAX",LEFT(K4521,6)="MV15AX",LEFT(K4521,4)="CTAX",LEFT(K4521,2)="W|"),2*N4521*O4521,0)</f>
        <v/>
      </c>
      <c r="Z4521" s="12" t="inlineStr"/>
      <c r="AA4521" s="12">
        <f>N4521*O4521</f>
        <v/>
      </c>
    </row>
    <row r="4522">
      <c r="A4522" s="12" t="inlineStr">
        <is>
          <t>I-I-0164</t>
        </is>
      </c>
      <c r="B4522" s="12" t="inlineStr">
        <is>
          <t>I</t>
        </is>
      </c>
      <c r="C4522" s="12" t="inlineStr">
        <is>
          <t>Modular / portable power</t>
        </is>
      </c>
      <c r="D4522" s="12" t="inlineStr">
        <is>
          <t>Discrete device to JB JB-RICE 1 radiators (-DI01: 10 x 1 pr (field cables)</t>
        </is>
      </c>
      <c r="E4522" s="12" t="inlineStr"/>
      <c r="F4522" s="12" t="inlineStr">
        <is>
          <t>RICE 1 radiators (5)</t>
        </is>
      </c>
      <c r="G4522" s="12" t="inlineStr">
        <is>
          <t>JB-RICE 1 radiators (-DI01</t>
        </is>
      </c>
      <c r="H4522" s="12" t="inlineStr">
        <is>
          <t>RICE 1 radiators (5)</t>
        </is>
      </c>
      <c r="I4522" s="12" t="inlineStr">
        <is>
          <t>Instrumentation</t>
        </is>
      </c>
      <c r="J4522" s="12" t="inlineStr">
        <is>
          <t>Instrumentation PLTC / TC-ER 300 V, #18 twisted shielded pairs, overall shield</t>
        </is>
      </c>
      <c r="K4522" s="12" t="inlineStr">
        <is>
          <t>PLTC|1 pr|16</t>
        </is>
      </c>
      <c r="L4522" s="12" t="inlineStr">
        <is>
          <t>1 pr</t>
        </is>
      </c>
      <c r="M4522" s="12" t="inlineStr">
        <is>
          <t>16</t>
        </is>
      </c>
      <c r="N4522" s="12" t="n">
        <v>10</v>
      </c>
      <c r="O4522" s="12" t="n">
        <v>1</v>
      </c>
      <c r="P4522" s="12" t="n"/>
      <c r="Q4522" s="12" t="n"/>
      <c r="R4522" s="12" t="n"/>
      <c r="S4522" s="12" t="inlineStr">
        <is>
          <t>Tray / conduit</t>
        </is>
      </c>
      <c r="T4522" s="16" t="n">
        <v>80</v>
      </c>
      <c r="U4522" s="16" t="n">
        <v>10</v>
      </c>
      <c r="V4522" s="16">
        <f>ROUNDUP((T4522+U4522+2*'Read Me'!$B$13)*(1+'Read Me'!$B$12),-1)</f>
        <v/>
      </c>
      <c r="W4522" s="16">
        <f>V4522*N4522*O4522</f>
        <v/>
      </c>
      <c r="X4522" s="12">
        <f>IF(LEFT(I4522,2)="MV",2*N4522*IF(L4522="1/C",O4522,1),0)</f>
        <v/>
      </c>
      <c r="Y4522" s="12">
        <f>IF(OR(LEFT(K4522,4)="LVAX",LEFT(K4522,6)="MV15AX",LEFT(K4522,4)="CTAX",LEFT(K4522,2)="W|"),2*N4522*O4522,0)</f>
        <v/>
      </c>
      <c r="Z4522" s="12" t="inlineStr">
        <is>
          <t>device-to-JB field wiring, one cable per device</t>
        </is>
      </c>
      <c r="AA4522" s="12">
        <f>N4522*O4522</f>
        <v/>
      </c>
    </row>
    <row r="4523">
      <c r="A4523" s="12" t="inlineStr">
        <is>
          <t>I-I-0165</t>
        </is>
      </c>
      <c r="B4523" s="12" t="inlineStr">
        <is>
          <t>I</t>
        </is>
      </c>
      <c r="C4523" s="12" t="inlineStr">
        <is>
          <t>Modular / portable power</t>
        </is>
      </c>
      <c r="D4523" s="12" t="inlineStr">
        <is>
          <t>Home run JB-RICE 1 radiators (-DI01 to the control / marshalling room</t>
        </is>
      </c>
      <c r="E4523" s="12" t="inlineStr"/>
      <c r="F4523" s="12" t="inlineStr">
        <is>
          <t>PCM: power control module</t>
        </is>
      </c>
      <c r="G4523" s="12" t="inlineStr">
        <is>
          <t>JB-RICE 1 radiators (-DI01</t>
        </is>
      </c>
      <c r="H4523" s="12" t="inlineStr">
        <is>
          <t>RICE 1 radiators (5)</t>
        </is>
      </c>
      <c r="I4523" s="12" t="inlineStr">
        <is>
          <t>Instrumentation</t>
        </is>
      </c>
      <c r="J4523" s="12" t="inlineStr">
        <is>
          <t>Instrumentation PLTC / TC-ER 300 V, #18 twisted shielded pairs, overall shield</t>
        </is>
      </c>
      <c r="K4523" s="12" t="inlineStr">
        <is>
          <t>PLTC|24 pr|18</t>
        </is>
      </c>
      <c r="L4523" s="12" t="inlineStr">
        <is>
          <t>24 pr</t>
        </is>
      </c>
      <c r="M4523" s="12" t="inlineStr">
        <is>
          <t>18</t>
        </is>
      </c>
      <c r="N4523" s="12" t="n">
        <v>1</v>
      </c>
      <c r="O4523" s="12" t="n">
        <v>1</v>
      </c>
      <c r="P4523" s="12" t="n"/>
      <c r="Q4523" s="12" t="n"/>
      <c r="R4523" s="12" t="n"/>
      <c r="S4523" s="12" t="inlineStr">
        <is>
          <t>Duct bank</t>
        </is>
      </c>
      <c r="T4523" s="16" t="n">
        <v>745</v>
      </c>
      <c r="U4523" s="16" t="n">
        <v>139</v>
      </c>
      <c r="V4523" s="16">
        <f>ROUNDUP((T4523+U4523+2*'Read Me'!$B$13)*(1+'Read Me'!$B$12),-1)</f>
        <v/>
      </c>
      <c r="W4523" s="16">
        <f>V4523*N4523*O4523</f>
        <v/>
      </c>
      <c r="X4523" s="12">
        <f>IF(LEFT(I4523,2)="MV",2*N4523*IF(L4523="1/C",O4523,1),0)</f>
        <v/>
      </c>
      <c r="Y4523" s="12">
        <f>IF(OR(LEFT(K4523,4)="LVAX",LEFT(K4523,6)="MV15AX",LEFT(K4523,4)="CTAX",LEFT(K4523,2)="W|"),2*N4523*O4523,0)</f>
        <v/>
      </c>
      <c r="Z4523" s="12" t="inlineStr"/>
      <c r="AA4523" s="12">
        <f>N4523*O4523</f>
        <v/>
      </c>
    </row>
    <row r="4524">
      <c r="A4524" s="12" t="inlineStr">
        <is>
          <t>I-I-0166</t>
        </is>
      </c>
      <c r="B4524" s="12" t="inlineStr">
        <is>
          <t>I</t>
        </is>
      </c>
      <c r="C4524" s="12" t="inlineStr">
        <is>
          <t>Modular / portable power</t>
        </is>
      </c>
      <c r="D4524" s="12" t="inlineStr">
        <is>
          <t>Analog instrument to JB JB-RICE 2 SCR + oxida-AI01: 10 x 1 pr (field cables)</t>
        </is>
      </c>
      <c r="E4524" s="12" t="inlineStr"/>
      <c r="F4524" s="12" t="inlineStr">
        <is>
          <t>RICE 2 SCR + oxidation catalyst and stack</t>
        </is>
      </c>
      <c r="G4524" s="12" t="inlineStr">
        <is>
          <t>JB-RICE 2 SCR + oxida-AI01</t>
        </is>
      </c>
      <c r="H4524" s="12" t="inlineStr">
        <is>
          <t>RICE 2 SCR + oxidation catalyst and stack</t>
        </is>
      </c>
      <c r="I4524" s="12" t="inlineStr">
        <is>
          <t>Instrumentation</t>
        </is>
      </c>
      <c r="J4524" s="12" t="inlineStr">
        <is>
          <t>Instrumentation PLTC / TC-ER 300 V, #18 twisted shielded pairs, overall shield</t>
        </is>
      </c>
      <c r="K4524" s="12" t="inlineStr">
        <is>
          <t>PLTC|1 pr|16</t>
        </is>
      </c>
      <c r="L4524" s="12" t="inlineStr">
        <is>
          <t>1 pr</t>
        </is>
      </c>
      <c r="M4524" s="12" t="inlineStr">
        <is>
          <t>16</t>
        </is>
      </c>
      <c r="N4524" s="12" t="n">
        <v>10</v>
      </c>
      <c r="O4524" s="12" t="n">
        <v>1</v>
      </c>
      <c r="P4524" s="12" t="n"/>
      <c r="Q4524" s="12" t="n"/>
      <c r="R4524" s="12" t="n"/>
      <c r="S4524" s="12" t="inlineStr">
        <is>
          <t>Tray / conduit</t>
        </is>
      </c>
      <c r="T4524" s="16" t="n">
        <v>92</v>
      </c>
      <c r="U4524" s="16" t="n">
        <v>10</v>
      </c>
      <c r="V4524" s="16">
        <f>ROUNDUP((T4524+U4524+2*'Read Me'!$B$13)*(1+'Read Me'!$B$12),-1)</f>
        <v/>
      </c>
      <c r="W4524" s="16">
        <f>V4524*N4524*O4524</f>
        <v/>
      </c>
      <c r="X4524" s="12">
        <f>IF(LEFT(I4524,2)="MV",2*N4524*IF(L4524="1/C",O4524,1),0)</f>
        <v/>
      </c>
      <c r="Y4524" s="12">
        <f>IF(OR(LEFT(K4524,4)="LVAX",LEFT(K4524,6)="MV15AX",LEFT(K4524,4)="CTAX",LEFT(K4524,2)="W|"),2*N4524*O4524,0)</f>
        <v/>
      </c>
      <c r="Z4524" s="12" t="inlineStr">
        <is>
          <t>device-to-JB field wiring, one cable per device</t>
        </is>
      </c>
      <c r="AA4524" s="12">
        <f>N4524*O4524</f>
        <v/>
      </c>
    </row>
    <row r="4525">
      <c r="A4525" s="12" t="inlineStr">
        <is>
          <t>I-I-0167</t>
        </is>
      </c>
      <c r="B4525" s="12" t="inlineStr">
        <is>
          <t>I</t>
        </is>
      </c>
      <c r="C4525" s="12" t="inlineStr">
        <is>
          <t>Modular / portable power</t>
        </is>
      </c>
      <c r="D4525" s="12" t="inlineStr">
        <is>
          <t>Home run JB-RICE 2 SCR + oxida-AI01 to the control / marshalling room</t>
        </is>
      </c>
      <c r="E4525" s="12" t="inlineStr"/>
      <c r="F4525" s="12" t="inlineStr">
        <is>
          <t>PCM: power control module</t>
        </is>
      </c>
      <c r="G4525" s="12" t="inlineStr">
        <is>
          <t>JB-RICE 2 SCR + oxida-AI01</t>
        </is>
      </c>
      <c r="H4525" s="12" t="inlineStr">
        <is>
          <t>RICE 2 SCR + oxidation catalyst and stack</t>
        </is>
      </c>
      <c r="I4525" s="12" t="inlineStr">
        <is>
          <t>Instrumentation</t>
        </is>
      </c>
      <c r="J4525" s="12" t="inlineStr">
        <is>
          <t>Instrumentation PLTC / TC-ER 300 V, #18 twisted shielded pairs, overall shield</t>
        </is>
      </c>
      <c r="K4525" s="12" t="inlineStr">
        <is>
          <t>PLTC|24 pr|18</t>
        </is>
      </c>
      <c r="L4525" s="12" t="inlineStr">
        <is>
          <t>24 pr</t>
        </is>
      </c>
      <c r="M4525" s="12" t="inlineStr">
        <is>
          <t>18</t>
        </is>
      </c>
      <c r="N4525" s="12" t="n">
        <v>1</v>
      </c>
      <c r="O4525" s="12" t="n">
        <v>1</v>
      </c>
      <c r="P4525" s="12" t="n"/>
      <c r="Q4525" s="12" t="n"/>
      <c r="R4525" s="12" t="n"/>
      <c r="S4525" s="12" t="inlineStr">
        <is>
          <t>Duct bank</t>
        </is>
      </c>
      <c r="T4525" s="16" t="n">
        <v>470</v>
      </c>
      <c r="U4525" s="16" t="n">
        <v>132</v>
      </c>
      <c r="V4525" s="16">
        <f>ROUNDUP((T4525+U4525+2*'Read Me'!$B$13)*(1+'Read Me'!$B$12),-1)</f>
        <v/>
      </c>
      <c r="W4525" s="16">
        <f>V4525*N4525*O4525</f>
        <v/>
      </c>
      <c r="X4525" s="12">
        <f>IF(LEFT(I4525,2)="MV",2*N4525*IF(L4525="1/C",O4525,1),0)</f>
        <v/>
      </c>
      <c r="Y4525" s="12">
        <f>IF(OR(LEFT(K4525,4)="LVAX",LEFT(K4525,6)="MV15AX",LEFT(K4525,4)="CTAX",LEFT(K4525,2)="W|"),2*N4525*O4525,0)</f>
        <v/>
      </c>
      <c r="Z4525" s="12" t="inlineStr"/>
      <c r="AA4525" s="12">
        <f>N4525*O4525</f>
        <v/>
      </c>
    </row>
    <row r="4526">
      <c r="A4526" s="12" t="inlineStr">
        <is>
          <t>I-I-0168</t>
        </is>
      </c>
      <c r="B4526" s="12" t="inlineStr">
        <is>
          <t>I</t>
        </is>
      </c>
      <c r="C4526" s="12" t="inlineStr">
        <is>
          <t>Modular / portable power</t>
        </is>
      </c>
      <c r="D4526" s="12" t="inlineStr">
        <is>
          <t>Discrete device to JB JB-RICE 2 SCR + oxida-DI01: 6 x 1 pr (field cables)</t>
        </is>
      </c>
      <c r="E4526" s="12" t="inlineStr"/>
      <c r="F4526" s="12" t="inlineStr">
        <is>
          <t>RICE 2 SCR + oxidation catalyst and stack</t>
        </is>
      </c>
      <c r="G4526" s="12" t="inlineStr">
        <is>
          <t>JB-RICE 2 SCR + oxida-DI01</t>
        </is>
      </c>
      <c r="H4526" s="12" t="inlineStr">
        <is>
          <t>RICE 2 SCR + oxidation catalyst and stack</t>
        </is>
      </c>
      <c r="I4526" s="12" t="inlineStr">
        <is>
          <t>Instrumentation</t>
        </is>
      </c>
      <c r="J4526" s="12" t="inlineStr">
        <is>
          <t>Instrumentation PLTC / TC-ER 300 V, #18 twisted shielded pairs, overall shield</t>
        </is>
      </c>
      <c r="K4526" s="12" t="inlineStr">
        <is>
          <t>PLTC|1 pr|16</t>
        </is>
      </c>
      <c r="L4526" s="12" t="inlineStr">
        <is>
          <t>1 pr</t>
        </is>
      </c>
      <c r="M4526" s="12" t="inlineStr">
        <is>
          <t>16</t>
        </is>
      </c>
      <c r="N4526" s="12" t="n">
        <v>6</v>
      </c>
      <c r="O4526" s="12" t="n">
        <v>1</v>
      </c>
      <c r="P4526" s="12" t="n"/>
      <c r="Q4526" s="12" t="n"/>
      <c r="R4526" s="12" t="n"/>
      <c r="S4526" s="12" t="inlineStr">
        <is>
          <t>Tray / conduit</t>
        </is>
      </c>
      <c r="T4526" s="16" t="n">
        <v>92</v>
      </c>
      <c r="U4526" s="16" t="n">
        <v>10</v>
      </c>
      <c r="V4526" s="16">
        <f>ROUNDUP((T4526+U4526+2*'Read Me'!$B$13)*(1+'Read Me'!$B$12),-1)</f>
        <v/>
      </c>
      <c r="W4526" s="16">
        <f>V4526*N4526*O4526</f>
        <v/>
      </c>
      <c r="X4526" s="12">
        <f>IF(LEFT(I4526,2)="MV",2*N4526*IF(L4526="1/C",O4526,1),0)</f>
        <v/>
      </c>
      <c r="Y4526" s="12">
        <f>IF(OR(LEFT(K4526,4)="LVAX",LEFT(K4526,6)="MV15AX",LEFT(K4526,4)="CTAX",LEFT(K4526,2)="W|"),2*N4526*O4526,0)</f>
        <v/>
      </c>
      <c r="Z4526" s="12" t="inlineStr">
        <is>
          <t>device-to-JB field wiring, one cable per device</t>
        </is>
      </c>
      <c r="AA4526" s="12">
        <f>N4526*O4526</f>
        <v/>
      </c>
    </row>
    <row r="4527">
      <c r="A4527" s="12" t="inlineStr">
        <is>
          <t>I-I-0169</t>
        </is>
      </c>
      <c r="B4527" s="12" t="inlineStr">
        <is>
          <t>I</t>
        </is>
      </c>
      <c r="C4527" s="12" t="inlineStr">
        <is>
          <t>Modular / portable power</t>
        </is>
      </c>
      <c r="D4527" s="12" t="inlineStr">
        <is>
          <t>Home run JB-RICE 2 SCR + oxida-DI01 to the control / marshalling room</t>
        </is>
      </c>
      <c r="E4527" s="12" t="inlineStr"/>
      <c r="F4527" s="12" t="inlineStr">
        <is>
          <t>PCM: power control module</t>
        </is>
      </c>
      <c r="G4527" s="12" t="inlineStr">
        <is>
          <t>JB-RICE 2 SCR + oxida-DI01</t>
        </is>
      </c>
      <c r="H4527" s="12" t="inlineStr">
        <is>
          <t>RICE 2 SCR + oxidation catalyst and stack</t>
        </is>
      </c>
      <c r="I4527" s="12" t="inlineStr">
        <is>
          <t>Instrumentation</t>
        </is>
      </c>
      <c r="J4527" s="12" t="inlineStr">
        <is>
          <t>Instrumentation PLTC / TC-ER 300 V, #18 twisted shielded pairs, overall shield</t>
        </is>
      </c>
      <c r="K4527" s="12" t="inlineStr">
        <is>
          <t>PLTC|24 pr|18</t>
        </is>
      </c>
      <c r="L4527" s="12" t="inlineStr">
        <is>
          <t>24 pr</t>
        </is>
      </c>
      <c r="M4527" s="12" t="inlineStr">
        <is>
          <t>18</t>
        </is>
      </c>
      <c r="N4527" s="12" t="n">
        <v>1</v>
      </c>
      <c r="O4527" s="12" t="n">
        <v>1</v>
      </c>
      <c r="P4527" s="12" t="n"/>
      <c r="Q4527" s="12" t="n"/>
      <c r="R4527" s="12" t="n"/>
      <c r="S4527" s="12" t="inlineStr">
        <is>
          <t>Duct bank</t>
        </is>
      </c>
      <c r="T4527" s="16" t="n">
        <v>470</v>
      </c>
      <c r="U4527" s="16" t="n">
        <v>132</v>
      </c>
      <c r="V4527" s="16">
        <f>ROUNDUP((T4527+U4527+2*'Read Me'!$B$13)*(1+'Read Me'!$B$12),-1)</f>
        <v/>
      </c>
      <c r="W4527" s="16">
        <f>V4527*N4527*O4527</f>
        <v/>
      </c>
      <c r="X4527" s="12">
        <f>IF(LEFT(I4527,2)="MV",2*N4527*IF(L4527="1/C",O4527,1),0)</f>
        <v/>
      </c>
      <c r="Y4527" s="12">
        <f>IF(OR(LEFT(K4527,4)="LVAX",LEFT(K4527,6)="MV15AX",LEFT(K4527,4)="CTAX",LEFT(K4527,2)="W|"),2*N4527*O4527,0)</f>
        <v/>
      </c>
      <c r="Z4527" s="12" t="inlineStr"/>
      <c r="AA4527" s="12">
        <f>N4527*O4527</f>
        <v/>
      </c>
    </row>
    <row r="4528">
      <c r="A4528" s="12" t="inlineStr">
        <is>
          <t>I-I-0170</t>
        </is>
      </c>
      <c r="B4528" s="12" t="inlineStr">
        <is>
          <t>I</t>
        </is>
      </c>
      <c r="C4528" s="12" t="inlineStr">
        <is>
          <t>Modular / portable power</t>
        </is>
      </c>
      <c r="D4528" s="12" t="inlineStr">
        <is>
          <t>Analog instrument to JB JB-RICE 2 radiators (-AI01: 5 x 1 pr (field cables)</t>
        </is>
      </c>
      <c r="E4528" s="12" t="inlineStr"/>
      <c r="F4528" s="12" t="inlineStr">
        <is>
          <t>RICE 2 radiators (5)</t>
        </is>
      </c>
      <c r="G4528" s="12" t="inlineStr">
        <is>
          <t>JB-RICE 2 radiators (-AI01</t>
        </is>
      </c>
      <c r="H4528" s="12" t="inlineStr">
        <is>
          <t>RICE 2 radiators (5)</t>
        </is>
      </c>
      <c r="I4528" s="12" t="inlineStr">
        <is>
          <t>Instrumentation</t>
        </is>
      </c>
      <c r="J4528" s="12" t="inlineStr">
        <is>
          <t>Instrumentation PLTC / TC-ER 300 V, #18 twisted shielded pairs, overall shield</t>
        </is>
      </c>
      <c r="K4528" s="12" t="inlineStr">
        <is>
          <t>PLTC|1 pr|16</t>
        </is>
      </c>
      <c r="L4528" s="12" t="inlineStr">
        <is>
          <t>1 pr</t>
        </is>
      </c>
      <c r="M4528" s="12" t="inlineStr">
        <is>
          <t>16</t>
        </is>
      </c>
      <c r="N4528" s="12" t="n">
        <v>5</v>
      </c>
      <c r="O4528" s="12" t="n">
        <v>1</v>
      </c>
      <c r="P4528" s="12" t="n"/>
      <c r="Q4528" s="12" t="n"/>
      <c r="R4528" s="12" t="n"/>
      <c r="S4528" s="12" t="inlineStr">
        <is>
          <t>Tray / conduit</t>
        </is>
      </c>
      <c r="T4528" s="16" t="n">
        <v>80</v>
      </c>
      <c r="U4528" s="16" t="n">
        <v>10</v>
      </c>
      <c r="V4528" s="16">
        <f>ROUNDUP((T4528+U4528+2*'Read Me'!$B$13)*(1+'Read Me'!$B$12),-1)</f>
        <v/>
      </c>
      <c r="W4528" s="16">
        <f>V4528*N4528*O4528</f>
        <v/>
      </c>
      <c r="X4528" s="12">
        <f>IF(LEFT(I4528,2)="MV",2*N4528*IF(L4528="1/C",O4528,1),0)</f>
        <v/>
      </c>
      <c r="Y4528" s="12">
        <f>IF(OR(LEFT(K4528,4)="LVAX",LEFT(K4528,6)="MV15AX",LEFT(K4528,4)="CTAX",LEFT(K4528,2)="W|"),2*N4528*O4528,0)</f>
        <v/>
      </c>
      <c r="Z4528" s="12" t="inlineStr">
        <is>
          <t>device-to-JB field wiring, one cable per device</t>
        </is>
      </c>
      <c r="AA4528" s="12">
        <f>N4528*O4528</f>
        <v/>
      </c>
    </row>
    <row r="4529">
      <c r="A4529" s="12" t="inlineStr">
        <is>
          <t>I-I-0171</t>
        </is>
      </c>
      <c r="B4529" s="12" t="inlineStr">
        <is>
          <t>I</t>
        </is>
      </c>
      <c r="C4529" s="12" t="inlineStr">
        <is>
          <t>Modular / portable power</t>
        </is>
      </c>
      <c r="D4529" s="12" t="inlineStr">
        <is>
          <t>Home run JB-RICE 2 radiators (-AI01 to the control / marshalling room</t>
        </is>
      </c>
      <c r="E4529" s="12" t="inlineStr"/>
      <c r="F4529" s="12" t="inlineStr">
        <is>
          <t>PCM: power control module</t>
        </is>
      </c>
      <c r="G4529" s="12" t="inlineStr">
        <is>
          <t>JB-RICE 2 radiators (-AI01</t>
        </is>
      </c>
      <c r="H4529" s="12" t="inlineStr">
        <is>
          <t>RICE 2 radiators (5)</t>
        </is>
      </c>
      <c r="I4529" s="12" t="inlineStr">
        <is>
          <t>Instrumentation</t>
        </is>
      </c>
      <c r="J4529" s="12" t="inlineStr">
        <is>
          <t>Instrumentation PLTC / TC-ER 300 V, #18 twisted shielded pairs, overall shield</t>
        </is>
      </c>
      <c r="K4529" s="12" t="inlineStr">
        <is>
          <t>PLTC|24 pr|18</t>
        </is>
      </c>
      <c r="L4529" s="12" t="inlineStr">
        <is>
          <t>24 pr</t>
        </is>
      </c>
      <c r="M4529" s="12" t="inlineStr">
        <is>
          <t>18</t>
        </is>
      </c>
      <c r="N4529" s="12" t="n">
        <v>1</v>
      </c>
      <c r="O4529" s="12" t="n">
        <v>1</v>
      </c>
      <c r="P4529" s="12" t="n"/>
      <c r="Q4529" s="12" t="n"/>
      <c r="R4529" s="12" t="n"/>
      <c r="S4529" s="12" t="inlineStr">
        <is>
          <t>Duct bank</t>
        </is>
      </c>
      <c r="T4529" s="16" t="n">
        <v>550</v>
      </c>
      <c r="U4529" s="16" t="n">
        <v>192</v>
      </c>
      <c r="V4529" s="16">
        <f>ROUNDUP((T4529+U4529+2*'Read Me'!$B$13)*(1+'Read Me'!$B$12),-1)</f>
        <v/>
      </c>
      <c r="W4529" s="16">
        <f>V4529*N4529*O4529</f>
        <v/>
      </c>
      <c r="X4529" s="12">
        <f>IF(LEFT(I4529,2)="MV",2*N4529*IF(L4529="1/C",O4529,1),0)</f>
        <v/>
      </c>
      <c r="Y4529" s="12">
        <f>IF(OR(LEFT(K4529,4)="LVAX",LEFT(K4529,6)="MV15AX",LEFT(K4529,4)="CTAX",LEFT(K4529,2)="W|"),2*N4529*O4529,0)</f>
        <v/>
      </c>
      <c r="Z4529" s="12" t="inlineStr"/>
      <c r="AA4529" s="12">
        <f>N4529*O4529</f>
        <v/>
      </c>
    </row>
    <row r="4530">
      <c r="A4530" s="12" t="inlineStr">
        <is>
          <t>I-I-0172</t>
        </is>
      </c>
      <c r="B4530" s="12" t="inlineStr">
        <is>
          <t>I</t>
        </is>
      </c>
      <c r="C4530" s="12" t="inlineStr">
        <is>
          <t>Modular / portable power</t>
        </is>
      </c>
      <c r="D4530" s="12" t="inlineStr">
        <is>
          <t>Discrete device to JB JB-RICE 2 radiators (-DI01: 10 x 1 pr (field cables)</t>
        </is>
      </c>
      <c r="E4530" s="12" t="inlineStr"/>
      <c r="F4530" s="12" t="inlineStr">
        <is>
          <t>RICE 2 radiators (5)</t>
        </is>
      </c>
      <c r="G4530" s="12" t="inlineStr">
        <is>
          <t>JB-RICE 2 radiators (-DI01</t>
        </is>
      </c>
      <c r="H4530" s="12" t="inlineStr">
        <is>
          <t>RICE 2 radiators (5)</t>
        </is>
      </c>
      <c r="I4530" s="12" t="inlineStr">
        <is>
          <t>Instrumentation</t>
        </is>
      </c>
      <c r="J4530" s="12" t="inlineStr">
        <is>
          <t>Instrumentation PLTC / TC-ER 300 V, #18 twisted shielded pairs, overall shield</t>
        </is>
      </c>
      <c r="K4530" s="12" t="inlineStr">
        <is>
          <t>PLTC|1 pr|16</t>
        </is>
      </c>
      <c r="L4530" s="12" t="inlineStr">
        <is>
          <t>1 pr</t>
        </is>
      </c>
      <c r="M4530" s="12" t="inlineStr">
        <is>
          <t>16</t>
        </is>
      </c>
      <c r="N4530" s="12" t="n">
        <v>10</v>
      </c>
      <c r="O4530" s="12" t="n">
        <v>1</v>
      </c>
      <c r="P4530" s="12" t="n"/>
      <c r="Q4530" s="12" t="n"/>
      <c r="R4530" s="12" t="n"/>
      <c r="S4530" s="12" t="inlineStr">
        <is>
          <t>Tray / conduit</t>
        </is>
      </c>
      <c r="T4530" s="16" t="n">
        <v>80</v>
      </c>
      <c r="U4530" s="16" t="n">
        <v>10</v>
      </c>
      <c r="V4530" s="16">
        <f>ROUNDUP((T4530+U4530+2*'Read Me'!$B$13)*(1+'Read Me'!$B$12),-1)</f>
        <v/>
      </c>
      <c r="W4530" s="16">
        <f>V4530*N4530*O4530</f>
        <v/>
      </c>
      <c r="X4530" s="12">
        <f>IF(LEFT(I4530,2)="MV",2*N4530*IF(L4530="1/C",O4530,1),0)</f>
        <v/>
      </c>
      <c r="Y4530" s="12">
        <f>IF(OR(LEFT(K4530,4)="LVAX",LEFT(K4530,6)="MV15AX",LEFT(K4530,4)="CTAX",LEFT(K4530,2)="W|"),2*N4530*O4530,0)</f>
        <v/>
      </c>
      <c r="Z4530" s="12" t="inlineStr">
        <is>
          <t>device-to-JB field wiring, one cable per device</t>
        </is>
      </c>
      <c r="AA4530" s="12">
        <f>N4530*O4530</f>
        <v/>
      </c>
    </row>
    <row r="4531">
      <c r="A4531" s="12" t="inlineStr">
        <is>
          <t>I-I-0173</t>
        </is>
      </c>
      <c r="B4531" s="12" t="inlineStr">
        <is>
          <t>I</t>
        </is>
      </c>
      <c r="C4531" s="12" t="inlineStr">
        <is>
          <t>Modular / portable power</t>
        </is>
      </c>
      <c r="D4531" s="12" t="inlineStr">
        <is>
          <t>Home run JB-RICE 2 radiators (-DI01 to the control / marshalling room</t>
        </is>
      </c>
      <c r="E4531" s="12" t="inlineStr"/>
      <c r="F4531" s="12" t="inlineStr">
        <is>
          <t>PCM: power control module</t>
        </is>
      </c>
      <c r="G4531" s="12" t="inlineStr">
        <is>
          <t>JB-RICE 2 radiators (-DI01</t>
        </is>
      </c>
      <c r="H4531" s="12" t="inlineStr">
        <is>
          <t>RICE 2 radiators (5)</t>
        </is>
      </c>
      <c r="I4531" s="12" t="inlineStr">
        <is>
          <t>Instrumentation</t>
        </is>
      </c>
      <c r="J4531" s="12" t="inlineStr">
        <is>
          <t>Instrumentation PLTC / TC-ER 300 V, #18 twisted shielded pairs, overall shield</t>
        </is>
      </c>
      <c r="K4531" s="12" t="inlineStr">
        <is>
          <t>PLTC|24 pr|18</t>
        </is>
      </c>
      <c r="L4531" s="12" t="inlineStr">
        <is>
          <t>24 pr</t>
        </is>
      </c>
      <c r="M4531" s="12" t="inlineStr">
        <is>
          <t>18</t>
        </is>
      </c>
      <c r="N4531" s="12" t="n">
        <v>1</v>
      </c>
      <c r="O4531" s="12" t="n">
        <v>1</v>
      </c>
      <c r="P4531" s="12" t="n"/>
      <c r="Q4531" s="12" t="n"/>
      <c r="R4531" s="12" t="n"/>
      <c r="S4531" s="12" t="inlineStr">
        <is>
          <t>Duct bank</t>
        </is>
      </c>
      <c r="T4531" s="16" t="n">
        <v>550</v>
      </c>
      <c r="U4531" s="16" t="n">
        <v>192</v>
      </c>
      <c r="V4531" s="16">
        <f>ROUNDUP((T4531+U4531+2*'Read Me'!$B$13)*(1+'Read Me'!$B$12),-1)</f>
        <v/>
      </c>
      <c r="W4531" s="16">
        <f>V4531*N4531*O4531</f>
        <v/>
      </c>
      <c r="X4531" s="12">
        <f>IF(LEFT(I4531,2)="MV",2*N4531*IF(L4531="1/C",O4531,1),0)</f>
        <v/>
      </c>
      <c r="Y4531" s="12">
        <f>IF(OR(LEFT(K4531,4)="LVAX",LEFT(K4531,6)="MV15AX",LEFT(K4531,4)="CTAX",LEFT(K4531,2)="W|"),2*N4531*O4531,0)</f>
        <v/>
      </c>
      <c r="Z4531" s="12" t="inlineStr"/>
      <c r="AA4531" s="12">
        <f>N4531*O4531</f>
        <v/>
      </c>
    </row>
    <row r="4532">
      <c r="A4532" s="12" t="inlineStr">
        <is>
          <t>I-I-0174</t>
        </is>
      </c>
      <c r="B4532" s="12" t="inlineStr">
        <is>
          <t>I</t>
        </is>
      </c>
      <c r="C4532" s="12" t="inlineStr">
        <is>
          <t>Modular / portable power</t>
        </is>
      </c>
      <c r="D4532" s="12" t="inlineStr">
        <is>
          <t>Analog instrument to JB JB-RICE 3 SCR + oxida-AI01: 10 x 1 pr (field cables)</t>
        </is>
      </c>
      <c r="E4532" s="12" t="inlineStr"/>
      <c r="F4532" s="12" t="inlineStr">
        <is>
          <t>RICE 3 SCR + oxidation catalyst and stack</t>
        </is>
      </c>
      <c r="G4532" s="12" t="inlineStr">
        <is>
          <t>JB-RICE 3 SCR + oxida-AI01</t>
        </is>
      </c>
      <c r="H4532" s="12" t="inlineStr">
        <is>
          <t>RICE 3 SCR + oxidation catalyst and stack</t>
        </is>
      </c>
      <c r="I4532" s="12" t="inlineStr">
        <is>
          <t>Instrumentation</t>
        </is>
      </c>
      <c r="J4532" s="12" t="inlineStr">
        <is>
          <t>Instrumentation PLTC / TC-ER 300 V, #18 twisted shielded pairs, overall shield</t>
        </is>
      </c>
      <c r="K4532" s="12" t="inlineStr">
        <is>
          <t>PLTC|1 pr|16</t>
        </is>
      </c>
      <c r="L4532" s="12" t="inlineStr">
        <is>
          <t>1 pr</t>
        </is>
      </c>
      <c r="M4532" s="12" t="inlineStr">
        <is>
          <t>16</t>
        </is>
      </c>
      <c r="N4532" s="12" t="n">
        <v>10</v>
      </c>
      <c r="O4532" s="12" t="n">
        <v>1</v>
      </c>
      <c r="P4532" s="12" t="n"/>
      <c r="Q4532" s="12" t="n"/>
      <c r="R4532" s="12" t="n"/>
      <c r="S4532" s="12" t="inlineStr">
        <is>
          <t>Tray / conduit</t>
        </is>
      </c>
      <c r="T4532" s="16" t="n">
        <v>92</v>
      </c>
      <c r="U4532" s="16" t="n">
        <v>10</v>
      </c>
      <c r="V4532" s="16">
        <f>ROUNDUP((T4532+U4532+2*'Read Me'!$B$13)*(1+'Read Me'!$B$12),-1)</f>
        <v/>
      </c>
      <c r="W4532" s="16">
        <f>V4532*N4532*O4532</f>
        <v/>
      </c>
      <c r="X4532" s="12">
        <f>IF(LEFT(I4532,2)="MV",2*N4532*IF(L4532="1/C",O4532,1),0)</f>
        <v/>
      </c>
      <c r="Y4532" s="12">
        <f>IF(OR(LEFT(K4532,4)="LVAX",LEFT(K4532,6)="MV15AX",LEFT(K4532,4)="CTAX",LEFT(K4532,2)="W|"),2*N4532*O4532,0)</f>
        <v/>
      </c>
      <c r="Z4532" s="12" t="inlineStr">
        <is>
          <t>device-to-JB field wiring, one cable per device</t>
        </is>
      </c>
      <c r="AA4532" s="12">
        <f>N4532*O4532</f>
        <v/>
      </c>
    </row>
    <row r="4533">
      <c r="A4533" s="12" t="inlineStr">
        <is>
          <t>I-I-0175</t>
        </is>
      </c>
      <c r="B4533" s="12" t="inlineStr">
        <is>
          <t>I</t>
        </is>
      </c>
      <c r="C4533" s="12" t="inlineStr">
        <is>
          <t>Modular / portable power</t>
        </is>
      </c>
      <c r="D4533" s="12" t="inlineStr">
        <is>
          <t>Home run JB-RICE 3 SCR + oxida-AI01 to the control / marshalling room</t>
        </is>
      </c>
      <c r="E4533" s="12" t="inlineStr"/>
      <c r="F4533" s="12" t="inlineStr">
        <is>
          <t>PCM: power control module</t>
        </is>
      </c>
      <c r="G4533" s="12" t="inlineStr">
        <is>
          <t>JB-RICE 3 SCR + oxida-AI01</t>
        </is>
      </c>
      <c r="H4533" s="12" t="inlineStr">
        <is>
          <t>RICE 3 SCR + oxidation catalyst and stack</t>
        </is>
      </c>
      <c r="I4533" s="12" t="inlineStr">
        <is>
          <t>Instrumentation</t>
        </is>
      </c>
      <c r="J4533" s="12" t="inlineStr">
        <is>
          <t>Instrumentation PLTC / TC-ER 300 V, #18 twisted shielded pairs, overall shield</t>
        </is>
      </c>
      <c r="K4533" s="12" t="inlineStr">
        <is>
          <t>PLTC|24 pr|18</t>
        </is>
      </c>
      <c r="L4533" s="12" t="inlineStr">
        <is>
          <t>24 pr</t>
        </is>
      </c>
      <c r="M4533" s="12" t="inlineStr">
        <is>
          <t>18</t>
        </is>
      </c>
      <c r="N4533" s="12" t="n">
        <v>1</v>
      </c>
      <c r="O4533" s="12" t="n">
        <v>1</v>
      </c>
      <c r="P4533" s="12" t="n"/>
      <c r="Q4533" s="12" t="n"/>
      <c r="R4533" s="12" t="n"/>
      <c r="S4533" s="12" t="inlineStr">
        <is>
          <t>Duct bank</t>
        </is>
      </c>
      <c r="T4533" s="16" t="n">
        <v>470</v>
      </c>
      <c r="U4533" s="16" t="n">
        <v>104</v>
      </c>
      <c r="V4533" s="16">
        <f>ROUNDUP((T4533+U4533+2*'Read Me'!$B$13)*(1+'Read Me'!$B$12),-1)</f>
        <v/>
      </c>
      <c r="W4533" s="16">
        <f>V4533*N4533*O4533</f>
        <v/>
      </c>
      <c r="X4533" s="12">
        <f>IF(LEFT(I4533,2)="MV",2*N4533*IF(L4533="1/C",O4533,1),0)</f>
        <v/>
      </c>
      <c r="Y4533" s="12">
        <f>IF(OR(LEFT(K4533,4)="LVAX",LEFT(K4533,6)="MV15AX",LEFT(K4533,4)="CTAX",LEFT(K4533,2)="W|"),2*N4533*O4533,0)</f>
        <v/>
      </c>
      <c r="Z4533" s="12" t="inlineStr"/>
      <c r="AA4533" s="12">
        <f>N4533*O4533</f>
        <v/>
      </c>
    </row>
    <row r="4534">
      <c r="A4534" s="12" t="inlineStr">
        <is>
          <t>I-I-0176</t>
        </is>
      </c>
      <c r="B4534" s="12" t="inlineStr">
        <is>
          <t>I</t>
        </is>
      </c>
      <c r="C4534" s="12" t="inlineStr">
        <is>
          <t>Modular / portable power</t>
        </is>
      </c>
      <c r="D4534" s="12" t="inlineStr">
        <is>
          <t>Discrete device to JB JB-RICE 3 SCR + oxida-DI01: 6 x 1 pr (field cables)</t>
        </is>
      </c>
      <c r="E4534" s="12" t="inlineStr"/>
      <c r="F4534" s="12" t="inlineStr">
        <is>
          <t>RICE 3 SCR + oxidation catalyst and stack</t>
        </is>
      </c>
      <c r="G4534" s="12" t="inlineStr">
        <is>
          <t>JB-RICE 3 SCR + oxida-DI01</t>
        </is>
      </c>
      <c r="H4534" s="12" t="inlineStr">
        <is>
          <t>RICE 3 SCR + oxidation catalyst and stack</t>
        </is>
      </c>
      <c r="I4534" s="12" t="inlineStr">
        <is>
          <t>Instrumentation</t>
        </is>
      </c>
      <c r="J4534" s="12" t="inlineStr">
        <is>
          <t>Instrumentation PLTC / TC-ER 300 V, #18 twisted shielded pairs, overall shield</t>
        </is>
      </c>
      <c r="K4534" s="12" t="inlineStr">
        <is>
          <t>PLTC|1 pr|16</t>
        </is>
      </c>
      <c r="L4534" s="12" t="inlineStr">
        <is>
          <t>1 pr</t>
        </is>
      </c>
      <c r="M4534" s="12" t="inlineStr">
        <is>
          <t>16</t>
        </is>
      </c>
      <c r="N4534" s="12" t="n">
        <v>6</v>
      </c>
      <c r="O4534" s="12" t="n">
        <v>1</v>
      </c>
      <c r="P4534" s="12" t="n"/>
      <c r="Q4534" s="12" t="n"/>
      <c r="R4534" s="12" t="n"/>
      <c r="S4534" s="12" t="inlineStr">
        <is>
          <t>Tray / conduit</t>
        </is>
      </c>
      <c r="T4534" s="16" t="n">
        <v>92</v>
      </c>
      <c r="U4534" s="16" t="n">
        <v>10</v>
      </c>
      <c r="V4534" s="16">
        <f>ROUNDUP((T4534+U4534+2*'Read Me'!$B$13)*(1+'Read Me'!$B$12),-1)</f>
        <v/>
      </c>
      <c r="W4534" s="16">
        <f>V4534*N4534*O4534</f>
        <v/>
      </c>
      <c r="X4534" s="12">
        <f>IF(LEFT(I4534,2)="MV",2*N4534*IF(L4534="1/C",O4534,1),0)</f>
        <v/>
      </c>
      <c r="Y4534" s="12">
        <f>IF(OR(LEFT(K4534,4)="LVAX",LEFT(K4534,6)="MV15AX",LEFT(K4534,4)="CTAX",LEFT(K4534,2)="W|"),2*N4534*O4534,0)</f>
        <v/>
      </c>
      <c r="Z4534" s="12" t="inlineStr">
        <is>
          <t>device-to-JB field wiring, one cable per device</t>
        </is>
      </c>
      <c r="AA4534" s="12">
        <f>N4534*O4534</f>
        <v/>
      </c>
    </row>
    <row r="4535">
      <c r="A4535" s="12" t="inlineStr">
        <is>
          <t>I-I-0177</t>
        </is>
      </c>
      <c r="B4535" s="12" t="inlineStr">
        <is>
          <t>I</t>
        </is>
      </c>
      <c r="C4535" s="12" t="inlineStr">
        <is>
          <t>Modular / portable power</t>
        </is>
      </c>
      <c r="D4535" s="12" t="inlineStr">
        <is>
          <t>Home run JB-RICE 3 SCR + oxida-DI01 to the control / marshalling room</t>
        </is>
      </c>
      <c r="E4535" s="12" t="inlineStr"/>
      <c r="F4535" s="12" t="inlineStr">
        <is>
          <t>PCM: power control module</t>
        </is>
      </c>
      <c r="G4535" s="12" t="inlineStr">
        <is>
          <t>JB-RICE 3 SCR + oxida-DI01</t>
        </is>
      </c>
      <c r="H4535" s="12" t="inlineStr">
        <is>
          <t>RICE 3 SCR + oxidation catalyst and stack</t>
        </is>
      </c>
      <c r="I4535" s="12" t="inlineStr">
        <is>
          <t>Instrumentation</t>
        </is>
      </c>
      <c r="J4535" s="12" t="inlineStr">
        <is>
          <t>Instrumentation PLTC / TC-ER 300 V, #18 twisted shielded pairs, overall shield</t>
        </is>
      </c>
      <c r="K4535" s="12" t="inlineStr">
        <is>
          <t>PLTC|24 pr|18</t>
        </is>
      </c>
      <c r="L4535" s="12" t="inlineStr">
        <is>
          <t>24 pr</t>
        </is>
      </c>
      <c r="M4535" s="12" t="inlineStr">
        <is>
          <t>18</t>
        </is>
      </c>
      <c r="N4535" s="12" t="n">
        <v>1</v>
      </c>
      <c r="O4535" s="12" t="n">
        <v>1</v>
      </c>
      <c r="P4535" s="12" t="n"/>
      <c r="Q4535" s="12" t="n"/>
      <c r="R4535" s="12" t="n"/>
      <c r="S4535" s="12" t="inlineStr">
        <is>
          <t>Duct bank</t>
        </is>
      </c>
      <c r="T4535" s="16" t="n">
        <v>470</v>
      </c>
      <c r="U4535" s="16" t="n">
        <v>104</v>
      </c>
      <c r="V4535" s="16">
        <f>ROUNDUP((T4535+U4535+2*'Read Me'!$B$13)*(1+'Read Me'!$B$12),-1)</f>
        <v/>
      </c>
      <c r="W4535" s="16">
        <f>V4535*N4535*O4535</f>
        <v/>
      </c>
      <c r="X4535" s="12">
        <f>IF(LEFT(I4535,2)="MV",2*N4535*IF(L4535="1/C",O4535,1),0)</f>
        <v/>
      </c>
      <c r="Y4535" s="12">
        <f>IF(OR(LEFT(K4535,4)="LVAX",LEFT(K4535,6)="MV15AX",LEFT(K4535,4)="CTAX",LEFT(K4535,2)="W|"),2*N4535*O4535,0)</f>
        <v/>
      </c>
      <c r="Z4535" s="12" t="inlineStr"/>
      <c r="AA4535" s="12">
        <f>N4535*O4535</f>
        <v/>
      </c>
    </row>
    <row r="4536">
      <c r="A4536" s="12" t="inlineStr">
        <is>
          <t>I-I-0178</t>
        </is>
      </c>
      <c r="B4536" s="12" t="inlineStr">
        <is>
          <t>I</t>
        </is>
      </c>
      <c r="C4536" s="12" t="inlineStr">
        <is>
          <t>Modular / portable power</t>
        </is>
      </c>
      <c r="D4536" s="12" t="inlineStr">
        <is>
          <t>Analog instrument to JB JB-RICE 3 radiators (-AI01: 5 x 1 pr (field cables)</t>
        </is>
      </c>
      <c r="E4536" s="12" t="inlineStr"/>
      <c r="F4536" s="12" t="inlineStr">
        <is>
          <t>RICE 3 radiators (5)</t>
        </is>
      </c>
      <c r="G4536" s="12" t="inlineStr">
        <is>
          <t>JB-RICE 3 radiators (-AI01</t>
        </is>
      </c>
      <c r="H4536" s="12" t="inlineStr">
        <is>
          <t>RICE 3 radiators (5)</t>
        </is>
      </c>
      <c r="I4536" s="12" t="inlineStr">
        <is>
          <t>Instrumentation</t>
        </is>
      </c>
      <c r="J4536" s="12" t="inlineStr">
        <is>
          <t>Instrumentation PLTC / TC-ER 300 V, #18 twisted shielded pairs, overall shield</t>
        </is>
      </c>
      <c r="K4536" s="12" t="inlineStr">
        <is>
          <t>PLTC|1 pr|16</t>
        </is>
      </c>
      <c r="L4536" s="12" t="inlineStr">
        <is>
          <t>1 pr</t>
        </is>
      </c>
      <c r="M4536" s="12" t="inlineStr">
        <is>
          <t>16</t>
        </is>
      </c>
      <c r="N4536" s="12" t="n">
        <v>5</v>
      </c>
      <c r="O4536" s="12" t="n">
        <v>1</v>
      </c>
      <c r="P4536" s="12" t="n"/>
      <c r="Q4536" s="12" t="n"/>
      <c r="R4536" s="12" t="n"/>
      <c r="S4536" s="12" t="inlineStr">
        <is>
          <t>Tray / conduit</t>
        </is>
      </c>
      <c r="T4536" s="16" t="n">
        <v>80</v>
      </c>
      <c r="U4536" s="16" t="n">
        <v>10</v>
      </c>
      <c r="V4536" s="16">
        <f>ROUNDUP((T4536+U4536+2*'Read Me'!$B$13)*(1+'Read Me'!$B$12),-1)</f>
        <v/>
      </c>
      <c r="W4536" s="16">
        <f>V4536*N4536*O4536</f>
        <v/>
      </c>
      <c r="X4536" s="12">
        <f>IF(LEFT(I4536,2)="MV",2*N4536*IF(L4536="1/C",O4536,1),0)</f>
        <v/>
      </c>
      <c r="Y4536" s="12">
        <f>IF(OR(LEFT(K4536,4)="LVAX",LEFT(K4536,6)="MV15AX",LEFT(K4536,4)="CTAX",LEFT(K4536,2)="W|"),2*N4536*O4536,0)</f>
        <v/>
      </c>
      <c r="Z4536" s="12" t="inlineStr">
        <is>
          <t>device-to-JB field wiring, one cable per device</t>
        </is>
      </c>
      <c r="AA4536" s="12">
        <f>N4536*O4536</f>
        <v/>
      </c>
    </row>
    <row r="4537">
      <c r="A4537" s="12" t="inlineStr">
        <is>
          <t>I-I-0179</t>
        </is>
      </c>
      <c r="B4537" s="12" t="inlineStr">
        <is>
          <t>I</t>
        </is>
      </c>
      <c r="C4537" s="12" t="inlineStr">
        <is>
          <t>Modular / portable power</t>
        </is>
      </c>
      <c r="D4537" s="12" t="inlineStr">
        <is>
          <t>Home run JB-RICE 3 radiators (-AI01 to the control / marshalling room</t>
        </is>
      </c>
      <c r="E4537" s="12" t="inlineStr"/>
      <c r="F4537" s="12" t="inlineStr">
        <is>
          <t>PCM: power control module</t>
        </is>
      </c>
      <c r="G4537" s="12" t="inlineStr">
        <is>
          <t>JB-RICE 3 radiators (-AI01</t>
        </is>
      </c>
      <c r="H4537" s="12" t="inlineStr">
        <is>
          <t>RICE 3 radiators (5)</t>
        </is>
      </c>
      <c r="I4537" s="12" t="inlineStr">
        <is>
          <t>Instrumentation</t>
        </is>
      </c>
      <c r="J4537" s="12" t="inlineStr">
        <is>
          <t>Instrumentation PLTC / TC-ER 300 V, #18 twisted shielded pairs, overall shield</t>
        </is>
      </c>
      <c r="K4537" s="12" t="inlineStr">
        <is>
          <t>PLTC|24 pr|18</t>
        </is>
      </c>
      <c r="L4537" s="12" t="inlineStr">
        <is>
          <t>24 pr</t>
        </is>
      </c>
      <c r="M4537" s="12" t="inlineStr">
        <is>
          <t>18</t>
        </is>
      </c>
      <c r="N4537" s="12" t="n">
        <v>1</v>
      </c>
      <c r="O4537" s="12" t="n">
        <v>1</v>
      </c>
      <c r="P4537" s="12" t="n"/>
      <c r="Q4537" s="12" t="n"/>
      <c r="R4537" s="12" t="n"/>
      <c r="S4537" s="12" t="inlineStr">
        <is>
          <t>Tray</t>
        </is>
      </c>
      <c r="T4537" s="16" t="n">
        <v>32</v>
      </c>
      <c r="U4537" s="16" t="n">
        <v>232</v>
      </c>
      <c r="V4537" s="16">
        <f>ROUNDUP((T4537+U4537+2*'Read Me'!$B$13)*(1+'Read Me'!$B$12),-1)</f>
        <v/>
      </c>
      <c r="W4537" s="16">
        <f>V4537*N4537*O4537</f>
        <v/>
      </c>
      <c r="X4537" s="12">
        <f>IF(LEFT(I4537,2)="MV",2*N4537*IF(L4537="1/C",O4537,1),0)</f>
        <v/>
      </c>
      <c r="Y4537" s="12">
        <f>IF(OR(LEFT(K4537,4)="LVAX",LEFT(K4537,6)="MV15AX",LEFT(K4537,4)="CTAX",LEFT(K4537,2)="W|"),2*N4537*O4537,0)</f>
        <v/>
      </c>
      <c r="Z4537" s="12" t="inlineStr"/>
      <c r="AA4537" s="12">
        <f>N4537*O4537</f>
        <v/>
      </c>
    </row>
    <row r="4538">
      <c r="A4538" s="12" t="inlineStr">
        <is>
          <t>I-I-0180</t>
        </is>
      </c>
      <c r="B4538" s="12" t="inlineStr">
        <is>
          <t>I</t>
        </is>
      </c>
      <c r="C4538" s="12" t="inlineStr">
        <is>
          <t>Modular / portable power</t>
        </is>
      </c>
      <c r="D4538" s="12" t="inlineStr">
        <is>
          <t>Discrete device to JB JB-RICE 3 radiators (-DI01: 10 x 1 pr (field cables)</t>
        </is>
      </c>
      <c r="E4538" s="12" t="inlineStr"/>
      <c r="F4538" s="12" t="inlineStr">
        <is>
          <t>RICE 3 radiators (5)</t>
        </is>
      </c>
      <c r="G4538" s="12" t="inlineStr">
        <is>
          <t>JB-RICE 3 radiators (-DI01</t>
        </is>
      </c>
      <c r="H4538" s="12" t="inlineStr">
        <is>
          <t>RICE 3 radiators (5)</t>
        </is>
      </c>
      <c r="I4538" s="12" t="inlineStr">
        <is>
          <t>Instrumentation</t>
        </is>
      </c>
      <c r="J4538" s="12" t="inlineStr">
        <is>
          <t>Instrumentation PLTC / TC-ER 300 V, #18 twisted shielded pairs, overall shield</t>
        </is>
      </c>
      <c r="K4538" s="12" t="inlineStr">
        <is>
          <t>PLTC|1 pr|16</t>
        </is>
      </c>
      <c r="L4538" s="12" t="inlineStr">
        <is>
          <t>1 pr</t>
        </is>
      </c>
      <c r="M4538" s="12" t="inlineStr">
        <is>
          <t>16</t>
        </is>
      </c>
      <c r="N4538" s="12" t="n">
        <v>10</v>
      </c>
      <c r="O4538" s="12" t="n">
        <v>1</v>
      </c>
      <c r="P4538" s="12" t="n"/>
      <c r="Q4538" s="12" t="n"/>
      <c r="R4538" s="12" t="n"/>
      <c r="S4538" s="12" t="inlineStr">
        <is>
          <t>Tray / conduit</t>
        </is>
      </c>
      <c r="T4538" s="16" t="n">
        <v>80</v>
      </c>
      <c r="U4538" s="16" t="n">
        <v>10</v>
      </c>
      <c r="V4538" s="16">
        <f>ROUNDUP((T4538+U4538+2*'Read Me'!$B$13)*(1+'Read Me'!$B$12),-1)</f>
        <v/>
      </c>
      <c r="W4538" s="16">
        <f>V4538*N4538*O4538</f>
        <v/>
      </c>
      <c r="X4538" s="12">
        <f>IF(LEFT(I4538,2)="MV",2*N4538*IF(L4538="1/C",O4538,1),0)</f>
        <v/>
      </c>
      <c r="Y4538" s="12">
        <f>IF(OR(LEFT(K4538,4)="LVAX",LEFT(K4538,6)="MV15AX",LEFT(K4538,4)="CTAX",LEFT(K4538,2)="W|"),2*N4538*O4538,0)</f>
        <v/>
      </c>
      <c r="Z4538" s="12" t="inlineStr">
        <is>
          <t>device-to-JB field wiring, one cable per device</t>
        </is>
      </c>
      <c r="AA4538" s="12">
        <f>N4538*O4538</f>
        <v/>
      </c>
    </row>
    <row r="4539">
      <c r="A4539" s="12" t="inlineStr">
        <is>
          <t>I-I-0181</t>
        </is>
      </c>
      <c r="B4539" s="12" t="inlineStr">
        <is>
          <t>I</t>
        </is>
      </c>
      <c r="C4539" s="12" t="inlineStr">
        <is>
          <t>Modular / portable power</t>
        </is>
      </c>
      <c r="D4539" s="12" t="inlineStr">
        <is>
          <t>Home run JB-RICE 3 radiators (-DI01 to the control / marshalling room</t>
        </is>
      </c>
      <c r="E4539" s="12" t="inlineStr"/>
      <c r="F4539" s="12" t="inlineStr">
        <is>
          <t>PCM: power control module</t>
        </is>
      </c>
      <c r="G4539" s="12" t="inlineStr">
        <is>
          <t>JB-RICE 3 radiators (-DI01</t>
        </is>
      </c>
      <c r="H4539" s="12" t="inlineStr">
        <is>
          <t>RICE 3 radiators (5)</t>
        </is>
      </c>
      <c r="I4539" s="12" t="inlineStr">
        <is>
          <t>Instrumentation</t>
        </is>
      </c>
      <c r="J4539" s="12" t="inlineStr">
        <is>
          <t>Instrumentation PLTC / TC-ER 300 V, #18 twisted shielded pairs, overall shield</t>
        </is>
      </c>
      <c r="K4539" s="12" t="inlineStr">
        <is>
          <t>PLTC|24 pr|18</t>
        </is>
      </c>
      <c r="L4539" s="12" t="inlineStr">
        <is>
          <t>24 pr</t>
        </is>
      </c>
      <c r="M4539" s="12" t="inlineStr">
        <is>
          <t>18</t>
        </is>
      </c>
      <c r="N4539" s="12" t="n">
        <v>1</v>
      </c>
      <c r="O4539" s="12" t="n">
        <v>1</v>
      </c>
      <c r="P4539" s="12" t="n"/>
      <c r="Q4539" s="12" t="n"/>
      <c r="R4539" s="12" t="n"/>
      <c r="S4539" s="12" t="inlineStr">
        <is>
          <t>Tray</t>
        </is>
      </c>
      <c r="T4539" s="16" t="n">
        <v>32</v>
      </c>
      <c r="U4539" s="16" t="n">
        <v>232</v>
      </c>
      <c r="V4539" s="16">
        <f>ROUNDUP((T4539+U4539+2*'Read Me'!$B$13)*(1+'Read Me'!$B$12),-1)</f>
        <v/>
      </c>
      <c r="W4539" s="16">
        <f>V4539*N4539*O4539</f>
        <v/>
      </c>
      <c r="X4539" s="12">
        <f>IF(LEFT(I4539,2)="MV",2*N4539*IF(L4539="1/C",O4539,1),0)</f>
        <v/>
      </c>
      <c r="Y4539" s="12">
        <f>IF(OR(LEFT(K4539,4)="LVAX",LEFT(K4539,6)="MV15AX",LEFT(K4539,4)="CTAX",LEFT(K4539,2)="W|"),2*N4539*O4539,0)</f>
        <v/>
      </c>
      <c r="Z4539" s="12" t="inlineStr"/>
      <c r="AA4539" s="12">
        <f>N4539*O4539</f>
        <v/>
      </c>
    </row>
    <row r="4540">
      <c r="A4540" s="12" t="inlineStr">
        <is>
          <t>I-I-0182</t>
        </is>
      </c>
      <c r="B4540" s="12" t="inlineStr">
        <is>
          <t>I</t>
        </is>
      </c>
      <c r="C4540" s="12" t="inlineStr">
        <is>
          <t>Modular / portable power</t>
        </is>
      </c>
      <c r="D4540" s="12" t="inlineStr">
        <is>
          <t>Analog instrument to JB JB-RICE 4 SCR + oxida-AI01: 10 x 1 pr (field cables)</t>
        </is>
      </c>
      <c r="E4540" s="12" t="inlineStr"/>
      <c r="F4540" s="12" t="inlineStr">
        <is>
          <t>RICE 4 SCR + oxidation catalyst and stack</t>
        </is>
      </c>
      <c r="G4540" s="12" t="inlineStr">
        <is>
          <t>JB-RICE 4 SCR + oxida-AI01</t>
        </is>
      </c>
      <c r="H4540" s="12" t="inlineStr">
        <is>
          <t>RICE 4 SCR + oxidation catalyst and stack</t>
        </is>
      </c>
      <c r="I4540" s="12" t="inlineStr">
        <is>
          <t>Instrumentation</t>
        </is>
      </c>
      <c r="J4540" s="12" t="inlineStr">
        <is>
          <t>Instrumentation PLTC / TC-ER 300 V, #18 twisted shielded pairs, overall shield</t>
        </is>
      </c>
      <c r="K4540" s="12" t="inlineStr">
        <is>
          <t>PLTC|1 pr|16</t>
        </is>
      </c>
      <c r="L4540" s="12" t="inlineStr">
        <is>
          <t>1 pr</t>
        </is>
      </c>
      <c r="M4540" s="12" t="inlineStr">
        <is>
          <t>16</t>
        </is>
      </c>
      <c r="N4540" s="12" t="n">
        <v>10</v>
      </c>
      <c r="O4540" s="12" t="n">
        <v>1</v>
      </c>
      <c r="P4540" s="12" t="n"/>
      <c r="Q4540" s="12" t="n"/>
      <c r="R4540" s="12" t="n"/>
      <c r="S4540" s="12" t="inlineStr">
        <is>
          <t>Tray / conduit</t>
        </is>
      </c>
      <c r="T4540" s="16" t="n">
        <v>92</v>
      </c>
      <c r="U4540" s="16" t="n">
        <v>10</v>
      </c>
      <c r="V4540" s="16">
        <f>ROUNDUP((T4540+U4540+2*'Read Me'!$B$13)*(1+'Read Me'!$B$12),-1)</f>
        <v/>
      </c>
      <c r="W4540" s="16">
        <f>V4540*N4540*O4540</f>
        <v/>
      </c>
      <c r="X4540" s="12">
        <f>IF(LEFT(I4540,2)="MV",2*N4540*IF(L4540="1/C",O4540,1),0)</f>
        <v/>
      </c>
      <c r="Y4540" s="12">
        <f>IF(OR(LEFT(K4540,4)="LVAX",LEFT(K4540,6)="MV15AX",LEFT(K4540,4)="CTAX",LEFT(K4540,2)="W|"),2*N4540*O4540,0)</f>
        <v/>
      </c>
      <c r="Z4540" s="12" t="inlineStr">
        <is>
          <t>device-to-JB field wiring, one cable per device</t>
        </is>
      </c>
      <c r="AA4540" s="12">
        <f>N4540*O4540</f>
        <v/>
      </c>
    </row>
    <row r="4541">
      <c r="A4541" s="12" t="inlineStr">
        <is>
          <t>I-I-0183</t>
        </is>
      </c>
      <c r="B4541" s="12" t="inlineStr">
        <is>
          <t>I</t>
        </is>
      </c>
      <c r="C4541" s="12" t="inlineStr">
        <is>
          <t>Modular / portable power</t>
        </is>
      </c>
      <c r="D4541" s="12" t="inlineStr">
        <is>
          <t>Home run JB-RICE 4 SCR + oxida-AI01 to the control / marshalling room</t>
        </is>
      </c>
      <c r="E4541" s="12" t="inlineStr"/>
      <c r="F4541" s="12" t="inlineStr">
        <is>
          <t>PCM: power control module</t>
        </is>
      </c>
      <c r="G4541" s="12" t="inlineStr">
        <is>
          <t>JB-RICE 4 SCR + oxida-AI01</t>
        </is>
      </c>
      <c r="H4541" s="12" t="inlineStr">
        <is>
          <t>RICE 4 SCR + oxidation catalyst and stack</t>
        </is>
      </c>
      <c r="I4541" s="12" t="inlineStr">
        <is>
          <t>Instrumentation</t>
        </is>
      </c>
      <c r="J4541" s="12" t="inlineStr">
        <is>
          <t>Instrumentation PLTC / TC-ER 300 V, #18 twisted shielded pairs, overall shield</t>
        </is>
      </c>
      <c r="K4541" s="12" t="inlineStr">
        <is>
          <t>PLTC|24 pr|18</t>
        </is>
      </c>
      <c r="L4541" s="12" t="inlineStr">
        <is>
          <t>24 pr</t>
        </is>
      </c>
      <c r="M4541" s="12" t="inlineStr">
        <is>
          <t>18</t>
        </is>
      </c>
      <c r="N4541" s="12" t="n">
        <v>1</v>
      </c>
      <c r="O4541" s="12" t="n">
        <v>1</v>
      </c>
      <c r="P4541" s="12" t="n"/>
      <c r="Q4541" s="12" t="n"/>
      <c r="R4541" s="12" t="n"/>
      <c r="S4541" s="12" t="inlineStr">
        <is>
          <t>Duct bank</t>
        </is>
      </c>
      <c r="T4541" s="16" t="n">
        <v>470</v>
      </c>
      <c r="U4541" s="16" t="n">
        <v>76</v>
      </c>
      <c r="V4541" s="16">
        <f>ROUNDUP((T4541+U4541+2*'Read Me'!$B$13)*(1+'Read Me'!$B$12),-1)</f>
        <v/>
      </c>
      <c r="W4541" s="16">
        <f>V4541*N4541*O4541</f>
        <v/>
      </c>
      <c r="X4541" s="12">
        <f>IF(LEFT(I4541,2)="MV",2*N4541*IF(L4541="1/C",O4541,1),0)</f>
        <v/>
      </c>
      <c r="Y4541" s="12">
        <f>IF(OR(LEFT(K4541,4)="LVAX",LEFT(K4541,6)="MV15AX",LEFT(K4541,4)="CTAX",LEFT(K4541,2)="W|"),2*N4541*O4541,0)</f>
        <v/>
      </c>
      <c r="Z4541" s="12" t="inlineStr"/>
      <c r="AA4541" s="12">
        <f>N4541*O4541</f>
        <v/>
      </c>
    </row>
    <row r="4542">
      <c r="A4542" s="12" t="inlineStr">
        <is>
          <t>I-I-0184</t>
        </is>
      </c>
      <c r="B4542" s="12" t="inlineStr">
        <is>
          <t>I</t>
        </is>
      </c>
      <c r="C4542" s="12" t="inlineStr">
        <is>
          <t>Modular / portable power</t>
        </is>
      </c>
      <c r="D4542" s="12" t="inlineStr">
        <is>
          <t>Discrete device to JB JB-RICE 4 SCR + oxida-DI01: 6 x 1 pr (field cables)</t>
        </is>
      </c>
      <c r="E4542" s="12" t="inlineStr"/>
      <c r="F4542" s="12" t="inlineStr">
        <is>
          <t>RICE 4 SCR + oxidation catalyst and stack</t>
        </is>
      </c>
      <c r="G4542" s="12" t="inlineStr">
        <is>
          <t>JB-RICE 4 SCR + oxida-DI01</t>
        </is>
      </c>
      <c r="H4542" s="12" t="inlineStr">
        <is>
          <t>RICE 4 SCR + oxidation catalyst and stack</t>
        </is>
      </c>
      <c r="I4542" s="12" t="inlineStr">
        <is>
          <t>Instrumentation</t>
        </is>
      </c>
      <c r="J4542" s="12" t="inlineStr">
        <is>
          <t>Instrumentation PLTC / TC-ER 300 V, #18 twisted shielded pairs, overall shield</t>
        </is>
      </c>
      <c r="K4542" s="12" t="inlineStr">
        <is>
          <t>PLTC|1 pr|16</t>
        </is>
      </c>
      <c r="L4542" s="12" t="inlineStr">
        <is>
          <t>1 pr</t>
        </is>
      </c>
      <c r="M4542" s="12" t="inlineStr">
        <is>
          <t>16</t>
        </is>
      </c>
      <c r="N4542" s="12" t="n">
        <v>6</v>
      </c>
      <c r="O4542" s="12" t="n">
        <v>1</v>
      </c>
      <c r="P4542" s="12" t="n"/>
      <c r="Q4542" s="12" t="n"/>
      <c r="R4542" s="12" t="n"/>
      <c r="S4542" s="12" t="inlineStr">
        <is>
          <t>Tray / conduit</t>
        </is>
      </c>
      <c r="T4542" s="16" t="n">
        <v>92</v>
      </c>
      <c r="U4542" s="16" t="n">
        <v>10</v>
      </c>
      <c r="V4542" s="16">
        <f>ROUNDUP((T4542+U4542+2*'Read Me'!$B$13)*(1+'Read Me'!$B$12),-1)</f>
        <v/>
      </c>
      <c r="W4542" s="16">
        <f>V4542*N4542*O4542</f>
        <v/>
      </c>
      <c r="X4542" s="12">
        <f>IF(LEFT(I4542,2)="MV",2*N4542*IF(L4542="1/C",O4542,1),0)</f>
        <v/>
      </c>
      <c r="Y4542" s="12">
        <f>IF(OR(LEFT(K4542,4)="LVAX",LEFT(K4542,6)="MV15AX",LEFT(K4542,4)="CTAX",LEFT(K4542,2)="W|"),2*N4542*O4542,0)</f>
        <v/>
      </c>
      <c r="Z4542" s="12" t="inlineStr">
        <is>
          <t>device-to-JB field wiring, one cable per device</t>
        </is>
      </c>
      <c r="AA4542" s="12">
        <f>N4542*O4542</f>
        <v/>
      </c>
    </row>
    <row r="4543">
      <c r="A4543" s="12" t="inlineStr">
        <is>
          <t>I-I-0185</t>
        </is>
      </c>
      <c r="B4543" s="12" t="inlineStr">
        <is>
          <t>I</t>
        </is>
      </c>
      <c r="C4543" s="12" t="inlineStr">
        <is>
          <t>Modular / portable power</t>
        </is>
      </c>
      <c r="D4543" s="12" t="inlineStr">
        <is>
          <t>Home run JB-RICE 4 SCR + oxida-DI01 to the control / marshalling room</t>
        </is>
      </c>
      <c r="E4543" s="12" t="inlineStr"/>
      <c r="F4543" s="12" t="inlineStr">
        <is>
          <t>PCM: power control module</t>
        </is>
      </c>
      <c r="G4543" s="12" t="inlineStr">
        <is>
          <t>JB-RICE 4 SCR + oxida-DI01</t>
        </is>
      </c>
      <c r="H4543" s="12" t="inlineStr">
        <is>
          <t>RICE 4 SCR + oxidation catalyst and stack</t>
        </is>
      </c>
      <c r="I4543" s="12" t="inlineStr">
        <is>
          <t>Instrumentation</t>
        </is>
      </c>
      <c r="J4543" s="12" t="inlineStr">
        <is>
          <t>Instrumentation PLTC / TC-ER 300 V, #18 twisted shielded pairs, overall shield</t>
        </is>
      </c>
      <c r="K4543" s="12" t="inlineStr">
        <is>
          <t>PLTC|24 pr|18</t>
        </is>
      </c>
      <c r="L4543" s="12" t="inlineStr">
        <is>
          <t>24 pr</t>
        </is>
      </c>
      <c r="M4543" s="12" t="inlineStr">
        <is>
          <t>18</t>
        </is>
      </c>
      <c r="N4543" s="12" t="n">
        <v>1</v>
      </c>
      <c r="O4543" s="12" t="n">
        <v>1</v>
      </c>
      <c r="P4543" s="12" t="n"/>
      <c r="Q4543" s="12" t="n"/>
      <c r="R4543" s="12" t="n"/>
      <c r="S4543" s="12" t="inlineStr">
        <is>
          <t>Duct bank</t>
        </is>
      </c>
      <c r="T4543" s="16" t="n">
        <v>470</v>
      </c>
      <c r="U4543" s="16" t="n">
        <v>76</v>
      </c>
      <c r="V4543" s="16">
        <f>ROUNDUP((T4543+U4543+2*'Read Me'!$B$13)*(1+'Read Me'!$B$12),-1)</f>
        <v/>
      </c>
      <c r="W4543" s="16">
        <f>V4543*N4543*O4543</f>
        <v/>
      </c>
      <c r="X4543" s="12">
        <f>IF(LEFT(I4543,2)="MV",2*N4543*IF(L4543="1/C",O4543,1),0)</f>
        <v/>
      </c>
      <c r="Y4543" s="12">
        <f>IF(OR(LEFT(K4543,4)="LVAX",LEFT(K4543,6)="MV15AX",LEFT(K4543,4)="CTAX",LEFT(K4543,2)="W|"),2*N4543*O4543,0)</f>
        <v/>
      </c>
      <c r="Z4543" s="12" t="inlineStr"/>
      <c r="AA4543" s="12">
        <f>N4543*O4543</f>
        <v/>
      </c>
    </row>
    <row r="4544">
      <c r="A4544" s="12" t="inlineStr">
        <is>
          <t>I-I-0186</t>
        </is>
      </c>
      <c r="B4544" s="12" t="inlineStr">
        <is>
          <t>I</t>
        </is>
      </c>
      <c r="C4544" s="12" t="inlineStr">
        <is>
          <t>Modular / portable power</t>
        </is>
      </c>
      <c r="D4544" s="12" t="inlineStr">
        <is>
          <t>Analog instrument to JB JB-RICE 4 radiators (-AI01: 5 x 1 pr (field cables)</t>
        </is>
      </c>
      <c r="E4544" s="12" t="inlineStr"/>
      <c r="F4544" s="12" t="inlineStr">
        <is>
          <t>RICE 4 radiators (5)</t>
        </is>
      </c>
      <c r="G4544" s="12" t="inlineStr">
        <is>
          <t>JB-RICE 4 radiators (-AI01</t>
        </is>
      </c>
      <c r="H4544" s="12" t="inlineStr">
        <is>
          <t>RICE 4 radiators (5)</t>
        </is>
      </c>
      <c r="I4544" s="12" t="inlineStr">
        <is>
          <t>Instrumentation</t>
        </is>
      </c>
      <c r="J4544" s="12" t="inlineStr">
        <is>
          <t>Instrumentation PLTC / TC-ER 300 V, #18 twisted shielded pairs, overall shield</t>
        </is>
      </c>
      <c r="K4544" s="12" t="inlineStr">
        <is>
          <t>PLTC|1 pr|16</t>
        </is>
      </c>
      <c r="L4544" s="12" t="inlineStr">
        <is>
          <t>1 pr</t>
        </is>
      </c>
      <c r="M4544" s="12" t="inlineStr">
        <is>
          <t>16</t>
        </is>
      </c>
      <c r="N4544" s="12" t="n">
        <v>5</v>
      </c>
      <c r="O4544" s="12" t="n">
        <v>1</v>
      </c>
      <c r="P4544" s="12" t="n"/>
      <c r="Q4544" s="12" t="n"/>
      <c r="R4544" s="12" t="n"/>
      <c r="S4544" s="12" t="inlineStr">
        <is>
          <t>Tray / conduit</t>
        </is>
      </c>
      <c r="T4544" s="16" t="n">
        <v>80</v>
      </c>
      <c r="U4544" s="16" t="n">
        <v>10</v>
      </c>
      <c r="V4544" s="16">
        <f>ROUNDUP((T4544+U4544+2*'Read Me'!$B$13)*(1+'Read Me'!$B$12),-1)</f>
        <v/>
      </c>
      <c r="W4544" s="16">
        <f>V4544*N4544*O4544</f>
        <v/>
      </c>
      <c r="X4544" s="12">
        <f>IF(LEFT(I4544,2)="MV",2*N4544*IF(L4544="1/C",O4544,1),0)</f>
        <v/>
      </c>
      <c r="Y4544" s="12">
        <f>IF(OR(LEFT(K4544,4)="LVAX",LEFT(K4544,6)="MV15AX",LEFT(K4544,4)="CTAX",LEFT(K4544,2)="W|"),2*N4544*O4544,0)</f>
        <v/>
      </c>
      <c r="Z4544" s="12" t="inlineStr">
        <is>
          <t>device-to-JB field wiring, one cable per device</t>
        </is>
      </c>
      <c r="AA4544" s="12">
        <f>N4544*O4544</f>
        <v/>
      </c>
    </row>
    <row r="4545">
      <c r="A4545" s="12" t="inlineStr">
        <is>
          <t>I-I-0187</t>
        </is>
      </c>
      <c r="B4545" s="12" t="inlineStr">
        <is>
          <t>I</t>
        </is>
      </c>
      <c r="C4545" s="12" t="inlineStr">
        <is>
          <t>Modular / portable power</t>
        </is>
      </c>
      <c r="D4545" s="12" t="inlineStr">
        <is>
          <t>Home run JB-RICE 4 radiators (-AI01 to the control / marshalling room</t>
        </is>
      </c>
      <c r="E4545" s="12" t="inlineStr"/>
      <c r="F4545" s="12" t="inlineStr">
        <is>
          <t>PCM: power control module</t>
        </is>
      </c>
      <c r="G4545" s="12" t="inlineStr">
        <is>
          <t>JB-RICE 4 radiators (-AI01</t>
        </is>
      </c>
      <c r="H4545" s="12" t="inlineStr">
        <is>
          <t>RICE 4 radiators (5)</t>
        </is>
      </c>
      <c r="I4545" s="12" t="inlineStr">
        <is>
          <t>Instrumentation</t>
        </is>
      </c>
      <c r="J4545" s="12" t="inlineStr">
        <is>
          <t>Instrumentation PLTC / TC-ER 300 V, #18 twisted shielded pairs, overall shield</t>
        </is>
      </c>
      <c r="K4545" s="12" t="inlineStr">
        <is>
          <t>PLTC|24 pr|18</t>
        </is>
      </c>
      <c r="L4545" s="12" t="inlineStr">
        <is>
          <t>24 pr</t>
        </is>
      </c>
      <c r="M4545" s="12" t="inlineStr">
        <is>
          <t>18</t>
        </is>
      </c>
      <c r="N4545" s="12" t="n">
        <v>1</v>
      </c>
      <c r="O4545" s="12" t="n">
        <v>1</v>
      </c>
      <c r="P4545" s="12" t="n"/>
      <c r="Q4545" s="12" t="n"/>
      <c r="R4545" s="12" t="n"/>
      <c r="S4545" s="12" t="inlineStr">
        <is>
          <t>Tray</t>
        </is>
      </c>
      <c r="T4545" s="16" t="n">
        <v>0</v>
      </c>
      <c r="U4545" s="16" t="n">
        <v>206</v>
      </c>
      <c r="V4545" s="16">
        <f>ROUNDUP((T4545+U4545+2*'Read Me'!$B$13)*(1+'Read Me'!$B$12),-1)</f>
        <v/>
      </c>
      <c r="W4545" s="16">
        <f>V4545*N4545*O4545</f>
        <v/>
      </c>
      <c r="X4545" s="12">
        <f>IF(LEFT(I4545,2)="MV",2*N4545*IF(L4545="1/C",O4545,1),0)</f>
        <v/>
      </c>
      <c r="Y4545" s="12">
        <f>IF(OR(LEFT(K4545,4)="LVAX",LEFT(K4545,6)="MV15AX",LEFT(K4545,4)="CTAX",LEFT(K4545,2)="W|"),2*N4545*O4545,0)</f>
        <v/>
      </c>
      <c r="Z4545" s="12" t="inlineStr"/>
      <c r="AA4545" s="12">
        <f>N4545*O4545</f>
        <v/>
      </c>
    </row>
    <row r="4546">
      <c r="A4546" s="12" t="inlineStr">
        <is>
          <t>I-I-0188</t>
        </is>
      </c>
      <c r="B4546" s="12" t="inlineStr">
        <is>
          <t>I</t>
        </is>
      </c>
      <c r="C4546" s="12" t="inlineStr">
        <is>
          <t>Modular / portable power</t>
        </is>
      </c>
      <c r="D4546" s="12" t="inlineStr">
        <is>
          <t>Discrete device to JB JB-RICE 4 radiators (-DI01: 10 x 1 pr (field cables)</t>
        </is>
      </c>
      <c r="E4546" s="12" t="inlineStr"/>
      <c r="F4546" s="12" t="inlineStr">
        <is>
          <t>RICE 4 radiators (5)</t>
        </is>
      </c>
      <c r="G4546" s="12" t="inlineStr">
        <is>
          <t>JB-RICE 4 radiators (-DI01</t>
        </is>
      </c>
      <c r="H4546" s="12" t="inlineStr">
        <is>
          <t>RICE 4 radiators (5)</t>
        </is>
      </c>
      <c r="I4546" s="12" t="inlineStr">
        <is>
          <t>Instrumentation</t>
        </is>
      </c>
      <c r="J4546" s="12" t="inlineStr">
        <is>
          <t>Instrumentation PLTC / TC-ER 300 V, #18 twisted shielded pairs, overall shield</t>
        </is>
      </c>
      <c r="K4546" s="12" t="inlineStr">
        <is>
          <t>PLTC|1 pr|16</t>
        </is>
      </c>
      <c r="L4546" s="12" t="inlineStr">
        <is>
          <t>1 pr</t>
        </is>
      </c>
      <c r="M4546" s="12" t="inlineStr">
        <is>
          <t>16</t>
        </is>
      </c>
      <c r="N4546" s="12" t="n">
        <v>10</v>
      </c>
      <c r="O4546" s="12" t="n">
        <v>1</v>
      </c>
      <c r="P4546" s="12" t="n"/>
      <c r="Q4546" s="12" t="n"/>
      <c r="R4546" s="12" t="n"/>
      <c r="S4546" s="12" t="inlineStr">
        <is>
          <t>Tray / conduit</t>
        </is>
      </c>
      <c r="T4546" s="16" t="n">
        <v>80</v>
      </c>
      <c r="U4546" s="16" t="n">
        <v>10</v>
      </c>
      <c r="V4546" s="16">
        <f>ROUNDUP((T4546+U4546+2*'Read Me'!$B$13)*(1+'Read Me'!$B$12),-1)</f>
        <v/>
      </c>
      <c r="W4546" s="16">
        <f>V4546*N4546*O4546</f>
        <v/>
      </c>
      <c r="X4546" s="12">
        <f>IF(LEFT(I4546,2)="MV",2*N4546*IF(L4546="1/C",O4546,1),0)</f>
        <v/>
      </c>
      <c r="Y4546" s="12">
        <f>IF(OR(LEFT(K4546,4)="LVAX",LEFT(K4546,6)="MV15AX",LEFT(K4546,4)="CTAX",LEFT(K4546,2)="W|"),2*N4546*O4546,0)</f>
        <v/>
      </c>
      <c r="Z4546" s="12" t="inlineStr">
        <is>
          <t>device-to-JB field wiring, one cable per device</t>
        </is>
      </c>
      <c r="AA4546" s="12">
        <f>N4546*O4546</f>
        <v/>
      </c>
    </row>
    <row r="4547">
      <c r="A4547" s="12" t="inlineStr">
        <is>
          <t>I-I-0189</t>
        </is>
      </c>
      <c r="B4547" s="12" t="inlineStr">
        <is>
          <t>I</t>
        </is>
      </c>
      <c r="C4547" s="12" t="inlineStr">
        <is>
          <t>Modular / portable power</t>
        </is>
      </c>
      <c r="D4547" s="12" t="inlineStr">
        <is>
          <t>Home run JB-RICE 4 radiators (-DI01 to the control / marshalling room</t>
        </is>
      </c>
      <c r="E4547" s="12" t="inlineStr"/>
      <c r="F4547" s="12" t="inlineStr">
        <is>
          <t>PCM: power control module</t>
        </is>
      </c>
      <c r="G4547" s="12" t="inlineStr">
        <is>
          <t>JB-RICE 4 radiators (-DI01</t>
        </is>
      </c>
      <c r="H4547" s="12" t="inlineStr">
        <is>
          <t>RICE 4 radiators (5)</t>
        </is>
      </c>
      <c r="I4547" s="12" t="inlineStr">
        <is>
          <t>Instrumentation</t>
        </is>
      </c>
      <c r="J4547" s="12" t="inlineStr">
        <is>
          <t>Instrumentation PLTC / TC-ER 300 V, #18 twisted shielded pairs, overall shield</t>
        </is>
      </c>
      <c r="K4547" s="12" t="inlineStr">
        <is>
          <t>PLTC|24 pr|18</t>
        </is>
      </c>
      <c r="L4547" s="12" t="inlineStr">
        <is>
          <t>24 pr</t>
        </is>
      </c>
      <c r="M4547" s="12" t="inlineStr">
        <is>
          <t>18</t>
        </is>
      </c>
      <c r="N4547" s="12" t="n">
        <v>1</v>
      </c>
      <c r="O4547" s="12" t="n">
        <v>1</v>
      </c>
      <c r="P4547" s="12" t="n"/>
      <c r="Q4547" s="12" t="n"/>
      <c r="R4547" s="12" t="n"/>
      <c r="S4547" s="12" t="inlineStr">
        <is>
          <t>Tray</t>
        </is>
      </c>
      <c r="T4547" s="16" t="n">
        <v>0</v>
      </c>
      <c r="U4547" s="16" t="n">
        <v>206</v>
      </c>
      <c r="V4547" s="16">
        <f>ROUNDUP((T4547+U4547+2*'Read Me'!$B$13)*(1+'Read Me'!$B$12),-1)</f>
        <v/>
      </c>
      <c r="W4547" s="16">
        <f>V4547*N4547*O4547</f>
        <v/>
      </c>
      <c r="X4547" s="12">
        <f>IF(LEFT(I4547,2)="MV",2*N4547*IF(L4547="1/C",O4547,1),0)</f>
        <v/>
      </c>
      <c r="Y4547" s="12">
        <f>IF(OR(LEFT(K4547,4)="LVAX",LEFT(K4547,6)="MV15AX",LEFT(K4547,4)="CTAX",LEFT(K4547,2)="W|"),2*N4547*O4547,0)</f>
        <v/>
      </c>
      <c r="Z4547" s="12" t="inlineStr"/>
      <c r="AA4547" s="12">
        <f>N4547*O4547</f>
        <v/>
      </c>
    </row>
    <row r="4548">
      <c r="A4548" s="12" t="inlineStr">
        <is>
          <t>I-I-0190</t>
        </is>
      </c>
      <c r="B4548" s="12" t="inlineStr">
        <is>
          <t>I</t>
        </is>
      </c>
      <c r="C4548" s="12" t="inlineStr">
        <is>
          <t>Modular / portable power</t>
        </is>
      </c>
      <c r="D4548" s="12" t="inlineStr">
        <is>
          <t>Analog instrument to JB JB-RICE 5 SCR + oxida-AI01: 10 x 1 pr (field cables)</t>
        </is>
      </c>
      <c r="E4548" s="12" t="inlineStr"/>
      <c r="F4548" s="12" t="inlineStr">
        <is>
          <t>RICE 5 SCR + oxidation catalyst and stack</t>
        </is>
      </c>
      <c r="G4548" s="12" t="inlineStr">
        <is>
          <t>JB-RICE 5 SCR + oxida-AI01</t>
        </is>
      </c>
      <c r="H4548" s="12" t="inlineStr">
        <is>
          <t>RICE 5 SCR + oxidation catalyst and stack</t>
        </is>
      </c>
      <c r="I4548" s="12" t="inlineStr">
        <is>
          <t>Instrumentation</t>
        </is>
      </c>
      <c r="J4548" s="12" t="inlineStr">
        <is>
          <t>Instrumentation PLTC / TC-ER 300 V, #18 twisted shielded pairs, overall shield</t>
        </is>
      </c>
      <c r="K4548" s="12" t="inlineStr">
        <is>
          <t>PLTC|1 pr|16</t>
        </is>
      </c>
      <c r="L4548" s="12" t="inlineStr">
        <is>
          <t>1 pr</t>
        </is>
      </c>
      <c r="M4548" s="12" t="inlineStr">
        <is>
          <t>16</t>
        </is>
      </c>
      <c r="N4548" s="12" t="n">
        <v>10</v>
      </c>
      <c r="O4548" s="12" t="n">
        <v>1</v>
      </c>
      <c r="P4548" s="12" t="n"/>
      <c r="Q4548" s="12" t="n"/>
      <c r="R4548" s="12" t="n"/>
      <c r="S4548" s="12" t="inlineStr">
        <is>
          <t>Tray / conduit</t>
        </is>
      </c>
      <c r="T4548" s="16" t="n">
        <v>92</v>
      </c>
      <c r="U4548" s="16" t="n">
        <v>10</v>
      </c>
      <c r="V4548" s="16">
        <f>ROUNDUP((T4548+U4548+2*'Read Me'!$B$13)*(1+'Read Me'!$B$12),-1)</f>
        <v/>
      </c>
      <c r="W4548" s="16">
        <f>V4548*N4548*O4548</f>
        <v/>
      </c>
      <c r="X4548" s="12">
        <f>IF(LEFT(I4548,2)="MV",2*N4548*IF(L4548="1/C",O4548,1),0)</f>
        <v/>
      </c>
      <c r="Y4548" s="12">
        <f>IF(OR(LEFT(K4548,4)="LVAX",LEFT(K4548,6)="MV15AX",LEFT(K4548,4)="CTAX",LEFT(K4548,2)="W|"),2*N4548*O4548,0)</f>
        <v/>
      </c>
      <c r="Z4548" s="12" t="inlineStr">
        <is>
          <t>device-to-JB field wiring, one cable per device</t>
        </is>
      </c>
      <c r="AA4548" s="12">
        <f>N4548*O4548</f>
        <v/>
      </c>
    </row>
    <row r="4549">
      <c r="A4549" s="12" t="inlineStr">
        <is>
          <t>I-I-0191</t>
        </is>
      </c>
      <c r="B4549" s="12" t="inlineStr">
        <is>
          <t>I</t>
        </is>
      </c>
      <c r="C4549" s="12" t="inlineStr">
        <is>
          <t>Modular / portable power</t>
        </is>
      </c>
      <c r="D4549" s="12" t="inlineStr">
        <is>
          <t>Home run JB-RICE 5 SCR + oxida-AI01 to the control / marshalling room</t>
        </is>
      </c>
      <c r="E4549" s="12" t="inlineStr"/>
      <c r="F4549" s="12" t="inlineStr">
        <is>
          <t>PCM: power control module</t>
        </is>
      </c>
      <c r="G4549" s="12" t="inlineStr">
        <is>
          <t>JB-RICE 5 SCR + oxida-AI01</t>
        </is>
      </c>
      <c r="H4549" s="12" t="inlineStr">
        <is>
          <t>RICE 5 SCR + oxidation catalyst and stack</t>
        </is>
      </c>
      <c r="I4549" s="12" t="inlineStr">
        <is>
          <t>Instrumentation</t>
        </is>
      </c>
      <c r="J4549" s="12" t="inlineStr">
        <is>
          <t>Instrumentation PLTC / TC-ER 300 V, #18 twisted shielded pairs, overall shield</t>
        </is>
      </c>
      <c r="K4549" s="12" t="inlineStr">
        <is>
          <t>PLTC|24 pr|18</t>
        </is>
      </c>
      <c r="L4549" s="12" t="inlineStr">
        <is>
          <t>24 pr</t>
        </is>
      </c>
      <c r="M4549" s="12" t="inlineStr">
        <is>
          <t>18</t>
        </is>
      </c>
      <c r="N4549" s="12" t="n">
        <v>1</v>
      </c>
      <c r="O4549" s="12" t="n">
        <v>1</v>
      </c>
      <c r="P4549" s="12" t="n"/>
      <c r="Q4549" s="12" t="n"/>
      <c r="R4549" s="12" t="n"/>
      <c r="S4549" s="12" t="inlineStr">
        <is>
          <t>Duct bank</t>
        </is>
      </c>
      <c r="T4549" s="16" t="n">
        <v>322</v>
      </c>
      <c r="U4549" s="16" t="n">
        <v>196</v>
      </c>
      <c r="V4549" s="16">
        <f>ROUNDUP((T4549+U4549+2*'Read Me'!$B$13)*(1+'Read Me'!$B$12),-1)</f>
        <v/>
      </c>
      <c r="W4549" s="16">
        <f>V4549*N4549*O4549</f>
        <v/>
      </c>
      <c r="X4549" s="12">
        <f>IF(LEFT(I4549,2)="MV",2*N4549*IF(L4549="1/C",O4549,1),0)</f>
        <v/>
      </c>
      <c r="Y4549" s="12">
        <f>IF(OR(LEFT(K4549,4)="LVAX",LEFT(K4549,6)="MV15AX",LEFT(K4549,4)="CTAX",LEFT(K4549,2)="W|"),2*N4549*O4549,0)</f>
        <v/>
      </c>
      <c r="Z4549" s="12" t="inlineStr"/>
      <c r="AA4549" s="12">
        <f>N4549*O4549</f>
        <v/>
      </c>
    </row>
    <row r="4550">
      <c r="A4550" s="12" t="inlineStr">
        <is>
          <t>I-I-0192</t>
        </is>
      </c>
      <c r="B4550" s="12" t="inlineStr">
        <is>
          <t>I</t>
        </is>
      </c>
      <c r="C4550" s="12" t="inlineStr">
        <is>
          <t>Modular / portable power</t>
        </is>
      </c>
      <c r="D4550" s="12" t="inlineStr">
        <is>
          <t>Discrete device to JB JB-RICE 5 SCR + oxida-DI01: 6 x 1 pr (field cables)</t>
        </is>
      </c>
      <c r="E4550" s="12" t="inlineStr"/>
      <c r="F4550" s="12" t="inlineStr">
        <is>
          <t>RICE 5 SCR + oxidation catalyst and stack</t>
        </is>
      </c>
      <c r="G4550" s="12" t="inlineStr">
        <is>
          <t>JB-RICE 5 SCR + oxida-DI01</t>
        </is>
      </c>
      <c r="H4550" s="12" t="inlineStr">
        <is>
          <t>RICE 5 SCR + oxidation catalyst and stack</t>
        </is>
      </c>
      <c r="I4550" s="12" t="inlineStr">
        <is>
          <t>Instrumentation</t>
        </is>
      </c>
      <c r="J4550" s="12" t="inlineStr">
        <is>
          <t>Instrumentation PLTC / TC-ER 300 V, #18 twisted shielded pairs, overall shield</t>
        </is>
      </c>
      <c r="K4550" s="12" t="inlineStr">
        <is>
          <t>PLTC|1 pr|16</t>
        </is>
      </c>
      <c r="L4550" s="12" t="inlineStr">
        <is>
          <t>1 pr</t>
        </is>
      </c>
      <c r="M4550" s="12" t="inlineStr">
        <is>
          <t>16</t>
        </is>
      </c>
      <c r="N4550" s="12" t="n">
        <v>6</v>
      </c>
      <c r="O4550" s="12" t="n">
        <v>1</v>
      </c>
      <c r="P4550" s="12" t="n"/>
      <c r="Q4550" s="12" t="n"/>
      <c r="R4550" s="12" t="n"/>
      <c r="S4550" s="12" t="inlineStr">
        <is>
          <t>Tray / conduit</t>
        </is>
      </c>
      <c r="T4550" s="16" t="n">
        <v>92</v>
      </c>
      <c r="U4550" s="16" t="n">
        <v>10</v>
      </c>
      <c r="V4550" s="16">
        <f>ROUNDUP((T4550+U4550+2*'Read Me'!$B$13)*(1+'Read Me'!$B$12),-1)</f>
        <v/>
      </c>
      <c r="W4550" s="16">
        <f>V4550*N4550*O4550</f>
        <v/>
      </c>
      <c r="X4550" s="12">
        <f>IF(LEFT(I4550,2)="MV",2*N4550*IF(L4550="1/C",O4550,1),0)</f>
        <v/>
      </c>
      <c r="Y4550" s="12">
        <f>IF(OR(LEFT(K4550,4)="LVAX",LEFT(K4550,6)="MV15AX",LEFT(K4550,4)="CTAX",LEFT(K4550,2)="W|"),2*N4550*O4550,0)</f>
        <v/>
      </c>
      <c r="Z4550" s="12" t="inlineStr">
        <is>
          <t>device-to-JB field wiring, one cable per device</t>
        </is>
      </c>
      <c r="AA4550" s="12">
        <f>N4550*O4550</f>
        <v/>
      </c>
    </row>
    <row r="4551">
      <c r="A4551" s="12" t="inlineStr">
        <is>
          <t>I-I-0193</t>
        </is>
      </c>
      <c r="B4551" s="12" t="inlineStr">
        <is>
          <t>I</t>
        </is>
      </c>
      <c r="C4551" s="12" t="inlineStr">
        <is>
          <t>Modular / portable power</t>
        </is>
      </c>
      <c r="D4551" s="12" t="inlineStr">
        <is>
          <t>Home run JB-RICE 5 SCR + oxida-DI01 to the control / marshalling room</t>
        </is>
      </c>
      <c r="E4551" s="12" t="inlineStr"/>
      <c r="F4551" s="12" t="inlineStr">
        <is>
          <t>PCM: power control module</t>
        </is>
      </c>
      <c r="G4551" s="12" t="inlineStr">
        <is>
          <t>JB-RICE 5 SCR + oxida-DI01</t>
        </is>
      </c>
      <c r="H4551" s="12" t="inlineStr">
        <is>
          <t>RICE 5 SCR + oxidation catalyst and stack</t>
        </is>
      </c>
      <c r="I4551" s="12" t="inlineStr">
        <is>
          <t>Instrumentation</t>
        </is>
      </c>
      <c r="J4551" s="12" t="inlineStr">
        <is>
          <t>Instrumentation PLTC / TC-ER 300 V, #18 twisted shielded pairs, overall shield</t>
        </is>
      </c>
      <c r="K4551" s="12" t="inlineStr">
        <is>
          <t>PLTC|24 pr|18</t>
        </is>
      </c>
      <c r="L4551" s="12" t="inlineStr">
        <is>
          <t>24 pr</t>
        </is>
      </c>
      <c r="M4551" s="12" t="inlineStr">
        <is>
          <t>18</t>
        </is>
      </c>
      <c r="N4551" s="12" t="n">
        <v>1</v>
      </c>
      <c r="O4551" s="12" t="n">
        <v>1</v>
      </c>
      <c r="P4551" s="12" t="n"/>
      <c r="Q4551" s="12" t="n"/>
      <c r="R4551" s="12" t="n"/>
      <c r="S4551" s="12" t="inlineStr">
        <is>
          <t>Duct bank</t>
        </is>
      </c>
      <c r="T4551" s="16" t="n">
        <v>322</v>
      </c>
      <c r="U4551" s="16" t="n">
        <v>196</v>
      </c>
      <c r="V4551" s="16">
        <f>ROUNDUP((T4551+U4551+2*'Read Me'!$B$13)*(1+'Read Me'!$B$12),-1)</f>
        <v/>
      </c>
      <c r="W4551" s="16">
        <f>V4551*N4551*O4551</f>
        <v/>
      </c>
      <c r="X4551" s="12">
        <f>IF(LEFT(I4551,2)="MV",2*N4551*IF(L4551="1/C",O4551,1),0)</f>
        <v/>
      </c>
      <c r="Y4551" s="12">
        <f>IF(OR(LEFT(K4551,4)="LVAX",LEFT(K4551,6)="MV15AX",LEFT(K4551,4)="CTAX",LEFT(K4551,2)="W|"),2*N4551*O4551,0)</f>
        <v/>
      </c>
      <c r="Z4551" s="12" t="inlineStr"/>
      <c r="AA4551" s="12">
        <f>N4551*O4551</f>
        <v/>
      </c>
    </row>
    <row r="4552">
      <c r="A4552" s="12" t="inlineStr">
        <is>
          <t>I-I-0194</t>
        </is>
      </c>
      <c r="B4552" s="12" t="inlineStr">
        <is>
          <t>I</t>
        </is>
      </c>
      <c r="C4552" s="12" t="inlineStr">
        <is>
          <t>Modular / portable power</t>
        </is>
      </c>
      <c r="D4552" s="12" t="inlineStr">
        <is>
          <t>Analog instrument to JB JB-RICE 5 radiators (-AI01: 5 x 1 pr (field cables)</t>
        </is>
      </c>
      <c r="E4552" s="12" t="inlineStr"/>
      <c r="F4552" s="12" t="inlineStr">
        <is>
          <t>RICE 5 radiators (5)</t>
        </is>
      </c>
      <c r="G4552" s="12" t="inlineStr">
        <is>
          <t>JB-RICE 5 radiators (-AI01</t>
        </is>
      </c>
      <c r="H4552" s="12" t="inlineStr">
        <is>
          <t>RICE 5 radiators (5)</t>
        </is>
      </c>
      <c r="I4552" s="12" t="inlineStr">
        <is>
          <t>Instrumentation</t>
        </is>
      </c>
      <c r="J4552" s="12" t="inlineStr">
        <is>
          <t>Instrumentation PLTC / TC-ER 300 V, #18 twisted shielded pairs, overall shield</t>
        </is>
      </c>
      <c r="K4552" s="12" t="inlineStr">
        <is>
          <t>PLTC|1 pr|16</t>
        </is>
      </c>
      <c r="L4552" s="12" t="inlineStr">
        <is>
          <t>1 pr</t>
        </is>
      </c>
      <c r="M4552" s="12" t="inlineStr">
        <is>
          <t>16</t>
        </is>
      </c>
      <c r="N4552" s="12" t="n">
        <v>5</v>
      </c>
      <c r="O4552" s="12" t="n">
        <v>1</v>
      </c>
      <c r="P4552" s="12" t="n"/>
      <c r="Q4552" s="12" t="n"/>
      <c r="R4552" s="12" t="n"/>
      <c r="S4552" s="12" t="inlineStr">
        <is>
          <t>Tray / conduit</t>
        </is>
      </c>
      <c r="T4552" s="16" t="n">
        <v>80</v>
      </c>
      <c r="U4552" s="16" t="n">
        <v>10</v>
      </c>
      <c r="V4552" s="16">
        <f>ROUNDUP((T4552+U4552+2*'Read Me'!$B$13)*(1+'Read Me'!$B$12),-1)</f>
        <v/>
      </c>
      <c r="W4552" s="16">
        <f>V4552*N4552*O4552</f>
        <v/>
      </c>
      <c r="X4552" s="12">
        <f>IF(LEFT(I4552,2)="MV",2*N4552*IF(L4552="1/C",O4552,1),0)</f>
        <v/>
      </c>
      <c r="Y4552" s="12">
        <f>IF(OR(LEFT(K4552,4)="LVAX",LEFT(K4552,6)="MV15AX",LEFT(K4552,4)="CTAX",LEFT(K4552,2)="W|"),2*N4552*O4552,0)</f>
        <v/>
      </c>
      <c r="Z4552" s="12" t="inlineStr">
        <is>
          <t>device-to-JB field wiring, one cable per device</t>
        </is>
      </c>
      <c r="AA4552" s="12">
        <f>N4552*O4552</f>
        <v/>
      </c>
    </row>
    <row r="4553">
      <c r="A4553" s="12" t="inlineStr">
        <is>
          <t>I-I-0195</t>
        </is>
      </c>
      <c r="B4553" s="12" t="inlineStr">
        <is>
          <t>I</t>
        </is>
      </c>
      <c r="C4553" s="12" t="inlineStr">
        <is>
          <t>Modular / portable power</t>
        </is>
      </c>
      <c r="D4553" s="12" t="inlineStr">
        <is>
          <t>Home run JB-RICE 5 radiators (-AI01 to the control / marshalling room</t>
        </is>
      </c>
      <c r="E4553" s="12" t="inlineStr"/>
      <c r="F4553" s="12" t="inlineStr">
        <is>
          <t>PCM: power control module</t>
        </is>
      </c>
      <c r="G4553" s="12" t="inlineStr">
        <is>
          <t>JB-RICE 5 radiators (-AI01</t>
        </is>
      </c>
      <c r="H4553" s="12" t="inlineStr">
        <is>
          <t>RICE 5 radiators (5)</t>
        </is>
      </c>
      <c r="I4553" s="12" t="inlineStr">
        <is>
          <t>Instrumentation</t>
        </is>
      </c>
      <c r="J4553" s="12" t="inlineStr">
        <is>
          <t>Instrumentation PLTC / TC-ER 300 V, #18 twisted shielded pairs, overall shield</t>
        </is>
      </c>
      <c r="K4553" s="12" t="inlineStr">
        <is>
          <t>PLTC|24 pr|18</t>
        </is>
      </c>
      <c r="L4553" s="12" t="inlineStr">
        <is>
          <t>24 pr</t>
        </is>
      </c>
      <c r="M4553" s="12" t="inlineStr">
        <is>
          <t>18</t>
        </is>
      </c>
      <c r="N4553" s="12" t="n">
        <v>1</v>
      </c>
      <c r="O4553" s="12" t="n">
        <v>1</v>
      </c>
      <c r="P4553" s="12" t="n"/>
      <c r="Q4553" s="12" t="n"/>
      <c r="R4553" s="12" t="n"/>
      <c r="S4553" s="12" t="inlineStr">
        <is>
          <t>Tray</t>
        </is>
      </c>
      <c r="T4553" s="16" t="n">
        <v>0</v>
      </c>
      <c r="U4553" s="16" t="n">
        <v>178</v>
      </c>
      <c r="V4553" s="16">
        <f>ROUNDUP((T4553+U4553+2*'Read Me'!$B$13)*(1+'Read Me'!$B$12),-1)</f>
        <v/>
      </c>
      <c r="W4553" s="16">
        <f>V4553*N4553*O4553</f>
        <v/>
      </c>
      <c r="X4553" s="12">
        <f>IF(LEFT(I4553,2)="MV",2*N4553*IF(L4553="1/C",O4553,1),0)</f>
        <v/>
      </c>
      <c r="Y4553" s="12">
        <f>IF(OR(LEFT(K4553,4)="LVAX",LEFT(K4553,6)="MV15AX",LEFT(K4553,4)="CTAX",LEFT(K4553,2)="W|"),2*N4553*O4553,0)</f>
        <v/>
      </c>
      <c r="Z4553" s="12" t="inlineStr"/>
      <c r="AA4553" s="12">
        <f>N4553*O4553</f>
        <v/>
      </c>
    </row>
    <row r="4554">
      <c r="A4554" s="12" t="inlineStr">
        <is>
          <t>I-I-0196</t>
        </is>
      </c>
      <c r="B4554" s="12" t="inlineStr">
        <is>
          <t>I</t>
        </is>
      </c>
      <c r="C4554" s="12" t="inlineStr">
        <is>
          <t>Modular / portable power</t>
        </is>
      </c>
      <c r="D4554" s="12" t="inlineStr">
        <is>
          <t>Discrete device to JB JB-RICE 5 radiators (-DI01: 10 x 1 pr (field cables)</t>
        </is>
      </c>
      <c r="E4554" s="12" t="inlineStr"/>
      <c r="F4554" s="12" t="inlineStr">
        <is>
          <t>RICE 5 radiators (5)</t>
        </is>
      </c>
      <c r="G4554" s="12" t="inlineStr">
        <is>
          <t>JB-RICE 5 radiators (-DI01</t>
        </is>
      </c>
      <c r="H4554" s="12" t="inlineStr">
        <is>
          <t>RICE 5 radiators (5)</t>
        </is>
      </c>
      <c r="I4554" s="12" t="inlineStr">
        <is>
          <t>Instrumentation</t>
        </is>
      </c>
      <c r="J4554" s="12" t="inlineStr">
        <is>
          <t>Instrumentation PLTC / TC-ER 300 V, #18 twisted shielded pairs, overall shield</t>
        </is>
      </c>
      <c r="K4554" s="12" t="inlineStr">
        <is>
          <t>PLTC|1 pr|16</t>
        </is>
      </c>
      <c r="L4554" s="12" t="inlineStr">
        <is>
          <t>1 pr</t>
        </is>
      </c>
      <c r="M4554" s="12" t="inlineStr">
        <is>
          <t>16</t>
        </is>
      </c>
      <c r="N4554" s="12" t="n">
        <v>10</v>
      </c>
      <c r="O4554" s="12" t="n">
        <v>1</v>
      </c>
      <c r="P4554" s="12" t="n"/>
      <c r="Q4554" s="12" t="n"/>
      <c r="R4554" s="12" t="n"/>
      <c r="S4554" s="12" t="inlineStr">
        <is>
          <t>Tray / conduit</t>
        </is>
      </c>
      <c r="T4554" s="16" t="n">
        <v>80</v>
      </c>
      <c r="U4554" s="16" t="n">
        <v>10</v>
      </c>
      <c r="V4554" s="16">
        <f>ROUNDUP((T4554+U4554+2*'Read Me'!$B$13)*(1+'Read Me'!$B$12),-1)</f>
        <v/>
      </c>
      <c r="W4554" s="16">
        <f>V4554*N4554*O4554</f>
        <v/>
      </c>
      <c r="X4554" s="12">
        <f>IF(LEFT(I4554,2)="MV",2*N4554*IF(L4554="1/C",O4554,1),0)</f>
        <v/>
      </c>
      <c r="Y4554" s="12">
        <f>IF(OR(LEFT(K4554,4)="LVAX",LEFT(K4554,6)="MV15AX",LEFT(K4554,4)="CTAX",LEFT(K4554,2)="W|"),2*N4554*O4554,0)</f>
        <v/>
      </c>
      <c r="Z4554" s="12" t="inlineStr">
        <is>
          <t>device-to-JB field wiring, one cable per device</t>
        </is>
      </c>
      <c r="AA4554" s="12">
        <f>N4554*O4554</f>
        <v/>
      </c>
    </row>
    <row r="4555">
      <c r="A4555" s="12" t="inlineStr">
        <is>
          <t>I-I-0197</t>
        </is>
      </c>
      <c r="B4555" s="12" t="inlineStr">
        <is>
          <t>I</t>
        </is>
      </c>
      <c r="C4555" s="12" t="inlineStr">
        <is>
          <t>Modular / portable power</t>
        </is>
      </c>
      <c r="D4555" s="12" t="inlineStr">
        <is>
          <t>Home run JB-RICE 5 radiators (-DI01 to the control / marshalling room</t>
        </is>
      </c>
      <c r="E4555" s="12" t="inlineStr"/>
      <c r="F4555" s="12" t="inlineStr">
        <is>
          <t>PCM: power control module</t>
        </is>
      </c>
      <c r="G4555" s="12" t="inlineStr">
        <is>
          <t>JB-RICE 5 radiators (-DI01</t>
        </is>
      </c>
      <c r="H4555" s="12" t="inlineStr">
        <is>
          <t>RICE 5 radiators (5)</t>
        </is>
      </c>
      <c r="I4555" s="12" t="inlineStr">
        <is>
          <t>Instrumentation</t>
        </is>
      </c>
      <c r="J4555" s="12" t="inlineStr">
        <is>
          <t>Instrumentation PLTC / TC-ER 300 V, #18 twisted shielded pairs, overall shield</t>
        </is>
      </c>
      <c r="K4555" s="12" t="inlineStr">
        <is>
          <t>PLTC|24 pr|18</t>
        </is>
      </c>
      <c r="L4555" s="12" t="inlineStr">
        <is>
          <t>24 pr</t>
        </is>
      </c>
      <c r="M4555" s="12" t="inlineStr">
        <is>
          <t>18</t>
        </is>
      </c>
      <c r="N4555" s="12" t="n">
        <v>1</v>
      </c>
      <c r="O4555" s="12" t="n">
        <v>1</v>
      </c>
      <c r="P4555" s="12" t="n"/>
      <c r="Q4555" s="12" t="n"/>
      <c r="R4555" s="12" t="n"/>
      <c r="S4555" s="12" t="inlineStr">
        <is>
          <t>Tray</t>
        </is>
      </c>
      <c r="T4555" s="16" t="n">
        <v>0</v>
      </c>
      <c r="U4555" s="16" t="n">
        <v>178</v>
      </c>
      <c r="V4555" s="16">
        <f>ROUNDUP((T4555+U4555+2*'Read Me'!$B$13)*(1+'Read Me'!$B$12),-1)</f>
        <v/>
      </c>
      <c r="W4555" s="16">
        <f>V4555*N4555*O4555</f>
        <v/>
      </c>
      <c r="X4555" s="12">
        <f>IF(LEFT(I4555,2)="MV",2*N4555*IF(L4555="1/C",O4555,1),0)</f>
        <v/>
      </c>
      <c r="Y4555" s="12">
        <f>IF(OR(LEFT(K4555,4)="LVAX",LEFT(K4555,6)="MV15AX",LEFT(K4555,4)="CTAX",LEFT(K4555,2)="W|"),2*N4555*O4555,0)</f>
        <v/>
      </c>
      <c r="Z4555" s="12" t="inlineStr"/>
      <c r="AA4555" s="12">
        <f>N4555*O4555</f>
        <v/>
      </c>
    </row>
    <row r="4556">
      <c r="A4556" s="12" t="inlineStr">
        <is>
          <t>I-I-0198</t>
        </is>
      </c>
      <c r="B4556" s="12" t="inlineStr">
        <is>
          <t>I</t>
        </is>
      </c>
      <c r="C4556" s="12" t="inlineStr">
        <is>
          <t>Modular / portable power</t>
        </is>
      </c>
      <c r="D4556" s="12" t="inlineStr">
        <is>
          <t>Analog instrument to JB JB-RICE 6 SCR + oxida-AI01: 10 x 1 pr (field cables)</t>
        </is>
      </c>
      <c r="E4556" s="12" t="inlineStr"/>
      <c r="F4556" s="12" t="inlineStr">
        <is>
          <t>RICE 6 SCR + oxidation catalyst and stack</t>
        </is>
      </c>
      <c r="G4556" s="12" t="inlineStr">
        <is>
          <t>JB-RICE 6 SCR + oxida-AI01</t>
        </is>
      </c>
      <c r="H4556" s="12" t="inlineStr">
        <is>
          <t>RICE 6 SCR + oxidation catalyst and stack</t>
        </is>
      </c>
      <c r="I4556" s="12" t="inlineStr">
        <is>
          <t>Instrumentation</t>
        </is>
      </c>
      <c r="J4556" s="12" t="inlineStr">
        <is>
          <t>Instrumentation PLTC / TC-ER 300 V, #18 twisted shielded pairs, overall shield</t>
        </is>
      </c>
      <c r="K4556" s="12" t="inlineStr">
        <is>
          <t>PLTC|1 pr|16</t>
        </is>
      </c>
      <c r="L4556" s="12" t="inlineStr">
        <is>
          <t>1 pr</t>
        </is>
      </c>
      <c r="M4556" s="12" t="inlineStr">
        <is>
          <t>16</t>
        </is>
      </c>
      <c r="N4556" s="12" t="n">
        <v>10</v>
      </c>
      <c r="O4556" s="12" t="n">
        <v>1</v>
      </c>
      <c r="P4556" s="12" t="n"/>
      <c r="Q4556" s="12" t="n"/>
      <c r="R4556" s="12" t="n"/>
      <c r="S4556" s="12" t="inlineStr">
        <is>
          <t>Tray / conduit</t>
        </is>
      </c>
      <c r="T4556" s="16" t="n">
        <v>92</v>
      </c>
      <c r="U4556" s="16" t="n">
        <v>10</v>
      </c>
      <c r="V4556" s="16">
        <f>ROUNDUP((T4556+U4556+2*'Read Me'!$B$13)*(1+'Read Me'!$B$12),-1)</f>
        <v/>
      </c>
      <c r="W4556" s="16">
        <f>V4556*N4556*O4556</f>
        <v/>
      </c>
      <c r="X4556" s="12">
        <f>IF(LEFT(I4556,2)="MV",2*N4556*IF(L4556="1/C",O4556,1),0)</f>
        <v/>
      </c>
      <c r="Y4556" s="12">
        <f>IF(OR(LEFT(K4556,4)="LVAX",LEFT(K4556,6)="MV15AX",LEFT(K4556,4)="CTAX",LEFT(K4556,2)="W|"),2*N4556*O4556,0)</f>
        <v/>
      </c>
      <c r="Z4556" s="12" t="inlineStr">
        <is>
          <t>device-to-JB field wiring, one cable per device</t>
        </is>
      </c>
      <c r="AA4556" s="12">
        <f>N4556*O4556</f>
        <v/>
      </c>
    </row>
    <row r="4557">
      <c r="A4557" s="12" t="inlineStr">
        <is>
          <t>I-I-0199</t>
        </is>
      </c>
      <c r="B4557" s="12" t="inlineStr">
        <is>
          <t>I</t>
        </is>
      </c>
      <c r="C4557" s="12" t="inlineStr">
        <is>
          <t>Modular / portable power</t>
        </is>
      </c>
      <c r="D4557" s="12" t="inlineStr">
        <is>
          <t>Home run JB-RICE 6 SCR + oxida-AI01 to the control / marshalling room</t>
        </is>
      </c>
      <c r="E4557" s="12" t="inlineStr"/>
      <c r="F4557" s="12" t="inlineStr">
        <is>
          <t>PCM: power control module</t>
        </is>
      </c>
      <c r="G4557" s="12" t="inlineStr">
        <is>
          <t>JB-RICE 6 SCR + oxida-AI01</t>
        </is>
      </c>
      <c r="H4557" s="12" t="inlineStr">
        <is>
          <t>RICE 6 SCR + oxidation catalyst and stack</t>
        </is>
      </c>
      <c r="I4557" s="12" t="inlineStr">
        <is>
          <t>Instrumentation</t>
        </is>
      </c>
      <c r="J4557" s="12" t="inlineStr">
        <is>
          <t>Instrumentation PLTC / TC-ER 300 V, #18 twisted shielded pairs, overall shield</t>
        </is>
      </c>
      <c r="K4557" s="12" t="inlineStr">
        <is>
          <t>PLTC|24 pr|18</t>
        </is>
      </c>
      <c r="L4557" s="12" t="inlineStr">
        <is>
          <t>24 pr</t>
        </is>
      </c>
      <c r="M4557" s="12" t="inlineStr">
        <is>
          <t>18</t>
        </is>
      </c>
      <c r="N4557" s="12" t="n">
        <v>1</v>
      </c>
      <c r="O4557" s="12" t="n">
        <v>1</v>
      </c>
      <c r="P4557" s="12" t="n"/>
      <c r="Q4557" s="12" t="n"/>
      <c r="R4557" s="12" t="n"/>
      <c r="S4557" s="12" t="inlineStr">
        <is>
          <t>Duct bank</t>
        </is>
      </c>
      <c r="T4557" s="16" t="n">
        <v>322</v>
      </c>
      <c r="U4557" s="16" t="n">
        <v>168</v>
      </c>
      <c r="V4557" s="16">
        <f>ROUNDUP((T4557+U4557+2*'Read Me'!$B$13)*(1+'Read Me'!$B$12),-1)</f>
        <v/>
      </c>
      <c r="W4557" s="16">
        <f>V4557*N4557*O4557</f>
        <v/>
      </c>
      <c r="X4557" s="12">
        <f>IF(LEFT(I4557,2)="MV",2*N4557*IF(L4557="1/C",O4557,1),0)</f>
        <v/>
      </c>
      <c r="Y4557" s="12">
        <f>IF(OR(LEFT(K4557,4)="LVAX",LEFT(K4557,6)="MV15AX",LEFT(K4557,4)="CTAX",LEFT(K4557,2)="W|"),2*N4557*O4557,0)</f>
        <v/>
      </c>
      <c r="Z4557" s="12" t="inlineStr"/>
      <c r="AA4557" s="12">
        <f>N4557*O4557</f>
        <v/>
      </c>
    </row>
    <row r="4558">
      <c r="A4558" s="12" t="inlineStr">
        <is>
          <t>I-I-0200</t>
        </is>
      </c>
      <c r="B4558" s="12" t="inlineStr">
        <is>
          <t>I</t>
        </is>
      </c>
      <c r="C4558" s="12" t="inlineStr">
        <is>
          <t>Modular / portable power</t>
        </is>
      </c>
      <c r="D4558" s="12" t="inlineStr">
        <is>
          <t>Discrete device to JB JB-RICE 6 SCR + oxida-DI01: 6 x 1 pr (field cables)</t>
        </is>
      </c>
      <c r="E4558" s="12" t="inlineStr"/>
      <c r="F4558" s="12" t="inlineStr">
        <is>
          <t>RICE 6 SCR + oxidation catalyst and stack</t>
        </is>
      </c>
      <c r="G4558" s="12" t="inlineStr">
        <is>
          <t>JB-RICE 6 SCR + oxida-DI01</t>
        </is>
      </c>
      <c r="H4558" s="12" t="inlineStr">
        <is>
          <t>RICE 6 SCR + oxidation catalyst and stack</t>
        </is>
      </c>
      <c r="I4558" s="12" t="inlineStr">
        <is>
          <t>Instrumentation</t>
        </is>
      </c>
      <c r="J4558" s="12" t="inlineStr">
        <is>
          <t>Instrumentation PLTC / TC-ER 300 V, #18 twisted shielded pairs, overall shield</t>
        </is>
      </c>
      <c r="K4558" s="12" t="inlineStr">
        <is>
          <t>PLTC|1 pr|16</t>
        </is>
      </c>
      <c r="L4558" s="12" t="inlineStr">
        <is>
          <t>1 pr</t>
        </is>
      </c>
      <c r="M4558" s="12" t="inlineStr">
        <is>
          <t>16</t>
        </is>
      </c>
      <c r="N4558" s="12" t="n">
        <v>6</v>
      </c>
      <c r="O4558" s="12" t="n">
        <v>1</v>
      </c>
      <c r="P4558" s="12" t="n"/>
      <c r="Q4558" s="12" t="n"/>
      <c r="R4558" s="12" t="n"/>
      <c r="S4558" s="12" t="inlineStr">
        <is>
          <t>Tray / conduit</t>
        </is>
      </c>
      <c r="T4558" s="16" t="n">
        <v>92</v>
      </c>
      <c r="U4558" s="16" t="n">
        <v>10</v>
      </c>
      <c r="V4558" s="16">
        <f>ROUNDUP((T4558+U4558+2*'Read Me'!$B$13)*(1+'Read Me'!$B$12),-1)</f>
        <v/>
      </c>
      <c r="W4558" s="16">
        <f>V4558*N4558*O4558</f>
        <v/>
      </c>
      <c r="X4558" s="12">
        <f>IF(LEFT(I4558,2)="MV",2*N4558*IF(L4558="1/C",O4558,1),0)</f>
        <v/>
      </c>
      <c r="Y4558" s="12">
        <f>IF(OR(LEFT(K4558,4)="LVAX",LEFT(K4558,6)="MV15AX",LEFT(K4558,4)="CTAX",LEFT(K4558,2)="W|"),2*N4558*O4558,0)</f>
        <v/>
      </c>
      <c r="Z4558" s="12" t="inlineStr">
        <is>
          <t>device-to-JB field wiring, one cable per device</t>
        </is>
      </c>
      <c r="AA4558" s="12">
        <f>N4558*O4558</f>
        <v/>
      </c>
    </row>
    <row r="4559">
      <c r="A4559" s="12" t="inlineStr">
        <is>
          <t>I-I-0201</t>
        </is>
      </c>
      <c r="B4559" s="12" t="inlineStr">
        <is>
          <t>I</t>
        </is>
      </c>
      <c r="C4559" s="12" t="inlineStr">
        <is>
          <t>Modular / portable power</t>
        </is>
      </c>
      <c r="D4559" s="12" t="inlineStr">
        <is>
          <t>Home run JB-RICE 6 SCR + oxida-DI01 to the control / marshalling room</t>
        </is>
      </c>
      <c r="E4559" s="12" t="inlineStr"/>
      <c r="F4559" s="12" t="inlineStr">
        <is>
          <t>PCM: power control module</t>
        </is>
      </c>
      <c r="G4559" s="12" t="inlineStr">
        <is>
          <t>JB-RICE 6 SCR + oxida-DI01</t>
        </is>
      </c>
      <c r="H4559" s="12" t="inlineStr">
        <is>
          <t>RICE 6 SCR + oxidation catalyst and stack</t>
        </is>
      </c>
      <c r="I4559" s="12" t="inlineStr">
        <is>
          <t>Instrumentation</t>
        </is>
      </c>
      <c r="J4559" s="12" t="inlineStr">
        <is>
          <t>Instrumentation PLTC / TC-ER 300 V, #18 twisted shielded pairs, overall shield</t>
        </is>
      </c>
      <c r="K4559" s="12" t="inlineStr">
        <is>
          <t>PLTC|24 pr|18</t>
        </is>
      </c>
      <c r="L4559" s="12" t="inlineStr">
        <is>
          <t>24 pr</t>
        </is>
      </c>
      <c r="M4559" s="12" t="inlineStr">
        <is>
          <t>18</t>
        </is>
      </c>
      <c r="N4559" s="12" t="n">
        <v>1</v>
      </c>
      <c r="O4559" s="12" t="n">
        <v>1</v>
      </c>
      <c r="P4559" s="12" t="n"/>
      <c r="Q4559" s="12" t="n"/>
      <c r="R4559" s="12" t="n"/>
      <c r="S4559" s="12" t="inlineStr">
        <is>
          <t>Duct bank</t>
        </is>
      </c>
      <c r="T4559" s="16" t="n">
        <v>322</v>
      </c>
      <c r="U4559" s="16" t="n">
        <v>168</v>
      </c>
      <c r="V4559" s="16">
        <f>ROUNDUP((T4559+U4559+2*'Read Me'!$B$13)*(1+'Read Me'!$B$12),-1)</f>
        <v/>
      </c>
      <c r="W4559" s="16">
        <f>V4559*N4559*O4559</f>
        <v/>
      </c>
      <c r="X4559" s="12">
        <f>IF(LEFT(I4559,2)="MV",2*N4559*IF(L4559="1/C",O4559,1),0)</f>
        <v/>
      </c>
      <c r="Y4559" s="12">
        <f>IF(OR(LEFT(K4559,4)="LVAX",LEFT(K4559,6)="MV15AX",LEFT(K4559,4)="CTAX",LEFT(K4559,2)="W|"),2*N4559*O4559,0)</f>
        <v/>
      </c>
      <c r="Z4559" s="12" t="inlineStr"/>
      <c r="AA4559" s="12">
        <f>N4559*O4559</f>
        <v/>
      </c>
    </row>
    <row r="4560">
      <c r="A4560" s="12" t="inlineStr">
        <is>
          <t>I-I-0202</t>
        </is>
      </c>
      <c r="B4560" s="12" t="inlineStr">
        <is>
          <t>I</t>
        </is>
      </c>
      <c r="C4560" s="12" t="inlineStr">
        <is>
          <t>Modular / portable power</t>
        </is>
      </c>
      <c r="D4560" s="12" t="inlineStr">
        <is>
          <t>Analog instrument to JB JB-RICE 6 radiators (-AI01: 5 x 1 pr (field cables)</t>
        </is>
      </c>
      <c r="E4560" s="12" t="inlineStr"/>
      <c r="F4560" s="12" t="inlineStr">
        <is>
          <t>RICE 6 radiators (5)</t>
        </is>
      </c>
      <c r="G4560" s="12" t="inlineStr">
        <is>
          <t>JB-RICE 6 radiators (-AI01</t>
        </is>
      </c>
      <c r="H4560" s="12" t="inlineStr">
        <is>
          <t>RICE 6 radiators (5)</t>
        </is>
      </c>
      <c r="I4560" s="12" t="inlineStr">
        <is>
          <t>Instrumentation</t>
        </is>
      </c>
      <c r="J4560" s="12" t="inlineStr">
        <is>
          <t>Instrumentation PLTC / TC-ER 300 V, #18 twisted shielded pairs, overall shield</t>
        </is>
      </c>
      <c r="K4560" s="12" t="inlineStr">
        <is>
          <t>PLTC|1 pr|16</t>
        </is>
      </c>
      <c r="L4560" s="12" t="inlineStr">
        <is>
          <t>1 pr</t>
        </is>
      </c>
      <c r="M4560" s="12" t="inlineStr">
        <is>
          <t>16</t>
        </is>
      </c>
      <c r="N4560" s="12" t="n">
        <v>5</v>
      </c>
      <c r="O4560" s="12" t="n">
        <v>1</v>
      </c>
      <c r="P4560" s="12" t="n"/>
      <c r="Q4560" s="12" t="n"/>
      <c r="R4560" s="12" t="n"/>
      <c r="S4560" s="12" t="inlineStr">
        <is>
          <t>Tray / conduit</t>
        </is>
      </c>
      <c r="T4560" s="16" t="n">
        <v>80</v>
      </c>
      <c r="U4560" s="16" t="n">
        <v>10</v>
      </c>
      <c r="V4560" s="16">
        <f>ROUNDUP((T4560+U4560+2*'Read Me'!$B$13)*(1+'Read Me'!$B$12),-1)</f>
        <v/>
      </c>
      <c r="W4560" s="16">
        <f>V4560*N4560*O4560</f>
        <v/>
      </c>
      <c r="X4560" s="12">
        <f>IF(LEFT(I4560,2)="MV",2*N4560*IF(L4560="1/C",O4560,1),0)</f>
        <v/>
      </c>
      <c r="Y4560" s="12">
        <f>IF(OR(LEFT(K4560,4)="LVAX",LEFT(K4560,6)="MV15AX",LEFT(K4560,4)="CTAX",LEFT(K4560,2)="W|"),2*N4560*O4560,0)</f>
        <v/>
      </c>
      <c r="Z4560" s="12" t="inlineStr">
        <is>
          <t>device-to-JB field wiring, one cable per device</t>
        </is>
      </c>
      <c r="AA4560" s="12">
        <f>N4560*O4560</f>
        <v/>
      </c>
    </row>
    <row r="4561">
      <c r="A4561" s="12" t="inlineStr">
        <is>
          <t>I-I-0203</t>
        </is>
      </c>
      <c r="B4561" s="12" t="inlineStr">
        <is>
          <t>I</t>
        </is>
      </c>
      <c r="C4561" s="12" t="inlineStr">
        <is>
          <t>Modular / portable power</t>
        </is>
      </c>
      <c r="D4561" s="12" t="inlineStr">
        <is>
          <t>Home run JB-RICE 6 radiators (-AI01 to the control / marshalling room</t>
        </is>
      </c>
      <c r="E4561" s="12" t="inlineStr"/>
      <c r="F4561" s="12" t="inlineStr">
        <is>
          <t>PCM: power control module</t>
        </is>
      </c>
      <c r="G4561" s="12" t="inlineStr">
        <is>
          <t>JB-RICE 6 radiators (-AI01</t>
        </is>
      </c>
      <c r="H4561" s="12" t="inlineStr">
        <is>
          <t>RICE 6 radiators (5)</t>
        </is>
      </c>
      <c r="I4561" s="12" t="inlineStr">
        <is>
          <t>Instrumentation</t>
        </is>
      </c>
      <c r="J4561" s="12" t="inlineStr">
        <is>
          <t>Instrumentation PLTC / TC-ER 300 V, #18 twisted shielded pairs, overall shield</t>
        </is>
      </c>
      <c r="K4561" s="12" t="inlineStr">
        <is>
          <t>PLTC|24 pr|18</t>
        </is>
      </c>
      <c r="L4561" s="12" t="inlineStr">
        <is>
          <t>24 pr</t>
        </is>
      </c>
      <c r="M4561" s="12" t="inlineStr">
        <is>
          <t>18</t>
        </is>
      </c>
      <c r="N4561" s="12" t="n">
        <v>1</v>
      </c>
      <c r="O4561" s="12" t="n">
        <v>1</v>
      </c>
      <c r="P4561" s="12" t="n"/>
      <c r="Q4561" s="12" t="n"/>
      <c r="R4561" s="12" t="n"/>
      <c r="S4561" s="12" t="inlineStr">
        <is>
          <t>Tray</t>
        </is>
      </c>
      <c r="T4561" s="16" t="n">
        <v>0</v>
      </c>
      <c r="U4561" s="16" t="n">
        <v>150</v>
      </c>
      <c r="V4561" s="16">
        <f>ROUNDUP((T4561+U4561+2*'Read Me'!$B$13)*(1+'Read Me'!$B$12),-1)</f>
        <v/>
      </c>
      <c r="W4561" s="16">
        <f>V4561*N4561*O4561</f>
        <v/>
      </c>
      <c r="X4561" s="12">
        <f>IF(LEFT(I4561,2)="MV",2*N4561*IF(L4561="1/C",O4561,1),0)</f>
        <v/>
      </c>
      <c r="Y4561" s="12">
        <f>IF(OR(LEFT(K4561,4)="LVAX",LEFT(K4561,6)="MV15AX",LEFT(K4561,4)="CTAX",LEFT(K4561,2)="W|"),2*N4561*O4561,0)</f>
        <v/>
      </c>
      <c r="Z4561" s="12" t="inlineStr"/>
      <c r="AA4561" s="12">
        <f>N4561*O4561</f>
        <v/>
      </c>
    </row>
    <row r="4562">
      <c r="A4562" s="12" t="inlineStr">
        <is>
          <t>I-I-0204</t>
        </is>
      </c>
      <c r="B4562" s="12" t="inlineStr">
        <is>
          <t>I</t>
        </is>
      </c>
      <c r="C4562" s="12" t="inlineStr">
        <is>
          <t>Modular / portable power</t>
        </is>
      </c>
      <c r="D4562" s="12" t="inlineStr">
        <is>
          <t>Discrete device to JB JB-RICE 6 radiators (-DI01: 10 x 1 pr (field cables)</t>
        </is>
      </c>
      <c r="E4562" s="12" t="inlineStr"/>
      <c r="F4562" s="12" t="inlineStr">
        <is>
          <t>RICE 6 radiators (5)</t>
        </is>
      </c>
      <c r="G4562" s="12" t="inlineStr">
        <is>
          <t>JB-RICE 6 radiators (-DI01</t>
        </is>
      </c>
      <c r="H4562" s="12" t="inlineStr">
        <is>
          <t>RICE 6 radiators (5)</t>
        </is>
      </c>
      <c r="I4562" s="12" t="inlineStr">
        <is>
          <t>Instrumentation</t>
        </is>
      </c>
      <c r="J4562" s="12" t="inlineStr">
        <is>
          <t>Instrumentation PLTC / TC-ER 300 V, #18 twisted shielded pairs, overall shield</t>
        </is>
      </c>
      <c r="K4562" s="12" t="inlineStr">
        <is>
          <t>PLTC|1 pr|16</t>
        </is>
      </c>
      <c r="L4562" s="12" t="inlineStr">
        <is>
          <t>1 pr</t>
        </is>
      </c>
      <c r="M4562" s="12" t="inlineStr">
        <is>
          <t>16</t>
        </is>
      </c>
      <c r="N4562" s="12" t="n">
        <v>10</v>
      </c>
      <c r="O4562" s="12" t="n">
        <v>1</v>
      </c>
      <c r="P4562" s="12" t="n"/>
      <c r="Q4562" s="12" t="n"/>
      <c r="R4562" s="12" t="n"/>
      <c r="S4562" s="12" t="inlineStr">
        <is>
          <t>Tray / conduit</t>
        </is>
      </c>
      <c r="T4562" s="16" t="n">
        <v>80</v>
      </c>
      <c r="U4562" s="16" t="n">
        <v>10</v>
      </c>
      <c r="V4562" s="16">
        <f>ROUNDUP((T4562+U4562+2*'Read Me'!$B$13)*(1+'Read Me'!$B$12),-1)</f>
        <v/>
      </c>
      <c r="W4562" s="16">
        <f>V4562*N4562*O4562</f>
        <v/>
      </c>
      <c r="X4562" s="12">
        <f>IF(LEFT(I4562,2)="MV",2*N4562*IF(L4562="1/C",O4562,1),0)</f>
        <v/>
      </c>
      <c r="Y4562" s="12">
        <f>IF(OR(LEFT(K4562,4)="LVAX",LEFT(K4562,6)="MV15AX",LEFT(K4562,4)="CTAX",LEFT(K4562,2)="W|"),2*N4562*O4562,0)</f>
        <v/>
      </c>
      <c r="Z4562" s="12" t="inlineStr">
        <is>
          <t>device-to-JB field wiring, one cable per device</t>
        </is>
      </c>
      <c r="AA4562" s="12">
        <f>N4562*O4562</f>
        <v/>
      </c>
    </row>
    <row r="4563">
      <c r="A4563" s="12" t="inlineStr">
        <is>
          <t>I-I-0205</t>
        </is>
      </c>
      <c r="B4563" s="12" t="inlineStr">
        <is>
          <t>I</t>
        </is>
      </c>
      <c r="C4563" s="12" t="inlineStr">
        <is>
          <t>Modular / portable power</t>
        </is>
      </c>
      <c r="D4563" s="12" t="inlineStr">
        <is>
          <t>Home run JB-RICE 6 radiators (-DI01 to the control / marshalling room</t>
        </is>
      </c>
      <c r="E4563" s="12" t="inlineStr"/>
      <c r="F4563" s="12" t="inlineStr">
        <is>
          <t>PCM: power control module</t>
        </is>
      </c>
      <c r="G4563" s="12" t="inlineStr">
        <is>
          <t>JB-RICE 6 radiators (-DI01</t>
        </is>
      </c>
      <c r="H4563" s="12" t="inlineStr">
        <is>
          <t>RICE 6 radiators (5)</t>
        </is>
      </c>
      <c r="I4563" s="12" t="inlineStr">
        <is>
          <t>Instrumentation</t>
        </is>
      </c>
      <c r="J4563" s="12" t="inlineStr">
        <is>
          <t>Instrumentation PLTC / TC-ER 300 V, #18 twisted shielded pairs, overall shield</t>
        </is>
      </c>
      <c r="K4563" s="12" t="inlineStr">
        <is>
          <t>PLTC|24 pr|18</t>
        </is>
      </c>
      <c r="L4563" s="12" t="inlineStr">
        <is>
          <t>24 pr</t>
        </is>
      </c>
      <c r="M4563" s="12" t="inlineStr">
        <is>
          <t>18</t>
        </is>
      </c>
      <c r="N4563" s="12" t="n">
        <v>1</v>
      </c>
      <c r="O4563" s="12" t="n">
        <v>1</v>
      </c>
      <c r="P4563" s="12" t="n"/>
      <c r="Q4563" s="12" t="n"/>
      <c r="R4563" s="12" t="n"/>
      <c r="S4563" s="12" t="inlineStr">
        <is>
          <t>Tray</t>
        </is>
      </c>
      <c r="T4563" s="16" t="n">
        <v>0</v>
      </c>
      <c r="U4563" s="16" t="n">
        <v>150</v>
      </c>
      <c r="V4563" s="16">
        <f>ROUNDUP((T4563+U4563+2*'Read Me'!$B$13)*(1+'Read Me'!$B$12),-1)</f>
        <v/>
      </c>
      <c r="W4563" s="16">
        <f>V4563*N4563*O4563</f>
        <v/>
      </c>
      <c r="X4563" s="12">
        <f>IF(LEFT(I4563,2)="MV",2*N4563*IF(L4563="1/C",O4563,1),0)</f>
        <v/>
      </c>
      <c r="Y4563" s="12">
        <f>IF(OR(LEFT(K4563,4)="LVAX",LEFT(K4563,6)="MV15AX",LEFT(K4563,4)="CTAX",LEFT(K4563,2)="W|"),2*N4563*O4563,0)</f>
        <v/>
      </c>
      <c r="Z4563" s="12" t="inlineStr"/>
      <c r="AA4563" s="12">
        <f>N4563*O4563</f>
        <v/>
      </c>
    </row>
    <row r="4564">
      <c r="A4564" s="12" t="inlineStr">
        <is>
          <t>I-I-0206</t>
        </is>
      </c>
      <c r="B4564" s="12" t="inlineStr">
        <is>
          <t>I</t>
        </is>
      </c>
      <c r="C4564" s="12" t="inlineStr">
        <is>
          <t>Modular / portable power</t>
        </is>
      </c>
      <c r="D4564" s="12" t="inlineStr">
        <is>
          <t>Analog instrument to JB JB-RICE 7 SCR + oxida-AI01: 10 x 1 pr (field cables)</t>
        </is>
      </c>
      <c r="E4564" s="12" t="inlineStr"/>
      <c r="F4564" s="12" t="inlineStr">
        <is>
          <t>RICE 7 SCR + oxidation catalyst and stack</t>
        </is>
      </c>
      <c r="G4564" s="12" t="inlineStr">
        <is>
          <t>JB-RICE 7 SCR + oxida-AI01</t>
        </is>
      </c>
      <c r="H4564" s="12" t="inlineStr">
        <is>
          <t>RICE 7 SCR + oxidation catalyst and stack</t>
        </is>
      </c>
      <c r="I4564" s="12" t="inlineStr">
        <is>
          <t>Instrumentation</t>
        </is>
      </c>
      <c r="J4564" s="12" t="inlineStr">
        <is>
          <t>Instrumentation PLTC / TC-ER 300 V, #18 twisted shielded pairs, overall shield</t>
        </is>
      </c>
      <c r="K4564" s="12" t="inlineStr">
        <is>
          <t>PLTC|1 pr|16</t>
        </is>
      </c>
      <c r="L4564" s="12" t="inlineStr">
        <is>
          <t>1 pr</t>
        </is>
      </c>
      <c r="M4564" s="12" t="inlineStr">
        <is>
          <t>16</t>
        </is>
      </c>
      <c r="N4564" s="12" t="n">
        <v>10</v>
      </c>
      <c r="O4564" s="12" t="n">
        <v>1</v>
      </c>
      <c r="P4564" s="12" t="n"/>
      <c r="Q4564" s="12" t="n"/>
      <c r="R4564" s="12" t="n"/>
      <c r="S4564" s="12" t="inlineStr">
        <is>
          <t>Tray / conduit</t>
        </is>
      </c>
      <c r="T4564" s="16" t="n">
        <v>92</v>
      </c>
      <c r="U4564" s="16" t="n">
        <v>10</v>
      </c>
      <c r="V4564" s="16">
        <f>ROUNDUP((T4564+U4564+2*'Read Me'!$B$13)*(1+'Read Me'!$B$12),-1)</f>
        <v/>
      </c>
      <c r="W4564" s="16">
        <f>V4564*N4564*O4564</f>
        <v/>
      </c>
      <c r="X4564" s="12">
        <f>IF(LEFT(I4564,2)="MV",2*N4564*IF(L4564="1/C",O4564,1),0)</f>
        <v/>
      </c>
      <c r="Y4564" s="12">
        <f>IF(OR(LEFT(K4564,4)="LVAX",LEFT(K4564,6)="MV15AX",LEFT(K4564,4)="CTAX",LEFT(K4564,2)="W|"),2*N4564*O4564,0)</f>
        <v/>
      </c>
      <c r="Z4564" s="12" t="inlineStr">
        <is>
          <t>device-to-JB field wiring, one cable per device</t>
        </is>
      </c>
      <c r="AA4564" s="12">
        <f>N4564*O4564</f>
        <v/>
      </c>
    </row>
    <row r="4565">
      <c r="A4565" s="12" t="inlineStr">
        <is>
          <t>I-I-0207</t>
        </is>
      </c>
      <c r="B4565" s="12" t="inlineStr">
        <is>
          <t>I</t>
        </is>
      </c>
      <c r="C4565" s="12" t="inlineStr">
        <is>
          <t>Modular / portable power</t>
        </is>
      </c>
      <c r="D4565" s="12" t="inlineStr">
        <is>
          <t>Home run JB-RICE 7 SCR + oxida-AI01 to the control / marshalling room</t>
        </is>
      </c>
      <c r="E4565" s="12" t="inlineStr"/>
      <c r="F4565" s="12" t="inlineStr">
        <is>
          <t>PCM: power control module</t>
        </is>
      </c>
      <c r="G4565" s="12" t="inlineStr">
        <is>
          <t>JB-RICE 7 SCR + oxida-AI01</t>
        </is>
      </c>
      <c r="H4565" s="12" t="inlineStr">
        <is>
          <t>RICE 7 SCR + oxidation catalyst and stack</t>
        </is>
      </c>
      <c r="I4565" s="12" t="inlineStr">
        <is>
          <t>Instrumentation</t>
        </is>
      </c>
      <c r="J4565" s="12" t="inlineStr">
        <is>
          <t>Instrumentation PLTC / TC-ER 300 V, #18 twisted shielded pairs, overall shield</t>
        </is>
      </c>
      <c r="K4565" s="12" t="inlineStr">
        <is>
          <t>PLTC|24 pr|18</t>
        </is>
      </c>
      <c r="L4565" s="12" t="inlineStr">
        <is>
          <t>24 pr</t>
        </is>
      </c>
      <c r="M4565" s="12" t="inlineStr">
        <is>
          <t>18</t>
        </is>
      </c>
      <c r="N4565" s="12" t="n">
        <v>1</v>
      </c>
      <c r="O4565" s="12" t="n">
        <v>1</v>
      </c>
      <c r="P4565" s="12" t="n"/>
      <c r="Q4565" s="12" t="n"/>
      <c r="R4565" s="12" t="n"/>
      <c r="S4565" s="12" t="inlineStr">
        <is>
          <t>Duct bank</t>
        </is>
      </c>
      <c r="T4565" s="16" t="n">
        <v>322</v>
      </c>
      <c r="U4565" s="16" t="n">
        <v>140</v>
      </c>
      <c r="V4565" s="16">
        <f>ROUNDUP((T4565+U4565+2*'Read Me'!$B$13)*(1+'Read Me'!$B$12),-1)</f>
        <v/>
      </c>
      <c r="W4565" s="16">
        <f>V4565*N4565*O4565</f>
        <v/>
      </c>
      <c r="X4565" s="12">
        <f>IF(LEFT(I4565,2)="MV",2*N4565*IF(L4565="1/C",O4565,1),0)</f>
        <v/>
      </c>
      <c r="Y4565" s="12">
        <f>IF(OR(LEFT(K4565,4)="LVAX",LEFT(K4565,6)="MV15AX",LEFT(K4565,4)="CTAX",LEFT(K4565,2)="W|"),2*N4565*O4565,0)</f>
        <v/>
      </c>
      <c r="Z4565" s="12" t="inlineStr"/>
      <c r="AA4565" s="12">
        <f>N4565*O4565</f>
        <v/>
      </c>
    </row>
    <row r="4566">
      <c r="A4566" s="12" t="inlineStr">
        <is>
          <t>I-I-0208</t>
        </is>
      </c>
      <c r="B4566" s="12" t="inlineStr">
        <is>
          <t>I</t>
        </is>
      </c>
      <c r="C4566" s="12" t="inlineStr">
        <is>
          <t>Modular / portable power</t>
        </is>
      </c>
      <c r="D4566" s="12" t="inlineStr">
        <is>
          <t>Discrete device to JB JB-RICE 7 SCR + oxida-DI01: 6 x 1 pr (field cables)</t>
        </is>
      </c>
      <c r="E4566" s="12" t="inlineStr"/>
      <c r="F4566" s="12" t="inlineStr">
        <is>
          <t>RICE 7 SCR + oxidation catalyst and stack</t>
        </is>
      </c>
      <c r="G4566" s="12" t="inlineStr">
        <is>
          <t>JB-RICE 7 SCR + oxida-DI01</t>
        </is>
      </c>
      <c r="H4566" s="12" t="inlineStr">
        <is>
          <t>RICE 7 SCR + oxidation catalyst and stack</t>
        </is>
      </c>
      <c r="I4566" s="12" t="inlineStr">
        <is>
          <t>Instrumentation</t>
        </is>
      </c>
      <c r="J4566" s="12" t="inlineStr">
        <is>
          <t>Instrumentation PLTC / TC-ER 300 V, #18 twisted shielded pairs, overall shield</t>
        </is>
      </c>
      <c r="K4566" s="12" t="inlineStr">
        <is>
          <t>PLTC|1 pr|16</t>
        </is>
      </c>
      <c r="L4566" s="12" t="inlineStr">
        <is>
          <t>1 pr</t>
        </is>
      </c>
      <c r="M4566" s="12" t="inlineStr">
        <is>
          <t>16</t>
        </is>
      </c>
      <c r="N4566" s="12" t="n">
        <v>6</v>
      </c>
      <c r="O4566" s="12" t="n">
        <v>1</v>
      </c>
      <c r="P4566" s="12" t="n"/>
      <c r="Q4566" s="12" t="n"/>
      <c r="R4566" s="12" t="n"/>
      <c r="S4566" s="12" t="inlineStr">
        <is>
          <t>Tray / conduit</t>
        </is>
      </c>
      <c r="T4566" s="16" t="n">
        <v>92</v>
      </c>
      <c r="U4566" s="16" t="n">
        <v>10</v>
      </c>
      <c r="V4566" s="16">
        <f>ROUNDUP((T4566+U4566+2*'Read Me'!$B$13)*(1+'Read Me'!$B$12),-1)</f>
        <v/>
      </c>
      <c r="W4566" s="16">
        <f>V4566*N4566*O4566</f>
        <v/>
      </c>
      <c r="X4566" s="12">
        <f>IF(LEFT(I4566,2)="MV",2*N4566*IF(L4566="1/C",O4566,1),0)</f>
        <v/>
      </c>
      <c r="Y4566" s="12">
        <f>IF(OR(LEFT(K4566,4)="LVAX",LEFT(K4566,6)="MV15AX",LEFT(K4566,4)="CTAX",LEFT(K4566,2)="W|"),2*N4566*O4566,0)</f>
        <v/>
      </c>
      <c r="Z4566" s="12" t="inlineStr">
        <is>
          <t>device-to-JB field wiring, one cable per device</t>
        </is>
      </c>
      <c r="AA4566" s="12">
        <f>N4566*O4566</f>
        <v/>
      </c>
    </row>
    <row r="4567">
      <c r="A4567" s="12" t="inlineStr">
        <is>
          <t>I-I-0209</t>
        </is>
      </c>
      <c r="B4567" s="12" t="inlineStr">
        <is>
          <t>I</t>
        </is>
      </c>
      <c r="C4567" s="12" t="inlineStr">
        <is>
          <t>Modular / portable power</t>
        </is>
      </c>
      <c r="D4567" s="12" t="inlineStr">
        <is>
          <t>Home run JB-RICE 7 SCR + oxida-DI01 to the control / marshalling room</t>
        </is>
      </c>
      <c r="E4567" s="12" t="inlineStr"/>
      <c r="F4567" s="12" t="inlineStr">
        <is>
          <t>PCM: power control module</t>
        </is>
      </c>
      <c r="G4567" s="12" t="inlineStr">
        <is>
          <t>JB-RICE 7 SCR + oxida-DI01</t>
        </is>
      </c>
      <c r="H4567" s="12" t="inlineStr">
        <is>
          <t>RICE 7 SCR + oxidation catalyst and stack</t>
        </is>
      </c>
      <c r="I4567" s="12" t="inlineStr">
        <is>
          <t>Instrumentation</t>
        </is>
      </c>
      <c r="J4567" s="12" t="inlineStr">
        <is>
          <t>Instrumentation PLTC / TC-ER 300 V, #18 twisted shielded pairs, overall shield</t>
        </is>
      </c>
      <c r="K4567" s="12" t="inlineStr">
        <is>
          <t>PLTC|24 pr|18</t>
        </is>
      </c>
      <c r="L4567" s="12" t="inlineStr">
        <is>
          <t>24 pr</t>
        </is>
      </c>
      <c r="M4567" s="12" t="inlineStr">
        <is>
          <t>18</t>
        </is>
      </c>
      <c r="N4567" s="12" t="n">
        <v>1</v>
      </c>
      <c r="O4567" s="12" t="n">
        <v>1</v>
      </c>
      <c r="P4567" s="12" t="n"/>
      <c r="Q4567" s="12" t="n"/>
      <c r="R4567" s="12" t="n"/>
      <c r="S4567" s="12" t="inlineStr">
        <is>
          <t>Duct bank</t>
        </is>
      </c>
      <c r="T4567" s="16" t="n">
        <v>322</v>
      </c>
      <c r="U4567" s="16" t="n">
        <v>140</v>
      </c>
      <c r="V4567" s="16">
        <f>ROUNDUP((T4567+U4567+2*'Read Me'!$B$13)*(1+'Read Me'!$B$12),-1)</f>
        <v/>
      </c>
      <c r="W4567" s="16">
        <f>V4567*N4567*O4567</f>
        <v/>
      </c>
      <c r="X4567" s="12">
        <f>IF(LEFT(I4567,2)="MV",2*N4567*IF(L4567="1/C",O4567,1),0)</f>
        <v/>
      </c>
      <c r="Y4567" s="12">
        <f>IF(OR(LEFT(K4567,4)="LVAX",LEFT(K4567,6)="MV15AX",LEFT(K4567,4)="CTAX",LEFT(K4567,2)="W|"),2*N4567*O4567,0)</f>
        <v/>
      </c>
      <c r="Z4567" s="12" t="inlineStr"/>
      <c r="AA4567" s="12">
        <f>N4567*O4567</f>
        <v/>
      </c>
    </row>
    <row r="4568">
      <c r="A4568" s="12" t="inlineStr">
        <is>
          <t>I-I-0210</t>
        </is>
      </c>
      <c r="B4568" s="12" t="inlineStr">
        <is>
          <t>I</t>
        </is>
      </c>
      <c r="C4568" s="12" t="inlineStr">
        <is>
          <t>Modular / portable power</t>
        </is>
      </c>
      <c r="D4568" s="12" t="inlineStr">
        <is>
          <t>Analog instrument to JB JB-RICE 7 radiators (-AI01: 5 x 1 pr (field cables)</t>
        </is>
      </c>
      <c r="E4568" s="12" t="inlineStr"/>
      <c r="F4568" s="12" t="inlineStr">
        <is>
          <t>RICE 7 radiators (5)</t>
        </is>
      </c>
      <c r="G4568" s="12" t="inlineStr">
        <is>
          <t>JB-RICE 7 radiators (-AI01</t>
        </is>
      </c>
      <c r="H4568" s="12" t="inlineStr">
        <is>
          <t>RICE 7 radiators (5)</t>
        </is>
      </c>
      <c r="I4568" s="12" t="inlineStr">
        <is>
          <t>Instrumentation</t>
        </is>
      </c>
      <c r="J4568" s="12" t="inlineStr">
        <is>
          <t>Instrumentation PLTC / TC-ER 300 V, #18 twisted shielded pairs, overall shield</t>
        </is>
      </c>
      <c r="K4568" s="12" t="inlineStr">
        <is>
          <t>PLTC|1 pr|16</t>
        </is>
      </c>
      <c r="L4568" s="12" t="inlineStr">
        <is>
          <t>1 pr</t>
        </is>
      </c>
      <c r="M4568" s="12" t="inlineStr">
        <is>
          <t>16</t>
        </is>
      </c>
      <c r="N4568" s="12" t="n">
        <v>5</v>
      </c>
      <c r="O4568" s="12" t="n">
        <v>1</v>
      </c>
      <c r="P4568" s="12" t="n"/>
      <c r="Q4568" s="12" t="n"/>
      <c r="R4568" s="12" t="n"/>
      <c r="S4568" s="12" t="inlineStr">
        <is>
          <t>Tray / conduit</t>
        </is>
      </c>
      <c r="T4568" s="16" t="n">
        <v>80</v>
      </c>
      <c r="U4568" s="16" t="n">
        <v>10</v>
      </c>
      <c r="V4568" s="16">
        <f>ROUNDUP((T4568+U4568+2*'Read Me'!$B$13)*(1+'Read Me'!$B$12),-1)</f>
        <v/>
      </c>
      <c r="W4568" s="16">
        <f>V4568*N4568*O4568</f>
        <v/>
      </c>
      <c r="X4568" s="12">
        <f>IF(LEFT(I4568,2)="MV",2*N4568*IF(L4568="1/C",O4568,1),0)</f>
        <v/>
      </c>
      <c r="Y4568" s="12">
        <f>IF(OR(LEFT(K4568,4)="LVAX",LEFT(K4568,6)="MV15AX",LEFT(K4568,4)="CTAX",LEFT(K4568,2)="W|"),2*N4568*O4568,0)</f>
        <v/>
      </c>
      <c r="Z4568" s="12" t="inlineStr">
        <is>
          <t>device-to-JB field wiring, one cable per device</t>
        </is>
      </c>
      <c r="AA4568" s="12">
        <f>N4568*O4568</f>
        <v/>
      </c>
    </row>
    <row r="4569">
      <c r="A4569" s="12" t="inlineStr">
        <is>
          <t>I-I-0211</t>
        </is>
      </c>
      <c r="B4569" s="12" t="inlineStr">
        <is>
          <t>I</t>
        </is>
      </c>
      <c r="C4569" s="12" t="inlineStr">
        <is>
          <t>Modular / portable power</t>
        </is>
      </c>
      <c r="D4569" s="12" t="inlineStr">
        <is>
          <t>Home run JB-RICE 7 radiators (-AI01 to the control / marshalling room</t>
        </is>
      </c>
      <c r="E4569" s="12" t="inlineStr"/>
      <c r="F4569" s="12" t="inlineStr">
        <is>
          <t>PCM: power control module</t>
        </is>
      </c>
      <c r="G4569" s="12" t="inlineStr">
        <is>
          <t>JB-RICE 7 radiators (-AI01</t>
        </is>
      </c>
      <c r="H4569" s="12" t="inlineStr">
        <is>
          <t>RICE 7 radiators (5)</t>
        </is>
      </c>
      <c r="I4569" s="12" t="inlineStr">
        <is>
          <t>Instrumentation</t>
        </is>
      </c>
      <c r="J4569" s="12" t="inlineStr">
        <is>
          <t>Instrumentation PLTC / TC-ER 300 V, #18 twisted shielded pairs, overall shield</t>
        </is>
      </c>
      <c r="K4569" s="12" t="inlineStr">
        <is>
          <t>PLTC|24 pr|18</t>
        </is>
      </c>
      <c r="L4569" s="12" t="inlineStr">
        <is>
          <t>24 pr</t>
        </is>
      </c>
      <c r="M4569" s="12" t="inlineStr">
        <is>
          <t>18</t>
        </is>
      </c>
      <c r="N4569" s="12" t="n">
        <v>1</v>
      </c>
      <c r="O4569" s="12" t="n">
        <v>1</v>
      </c>
      <c r="P4569" s="12" t="n"/>
      <c r="Q4569" s="12" t="n"/>
      <c r="R4569" s="12" t="n"/>
      <c r="S4569" s="12" t="inlineStr">
        <is>
          <t>Tray</t>
        </is>
      </c>
      <c r="T4569" s="16" t="n">
        <v>0</v>
      </c>
      <c r="U4569" s="16" t="n">
        <v>122</v>
      </c>
      <c r="V4569" s="16">
        <f>ROUNDUP((T4569+U4569+2*'Read Me'!$B$13)*(1+'Read Me'!$B$12),-1)</f>
        <v/>
      </c>
      <c r="W4569" s="16">
        <f>V4569*N4569*O4569</f>
        <v/>
      </c>
      <c r="X4569" s="12">
        <f>IF(LEFT(I4569,2)="MV",2*N4569*IF(L4569="1/C",O4569,1),0)</f>
        <v/>
      </c>
      <c r="Y4569" s="12">
        <f>IF(OR(LEFT(K4569,4)="LVAX",LEFT(K4569,6)="MV15AX",LEFT(K4569,4)="CTAX",LEFT(K4569,2)="W|"),2*N4569*O4569,0)</f>
        <v/>
      </c>
      <c r="Z4569" s="12" t="inlineStr"/>
      <c r="AA4569" s="12">
        <f>N4569*O4569</f>
        <v/>
      </c>
    </row>
    <row r="4570">
      <c r="A4570" s="12" t="inlineStr">
        <is>
          <t>I-I-0212</t>
        </is>
      </c>
      <c r="B4570" s="12" t="inlineStr">
        <is>
          <t>I</t>
        </is>
      </c>
      <c r="C4570" s="12" t="inlineStr">
        <is>
          <t>Modular / portable power</t>
        </is>
      </c>
      <c r="D4570" s="12" t="inlineStr">
        <is>
          <t>Discrete device to JB JB-RICE 7 radiators (-DI01: 10 x 1 pr (field cables)</t>
        </is>
      </c>
      <c r="E4570" s="12" t="inlineStr"/>
      <c r="F4570" s="12" t="inlineStr">
        <is>
          <t>RICE 7 radiators (5)</t>
        </is>
      </c>
      <c r="G4570" s="12" t="inlineStr">
        <is>
          <t>JB-RICE 7 radiators (-DI01</t>
        </is>
      </c>
      <c r="H4570" s="12" t="inlineStr">
        <is>
          <t>RICE 7 radiators (5)</t>
        </is>
      </c>
      <c r="I4570" s="12" t="inlineStr">
        <is>
          <t>Instrumentation</t>
        </is>
      </c>
      <c r="J4570" s="12" t="inlineStr">
        <is>
          <t>Instrumentation PLTC / TC-ER 300 V, #18 twisted shielded pairs, overall shield</t>
        </is>
      </c>
      <c r="K4570" s="12" t="inlineStr">
        <is>
          <t>PLTC|1 pr|16</t>
        </is>
      </c>
      <c r="L4570" s="12" t="inlineStr">
        <is>
          <t>1 pr</t>
        </is>
      </c>
      <c r="M4570" s="12" t="inlineStr">
        <is>
          <t>16</t>
        </is>
      </c>
      <c r="N4570" s="12" t="n">
        <v>10</v>
      </c>
      <c r="O4570" s="12" t="n">
        <v>1</v>
      </c>
      <c r="P4570" s="12" t="n"/>
      <c r="Q4570" s="12" t="n"/>
      <c r="R4570" s="12" t="n"/>
      <c r="S4570" s="12" t="inlineStr">
        <is>
          <t>Tray / conduit</t>
        </is>
      </c>
      <c r="T4570" s="16" t="n">
        <v>80</v>
      </c>
      <c r="U4570" s="16" t="n">
        <v>10</v>
      </c>
      <c r="V4570" s="16">
        <f>ROUNDUP((T4570+U4570+2*'Read Me'!$B$13)*(1+'Read Me'!$B$12),-1)</f>
        <v/>
      </c>
      <c r="W4570" s="16">
        <f>V4570*N4570*O4570</f>
        <v/>
      </c>
      <c r="X4570" s="12">
        <f>IF(LEFT(I4570,2)="MV",2*N4570*IF(L4570="1/C",O4570,1),0)</f>
        <v/>
      </c>
      <c r="Y4570" s="12">
        <f>IF(OR(LEFT(K4570,4)="LVAX",LEFT(K4570,6)="MV15AX",LEFT(K4570,4)="CTAX",LEFT(K4570,2)="W|"),2*N4570*O4570,0)</f>
        <v/>
      </c>
      <c r="Z4570" s="12" t="inlineStr">
        <is>
          <t>device-to-JB field wiring, one cable per device</t>
        </is>
      </c>
      <c r="AA4570" s="12">
        <f>N4570*O4570</f>
        <v/>
      </c>
    </row>
    <row r="4571">
      <c r="A4571" s="12" t="inlineStr">
        <is>
          <t>I-I-0213</t>
        </is>
      </c>
      <c r="B4571" s="12" t="inlineStr">
        <is>
          <t>I</t>
        </is>
      </c>
      <c r="C4571" s="12" t="inlineStr">
        <is>
          <t>Modular / portable power</t>
        </is>
      </c>
      <c r="D4571" s="12" t="inlineStr">
        <is>
          <t>Home run JB-RICE 7 radiators (-DI01 to the control / marshalling room</t>
        </is>
      </c>
      <c r="E4571" s="12" t="inlineStr"/>
      <c r="F4571" s="12" t="inlineStr">
        <is>
          <t>PCM: power control module</t>
        </is>
      </c>
      <c r="G4571" s="12" t="inlineStr">
        <is>
          <t>JB-RICE 7 radiators (-DI01</t>
        </is>
      </c>
      <c r="H4571" s="12" t="inlineStr">
        <is>
          <t>RICE 7 radiators (5)</t>
        </is>
      </c>
      <c r="I4571" s="12" t="inlineStr">
        <is>
          <t>Instrumentation</t>
        </is>
      </c>
      <c r="J4571" s="12" t="inlineStr">
        <is>
          <t>Instrumentation PLTC / TC-ER 300 V, #18 twisted shielded pairs, overall shield</t>
        </is>
      </c>
      <c r="K4571" s="12" t="inlineStr">
        <is>
          <t>PLTC|24 pr|18</t>
        </is>
      </c>
      <c r="L4571" s="12" t="inlineStr">
        <is>
          <t>24 pr</t>
        </is>
      </c>
      <c r="M4571" s="12" t="inlineStr">
        <is>
          <t>18</t>
        </is>
      </c>
      <c r="N4571" s="12" t="n">
        <v>1</v>
      </c>
      <c r="O4571" s="12" t="n">
        <v>1</v>
      </c>
      <c r="P4571" s="12" t="n"/>
      <c r="Q4571" s="12" t="n"/>
      <c r="R4571" s="12" t="n"/>
      <c r="S4571" s="12" t="inlineStr">
        <is>
          <t>Tray</t>
        </is>
      </c>
      <c r="T4571" s="16" t="n">
        <v>0</v>
      </c>
      <c r="U4571" s="16" t="n">
        <v>122</v>
      </c>
      <c r="V4571" s="16">
        <f>ROUNDUP((T4571+U4571+2*'Read Me'!$B$13)*(1+'Read Me'!$B$12),-1)</f>
        <v/>
      </c>
      <c r="W4571" s="16">
        <f>V4571*N4571*O4571</f>
        <v/>
      </c>
      <c r="X4571" s="12">
        <f>IF(LEFT(I4571,2)="MV",2*N4571*IF(L4571="1/C",O4571,1),0)</f>
        <v/>
      </c>
      <c r="Y4571" s="12">
        <f>IF(OR(LEFT(K4571,4)="LVAX",LEFT(K4571,6)="MV15AX",LEFT(K4571,4)="CTAX",LEFT(K4571,2)="W|"),2*N4571*O4571,0)</f>
        <v/>
      </c>
      <c r="Z4571" s="12" t="inlineStr"/>
      <c r="AA4571" s="12">
        <f>N4571*O4571</f>
        <v/>
      </c>
    </row>
    <row r="4572">
      <c r="A4572" s="12" t="inlineStr">
        <is>
          <t>I-I-0214</t>
        </is>
      </c>
      <c r="B4572" s="12" t="inlineStr">
        <is>
          <t>I</t>
        </is>
      </c>
      <c r="C4572" s="12" t="inlineStr">
        <is>
          <t>Modular / portable power</t>
        </is>
      </c>
      <c r="D4572" s="12" t="inlineStr">
        <is>
          <t>Analog instrument to JB JB-RICE 8 SCR + oxida-AI01: 10 x 1 pr (field cables)</t>
        </is>
      </c>
      <c r="E4572" s="12" t="inlineStr"/>
      <c r="F4572" s="12" t="inlineStr">
        <is>
          <t>RICE 8 SCR + oxidation catalyst and stack</t>
        </is>
      </c>
      <c r="G4572" s="12" t="inlineStr">
        <is>
          <t>JB-RICE 8 SCR + oxida-AI01</t>
        </is>
      </c>
      <c r="H4572" s="12" t="inlineStr">
        <is>
          <t>RICE 8 SCR + oxidation catalyst and stack</t>
        </is>
      </c>
      <c r="I4572" s="12" t="inlineStr">
        <is>
          <t>Instrumentation</t>
        </is>
      </c>
      <c r="J4572" s="12" t="inlineStr">
        <is>
          <t>Instrumentation PLTC / TC-ER 300 V, #18 twisted shielded pairs, overall shield</t>
        </is>
      </c>
      <c r="K4572" s="12" t="inlineStr">
        <is>
          <t>PLTC|1 pr|16</t>
        </is>
      </c>
      <c r="L4572" s="12" t="inlineStr">
        <is>
          <t>1 pr</t>
        </is>
      </c>
      <c r="M4572" s="12" t="inlineStr">
        <is>
          <t>16</t>
        </is>
      </c>
      <c r="N4572" s="12" t="n">
        <v>10</v>
      </c>
      <c r="O4572" s="12" t="n">
        <v>1</v>
      </c>
      <c r="P4572" s="12" t="n"/>
      <c r="Q4572" s="12" t="n"/>
      <c r="R4572" s="12" t="n"/>
      <c r="S4572" s="12" t="inlineStr">
        <is>
          <t>Tray / conduit</t>
        </is>
      </c>
      <c r="T4572" s="16" t="n">
        <v>92</v>
      </c>
      <c r="U4572" s="16" t="n">
        <v>10</v>
      </c>
      <c r="V4572" s="16">
        <f>ROUNDUP((T4572+U4572+2*'Read Me'!$B$13)*(1+'Read Me'!$B$12),-1)</f>
        <v/>
      </c>
      <c r="W4572" s="16">
        <f>V4572*N4572*O4572</f>
        <v/>
      </c>
      <c r="X4572" s="12">
        <f>IF(LEFT(I4572,2)="MV",2*N4572*IF(L4572="1/C",O4572,1),0)</f>
        <v/>
      </c>
      <c r="Y4572" s="12">
        <f>IF(OR(LEFT(K4572,4)="LVAX",LEFT(K4572,6)="MV15AX",LEFT(K4572,4)="CTAX",LEFT(K4572,2)="W|"),2*N4572*O4572,0)</f>
        <v/>
      </c>
      <c r="Z4572" s="12" t="inlineStr">
        <is>
          <t>device-to-JB field wiring, one cable per device</t>
        </is>
      </c>
      <c r="AA4572" s="12">
        <f>N4572*O4572</f>
        <v/>
      </c>
    </row>
    <row r="4573">
      <c r="A4573" s="12" t="inlineStr">
        <is>
          <t>I-I-0215</t>
        </is>
      </c>
      <c r="B4573" s="12" t="inlineStr">
        <is>
          <t>I</t>
        </is>
      </c>
      <c r="C4573" s="12" t="inlineStr">
        <is>
          <t>Modular / portable power</t>
        </is>
      </c>
      <c r="D4573" s="12" t="inlineStr">
        <is>
          <t>Home run JB-RICE 8 SCR + oxida-AI01 to the control / marshalling room</t>
        </is>
      </c>
      <c r="E4573" s="12" t="inlineStr"/>
      <c r="F4573" s="12" t="inlineStr">
        <is>
          <t>PCM: power control module</t>
        </is>
      </c>
      <c r="G4573" s="12" t="inlineStr">
        <is>
          <t>JB-RICE 8 SCR + oxida-AI01</t>
        </is>
      </c>
      <c r="H4573" s="12" t="inlineStr">
        <is>
          <t>RICE 8 SCR + oxidation catalyst and stack</t>
        </is>
      </c>
      <c r="I4573" s="12" t="inlineStr">
        <is>
          <t>Instrumentation</t>
        </is>
      </c>
      <c r="J4573" s="12" t="inlineStr">
        <is>
          <t>Instrumentation PLTC / TC-ER 300 V, #18 twisted shielded pairs, overall shield</t>
        </is>
      </c>
      <c r="K4573" s="12" t="inlineStr">
        <is>
          <t>PLTC|24 pr|18</t>
        </is>
      </c>
      <c r="L4573" s="12" t="inlineStr">
        <is>
          <t>24 pr</t>
        </is>
      </c>
      <c r="M4573" s="12" t="inlineStr">
        <is>
          <t>18</t>
        </is>
      </c>
      <c r="N4573" s="12" t="n">
        <v>1</v>
      </c>
      <c r="O4573" s="12" t="n">
        <v>1</v>
      </c>
      <c r="P4573" s="12" t="n"/>
      <c r="Q4573" s="12" t="n"/>
      <c r="R4573" s="12" t="n"/>
      <c r="S4573" s="12" t="inlineStr">
        <is>
          <t>Duct bank</t>
        </is>
      </c>
      <c r="T4573" s="16" t="n">
        <v>322</v>
      </c>
      <c r="U4573" s="16" t="n">
        <v>112</v>
      </c>
      <c r="V4573" s="16">
        <f>ROUNDUP((T4573+U4573+2*'Read Me'!$B$13)*(1+'Read Me'!$B$12),-1)</f>
        <v/>
      </c>
      <c r="W4573" s="16">
        <f>V4573*N4573*O4573</f>
        <v/>
      </c>
      <c r="X4573" s="12">
        <f>IF(LEFT(I4573,2)="MV",2*N4573*IF(L4573="1/C",O4573,1),0)</f>
        <v/>
      </c>
      <c r="Y4573" s="12">
        <f>IF(OR(LEFT(K4573,4)="LVAX",LEFT(K4573,6)="MV15AX",LEFT(K4573,4)="CTAX",LEFT(K4573,2)="W|"),2*N4573*O4573,0)</f>
        <v/>
      </c>
      <c r="Z4573" s="12" t="inlineStr"/>
      <c r="AA4573" s="12">
        <f>N4573*O4573</f>
        <v/>
      </c>
    </row>
    <row r="4574">
      <c r="A4574" s="12" t="inlineStr">
        <is>
          <t>I-I-0216</t>
        </is>
      </c>
      <c r="B4574" s="12" t="inlineStr">
        <is>
          <t>I</t>
        </is>
      </c>
      <c r="C4574" s="12" t="inlineStr">
        <is>
          <t>Modular / portable power</t>
        </is>
      </c>
      <c r="D4574" s="12" t="inlineStr">
        <is>
          <t>Discrete device to JB JB-RICE 8 SCR + oxida-DI01: 6 x 1 pr (field cables)</t>
        </is>
      </c>
      <c r="E4574" s="12" t="inlineStr"/>
      <c r="F4574" s="12" t="inlineStr">
        <is>
          <t>RICE 8 SCR + oxidation catalyst and stack</t>
        </is>
      </c>
      <c r="G4574" s="12" t="inlineStr">
        <is>
          <t>JB-RICE 8 SCR + oxida-DI01</t>
        </is>
      </c>
      <c r="H4574" s="12" t="inlineStr">
        <is>
          <t>RICE 8 SCR + oxidation catalyst and stack</t>
        </is>
      </c>
      <c r="I4574" s="12" t="inlineStr">
        <is>
          <t>Instrumentation</t>
        </is>
      </c>
      <c r="J4574" s="12" t="inlineStr">
        <is>
          <t>Instrumentation PLTC / TC-ER 300 V, #18 twisted shielded pairs, overall shield</t>
        </is>
      </c>
      <c r="K4574" s="12" t="inlineStr">
        <is>
          <t>PLTC|1 pr|16</t>
        </is>
      </c>
      <c r="L4574" s="12" t="inlineStr">
        <is>
          <t>1 pr</t>
        </is>
      </c>
      <c r="M4574" s="12" t="inlineStr">
        <is>
          <t>16</t>
        </is>
      </c>
      <c r="N4574" s="12" t="n">
        <v>6</v>
      </c>
      <c r="O4574" s="12" t="n">
        <v>1</v>
      </c>
      <c r="P4574" s="12" t="n"/>
      <c r="Q4574" s="12" t="n"/>
      <c r="R4574" s="12" t="n"/>
      <c r="S4574" s="12" t="inlineStr">
        <is>
          <t>Tray / conduit</t>
        </is>
      </c>
      <c r="T4574" s="16" t="n">
        <v>92</v>
      </c>
      <c r="U4574" s="16" t="n">
        <v>10</v>
      </c>
      <c r="V4574" s="16">
        <f>ROUNDUP((T4574+U4574+2*'Read Me'!$B$13)*(1+'Read Me'!$B$12),-1)</f>
        <v/>
      </c>
      <c r="W4574" s="16">
        <f>V4574*N4574*O4574</f>
        <v/>
      </c>
      <c r="X4574" s="12">
        <f>IF(LEFT(I4574,2)="MV",2*N4574*IF(L4574="1/C",O4574,1),0)</f>
        <v/>
      </c>
      <c r="Y4574" s="12">
        <f>IF(OR(LEFT(K4574,4)="LVAX",LEFT(K4574,6)="MV15AX",LEFT(K4574,4)="CTAX",LEFT(K4574,2)="W|"),2*N4574*O4574,0)</f>
        <v/>
      </c>
      <c r="Z4574" s="12" t="inlineStr">
        <is>
          <t>device-to-JB field wiring, one cable per device</t>
        </is>
      </c>
      <c r="AA4574" s="12">
        <f>N4574*O4574</f>
        <v/>
      </c>
    </row>
    <row r="4575">
      <c r="A4575" s="12" t="inlineStr">
        <is>
          <t>I-I-0217</t>
        </is>
      </c>
      <c r="B4575" s="12" t="inlineStr">
        <is>
          <t>I</t>
        </is>
      </c>
      <c r="C4575" s="12" t="inlineStr">
        <is>
          <t>Modular / portable power</t>
        </is>
      </c>
      <c r="D4575" s="12" t="inlineStr">
        <is>
          <t>Home run JB-RICE 8 SCR + oxida-DI01 to the control / marshalling room</t>
        </is>
      </c>
      <c r="E4575" s="12" t="inlineStr"/>
      <c r="F4575" s="12" t="inlineStr">
        <is>
          <t>PCM: power control module</t>
        </is>
      </c>
      <c r="G4575" s="12" t="inlineStr">
        <is>
          <t>JB-RICE 8 SCR + oxida-DI01</t>
        </is>
      </c>
      <c r="H4575" s="12" t="inlineStr">
        <is>
          <t>RICE 8 SCR + oxidation catalyst and stack</t>
        </is>
      </c>
      <c r="I4575" s="12" t="inlineStr">
        <is>
          <t>Instrumentation</t>
        </is>
      </c>
      <c r="J4575" s="12" t="inlineStr">
        <is>
          <t>Instrumentation PLTC / TC-ER 300 V, #18 twisted shielded pairs, overall shield</t>
        </is>
      </c>
      <c r="K4575" s="12" t="inlineStr">
        <is>
          <t>PLTC|24 pr|18</t>
        </is>
      </c>
      <c r="L4575" s="12" t="inlineStr">
        <is>
          <t>24 pr</t>
        </is>
      </c>
      <c r="M4575" s="12" t="inlineStr">
        <is>
          <t>18</t>
        </is>
      </c>
      <c r="N4575" s="12" t="n">
        <v>1</v>
      </c>
      <c r="O4575" s="12" t="n">
        <v>1</v>
      </c>
      <c r="P4575" s="12" t="n"/>
      <c r="Q4575" s="12" t="n"/>
      <c r="R4575" s="12" t="n"/>
      <c r="S4575" s="12" t="inlineStr">
        <is>
          <t>Duct bank</t>
        </is>
      </c>
      <c r="T4575" s="16" t="n">
        <v>322</v>
      </c>
      <c r="U4575" s="16" t="n">
        <v>112</v>
      </c>
      <c r="V4575" s="16">
        <f>ROUNDUP((T4575+U4575+2*'Read Me'!$B$13)*(1+'Read Me'!$B$12),-1)</f>
        <v/>
      </c>
      <c r="W4575" s="16">
        <f>V4575*N4575*O4575</f>
        <v/>
      </c>
      <c r="X4575" s="12">
        <f>IF(LEFT(I4575,2)="MV",2*N4575*IF(L4575="1/C",O4575,1),0)</f>
        <v/>
      </c>
      <c r="Y4575" s="12">
        <f>IF(OR(LEFT(K4575,4)="LVAX",LEFT(K4575,6)="MV15AX",LEFT(K4575,4)="CTAX",LEFT(K4575,2)="W|"),2*N4575*O4575,0)</f>
        <v/>
      </c>
      <c r="Z4575" s="12" t="inlineStr"/>
      <c r="AA4575" s="12">
        <f>N4575*O4575</f>
        <v/>
      </c>
    </row>
    <row r="4576">
      <c r="A4576" s="12" t="inlineStr">
        <is>
          <t>I-I-0218</t>
        </is>
      </c>
      <c r="B4576" s="12" t="inlineStr">
        <is>
          <t>I</t>
        </is>
      </c>
      <c r="C4576" s="12" t="inlineStr">
        <is>
          <t>Modular / portable power</t>
        </is>
      </c>
      <c r="D4576" s="12" t="inlineStr">
        <is>
          <t>Analog instrument to JB JB-RICE 8 radiators (-AI01: 5 x 1 pr (field cables)</t>
        </is>
      </c>
      <c r="E4576" s="12" t="inlineStr"/>
      <c r="F4576" s="12" t="inlineStr">
        <is>
          <t>RICE 8 radiators (5)</t>
        </is>
      </c>
      <c r="G4576" s="12" t="inlineStr">
        <is>
          <t>JB-RICE 8 radiators (-AI01</t>
        </is>
      </c>
      <c r="H4576" s="12" t="inlineStr">
        <is>
          <t>RICE 8 radiators (5)</t>
        </is>
      </c>
      <c r="I4576" s="12" t="inlineStr">
        <is>
          <t>Instrumentation</t>
        </is>
      </c>
      <c r="J4576" s="12" t="inlineStr">
        <is>
          <t>Instrumentation PLTC / TC-ER 300 V, #18 twisted shielded pairs, overall shield</t>
        </is>
      </c>
      <c r="K4576" s="12" t="inlineStr">
        <is>
          <t>PLTC|1 pr|16</t>
        </is>
      </c>
      <c r="L4576" s="12" t="inlineStr">
        <is>
          <t>1 pr</t>
        </is>
      </c>
      <c r="M4576" s="12" t="inlineStr">
        <is>
          <t>16</t>
        </is>
      </c>
      <c r="N4576" s="12" t="n">
        <v>5</v>
      </c>
      <c r="O4576" s="12" t="n">
        <v>1</v>
      </c>
      <c r="P4576" s="12" t="n"/>
      <c r="Q4576" s="12" t="n"/>
      <c r="R4576" s="12" t="n"/>
      <c r="S4576" s="12" t="inlineStr">
        <is>
          <t>Tray / conduit</t>
        </is>
      </c>
      <c r="T4576" s="16" t="n">
        <v>80</v>
      </c>
      <c r="U4576" s="16" t="n">
        <v>10</v>
      </c>
      <c r="V4576" s="16">
        <f>ROUNDUP((T4576+U4576+2*'Read Me'!$B$13)*(1+'Read Me'!$B$12),-1)</f>
        <v/>
      </c>
      <c r="W4576" s="16">
        <f>V4576*N4576*O4576</f>
        <v/>
      </c>
      <c r="X4576" s="12">
        <f>IF(LEFT(I4576,2)="MV",2*N4576*IF(L4576="1/C",O4576,1),0)</f>
        <v/>
      </c>
      <c r="Y4576" s="12">
        <f>IF(OR(LEFT(K4576,4)="LVAX",LEFT(K4576,6)="MV15AX",LEFT(K4576,4)="CTAX",LEFT(K4576,2)="W|"),2*N4576*O4576,0)</f>
        <v/>
      </c>
      <c r="Z4576" s="12" t="inlineStr">
        <is>
          <t>device-to-JB field wiring, one cable per device</t>
        </is>
      </c>
      <c r="AA4576" s="12">
        <f>N4576*O4576</f>
        <v/>
      </c>
    </row>
    <row r="4577">
      <c r="A4577" s="12" t="inlineStr">
        <is>
          <t>I-I-0219</t>
        </is>
      </c>
      <c r="B4577" s="12" t="inlineStr">
        <is>
          <t>I</t>
        </is>
      </c>
      <c r="C4577" s="12" t="inlineStr">
        <is>
          <t>Modular / portable power</t>
        </is>
      </c>
      <c r="D4577" s="12" t="inlineStr">
        <is>
          <t>Home run JB-RICE 8 radiators (-AI01 to the control / marshalling room</t>
        </is>
      </c>
      <c r="E4577" s="12" t="inlineStr"/>
      <c r="F4577" s="12" t="inlineStr">
        <is>
          <t>PCM: power control module</t>
        </is>
      </c>
      <c r="G4577" s="12" t="inlineStr">
        <is>
          <t>JB-RICE 8 radiators (-AI01</t>
        </is>
      </c>
      <c r="H4577" s="12" t="inlineStr">
        <is>
          <t>RICE 8 radiators (5)</t>
        </is>
      </c>
      <c r="I4577" s="12" t="inlineStr">
        <is>
          <t>Instrumentation</t>
        </is>
      </c>
      <c r="J4577" s="12" t="inlineStr">
        <is>
          <t>Instrumentation PLTC / TC-ER 300 V, #18 twisted shielded pairs, overall shield</t>
        </is>
      </c>
      <c r="K4577" s="12" t="inlineStr">
        <is>
          <t>PLTC|24 pr|18</t>
        </is>
      </c>
      <c r="L4577" s="12" t="inlineStr">
        <is>
          <t>24 pr</t>
        </is>
      </c>
      <c r="M4577" s="12" t="inlineStr">
        <is>
          <t>18</t>
        </is>
      </c>
      <c r="N4577" s="12" t="n">
        <v>1</v>
      </c>
      <c r="O4577" s="12" t="n">
        <v>1</v>
      </c>
      <c r="P4577" s="12" t="n"/>
      <c r="Q4577" s="12" t="n"/>
      <c r="R4577" s="12" t="n"/>
      <c r="S4577" s="12" t="inlineStr">
        <is>
          <t>Tray</t>
        </is>
      </c>
      <c r="T4577" s="16" t="n">
        <v>0</v>
      </c>
      <c r="U4577" s="16" t="n">
        <v>94</v>
      </c>
      <c r="V4577" s="16">
        <f>ROUNDUP((T4577+U4577+2*'Read Me'!$B$13)*(1+'Read Me'!$B$12),-1)</f>
        <v/>
      </c>
      <c r="W4577" s="16">
        <f>V4577*N4577*O4577</f>
        <v/>
      </c>
      <c r="X4577" s="12">
        <f>IF(LEFT(I4577,2)="MV",2*N4577*IF(L4577="1/C",O4577,1),0)</f>
        <v/>
      </c>
      <c r="Y4577" s="12">
        <f>IF(OR(LEFT(K4577,4)="LVAX",LEFT(K4577,6)="MV15AX",LEFT(K4577,4)="CTAX",LEFT(K4577,2)="W|"),2*N4577*O4577,0)</f>
        <v/>
      </c>
      <c r="Z4577" s="12" t="inlineStr"/>
      <c r="AA4577" s="12">
        <f>N4577*O4577</f>
        <v/>
      </c>
    </row>
    <row r="4578">
      <c r="A4578" s="12" t="inlineStr">
        <is>
          <t>I-I-0220</t>
        </is>
      </c>
      <c r="B4578" s="12" t="inlineStr">
        <is>
          <t>I</t>
        </is>
      </c>
      <c r="C4578" s="12" t="inlineStr">
        <is>
          <t>Modular / portable power</t>
        </is>
      </c>
      <c r="D4578" s="12" t="inlineStr">
        <is>
          <t>Discrete device to JB JB-RICE 8 radiators (-DI01: 10 x 1 pr (field cables)</t>
        </is>
      </c>
      <c r="E4578" s="12" t="inlineStr"/>
      <c r="F4578" s="12" t="inlineStr">
        <is>
          <t>RICE 8 radiators (5)</t>
        </is>
      </c>
      <c r="G4578" s="12" t="inlineStr">
        <is>
          <t>JB-RICE 8 radiators (-DI01</t>
        </is>
      </c>
      <c r="H4578" s="12" t="inlineStr">
        <is>
          <t>RICE 8 radiators (5)</t>
        </is>
      </c>
      <c r="I4578" s="12" t="inlineStr">
        <is>
          <t>Instrumentation</t>
        </is>
      </c>
      <c r="J4578" s="12" t="inlineStr">
        <is>
          <t>Instrumentation PLTC / TC-ER 300 V, #18 twisted shielded pairs, overall shield</t>
        </is>
      </c>
      <c r="K4578" s="12" t="inlineStr">
        <is>
          <t>PLTC|1 pr|16</t>
        </is>
      </c>
      <c r="L4578" s="12" t="inlineStr">
        <is>
          <t>1 pr</t>
        </is>
      </c>
      <c r="M4578" s="12" t="inlineStr">
        <is>
          <t>16</t>
        </is>
      </c>
      <c r="N4578" s="12" t="n">
        <v>10</v>
      </c>
      <c r="O4578" s="12" t="n">
        <v>1</v>
      </c>
      <c r="P4578" s="12" t="n"/>
      <c r="Q4578" s="12" t="n"/>
      <c r="R4578" s="12" t="n"/>
      <c r="S4578" s="12" t="inlineStr">
        <is>
          <t>Tray / conduit</t>
        </is>
      </c>
      <c r="T4578" s="16" t="n">
        <v>80</v>
      </c>
      <c r="U4578" s="16" t="n">
        <v>10</v>
      </c>
      <c r="V4578" s="16">
        <f>ROUNDUP((T4578+U4578+2*'Read Me'!$B$13)*(1+'Read Me'!$B$12),-1)</f>
        <v/>
      </c>
      <c r="W4578" s="16">
        <f>V4578*N4578*O4578</f>
        <v/>
      </c>
      <c r="X4578" s="12">
        <f>IF(LEFT(I4578,2)="MV",2*N4578*IF(L4578="1/C",O4578,1),0)</f>
        <v/>
      </c>
      <c r="Y4578" s="12">
        <f>IF(OR(LEFT(K4578,4)="LVAX",LEFT(K4578,6)="MV15AX",LEFT(K4578,4)="CTAX",LEFT(K4578,2)="W|"),2*N4578*O4578,0)</f>
        <v/>
      </c>
      <c r="Z4578" s="12" t="inlineStr">
        <is>
          <t>device-to-JB field wiring, one cable per device</t>
        </is>
      </c>
      <c r="AA4578" s="12">
        <f>N4578*O4578</f>
        <v/>
      </c>
    </row>
    <row r="4579">
      <c r="A4579" s="12" t="inlineStr">
        <is>
          <t>I-I-0221</t>
        </is>
      </c>
      <c r="B4579" s="12" t="inlineStr">
        <is>
          <t>I</t>
        </is>
      </c>
      <c r="C4579" s="12" t="inlineStr">
        <is>
          <t>Modular / portable power</t>
        </is>
      </c>
      <c r="D4579" s="12" t="inlineStr">
        <is>
          <t>Home run JB-RICE 8 radiators (-DI01 to the control / marshalling room</t>
        </is>
      </c>
      <c r="E4579" s="12" t="inlineStr"/>
      <c r="F4579" s="12" t="inlineStr">
        <is>
          <t>PCM: power control module</t>
        </is>
      </c>
      <c r="G4579" s="12" t="inlineStr">
        <is>
          <t>JB-RICE 8 radiators (-DI01</t>
        </is>
      </c>
      <c r="H4579" s="12" t="inlineStr">
        <is>
          <t>RICE 8 radiators (5)</t>
        </is>
      </c>
      <c r="I4579" s="12" t="inlineStr">
        <is>
          <t>Instrumentation</t>
        </is>
      </c>
      <c r="J4579" s="12" t="inlineStr">
        <is>
          <t>Instrumentation PLTC / TC-ER 300 V, #18 twisted shielded pairs, overall shield</t>
        </is>
      </c>
      <c r="K4579" s="12" t="inlineStr">
        <is>
          <t>PLTC|24 pr|18</t>
        </is>
      </c>
      <c r="L4579" s="12" t="inlineStr">
        <is>
          <t>24 pr</t>
        </is>
      </c>
      <c r="M4579" s="12" t="inlineStr">
        <is>
          <t>18</t>
        </is>
      </c>
      <c r="N4579" s="12" t="n">
        <v>1</v>
      </c>
      <c r="O4579" s="12" t="n">
        <v>1</v>
      </c>
      <c r="P4579" s="12" t="n"/>
      <c r="Q4579" s="12" t="n"/>
      <c r="R4579" s="12" t="n"/>
      <c r="S4579" s="12" t="inlineStr">
        <is>
          <t>Tray</t>
        </is>
      </c>
      <c r="T4579" s="16" t="n">
        <v>0</v>
      </c>
      <c r="U4579" s="16" t="n">
        <v>94</v>
      </c>
      <c r="V4579" s="16">
        <f>ROUNDUP((T4579+U4579+2*'Read Me'!$B$13)*(1+'Read Me'!$B$12),-1)</f>
        <v/>
      </c>
      <c r="W4579" s="16">
        <f>V4579*N4579*O4579</f>
        <v/>
      </c>
      <c r="X4579" s="12">
        <f>IF(LEFT(I4579,2)="MV",2*N4579*IF(L4579="1/C",O4579,1),0)</f>
        <v/>
      </c>
      <c r="Y4579" s="12">
        <f>IF(OR(LEFT(K4579,4)="LVAX",LEFT(K4579,6)="MV15AX",LEFT(K4579,4)="CTAX",LEFT(K4579,2)="W|"),2*N4579*O4579,0)</f>
        <v/>
      </c>
      <c r="Z4579" s="12" t="inlineStr"/>
      <c r="AA4579" s="12">
        <f>N4579*O4579</f>
        <v/>
      </c>
    </row>
    <row r="4580">
      <c r="A4580" s="12" t="inlineStr">
        <is>
          <t>I-I-0222</t>
        </is>
      </c>
      <c r="B4580" s="12" t="inlineStr">
        <is>
          <t>I</t>
        </is>
      </c>
      <c r="C4580" s="12" t="inlineStr">
        <is>
          <t>Modular / portable power</t>
        </is>
      </c>
      <c r="D4580" s="12" t="inlineStr">
        <is>
          <t>Instrumentation</t>
        </is>
      </c>
      <c r="E4580" s="12" t="inlineStr"/>
      <c r="F4580" s="12" t="inlineStr">
        <is>
          <t>PCM: power control module</t>
        </is>
      </c>
      <c r="G4580" s="12" t="inlineStr">
        <is>
          <t>RICE</t>
        </is>
      </c>
      <c r="H4580" s="12" t="inlineStr">
        <is>
          <t>RICE engine hall (8 engines)</t>
        </is>
      </c>
      <c r="I4580" s="12" t="inlineStr">
        <is>
          <t>Instrumentation</t>
        </is>
      </c>
      <c r="J4580" s="12" t="inlineStr">
        <is>
          <t>Instrumentation PLTC / TC-ER 300 V, #18 twisted shielded pairs, overall shield</t>
        </is>
      </c>
      <c r="K4580" s="12" t="inlineStr">
        <is>
          <t>PLTC|4 pr|18</t>
        </is>
      </c>
      <c r="L4580" s="12" t="inlineStr">
        <is>
          <t>4 pr</t>
        </is>
      </c>
      <c r="M4580" s="12" t="inlineStr">
        <is>
          <t>18</t>
        </is>
      </c>
      <c r="N4580" s="12" t="n">
        <v>1</v>
      </c>
      <c r="O4580" s="12" t="n">
        <v>1</v>
      </c>
      <c r="P4580" s="12" t="n"/>
      <c r="Q4580" s="12" t="n"/>
      <c r="R4580" s="12" t="n"/>
      <c r="S4580" s="12" t="inlineStr">
        <is>
          <t>Duct bank</t>
        </is>
      </c>
      <c r="T4580" s="16" t="n">
        <v>367</v>
      </c>
      <c r="U4580" s="16" t="n">
        <v>95</v>
      </c>
      <c r="V4580" s="16">
        <f>ROUNDUP((T4580+U4580+2*'Read Me'!$B$13)*(1+'Read Me'!$B$12),-1)</f>
        <v/>
      </c>
      <c r="W4580" s="16">
        <f>V4580*N4580*O4580</f>
        <v/>
      </c>
      <c r="X4580" s="12">
        <f>IF(LEFT(I4580,2)="MV",2*N4580*IF(L4580="1/C",O4580,1),0)</f>
        <v/>
      </c>
      <c r="Y4580" s="12">
        <f>IF(OR(LEFT(K4580,4)="LVAX",LEFT(K4580,6)="MV15AX",LEFT(K4580,4)="CTAX",LEFT(K4580,2)="W|"),2*N4580*O4580,0)</f>
        <v/>
      </c>
      <c r="Z4580" s="12" t="inlineStr"/>
      <c r="AA4580" s="12">
        <f>N4580*O4580</f>
        <v/>
      </c>
    </row>
    <row r="4581">
      <c r="A4581" s="12" t="inlineStr">
        <is>
          <t>I-I-0223</t>
        </is>
      </c>
      <c r="B4581" s="12" t="inlineStr">
        <is>
          <t>I</t>
        </is>
      </c>
      <c r="C4581" s="12" t="inlineStr">
        <is>
          <t>Modular / portable power</t>
        </is>
      </c>
      <c r="D4581" s="12" t="inlineStr">
        <is>
          <t>Instrumentation</t>
        </is>
      </c>
      <c r="E4581" s="12" t="inlineStr"/>
      <c r="F4581" s="12" t="inlineStr">
        <is>
          <t>PCM: power control module</t>
        </is>
      </c>
      <c r="G4581" s="12" t="inlineStr">
        <is>
          <t>RICE</t>
        </is>
      </c>
      <c r="H4581" s="12" t="inlineStr">
        <is>
          <t>RICE engine hall (8 engines)</t>
        </is>
      </c>
      <c r="I4581" s="12" t="inlineStr">
        <is>
          <t>Instrumentation</t>
        </is>
      </c>
      <c r="J4581" s="12" t="inlineStr">
        <is>
          <t>Instrumentation PLTC / TC-ER 300 V, #18 twisted shielded pairs, overall shield</t>
        </is>
      </c>
      <c r="K4581" s="12" t="inlineStr">
        <is>
          <t>PLTC|4 pr|18</t>
        </is>
      </c>
      <c r="L4581" s="12" t="inlineStr">
        <is>
          <t>4 pr</t>
        </is>
      </c>
      <c r="M4581" s="12" t="inlineStr">
        <is>
          <t>18</t>
        </is>
      </c>
      <c r="N4581" s="12" t="n">
        <v>1</v>
      </c>
      <c r="O4581" s="12" t="n">
        <v>1</v>
      </c>
      <c r="P4581" s="12" t="n"/>
      <c r="Q4581" s="12" t="n"/>
      <c r="R4581" s="12" t="n"/>
      <c r="S4581" s="12" t="inlineStr">
        <is>
          <t>Duct bank</t>
        </is>
      </c>
      <c r="T4581" s="16" t="n">
        <v>367</v>
      </c>
      <c r="U4581" s="16" t="n">
        <v>95</v>
      </c>
      <c r="V4581" s="16">
        <f>ROUNDUP((T4581+U4581+2*'Read Me'!$B$13)*(1+'Read Me'!$B$12),-1)</f>
        <v/>
      </c>
      <c r="W4581" s="16">
        <f>V4581*N4581*O4581</f>
        <v/>
      </c>
      <c r="X4581" s="12">
        <f>IF(LEFT(I4581,2)="MV",2*N4581*IF(L4581="1/C",O4581,1),0)</f>
        <v/>
      </c>
      <c r="Y4581" s="12">
        <f>IF(OR(LEFT(K4581,4)="LVAX",LEFT(K4581,6)="MV15AX",LEFT(K4581,4)="CTAX",LEFT(K4581,2)="W|"),2*N4581*O4581,0)</f>
        <v/>
      </c>
      <c r="Z4581" s="12" t="inlineStr"/>
      <c r="AA4581" s="12">
        <f>N4581*O4581</f>
        <v/>
      </c>
    </row>
    <row r="4582">
      <c r="A4582" s="12" t="inlineStr">
        <is>
          <t>I-I-0224</t>
        </is>
      </c>
      <c r="B4582" s="12" t="inlineStr">
        <is>
          <t>I</t>
        </is>
      </c>
      <c r="C4582" s="12" t="inlineStr">
        <is>
          <t>Modular / portable power</t>
        </is>
      </c>
      <c r="D4582" s="12" t="inlineStr">
        <is>
          <t>Instrumentation</t>
        </is>
      </c>
      <c r="E4582" s="12" t="inlineStr"/>
      <c r="F4582" s="12" t="inlineStr">
        <is>
          <t>PCM: power control module</t>
        </is>
      </c>
      <c r="G4582" s="12" t="inlineStr">
        <is>
          <t>RICE</t>
        </is>
      </c>
      <c r="H4582" s="12" t="inlineStr">
        <is>
          <t>RICE engine hall (8 engines)</t>
        </is>
      </c>
      <c r="I4582" s="12" t="inlineStr">
        <is>
          <t>Instrumentation</t>
        </is>
      </c>
      <c r="J4582" s="12" t="inlineStr">
        <is>
          <t>Instrumentation PLTC / TC-ER 300 V, #18 twisted shielded pairs, overall shield</t>
        </is>
      </c>
      <c r="K4582" s="12" t="inlineStr">
        <is>
          <t>PLTC|12 pr|18</t>
        </is>
      </c>
      <c r="L4582" s="12" t="inlineStr">
        <is>
          <t>12 pr</t>
        </is>
      </c>
      <c r="M4582" s="12" t="inlineStr">
        <is>
          <t>18</t>
        </is>
      </c>
      <c r="N4582" s="12" t="n">
        <v>1</v>
      </c>
      <c r="O4582" s="12" t="n">
        <v>1</v>
      </c>
      <c r="P4582" s="12" t="n"/>
      <c r="Q4582" s="12" t="n"/>
      <c r="R4582" s="12" t="n"/>
      <c r="S4582" s="12" t="inlineStr">
        <is>
          <t>Duct bank</t>
        </is>
      </c>
      <c r="T4582" s="16" t="n">
        <v>367</v>
      </c>
      <c r="U4582" s="16" t="n">
        <v>95</v>
      </c>
      <c r="V4582" s="16">
        <f>ROUNDUP((T4582+U4582+2*'Read Me'!$B$13)*(1+'Read Me'!$B$12),-1)</f>
        <v/>
      </c>
      <c r="W4582" s="16">
        <f>V4582*N4582*O4582</f>
        <v/>
      </c>
      <c r="X4582" s="12">
        <f>IF(LEFT(I4582,2)="MV",2*N4582*IF(L4582="1/C",O4582,1),0)</f>
        <v/>
      </c>
      <c r="Y4582" s="12">
        <f>IF(OR(LEFT(K4582,4)="LVAX",LEFT(K4582,6)="MV15AX",LEFT(K4582,4)="CTAX",LEFT(K4582,2)="W|"),2*N4582*O4582,0)</f>
        <v/>
      </c>
      <c r="Z4582" s="12" t="inlineStr"/>
      <c r="AA4582" s="12">
        <f>N4582*O4582</f>
        <v/>
      </c>
    </row>
    <row r="4583">
      <c r="A4583" s="12" t="inlineStr">
        <is>
          <t>I-I-0225</t>
        </is>
      </c>
      <c r="B4583" s="12" t="inlineStr">
        <is>
          <t>I</t>
        </is>
      </c>
      <c r="C4583" s="12" t="inlineStr">
        <is>
          <t>Modular / portable power</t>
        </is>
      </c>
      <c r="D4583" s="12" t="inlineStr">
        <is>
          <t>Instrumentation</t>
        </is>
      </c>
      <c r="E4583" s="12" t="inlineStr"/>
      <c r="F4583" s="12" t="inlineStr">
        <is>
          <t>PCM: power control module</t>
        </is>
      </c>
      <c r="G4583" s="12" t="inlineStr">
        <is>
          <t>RICE</t>
        </is>
      </c>
      <c r="H4583" s="12" t="inlineStr">
        <is>
          <t>RICE engine hall (8 engines)</t>
        </is>
      </c>
      <c r="I4583" s="12" t="inlineStr">
        <is>
          <t>Instrumentation</t>
        </is>
      </c>
      <c r="J4583" s="12" t="inlineStr">
        <is>
          <t>Instrumentation PLTC / TC-ER 300 V, #18 twisted shielded pairs, overall shield</t>
        </is>
      </c>
      <c r="K4583" s="12" t="inlineStr">
        <is>
          <t>PLTC|12 pr|18</t>
        </is>
      </c>
      <c r="L4583" s="12" t="inlineStr">
        <is>
          <t>12 pr</t>
        </is>
      </c>
      <c r="M4583" s="12" t="inlineStr">
        <is>
          <t>18</t>
        </is>
      </c>
      <c r="N4583" s="12" t="n">
        <v>1</v>
      </c>
      <c r="O4583" s="12" t="n">
        <v>1</v>
      </c>
      <c r="P4583" s="12" t="n"/>
      <c r="Q4583" s="12" t="n"/>
      <c r="R4583" s="12" t="n"/>
      <c r="S4583" s="12" t="inlineStr">
        <is>
          <t>Duct bank</t>
        </is>
      </c>
      <c r="T4583" s="16" t="n">
        <v>367</v>
      </c>
      <c r="U4583" s="16" t="n">
        <v>95</v>
      </c>
      <c r="V4583" s="16">
        <f>ROUNDUP((T4583+U4583+2*'Read Me'!$B$13)*(1+'Read Me'!$B$12),-1)</f>
        <v/>
      </c>
      <c r="W4583" s="16">
        <f>V4583*N4583*O4583</f>
        <v/>
      </c>
      <c r="X4583" s="12">
        <f>IF(LEFT(I4583,2)="MV",2*N4583*IF(L4583="1/C",O4583,1),0)</f>
        <v/>
      </c>
      <c r="Y4583" s="12">
        <f>IF(OR(LEFT(K4583,4)="LVAX",LEFT(K4583,6)="MV15AX",LEFT(K4583,4)="CTAX",LEFT(K4583,2)="W|"),2*N4583*O4583,0)</f>
        <v/>
      </c>
      <c r="Z4583" s="12" t="inlineStr"/>
      <c r="AA4583" s="12">
        <f>N4583*O4583</f>
        <v/>
      </c>
    </row>
    <row r="4584">
      <c r="A4584" s="12" t="inlineStr">
        <is>
          <t>I-I-0226</t>
        </is>
      </c>
      <c r="B4584" s="12" t="inlineStr">
        <is>
          <t>I</t>
        </is>
      </c>
      <c r="C4584" s="12" t="inlineStr">
        <is>
          <t>Modular / portable power</t>
        </is>
      </c>
      <c r="D4584" s="12" t="inlineStr">
        <is>
          <t>Instrumentation</t>
        </is>
      </c>
      <c r="E4584" s="12" t="inlineStr"/>
      <c r="F4584" s="12" t="inlineStr">
        <is>
          <t>PCM: power control module</t>
        </is>
      </c>
      <c r="G4584" s="12" t="inlineStr">
        <is>
          <t>RICE</t>
        </is>
      </c>
      <c r="H4584" s="12" t="inlineStr">
        <is>
          <t>RICE engine hall (8 engines)</t>
        </is>
      </c>
      <c r="I4584" s="12" t="inlineStr">
        <is>
          <t>Instrumentation</t>
        </is>
      </c>
      <c r="J4584" s="12" t="inlineStr">
        <is>
          <t>Instrumentation PLTC / TC-ER 300 V, #18 twisted shielded pairs, overall shield</t>
        </is>
      </c>
      <c r="K4584" s="12" t="inlineStr">
        <is>
          <t>PLTC|12 pr|18</t>
        </is>
      </c>
      <c r="L4584" s="12" t="inlineStr">
        <is>
          <t>12 pr</t>
        </is>
      </c>
      <c r="M4584" s="12" t="inlineStr">
        <is>
          <t>18</t>
        </is>
      </c>
      <c r="N4584" s="12" t="n">
        <v>1</v>
      </c>
      <c r="O4584" s="12" t="n">
        <v>1</v>
      </c>
      <c r="P4584" s="12" t="n"/>
      <c r="Q4584" s="12" t="n"/>
      <c r="R4584" s="12" t="n"/>
      <c r="S4584" s="12" t="inlineStr">
        <is>
          <t>Duct bank</t>
        </is>
      </c>
      <c r="T4584" s="16" t="n">
        <v>367</v>
      </c>
      <c r="U4584" s="16" t="n">
        <v>95</v>
      </c>
      <c r="V4584" s="16">
        <f>ROUNDUP((T4584+U4584+2*'Read Me'!$B$13)*(1+'Read Me'!$B$12),-1)</f>
        <v/>
      </c>
      <c r="W4584" s="16">
        <f>V4584*N4584*O4584</f>
        <v/>
      </c>
      <c r="X4584" s="12">
        <f>IF(LEFT(I4584,2)="MV",2*N4584*IF(L4584="1/C",O4584,1),0)</f>
        <v/>
      </c>
      <c r="Y4584" s="12">
        <f>IF(OR(LEFT(K4584,4)="LVAX",LEFT(K4584,6)="MV15AX",LEFT(K4584,4)="CTAX",LEFT(K4584,2)="W|"),2*N4584*O4584,0)</f>
        <v/>
      </c>
      <c r="Z4584" s="12" t="inlineStr"/>
      <c r="AA4584" s="12">
        <f>N4584*O4584</f>
        <v/>
      </c>
    </row>
    <row r="4585">
      <c r="A4585" s="12" t="inlineStr">
        <is>
          <t>I-I-0227</t>
        </is>
      </c>
      <c r="B4585" s="12" t="inlineStr">
        <is>
          <t>I</t>
        </is>
      </c>
      <c r="C4585" s="12" t="inlineStr">
        <is>
          <t>Modular / portable power</t>
        </is>
      </c>
      <c r="D4585" s="12" t="inlineStr">
        <is>
          <t>Instrumentation</t>
        </is>
      </c>
      <c r="E4585" s="12" t="inlineStr"/>
      <c r="F4585" s="12" t="inlineStr">
        <is>
          <t>PCM: power control module</t>
        </is>
      </c>
      <c r="G4585" s="12" t="inlineStr">
        <is>
          <t>RICE</t>
        </is>
      </c>
      <c r="H4585" s="12" t="inlineStr">
        <is>
          <t>RICE engine hall (8 engines)</t>
        </is>
      </c>
      <c r="I4585" s="12" t="inlineStr">
        <is>
          <t>Instrumentation</t>
        </is>
      </c>
      <c r="J4585" s="12" t="inlineStr">
        <is>
          <t>Instrumentation PLTC / TC-ER 300 V, #18 twisted shielded pairs, overall shield</t>
        </is>
      </c>
      <c r="K4585" s="12" t="inlineStr">
        <is>
          <t>PLTC|12 pr|18</t>
        </is>
      </c>
      <c r="L4585" s="12" t="inlineStr">
        <is>
          <t>12 pr</t>
        </is>
      </c>
      <c r="M4585" s="12" t="inlineStr">
        <is>
          <t>18</t>
        </is>
      </c>
      <c r="N4585" s="12" t="n">
        <v>1</v>
      </c>
      <c r="O4585" s="12" t="n">
        <v>1</v>
      </c>
      <c r="P4585" s="12" t="n"/>
      <c r="Q4585" s="12" t="n"/>
      <c r="R4585" s="12" t="n"/>
      <c r="S4585" s="12" t="inlineStr">
        <is>
          <t>Duct bank</t>
        </is>
      </c>
      <c r="T4585" s="16" t="n">
        <v>367</v>
      </c>
      <c r="U4585" s="16" t="n">
        <v>95</v>
      </c>
      <c r="V4585" s="16">
        <f>ROUNDUP((T4585+U4585+2*'Read Me'!$B$13)*(1+'Read Me'!$B$12),-1)</f>
        <v/>
      </c>
      <c r="W4585" s="16">
        <f>V4585*N4585*O4585</f>
        <v/>
      </c>
      <c r="X4585" s="12">
        <f>IF(LEFT(I4585,2)="MV",2*N4585*IF(L4585="1/C",O4585,1),0)</f>
        <v/>
      </c>
      <c r="Y4585" s="12">
        <f>IF(OR(LEFT(K4585,4)="LVAX",LEFT(K4585,6)="MV15AX",LEFT(K4585,4)="CTAX",LEFT(K4585,2)="W|"),2*N4585*O4585,0)</f>
        <v/>
      </c>
      <c r="Z4585" s="12" t="inlineStr"/>
      <c r="AA4585" s="12">
        <f>N4585*O4585</f>
        <v/>
      </c>
    </row>
    <row r="4586">
      <c r="A4586" s="12" t="inlineStr">
        <is>
          <t>I-I-0228</t>
        </is>
      </c>
      <c r="B4586" s="12" t="inlineStr">
        <is>
          <t>I</t>
        </is>
      </c>
      <c r="C4586" s="12" t="inlineStr">
        <is>
          <t>Modular / portable power</t>
        </is>
      </c>
      <c r="D4586" s="12" t="inlineStr">
        <is>
          <t>Instrumentation</t>
        </is>
      </c>
      <c r="E4586" s="12" t="inlineStr"/>
      <c r="F4586" s="12" t="inlineStr">
        <is>
          <t>PCM: power control module</t>
        </is>
      </c>
      <c r="G4586" s="12" t="inlineStr">
        <is>
          <t>RICE</t>
        </is>
      </c>
      <c r="H4586" s="12" t="inlineStr">
        <is>
          <t>RICE engine hall (8 engines)</t>
        </is>
      </c>
      <c r="I4586" s="12" t="inlineStr">
        <is>
          <t>Instrumentation</t>
        </is>
      </c>
      <c r="J4586" s="12" t="inlineStr">
        <is>
          <t>Instrumentation PLTC / TC-ER 300 V, #18 twisted shielded pairs, overall shield</t>
        </is>
      </c>
      <c r="K4586" s="12" t="inlineStr">
        <is>
          <t>PLTC|12 pr|18</t>
        </is>
      </c>
      <c r="L4586" s="12" t="inlineStr">
        <is>
          <t>12 pr</t>
        </is>
      </c>
      <c r="M4586" s="12" t="inlineStr">
        <is>
          <t>18</t>
        </is>
      </c>
      <c r="N4586" s="12" t="n">
        <v>1</v>
      </c>
      <c r="O4586" s="12" t="n">
        <v>1</v>
      </c>
      <c r="P4586" s="12" t="n"/>
      <c r="Q4586" s="12" t="n"/>
      <c r="R4586" s="12" t="n"/>
      <c r="S4586" s="12" t="inlineStr">
        <is>
          <t>Duct bank</t>
        </is>
      </c>
      <c r="T4586" s="16" t="n">
        <v>367</v>
      </c>
      <c r="U4586" s="16" t="n">
        <v>95</v>
      </c>
      <c r="V4586" s="16">
        <f>ROUNDUP((T4586+U4586+2*'Read Me'!$B$13)*(1+'Read Me'!$B$12),-1)</f>
        <v/>
      </c>
      <c r="W4586" s="16">
        <f>V4586*N4586*O4586</f>
        <v/>
      </c>
      <c r="X4586" s="12">
        <f>IF(LEFT(I4586,2)="MV",2*N4586*IF(L4586="1/C",O4586,1),0)</f>
        <v/>
      </c>
      <c r="Y4586" s="12">
        <f>IF(OR(LEFT(K4586,4)="LVAX",LEFT(K4586,6)="MV15AX",LEFT(K4586,4)="CTAX",LEFT(K4586,2)="W|"),2*N4586*O4586,0)</f>
        <v/>
      </c>
      <c r="Z4586" s="12" t="inlineStr"/>
      <c r="AA4586" s="12">
        <f>N4586*O4586</f>
        <v/>
      </c>
    </row>
    <row r="4587">
      <c r="A4587" s="12" t="inlineStr">
        <is>
          <t>I-I-0229</t>
        </is>
      </c>
      <c r="B4587" s="12" t="inlineStr">
        <is>
          <t>I</t>
        </is>
      </c>
      <c r="C4587" s="12" t="inlineStr">
        <is>
          <t>Modular / portable power</t>
        </is>
      </c>
      <c r="D4587" s="12" t="inlineStr">
        <is>
          <t>Instrumentation</t>
        </is>
      </c>
      <c r="E4587" s="12" t="inlineStr"/>
      <c r="F4587" s="12" t="inlineStr">
        <is>
          <t>PCM: power control module</t>
        </is>
      </c>
      <c r="G4587" s="12" t="inlineStr">
        <is>
          <t>RICE</t>
        </is>
      </c>
      <c r="H4587" s="12" t="inlineStr">
        <is>
          <t>RICE engine hall (8 engines)</t>
        </is>
      </c>
      <c r="I4587" s="12" t="inlineStr">
        <is>
          <t>Instrumentation</t>
        </is>
      </c>
      <c r="J4587" s="12" t="inlineStr">
        <is>
          <t>Instrumentation PLTC / TC-ER 300 V, #18 twisted shielded pairs, overall shield</t>
        </is>
      </c>
      <c r="K4587" s="12" t="inlineStr">
        <is>
          <t>PLTC|12 pr|18</t>
        </is>
      </c>
      <c r="L4587" s="12" t="inlineStr">
        <is>
          <t>12 pr</t>
        </is>
      </c>
      <c r="M4587" s="12" t="inlineStr">
        <is>
          <t>18</t>
        </is>
      </c>
      <c r="N4587" s="12" t="n">
        <v>1</v>
      </c>
      <c r="O4587" s="12" t="n">
        <v>1</v>
      </c>
      <c r="P4587" s="12" t="n"/>
      <c r="Q4587" s="12" t="n"/>
      <c r="R4587" s="12" t="n"/>
      <c r="S4587" s="12" t="inlineStr">
        <is>
          <t>Duct bank</t>
        </is>
      </c>
      <c r="T4587" s="16" t="n">
        <v>367</v>
      </c>
      <c r="U4587" s="16" t="n">
        <v>95</v>
      </c>
      <c r="V4587" s="16">
        <f>ROUNDUP((T4587+U4587+2*'Read Me'!$B$13)*(1+'Read Me'!$B$12),-1)</f>
        <v/>
      </c>
      <c r="W4587" s="16">
        <f>V4587*N4587*O4587</f>
        <v/>
      </c>
      <c r="X4587" s="12">
        <f>IF(LEFT(I4587,2)="MV",2*N4587*IF(L4587="1/C",O4587,1),0)</f>
        <v/>
      </c>
      <c r="Y4587" s="12">
        <f>IF(OR(LEFT(K4587,4)="LVAX",LEFT(K4587,6)="MV15AX",LEFT(K4587,4)="CTAX",LEFT(K4587,2)="W|"),2*N4587*O4587,0)</f>
        <v/>
      </c>
      <c r="Z4587" s="12" t="inlineStr"/>
      <c r="AA4587" s="12">
        <f>N4587*O4587</f>
        <v/>
      </c>
    </row>
    <row r="4588">
      <c r="A4588" s="12" t="inlineStr">
        <is>
          <t>I-I-0230</t>
        </is>
      </c>
      <c r="B4588" s="12" t="inlineStr">
        <is>
          <t>I</t>
        </is>
      </c>
      <c r="C4588" s="12" t="inlineStr">
        <is>
          <t>Modular / portable power</t>
        </is>
      </c>
      <c r="D4588" s="12" t="inlineStr">
        <is>
          <t>Instrumentation</t>
        </is>
      </c>
      <c r="E4588" s="12" t="inlineStr"/>
      <c r="F4588" s="12" t="inlineStr">
        <is>
          <t>PCM: power control module</t>
        </is>
      </c>
      <c r="G4588" s="12" t="inlineStr">
        <is>
          <t>RICE</t>
        </is>
      </c>
      <c r="H4588" s="12" t="inlineStr">
        <is>
          <t>RICE engine hall (8 engines)</t>
        </is>
      </c>
      <c r="I4588" s="12" t="inlineStr">
        <is>
          <t>Instrumentation</t>
        </is>
      </c>
      <c r="J4588" s="12" t="inlineStr">
        <is>
          <t>Instrumentation PLTC / TC-ER 300 V, #18 twisted shielded pairs, overall shield</t>
        </is>
      </c>
      <c r="K4588" s="12" t="inlineStr">
        <is>
          <t>PLTC|12 pr|18</t>
        </is>
      </c>
      <c r="L4588" s="12" t="inlineStr">
        <is>
          <t>12 pr</t>
        </is>
      </c>
      <c r="M4588" s="12" t="inlineStr">
        <is>
          <t>18</t>
        </is>
      </c>
      <c r="N4588" s="12" t="n">
        <v>1</v>
      </c>
      <c r="O4588" s="12" t="n">
        <v>1</v>
      </c>
      <c r="P4588" s="12" t="n"/>
      <c r="Q4588" s="12" t="n"/>
      <c r="R4588" s="12" t="n"/>
      <c r="S4588" s="12" t="inlineStr">
        <is>
          <t>Duct bank</t>
        </is>
      </c>
      <c r="T4588" s="16" t="n">
        <v>367</v>
      </c>
      <c r="U4588" s="16" t="n">
        <v>95</v>
      </c>
      <c r="V4588" s="16">
        <f>ROUNDUP((T4588+U4588+2*'Read Me'!$B$13)*(1+'Read Me'!$B$12),-1)</f>
        <v/>
      </c>
      <c r="W4588" s="16">
        <f>V4588*N4588*O4588</f>
        <v/>
      </c>
      <c r="X4588" s="12">
        <f>IF(LEFT(I4588,2)="MV",2*N4588*IF(L4588="1/C",O4588,1),0)</f>
        <v/>
      </c>
      <c r="Y4588" s="12">
        <f>IF(OR(LEFT(K4588,4)="LVAX",LEFT(K4588,6)="MV15AX",LEFT(K4588,4)="CTAX",LEFT(K4588,2)="W|"),2*N4588*O4588,0)</f>
        <v/>
      </c>
      <c r="Z4588" s="12" t="inlineStr"/>
      <c r="AA4588" s="12">
        <f>N4588*O4588</f>
        <v/>
      </c>
    </row>
    <row r="4589">
      <c r="A4589" s="12" t="inlineStr">
        <is>
          <t>I-I-0231</t>
        </is>
      </c>
      <c r="B4589" s="12" t="inlineStr">
        <is>
          <t>I</t>
        </is>
      </c>
      <c r="C4589" s="12" t="inlineStr">
        <is>
          <t>Modular / portable power</t>
        </is>
      </c>
      <c r="D4589" s="12" t="inlineStr">
        <is>
          <t>Instrumentation</t>
        </is>
      </c>
      <c r="E4589" s="12" t="inlineStr"/>
      <c r="F4589" s="12" t="inlineStr">
        <is>
          <t>PCM: power control module</t>
        </is>
      </c>
      <c r="G4589" s="12" t="inlineStr">
        <is>
          <t>RICE</t>
        </is>
      </c>
      <c r="H4589" s="12" t="inlineStr">
        <is>
          <t>RICE engine hall (8 engines)</t>
        </is>
      </c>
      <c r="I4589" s="12" t="inlineStr">
        <is>
          <t>Instrumentation</t>
        </is>
      </c>
      <c r="J4589" s="12" t="inlineStr">
        <is>
          <t>Instrumentation PLTC / TC-ER 300 V, #18 twisted shielded pairs, overall shield</t>
        </is>
      </c>
      <c r="K4589" s="12" t="inlineStr">
        <is>
          <t>PLTC|12 pr|18</t>
        </is>
      </c>
      <c r="L4589" s="12" t="inlineStr">
        <is>
          <t>12 pr</t>
        </is>
      </c>
      <c r="M4589" s="12" t="inlineStr">
        <is>
          <t>18</t>
        </is>
      </c>
      <c r="N4589" s="12" t="n">
        <v>1</v>
      </c>
      <c r="O4589" s="12" t="n">
        <v>1</v>
      </c>
      <c r="P4589" s="12" t="n"/>
      <c r="Q4589" s="12" t="n"/>
      <c r="R4589" s="12" t="n"/>
      <c r="S4589" s="12" t="inlineStr">
        <is>
          <t>Duct bank</t>
        </is>
      </c>
      <c r="T4589" s="16" t="n">
        <v>367</v>
      </c>
      <c r="U4589" s="16" t="n">
        <v>95</v>
      </c>
      <c r="V4589" s="16">
        <f>ROUNDUP((T4589+U4589+2*'Read Me'!$B$13)*(1+'Read Me'!$B$12),-1)</f>
        <v/>
      </c>
      <c r="W4589" s="16">
        <f>V4589*N4589*O4589</f>
        <v/>
      </c>
      <c r="X4589" s="12">
        <f>IF(LEFT(I4589,2)="MV",2*N4589*IF(L4589="1/C",O4589,1),0)</f>
        <v/>
      </c>
      <c r="Y4589" s="12">
        <f>IF(OR(LEFT(K4589,4)="LVAX",LEFT(K4589,6)="MV15AX",LEFT(K4589,4)="CTAX",LEFT(K4589,2)="W|"),2*N4589*O4589,0)</f>
        <v/>
      </c>
      <c r="Z4589" s="12" t="inlineStr"/>
      <c r="AA4589" s="12">
        <f>N4589*O4589</f>
        <v/>
      </c>
    </row>
    <row r="4590">
      <c r="A4590" s="12" t="inlineStr">
        <is>
          <t>I-I-0232</t>
        </is>
      </c>
      <c r="B4590" s="12" t="inlineStr">
        <is>
          <t>I</t>
        </is>
      </c>
      <c r="C4590" s="12" t="inlineStr">
        <is>
          <t>Modular / portable power</t>
        </is>
      </c>
      <c r="D4590" s="12" t="inlineStr">
        <is>
          <t>Thermocouples</t>
        </is>
      </c>
      <c r="E4590" s="12" t="inlineStr"/>
      <c r="F4590" s="12" t="inlineStr">
        <is>
          <t>PCM: power control module</t>
        </is>
      </c>
      <c r="G4590" s="12" t="inlineStr">
        <is>
          <t>RICE</t>
        </is>
      </c>
      <c r="H4590" s="12" t="inlineStr">
        <is>
          <t>RICE engine hall (8 engines)</t>
        </is>
      </c>
      <c r="I4590" s="12" t="inlineStr">
        <is>
          <t>Instrumentation</t>
        </is>
      </c>
      <c r="J4590" s="12" t="inlineStr">
        <is>
          <t>Thermocouple extension KX, #16 shielded pairs, PLTC</t>
        </is>
      </c>
      <c r="K4590" s="12" t="inlineStr">
        <is>
          <t>TCX|12 pr|16</t>
        </is>
      </c>
      <c r="L4590" s="12" t="inlineStr">
        <is>
          <t>12 pr</t>
        </is>
      </c>
      <c r="M4590" s="12" t="inlineStr">
        <is>
          <t>16</t>
        </is>
      </c>
      <c r="N4590" s="12" t="n">
        <v>1</v>
      </c>
      <c r="O4590" s="12" t="n">
        <v>1</v>
      </c>
      <c r="P4590" s="12" t="n"/>
      <c r="Q4590" s="12" t="n"/>
      <c r="R4590" s="12" t="n"/>
      <c r="S4590" s="12" t="inlineStr">
        <is>
          <t>Duct bank</t>
        </is>
      </c>
      <c r="T4590" s="16" t="n">
        <v>367</v>
      </c>
      <c r="U4590" s="16" t="n">
        <v>95</v>
      </c>
      <c r="V4590" s="16">
        <f>ROUNDUP((T4590+U4590+2*'Read Me'!$B$13)*(1+'Read Me'!$B$12),-1)</f>
        <v/>
      </c>
      <c r="W4590" s="16">
        <f>V4590*N4590*O4590</f>
        <v/>
      </c>
      <c r="X4590" s="12">
        <f>IF(LEFT(I4590,2)="MV",2*N4590*IF(L4590="1/C",O4590,1),0)</f>
        <v/>
      </c>
      <c r="Y4590" s="12">
        <f>IF(OR(LEFT(K4590,4)="LVAX",LEFT(K4590,6)="MV15AX",LEFT(K4590,4)="CTAX",LEFT(K4590,2)="W|"),2*N4590*O4590,0)</f>
        <v/>
      </c>
      <c r="Z4590" s="12" t="inlineStr"/>
      <c r="AA4590" s="12">
        <f>N4590*O4590</f>
        <v/>
      </c>
    </row>
    <row r="4591">
      <c r="A4591" s="12" t="inlineStr">
        <is>
          <t>I-I-0233</t>
        </is>
      </c>
      <c r="B4591" s="12" t="inlineStr">
        <is>
          <t>I</t>
        </is>
      </c>
      <c r="C4591" s="12" t="inlineStr">
        <is>
          <t>Modular / portable power</t>
        </is>
      </c>
      <c r="D4591" s="12" t="inlineStr">
        <is>
          <t>Thermocouples</t>
        </is>
      </c>
      <c r="E4591" s="12" t="inlineStr"/>
      <c r="F4591" s="12" t="inlineStr">
        <is>
          <t>PCM: power control module</t>
        </is>
      </c>
      <c r="G4591" s="12" t="inlineStr">
        <is>
          <t>RICE</t>
        </is>
      </c>
      <c r="H4591" s="12" t="inlineStr">
        <is>
          <t>RICE engine hall (8 engines)</t>
        </is>
      </c>
      <c r="I4591" s="12" t="inlineStr">
        <is>
          <t>Instrumentation</t>
        </is>
      </c>
      <c r="J4591" s="12" t="inlineStr">
        <is>
          <t>Thermocouple extension KX, #16 shielded pairs, PLTC</t>
        </is>
      </c>
      <c r="K4591" s="12" t="inlineStr">
        <is>
          <t>TCX|12 pr|16</t>
        </is>
      </c>
      <c r="L4591" s="12" t="inlineStr">
        <is>
          <t>12 pr</t>
        </is>
      </c>
      <c r="M4591" s="12" t="inlineStr">
        <is>
          <t>16</t>
        </is>
      </c>
      <c r="N4591" s="12" t="n">
        <v>1</v>
      </c>
      <c r="O4591" s="12" t="n">
        <v>1</v>
      </c>
      <c r="P4591" s="12" t="n"/>
      <c r="Q4591" s="12" t="n"/>
      <c r="R4591" s="12" t="n"/>
      <c r="S4591" s="12" t="inlineStr">
        <is>
          <t>Duct bank</t>
        </is>
      </c>
      <c r="T4591" s="16" t="n">
        <v>367</v>
      </c>
      <c r="U4591" s="16" t="n">
        <v>95</v>
      </c>
      <c r="V4591" s="16">
        <f>ROUNDUP((T4591+U4591+2*'Read Me'!$B$13)*(1+'Read Me'!$B$12),-1)</f>
        <v/>
      </c>
      <c r="W4591" s="16">
        <f>V4591*N4591*O4591</f>
        <v/>
      </c>
      <c r="X4591" s="12">
        <f>IF(LEFT(I4591,2)="MV",2*N4591*IF(L4591="1/C",O4591,1),0)</f>
        <v/>
      </c>
      <c r="Y4591" s="12">
        <f>IF(OR(LEFT(K4591,4)="LVAX",LEFT(K4591,6)="MV15AX",LEFT(K4591,4)="CTAX",LEFT(K4591,2)="W|"),2*N4591*O4591,0)</f>
        <v/>
      </c>
      <c r="Z4591" s="12" t="inlineStr"/>
      <c r="AA4591" s="12">
        <f>N4591*O4591</f>
        <v/>
      </c>
    </row>
    <row r="4592">
      <c r="A4592" s="12" t="inlineStr">
        <is>
          <t>I-I-0234</t>
        </is>
      </c>
      <c r="B4592" s="12" t="inlineStr">
        <is>
          <t>I</t>
        </is>
      </c>
      <c r="C4592" s="12" t="inlineStr">
        <is>
          <t>Modular / portable power</t>
        </is>
      </c>
      <c r="D4592" s="12" t="inlineStr">
        <is>
          <t>Thermocouples</t>
        </is>
      </c>
      <c r="E4592" s="12" t="inlineStr"/>
      <c r="F4592" s="12" t="inlineStr">
        <is>
          <t>PCM: power control module</t>
        </is>
      </c>
      <c r="G4592" s="12" t="inlineStr">
        <is>
          <t>RICE</t>
        </is>
      </c>
      <c r="H4592" s="12" t="inlineStr">
        <is>
          <t>RICE engine hall (8 engines)</t>
        </is>
      </c>
      <c r="I4592" s="12" t="inlineStr">
        <is>
          <t>Instrumentation</t>
        </is>
      </c>
      <c r="J4592" s="12" t="inlineStr">
        <is>
          <t>Thermocouple extension KX, #16 shielded pairs, PLTC</t>
        </is>
      </c>
      <c r="K4592" s="12" t="inlineStr">
        <is>
          <t>TCX|12 pr|16</t>
        </is>
      </c>
      <c r="L4592" s="12" t="inlineStr">
        <is>
          <t>12 pr</t>
        </is>
      </c>
      <c r="M4592" s="12" t="inlineStr">
        <is>
          <t>16</t>
        </is>
      </c>
      <c r="N4592" s="12" t="n">
        <v>1</v>
      </c>
      <c r="O4592" s="12" t="n">
        <v>1</v>
      </c>
      <c r="P4592" s="12" t="n"/>
      <c r="Q4592" s="12" t="n"/>
      <c r="R4592" s="12" t="n"/>
      <c r="S4592" s="12" t="inlineStr">
        <is>
          <t>Duct bank</t>
        </is>
      </c>
      <c r="T4592" s="16" t="n">
        <v>367</v>
      </c>
      <c r="U4592" s="16" t="n">
        <v>95</v>
      </c>
      <c r="V4592" s="16">
        <f>ROUNDUP((T4592+U4592+2*'Read Me'!$B$13)*(1+'Read Me'!$B$12),-1)</f>
        <v/>
      </c>
      <c r="W4592" s="16">
        <f>V4592*N4592*O4592</f>
        <v/>
      </c>
      <c r="X4592" s="12">
        <f>IF(LEFT(I4592,2)="MV",2*N4592*IF(L4592="1/C",O4592,1),0)</f>
        <v/>
      </c>
      <c r="Y4592" s="12">
        <f>IF(OR(LEFT(K4592,4)="LVAX",LEFT(K4592,6)="MV15AX",LEFT(K4592,4)="CTAX",LEFT(K4592,2)="W|"),2*N4592*O4592,0)</f>
        <v/>
      </c>
      <c r="Z4592" s="12" t="inlineStr"/>
      <c r="AA4592" s="12">
        <f>N4592*O4592</f>
        <v/>
      </c>
    </row>
    <row r="4593">
      <c r="A4593" s="12" t="inlineStr">
        <is>
          <t>I-I-0235</t>
        </is>
      </c>
      <c r="B4593" s="12" t="inlineStr">
        <is>
          <t>I</t>
        </is>
      </c>
      <c r="C4593" s="12" t="inlineStr">
        <is>
          <t>Modular / portable power</t>
        </is>
      </c>
      <c r="D4593" s="12" t="inlineStr">
        <is>
          <t>Thermocouples</t>
        </is>
      </c>
      <c r="E4593" s="12" t="inlineStr"/>
      <c r="F4593" s="12" t="inlineStr">
        <is>
          <t>PCM: power control module</t>
        </is>
      </c>
      <c r="G4593" s="12" t="inlineStr">
        <is>
          <t>RICE</t>
        </is>
      </c>
      <c r="H4593" s="12" t="inlineStr">
        <is>
          <t>RICE engine hall (8 engines)</t>
        </is>
      </c>
      <c r="I4593" s="12" t="inlineStr">
        <is>
          <t>Instrumentation</t>
        </is>
      </c>
      <c r="J4593" s="12" t="inlineStr">
        <is>
          <t>Thermocouple extension KX, #16 shielded pairs, PLTC</t>
        </is>
      </c>
      <c r="K4593" s="12" t="inlineStr">
        <is>
          <t>TCX|12 pr|16</t>
        </is>
      </c>
      <c r="L4593" s="12" t="inlineStr">
        <is>
          <t>12 pr</t>
        </is>
      </c>
      <c r="M4593" s="12" t="inlineStr">
        <is>
          <t>16</t>
        </is>
      </c>
      <c r="N4593" s="12" t="n">
        <v>1</v>
      </c>
      <c r="O4593" s="12" t="n">
        <v>1</v>
      </c>
      <c r="P4593" s="12" t="n"/>
      <c r="Q4593" s="12" t="n"/>
      <c r="R4593" s="12" t="n"/>
      <c r="S4593" s="12" t="inlineStr">
        <is>
          <t>Duct bank</t>
        </is>
      </c>
      <c r="T4593" s="16" t="n">
        <v>367</v>
      </c>
      <c r="U4593" s="16" t="n">
        <v>95</v>
      </c>
      <c r="V4593" s="16">
        <f>ROUNDUP((T4593+U4593+2*'Read Me'!$B$13)*(1+'Read Me'!$B$12),-1)</f>
        <v/>
      </c>
      <c r="W4593" s="16">
        <f>V4593*N4593*O4593</f>
        <v/>
      </c>
      <c r="X4593" s="12">
        <f>IF(LEFT(I4593,2)="MV",2*N4593*IF(L4593="1/C",O4593,1),0)</f>
        <v/>
      </c>
      <c r="Y4593" s="12">
        <f>IF(OR(LEFT(K4593,4)="LVAX",LEFT(K4593,6)="MV15AX",LEFT(K4593,4)="CTAX",LEFT(K4593,2)="W|"),2*N4593*O4593,0)</f>
        <v/>
      </c>
      <c r="Z4593" s="12" t="inlineStr"/>
      <c r="AA4593" s="12">
        <f>N4593*O4593</f>
        <v/>
      </c>
    </row>
    <row r="4594">
      <c r="A4594" s="12" t="inlineStr">
        <is>
          <t>I-I-0236</t>
        </is>
      </c>
      <c r="B4594" s="12" t="inlineStr">
        <is>
          <t>I</t>
        </is>
      </c>
      <c r="C4594" s="12" t="inlineStr">
        <is>
          <t>Modular / portable power</t>
        </is>
      </c>
      <c r="D4594" s="12" t="inlineStr">
        <is>
          <t>Thermocouples</t>
        </is>
      </c>
      <c r="E4594" s="12" t="inlineStr"/>
      <c r="F4594" s="12" t="inlineStr">
        <is>
          <t>PCM: power control module</t>
        </is>
      </c>
      <c r="G4594" s="12" t="inlineStr">
        <is>
          <t>RICE</t>
        </is>
      </c>
      <c r="H4594" s="12" t="inlineStr">
        <is>
          <t>RICE engine hall (8 engines)</t>
        </is>
      </c>
      <c r="I4594" s="12" t="inlineStr">
        <is>
          <t>Instrumentation</t>
        </is>
      </c>
      <c r="J4594" s="12" t="inlineStr">
        <is>
          <t>Thermocouple extension KX, #16 shielded pairs, PLTC</t>
        </is>
      </c>
      <c r="K4594" s="12" t="inlineStr">
        <is>
          <t>TCX|12 pr|16</t>
        </is>
      </c>
      <c r="L4594" s="12" t="inlineStr">
        <is>
          <t>12 pr</t>
        </is>
      </c>
      <c r="M4594" s="12" t="inlineStr">
        <is>
          <t>16</t>
        </is>
      </c>
      <c r="N4594" s="12" t="n">
        <v>1</v>
      </c>
      <c r="O4594" s="12" t="n">
        <v>1</v>
      </c>
      <c r="P4594" s="12" t="n"/>
      <c r="Q4594" s="12" t="n"/>
      <c r="R4594" s="12" t="n"/>
      <c r="S4594" s="12" t="inlineStr">
        <is>
          <t>Duct bank</t>
        </is>
      </c>
      <c r="T4594" s="16" t="n">
        <v>367</v>
      </c>
      <c r="U4594" s="16" t="n">
        <v>95</v>
      </c>
      <c r="V4594" s="16">
        <f>ROUNDUP((T4594+U4594+2*'Read Me'!$B$13)*(1+'Read Me'!$B$12),-1)</f>
        <v/>
      </c>
      <c r="W4594" s="16">
        <f>V4594*N4594*O4594</f>
        <v/>
      </c>
      <c r="X4594" s="12">
        <f>IF(LEFT(I4594,2)="MV",2*N4594*IF(L4594="1/C",O4594,1),0)</f>
        <v/>
      </c>
      <c r="Y4594" s="12">
        <f>IF(OR(LEFT(K4594,4)="LVAX",LEFT(K4594,6)="MV15AX",LEFT(K4594,4)="CTAX",LEFT(K4594,2)="W|"),2*N4594*O4594,0)</f>
        <v/>
      </c>
      <c r="Z4594" s="12" t="inlineStr"/>
      <c r="AA4594" s="12">
        <f>N4594*O4594</f>
        <v/>
      </c>
    </row>
    <row r="4595">
      <c r="A4595" s="12" t="inlineStr">
        <is>
          <t>I-I-0237</t>
        </is>
      </c>
      <c r="B4595" s="12" t="inlineStr">
        <is>
          <t>I</t>
        </is>
      </c>
      <c r="C4595" s="12" t="inlineStr">
        <is>
          <t>Modular / portable power</t>
        </is>
      </c>
      <c r="D4595" s="12" t="inlineStr">
        <is>
          <t>Thermocouples</t>
        </is>
      </c>
      <c r="E4595" s="12" t="inlineStr"/>
      <c r="F4595" s="12" t="inlineStr">
        <is>
          <t>PCM: power control module</t>
        </is>
      </c>
      <c r="G4595" s="12" t="inlineStr">
        <is>
          <t>RICE</t>
        </is>
      </c>
      <c r="H4595" s="12" t="inlineStr">
        <is>
          <t>RICE engine hall (8 engines)</t>
        </is>
      </c>
      <c r="I4595" s="12" t="inlineStr">
        <is>
          <t>Instrumentation</t>
        </is>
      </c>
      <c r="J4595" s="12" t="inlineStr">
        <is>
          <t>Thermocouple extension KX, #16 shielded pairs, PLTC</t>
        </is>
      </c>
      <c r="K4595" s="12" t="inlineStr">
        <is>
          <t>TCX|12 pr|16</t>
        </is>
      </c>
      <c r="L4595" s="12" t="inlineStr">
        <is>
          <t>12 pr</t>
        </is>
      </c>
      <c r="M4595" s="12" t="inlineStr">
        <is>
          <t>16</t>
        </is>
      </c>
      <c r="N4595" s="12" t="n">
        <v>1</v>
      </c>
      <c r="O4595" s="12" t="n">
        <v>1</v>
      </c>
      <c r="P4595" s="12" t="n"/>
      <c r="Q4595" s="12" t="n"/>
      <c r="R4595" s="12" t="n"/>
      <c r="S4595" s="12" t="inlineStr">
        <is>
          <t>Duct bank</t>
        </is>
      </c>
      <c r="T4595" s="16" t="n">
        <v>367</v>
      </c>
      <c r="U4595" s="16" t="n">
        <v>95</v>
      </c>
      <c r="V4595" s="16">
        <f>ROUNDUP((T4595+U4595+2*'Read Me'!$B$13)*(1+'Read Me'!$B$12),-1)</f>
        <v/>
      </c>
      <c r="W4595" s="16">
        <f>V4595*N4595*O4595</f>
        <v/>
      </c>
      <c r="X4595" s="12">
        <f>IF(LEFT(I4595,2)="MV",2*N4595*IF(L4595="1/C",O4595,1),0)</f>
        <v/>
      </c>
      <c r="Y4595" s="12">
        <f>IF(OR(LEFT(K4595,4)="LVAX",LEFT(K4595,6)="MV15AX",LEFT(K4595,4)="CTAX",LEFT(K4595,2)="W|"),2*N4595*O4595,0)</f>
        <v/>
      </c>
      <c r="Z4595" s="12" t="inlineStr"/>
      <c r="AA4595" s="12">
        <f>N4595*O4595</f>
        <v/>
      </c>
    </row>
    <row r="4596">
      <c r="A4596" s="12" t="inlineStr">
        <is>
          <t>I-I-0238</t>
        </is>
      </c>
      <c r="B4596" s="12" t="inlineStr">
        <is>
          <t>I</t>
        </is>
      </c>
      <c r="C4596" s="12" t="inlineStr">
        <is>
          <t>Modular / portable power</t>
        </is>
      </c>
      <c r="D4596" s="12" t="inlineStr">
        <is>
          <t>Analog instrument to JB JB-RICE-1-AI01: 20 x 1 pr (field cables)</t>
        </is>
      </c>
      <c r="E4596" s="12" t="inlineStr">
        <is>
          <t>RICE-1</t>
        </is>
      </c>
      <c r="F4596" s="12" t="inlineStr">
        <is>
          <t>RICE engine-generator 1</t>
        </is>
      </c>
      <c r="G4596" s="12" t="inlineStr">
        <is>
          <t>JB-RICE-1-AI01</t>
        </is>
      </c>
      <c r="H4596" s="12" t="inlineStr">
        <is>
          <t>RICE engine-generator 1</t>
        </is>
      </c>
      <c r="I4596" s="12" t="inlineStr">
        <is>
          <t>Instrumentation</t>
        </is>
      </c>
      <c r="J4596" s="12" t="inlineStr">
        <is>
          <t>Instrumentation PLTC / TC-ER 300 V, #18 twisted shielded pairs, overall shield</t>
        </is>
      </c>
      <c r="K4596" s="12" t="inlineStr">
        <is>
          <t>PLTC|1 pr|16</t>
        </is>
      </c>
      <c r="L4596" s="12" t="inlineStr">
        <is>
          <t>1 pr</t>
        </is>
      </c>
      <c r="M4596" s="12" t="inlineStr">
        <is>
          <t>16</t>
        </is>
      </c>
      <c r="N4596" s="12" t="n">
        <v>20</v>
      </c>
      <c r="O4596" s="12" t="n">
        <v>1</v>
      </c>
      <c r="P4596" s="12" t="n"/>
      <c r="Q4596" s="12" t="n"/>
      <c r="R4596" s="12" t="n"/>
      <c r="S4596" s="12" t="inlineStr">
        <is>
          <t>Tray / conduit</t>
        </is>
      </c>
      <c r="T4596" s="16" t="n">
        <v>72</v>
      </c>
      <c r="U4596" s="16" t="n">
        <v>10</v>
      </c>
      <c r="V4596" s="16">
        <f>ROUNDUP((T4596+U4596+2*'Read Me'!$B$13)*(1+'Read Me'!$B$12),-1)</f>
        <v/>
      </c>
      <c r="W4596" s="16">
        <f>V4596*N4596*O4596</f>
        <v/>
      </c>
      <c r="X4596" s="12">
        <f>IF(LEFT(I4596,2)="MV",2*N4596*IF(L4596="1/C",O4596,1),0)</f>
        <v/>
      </c>
      <c r="Y4596" s="12">
        <f>IF(OR(LEFT(K4596,4)="LVAX",LEFT(K4596,6)="MV15AX",LEFT(K4596,4)="CTAX",LEFT(K4596,2)="W|"),2*N4596*O4596,0)</f>
        <v/>
      </c>
      <c r="Z4596" s="12" t="inlineStr">
        <is>
          <t>device-to-JB field wiring, one cable per device</t>
        </is>
      </c>
      <c r="AA4596" s="12">
        <f>N4596*O4596</f>
        <v/>
      </c>
    </row>
    <row r="4597">
      <c r="A4597" s="12" t="inlineStr">
        <is>
          <t>I-I-0239</t>
        </is>
      </c>
      <c r="B4597" s="12" t="inlineStr">
        <is>
          <t>I</t>
        </is>
      </c>
      <c r="C4597" s="12" t="inlineStr">
        <is>
          <t>Modular / portable power</t>
        </is>
      </c>
      <c r="D4597" s="12" t="inlineStr">
        <is>
          <t>Home run JB-RICE-1-AI01 to the control / marshalling room</t>
        </is>
      </c>
      <c r="E4597" s="12" t="inlineStr"/>
      <c r="F4597" s="12" t="inlineStr">
        <is>
          <t>PCM: power control module</t>
        </is>
      </c>
      <c r="G4597" s="12" t="inlineStr">
        <is>
          <t>JB-RICE-1-AI01</t>
        </is>
      </c>
      <c r="H4597" s="12" t="inlineStr">
        <is>
          <t>RICE engine-generator 1</t>
        </is>
      </c>
      <c r="I4597" s="12" t="inlineStr">
        <is>
          <t>Instrumentation</t>
        </is>
      </c>
      <c r="J4597" s="12" t="inlineStr">
        <is>
          <t>Instrumentation PLTC / TC-ER 300 V, #18 twisted shielded pairs, overall shield</t>
        </is>
      </c>
      <c r="K4597" s="12" t="inlineStr">
        <is>
          <t>PLTC|24 pr|18</t>
        </is>
      </c>
      <c r="L4597" s="12" t="inlineStr">
        <is>
          <t>24 pr</t>
        </is>
      </c>
      <c r="M4597" s="12" t="inlineStr">
        <is>
          <t>18</t>
        </is>
      </c>
      <c r="N4597" s="12" t="n">
        <v>1</v>
      </c>
      <c r="O4597" s="12" t="n">
        <v>1</v>
      </c>
      <c r="P4597" s="12" t="n"/>
      <c r="Q4597" s="12" t="n"/>
      <c r="R4597" s="12" t="n"/>
      <c r="S4597" s="12" t="inlineStr">
        <is>
          <t>Duct bank</t>
        </is>
      </c>
      <c r="T4597" s="16" t="n">
        <v>550</v>
      </c>
      <c r="U4597" s="16" t="n">
        <v>137</v>
      </c>
      <c r="V4597" s="16">
        <f>ROUNDUP((T4597+U4597+2*'Read Me'!$B$13)*(1+'Read Me'!$B$12),-1)</f>
        <v/>
      </c>
      <c r="W4597" s="16">
        <f>V4597*N4597*O4597</f>
        <v/>
      </c>
      <c r="X4597" s="12">
        <f>IF(LEFT(I4597,2)="MV",2*N4597*IF(L4597="1/C",O4597,1),0)</f>
        <v/>
      </c>
      <c r="Y4597" s="12">
        <f>IF(OR(LEFT(K4597,4)="LVAX",LEFT(K4597,6)="MV15AX",LEFT(K4597,4)="CTAX",LEFT(K4597,2)="W|"),2*N4597*O4597,0)</f>
        <v/>
      </c>
      <c r="Z4597" s="12" t="inlineStr"/>
      <c r="AA4597" s="12">
        <f>N4597*O4597</f>
        <v/>
      </c>
    </row>
    <row r="4598">
      <c r="A4598" s="12" t="inlineStr">
        <is>
          <t>I-I-0240</t>
        </is>
      </c>
      <c r="B4598" s="12" t="inlineStr">
        <is>
          <t>I</t>
        </is>
      </c>
      <c r="C4598" s="12" t="inlineStr">
        <is>
          <t>Modular / portable power</t>
        </is>
      </c>
      <c r="D4598" s="12" t="inlineStr">
        <is>
          <t>Analog instrument to JB JB-RICE-1-AI02: 20 x 1 pr (field cables)</t>
        </is>
      </c>
      <c r="E4598" s="12" t="inlineStr">
        <is>
          <t>RICE-1</t>
        </is>
      </c>
      <c r="F4598" s="12" t="inlineStr">
        <is>
          <t>RICE engine-generator 1</t>
        </is>
      </c>
      <c r="G4598" s="12" t="inlineStr">
        <is>
          <t>JB-RICE-1-AI02</t>
        </is>
      </c>
      <c r="H4598" s="12" t="inlineStr">
        <is>
          <t>RICE engine-generator 1</t>
        </is>
      </c>
      <c r="I4598" s="12" t="inlineStr">
        <is>
          <t>Instrumentation</t>
        </is>
      </c>
      <c r="J4598" s="12" t="inlineStr">
        <is>
          <t>Instrumentation PLTC / TC-ER 300 V, #18 twisted shielded pairs, overall shield</t>
        </is>
      </c>
      <c r="K4598" s="12" t="inlineStr">
        <is>
          <t>PLTC|1 pr|16</t>
        </is>
      </c>
      <c r="L4598" s="12" t="inlineStr">
        <is>
          <t>1 pr</t>
        </is>
      </c>
      <c r="M4598" s="12" t="inlineStr">
        <is>
          <t>16</t>
        </is>
      </c>
      <c r="N4598" s="12" t="n">
        <v>20</v>
      </c>
      <c r="O4598" s="12" t="n">
        <v>1</v>
      </c>
      <c r="P4598" s="12" t="n"/>
      <c r="Q4598" s="12" t="n"/>
      <c r="R4598" s="12" t="n"/>
      <c r="S4598" s="12" t="inlineStr">
        <is>
          <t>Tray / conduit</t>
        </is>
      </c>
      <c r="T4598" s="16" t="n">
        <v>72</v>
      </c>
      <c r="U4598" s="16" t="n">
        <v>10</v>
      </c>
      <c r="V4598" s="16">
        <f>ROUNDUP((T4598+U4598+2*'Read Me'!$B$13)*(1+'Read Me'!$B$12),-1)</f>
        <v/>
      </c>
      <c r="W4598" s="16">
        <f>V4598*N4598*O4598</f>
        <v/>
      </c>
      <c r="X4598" s="12">
        <f>IF(LEFT(I4598,2)="MV",2*N4598*IF(L4598="1/C",O4598,1),0)</f>
        <v/>
      </c>
      <c r="Y4598" s="12">
        <f>IF(OR(LEFT(K4598,4)="LVAX",LEFT(K4598,6)="MV15AX",LEFT(K4598,4)="CTAX",LEFT(K4598,2)="W|"),2*N4598*O4598,0)</f>
        <v/>
      </c>
      <c r="Z4598" s="12" t="inlineStr">
        <is>
          <t>device-to-JB field wiring, one cable per device</t>
        </is>
      </c>
      <c r="AA4598" s="12">
        <f>N4598*O4598</f>
        <v/>
      </c>
    </row>
    <row r="4599">
      <c r="A4599" s="12" t="inlineStr">
        <is>
          <t>I-I-0241</t>
        </is>
      </c>
      <c r="B4599" s="12" t="inlineStr">
        <is>
          <t>I</t>
        </is>
      </c>
      <c r="C4599" s="12" t="inlineStr">
        <is>
          <t>Modular / portable power</t>
        </is>
      </c>
      <c r="D4599" s="12" t="inlineStr">
        <is>
          <t>Home run JB-RICE-1-AI02 to the control / marshalling room</t>
        </is>
      </c>
      <c r="E4599" s="12" t="inlineStr"/>
      <c r="F4599" s="12" t="inlineStr">
        <is>
          <t>PCM: power control module</t>
        </is>
      </c>
      <c r="G4599" s="12" t="inlineStr">
        <is>
          <t>JB-RICE-1-AI02</t>
        </is>
      </c>
      <c r="H4599" s="12" t="inlineStr">
        <is>
          <t>RICE engine-generator 1</t>
        </is>
      </c>
      <c r="I4599" s="12" t="inlineStr">
        <is>
          <t>Instrumentation</t>
        </is>
      </c>
      <c r="J4599" s="12" t="inlineStr">
        <is>
          <t>Instrumentation PLTC / TC-ER 300 V, #18 twisted shielded pairs, overall shield</t>
        </is>
      </c>
      <c r="K4599" s="12" t="inlineStr">
        <is>
          <t>PLTC|24 pr|18</t>
        </is>
      </c>
      <c r="L4599" s="12" t="inlineStr">
        <is>
          <t>24 pr</t>
        </is>
      </c>
      <c r="M4599" s="12" t="inlineStr">
        <is>
          <t>18</t>
        </is>
      </c>
      <c r="N4599" s="12" t="n">
        <v>1</v>
      </c>
      <c r="O4599" s="12" t="n">
        <v>1</v>
      </c>
      <c r="P4599" s="12" t="n"/>
      <c r="Q4599" s="12" t="n"/>
      <c r="R4599" s="12" t="n"/>
      <c r="S4599" s="12" t="inlineStr">
        <is>
          <t>Duct bank</t>
        </is>
      </c>
      <c r="T4599" s="16" t="n">
        <v>550</v>
      </c>
      <c r="U4599" s="16" t="n">
        <v>137</v>
      </c>
      <c r="V4599" s="16">
        <f>ROUNDUP((T4599+U4599+2*'Read Me'!$B$13)*(1+'Read Me'!$B$12),-1)</f>
        <v/>
      </c>
      <c r="W4599" s="16">
        <f>V4599*N4599*O4599</f>
        <v/>
      </c>
      <c r="X4599" s="12">
        <f>IF(LEFT(I4599,2)="MV",2*N4599*IF(L4599="1/C",O4599,1),0)</f>
        <v/>
      </c>
      <c r="Y4599" s="12">
        <f>IF(OR(LEFT(K4599,4)="LVAX",LEFT(K4599,6)="MV15AX",LEFT(K4599,4)="CTAX",LEFT(K4599,2)="W|"),2*N4599*O4599,0)</f>
        <v/>
      </c>
      <c r="Z4599" s="12" t="inlineStr"/>
      <c r="AA4599" s="12">
        <f>N4599*O4599</f>
        <v/>
      </c>
    </row>
    <row r="4600">
      <c r="A4600" s="12" t="inlineStr">
        <is>
          <t>I-I-0242</t>
        </is>
      </c>
      <c r="B4600" s="12" t="inlineStr">
        <is>
          <t>I</t>
        </is>
      </c>
      <c r="C4600" s="12" t="inlineStr">
        <is>
          <t>Modular / portable power</t>
        </is>
      </c>
      <c r="D4600" s="12" t="inlineStr">
        <is>
          <t>Analog instrument to JB JB-RICE-1-AI03: 20 x 1 pr (field cables)</t>
        </is>
      </c>
      <c r="E4600" s="12" t="inlineStr">
        <is>
          <t>RICE-1</t>
        </is>
      </c>
      <c r="F4600" s="12" t="inlineStr">
        <is>
          <t>RICE engine-generator 1</t>
        </is>
      </c>
      <c r="G4600" s="12" t="inlineStr">
        <is>
          <t>JB-RICE-1-AI03</t>
        </is>
      </c>
      <c r="H4600" s="12" t="inlineStr">
        <is>
          <t>RICE engine-generator 1</t>
        </is>
      </c>
      <c r="I4600" s="12" t="inlineStr">
        <is>
          <t>Instrumentation</t>
        </is>
      </c>
      <c r="J4600" s="12" t="inlineStr">
        <is>
          <t>Instrumentation PLTC / TC-ER 300 V, #18 twisted shielded pairs, overall shield</t>
        </is>
      </c>
      <c r="K4600" s="12" t="inlineStr">
        <is>
          <t>PLTC|1 pr|16</t>
        </is>
      </c>
      <c r="L4600" s="12" t="inlineStr">
        <is>
          <t>1 pr</t>
        </is>
      </c>
      <c r="M4600" s="12" t="inlineStr">
        <is>
          <t>16</t>
        </is>
      </c>
      <c r="N4600" s="12" t="n">
        <v>20</v>
      </c>
      <c r="O4600" s="12" t="n">
        <v>1</v>
      </c>
      <c r="P4600" s="12" t="n"/>
      <c r="Q4600" s="12" t="n"/>
      <c r="R4600" s="12" t="n"/>
      <c r="S4600" s="12" t="inlineStr">
        <is>
          <t>Tray / conduit</t>
        </is>
      </c>
      <c r="T4600" s="16" t="n">
        <v>72</v>
      </c>
      <c r="U4600" s="16" t="n">
        <v>10</v>
      </c>
      <c r="V4600" s="16">
        <f>ROUNDUP((T4600+U4600+2*'Read Me'!$B$13)*(1+'Read Me'!$B$12),-1)</f>
        <v/>
      </c>
      <c r="W4600" s="16">
        <f>V4600*N4600*O4600</f>
        <v/>
      </c>
      <c r="X4600" s="12">
        <f>IF(LEFT(I4600,2)="MV",2*N4600*IF(L4600="1/C",O4600,1),0)</f>
        <v/>
      </c>
      <c r="Y4600" s="12">
        <f>IF(OR(LEFT(K4600,4)="LVAX",LEFT(K4600,6)="MV15AX",LEFT(K4600,4)="CTAX",LEFT(K4600,2)="W|"),2*N4600*O4600,0)</f>
        <v/>
      </c>
      <c r="Z4600" s="12" t="inlineStr">
        <is>
          <t>device-to-JB field wiring, one cable per device</t>
        </is>
      </c>
      <c r="AA4600" s="12">
        <f>N4600*O4600</f>
        <v/>
      </c>
    </row>
    <row r="4601">
      <c r="A4601" s="12" t="inlineStr">
        <is>
          <t>I-I-0243</t>
        </is>
      </c>
      <c r="B4601" s="12" t="inlineStr">
        <is>
          <t>I</t>
        </is>
      </c>
      <c r="C4601" s="12" t="inlineStr">
        <is>
          <t>Modular / portable power</t>
        </is>
      </c>
      <c r="D4601" s="12" t="inlineStr">
        <is>
          <t>Home run JB-RICE-1-AI03 to the control / marshalling room</t>
        </is>
      </c>
      <c r="E4601" s="12" t="inlineStr"/>
      <c r="F4601" s="12" t="inlineStr">
        <is>
          <t>PCM: power control module</t>
        </is>
      </c>
      <c r="G4601" s="12" t="inlineStr">
        <is>
          <t>JB-RICE-1-AI03</t>
        </is>
      </c>
      <c r="H4601" s="12" t="inlineStr">
        <is>
          <t>RICE engine-generator 1</t>
        </is>
      </c>
      <c r="I4601" s="12" t="inlineStr">
        <is>
          <t>Instrumentation</t>
        </is>
      </c>
      <c r="J4601" s="12" t="inlineStr">
        <is>
          <t>Instrumentation PLTC / TC-ER 300 V, #18 twisted shielded pairs, overall shield</t>
        </is>
      </c>
      <c r="K4601" s="12" t="inlineStr">
        <is>
          <t>PLTC|24 pr|18</t>
        </is>
      </c>
      <c r="L4601" s="12" t="inlineStr">
        <is>
          <t>24 pr</t>
        </is>
      </c>
      <c r="M4601" s="12" t="inlineStr">
        <is>
          <t>18</t>
        </is>
      </c>
      <c r="N4601" s="12" t="n">
        <v>1</v>
      </c>
      <c r="O4601" s="12" t="n">
        <v>1</v>
      </c>
      <c r="P4601" s="12" t="n"/>
      <c r="Q4601" s="12" t="n"/>
      <c r="R4601" s="12" t="n"/>
      <c r="S4601" s="12" t="inlineStr">
        <is>
          <t>Duct bank</t>
        </is>
      </c>
      <c r="T4601" s="16" t="n">
        <v>550</v>
      </c>
      <c r="U4601" s="16" t="n">
        <v>137</v>
      </c>
      <c r="V4601" s="16">
        <f>ROUNDUP((T4601+U4601+2*'Read Me'!$B$13)*(1+'Read Me'!$B$12),-1)</f>
        <v/>
      </c>
      <c r="W4601" s="16">
        <f>V4601*N4601*O4601</f>
        <v/>
      </c>
      <c r="X4601" s="12">
        <f>IF(LEFT(I4601,2)="MV",2*N4601*IF(L4601="1/C",O4601,1),0)</f>
        <v/>
      </c>
      <c r="Y4601" s="12">
        <f>IF(OR(LEFT(K4601,4)="LVAX",LEFT(K4601,6)="MV15AX",LEFT(K4601,4)="CTAX",LEFT(K4601,2)="W|"),2*N4601*O4601,0)</f>
        <v/>
      </c>
      <c r="Z4601" s="12" t="inlineStr"/>
      <c r="AA4601" s="12">
        <f>N4601*O4601</f>
        <v/>
      </c>
    </row>
    <row r="4602">
      <c r="A4602" s="12" t="inlineStr">
        <is>
          <t>I-I-0244</t>
        </is>
      </c>
      <c r="B4602" s="12" t="inlineStr">
        <is>
          <t>I</t>
        </is>
      </c>
      <c r="C4602" s="12" t="inlineStr">
        <is>
          <t>Modular / portable power</t>
        </is>
      </c>
      <c r="D4602" s="12" t="inlineStr">
        <is>
          <t>Analog instrument to JB JB-RICE-1-AI04: 20 x 1 pr (field cables)</t>
        </is>
      </c>
      <c r="E4602" s="12" t="inlineStr">
        <is>
          <t>RICE-1</t>
        </is>
      </c>
      <c r="F4602" s="12" t="inlineStr">
        <is>
          <t>RICE engine-generator 1</t>
        </is>
      </c>
      <c r="G4602" s="12" t="inlineStr">
        <is>
          <t>JB-RICE-1-AI04</t>
        </is>
      </c>
      <c r="H4602" s="12" t="inlineStr">
        <is>
          <t>RICE engine-generator 1</t>
        </is>
      </c>
      <c r="I4602" s="12" t="inlineStr">
        <is>
          <t>Instrumentation</t>
        </is>
      </c>
      <c r="J4602" s="12" t="inlineStr">
        <is>
          <t>Instrumentation PLTC / TC-ER 300 V, #18 twisted shielded pairs, overall shield</t>
        </is>
      </c>
      <c r="K4602" s="12" t="inlineStr">
        <is>
          <t>PLTC|1 pr|16</t>
        </is>
      </c>
      <c r="L4602" s="12" t="inlineStr">
        <is>
          <t>1 pr</t>
        </is>
      </c>
      <c r="M4602" s="12" t="inlineStr">
        <is>
          <t>16</t>
        </is>
      </c>
      <c r="N4602" s="12" t="n">
        <v>20</v>
      </c>
      <c r="O4602" s="12" t="n">
        <v>1</v>
      </c>
      <c r="P4602" s="12" t="n"/>
      <c r="Q4602" s="12" t="n"/>
      <c r="R4602" s="12" t="n"/>
      <c r="S4602" s="12" t="inlineStr">
        <is>
          <t>Tray / conduit</t>
        </is>
      </c>
      <c r="T4602" s="16" t="n">
        <v>72</v>
      </c>
      <c r="U4602" s="16" t="n">
        <v>10</v>
      </c>
      <c r="V4602" s="16">
        <f>ROUNDUP((T4602+U4602+2*'Read Me'!$B$13)*(1+'Read Me'!$B$12),-1)</f>
        <v/>
      </c>
      <c r="W4602" s="16">
        <f>V4602*N4602*O4602</f>
        <v/>
      </c>
      <c r="X4602" s="12">
        <f>IF(LEFT(I4602,2)="MV",2*N4602*IF(L4602="1/C",O4602,1),0)</f>
        <v/>
      </c>
      <c r="Y4602" s="12">
        <f>IF(OR(LEFT(K4602,4)="LVAX",LEFT(K4602,6)="MV15AX",LEFT(K4602,4)="CTAX",LEFT(K4602,2)="W|"),2*N4602*O4602,0)</f>
        <v/>
      </c>
      <c r="Z4602" s="12" t="inlineStr">
        <is>
          <t>device-to-JB field wiring, one cable per device</t>
        </is>
      </c>
      <c r="AA4602" s="12">
        <f>N4602*O4602</f>
        <v/>
      </c>
    </row>
    <row r="4603">
      <c r="A4603" s="12" t="inlineStr">
        <is>
          <t>I-I-0245</t>
        </is>
      </c>
      <c r="B4603" s="12" t="inlineStr">
        <is>
          <t>I</t>
        </is>
      </c>
      <c r="C4603" s="12" t="inlineStr">
        <is>
          <t>Modular / portable power</t>
        </is>
      </c>
      <c r="D4603" s="12" t="inlineStr">
        <is>
          <t>Home run JB-RICE-1-AI04 to the control / marshalling room</t>
        </is>
      </c>
      <c r="E4603" s="12" t="inlineStr"/>
      <c r="F4603" s="12" t="inlineStr">
        <is>
          <t>PCM: power control module</t>
        </is>
      </c>
      <c r="G4603" s="12" t="inlineStr">
        <is>
          <t>JB-RICE-1-AI04</t>
        </is>
      </c>
      <c r="H4603" s="12" t="inlineStr">
        <is>
          <t>RICE engine-generator 1</t>
        </is>
      </c>
      <c r="I4603" s="12" t="inlineStr">
        <is>
          <t>Instrumentation</t>
        </is>
      </c>
      <c r="J4603" s="12" t="inlineStr">
        <is>
          <t>Instrumentation PLTC / TC-ER 300 V, #18 twisted shielded pairs, overall shield</t>
        </is>
      </c>
      <c r="K4603" s="12" t="inlineStr">
        <is>
          <t>PLTC|24 pr|18</t>
        </is>
      </c>
      <c r="L4603" s="12" t="inlineStr">
        <is>
          <t>24 pr</t>
        </is>
      </c>
      <c r="M4603" s="12" t="inlineStr">
        <is>
          <t>18</t>
        </is>
      </c>
      <c r="N4603" s="12" t="n">
        <v>1</v>
      </c>
      <c r="O4603" s="12" t="n">
        <v>1</v>
      </c>
      <c r="P4603" s="12" t="n"/>
      <c r="Q4603" s="12" t="n"/>
      <c r="R4603" s="12" t="n"/>
      <c r="S4603" s="12" t="inlineStr">
        <is>
          <t>Duct bank</t>
        </is>
      </c>
      <c r="T4603" s="16" t="n">
        <v>550</v>
      </c>
      <c r="U4603" s="16" t="n">
        <v>137</v>
      </c>
      <c r="V4603" s="16">
        <f>ROUNDUP((T4603+U4603+2*'Read Me'!$B$13)*(1+'Read Me'!$B$12),-1)</f>
        <v/>
      </c>
      <c r="W4603" s="16">
        <f>V4603*N4603*O4603</f>
        <v/>
      </c>
      <c r="X4603" s="12">
        <f>IF(LEFT(I4603,2)="MV",2*N4603*IF(L4603="1/C",O4603,1),0)</f>
        <v/>
      </c>
      <c r="Y4603" s="12">
        <f>IF(OR(LEFT(K4603,4)="LVAX",LEFT(K4603,6)="MV15AX",LEFT(K4603,4)="CTAX",LEFT(K4603,2)="W|"),2*N4603*O4603,0)</f>
        <v/>
      </c>
      <c r="Z4603" s="12" t="inlineStr"/>
      <c r="AA4603" s="12">
        <f>N4603*O4603</f>
        <v/>
      </c>
    </row>
    <row r="4604">
      <c r="A4604" s="12" t="inlineStr">
        <is>
          <t>I-I-0246</t>
        </is>
      </c>
      <c r="B4604" s="12" t="inlineStr">
        <is>
          <t>I</t>
        </is>
      </c>
      <c r="C4604" s="12" t="inlineStr">
        <is>
          <t>Modular / portable power</t>
        </is>
      </c>
      <c r="D4604" s="12" t="inlineStr">
        <is>
          <t>Discrete device to JB JB-RICE-1-DI01: 20 x 1 pr (field cables)</t>
        </is>
      </c>
      <c r="E4604" s="12" t="inlineStr">
        <is>
          <t>RICE-1</t>
        </is>
      </c>
      <c r="F4604" s="12" t="inlineStr">
        <is>
          <t>RICE engine-generator 1</t>
        </is>
      </c>
      <c r="G4604" s="12" t="inlineStr">
        <is>
          <t>JB-RICE-1-DI01</t>
        </is>
      </c>
      <c r="H4604" s="12" t="inlineStr">
        <is>
          <t>RICE engine-generator 1</t>
        </is>
      </c>
      <c r="I4604" s="12" t="inlineStr">
        <is>
          <t>Instrumentation</t>
        </is>
      </c>
      <c r="J4604" s="12" t="inlineStr">
        <is>
          <t>Instrumentation PLTC / TC-ER 300 V, #18 twisted shielded pairs, overall shield</t>
        </is>
      </c>
      <c r="K4604" s="12" t="inlineStr">
        <is>
          <t>PLTC|1 pr|16</t>
        </is>
      </c>
      <c r="L4604" s="12" t="inlineStr">
        <is>
          <t>1 pr</t>
        </is>
      </c>
      <c r="M4604" s="12" t="inlineStr">
        <is>
          <t>16</t>
        </is>
      </c>
      <c r="N4604" s="12" t="n">
        <v>20</v>
      </c>
      <c r="O4604" s="12" t="n">
        <v>1</v>
      </c>
      <c r="P4604" s="12" t="n"/>
      <c r="Q4604" s="12" t="n"/>
      <c r="R4604" s="12" t="n"/>
      <c r="S4604" s="12" t="inlineStr">
        <is>
          <t>Tray / conduit</t>
        </is>
      </c>
      <c r="T4604" s="16" t="n">
        <v>72</v>
      </c>
      <c r="U4604" s="16" t="n">
        <v>10</v>
      </c>
      <c r="V4604" s="16">
        <f>ROUNDUP((T4604+U4604+2*'Read Me'!$B$13)*(1+'Read Me'!$B$12),-1)</f>
        <v/>
      </c>
      <c r="W4604" s="16">
        <f>V4604*N4604*O4604</f>
        <v/>
      </c>
      <c r="X4604" s="12">
        <f>IF(LEFT(I4604,2)="MV",2*N4604*IF(L4604="1/C",O4604,1),0)</f>
        <v/>
      </c>
      <c r="Y4604" s="12">
        <f>IF(OR(LEFT(K4604,4)="LVAX",LEFT(K4604,6)="MV15AX",LEFT(K4604,4)="CTAX",LEFT(K4604,2)="W|"),2*N4604*O4604,0)</f>
        <v/>
      </c>
      <c r="Z4604" s="12" t="inlineStr">
        <is>
          <t>device-to-JB field wiring, one cable per device</t>
        </is>
      </c>
      <c r="AA4604" s="12">
        <f>N4604*O4604</f>
        <v/>
      </c>
    </row>
    <row r="4605">
      <c r="A4605" s="12" t="inlineStr">
        <is>
          <t>I-I-0247</t>
        </is>
      </c>
      <c r="B4605" s="12" t="inlineStr">
        <is>
          <t>I</t>
        </is>
      </c>
      <c r="C4605" s="12" t="inlineStr">
        <is>
          <t>Modular / portable power</t>
        </is>
      </c>
      <c r="D4605" s="12" t="inlineStr">
        <is>
          <t>Home run JB-RICE-1-DI01 to the control / marshalling room</t>
        </is>
      </c>
      <c r="E4605" s="12" t="inlineStr"/>
      <c r="F4605" s="12" t="inlineStr">
        <is>
          <t>PCM: power control module</t>
        </is>
      </c>
      <c r="G4605" s="12" t="inlineStr">
        <is>
          <t>JB-RICE-1-DI01</t>
        </is>
      </c>
      <c r="H4605" s="12" t="inlineStr">
        <is>
          <t>RICE engine-generator 1</t>
        </is>
      </c>
      <c r="I4605" s="12" t="inlineStr">
        <is>
          <t>Instrumentation</t>
        </is>
      </c>
      <c r="J4605" s="12" t="inlineStr">
        <is>
          <t>Instrumentation PLTC / TC-ER 300 V, #18 twisted shielded pairs, overall shield</t>
        </is>
      </c>
      <c r="K4605" s="12" t="inlineStr">
        <is>
          <t>PLTC|24 pr|18</t>
        </is>
      </c>
      <c r="L4605" s="12" t="inlineStr">
        <is>
          <t>24 pr</t>
        </is>
      </c>
      <c r="M4605" s="12" t="inlineStr">
        <is>
          <t>18</t>
        </is>
      </c>
      <c r="N4605" s="12" t="n">
        <v>1</v>
      </c>
      <c r="O4605" s="12" t="n">
        <v>1</v>
      </c>
      <c r="P4605" s="12" t="n"/>
      <c r="Q4605" s="12" t="n"/>
      <c r="R4605" s="12" t="n"/>
      <c r="S4605" s="12" t="inlineStr">
        <is>
          <t>Duct bank</t>
        </is>
      </c>
      <c r="T4605" s="16" t="n">
        <v>550</v>
      </c>
      <c r="U4605" s="16" t="n">
        <v>137</v>
      </c>
      <c r="V4605" s="16">
        <f>ROUNDUP((T4605+U4605+2*'Read Me'!$B$13)*(1+'Read Me'!$B$12),-1)</f>
        <v/>
      </c>
      <c r="W4605" s="16">
        <f>V4605*N4605*O4605</f>
        <v/>
      </c>
      <c r="X4605" s="12">
        <f>IF(LEFT(I4605,2)="MV",2*N4605*IF(L4605="1/C",O4605,1),0)</f>
        <v/>
      </c>
      <c r="Y4605" s="12">
        <f>IF(OR(LEFT(K4605,4)="LVAX",LEFT(K4605,6)="MV15AX",LEFT(K4605,4)="CTAX",LEFT(K4605,2)="W|"),2*N4605*O4605,0)</f>
        <v/>
      </c>
      <c r="Z4605" s="12" t="inlineStr"/>
      <c r="AA4605" s="12">
        <f>N4605*O4605</f>
        <v/>
      </c>
    </row>
    <row r="4606">
      <c r="A4606" s="12" t="inlineStr">
        <is>
          <t>I-I-0248</t>
        </is>
      </c>
      <c r="B4606" s="12" t="inlineStr">
        <is>
          <t>I</t>
        </is>
      </c>
      <c r="C4606" s="12" t="inlineStr">
        <is>
          <t>Modular / portable power</t>
        </is>
      </c>
      <c r="D4606" s="12" t="inlineStr">
        <is>
          <t>Discrete device to JB JB-RICE-1-DI02: 20 x 1 pr (field cables)</t>
        </is>
      </c>
      <c r="E4606" s="12" t="inlineStr">
        <is>
          <t>RICE-1</t>
        </is>
      </c>
      <c r="F4606" s="12" t="inlineStr">
        <is>
          <t>RICE engine-generator 1</t>
        </is>
      </c>
      <c r="G4606" s="12" t="inlineStr">
        <is>
          <t>JB-RICE-1-DI02</t>
        </is>
      </c>
      <c r="H4606" s="12" t="inlineStr">
        <is>
          <t>RICE engine-generator 1</t>
        </is>
      </c>
      <c r="I4606" s="12" t="inlineStr">
        <is>
          <t>Instrumentation</t>
        </is>
      </c>
      <c r="J4606" s="12" t="inlineStr">
        <is>
          <t>Instrumentation PLTC / TC-ER 300 V, #18 twisted shielded pairs, overall shield</t>
        </is>
      </c>
      <c r="K4606" s="12" t="inlineStr">
        <is>
          <t>PLTC|1 pr|16</t>
        </is>
      </c>
      <c r="L4606" s="12" t="inlineStr">
        <is>
          <t>1 pr</t>
        </is>
      </c>
      <c r="M4606" s="12" t="inlineStr">
        <is>
          <t>16</t>
        </is>
      </c>
      <c r="N4606" s="12" t="n">
        <v>20</v>
      </c>
      <c r="O4606" s="12" t="n">
        <v>1</v>
      </c>
      <c r="P4606" s="12" t="n"/>
      <c r="Q4606" s="12" t="n"/>
      <c r="R4606" s="12" t="n"/>
      <c r="S4606" s="12" t="inlineStr">
        <is>
          <t>Tray / conduit</t>
        </is>
      </c>
      <c r="T4606" s="16" t="n">
        <v>72</v>
      </c>
      <c r="U4606" s="16" t="n">
        <v>10</v>
      </c>
      <c r="V4606" s="16">
        <f>ROUNDUP((T4606+U4606+2*'Read Me'!$B$13)*(1+'Read Me'!$B$12),-1)</f>
        <v/>
      </c>
      <c r="W4606" s="16">
        <f>V4606*N4606*O4606</f>
        <v/>
      </c>
      <c r="X4606" s="12">
        <f>IF(LEFT(I4606,2)="MV",2*N4606*IF(L4606="1/C",O4606,1),0)</f>
        <v/>
      </c>
      <c r="Y4606" s="12">
        <f>IF(OR(LEFT(K4606,4)="LVAX",LEFT(K4606,6)="MV15AX",LEFT(K4606,4)="CTAX",LEFT(K4606,2)="W|"),2*N4606*O4606,0)</f>
        <v/>
      </c>
      <c r="Z4606" s="12" t="inlineStr">
        <is>
          <t>device-to-JB field wiring, one cable per device</t>
        </is>
      </c>
      <c r="AA4606" s="12">
        <f>N4606*O4606</f>
        <v/>
      </c>
    </row>
    <row r="4607">
      <c r="A4607" s="12" t="inlineStr">
        <is>
          <t>I-I-0249</t>
        </is>
      </c>
      <c r="B4607" s="12" t="inlineStr">
        <is>
          <t>I</t>
        </is>
      </c>
      <c r="C4607" s="12" t="inlineStr">
        <is>
          <t>Modular / portable power</t>
        </is>
      </c>
      <c r="D4607" s="12" t="inlineStr">
        <is>
          <t>Home run JB-RICE-1-DI02 to the control / marshalling room</t>
        </is>
      </c>
      <c r="E4607" s="12" t="inlineStr"/>
      <c r="F4607" s="12" t="inlineStr">
        <is>
          <t>PCM: power control module</t>
        </is>
      </c>
      <c r="G4607" s="12" t="inlineStr">
        <is>
          <t>JB-RICE-1-DI02</t>
        </is>
      </c>
      <c r="H4607" s="12" t="inlineStr">
        <is>
          <t>RICE engine-generator 1</t>
        </is>
      </c>
      <c r="I4607" s="12" t="inlineStr">
        <is>
          <t>Instrumentation</t>
        </is>
      </c>
      <c r="J4607" s="12" t="inlineStr">
        <is>
          <t>Instrumentation PLTC / TC-ER 300 V, #18 twisted shielded pairs, overall shield</t>
        </is>
      </c>
      <c r="K4607" s="12" t="inlineStr">
        <is>
          <t>PLTC|24 pr|18</t>
        </is>
      </c>
      <c r="L4607" s="12" t="inlineStr">
        <is>
          <t>24 pr</t>
        </is>
      </c>
      <c r="M4607" s="12" t="inlineStr">
        <is>
          <t>18</t>
        </is>
      </c>
      <c r="N4607" s="12" t="n">
        <v>1</v>
      </c>
      <c r="O4607" s="12" t="n">
        <v>1</v>
      </c>
      <c r="P4607" s="12" t="n"/>
      <c r="Q4607" s="12" t="n"/>
      <c r="R4607" s="12" t="n"/>
      <c r="S4607" s="12" t="inlineStr">
        <is>
          <t>Duct bank</t>
        </is>
      </c>
      <c r="T4607" s="16" t="n">
        <v>550</v>
      </c>
      <c r="U4607" s="16" t="n">
        <v>137</v>
      </c>
      <c r="V4607" s="16">
        <f>ROUNDUP((T4607+U4607+2*'Read Me'!$B$13)*(1+'Read Me'!$B$12),-1)</f>
        <v/>
      </c>
      <c r="W4607" s="16">
        <f>V4607*N4607*O4607</f>
        <v/>
      </c>
      <c r="X4607" s="12">
        <f>IF(LEFT(I4607,2)="MV",2*N4607*IF(L4607="1/C",O4607,1),0)</f>
        <v/>
      </c>
      <c r="Y4607" s="12">
        <f>IF(OR(LEFT(K4607,4)="LVAX",LEFT(K4607,6)="MV15AX",LEFT(K4607,4)="CTAX",LEFT(K4607,2)="W|"),2*N4607*O4607,0)</f>
        <v/>
      </c>
      <c r="Z4607" s="12" t="inlineStr"/>
      <c r="AA4607" s="12">
        <f>N4607*O4607</f>
        <v/>
      </c>
    </row>
    <row r="4608">
      <c r="A4608" s="12" t="inlineStr">
        <is>
          <t>I-I-0250</t>
        </is>
      </c>
      <c r="B4608" s="12" t="inlineStr">
        <is>
          <t>I</t>
        </is>
      </c>
      <c r="C4608" s="12" t="inlineStr">
        <is>
          <t>Modular / portable power</t>
        </is>
      </c>
      <c r="D4608" s="12" t="inlineStr">
        <is>
          <t>Discrete device to JB JB-RICE-1-DI03: 20 x 1 pr (field cables)</t>
        </is>
      </c>
      <c r="E4608" s="12" t="inlineStr">
        <is>
          <t>RICE-1</t>
        </is>
      </c>
      <c r="F4608" s="12" t="inlineStr">
        <is>
          <t>RICE engine-generator 1</t>
        </is>
      </c>
      <c r="G4608" s="12" t="inlineStr">
        <is>
          <t>JB-RICE-1-DI03</t>
        </is>
      </c>
      <c r="H4608" s="12" t="inlineStr">
        <is>
          <t>RICE engine-generator 1</t>
        </is>
      </c>
      <c r="I4608" s="12" t="inlineStr">
        <is>
          <t>Instrumentation</t>
        </is>
      </c>
      <c r="J4608" s="12" t="inlineStr">
        <is>
          <t>Instrumentation PLTC / TC-ER 300 V, #18 twisted shielded pairs, overall shield</t>
        </is>
      </c>
      <c r="K4608" s="12" t="inlineStr">
        <is>
          <t>PLTC|1 pr|16</t>
        </is>
      </c>
      <c r="L4608" s="12" t="inlineStr">
        <is>
          <t>1 pr</t>
        </is>
      </c>
      <c r="M4608" s="12" t="inlineStr">
        <is>
          <t>16</t>
        </is>
      </c>
      <c r="N4608" s="12" t="n">
        <v>20</v>
      </c>
      <c r="O4608" s="12" t="n">
        <v>1</v>
      </c>
      <c r="P4608" s="12" t="n"/>
      <c r="Q4608" s="12" t="n"/>
      <c r="R4608" s="12" t="n"/>
      <c r="S4608" s="12" t="inlineStr">
        <is>
          <t>Tray / conduit</t>
        </is>
      </c>
      <c r="T4608" s="16" t="n">
        <v>72</v>
      </c>
      <c r="U4608" s="16" t="n">
        <v>10</v>
      </c>
      <c r="V4608" s="16">
        <f>ROUNDUP((T4608+U4608+2*'Read Me'!$B$13)*(1+'Read Me'!$B$12),-1)</f>
        <v/>
      </c>
      <c r="W4608" s="16">
        <f>V4608*N4608*O4608</f>
        <v/>
      </c>
      <c r="X4608" s="12">
        <f>IF(LEFT(I4608,2)="MV",2*N4608*IF(L4608="1/C",O4608,1),0)</f>
        <v/>
      </c>
      <c r="Y4608" s="12">
        <f>IF(OR(LEFT(K4608,4)="LVAX",LEFT(K4608,6)="MV15AX",LEFT(K4608,4)="CTAX",LEFT(K4608,2)="W|"),2*N4608*O4608,0)</f>
        <v/>
      </c>
      <c r="Z4608" s="12" t="inlineStr">
        <is>
          <t>device-to-JB field wiring, one cable per device</t>
        </is>
      </c>
      <c r="AA4608" s="12">
        <f>N4608*O4608</f>
        <v/>
      </c>
    </row>
    <row r="4609">
      <c r="A4609" s="12" t="inlineStr">
        <is>
          <t>I-I-0251</t>
        </is>
      </c>
      <c r="B4609" s="12" t="inlineStr">
        <is>
          <t>I</t>
        </is>
      </c>
      <c r="C4609" s="12" t="inlineStr">
        <is>
          <t>Modular / portable power</t>
        </is>
      </c>
      <c r="D4609" s="12" t="inlineStr">
        <is>
          <t>Home run JB-RICE-1-DI03 to the control / marshalling room</t>
        </is>
      </c>
      <c r="E4609" s="12" t="inlineStr"/>
      <c r="F4609" s="12" t="inlineStr">
        <is>
          <t>PCM: power control module</t>
        </is>
      </c>
      <c r="G4609" s="12" t="inlineStr">
        <is>
          <t>JB-RICE-1-DI03</t>
        </is>
      </c>
      <c r="H4609" s="12" t="inlineStr">
        <is>
          <t>RICE engine-generator 1</t>
        </is>
      </c>
      <c r="I4609" s="12" t="inlineStr">
        <is>
          <t>Instrumentation</t>
        </is>
      </c>
      <c r="J4609" s="12" t="inlineStr">
        <is>
          <t>Instrumentation PLTC / TC-ER 300 V, #18 twisted shielded pairs, overall shield</t>
        </is>
      </c>
      <c r="K4609" s="12" t="inlineStr">
        <is>
          <t>PLTC|24 pr|18</t>
        </is>
      </c>
      <c r="L4609" s="12" t="inlineStr">
        <is>
          <t>24 pr</t>
        </is>
      </c>
      <c r="M4609" s="12" t="inlineStr">
        <is>
          <t>18</t>
        </is>
      </c>
      <c r="N4609" s="12" t="n">
        <v>1</v>
      </c>
      <c r="O4609" s="12" t="n">
        <v>1</v>
      </c>
      <c r="P4609" s="12" t="n"/>
      <c r="Q4609" s="12" t="n"/>
      <c r="R4609" s="12" t="n"/>
      <c r="S4609" s="12" t="inlineStr">
        <is>
          <t>Duct bank</t>
        </is>
      </c>
      <c r="T4609" s="16" t="n">
        <v>550</v>
      </c>
      <c r="U4609" s="16" t="n">
        <v>137</v>
      </c>
      <c r="V4609" s="16">
        <f>ROUNDUP((T4609+U4609+2*'Read Me'!$B$13)*(1+'Read Me'!$B$12),-1)</f>
        <v/>
      </c>
      <c r="W4609" s="16">
        <f>V4609*N4609*O4609</f>
        <v/>
      </c>
      <c r="X4609" s="12">
        <f>IF(LEFT(I4609,2)="MV",2*N4609*IF(L4609="1/C",O4609,1),0)</f>
        <v/>
      </c>
      <c r="Y4609" s="12">
        <f>IF(OR(LEFT(K4609,4)="LVAX",LEFT(K4609,6)="MV15AX",LEFT(K4609,4)="CTAX",LEFT(K4609,2)="W|"),2*N4609*O4609,0)</f>
        <v/>
      </c>
      <c r="Z4609" s="12" t="inlineStr"/>
      <c r="AA4609" s="12">
        <f>N4609*O4609</f>
        <v/>
      </c>
    </row>
    <row r="4610">
      <c r="A4610" s="12" t="inlineStr">
        <is>
          <t>I-I-0252</t>
        </is>
      </c>
      <c r="B4610" s="12" t="inlineStr">
        <is>
          <t>I</t>
        </is>
      </c>
      <c r="C4610" s="12" t="inlineStr">
        <is>
          <t>Modular / portable power</t>
        </is>
      </c>
      <c r="D4610" s="12" t="inlineStr">
        <is>
          <t>Thermocouple to TC JB JB-RICE-1-TC01: 20 x 1 pr (field cables)</t>
        </is>
      </c>
      <c r="E4610" s="12" t="inlineStr">
        <is>
          <t>RICE-1</t>
        </is>
      </c>
      <c r="F4610" s="12" t="inlineStr">
        <is>
          <t>RICE engine-generator 1</t>
        </is>
      </c>
      <c r="G4610" s="12" t="inlineStr">
        <is>
          <t>JB-RICE-1-TC01</t>
        </is>
      </c>
      <c r="H4610" s="12" t="inlineStr">
        <is>
          <t>RICE engine-generator 1</t>
        </is>
      </c>
      <c r="I4610" s="12" t="inlineStr">
        <is>
          <t>Instrumentation</t>
        </is>
      </c>
      <c r="J4610" s="12" t="inlineStr">
        <is>
          <t>Thermocouple extension KX, #16 shielded pairs, PLTC</t>
        </is>
      </c>
      <c r="K4610" s="12" t="inlineStr">
        <is>
          <t>TCX|1 pr|16</t>
        </is>
      </c>
      <c r="L4610" s="12" t="inlineStr">
        <is>
          <t>1 pr</t>
        </is>
      </c>
      <c r="M4610" s="12" t="inlineStr">
        <is>
          <t>16</t>
        </is>
      </c>
      <c r="N4610" s="12" t="n">
        <v>20</v>
      </c>
      <c r="O4610" s="12" t="n">
        <v>1</v>
      </c>
      <c r="P4610" s="12" t="n"/>
      <c r="Q4610" s="12" t="n"/>
      <c r="R4610" s="12" t="n"/>
      <c r="S4610" s="12" t="inlineStr">
        <is>
          <t>Tray / conduit</t>
        </is>
      </c>
      <c r="T4610" s="16" t="n">
        <v>72</v>
      </c>
      <c r="U4610" s="16" t="n">
        <v>10</v>
      </c>
      <c r="V4610" s="16">
        <f>ROUNDUP((T4610+U4610+2*'Read Me'!$B$13)*(1+'Read Me'!$B$12),-1)</f>
        <v/>
      </c>
      <c r="W4610" s="16">
        <f>V4610*N4610*O4610</f>
        <v/>
      </c>
      <c r="X4610" s="12">
        <f>IF(LEFT(I4610,2)="MV",2*N4610*IF(L4610="1/C",O4610,1),0)</f>
        <v/>
      </c>
      <c r="Y4610" s="12">
        <f>IF(OR(LEFT(K4610,4)="LVAX",LEFT(K4610,6)="MV15AX",LEFT(K4610,4)="CTAX",LEFT(K4610,2)="W|"),2*N4610*O4610,0)</f>
        <v/>
      </c>
      <c r="Z4610" s="12" t="inlineStr">
        <is>
          <t>device-to-JB field wiring, one cable per device</t>
        </is>
      </c>
      <c r="AA4610" s="12">
        <f>N4610*O4610</f>
        <v/>
      </c>
    </row>
    <row r="4611">
      <c r="A4611" s="12" t="inlineStr">
        <is>
          <t>I-I-0253</t>
        </is>
      </c>
      <c r="B4611" s="12" t="inlineStr">
        <is>
          <t>I</t>
        </is>
      </c>
      <c r="C4611" s="12" t="inlineStr">
        <is>
          <t>Modular / portable power</t>
        </is>
      </c>
      <c r="D4611" s="12" t="inlineStr">
        <is>
          <t>Home run JB-RICE-1-TC01 to the control / marshalling room</t>
        </is>
      </c>
      <c r="E4611" s="12" t="inlineStr"/>
      <c r="F4611" s="12" t="inlineStr">
        <is>
          <t>PCM: power control module</t>
        </is>
      </c>
      <c r="G4611" s="12" t="inlineStr">
        <is>
          <t>JB-RICE-1-TC01</t>
        </is>
      </c>
      <c r="H4611" s="12" t="inlineStr">
        <is>
          <t>RICE engine-generator 1</t>
        </is>
      </c>
      <c r="I4611" s="12" t="inlineStr">
        <is>
          <t>Instrumentation</t>
        </is>
      </c>
      <c r="J4611" s="12" t="inlineStr">
        <is>
          <t>Thermocouple extension KX, #16 shielded pairs, PLTC</t>
        </is>
      </c>
      <c r="K4611" s="12" t="inlineStr">
        <is>
          <t>TCX|24 pr|16</t>
        </is>
      </c>
      <c r="L4611" s="12" t="inlineStr">
        <is>
          <t>24 pr</t>
        </is>
      </c>
      <c r="M4611" s="12" t="inlineStr">
        <is>
          <t>16</t>
        </is>
      </c>
      <c r="N4611" s="12" t="n">
        <v>1</v>
      </c>
      <c r="O4611" s="12" t="n">
        <v>1</v>
      </c>
      <c r="P4611" s="12" t="n"/>
      <c r="Q4611" s="12" t="n"/>
      <c r="R4611" s="12" t="n"/>
      <c r="S4611" s="12" t="inlineStr">
        <is>
          <t>Duct bank</t>
        </is>
      </c>
      <c r="T4611" s="16" t="n">
        <v>550</v>
      </c>
      <c r="U4611" s="16" t="n">
        <v>137</v>
      </c>
      <c r="V4611" s="16">
        <f>ROUNDUP((T4611+U4611+2*'Read Me'!$B$13)*(1+'Read Me'!$B$12),-1)</f>
        <v/>
      </c>
      <c r="W4611" s="16">
        <f>V4611*N4611*O4611</f>
        <v/>
      </c>
      <c r="X4611" s="12">
        <f>IF(LEFT(I4611,2)="MV",2*N4611*IF(L4611="1/C",O4611,1),0)</f>
        <v/>
      </c>
      <c r="Y4611" s="12">
        <f>IF(OR(LEFT(K4611,4)="LVAX",LEFT(K4611,6)="MV15AX",LEFT(K4611,4)="CTAX",LEFT(K4611,2)="W|"),2*N4611*O4611,0)</f>
        <v/>
      </c>
      <c r="Z4611" s="12" t="inlineStr"/>
      <c r="AA4611" s="12">
        <f>N4611*O4611</f>
        <v/>
      </c>
    </row>
    <row r="4612">
      <c r="A4612" s="12" t="inlineStr">
        <is>
          <t>I-I-0254</t>
        </is>
      </c>
      <c r="B4612" s="12" t="inlineStr">
        <is>
          <t>I</t>
        </is>
      </c>
      <c r="C4612" s="12" t="inlineStr">
        <is>
          <t>Modular / portable power</t>
        </is>
      </c>
      <c r="D4612" s="12" t="inlineStr">
        <is>
          <t>Thermocouple to TC JB JB-RICE-1-TC02: 10 x 1 pr (field cables)</t>
        </is>
      </c>
      <c r="E4612" s="12" t="inlineStr">
        <is>
          <t>RICE-1</t>
        </is>
      </c>
      <c r="F4612" s="12" t="inlineStr">
        <is>
          <t>RICE engine-generator 1</t>
        </is>
      </c>
      <c r="G4612" s="12" t="inlineStr">
        <is>
          <t>JB-RICE-1-TC02</t>
        </is>
      </c>
      <c r="H4612" s="12" t="inlineStr">
        <is>
          <t>RICE engine-generator 1</t>
        </is>
      </c>
      <c r="I4612" s="12" t="inlineStr">
        <is>
          <t>Instrumentation</t>
        </is>
      </c>
      <c r="J4612" s="12" t="inlineStr">
        <is>
          <t>Thermocouple extension KX, #16 shielded pairs, PLTC</t>
        </is>
      </c>
      <c r="K4612" s="12" t="inlineStr">
        <is>
          <t>TCX|1 pr|16</t>
        </is>
      </c>
      <c r="L4612" s="12" t="inlineStr">
        <is>
          <t>1 pr</t>
        </is>
      </c>
      <c r="M4612" s="12" t="inlineStr">
        <is>
          <t>16</t>
        </is>
      </c>
      <c r="N4612" s="12" t="n">
        <v>10</v>
      </c>
      <c r="O4612" s="12" t="n">
        <v>1</v>
      </c>
      <c r="P4612" s="12" t="n"/>
      <c r="Q4612" s="12" t="n"/>
      <c r="R4612" s="12" t="n"/>
      <c r="S4612" s="12" t="inlineStr">
        <is>
          <t>Tray / conduit</t>
        </is>
      </c>
      <c r="T4612" s="16" t="n">
        <v>72</v>
      </c>
      <c r="U4612" s="16" t="n">
        <v>10</v>
      </c>
      <c r="V4612" s="16">
        <f>ROUNDUP((T4612+U4612+2*'Read Me'!$B$13)*(1+'Read Me'!$B$12),-1)</f>
        <v/>
      </c>
      <c r="W4612" s="16">
        <f>V4612*N4612*O4612</f>
        <v/>
      </c>
      <c r="X4612" s="12">
        <f>IF(LEFT(I4612,2)="MV",2*N4612*IF(L4612="1/C",O4612,1),0)</f>
        <v/>
      </c>
      <c r="Y4612" s="12">
        <f>IF(OR(LEFT(K4612,4)="LVAX",LEFT(K4612,6)="MV15AX",LEFT(K4612,4)="CTAX",LEFT(K4612,2)="W|"),2*N4612*O4612,0)</f>
        <v/>
      </c>
      <c r="Z4612" s="12" t="inlineStr">
        <is>
          <t>device-to-JB field wiring, one cable per device</t>
        </is>
      </c>
      <c r="AA4612" s="12">
        <f>N4612*O4612</f>
        <v/>
      </c>
    </row>
    <row r="4613">
      <c r="A4613" s="12" t="inlineStr">
        <is>
          <t>I-I-0255</t>
        </is>
      </c>
      <c r="B4613" s="12" t="inlineStr">
        <is>
          <t>I</t>
        </is>
      </c>
      <c r="C4613" s="12" t="inlineStr">
        <is>
          <t>Modular / portable power</t>
        </is>
      </c>
      <c r="D4613" s="12" t="inlineStr">
        <is>
          <t>Home run JB-RICE-1-TC02 to the control / marshalling room</t>
        </is>
      </c>
      <c r="E4613" s="12" t="inlineStr"/>
      <c r="F4613" s="12" t="inlineStr">
        <is>
          <t>PCM: power control module</t>
        </is>
      </c>
      <c r="G4613" s="12" t="inlineStr">
        <is>
          <t>JB-RICE-1-TC02</t>
        </is>
      </c>
      <c r="H4613" s="12" t="inlineStr">
        <is>
          <t>RICE engine-generator 1</t>
        </is>
      </c>
      <c r="I4613" s="12" t="inlineStr">
        <is>
          <t>Instrumentation</t>
        </is>
      </c>
      <c r="J4613" s="12" t="inlineStr">
        <is>
          <t>Thermocouple extension KX, #16 shielded pairs, PLTC</t>
        </is>
      </c>
      <c r="K4613" s="12" t="inlineStr">
        <is>
          <t>TCX|24 pr|16</t>
        </is>
      </c>
      <c r="L4613" s="12" t="inlineStr">
        <is>
          <t>24 pr</t>
        </is>
      </c>
      <c r="M4613" s="12" t="inlineStr">
        <is>
          <t>16</t>
        </is>
      </c>
      <c r="N4613" s="12" t="n">
        <v>1</v>
      </c>
      <c r="O4613" s="12" t="n">
        <v>1</v>
      </c>
      <c r="P4613" s="12" t="n"/>
      <c r="Q4613" s="12" t="n"/>
      <c r="R4613" s="12" t="n"/>
      <c r="S4613" s="12" t="inlineStr">
        <is>
          <t>Duct bank</t>
        </is>
      </c>
      <c r="T4613" s="16" t="n">
        <v>550</v>
      </c>
      <c r="U4613" s="16" t="n">
        <v>137</v>
      </c>
      <c r="V4613" s="16">
        <f>ROUNDUP((T4613+U4613+2*'Read Me'!$B$13)*(1+'Read Me'!$B$12),-1)</f>
        <v/>
      </c>
      <c r="W4613" s="16">
        <f>V4613*N4613*O4613</f>
        <v/>
      </c>
      <c r="X4613" s="12">
        <f>IF(LEFT(I4613,2)="MV",2*N4613*IF(L4613="1/C",O4613,1),0)</f>
        <v/>
      </c>
      <c r="Y4613" s="12">
        <f>IF(OR(LEFT(K4613,4)="LVAX",LEFT(K4613,6)="MV15AX",LEFT(K4613,4)="CTAX",LEFT(K4613,2)="W|"),2*N4613*O4613,0)</f>
        <v/>
      </c>
      <c r="Z4613" s="12" t="inlineStr"/>
      <c r="AA4613" s="12">
        <f>N4613*O4613</f>
        <v/>
      </c>
    </row>
    <row r="4614">
      <c r="A4614" s="12" t="inlineStr">
        <is>
          <t>I-I-0256</t>
        </is>
      </c>
      <c r="B4614" s="12" t="inlineStr">
        <is>
          <t>I</t>
        </is>
      </c>
      <c r="C4614" s="12" t="inlineStr">
        <is>
          <t>Modular / portable power</t>
        </is>
      </c>
      <c r="D4614" s="12" t="inlineStr">
        <is>
          <t>RTD to JB JB-RICE-1-RTD01: 10 x 1 tri (field cables)</t>
        </is>
      </c>
      <c r="E4614" s="12" t="inlineStr">
        <is>
          <t>RICE-1</t>
        </is>
      </c>
      <c r="F4614" s="12" t="inlineStr">
        <is>
          <t>RICE engine-generator 1</t>
        </is>
      </c>
      <c r="G4614" s="12" t="inlineStr">
        <is>
          <t>JB-RICE-1-RTD01</t>
        </is>
      </c>
      <c r="H4614" s="12" t="inlineStr">
        <is>
          <t>RICE engine-generator 1</t>
        </is>
      </c>
      <c r="I4614" s="12" t="inlineStr">
        <is>
          <t>Instrumentation</t>
        </is>
      </c>
      <c r="J4614" s="12" t="inlineStr">
        <is>
          <t>RTD cable, #18 shielded triads, PLTC</t>
        </is>
      </c>
      <c r="K4614" s="12" t="inlineStr">
        <is>
          <t>RTD|1 tri|18</t>
        </is>
      </c>
      <c r="L4614" s="12" t="inlineStr">
        <is>
          <t>1 tri</t>
        </is>
      </c>
      <c r="M4614" s="12" t="inlineStr">
        <is>
          <t>18</t>
        </is>
      </c>
      <c r="N4614" s="12" t="n">
        <v>10</v>
      </c>
      <c r="O4614" s="12" t="n">
        <v>1</v>
      </c>
      <c r="P4614" s="12" t="n"/>
      <c r="Q4614" s="12" t="n"/>
      <c r="R4614" s="12" t="n"/>
      <c r="S4614" s="12" t="inlineStr">
        <is>
          <t>Tray / conduit</t>
        </is>
      </c>
      <c r="T4614" s="16" t="n">
        <v>72</v>
      </c>
      <c r="U4614" s="16" t="n">
        <v>10</v>
      </c>
      <c r="V4614" s="16">
        <f>ROUNDUP((T4614+U4614+2*'Read Me'!$B$13)*(1+'Read Me'!$B$12),-1)</f>
        <v/>
      </c>
      <c r="W4614" s="16">
        <f>V4614*N4614*O4614</f>
        <v/>
      </c>
      <c r="X4614" s="12">
        <f>IF(LEFT(I4614,2)="MV",2*N4614*IF(L4614="1/C",O4614,1),0)</f>
        <v/>
      </c>
      <c r="Y4614" s="12">
        <f>IF(OR(LEFT(K4614,4)="LVAX",LEFT(K4614,6)="MV15AX",LEFT(K4614,4)="CTAX",LEFT(K4614,2)="W|"),2*N4614*O4614,0)</f>
        <v/>
      </c>
      <c r="Z4614" s="12" t="inlineStr">
        <is>
          <t>device-to-JB field wiring, one cable per device</t>
        </is>
      </c>
      <c r="AA4614" s="12">
        <f>N4614*O4614</f>
        <v/>
      </c>
    </row>
    <row r="4615">
      <c r="A4615" s="12" t="inlineStr">
        <is>
          <t>I-I-0257</t>
        </is>
      </c>
      <c r="B4615" s="12" t="inlineStr">
        <is>
          <t>I</t>
        </is>
      </c>
      <c r="C4615" s="12" t="inlineStr">
        <is>
          <t>Modular / portable power</t>
        </is>
      </c>
      <c r="D4615" s="12" t="inlineStr">
        <is>
          <t>Home run JB-RICE-1-RTD01 to the control / marshalling room</t>
        </is>
      </c>
      <c r="E4615" s="12" t="inlineStr"/>
      <c r="F4615" s="12" t="inlineStr">
        <is>
          <t>PCM: power control module</t>
        </is>
      </c>
      <c r="G4615" s="12" t="inlineStr">
        <is>
          <t>JB-RICE-1-RTD01</t>
        </is>
      </c>
      <c r="H4615" s="12" t="inlineStr">
        <is>
          <t>RICE engine-generator 1</t>
        </is>
      </c>
      <c r="I4615" s="12" t="inlineStr">
        <is>
          <t>Instrumentation</t>
        </is>
      </c>
      <c r="J4615" s="12" t="inlineStr">
        <is>
          <t>RTD cable, #18 shielded triads, PLTC</t>
        </is>
      </c>
      <c r="K4615" s="12" t="inlineStr">
        <is>
          <t>RTD|12 tri|18</t>
        </is>
      </c>
      <c r="L4615" s="12" t="inlineStr">
        <is>
          <t>12 tri</t>
        </is>
      </c>
      <c r="M4615" s="12" t="inlineStr">
        <is>
          <t>18</t>
        </is>
      </c>
      <c r="N4615" s="12" t="n">
        <v>1</v>
      </c>
      <c r="O4615" s="12" t="n">
        <v>1</v>
      </c>
      <c r="P4615" s="12" t="n"/>
      <c r="Q4615" s="12" t="n"/>
      <c r="R4615" s="12" t="n"/>
      <c r="S4615" s="12" t="inlineStr">
        <is>
          <t>Duct bank</t>
        </is>
      </c>
      <c r="T4615" s="16" t="n">
        <v>550</v>
      </c>
      <c r="U4615" s="16" t="n">
        <v>137</v>
      </c>
      <c r="V4615" s="16">
        <f>ROUNDUP((T4615+U4615+2*'Read Me'!$B$13)*(1+'Read Me'!$B$12),-1)</f>
        <v/>
      </c>
      <c r="W4615" s="16">
        <f>V4615*N4615*O4615</f>
        <v/>
      </c>
      <c r="X4615" s="12">
        <f>IF(LEFT(I4615,2)="MV",2*N4615*IF(L4615="1/C",O4615,1),0)</f>
        <v/>
      </c>
      <c r="Y4615" s="12">
        <f>IF(OR(LEFT(K4615,4)="LVAX",LEFT(K4615,6)="MV15AX",LEFT(K4615,4)="CTAX",LEFT(K4615,2)="W|"),2*N4615*O4615,0)</f>
        <v/>
      </c>
      <c r="Z4615" s="12" t="inlineStr"/>
      <c r="AA4615" s="12">
        <f>N4615*O4615</f>
        <v/>
      </c>
    </row>
    <row r="4616">
      <c r="A4616" s="12" t="inlineStr">
        <is>
          <t>I-I-0258</t>
        </is>
      </c>
      <c r="B4616" s="12" t="inlineStr">
        <is>
          <t>I</t>
        </is>
      </c>
      <c r="C4616" s="12" t="inlineStr">
        <is>
          <t>Modular / portable power</t>
        </is>
      </c>
      <c r="D4616" s="12" t="inlineStr">
        <is>
          <t>RTD to JB JB-RICE-1-RTD02: 2 x 1 tri (field cables)</t>
        </is>
      </c>
      <c r="E4616" s="12" t="inlineStr">
        <is>
          <t>RICE-1</t>
        </is>
      </c>
      <c r="F4616" s="12" t="inlineStr">
        <is>
          <t>RICE engine-generator 1</t>
        </is>
      </c>
      <c r="G4616" s="12" t="inlineStr">
        <is>
          <t>JB-RICE-1-RTD02</t>
        </is>
      </c>
      <c r="H4616" s="12" t="inlineStr">
        <is>
          <t>RICE engine-generator 1</t>
        </is>
      </c>
      <c r="I4616" s="12" t="inlineStr">
        <is>
          <t>Instrumentation</t>
        </is>
      </c>
      <c r="J4616" s="12" t="inlineStr">
        <is>
          <t>RTD cable, #18 shielded triads, PLTC</t>
        </is>
      </c>
      <c r="K4616" s="12" t="inlineStr">
        <is>
          <t>RTD|1 tri|18</t>
        </is>
      </c>
      <c r="L4616" s="12" t="inlineStr">
        <is>
          <t>1 tri</t>
        </is>
      </c>
      <c r="M4616" s="12" t="inlineStr">
        <is>
          <t>18</t>
        </is>
      </c>
      <c r="N4616" s="12" t="n">
        <v>2</v>
      </c>
      <c r="O4616" s="12" t="n">
        <v>1</v>
      </c>
      <c r="P4616" s="12" t="n"/>
      <c r="Q4616" s="12" t="n"/>
      <c r="R4616" s="12" t="n"/>
      <c r="S4616" s="12" t="inlineStr">
        <is>
          <t>Tray / conduit</t>
        </is>
      </c>
      <c r="T4616" s="16" t="n">
        <v>72</v>
      </c>
      <c r="U4616" s="16" t="n">
        <v>10</v>
      </c>
      <c r="V4616" s="16">
        <f>ROUNDUP((T4616+U4616+2*'Read Me'!$B$13)*(1+'Read Me'!$B$12),-1)</f>
        <v/>
      </c>
      <c r="W4616" s="16">
        <f>V4616*N4616*O4616</f>
        <v/>
      </c>
      <c r="X4616" s="12">
        <f>IF(LEFT(I4616,2)="MV",2*N4616*IF(L4616="1/C",O4616,1),0)</f>
        <v/>
      </c>
      <c r="Y4616" s="12">
        <f>IF(OR(LEFT(K4616,4)="LVAX",LEFT(K4616,6)="MV15AX",LEFT(K4616,4)="CTAX",LEFT(K4616,2)="W|"),2*N4616*O4616,0)</f>
        <v/>
      </c>
      <c r="Z4616" s="12" t="inlineStr">
        <is>
          <t>device-to-JB field wiring, one cable per device</t>
        </is>
      </c>
      <c r="AA4616" s="12">
        <f>N4616*O4616</f>
        <v/>
      </c>
    </row>
    <row r="4617">
      <c r="A4617" s="12" t="inlineStr">
        <is>
          <t>I-I-0259</t>
        </is>
      </c>
      <c r="B4617" s="12" t="inlineStr">
        <is>
          <t>I</t>
        </is>
      </c>
      <c r="C4617" s="12" t="inlineStr">
        <is>
          <t>Modular / portable power</t>
        </is>
      </c>
      <c r="D4617" s="12" t="inlineStr">
        <is>
          <t>Home run JB-RICE-1-RTD02 to the control / marshalling room</t>
        </is>
      </c>
      <c r="E4617" s="12" t="inlineStr"/>
      <c r="F4617" s="12" t="inlineStr">
        <is>
          <t>PCM: power control module</t>
        </is>
      </c>
      <c r="G4617" s="12" t="inlineStr">
        <is>
          <t>JB-RICE-1-RTD02</t>
        </is>
      </c>
      <c r="H4617" s="12" t="inlineStr">
        <is>
          <t>RICE engine-generator 1</t>
        </is>
      </c>
      <c r="I4617" s="12" t="inlineStr">
        <is>
          <t>Instrumentation</t>
        </is>
      </c>
      <c r="J4617" s="12" t="inlineStr">
        <is>
          <t>RTD cable, #18 shielded triads, PLTC</t>
        </is>
      </c>
      <c r="K4617" s="12" t="inlineStr">
        <is>
          <t>RTD|12 tri|18</t>
        </is>
      </c>
      <c r="L4617" s="12" t="inlineStr">
        <is>
          <t>12 tri</t>
        </is>
      </c>
      <c r="M4617" s="12" t="inlineStr">
        <is>
          <t>18</t>
        </is>
      </c>
      <c r="N4617" s="12" t="n">
        <v>1</v>
      </c>
      <c r="O4617" s="12" t="n">
        <v>1</v>
      </c>
      <c r="P4617" s="12" t="n"/>
      <c r="Q4617" s="12" t="n"/>
      <c r="R4617" s="12" t="n"/>
      <c r="S4617" s="12" t="inlineStr">
        <is>
          <t>Duct bank</t>
        </is>
      </c>
      <c r="T4617" s="16" t="n">
        <v>550</v>
      </c>
      <c r="U4617" s="16" t="n">
        <v>137</v>
      </c>
      <c r="V4617" s="16">
        <f>ROUNDUP((T4617+U4617+2*'Read Me'!$B$13)*(1+'Read Me'!$B$12),-1)</f>
        <v/>
      </c>
      <c r="W4617" s="16">
        <f>V4617*N4617*O4617</f>
        <v/>
      </c>
      <c r="X4617" s="12">
        <f>IF(LEFT(I4617,2)="MV",2*N4617*IF(L4617="1/C",O4617,1),0)</f>
        <v/>
      </c>
      <c r="Y4617" s="12">
        <f>IF(OR(LEFT(K4617,4)="LVAX",LEFT(K4617,6)="MV15AX",LEFT(K4617,4)="CTAX",LEFT(K4617,2)="W|"),2*N4617*O4617,0)</f>
        <v/>
      </c>
      <c r="Z4617" s="12" t="inlineStr"/>
      <c r="AA4617" s="12">
        <f>N4617*O4617</f>
        <v/>
      </c>
    </row>
    <row r="4618">
      <c r="A4618" s="12" t="inlineStr">
        <is>
          <t>I-I-0260</t>
        </is>
      </c>
      <c r="B4618" s="12" t="inlineStr">
        <is>
          <t>I</t>
        </is>
      </c>
      <c r="C4618" s="12" t="inlineStr">
        <is>
          <t>Modular / portable power</t>
        </is>
      </c>
      <c r="D4618" s="12" t="inlineStr">
        <is>
          <t>Analog instrument to JB JB-RICE-2-AI01: 20 x 1 pr (field cables)</t>
        </is>
      </c>
      <c r="E4618" s="12" t="inlineStr">
        <is>
          <t>RICE-2</t>
        </is>
      </c>
      <c r="F4618" s="12" t="inlineStr">
        <is>
          <t>RICE engine-generator 2</t>
        </is>
      </c>
      <c r="G4618" s="12" t="inlineStr">
        <is>
          <t>JB-RICE-2-AI01</t>
        </is>
      </c>
      <c r="H4618" s="12" t="inlineStr">
        <is>
          <t>RICE engine-generator 2</t>
        </is>
      </c>
      <c r="I4618" s="12" t="inlineStr">
        <is>
          <t>Instrumentation</t>
        </is>
      </c>
      <c r="J4618" s="12" t="inlineStr">
        <is>
          <t>Instrumentation PLTC / TC-ER 300 V, #18 twisted shielded pairs, overall shield</t>
        </is>
      </c>
      <c r="K4618" s="12" t="inlineStr">
        <is>
          <t>PLTC|1 pr|16</t>
        </is>
      </c>
      <c r="L4618" s="12" t="inlineStr">
        <is>
          <t>1 pr</t>
        </is>
      </c>
      <c r="M4618" s="12" t="inlineStr">
        <is>
          <t>16</t>
        </is>
      </c>
      <c r="N4618" s="12" t="n">
        <v>20</v>
      </c>
      <c r="O4618" s="12" t="n">
        <v>1</v>
      </c>
      <c r="P4618" s="12" t="n"/>
      <c r="Q4618" s="12" t="n"/>
      <c r="R4618" s="12" t="n"/>
      <c r="S4618" s="12" t="inlineStr">
        <is>
          <t>Tray / conduit</t>
        </is>
      </c>
      <c r="T4618" s="16" t="n">
        <v>72</v>
      </c>
      <c r="U4618" s="16" t="n">
        <v>10</v>
      </c>
      <c r="V4618" s="16">
        <f>ROUNDUP((T4618+U4618+2*'Read Me'!$B$13)*(1+'Read Me'!$B$12),-1)</f>
        <v/>
      </c>
      <c r="W4618" s="16">
        <f>V4618*N4618*O4618</f>
        <v/>
      </c>
      <c r="X4618" s="12">
        <f>IF(LEFT(I4618,2)="MV",2*N4618*IF(L4618="1/C",O4618,1),0)</f>
        <v/>
      </c>
      <c r="Y4618" s="12">
        <f>IF(OR(LEFT(K4618,4)="LVAX",LEFT(K4618,6)="MV15AX",LEFT(K4618,4)="CTAX",LEFT(K4618,2)="W|"),2*N4618*O4618,0)</f>
        <v/>
      </c>
      <c r="Z4618" s="12" t="inlineStr">
        <is>
          <t>device-to-JB field wiring, one cable per device</t>
        </is>
      </c>
      <c r="AA4618" s="12">
        <f>N4618*O4618</f>
        <v/>
      </c>
    </row>
    <row r="4619">
      <c r="A4619" s="12" t="inlineStr">
        <is>
          <t>I-I-0261</t>
        </is>
      </c>
      <c r="B4619" s="12" t="inlineStr">
        <is>
          <t>I</t>
        </is>
      </c>
      <c r="C4619" s="12" t="inlineStr">
        <is>
          <t>Modular / portable power</t>
        </is>
      </c>
      <c r="D4619" s="12" t="inlineStr">
        <is>
          <t>Home run JB-RICE-2-AI01 to the control / marshalling room</t>
        </is>
      </c>
      <c r="E4619" s="12" t="inlineStr"/>
      <c r="F4619" s="12" t="inlineStr">
        <is>
          <t>PCM: power control module</t>
        </is>
      </c>
      <c r="G4619" s="12" t="inlineStr">
        <is>
          <t>JB-RICE-2-AI01</t>
        </is>
      </c>
      <c r="H4619" s="12" t="inlineStr">
        <is>
          <t>RICE engine-generator 2</t>
        </is>
      </c>
      <c r="I4619" s="12" t="inlineStr">
        <is>
          <t>Instrumentation</t>
        </is>
      </c>
      <c r="J4619" s="12" t="inlineStr">
        <is>
          <t>Instrumentation PLTC / TC-ER 300 V, #18 twisted shielded pairs, overall shield</t>
        </is>
      </c>
      <c r="K4619" s="12" t="inlineStr">
        <is>
          <t>PLTC|24 pr|18</t>
        </is>
      </c>
      <c r="L4619" s="12" t="inlineStr">
        <is>
          <t>24 pr</t>
        </is>
      </c>
      <c r="M4619" s="12" t="inlineStr">
        <is>
          <t>18</t>
        </is>
      </c>
      <c r="N4619" s="12" t="n">
        <v>1</v>
      </c>
      <c r="O4619" s="12" t="n">
        <v>1</v>
      </c>
      <c r="P4619" s="12" t="n"/>
      <c r="Q4619" s="12" t="n"/>
      <c r="R4619" s="12" t="n"/>
      <c r="S4619" s="12" t="inlineStr">
        <is>
          <t>Duct bank</t>
        </is>
      </c>
      <c r="T4619" s="16" t="n">
        <v>550</v>
      </c>
      <c r="U4619" s="16" t="n">
        <v>109</v>
      </c>
      <c r="V4619" s="16">
        <f>ROUNDUP((T4619+U4619+2*'Read Me'!$B$13)*(1+'Read Me'!$B$12),-1)</f>
        <v/>
      </c>
      <c r="W4619" s="16">
        <f>V4619*N4619*O4619</f>
        <v/>
      </c>
      <c r="X4619" s="12">
        <f>IF(LEFT(I4619,2)="MV",2*N4619*IF(L4619="1/C",O4619,1),0)</f>
        <v/>
      </c>
      <c r="Y4619" s="12">
        <f>IF(OR(LEFT(K4619,4)="LVAX",LEFT(K4619,6)="MV15AX",LEFT(K4619,4)="CTAX",LEFT(K4619,2)="W|"),2*N4619*O4619,0)</f>
        <v/>
      </c>
      <c r="Z4619" s="12" t="inlineStr"/>
      <c r="AA4619" s="12">
        <f>N4619*O4619</f>
        <v/>
      </c>
    </row>
    <row r="4620">
      <c r="A4620" s="12" t="inlineStr">
        <is>
          <t>I-I-0262</t>
        </is>
      </c>
      <c r="B4620" s="12" t="inlineStr">
        <is>
          <t>I</t>
        </is>
      </c>
      <c r="C4620" s="12" t="inlineStr">
        <is>
          <t>Modular / portable power</t>
        </is>
      </c>
      <c r="D4620" s="12" t="inlineStr">
        <is>
          <t>Analog instrument to JB JB-RICE-2-AI02: 20 x 1 pr (field cables)</t>
        </is>
      </c>
      <c r="E4620" s="12" t="inlineStr">
        <is>
          <t>RICE-2</t>
        </is>
      </c>
      <c r="F4620" s="12" t="inlineStr">
        <is>
          <t>RICE engine-generator 2</t>
        </is>
      </c>
      <c r="G4620" s="12" t="inlineStr">
        <is>
          <t>JB-RICE-2-AI02</t>
        </is>
      </c>
      <c r="H4620" s="12" t="inlineStr">
        <is>
          <t>RICE engine-generator 2</t>
        </is>
      </c>
      <c r="I4620" s="12" t="inlineStr">
        <is>
          <t>Instrumentation</t>
        </is>
      </c>
      <c r="J4620" s="12" t="inlineStr">
        <is>
          <t>Instrumentation PLTC / TC-ER 300 V, #18 twisted shielded pairs, overall shield</t>
        </is>
      </c>
      <c r="K4620" s="12" t="inlineStr">
        <is>
          <t>PLTC|1 pr|16</t>
        </is>
      </c>
      <c r="L4620" s="12" t="inlineStr">
        <is>
          <t>1 pr</t>
        </is>
      </c>
      <c r="M4620" s="12" t="inlineStr">
        <is>
          <t>16</t>
        </is>
      </c>
      <c r="N4620" s="12" t="n">
        <v>20</v>
      </c>
      <c r="O4620" s="12" t="n">
        <v>1</v>
      </c>
      <c r="P4620" s="12" t="n"/>
      <c r="Q4620" s="12" t="n"/>
      <c r="R4620" s="12" t="n"/>
      <c r="S4620" s="12" t="inlineStr">
        <is>
          <t>Tray / conduit</t>
        </is>
      </c>
      <c r="T4620" s="16" t="n">
        <v>72</v>
      </c>
      <c r="U4620" s="16" t="n">
        <v>10</v>
      </c>
      <c r="V4620" s="16">
        <f>ROUNDUP((T4620+U4620+2*'Read Me'!$B$13)*(1+'Read Me'!$B$12),-1)</f>
        <v/>
      </c>
      <c r="W4620" s="16">
        <f>V4620*N4620*O4620</f>
        <v/>
      </c>
      <c r="X4620" s="12">
        <f>IF(LEFT(I4620,2)="MV",2*N4620*IF(L4620="1/C",O4620,1),0)</f>
        <v/>
      </c>
      <c r="Y4620" s="12">
        <f>IF(OR(LEFT(K4620,4)="LVAX",LEFT(K4620,6)="MV15AX",LEFT(K4620,4)="CTAX",LEFT(K4620,2)="W|"),2*N4620*O4620,0)</f>
        <v/>
      </c>
      <c r="Z4620" s="12" t="inlineStr">
        <is>
          <t>device-to-JB field wiring, one cable per device</t>
        </is>
      </c>
      <c r="AA4620" s="12">
        <f>N4620*O4620</f>
        <v/>
      </c>
    </row>
    <row r="4621">
      <c r="A4621" s="12" t="inlineStr">
        <is>
          <t>I-I-0263</t>
        </is>
      </c>
      <c r="B4621" s="12" t="inlineStr">
        <is>
          <t>I</t>
        </is>
      </c>
      <c r="C4621" s="12" t="inlineStr">
        <is>
          <t>Modular / portable power</t>
        </is>
      </c>
      <c r="D4621" s="12" t="inlineStr">
        <is>
          <t>Home run JB-RICE-2-AI02 to the control / marshalling room</t>
        </is>
      </c>
      <c r="E4621" s="12" t="inlineStr"/>
      <c r="F4621" s="12" t="inlineStr">
        <is>
          <t>PCM: power control module</t>
        </is>
      </c>
      <c r="G4621" s="12" t="inlineStr">
        <is>
          <t>JB-RICE-2-AI02</t>
        </is>
      </c>
      <c r="H4621" s="12" t="inlineStr">
        <is>
          <t>RICE engine-generator 2</t>
        </is>
      </c>
      <c r="I4621" s="12" t="inlineStr">
        <is>
          <t>Instrumentation</t>
        </is>
      </c>
      <c r="J4621" s="12" t="inlineStr">
        <is>
          <t>Instrumentation PLTC / TC-ER 300 V, #18 twisted shielded pairs, overall shield</t>
        </is>
      </c>
      <c r="K4621" s="12" t="inlineStr">
        <is>
          <t>PLTC|24 pr|18</t>
        </is>
      </c>
      <c r="L4621" s="12" t="inlineStr">
        <is>
          <t>24 pr</t>
        </is>
      </c>
      <c r="M4621" s="12" t="inlineStr">
        <is>
          <t>18</t>
        </is>
      </c>
      <c r="N4621" s="12" t="n">
        <v>1</v>
      </c>
      <c r="O4621" s="12" t="n">
        <v>1</v>
      </c>
      <c r="P4621" s="12" t="n"/>
      <c r="Q4621" s="12" t="n"/>
      <c r="R4621" s="12" t="n"/>
      <c r="S4621" s="12" t="inlineStr">
        <is>
          <t>Duct bank</t>
        </is>
      </c>
      <c r="T4621" s="16" t="n">
        <v>550</v>
      </c>
      <c r="U4621" s="16" t="n">
        <v>109</v>
      </c>
      <c r="V4621" s="16">
        <f>ROUNDUP((T4621+U4621+2*'Read Me'!$B$13)*(1+'Read Me'!$B$12),-1)</f>
        <v/>
      </c>
      <c r="W4621" s="16">
        <f>V4621*N4621*O4621</f>
        <v/>
      </c>
      <c r="X4621" s="12">
        <f>IF(LEFT(I4621,2)="MV",2*N4621*IF(L4621="1/C",O4621,1),0)</f>
        <v/>
      </c>
      <c r="Y4621" s="12">
        <f>IF(OR(LEFT(K4621,4)="LVAX",LEFT(K4621,6)="MV15AX",LEFT(K4621,4)="CTAX",LEFT(K4621,2)="W|"),2*N4621*O4621,0)</f>
        <v/>
      </c>
      <c r="Z4621" s="12" t="inlineStr"/>
      <c r="AA4621" s="12">
        <f>N4621*O4621</f>
        <v/>
      </c>
    </row>
    <row r="4622">
      <c r="A4622" s="12" t="inlineStr">
        <is>
          <t>I-I-0264</t>
        </is>
      </c>
      <c r="B4622" s="12" t="inlineStr">
        <is>
          <t>I</t>
        </is>
      </c>
      <c r="C4622" s="12" t="inlineStr">
        <is>
          <t>Modular / portable power</t>
        </is>
      </c>
      <c r="D4622" s="12" t="inlineStr">
        <is>
          <t>Analog instrument to JB JB-RICE-2-AI03: 20 x 1 pr (field cables)</t>
        </is>
      </c>
      <c r="E4622" s="12" t="inlineStr">
        <is>
          <t>RICE-2</t>
        </is>
      </c>
      <c r="F4622" s="12" t="inlineStr">
        <is>
          <t>RICE engine-generator 2</t>
        </is>
      </c>
      <c r="G4622" s="12" t="inlineStr">
        <is>
          <t>JB-RICE-2-AI03</t>
        </is>
      </c>
      <c r="H4622" s="12" t="inlineStr">
        <is>
          <t>RICE engine-generator 2</t>
        </is>
      </c>
      <c r="I4622" s="12" t="inlineStr">
        <is>
          <t>Instrumentation</t>
        </is>
      </c>
      <c r="J4622" s="12" t="inlineStr">
        <is>
          <t>Instrumentation PLTC / TC-ER 300 V, #18 twisted shielded pairs, overall shield</t>
        </is>
      </c>
      <c r="K4622" s="12" t="inlineStr">
        <is>
          <t>PLTC|1 pr|16</t>
        </is>
      </c>
      <c r="L4622" s="12" t="inlineStr">
        <is>
          <t>1 pr</t>
        </is>
      </c>
      <c r="M4622" s="12" t="inlineStr">
        <is>
          <t>16</t>
        </is>
      </c>
      <c r="N4622" s="12" t="n">
        <v>20</v>
      </c>
      <c r="O4622" s="12" t="n">
        <v>1</v>
      </c>
      <c r="P4622" s="12" t="n"/>
      <c r="Q4622" s="12" t="n"/>
      <c r="R4622" s="12" t="n"/>
      <c r="S4622" s="12" t="inlineStr">
        <is>
          <t>Tray / conduit</t>
        </is>
      </c>
      <c r="T4622" s="16" t="n">
        <v>72</v>
      </c>
      <c r="U4622" s="16" t="n">
        <v>10</v>
      </c>
      <c r="V4622" s="16">
        <f>ROUNDUP((T4622+U4622+2*'Read Me'!$B$13)*(1+'Read Me'!$B$12),-1)</f>
        <v/>
      </c>
      <c r="W4622" s="16">
        <f>V4622*N4622*O4622</f>
        <v/>
      </c>
      <c r="X4622" s="12">
        <f>IF(LEFT(I4622,2)="MV",2*N4622*IF(L4622="1/C",O4622,1),0)</f>
        <v/>
      </c>
      <c r="Y4622" s="12">
        <f>IF(OR(LEFT(K4622,4)="LVAX",LEFT(K4622,6)="MV15AX",LEFT(K4622,4)="CTAX",LEFT(K4622,2)="W|"),2*N4622*O4622,0)</f>
        <v/>
      </c>
      <c r="Z4622" s="12" t="inlineStr">
        <is>
          <t>device-to-JB field wiring, one cable per device</t>
        </is>
      </c>
      <c r="AA4622" s="12">
        <f>N4622*O4622</f>
        <v/>
      </c>
    </row>
    <row r="4623">
      <c r="A4623" s="12" t="inlineStr">
        <is>
          <t>I-I-0265</t>
        </is>
      </c>
      <c r="B4623" s="12" t="inlineStr">
        <is>
          <t>I</t>
        </is>
      </c>
      <c r="C4623" s="12" t="inlineStr">
        <is>
          <t>Modular / portable power</t>
        </is>
      </c>
      <c r="D4623" s="12" t="inlineStr">
        <is>
          <t>Home run JB-RICE-2-AI03 to the control / marshalling room</t>
        </is>
      </c>
      <c r="E4623" s="12" t="inlineStr"/>
      <c r="F4623" s="12" t="inlineStr">
        <is>
          <t>PCM: power control module</t>
        </is>
      </c>
      <c r="G4623" s="12" t="inlineStr">
        <is>
          <t>JB-RICE-2-AI03</t>
        </is>
      </c>
      <c r="H4623" s="12" t="inlineStr">
        <is>
          <t>RICE engine-generator 2</t>
        </is>
      </c>
      <c r="I4623" s="12" t="inlineStr">
        <is>
          <t>Instrumentation</t>
        </is>
      </c>
      <c r="J4623" s="12" t="inlineStr">
        <is>
          <t>Instrumentation PLTC / TC-ER 300 V, #18 twisted shielded pairs, overall shield</t>
        </is>
      </c>
      <c r="K4623" s="12" t="inlineStr">
        <is>
          <t>PLTC|24 pr|18</t>
        </is>
      </c>
      <c r="L4623" s="12" t="inlineStr">
        <is>
          <t>24 pr</t>
        </is>
      </c>
      <c r="M4623" s="12" t="inlineStr">
        <is>
          <t>18</t>
        </is>
      </c>
      <c r="N4623" s="12" t="n">
        <v>1</v>
      </c>
      <c r="O4623" s="12" t="n">
        <v>1</v>
      </c>
      <c r="P4623" s="12" t="n"/>
      <c r="Q4623" s="12" t="n"/>
      <c r="R4623" s="12" t="n"/>
      <c r="S4623" s="12" t="inlineStr">
        <is>
          <t>Duct bank</t>
        </is>
      </c>
      <c r="T4623" s="16" t="n">
        <v>550</v>
      </c>
      <c r="U4623" s="16" t="n">
        <v>109</v>
      </c>
      <c r="V4623" s="16">
        <f>ROUNDUP((T4623+U4623+2*'Read Me'!$B$13)*(1+'Read Me'!$B$12),-1)</f>
        <v/>
      </c>
      <c r="W4623" s="16">
        <f>V4623*N4623*O4623</f>
        <v/>
      </c>
      <c r="X4623" s="12">
        <f>IF(LEFT(I4623,2)="MV",2*N4623*IF(L4623="1/C",O4623,1),0)</f>
        <v/>
      </c>
      <c r="Y4623" s="12">
        <f>IF(OR(LEFT(K4623,4)="LVAX",LEFT(K4623,6)="MV15AX",LEFT(K4623,4)="CTAX",LEFT(K4623,2)="W|"),2*N4623*O4623,0)</f>
        <v/>
      </c>
      <c r="Z4623" s="12" t="inlineStr"/>
      <c r="AA4623" s="12">
        <f>N4623*O4623</f>
        <v/>
      </c>
    </row>
    <row r="4624">
      <c r="A4624" s="12" t="inlineStr">
        <is>
          <t>I-I-0266</t>
        </is>
      </c>
      <c r="B4624" s="12" t="inlineStr">
        <is>
          <t>I</t>
        </is>
      </c>
      <c r="C4624" s="12" t="inlineStr">
        <is>
          <t>Modular / portable power</t>
        </is>
      </c>
      <c r="D4624" s="12" t="inlineStr">
        <is>
          <t>Analog instrument to JB JB-RICE-2-AI04: 20 x 1 pr (field cables)</t>
        </is>
      </c>
      <c r="E4624" s="12" t="inlineStr">
        <is>
          <t>RICE-2</t>
        </is>
      </c>
      <c r="F4624" s="12" t="inlineStr">
        <is>
          <t>RICE engine-generator 2</t>
        </is>
      </c>
      <c r="G4624" s="12" t="inlineStr">
        <is>
          <t>JB-RICE-2-AI04</t>
        </is>
      </c>
      <c r="H4624" s="12" t="inlineStr">
        <is>
          <t>RICE engine-generator 2</t>
        </is>
      </c>
      <c r="I4624" s="12" t="inlineStr">
        <is>
          <t>Instrumentation</t>
        </is>
      </c>
      <c r="J4624" s="12" t="inlineStr">
        <is>
          <t>Instrumentation PLTC / TC-ER 300 V, #18 twisted shielded pairs, overall shield</t>
        </is>
      </c>
      <c r="K4624" s="12" t="inlineStr">
        <is>
          <t>PLTC|1 pr|16</t>
        </is>
      </c>
      <c r="L4624" s="12" t="inlineStr">
        <is>
          <t>1 pr</t>
        </is>
      </c>
      <c r="M4624" s="12" t="inlineStr">
        <is>
          <t>16</t>
        </is>
      </c>
      <c r="N4624" s="12" t="n">
        <v>20</v>
      </c>
      <c r="O4624" s="12" t="n">
        <v>1</v>
      </c>
      <c r="P4624" s="12" t="n"/>
      <c r="Q4624" s="12" t="n"/>
      <c r="R4624" s="12" t="n"/>
      <c r="S4624" s="12" t="inlineStr">
        <is>
          <t>Tray / conduit</t>
        </is>
      </c>
      <c r="T4624" s="16" t="n">
        <v>72</v>
      </c>
      <c r="U4624" s="16" t="n">
        <v>10</v>
      </c>
      <c r="V4624" s="16">
        <f>ROUNDUP((T4624+U4624+2*'Read Me'!$B$13)*(1+'Read Me'!$B$12),-1)</f>
        <v/>
      </c>
      <c r="W4624" s="16">
        <f>V4624*N4624*O4624</f>
        <v/>
      </c>
      <c r="X4624" s="12">
        <f>IF(LEFT(I4624,2)="MV",2*N4624*IF(L4624="1/C",O4624,1),0)</f>
        <v/>
      </c>
      <c r="Y4624" s="12">
        <f>IF(OR(LEFT(K4624,4)="LVAX",LEFT(K4624,6)="MV15AX",LEFT(K4624,4)="CTAX",LEFT(K4624,2)="W|"),2*N4624*O4624,0)</f>
        <v/>
      </c>
      <c r="Z4624" s="12" t="inlineStr">
        <is>
          <t>device-to-JB field wiring, one cable per device</t>
        </is>
      </c>
      <c r="AA4624" s="12">
        <f>N4624*O4624</f>
        <v/>
      </c>
    </row>
    <row r="4625">
      <c r="A4625" s="12" t="inlineStr">
        <is>
          <t>I-I-0267</t>
        </is>
      </c>
      <c r="B4625" s="12" t="inlineStr">
        <is>
          <t>I</t>
        </is>
      </c>
      <c r="C4625" s="12" t="inlineStr">
        <is>
          <t>Modular / portable power</t>
        </is>
      </c>
      <c r="D4625" s="12" t="inlineStr">
        <is>
          <t>Home run JB-RICE-2-AI04 to the control / marshalling room</t>
        </is>
      </c>
      <c r="E4625" s="12" t="inlineStr"/>
      <c r="F4625" s="12" t="inlineStr">
        <is>
          <t>PCM: power control module</t>
        </is>
      </c>
      <c r="G4625" s="12" t="inlineStr">
        <is>
          <t>JB-RICE-2-AI04</t>
        </is>
      </c>
      <c r="H4625" s="12" t="inlineStr">
        <is>
          <t>RICE engine-generator 2</t>
        </is>
      </c>
      <c r="I4625" s="12" t="inlineStr">
        <is>
          <t>Instrumentation</t>
        </is>
      </c>
      <c r="J4625" s="12" t="inlineStr">
        <is>
          <t>Instrumentation PLTC / TC-ER 300 V, #18 twisted shielded pairs, overall shield</t>
        </is>
      </c>
      <c r="K4625" s="12" t="inlineStr">
        <is>
          <t>PLTC|24 pr|18</t>
        </is>
      </c>
      <c r="L4625" s="12" t="inlineStr">
        <is>
          <t>24 pr</t>
        </is>
      </c>
      <c r="M4625" s="12" t="inlineStr">
        <is>
          <t>18</t>
        </is>
      </c>
      <c r="N4625" s="12" t="n">
        <v>1</v>
      </c>
      <c r="O4625" s="12" t="n">
        <v>1</v>
      </c>
      <c r="P4625" s="12" t="n"/>
      <c r="Q4625" s="12" t="n"/>
      <c r="R4625" s="12" t="n"/>
      <c r="S4625" s="12" t="inlineStr">
        <is>
          <t>Duct bank</t>
        </is>
      </c>
      <c r="T4625" s="16" t="n">
        <v>550</v>
      </c>
      <c r="U4625" s="16" t="n">
        <v>109</v>
      </c>
      <c r="V4625" s="16">
        <f>ROUNDUP((T4625+U4625+2*'Read Me'!$B$13)*(1+'Read Me'!$B$12),-1)</f>
        <v/>
      </c>
      <c r="W4625" s="16">
        <f>V4625*N4625*O4625</f>
        <v/>
      </c>
      <c r="X4625" s="12">
        <f>IF(LEFT(I4625,2)="MV",2*N4625*IF(L4625="1/C",O4625,1),0)</f>
        <v/>
      </c>
      <c r="Y4625" s="12">
        <f>IF(OR(LEFT(K4625,4)="LVAX",LEFT(K4625,6)="MV15AX",LEFT(K4625,4)="CTAX",LEFT(K4625,2)="W|"),2*N4625*O4625,0)</f>
        <v/>
      </c>
      <c r="Z4625" s="12" t="inlineStr"/>
      <c r="AA4625" s="12">
        <f>N4625*O4625</f>
        <v/>
      </c>
    </row>
    <row r="4626">
      <c r="A4626" s="12" t="inlineStr">
        <is>
          <t>I-I-0268</t>
        </is>
      </c>
      <c r="B4626" s="12" t="inlineStr">
        <is>
          <t>I</t>
        </is>
      </c>
      <c r="C4626" s="12" t="inlineStr">
        <is>
          <t>Modular / portable power</t>
        </is>
      </c>
      <c r="D4626" s="12" t="inlineStr">
        <is>
          <t>Discrete device to JB JB-RICE-2-DI01: 20 x 1 pr (field cables)</t>
        </is>
      </c>
      <c r="E4626" s="12" t="inlineStr">
        <is>
          <t>RICE-2</t>
        </is>
      </c>
      <c r="F4626" s="12" t="inlineStr">
        <is>
          <t>RICE engine-generator 2</t>
        </is>
      </c>
      <c r="G4626" s="12" t="inlineStr">
        <is>
          <t>JB-RICE-2-DI01</t>
        </is>
      </c>
      <c r="H4626" s="12" t="inlineStr">
        <is>
          <t>RICE engine-generator 2</t>
        </is>
      </c>
      <c r="I4626" s="12" t="inlineStr">
        <is>
          <t>Instrumentation</t>
        </is>
      </c>
      <c r="J4626" s="12" t="inlineStr">
        <is>
          <t>Instrumentation PLTC / TC-ER 300 V, #18 twisted shielded pairs, overall shield</t>
        </is>
      </c>
      <c r="K4626" s="12" t="inlineStr">
        <is>
          <t>PLTC|1 pr|16</t>
        </is>
      </c>
      <c r="L4626" s="12" t="inlineStr">
        <is>
          <t>1 pr</t>
        </is>
      </c>
      <c r="M4626" s="12" t="inlineStr">
        <is>
          <t>16</t>
        </is>
      </c>
      <c r="N4626" s="12" t="n">
        <v>20</v>
      </c>
      <c r="O4626" s="12" t="n">
        <v>1</v>
      </c>
      <c r="P4626" s="12" t="n"/>
      <c r="Q4626" s="12" t="n"/>
      <c r="R4626" s="12" t="n"/>
      <c r="S4626" s="12" t="inlineStr">
        <is>
          <t>Tray / conduit</t>
        </is>
      </c>
      <c r="T4626" s="16" t="n">
        <v>72</v>
      </c>
      <c r="U4626" s="16" t="n">
        <v>10</v>
      </c>
      <c r="V4626" s="16">
        <f>ROUNDUP((T4626+U4626+2*'Read Me'!$B$13)*(1+'Read Me'!$B$12),-1)</f>
        <v/>
      </c>
      <c r="W4626" s="16">
        <f>V4626*N4626*O4626</f>
        <v/>
      </c>
      <c r="X4626" s="12">
        <f>IF(LEFT(I4626,2)="MV",2*N4626*IF(L4626="1/C",O4626,1),0)</f>
        <v/>
      </c>
      <c r="Y4626" s="12">
        <f>IF(OR(LEFT(K4626,4)="LVAX",LEFT(K4626,6)="MV15AX",LEFT(K4626,4)="CTAX",LEFT(K4626,2)="W|"),2*N4626*O4626,0)</f>
        <v/>
      </c>
      <c r="Z4626" s="12" t="inlineStr">
        <is>
          <t>device-to-JB field wiring, one cable per device</t>
        </is>
      </c>
      <c r="AA4626" s="12">
        <f>N4626*O4626</f>
        <v/>
      </c>
    </row>
    <row r="4627">
      <c r="A4627" s="12" t="inlineStr">
        <is>
          <t>I-I-0269</t>
        </is>
      </c>
      <c r="B4627" s="12" t="inlineStr">
        <is>
          <t>I</t>
        </is>
      </c>
      <c r="C4627" s="12" t="inlineStr">
        <is>
          <t>Modular / portable power</t>
        </is>
      </c>
      <c r="D4627" s="12" t="inlineStr">
        <is>
          <t>Home run JB-RICE-2-DI01 to the control / marshalling room</t>
        </is>
      </c>
      <c r="E4627" s="12" t="inlineStr"/>
      <c r="F4627" s="12" t="inlineStr">
        <is>
          <t>PCM: power control module</t>
        </is>
      </c>
      <c r="G4627" s="12" t="inlineStr">
        <is>
          <t>JB-RICE-2-DI01</t>
        </is>
      </c>
      <c r="H4627" s="12" t="inlineStr">
        <is>
          <t>RICE engine-generator 2</t>
        </is>
      </c>
      <c r="I4627" s="12" t="inlineStr">
        <is>
          <t>Instrumentation</t>
        </is>
      </c>
      <c r="J4627" s="12" t="inlineStr">
        <is>
          <t>Instrumentation PLTC / TC-ER 300 V, #18 twisted shielded pairs, overall shield</t>
        </is>
      </c>
      <c r="K4627" s="12" t="inlineStr">
        <is>
          <t>PLTC|24 pr|18</t>
        </is>
      </c>
      <c r="L4627" s="12" t="inlineStr">
        <is>
          <t>24 pr</t>
        </is>
      </c>
      <c r="M4627" s="12" t="inlineStr">
        <is>
          <t>18</t>
        </is>
      </c>
      <c r="N4627" s="12" t="n">
        <v>1</v>
      </c>
      <c r="O4627" s="12" t="n">
        <v>1</v>
      </c>
      <c r="P4627" s="12" t="n"/>
      <c r="Q4627" s="12" t="n"/>
      <c r="R4627" s="12" t="n"/>
      <c r="S4627" s="12" t="inlineStr">
        <is>
          <t>Duct bank</t>
        </is>
      </c>
      <c r="T4627" s="16" t="n">
        <v>550</v>
      </c>
      <c r="U4627" s="16" t="n">
        <v>109</v>
      </c>
      <c r="V4627" s="16">
        <f>ROUNDUP((T4627+U4627+2*'Read Me'!$B$13)*(1+'Read Me'!$B$12),-1)</f>
        <v/>
      </c>
      <c r="W4627" s="16">
        <f>V4627*N4627*O4627</f>
        <v/>
      </c>
      <c r="X4627" s="12">
        <f>IF(LEFT(I4627,2)="MV",2*N4627*IF(L4627="1/C",O4627,1),0)</f>
        <v/>
      </c>
      <c r="Y4627" s="12">
        <f>IF(OR(LEFT(K4627,4)="LVAX",LEFT(K4627,6)="MV15AX",LEFT(K4627,4)="CTAX",LEFT(K4627,2)="W|"),2*N4627*O4627,0)</f>
        <v/>
      </c>
      <c r="Z4627" s="12" t="inlineStr"/>
      <c r="AA4627" s="12">
        <f>N4627*O4627</f>
        <v/>
      </c>
    </row>
    <row r="4628">
      <c r="A4628" s="12" t="inlineStr">
        <is>
          <t>I-I-0270</t>
        </is>
      </c>
      <c r="B4628" s="12" t="inlineStr">
        <is>
          <t>I</t>
        </is>
      </c>
      <c r="C4628" s="12" t="inlineStr">
        <is>
          <t>Modular / portable power</t>
        </is>
      </c>
      <c r="D4628" s="12" t="inlineStr">
        <is>
          <t>Discrete device to JB JB-RICE-2-DI02: 20 x 1 pr (field cables)</t>
        </is>
      </c>
      <c r="E4628" s="12" t="inlineStr">
        <is>
          <t>RICE-2</t>
        </is>
      </c>
      <c r="F4628" s="12" t="inlineStr">
        <is>
          <t>RICE engine-generator 2</t>
        </is>
      </c>
      <c r="G4628" s="12" t="inlineStr">
        <is>
          <t>JB-RICE-2-DI02</t>
        </is>
      </c>
      <c r="H4628" s="12" t="inlineStr">
        <is>
          <t>RICE engine-generator 2</t>
        </is>
      </c>
      <c r="I4628" s="12" t="inlineStr">
        <is>
          <t>Instrumentation</t>
        </is>
      </c>
      <c r="J4628" s="12" t="inlineStr">
        <is>
          <t>Instrumentation PLTC / TC-ER 300 V, #18 twisted shielded pairs, overall shield</t>
        </is>
      </c>
      <c r="K4628" s="12" t="inlineStr">
        <is>
          <t>PLTC|1 pr|16</t>
        </is>
      </c>
      <c r="L4628" s="12" t="inlineStr">
        <is>
          <t>1 pr</t>
        </is>
      </c>
      <c r="M4628" s="12" t="inlineStr">
        <is>
          <t>16</t>
        </is>
      </c>
      <c r="N4628" s="12" t="n">
        <v>20</v>
      </c>
      <c r="O4628" s="12" t="n">
        <v>1</v>
      </c>
      <c r="P4628" s="12" t="n"/>
      <c r="Q4628" s="12" t="n"/>
      <c r="R4628" s="12" t="n"/>
      <c r="S4628" s="12" t="inlineStr">
        <is>
          <t>Tray / conduit</t>
        </is>
      </c>
      <c r="T4628" s="16" t="n">
        <v>72</v>
      </c>
      <c r="U4628" s="16" t="n">
        <v>10</v>
      </c>
      <c r="V4628" s="16">
        <f>ROUNDUP((T4628+U4628+2*'Read Me'!$B$13)*(1+'Read Me'!$B$12),-1)</f>
        <v/>
      </c>
      <c r="W4628" s="16">
        <f>V4628*N4628*O4628</f>
        <v/>
      </c>
      <c r="X4628" s="12">
        <f>IF(LEFT(I4628,2)="MV",2*N4628*IF(L4628="1/C",O4628,1),0)</f>
        <v/>
      </c>
      <c r="Y4628" s="12">
        <f>IF(OR(LEFT(K4628,4)="LVAX",LEFT(K4628,6)="MV15AX",LEFT(K4628,4)="CTAX",LEFT(K4628,2)="W|"),2*N4628*O4628,0)</f>
        <v/>
      </c>
      <c r="Z4628" s="12" t="inlineStr">
        <is>
          <t>device-to-JB field wiring, one cable per device</t>
        </is>
      </c>
      <c r="AA4628" s="12">
        <f>N4628*O4628</f>
        <v/>
      </c>
    </row>
    <row r="4629">
      <c r="A4629" s="12" t="inlineStr">
        <is>
          <t>I-I-0271</t>
        </is>
      </c>
      <c r="B4629" s="12" t="inlineStr">
        <is>
          <t>I</t>
        </is>
      </c>
      <c r="C4629" s="12" t="inlineStr">
        <is>
          <t>Modular / portable power</t>
        </is>
      </c>
      <c r="D4629" s="12" t="inlineStr">
        <is>
          <t>Home run JB-RICE-2-DI02 to the control / marshalling room</t>
        </is>
      </c>
      <c r="E4629" s="12" t="inlineStr"/>
      <c r="F4629" s="12" t="inlineStr">
        <is>
          <t>PCM: power control module</t>
        </is>
      </c>
      <c r="G4629" s="12" t="inlineStr">
        <is>
          <t>JB-RICE-2-DI02</t>
        </is>
      </c>
      <c r="H4629" s="12" t="inlineStr">
        <is>
          <t>RICE engine-generator 2</t>
        </is>
      </c>
      <c r="I4629" s="12" t="inlineStr">
        <is>
          <t>Instrumentation</t>
        </is>
      </c>
      <c r="J4629" s="12" t="inlineStr">
        <is>
          <t>Instrumentation PLTC / TC-ER 300 V, #18 twisted shielded pairs, overall shield</t>
        </is>
      </c>
      <c r="K4629" s="12" t="inlineStr">
        <is>
          <t>PLTC|24 pr|18</t>
        </is>
      </c>
      <c r="L4629" s="12" t="inlineStr">
        <is>
          <t>24 pr</t>
        </is>
      </c>
      <c r="M4629" s="12" t="inlineStr">
        <is>
          <t>18</t>
        </is>
      </c>
      <c r="N4629" s="12" t="n">
        <v>1</v>
      </c>
      <c r="O4629" s="12" t="n">
        <v>1</v>
      </c>
      <c r="P4629" s="12" t="n"/>
      <c r="Q4629" s="12" t="n"/>
      <c r="R4629" s="12" t="n"/>
      <c r="S4629" s="12" t="inlineStr">
        <is>
          <t>Duct bank</t>
        </is>
      </c>
      <c r="T4629" s="16" t="n">
        <v>550</v>
      </c>
      <c r="U4629" s="16" t="n">
        <v>109</v>
      </c>
      <c r="V4629" s="16">
        <f>ROUNDUP((T4629+U4629+2*'Read Me'!$B$13)*(1+'Read Me'!$B$12),-1)</f>
        <v/>
      </c>
      <c r="W4629" s="16">
        <f>V4629*N4629*O4629</f>
        <v/>
      </c>
      <c r="X4629" s="12">
        <f>IF(LEFT(I4629,2)="MV",2*N4629*IF(L4629="1/C",O4629,1),0)</f>
        <v/>
      </c>
      <c r="Y4629" s="12">
        <f>IF(OR(LEFT(K4629,4)="LVAX",LEFT(K4629,6)="MV15AX",LEFT(K4629,4)="CTAX",LEFT(K4629,2)="W|"),2*N4629*O4629,0)</f>
        <v/>
      </c>
      <c r="Z4629" s="12" t="inlineStr"/>
      <c r="AA4629" s="12">
        <f>N4629*O4629</f>
        <v/>
      </c>
    </row>
    <row r="4630">
      <c r="A4630" s="12" t="inlineStr">
        <is>
          <t>I-I-0272</t>
        </is>
      </c>
      <c r="B4630" s="12" t="inlineStr">
        <is>
          <t>I</t>
        </is>
      </c>
      <c r="C4630" s="12" t="inlineStr">
        <is>
          <t>Modular / portable power</t>
        </is>
      </c>
      <c r="D4630" s="12" t="inlineStr">
        <is>
          <t>Discrete device to JB JB-RICE-2-DI03: 20 x 1 pr (field cables)</t>
        </is>
      </c>
      <c r="E4630" s="12" t="inlineStr">
        <is>
          <t>RICE-2</t>
        </is>
      </c>
      <c r="F4630" s="12" t="inlineStr">
        <is>
          <t>RICE engine-generator 2</t>
        </is>
      </c>
      <c r="G4630" s="12" t="inlineStr">
        <is>
          <t>JB-RICE-2-DI03</t>
        </is>
      </c>
      <c r="H4630" s="12" t="inlineStr">
        <is>
          <t>RICE engine-generator 2</t>
        </is>
      </c>
      <c r="I4630" s="12" t="inlineStr">
        <is>
          <t>Instrumentation</t>
        </is>
      </c>
      <c r="J4630" s="12" t="inlineStr">
        <is>
          <t>Instrumentation PLTC / TC-ER 300 V, #18 twisted shielded pairs, overall shield</t>
        </is>
      </c>
      <c r="K4630" s="12" t="inlineStr">
        <is>
          <t>PLTC|1 pr|16</t>
        </is>
      </c>
      <c r="L4630" s="12" t="inlineStr">
        <is>
          <t>1 pr</t>
        </is>
      </c>
      <c r="M4630" s="12" t="inlineStr">
        <is>
          <t>16</t>
        </is>
      </c>
      <c r="N4630" s="12" t="n">
        <v>20</v>
      </c>
      <c r="O4630" s="12" t="n">
        <v>1</v>
      </c>
      <c r="P4630" s="12" t="n"/>
      <c r="Q4630" s="12" t="n"/>
      <c r="R4630" s="12" t="n"/>
      <c r="S4630" s="12" t="inlineStr">
        <is>
          <t>Tray / conduit</t>
        </is>
      </c>
      <c r="T4630" s="16" t="n">
        <v>72</v>
      </c>
      <c r="U4630" s="16" t="n">
        <v>10</v>
      </c>
      <c r="V4630" s="16">
        <f>ROUNDUP((T4630+U4630+2*'Read Me'!$B$13)*(1+'Read Me'!$B$12),-1)</f>
        <v/>
      </c>
      <c r="W4630" s="16">
        <f>V4630*N4630*O4630</f>
        <v/>
      </c>
      <c r="X4630" s="12">
        <f>IF(LEFT(I4630,2)="MV",2*N4630*IF(L4630="1/C",O4630,1),0)</f>
        <v/>
      </c>
      <c r="Y4630" s="12">
        <f>IF(OR(LEFT(K4630,4)="LVAX",LEFT(K4630,6)="MV15AX",LEFT(K4630,4)="CTAX",LEFT(K4630,2)="W|"),2*N4630*O4630,0)</f>
        <v/>
      </c>
      <c r="Z4630" s="12" t="inlineStr">
        <is>
          <t>device-to-JB field wiring, one cable per device</t>
        </is>
      </c>
      <c r="AA4630" s="12">
        <f>N4630*O4630</f>
        <v/>
      </c>
    </row>
    <row r="4631">
      <c r="A4631" s="12" t="inlineStr">
        <is>
          <t>I-I-0273</t>
        </is>
      </c>
      <c r="B4631" s="12" t="inlineStr">
        <is>
          <t>I</t>
        </is>
      </c>
      <c r="C4631" s="12" t="inlineStr">
        <is>
          <t>Modular / portable power</t>
        </is>
      </c>
      <c r="D4631" s="12" t="inlineStr">
        <is>
          <t>Home run JB-RICE-2-DI03 to the control / marshalling room</t>
        </is>
      </c>
      <c r="E4631" s="12" t="inlineStr"/>
      <c r="F4631" s="12" t="inlineStr">
        <is>
          <t>PCM: power control module</t>
        </is>
      </c>
      <c r="G4631" s="12" t="inlineStr">
        <is>
          <t>JB-RICE-2-DI03</t>
        </is>
      </c>
      <c r="H4631" s="12" t="inlineStr">
        <is>
          <t>RICE engine-generator 2</t>
        </is>
      </c>
      <c r="I4631" s="12" t="inlineStr">
        <is>
          <t>Instrumentation</t>
        </is>
      </c>
      <c r="J4631" s="12" t="inlineStr">
        <is>
          <t>Instrumentation PLTC / TC-ER 300 V, #18 twisted shielded pairs, overall shield</t>
        </is>
      </c>
      <c r="K4631" s="12" t="inlineStr">
        <is>
          <t>PLTC|24 pr|18</t>
        </is>
      </c>
      <c r="L4631" s="12" t="inlineStr">
        <is>
          <t>24 pr</t>
        </is>
      </c>
      <c r="M4631" s="12" t="inlineStr">
        <is>
          <t>18</t>
        </is>
      </c>
      <c r="N4631" s="12" t="n">
        <v>1</v>
      </c>
      <c r="O4631" s="12" t="n">
        <v>1</v>
      </c>
      <c r="P4631" s="12" t="n"/>
      <c r="Q4631" s="12" t="n"/>
      <c r="R4631" s="12" t="n"/>
      <c r="S4631" s="12" t="inlineStr">
        <is>
          <t>Duct bank</t>
        </is>
      </c>
      <c r="T4631" s="16" t="n">
        <v>550</v>
      </c>
      <c r="U4631" s="16" t="n">
        <v>109</v>
      </c>
      <c r="V4631" s="16">
        <f>ROUNDUP((T4631+U4631+2*'Read Me'!$B$13)*(1+'Read Me'!$B$12),-1)</f>
        <v/>
      </c>
      <c r="W4631" s="16">
        <f>V4631*N4631*O4631</f>
        <v/>
      </c>
      <c r="X4631" s="12">
        <f>IF(LEFT(I4631,2)="MV",2*N4631*IF(L4631="1/C",O4631,1),0)</f>
        <v/>
      </c>
      <c r="Y4631" s="12">
        <f>IF(OR(LEFT(K4631,4)="LVAX",LEFT(K4631,6)="MV15AX",LEFT(K4631,4)="CTAX",LEFT(K4631,2)="W|"),2*N4631*O4631,0)</f>
        <v/>
      </c>
      <c r="Z4631" s="12" t="inlineStr"/>
      <c r="AA4631" s="12">
        <f>N4631*O4631</f>
        <v/>
      </c>
    </row>
    <row r="4632">
      <c r="A4632" s="12" t="inlineStr">
        <is>
          <t>I-I-0274</t>
        </is>
      </c>
      <c r="B4632" s="12" t="inlineStr">
        <is>
          <t>I</t>
        </is>
      </c>
      <c r="C4632" s="12" t="inlineStr">
        <is>
          <t>Modular / portable power</t>
        </is>
      </c>
      <c r="D4632" s="12" t="inlineStr">
        <is>
          <t>Thermocouple to TC JB JB-RICE-2-TC01: 20 x 1 pr (field cables)</t>
        </is>
      </c>
      <c r="E4632" s="12" t="inlineStr">
        <is>
          <t>RICE-2</t>
        </is>
      </c>
      <c r="F4632" s="12" t="inlineStr">
        <is>
          <t>RICE engine-generator 2</t>
        </is>
      </c>
      <c r="G4632" s="12" t="inlineStr">
        <is>
          <t>JB-RICE-2-TC01</t>
        </is>
      </c>
      <c r="H4632" s="12" t="inlineStr">
        <is>
          <t>RICE engine-generator 2</t>
        </is>
      </c>
      <c r="I4632" s="12" t="inlineStr">
        <is>
          <t>Instrumentation</t>
        </is>
      </c>
      <c r="J4632" s="12" t="inlineStr">
        <is>
          <t>Thermocouple extension KX, #16 shielded pairs, PLTC</t>
        </is>
      </c>
      <c r="K4632" s="12" t="inlineStr">
        <is>
          <t>TCX|1 pr|16</t>
        </is>
      </c>
      <c r="L4632" s="12" t="inlineStr">
        <is>
          <t>1 pr</t>
        </is>
      </c>
      <c r="M4632" s="12" t="inlineStr">
        <is>
          <t>16</t>
        </is>
      </c>
      <c r="N4632" s="12" t="n">
        <v>20</v>
      </c>
      <c r="O4632" s="12" t="n">
        <v>1</v>
      </c>
      <c r="P4632" s="12" t="n"/>
      <c r="Q4632" s="12" t="n"/>
      <c r="R4632" s="12" t="n"/>
      <c r="S4632" s="12" t="inlineStr">
        <is>
          <t>Tray / conduit</t>
        </is>
      </c>
      <c r="T4632" s="16" t="n">
        <v>72</v>
      </c>
      <c r="U4632" s="16" t="n">
        <v>10</v>
      </c>
      <c r="V4632" s="16">
        <f>ROUNDUP((T4632+U4632+2*'Read Me'!$B$13)*(1+'Read Me'!$B$12),-1)</f>
        <v/>
      </c>
      <c r="W4632" s="16">
        <f>V4632*N4632*O4632</f>
        <v/>
      </c>
      <c r="X4632" s="12">
        <f>IF(LEFT(I4632,2)="MV",2*N4632*IF(L4632="1/C",O4632,1),0)</f>
        <v/>
      </c>
      <c r="Y4632" s="12">
        <f>IF(OR(LEFT(K4632,4)="LVAX",LEFT(K4632,6)="MV15AX",LEFT(K4632,4)="CTAX",LEFT(K4632,2)="W|"),2*N4632*O4632,0)</f>
        <v/>
      </c>
      <c r="Z4632" s="12" t="inlineStr">
        <is>
          <t>device-to-JB field wiring, one cable per device</t>
        </is>
      </c>
      <c r="AA4632" s="12">
        <f>N4632*O4632</f>
        <v/>
      </c>
    </row>
    <row r="4633">
      <c r="A4633" s="12" t="inlineStr">
        <is>
          <t>I-I-0275</t>
        </is>
      </c>
      <c r="B4633" s="12" t="inlineStr">
        <is>
          <t>I</t>
        </is>
      </c>
      <c r="C4633" s="12" t="inlineStr">
        <is>
          <t>Modular / portable power</t>
        </is>
      </c>
      <c r="D4633" s="12" t="inlineStr">
        <is>
          <t>Home run JB-RICE-2-TC01 to the control / marshalling room</t>
        </is>
      </c>
      <c r="E4633" s="12" t="inlineStr"/>
      <c r="F4633" s="12" t="inlineStr">
        <is>
          <t>PCM: power control module</t>
        </is>
      </c>
      <c r="G4633" s="12" t="inlineStr">
        <is>
          <t>JB-RICE-2-TC01</t>
        </is>
      </c>
      <c r="H4633" s="12" t="inlineStr">
        <is>
          <t>RICE engine-generator 2</t>
        </is>
      </c>
      <c r="I4633" s="12" t="inlineStr">
        <is>
          <t>Instrumentation</t>
        </is>
      </c>
      <c r="J4633" s="12" t="inlineStr">
        <is>
          <t>Thermocouple extension KX, #16 shielded pairs, PLTC</t>
        </is>
      </c>
      <c r="K4633" s="12" t="inlineStr">
        <is>
          <t>TCX|24 pr|16</t>
        </is>
      </c>
      <c r="L4633" s="12" t="inlineStr">
        <is>
          <t>24 pr</t>
        </is>
      </c>
      <c r="M4633" s="12" t="inlineStr">
        <is>
          <t>16</t>
        </is>
      </c>
      <c r="N4633" s="12" t="n">
        <v>1</v>
      </c>
      <c r="O4633" s="12" t="n">
        <v>1</v>
      </c>
      <c r="P4633" s="12" t="n"/>
      <c r="Q4633" s="12" t="n"/>
      <c r="R4633" s="12" t="n"/>
      <c r="S4633" s="12" t="inlineStr">
        <is>
          <t>Duct bank</t>
        </is>
      </c>
      <c r="T4633" s="16" t="n">
        <v>550</v>
      </c>
      <c r="U4633" s="16" t="n">
        <v>109</v>
      </c>
      <c r="V4633" s="16">
        <f>ROUNDUP((T4633+U4633+2*'Read Me'!$B$13)*(1+'Read Me'!$B$12),-1)</f>
        <v/>
      </c>
      <c r="W4633" s="16">
        <f>V4633*N4633*O4633</f>
        <v/>
      </c>
      <c r="X4633" s="12">
        <f>IF(LEFT(I4633,2)="MV",2*N4633*IF(L4633="1/C",O4633,1),0)</f>
        <v/>
      </c>
      <c r="Y4633" s="12">
        <f>IF(OR(LEFT(K4633,4)="LVAX",LEFT(K4633,6)="MV15AX",LEFT(K4633,4)="CTAX",LEFT(K4633,2)="W|"),2*N4633*O4633,0)</f>
        <v/>
      </c>
      <c r="Z4633" s="12" t="inlineStr"/>
      <c r="AA4633" s="12">
        <f>N4633*O4633</f>
        <v/>
      </c>
    </row>
    <row r="4634">
      <c r="A4634" s="12" t="inlineStr">
        <is>
          <t>I-I-0276</t>
        </is>
      </c>
      <c r="B4634" s="12" t="inlineStr">
        <is>
          <t>I</t>
        </is>
      </c>
      <c r="C4634" s="12" t="inlineStr">
        <is>
          <t>Modular / portable power</t>
        </is>
      </c>
      <c r="D4634" s="12" t="inlineStr">
        <is>
          <t>Thermocouple to TC JB JB-RICE-2-TC02: 10 x 1 pr (field cables)</t>
        </is>
      </c>
      <c r="E4634" s="12" t="inlineStr">
        <is>
          <t>RICE-2</t>
        </is>
      </c>
      <c r="F4634" s="12" t="inlineStr">
        <is>
          <t>RICE engine-generator 2</t>
        </is>
      </c>
      <c r="G4634" s="12" t="inlineStr">
        <is>
          <t>JB-RICE-2-TC02</t>
        </is>
      </c>
      <c r="H4634" s="12" t="inlineStr">
        <is>
          <t>RICE engine-generator 2</t>
        </is>
      </c>
      <c r="I4634" s="12" t="inlineStr">
        <is>
          <t>Instrumentation</t>
        </is>
      </c>
      <c r="J4634" s="12" t="inlineStr">
        <is>
          <t>Thermocouple extension KX, #16 shielded pairs, PLTC</t>
        </is>
      </c>
      <c r="K4634" s="12" t="inlineStr">
        <is>
          <t>TCX|1 pr|16</t>
        </is>
      </c>
      <c r="L4634" s="12" t="inlineStr">
        <is>
          <t>1 pr</t>
        </is>
      </c>
      <c r="M4634" s="12" t="inlineStr">
        <is>
          <t>16</t>
        </is>
      </c>
      <c r="N4634" s="12" t="n">
        <v>10</v>
      </c>
      <c r="O4634" s="12" t="n">
        <v>1</v>
      </c>
      <c r="P4634" s="12" t="n"/>
      <c r="Q4634" s="12" t="n"/>
      <c r="R4634" s="12" t="n"/>
      <c r="S4634" s="12" t="inlineStr">
        <is>
          <t>Tray / conduit</t>
        </is>
      </c>
      <c r="T4634" s="16" t="n">
        <v>72</v>
      </c>
      <c r="U4634" s="16" t="n">
        <v>10</v>
      </c>
      <c r="V4634" s="16">
        <f>ROUNDUP((T4634+U4634+2*'Read Me'!$B$13)*(1+'Read Me'!$B$12),-1)</f>
        <v/>
      </c>
      <c r="W4634" s="16">
        <f>V4634*N4634*O4634</f>
        <v/>
      </c>
      <c r="X4634" s="12">
        <f>IF(LEFT(I4634,2)="MV",2*N4634*IF(L4634="1/C",O4634,1),0)</f>
        <v/>
      </c>
      <c r="Y4634" s="12">
        <f>IF(OR(LEFT(K4634,4)="LVAX",LEFT(K4634,6)="MV15AX",LEFT(K4634,4)="CTAX",LEFT(K4634,2)="W|"),2*N4634*O4634,0)</f>
        <v/>
      </c>
      <c r="Z4634" s="12" t="inlineStr">
        <is>
          <t>device-to-JB field wiring, one cable per device</t>
        </is>
      </c>
      <c r="AA4634" s="12">
        <f>N4634*O4634</f>
        <v/>
      </c>
    </row>
    <row r="4635">
      <c r="A4635" s="12" t="inlineStr">
        <is>
          <t>I-I-0277</t>
        </is>
      </c>
      <c r="B4635" s="12" t="inlineStr">
        <is>
          <t>I</t>
        </is>
      </c>
      <c r="C4635" s="12" t="inlineStr">
        <is>
          <t>Modular / portable power</t>
        </is>
      </c>
      <c r="D4635" s="12" t="inlineStr">
        <is>
          <t>Home run JB-RICE-2-TC02 to the control / marshalling room</t>
        </is>
      </c>
      <c r="E4635" s="12" t="inlineStr"/>
      <c r="F4635" s="12" t="inlineStr">
        <is>
          <t>PCM: power control module</t>
        </is>
      </c>
      <c r="G4635" s="12" t="inlineStr">
        <is>
          <t>JB-RICE-2-TC02</t>
        </is>
      </c>
      <c r="H4635" s="12" t="inlineStr">
        <is>
          <t>RICE engine-generator 2</t>
        </is>
      </c>
      <c r="I4635" s="12" t="inlineStr">
        <is>
          <t>Instrumentation</t>
        </is>
      </c>
      <c r="J4635" s="12" t="inlineStr">
        <is>
          <t>Thermocouple extension KX, #16 shielded pairs, PLTC</t>
        </is>
      </c>
      <c r="K4635" s="12" t="inlineStr">
        <is>
          <t>TCX|24 pr|16</t>
        </is>
      </c>
      <c r="L4635" s="12" t="inlineStr">
        <is>
          <t>24 pr</t>
        </is>
      </c>
      <c r="M4635" s="12" t="inlineStr">
        <is>
          <t>16</t>
        </is>
      </c>
      <c r="N4635" s="12" t="n">
        <v>1</v>
      </c>
      <c r="O4635" s="12" t="n">
        <v>1</v>
      </c>
      <c r="P4635" s="12" t="n"/>
      <c r="Q4635" s="12" t="n"/>
      <c r="R4635" s="12" t="n"/>
      <c r="S4635" s="12" t="inlineStr">
        <is>
          <t>Duct bank</t>
        </is>
      </c>
      <c r="T4635" s="16" t="n">
        <v>550</v>
      </c>
      <c r="U4635" s="16" t="n">
        <v>109</v>
      </c>
      <c r="V4635" s="16">
        <f>ROUNDUP((T4635+U4635+2*'Read Me'!$B$13)*(1+'Read Me'!$B$12),-1)</f>
        <v/>
      </c>
      <c r="W4635" s="16">
        <f>V4635*N4635*O4635</f>
        <v/>
      </c>
      <c r="X4635" s="12">
        <f>IF(LEFT(I4635,2)="MV",2*N4635*IF(L4635="1/C",O4635,1),0)</f>
        <v/>
      </c>
      <c r="Y4635" s="12">
        <f>IF(OR(LEFT(K4635,4)="LVAX",LEFT(K4635,6)="MV15AX",LEFT(K4635,4)="CTAX",LEFT(K4635,2)="W|"),2*N4635*O4635,0)</f>
        <v/>
      </c>
      <c r="Z4635" s="12" t="inlineStr"/>
      <c r="AA4635" s="12">
        <f>N4635*O4635</f>
        <v/>
      </c>
    </row>
    <row r="4636">
      <c r="A4636" s="12" t="inlineStr">
        <is>
          <t>I-I-0278</t>
        </is>
      </c>
      <c r="B4636" s="12" t="inlineStr">
        <is>
          <t>I</t>
        </is>
      </c>
      <c r="C4636" s="12" t="inlineStr">
        <is>
          <t>Modular / portable power</t>
        </is>
      </c>
      <c r="D4636" s="12" t="inlineStr">
        <is>
          <t>RTD to JB JB-RICE-2-RTD01: 10 x 1 tri (field cables)</t>
        </is>
      </c>
      <c r="E4636" s="12" t="inlineStr">
        <is>
          <t>RICE-2</t>
        </is>
      </c>
      <c r="F4636" s="12" t="inlineStr">
        <is>
          <t>RICE engine-generator 2</t>
        </is>
      </c>
      <c r="G4636" s="12" t="inlineStr">
        <is>
          <t>JB-RICE-2-RTD01</t>
        </is>
      </c>
      <c r="H4636" s="12" t="inlineStr">
        <is>
          <t>RICE engine-generator 2</t>
        </is>
      </c>
      <c r="I4636" s="12" t="inlineStr">
        <is>
          <t>Instrumentation</t>
        </is>
      </c>
      <c r="J4636" s="12" t="inlineStr">
        <is>
          <t>RTD cable, #18 shielded triads, PLTC</t>
        </is>
      </c>
      <c r="K4636" s="12" t="inlineStr">
        <is>
          <t>RTD|1 tri|18</t>
        </is>
      </c>
      <c r="L4636" s="12" t="inlineStr">
        <is>
          <t>1 tri</t>
        </is>
      </c>
      <c r="M4636" s="12" t="inlineStr">
        <is>
          <t>18</t>
        </is>
      </c>
      <c r="N4636" s="12" t="n">
        <v>10</v>
      </c>
      <c r="O4636" s="12" t="n">
        <v>1</v>
      </c>
      <c r="P4636" s="12" t="n"/>
      <c r="Q4636" s="12" t="n"/>
      <c r="R4636" s="12" t="n"/>
      <c r="S4636" s="12" t="inlineStr">
        <is>
          <t>Tray / conduit</t>
        </is>
      </c>
      <c r="T4636" s="16" t="n">
        <v>72</v>
      </c>
      <c r="U4636" s="16" t="n">
        <v>10</v>
      </c>
      <c r="V4636" s="16">
        <f>ROUNDUP((T4636+U4636+2*'Read Me'!$B$13)*(1+'Read Me'!$B$12),-1)</f>
        <v/>
      </c>
      <c r="W4636" s="16">
        <f>V4636*N4636*O4636</f>
        <v/>
      </c>
      <c r="X4636" s="12">
        <f>IF(LEFT(I4636,2)="MV",2*N4636*IF(L4636="1/C",O4636,1),0)</f>
        <v/>
      </c>
      <c r="Y4636" s="12">
        <f>IF(OR(LEFT(K4636,4)="LVAX",LEFT(K4636,6)="MV15AX",LEFT(K4636,4)="CTAX",LEFT(K4636,2)="W|"),2*N4636*O4636,0)</f>
        <v/>
      </c>
      <c r="Z4636" s="12" t="inlineStr">
        <is>
          <t>device-to-JB field wiring, one cable per device</t>
        </is>
      </c>
      <c r="AA4636" s="12">
        <f>N4636*O4636</f>
        <v/>
      </c>
    </row>
    <row r="4637">
      <c r="A4637" s="12" t="inlineStr">
        <is>
          <t>I-I-0279</t>
        </is>
      </c>
      <c r="B4637" s="12" t="inlineStr">
        <is>
          <t>I</t>
        </is>
      </c>
      <c r="C4637" s="12" t="inlineStr">
        <is>
          <t>Modular / portable power</t>
        </is>
      </c>
      <c r="D4637" s="12" t="inlineStr">
        <is>
          <t>Home run JB-RICE-2-RTD01 to the control / marshalling room</t>
        </is>
      </c>
      <c r="E4637" s="12" t="inlineStr"/>
      <c r="F4637" s="12" t="inlineStr">
        <is>
          <t>PCM: power control module</t>
        </is>
      </c>
      <c r="G4637" s="12" t="inlineStr">
        <is>
          <t>JB-RICE-2-RTD01</t>
        </is>
      </c>
      <c r="H4637" s="12" t="inlineStr">
        <is>
          <t>RICE engine-generator 2</t>
        </is>
      </c>
      <c r="I4637" s="12" t="inlineStr">
        <is>
          <t>Instrumentation</t>
        </is>
      </c>
      <c r="J4637" s="12" t="inlineStr">
        <is>
          <t>RTD cable, #18 shielded triads, PLTC</t>
        </is>
      </c>
      <c r="K4637" s="12" t="inlineStr">
        <is>
          <t>RTD|12 tri|18</t>
        </is>
      </c>
      <c r="L4637" s="12" t="inlineStr">
        <is>
          <t>12 tri</t>
        </is>
      </c>
      <c r="M4637" s="12" t="inlineStr">
        <is>
          <t>18</t>
        </is>
      </c>
      <c r="N4637" s="12" t="n">
        <v>1</v>
      </c>
      <c r="O4637" s="12" t="n">
        <v>1</v>
      </c>
      <c r="P4637" s="12" t="n"/>
      <c r="Q4637" s="12" t="n"/>
      <c r="R4637" s="12" t="n"/>
      <c r="S4637" s="12" t="inlineStr">
        <is>
          <t>Duct bank</t>
        </is>
      </c>
      <c r="T4637" s="16" t="n">
        <v>550</v>
      </c>
      <c r="U4637" s="16" t="n">
        <v>109</v>
      </c>
      <c r="V4637" s="16">
        <f>ROUNDUP((T4637+U4637+2*'Read Me'!$B$13)*(1+'Read Me'!$B$12),-1)</f>
        <v/>
      </c>
      <c r="W4637" s="16">
        <f>V4637*N4637*O4637</f>
        <v/>
      </c>
      <c r="X4637" s="12">
        <f>IF(LEFT(I4637,2)="MV",2*N4637*IF(L4637="1/C",O4637,1),0)</f>
        <v/>
      </c>
      <c r="Y4637" s="12">
        <f>IF(OR(LEFT(K4637,4)="LVAX",LEFT(K4637,6)="MV15AX",LEFT(K4637,4)="CTAX",LEFT(K4637,2)="W|"),2*N4637*O4637,0)</f>
        <v/>
      </c>
      <c r="Z4637" s="12" t="inlineStr"/>
      <c r="AA4637" s="12">
        <f>N4637*O4637</f>
        <v/>
      </c>
    </row>
    <row r="4638">
      <c r="A4638" s="12" t="inlineStr">
        <is>
          <t>I-I-0280</t>
        </is>
      </c>
      <c r="B4638" s="12" t="inlineStr">
        <is>
          <t>I</t>
        </is>
      </c>
      <c r="C4638" s="12" t="inlineStr">
        <is>
          <t>Modular / portable power</t>
        </is>
      </c>
      <c r="D4638" s="12" t="inlineStr">
        <is>
          <t>RTD to JB JB-RICE-2-RTD02: 2 x 1 tri (field cables)</t>
        </is>
      </c>
      <c r="E4638" s="12" t="inlineStr">
        <is>
          <t>RICE-2</t>
        </is>
      </c>
      <c r="F4638" s="12" t="inlineStr">
        <is>
          <t>RICE engine-generator 2</t>
        </is>
      </c>
      <c r="G4638" s="12" t="inlineStr">
        <is>
          <t>JB-RICE-2-RTD02</t>
        </is>
      </c>
      <c r="H4638" s="12" t="inlineStr">
        <is>
          <t>RICE engine-generator 2</t>
        </is>
      </c>
      <c r="I4638" s="12" t="inlineStr">
        <is>
          <t>Instrumentation</t>
        </is>
      </c>
      <c r="J4638" s="12" t="inlineStr">
        <is>
          <t>RTD cable, #18 shielded triads, PLTC</t>
        </is>
      </c>
      <c r="K4638" s="12" t="inlineStr">
        <is>
          <t>RTD|1 tri|18</t>
        </is>
      </c>
      <c r="L4638" s="12" t="inlineStr">
        <is>
          <t>1 tri</t>
        </is>
      </c>
      <c r="M4638" s="12" t="inlineStr">
        <is>
          <t>18</t>
        </is>
      </c>
      <c r="N4638" s="12" t="n">
        <v>2</v>
      </c>
      <c r="O4638" s="12" t="n">
        <v>1</v>
      </c>
      <c r="P4638" s="12" t="n"/>
      <c r="Q4638" s="12" t="n"/>
      <c r="R4638" s="12" t="n"/>
      <c r="S4638" s="12" t="inlineStr">
        <is>
          <t>Tray / conduit</t>
        </is>
      </c>
      <c r="T4638" s="16" t="n">
        <v>72</v>
      </c>
      <c r="U4638" s="16" t="n">
        <v>10</v>
      </c>
      <c r="V4638" s="16">
        <f>ROUNDUP((T4638+U4638+2*'Read Me'!$B$13)*(1+'Read Me'!$B$12),-1)</f>
        <v/>
      </c>
      <c r="W4638" s="16">
        <f>V4638*N4638*O4638</f>
        <v/>
      </c>
      <c r="X4638" s="12">
        <f>IF(LEFT(I4638,2)="MV",2*N4638*IF(L4638="1/C",O4638,1),0)</f>
        <v/>
      </c>
      <c r="Y4638" s="12">
        <f>IF(OR(LEFT(K4638,4)="LVAX",LEFT(K4638,6)="MV15AX",LEFT(K4638,4)="CTAX",LEFT(K4638,2)="W|"),2*N4638*O4638,0)</f>
        <v/>
      </c>
      <c r="Z4638" s="12" t="inlineStr">
        <is>
          <t>device-to-JB field wiring, one cable per device</t>
        </is>
      </c>
      <c r="AA4638" s="12">
        <f>N4638*O4638</f>
        <v/>
      </c>
    </row>
    <row r="4639">
      <c r="A4639" s="12" t="inlineStr">
        <is>
          <t>I-I-0281</t>
        </is>
      </c>
      <c r="B4639" s="12" t="inlineStr">
        <is>
          <t>I</t>
        </is>
      </c>
      <c r="C4639" s="12" t="inlineStr">
        <is>
          <t>Modular / portable power</t>
        </is>
      </c>
      <c r="D4639" s="12" t="inlineStr">
        <is>
          <t>Home run JB-RICE-2-RTD02 to the control / marshalling room</t>
        </is>
      </c>
      <c r="E4639" s="12" t="inlineStr"/>
      <c r="F4639" s="12" t="inlineStr">
        <is>
          <t>PCM: power control module</t>
        </is>
      </c>
      <c r="G4639" s="12" t="inlineStr">
        <is>
          <t>JB-RICE-2-RTD02</t>
        </is>
      </c>
      <c r="H4639" s="12" t="inlineStr">
        <is>
          <t>RICE engine-generator 2</t>
        </is>
      </c>
      <c r="I4639" s="12" t="inlineStr">
        <is>
          <t>Instrumentation</t>
        </is>
      </c>
      <c r="J4639" s="12" t="inlineStr">
        <is>
          <t>RTD cable, #18 shielded triads, PLTC</t>
        </is>
      </c>
      <c r="K4639" s="12" t="inlineStr">
        <is>
          <t>RTD|12 tri|18</t>
        </is>
      </c>
      <c r="L4639" s="12" t="inlineStr">
        <is>
          <t>12 tri</t>
        </is>
      </c>
      <c r="M4639" s="12" t="inlineStr">
        <is>
          <t>18</t>
        </is>
      </c>
      <c r="N4639" s="12" t="n">
        <v>1</v>
      </c>
      <c r="O4639" s="12" t="n">
        <v>1</v>
      </c>
      <c r="P4639" s="12" t="n"/>
      <c r="Q4639" s="12" t="n"/>
      <c r="R4639" s="12" t="n"/>
      <c r="S4639" s="12" t="inlineStr">
        <is>
          <t>Duct bank</t>
        </is>
      </c>
      <c r="T4639" s="16" t="n">
        <v>550</v>
      </c>
      <c r="U4639" s="16" t="n">
        <v>109</v>
      </c>
      <c r="V4639" s="16">
        <f>ROUNDUP((T4639+U4639+2*'Read Me'!$B$13)*(1+'Read Me'!$B$12),-1)</f>
        <v/>
      </c>
      <c r="W4639" s="16">
        <f>V4639*N4639*O4639</f>
        <v/>
      </c>
      <c r="X4639" s="12">
        <f>IF(LEFT(I4639,2)="MV",2*N4639*IF(L4639="1/C",O4639,1),0)</f>
        <v/>
      </c>
      <c r="Y4639" s="12">
        <f>IF(OR(LEFT(K4639,4)="LVAX",LEFT(K4639,6)="MV15AX",LEFT(K4639,4)="CTAX",LEFT(K4639,2)="W|"),2*N4639*O4639,0)</f>
        <v/>
      </c>
      <c r="Z4639" s="12" t="inlineStr"/>
      <c r="AA4639" s="12">
        <f>N4639*O4639</f>
        <v/>
      </c>
    </row>
    <row r="4640">
      <c r="A4640" s="12" t="inlineStr">
        <is>
          <t>I-I-0282</t>
        </is>
      </c>
      <c r="B4640" s="12" t="inlineStr">
        <is>
          <t>I</t>
        </is>
      </c>
      <c r="C4640" s="12" t="inlineStr">
        <is>
          <t>Modular / portable power</t>
        </is>
      </c>
      <c r="D4640" s="12" t="inlineStr">
        <is>
          <t>Analog instrument to JB JB-RICE-3-AI01: 20 x 1 pr (field cables)</t>
        </is>
      </c>
      <c r="E4640" s="12" t="inlineStr">
        <is>
          <t>RICE-3</t>
        </is>
      </c>
      <c r="F4640" s="12" t="inlineStr">
        <is>
          <t>RICE engine-generator 3</t>
        </is>
      </c>
      <c r="G4640" s="12" t="inlineStr">
        <is>
          <t>JB-RICE-3-AI01</t>
        </is>
      </c>
      <c r="H4640" s="12" t="inlineStr">
        <is>
          <t>RICE engine-generator 3</t>
        </is>
      </c>
      <c r="I4640" s="12" t="inlineStr">
        <is>
          <t>Instrumentation</t>
        </is>
      </c>
      <c r="J4640" s="12" t="inlineStr">
        <is>
          <t>Instrumentation PLTC / TC-ER 300 V, #18 twisted shielded pairs, overall shield</t>
        </is>
      </c>
      <c r="K4640" s="12" t="inlineStr">
        <is>
          <t>PLTC|1 pr|16</t>
        </is>
      </c>
      <c r="L4640" s="12" t="inlineStr">
        <is>
          <t>1 pr</t>
        </is>
      </c>
      <c r="M4640" s="12" t="inlineStr">
        <is>
          <t>16</t>
        </is>
      </c>
      <c r="N4640" s="12" t="n">
        <v>20</v>
      </c>
      <c r="O4640" s="12" t="n">
        <v>1</v>
      </c>
      <c r="P4640" s="12" t="n"/>
      <c r="Q4640" s="12" t="n"/>
      <c r="R4640" s="12" t="n"/>
      <c r="S4640" s="12" t="inlineStr">
        <is>
          <t>Tray / conduit</t>
        </is>
      </c>
      <c r="T4640" s="16" t="n">
        <v>72</v>
      </c>
      <c r="U4640" s="16" t="n">
        <v>10</v>
      </c>
      <c r="V4640" s="16">
        <f>ROUNDUP((T4640+U4640+2*'Read Me'!$B$13)*(1+'Read Me'!$B$12),-1)</f>
        <v/>
      </c>
      <c r="W4640" s="16">
        <f>V4640*N4640*O4640</f>
        <v/>
      </c>
      <c r="X4640" s="12">
        <f>IF(LEFT(I4640,2)="MV",2*N4640*IF(L4640="1/C",O4640,1),0)</f>
        <v/>
      </c>
      <c r="Y4640" s="12">
        <f>IF(OR(LEFT(K4640,4)="LVAX",LEFT(K4640,6)="MV15AX",LEFT(K4640,4)="CTAX",LEFT(K4640,2)="W|"),2*N4640*O4640,0)</f>
        <v/>
      </c>
      <c r="Z4640" s="12" t="inlineStr">
        <is>
          <t>device-to-JB field wiring, one cable per device</t>
        </is>
      </c>
      <c r="AA4640" s="12">
        <f>N4640*O4640</f>
        <v/>
      </c>
    </row>
    <row r="4641">
      <c r="A4641" s="12" t="inlineStr">
        <is>
          <t>I-I-0283</t>
        </is>
      </c>
      <c r="B4641" s="12" t="inlineStr">
        <is>
          <t>I</t>
        </is>
      </c>
      <c r="C4641" s="12" t="inlineStr">
        <is>
          <t>Modular / portable power</t>
        </is>
      </c>
      <c r="D4641" s="12" t="inlineStr">
        <is>
          <t>Home run JB-RICE-3-AI01 to the control / marshalling room</t>
        </is>
      </c>
      <c r="E4641" s="12" t="inlineStr"/>
      <c r="F4641" s="12" t="inlineStr">
        <is>
          <t>PCM: power control module</t>
        </is>
      </c>
      <c r="G4641" s="12" t="inlineStr">
        <is>
          <t>JB-RICE-3-AI01</t>
        </is>
      </c>
      <c r="H4641" s="12" t="inlineStr">
        <is>
          <t>RICE engine-generator 3</t>
        </is>
      </c>
      <c r="I4641" s="12" t="inlineStr">
        <is>
          <t>Instrumentation</t>
        </is>
      </c>
      <c r="J4641" s="12" t="inlineStr">
        <is>
          <t>Instrumentation PLTC / TC-ER 300 V, #18 twisted shielded pairs, overall shield</t>
        </is>
      </c>
      <c r="K4641" s="12" t="inlineStr">
        <is>
          <t>PLTC|24 pr|18</t>
        </is>
      </c>
      <c r="L4641" s="12" t="inlineStr">
        <is>
          <t>24 pr</t>
        </is>
      </c>
      <c r="M4641" s="12" t="inlineStr">
        <is>
          <t>18</t>
        </is>
      </c>
      <c r="N4641" s="12" t="n">
        <v>1</v>
      </c>
      <c r="O4641" s="12" t="n">
        <v>1</v>
      </c>
      <c r="P4641" s="12" t="n"/>
      <c r="Q4641" s="12" t="n"/>
      <c r="R4641" s="12" t="n"/>
      <c r="S4641" s="12" t="inlineStr">
        <is>
          <t>Duct bank</t>
        </is>
      </c>
      <c r="T4641" s="16" t="n">
        <v>550</v>
      </c>
      <c r="U4641" s="16" t="n">
        <v>81</v>
      </c>
      <c r="V4641" s="16">
        <f>ROUNDUP((T4641+U4641+2*'Read Me'!$B$13)*(1+'Read Me'!$B$12),-1)</f>
        <v/>
      </c>
      <c r="W4641" s="16">
        <f>V4641*N4641*O4641</f>
        <v/>
      </c>
      <c r="X4641" s="12">
        <f>IF(LEFT(I4641,2)="MV",2*N4641*IF(L4641="1/C",O4641,1),0)</f>
        <v/>
      </c>
      <c r="Y4641" s="12">
        <f>IF(OR(LEFT(K4641,4)="LVAX",LEFT(K4641,6)="MV15AX",LEFT(K4641,4)="CTAX",LEFT(K4641,2)="W|"),2*N4641*O4641,0)</f>
        <v/>
      </c>
      <c r="Z4641" s="12" t="inlineStr"/>
      <c r="AA4641" s="12">
        <f>N4641*O4641</f>
        <v/>
      </c>
    </row>
    <row r="4642">
      <c r="A4642" s="12" t="inlineStr">
        <is>
          <t>I-I-0284</t>
        </is>
      </c>
      <c r="B4642" s="12" t="inlineStr">
        <is>
          <t>I</t>
        </is>
      </c>
      <c r="C4642" s="12" t="inlineStr">
        <is>
          <t>Modular / portable power</t>
        </is>
      </c>
      <c r="D4642" s="12" t="inlineStr">
        <is>
          <t>Analog instrument to JB JB-RICE-3-AI02: 20 x 1 pr (field cables)</t>
        </is>
      </c>
      <c r="E4642" s="12" t="inlineStr">
        <is>
          <t>RICE-3</t>
        </is>
      </c>
      <c r="F4642" s="12" t="inlineStr">
        <is>
          <t>RICE engine-generator 3</t>
        </is>
      </c>
      <c r="G4642" s="12" t="inlineStr">
        <is>
          <t>JB-RICE-3-AI02</t>
        </is>
      </c>
      <c r="H4642" s="12" t="inlineStr">
        <is>
          <t>RICE engine-generator 3</t>
        </is>
      </c>
      <c r="I4642" s="12" t="inlineStr">
        <is>
          <t>Instrumentation</t>
        </is>
      </c>
      <c r="J4642" s="12" t="inlineStr">
        <is>
          <t>Instrumentation PLTC / TC-ER 300 V, #18 twisted shielded pairs, overall shield</t>
        </is>
      </c>
      <c r="K4642" s="12" t="inlineStr">
        <is>
          <t>PLTC|1 pr|16</t>
        </is>
      </c>
      <c r="L4642" s="12" t="inlineStr">
        <is>
          <t>1 pr</t>
        </is>
      </c>
      <c r="M4642" s="12" t="inlineStr">
        <is>
          <t>16</t>
        </is>
      </c>
      <c r="N4642" s="12" t="n">
        <v>20</v>
      </c>
      <c r="O4642" s="12" t="n">
        <v>1</v>
      </c>
      <c r="P4642" s="12" t="n"/>
      <c r="Q4642" s="12" t="n"/>
      <c r="R4642" s="12" t="n"/>
      <c r="S4642" s="12" t="inlineStr">
        <is>
          <t>Tray / conduit</t>
        </is>
      </c>
      <c r="T4642" s="16" t="n">
        <v>72</v>
      </c>
      <c r="U4642" s="16" t="n">
        <v>10</v>
      </c>
      <c r="V4642" s="16">
        <f>ROUNDUP((T4642+U4642+2*'Read Me'!$B$13)*(1+'Read Me'!$B$12),-1)</f>
        <v/>
      </c>
      <c r="W4642" s="16">
        <f>V4642*N4642*O4642</f>
        <v/>
      </c>
      <c r="X4642" s="12">
        <f>IF(LEFT(I4642,2)="MV",2*N4642*IF(L4642="1/C",O4642,1),0)</f>
        <v/>
      </c>
      <c r="Y4642" s="12">
        <f>IF(OR(LEFT(K4642,4)="LVAX",LEFT(K4642,6)="MV15AX",LEFT(K4642,4)="CTAX",LEFT(K4642,2)="W|"),2*N4642*O4642,0)</f>
        <v/>
      </c>
      <c r="Z4642" s="12" t="inlineStr">
        <is>
          <t>device-to-JB field wiring, one cable per device</t>
        </is>
      </c>
      <c r="AA4642" s="12">
        <f>N4642*O4642</f>
        <v/>
      </c>
    </row>
    <row r="4643">
      <c r="A4643" s="12" t="inlineStr">
        <is>
          <t>I-I-0285</t>
        </is>
      </c>
      <c r="B4643" s="12" t="inlineStr">
        <is>
          <t>I</t>
        </is>
      </c>
      <c r="C4643" s="12" t="inlineStr">
        <is>
          <t>Modular / portable power</t>
        </is>
      </c>
      <c r="D4643" s="12" t="inlineStr">
        <is>
          <t>Home run JB-RICE-3-AI02 to the control / marshalling room</t>
        </is>
      </c>
      <c r="E4643" s="12" t="inlineStr"/>
      <c r="F4643" s="12" t="inlineStr">
        <is>
          <t>PCM: power control module</t>
        </is>
      </c>
      <c r="G4643" s="12" t="inlineStr">
        <is>
          <t>JB-RICE-3-AI02</t>
        </is>
      </c>
      <c r="H4643" s="12" t="inlineStr">
        <is>
          <t>RICE engine-generator 3</t>
        </is>
      </c>
      <c r="I4643" s="12" t="inlineStr">
        <is>
          <t>Instrumentation</t>
        </is>
      </c>
      <c r="J4643" s="12" t="inlineStr">
        <is>
          <t>Instrumentation PLTC / TC-ER 300 V, #18 twisted shielded pairs, overall shield</t>
        </is>
      </c>
      <c r="K4643" s="12" t="inlineStr">
        <is>
          <t>PLTC|24 pr|18</t>
        </is>
      </c>
      <c r="L4643" s="12" t="inlineStr">
        <is>
          <t>24 pr</t>
        </is>
      </c>
      <c r="M4643" s="12" t="inlineStr">
        <is>
          <t>18</t>
        </is>
      </c>
      <c r="N4643" s="12" t="n">
        <v>1</v>
      </c>
      <c r="O4643" s="12" t="n">
        <v>1</v>
      </c>
      <c r="P4643" s="12" t="n"/>
      <c r="Q4643" s="12" t="n"/>
      <c r="R4643" s="12" t="n"/>
      <c r="S4643" s="12" t="inlineStr">
        <is>
          <t>Duct bank</t>
        </is>
      </c>
      <c r="T4643" s="16" t="n">
        <v>550</v>
      </c>
      <c r="U4643" s="16" t="n">
        <v>81</v>
      </c>
      <c r="V4643" s="16">
        <f>ROUNDUP((T4643+U4643+2*'Read Me'!$B$13)*(1+'Read Me'!$B$12),-1)</f>
        <v/>
      </c>
      <c r="W4643" s="16">
        <f>V4643*N4643*O4643</f>
        <v/>
      </c>
      <c r="X4643" s="12">
        <f>IF(LEFT(I4643,2)="MV",2*N4643*IF(L4643="1/C",O4643,1),0)</f>
        <v/>
      </c>
      <c r="Y4643" s="12">
        <f>IF(OR(LEFT(K4643,4)="LVAX",LEFT(K4643,6)="MV15AX",LEFT(K4643,4)="CTAX",LEFT(K4643,2)="W|"),2*N4643*O4643,0)</f>
        <v/>
      </c>
      <c r="Z4643" s="12" t="inlineStr"/>
      <c r="AA4643" s="12">
        <f>N4643*O4643</f>
        <v/>
      </c>
    </row>
    <row r="4644">
      <c r="A4644" s="12" t="inlineStr">
        <is>
          <t>I-I-0286</t>
        </is>
      </c>
      <c r="B4644" s="12" t="inlineStr">
        <is>
          <t>I</t>
        </is>
      </c>
      <c r="C4644" s="12" t="inlineStr">
        <is>
          <t>Modular / portable power</t>
        </is>
      </c>
      <c r="D4644" s="12" t="inlineStr">
        <is>
          <t>Analog instrument to JB JB-RICE-3-AI03: 20 x 1 pr (field cables)</t>
        </is>
      </c>
      <c r="E4644" s="12" t="inlineStr">
        <is>
          <t>RICE-3</t>
        </is>
      </c>
      <c r="F4644" s="12" t="inlineStr">
        <is>
          <t>RICE engine-generator 3</t>
        </is>
      </c>
      <c r="G4644" s="12" t="inlineStr">
        <is>
          <t>JB-RICE-3-AI03</t>
        </is>
      </c>
      <c r="H4644" s="12" t="inlineStr">
        <is>
          <t>RICE engine-generator 3</t>
        </is>
      </c>
      <c r="I4644" s="12" t="inlineStr">
        <is>
          <t>Instrumentation</t>
        </is>
      </c>
      <c r="J4644" s="12" t="inlineStr">
        <is>
          <t>Instrumentation PLTC / TC-ER 300 V, #18 twisted shielded pairs, overall shield</t>
        </is>
      </c>
      <c r="K4644" s="12" t="inlineStr">
        <is>
          <t>PLTC|1 pr|16</t>
        </is>
      </c>
      <c r="L4644" s="12" t="inlineStr">
        <is>
          <t>1 pr</t>
        </is>
      </c>
      <c r="M4644" s="12" t="inlineStr">
        <is>
          <t>16</t>
        </is>
      </c>
      <c r="N4644" s="12" t="n">
        <v>20</v>
      </c>
      <c r="O4644" s="12" t="n">
        <v>1</v>
      </c>
      <c r="P4644" s="12" t="n"/>
      <c r="Q4644" s="12" t="n"/>
      <c r="R4644" s="12" t="n"/>
      <c r="S4644" s="12" t="inlineStr">
        <is>
          <t>Tray / conduit</t>
        </is>
      </c>
      <c r="T4644" s="16" t="n">
        <v>72</v>
      </c>
      <c r="U4644" s="16" t="n">
        <v>10</v>
      </c>
      <c r="V4644" s="16">
        <f>ROUNDUP((T4644+U4644+2*'Read Me'!$B$13)*(1+'Read Me'!$B$12),-1)</f>
        <v/>
      </c>
      <c r="W4644" s="16">
        <f>V4644*N4644*O4644</f>
        <v/>
      </c>
      <c r="X4644" s="12">
        <f>IF(LEFT(I4644,2)="MV",2*N4644*IF(L4644="1/C",O4644,1),0)</f>
        <v/>
      </c>
      <c r="Y4644" s="12">
        <f>IF(OR(LEFT(K4644,4)="LVAX",LEFT(K4644,6)="MV15AX",LEFT(K4644,4)="CTAX",LEFT(K4644,2)="W|"),2*N4644*O4644,0)</f>
        <v/>
      </c>
      <c r="Z4644" s="12" t="inlineStr">
        <is>
          <t>device-to-JB field wiring, one cable per device</t>
        </is>
      </c>
      <c r="AA4644" s="12">
        <f>N4644*O4644</f>
        <v/>
      </c>
    </row>
    <row r="4645">
      <c r="A4645" s="12" t="inlineStr">
        <is>
          <t>I-I-0287</t>
        </is>
      </c>
      <c r="B4645" s="12" t="inlineStr">
        <is>
          <t>I</t>
        </is>
      </c>
      <c r="C4645" s="12" t="inlineStr">
        <is>
          <t>Modular / portable power</t>
        </is>
      </c>
      <c r="D4645" s="12" t="inlineStr">
        <is>
          <t>Home run JB-RICE-3-AI03 to the control / marshalling room</t>
        </is>
      </c>
      <c r="E4645" s="12" t="inlineStr"/>
      <c r="F4645" s="12" t="inlineStr">
        <is>
          <t>PCM: power control module</t>
        </is>
      </c>
      <c r="G4645" s="12" t="inlineStr">
        <is>
          <t>JB-RICE-3-AI03</t>
        </is>
      </c>
      <c r="H4645" s="12" t="inlineStr">
        <is>
          <t>RICE engine-generator 3</t>
        </is>
      </c>
      <c r="I4645" s="12" t="inlineStr">
        <is>
          <t>Instrumentation</t>
        </is>
      </c>
      <c r="J4645" s="12" t="inlineStr">
        <is>
          <t>Instrumentation PLTC / TC-ER 300 V, #18 twisted shielded pairs, overall shield</t>
        </is>
      </c>
      <c r="K4645" s="12" t="inlineStr">
        <is>
          <t>PLTC|24 pr|18</t>
        </is>
      </c>
      <c r="L4645" s="12" t="inlineStr">
        <is>
          <t>24 pr</t>
        </is>
      </c>
      <c r="M4645" s="12" t="inlineStr">
        <is>
          <t>18</t>
        </is>
      </c>
      <c r="N4645" s="12" t="n">
        <v>1</v>
      </c>
      <c r="O4645" s="12" t="n">
        <v>1</v>
      </c>
      <c r="P4645" s="12" t="n"/>
      <c r="Q4645" s="12" t="n"/>
      <c r="R4645" s="12" t="n"/>
      <c r="S4645" s="12" t="inlineStr">
        <is>
          <t>Duct bank</t>
        </is>
      </c>
      <c r="T4645" s="16" t="n">
        <v>550</v>
      </c>
      <c r="U4645" s="16" t="n">
        <v>81</v>
      </c>
      <c r="V4645" s="16">
        <f>ROUNDUP((T4645+U4645+2*'Read Me'!$B$13)*(1+'Read Me'!$B$12),-1)</f>
        <v/>
      </c>
      <c r="W4645" s="16">
        <f>V4645*N4645*O4645</f>
        <v/>
      </c>
      <c r="X4645" s="12">
        <f>IF(LEFT(I4645,2)="MV",2*N4645*IF(L4645="1/C",O4645,1),0)</f>
        <v/>
      </c>
      <c r="Y4645" s="12">
        <f>IF(OR(LEFT(K4645,4)="LVAX",LEFT(K4645,6)="MV15AX",LEFT(K4645,4)="CTAX",LEFT(K4645,2)="W|"),2*N4645*O4645,0)</f>
        <v/>
      </c>
      <c r="Z4645" s="12" t="inlineStr"/>
      <c r="AA4645" s="12">
        <f>N4645*O4645</f>
        <v/>
      </c>
    </row>
    <row r="4646">
      <c r="A4646" s="12" t="inlineStr">
        <is>
          <t>I-I-0288</t>
        </is>
      </c>
      <c r="B4646" s="12" t="inlineStr">
        <is>
          <t>I</t>
        </is>
      </c>
      <c r="C4646" s="12" t="inlineStr">
        <is>
          <t>Modular / portable power</t>
        </is>
      </c>
      <c r="D4646" s="12" t="inlineStr">
        <is>
          <t>Analog instrument to JB JB-RICE-3-AI04: 20 x 1 pr (field cables)</t>
        </is>
      </c>
      <c r="E4646" s="12" t="inlineStr">
        <is>
          <t>RICE-3</t>
        </is>
      </c>
      <c r="F4646" s="12" t="inlineStr">
        <is>
          <t>RICE engine-generator 3</t>
        </is>
      </c>
      <c r="G4646" s="12" t="inlineStr">
        <is>
          <t>JB-RICE-3-AI04</t>
        </is>
      </c>
      <c r="H4646" s="12" t="inlineStr">
        <is>
          <t>RICE engine-generator 3</t>
        </is>
      </c>
      <c r="I4646" s="12" t="inlineStr">
        <is>
          <t>Instrumentation</t>
        </is>
      </c>
      <c r="J4646" s="12" t="inlineStr">
        <is>
          <t>Instrumentation PLTC / TC-ER 300 V, #18 twisted shielded pairs, overall shield</t>
        </is>
      </c>
      <c r="K4646" s="12" t="inlineStr">
        <is>
          <t>PLTC|1 pr|16</t>
        </is>
      </c>
      <c r="L4646" s="12" t="inlineStr">
        <is>
          <t>1 pr</t>
        </is>
      </c>
      <c r="M4646" s="12" t="inlineStr">
        <is>
          <t>16</t>
        </is>
      </c>
      <c r="N4646" s="12" t="n">
        <v>20</v>
      </c>
      <c r="O4646" s="12" t="n">
        <v>1</v>
      </c>
      <c r="P4646" s="12" t="n"/>
      <c r="Q4646" s="12" t="n"/>
      <c r="R4646" s="12" t="n"/>
      <c r="S4646" s="12" t="inlineStr">
        <is>
          <t>Tray / conduit</t>
        </is>
      </c>
      <c r="T4646" s="16" t="n">
        <v>72</v>
      </c>
      <c r="U4646" s="16" t="n">
        <v>10</v>
      </c>
      <c r="V4646" s="16">
        <f>ROUNDUP((T4646+U4646+2*'Read Me'!$B$13)*(1+'Read Me'!$B$12),-1)</f>
        <v/>
      </c>
      <c r="W4646" s="16">
        <f>V4646*N4646*O4646</f>
        <v/>
      </c>
      <c r="X4646" s="12">
        <f>IF(LEFT(I4646,2)="MV",2*N4646*IF(L4646="1/C",O4646,1),0)</f>
        <v/>
      </c>
      <c r="Y4646" s="12">
        <f>IF(OR(LEFT(K4646,4)="LVAX",LEFT(K4646,6)="MV15AX",LEFT(K4646,4)="CTAX",LEFT(K4646,2)="W|"),2*N4646*O4646,0)</f>
        <v/>
      </c>
      <c r="Z4646" s="12" t="inlineStr">
        <is>
          <t>device-to-JB field wiring, one cable per device</t>
        </is>
      </c>
      <c r="AA4646" s="12">
        <f>N4646*O4646</f>
        <v/>
      </c>
    </row>
    <row r="4647">
      <c r="A4647" s="12" t="inlineStr">
        <is>
          <t>I-I-0289</t>
        </is>
      </c>
      <c r="B4647" s="12" t="inlineStr">
        <is>
          <t>I</t>
        </is>
      </c>
      <c r="C4647" s="12" t="inlineStr">
        <is>
          <t>Modular / portable power</t>
        </is>
      </c>
      <c r="D4647" s="12" t="inlineStr">
        <is>
          <t>Home run JB-RICE-3-AI04 to the control / marshalling room</t>
        </is>
      </c>
      <c r="E4647" s="12" t="inlineStr"/>
      <c r="F4647" s="12" t="inlineStr">
        <is>
          <t>PCM: power control module</t>
        </is>
      </c>
      <c r="G4647" s="12" t="inlineStr">
        <is>
          <t>JB-RICE-3-AI04</t>
        </is>
      </c>
      <c r="H4647" s="12" t="inlineStr">
        <is>
          <t>RICE engine-generator 3</t>
        </is>
      </c>
      <c r="I4647" s="12" t="inlineStr">
        <is>
          <t>Instrumentation</t>
        </is>
      </c>
      <c r="J4647" s="12" t="inlineStr">
        <is>
          <t>Instrumentation PLTC / TC-ER 300 V, #18 twisted shielded pairs, overall shield</t>
        </is>
      </c>
      <c r="K4647" s="12" t="inlineStr">
        <is>
          <t>PLTC|24 pr|18</t>
        </is>
      </c>
      <c r="L4647" s="12" t="inlineStr">
        <is>
          <t>24 pr</t>
        </is>
      </c>
      <c r="M4647" s="12" t="inlineStr">
        <is>
          <t>18</t>
        </is>
      </c>
      <c r="N4647" s="12" t="n">
        <v>1</v>
      </c>
      <c r="O4647" s="12" t="n">
        <v>1</v>
      </c>
      <c r="P4647" s="12" t="n"/>
      <c r="Q4647" s="12" t="n"/>
      <c r="R4647" s="12" t="n"/>
      <c r="S4647" s="12" t="inlineStr">
        <is>
          <t>Duct bank</t>
        </is>
      </c>
      <c r="T4647" s="16" t="n">
        <v>550</v>
      </c>
      <c r="U4647" s="16" t="n">
        <v>81</v>
      </c>
      <c r="V4647" s="16">
        <f>ROUNDUP((T4647+U4647+2*'Read Me'!$B$13)*(1+'Read Me'!$B$12),-1)</f>
        <v/>
      </c>
      <c r="W4647" s="16">
        <f>V4647*N4647*O4647</f>
        <v/>
      </c>
      <c r="X4647" s="12">
        <f>IF(LEFT(I4647,2)="MV",2*N4647*IF(L4647="1/C",O4647,1),0)</f>
        <v/>
      </c>
      <c r="Y4647" s="12">
        <f>IF(OR(LEFT(K4647,4)="LVAX",LEFT(K4647,6)="MV15AX",LEFT(K4647,4)="CTAX",LEFT(K4647,2)="W|"),2*N4647*O4647,0)</f>
        <v/>
      </c>
      <c r="Z4647" s="12" t="inlineStr"/>
      <c r="AA4647" s="12">
        <f>N4647*O4647</f>
        <v/>
      </c>
    </row>
    <row r="4648">
      <c r="A4648" s="12" t="inlineStr">
        <is>
          <t>I-I-0290</t>
        </is>
      </c>
      <c r="B4648" s="12" t="inlineStr">
        <is>
          <t>I</t>
        </is>
      </c>
      <c r="C4648" s="12" t="inlineStr">
        <is>
          <t>Modular / portable power</t>
        </is>
      </c>
      <c r="D4648" s="12" t="inlineStr">
        <is>
          <t>Discrete device to JB JB-RICE-3-DI01: 20 x 1 pr (field cables)</t>
        </is>
      </c>
      <c r="E4648" s="12" t="inlineStr">
        <is>
          <t>RICE-3</t>
        </is>
      </c>
      <c r="F4648" s="12" t="inlineStr">
        <is>
          <t>RICE engine-generator 3</t>
        </is>
      </c>
      <c r="G4648" s="12" t="inlineStr">
        <is>
          <t>JB-RICE-3-DI01</t>
        </is>
      </c>
      <c r="H4648" s="12" t="inlineStr">
        <is>
          <t>RICE engine-generator 3</t>
        </is>
      </c>
      <c r="I4648" s="12" t="inlineStr">
        <is>
          <t>Instrumentation</t>
        </is>
      </c>
      <c r="J4648" s="12" t="inlineStr">
        <is>
          <t>Instrumentation PLTC / TC-ER 300 V, #18 twisted shielded pairs, overall shield</t>
        </is>
      </c>
      <c r="K4648" s="12" t="inlineStr">
        <is>
          <t>PLTC|1 pr|16</t>
        </is>
      </c>
      <c r="L4648" s="12" t="inlineStr">
        <is>
          <t>1 pr</t>
        </is>
      </c>
      <c r="M4648" s="12" t="inlineStr">
        <is>
          <t>16</t>
        </is>
      </c>
      <c r="N4648" s="12" t="n">
        <v>20</v>
      </c>
      <c r="O4648" s="12" t="n">
        <v>1</v>
      </c>
      <c r="P4648" s="12" t="n"/>
      <c r="Q4648" s="12" t="n"/>
      <c r="R4648" s="12" t="n"/>
      <c r="S4648" s="12" t="inlineStr">
        <is>
          <t>Tray / conduit</t>
        </is>
      </c>
      <c r="T4648" s="16" t="n">
        <v>72</v>
      </c>
      <c r="U4648" s="16" t="n">
        <v>10</v>
      </c>
      <c r="V4648" s="16">
        <f>ROUNDUP((T4648+U4648+2*'Read Me'!$B$13)*(1+'Read Me'!$B$12),-1)</f>
        <v/>
      </c>
      <c r="W4648" s="16">
        <f>V4648*N4648*O4648</f>
        <v/>
      </c>
      <c r="X4648" s="12">
        <f>IF(LEFT(I4648,2)="MV",2*N4648*IF(L4648="1/C",O4648,1),0)</f>
        <v/>
      </c>
      <c r="Y4648" s="12">
        <f>IF(OR(LEFT(K4648,4)="LVAX",LEFT(K4648,6)="MV15AX",LEFT(K4648,4)="CTAX",LEFT(K4648,2)="W|"),2*N4648*O4648,0)</f>
        <v/>
      </c>
      <c r="Z4648" s="12" t="inlineStr">
        <is>
          <t>device-to-JB field wiring, one cable per device</t>
        </is>
      </c>
      <c r="AA4648" s="12">
        <f>N4648*O4648</f>
        <v/>
      </c>
    </row>
    <row r="4649">
      <c r="A4649" s="12" t="inlineStr">
        <is>
          <t>I-I-0291</t>
        </is>
      </c>
      <c r="B4649" s="12" t="inlineStr">
        <is>
          <t>I</t>
        </is>
      </c>
      <c r="C4649" s="12" t="inlineStr">
        <is>
          <t>Modular / portable power</t>
        </is>
      </c>
      <c r="D4649" s="12" t="inlineStr">
        <is>
          <t>Home run JB-RICE-3-DI01 to the control / marshalling room</t>
        </is>
      </c>
      <c r="E4649" s="12" t="inlineStr"/>
      <c r="F4649" s="12" t="inlineStr">
        <is>
          <t>PCM: power control module</t>
        </is>
      </c>
      <c r="G4649" s="12" t="inlineStr">
        <is>
          <t>JB-RICE-3-DI01</t>
        </is>
      </c>
      <c r="H4649" s="12" t="inlineStr">
        <is>
          <t>RICE engine-generator 3</t>
        </is>
      </c>
      <c r="I4649" s="12" t="inlineStr">
        <is>
          <t>Instrumentation</t>
        </is>
      </c>
      <c r="J4649" s="12" t="inlineStr">
        <is>
          <t>Instrumentation PLTC / TC-ER 300 V, #18 twisted shielded pairs, overall shield</t>
        </is>
      </c>
      <c r="K4649" s="12" t="inlineStr">
        <is>
          <t>PLTC|24 pr|18</t>
        </is>
      </c>
      <c r="L4649" s="12" t="inlineStr">
        <is>
          <t>24 pr</t>
        </is>
      </c>
      <c r="M4649" s="12" t="inlineStr">
        <is>
          <t>18</t>
        </is>
      </c>
      <c r="N4649" s="12" t="n">
        <v>1</v>
      </c>
      <c r="O4649" s="12" t="n">
        <v>1</v>
      </c>
      <c r="P4649" s="12" t="n"/>
      <c r="Q4649" s="12" t="n"/>
      <c r="R4649" s="12" t="n"/>
      <c r="S4649" s="12" t="inlineStr">
        <is>
          <t>Duct bank</t>
        </is>
      </c>
      <c r="T4649" s="16" t="n">
        <v>550</v>
      </c>
      <c r="U4649" s="16" t="n">
        <v>81</v>
      </c>
      <c r="V4649" s="16">
        <f>ROUNDUP((T4649+U4649+2*'Read Me'!$B$13)*(1+'Read Me'!$B$12),-1)</f>
        <v/>
      </c>
      <c r="W4649" s="16">
        <f>V4649*N4649*O4649</f>
        <v/>
      </c>
      <c r="X4649" s="12">
        <f>IF(LEFT(I4649,2)="MV",2*N4649*IF(L4649="1/C",O4649,1),0)</f>
        <v/>
      </c>
      <c r="Y4649" s="12">
        <f>IF(OR(LEFT(K4649,4)="LVAX",LEFT(K4649,6)="MV15AX",LEFT(K4649,4)="CTAX",LEFT(K4649,2)="W|"),2*N4649*O4649,0)</f>
        <v/>
      </c>
      <c r="Z4649" s="12" t="inlineStr"/>
      <c r="AA4649" s="12">
        <f>N4649*O4649</f>
        <v/>
      </c>
    </row>
    <row r="4650">
      <c r="A4650" s="12" t="inlineStr">
        <is>
          <t>I-I-0292</t>
        </is>
      </c>
      <c r="B4650" s="12" t="inlineStr">
        <is>
          <t>I</t>
        </is>
      </c>
      <c r="C4650" s="12" t="inlineStr">
        <is>
          <t>Modular / portable power</t>
        </is>
      </c>
      <c r="D4650" s="12" t="inlineStr">
        <is>
          <t>Discrete device to JB JB-RICE-3-DI02: 20 x 1 pr (field cables)</t>
        </is>
      </c>
      <c r="E4650" s="12" t="inlineStr">
        <is>
          <t>RICE-3</t>
        </is>
      </c>
      <c r="F4650" s="12" t="inlineStr">
        <is>
          <t>RICE engine-generator 3</t>
        </is>
      </c>
      <c r="G4650" s="12" t="inlineStr">
        <is>
          <t>JB-RICE-3-DI02</t>
        </is>
      </c>
      <c r="H4650" s="12" t="inlineStr">
        <is>
          <t>RICE engine-generator 3</t>
        </is>
      </c>
      <c r="I4650" s="12" t="inlineStr">
        <is>
          <t>Instrumentation</t>
        </is>
      </c>
      <c r="J4650" s="12" t="inlineStr">
        <is>
          <t>Instrumentation PLTC / TC-ER 300 V, #18 twisted shielded pairs, overall shield</t>
        </is>
      </c>
      <c r="K4650" s="12" t="inlineStr">
        <is>
          <t>PLTC|1 pr|16</t>
        </is>
      </c>
      <c r="L4650" s="12" t="inlineStr">
        <is>
          <t>1 pr</t>
        </is>
      </c>
      <c r="M4650" s="12" t="inlineStr">
        <is>
          <t>16</t>
        </is>
      </c>
      <c r="N4650" s="12" t="n">
        <v>20</v>
      </c>
      <c r="O4650" s="12" t="n">
        <v>1</v>
      </c>
      <c r="P4650" s="12" t="n"/>
      <c r="Q4650" s="12" t="n"/>
      <c r="R4650" s="12" t="n"/>
      <c r="S4650" s="12" t="inlineStr">
        <is>
          <t>Tray / conduit</t>
        </is>
      </c>
      <c r="T4650" s="16" t="n">
        <v>72</v>
      </c>
      <c r="U4650" s="16" t="n">
        <v>10</v>
      </c>
      <c r="V4650" s="16">
        <f>ROUNDUP((T4650+U4650+2*'Read Me'!$B$13)*(1+'Read Me'!$B$12),-1)</f>
        <v/>
      </c>
      <c r="W4650" s="16">
        <f>V4650*N4650*O4650</f>
        <v/>
      </c>
      <c r="X4650" s="12">
        <f>IF(LEFT(I4650,2)="MV",2*N4650*IF(L4650="1/C",O4650,1),0)</f>
        <v/>
      </c>
      <c r="Y4650" s="12">
        <f>IF(OR(LEFT(K4650,4)="LVAX",LEFT(K4650,6)="MV15AX",LEFT(K4650,4)="CTAX",LEFT(K4650,2)="W|"),2*N4650*O4650,0)</f>
        <v/>
      </c>
      <c r="Z4650" s="12" t="inlineStr">
        <is>
          <t>device-to-JB field wiring, one cable per device</t>
        </is>
      </c>
      <c r="AA4650" s="12">
        <f>N4650*O4650</f>
        <v/>
      </c>
    </row>
    <row r="4651">
      <c r="A4651" s="12" t="inlineStr">
        <is>
          <t>I-I-0293</t>
        </is>
      </c>
      <c r="B4651" s="12" t="inlineStr">
        <is>
          <t>I</t>
        </is>
      </c>
      <c r="C4651" s="12" t="inlineStr">
        <is>
          <t>Modular / portable power</t>
        </is>
      </c>
      <c r="D4651" s="12" t="inlineStr">
        <is>
          <t>Home run JB-RICE-3-DI02 to the control / marshalling room</t>
        </is>
      </c>
      <c r="E4651" s="12" t="inlineStr"/>
      <c r="F4651" s="12" t="inlineStr">
        <is>
          <t>PCM: power control module</t>
        </is>
      </c>
      <c r="G4651" s="12" t="inlineStr">
        <is>
          <t>JB-RICE-3-DI02</t>
        </is>
      </c>
      <c r="H4651" s="12" t="inlineStr">
        <is>
          <t>RICE engine-generator 3</t>
        </is>
      </c>
      <c r="I4651" s="12" t="inlineStr">
        <is>
          <t>Instrumentation</t>
        </is>
      </c>
      <c r="J4651" s="12" t="inlineStr">
        <is>
          <t>Instrumentation PLTC / TC-ER 300 V, #18 twisted shielded pairs, overall shield</t>
        </is>
      </c>
      <c r="K4651" s="12" t="inlineStr">
        <is>
          <t>PLTC|24 pr|18</t>
        </is>
      </c>
      <c r="L4651" s="12" t="inlineStr">
        <is>
          <t>24 pr</t>
        </is>
      </c>
      <c r="M4651" s="12" t="inlineStr">
        <is>
          <t>18</t>
        </is>
      </c>
      <c r="N4651" s="12" t="n">
        <v>1</v>
      </c>
      <c r="O4651" s="12" t="n">
        <v>1</v>
      </c>
      <c r="P4651" s="12" t="n"/>
      <c r="Q4651" s="12" t="n"/>
      <c r="R4651" s="12" t="n"/>
      <c r="S4651" s="12" t="inlineStr">
        <is>
          <t>Duct bank</t>
        </is>
      </c>
      <c r="T4651" s="16" t="n">
        <v>550</v>
      </c>
      <c r="U4651" s="16" t="n">
        <v>81</v>
      </c>
      <c r="V4651" s="16">
        <f>ROUNDUP((T4651+U4651+2*'Read Me'!$B$13)*(1+'Read Me'!$B$12),-1)</f>
        <v/>
      </c>
      <c r="W4651" s="16">
        <f>V4651*N4651*O4651</f>
        <v/>
      </c>
      <c r="X4651" s="12">
        <f>IF(LEFT(I4651,2)="MV",2*N4651*IF(L4651="1/C",O4651,1),0)</f>
        <v/>
      </c>
      <c r="Y4651" s="12">
        <f>IF(OR(LEFT(K4651,4)="LVAX",LEFT(K4651,6)="MV15AX",LEFT(K4651,4)="CTAX",LEFT(K4651,2)="W|"),2*N4651*O4651,0)</f>
        <v/>
      </c>
      <c r="Z4651" s="12" t="inlineStr"/>
      <c r="AA4651" s="12">
        <f>N4651*O4651</f>
        <v/>
      </c>
    </row>
    <row r="4652">
      <c r="A4652" s="12" t="inlineStr">
        <is>
          <t>I-I-0294</t>
        </is>
      </c>
      <c r="B4652" s="12" t="inlineStr">
        <is>
          <t>I</t>
        </is>
      </c>
      <c r="C4652" s="12" t="inlineStr">
        <is>
          <t>Modular / portable power</t>
        </is>
      </c>
      <c r="D4652" s="12" t="inlineStr">
        <is>
          <t>Discrete device to JB JB-RICE-3-DI03: 20 x 1 pr (field cables)</t>
        </is>
      </c>
      <c r="E4652" s="12" t="inlineStr">
        <is>
          <t>RICE-3</t>
        </is>
      </c>
      <c r="F4652" s="12" t="inlineStr">
        <is>
          <t>RICE engine-generator 3</t>
        </is>
      </c>
      <c r="G4652" s="12" t="inlineStr">
        <is>
          <t>JB-RICE-3-DI03</t>
        </is>
      </c>
      <c r="H4652" s="12" t="inlineStr">
        <is>
          <t>RICE engine-generator 3</t>
        </is>
      </c>
      <c r="I4652" s="12" t="inlineStr">
        <is>
          <t>Instrumentation</t>
        </is>
      </c>
      <c r="J4652" s="12" t="inlineStr">
        <is>
          <t>Instrumentation PLTC / TC-ER 300 V, #18 twisted shielded pairs, overall shield</t>
        </is>
      </c>
      <c r="K4652" s="12" t="inlineStr">
        <is>
          <t>PLTC|1 pr|16</t>
        </is>
      </c>
      <c r="L4652" s="12" t="inlineStr">
        <is>
          <t>1 pr</t>
        </is>
      </c>
      <c r="M4652" s="12" t="inlineStr">
        <is>
          <t>16</t>
        </is>
      </c>
      <c r="N4652" s="12" t="n">
        <v>20</v>
      </c>
      <c r="O4652" s="12" t="n">
        <v>1</v>
      </c>
      <c r="P4652" s="12" t="n"/>
      <c r="Q4652" s="12" t="n"/>
      <c r="R4652" s="12" t="n"/>
      <c r="S4652" s="12" t="inlineStr">
        <is>
          <t>Tray / conduit</t>
        </is>
      </c>
      <c r="T4652" s="16" t="n">
        <v>72</v>
      </c>
      <c r="U4652" s="16" t="n">
        <v>10</v>
      </c>
      <c r="V4652" s="16">
        <f>ROUNDUP((T4652+U4652+2*'Read Me'!$B$13)*(1+'Read Me'!$B$12),-1)</f>
        <v/>
      </c>
      <c r="W4652" s="16">
        <f>V4652*N4652*O4652</f>
        <v/>
      </c>
      <c r="X4652" s="12">
        <f>IF(LEFT(I4652,2)="MV",2*N4652*IF(L4652="1/C",O4652,1),0)</f>
        <v/>
      </c>
      <c r="Y4652" s="12">
        <f>IF(OR(LEFT(K4652,4)="LVAX",LEFT(K4652,6)="MV15AX",LEFT(K4652,4)="CTAX",LEFT(K4652,2)="W|"),2*N4652*O4652,0)</f>
        <v/>
      </c>
      <c r="Z4652" s="12" t="inlineStr">
        <is>
          <t>device-to-JB field wiring, one cable per device</t>
        </is>
      </c>
      <c r="AA4652" s="12">
        <f>N4652*O4652</f>
        <v/>
      </c>
    </row>
    <row r="4653">
      <c r="A4653" s="12" t="inlineStr">
        <is>
          <t>I-I-0295</t>
        </is>
      </c>
      <c r="B4653" s="12" t="inlineStr">
        <is>
          <t>I</t>
        </is>
      </c>
      <c r="C4653" s="12" t="inlineStr">
        <is>
          <t>Modular / portable power</t>
        </is>
      </c>
      <c r="D4653" s="12" t="inlineStr">
        <is>
          <t>Home run JB-RICE-3-DI03 to the control / marshalling room</t>
        </is>
      </c>
      <c r="E4653" s="12" t="inlineStr"/>
      <c r="F4653" s="12" t="inlineStr">
        <is>
          <t>PCM: power control module</t>
        </is>
      </c>
      <c r="G4653" s="12" t="inlineStr">
        <is>
          <t>JB-RICE-3-DI03</t>
        </is>
      </c>
      <c r="H4653" s="12" t="inlineStr">
        <is>
          <t>RICE engine-generator 3</t>
        </is>
      </c>
      <c r="I4653" s="12" t="inlineStr">
        <is>
          <t>Instrumentation</t>
        </is>
      </c>
      <c r="J4653" s="12" t="inlineStr">
        <is>
          <t>Instrumentation PLTC / TC-ER 300 V, #18 twisted shielded pairs, overall shield</t>
        </is>
      </c>
      <c r="K4653" s="12" t="inlineStr">
        <is>
          <t>PLTC|24 pr|18</t>
        </is>
      </c>
      <c r="L4653" s="12" t="inlineStr">
        <is>
          <t>24 pr</t>
        </is>
      </c>
      <c r="M4653" s="12" t="inlineStr">
        <is>
          <t>18</t>
        </is>
      </c>
      <c r="N4653" s="12" t="n">
        <v>1</v>
      </c>
      <c r="O4653" s="12" t="n">
        <v>1</v>
      </c>
      <c r="P4653" s="12" t="n"/>
      <c r="Q4653" s="12" t="n"/>
      <c r="R4653" s="12" t="n"/>
      <c r="S4653" s="12" t="inlineStr">
        <is>
          <t>Duct bank</t>
        </is>
      </c>
      <c r="T4653" s="16" t="n">
        <v>550</v>
      </c>
      <c r="U4653" s="16" t="n">
        <v>81</v>
      </c>
      <c r="V4653" s="16">
        <f>ROUNDUP((T4653+U4653+2*'Read Me'!$B$13)*(1+'Read Me'!$B$12),-1)</f>
        <v/>
      </c>
      <c r="W4653" s="16">
        <f>V4653*N4653*O4653</f>
        <v/>
      </c>
      <c r="X4653" s="12">
        <f>IF(LEFT(I4653,2)="MV",2*N4653*IF(L4653="1/C",O4653,1),0)</f>
        <v/>
      </c>
      <c r="Y4653" s="12">
        <f>IF(OR(LEFT(K4653,4)="LVAX",LEFT(K4653,6)="MV15AX",LEFT(K4653,4)="CTAX",LEFT(K4653,2)="W|"),2*N4653*O4653,0)</f>
        <v/>
      </c>
      <c r="Z4653" s="12" t="inlineStr"/>
      <c r="AA4653" s="12">
        <f>N4653*O4653</f>
        <v/>
      </c>
    </row>
    <row r="4654">
      <c r="A4654" s="12" t="inlineStr">
        <is>
          <t>I-I-0296</t>
        </is>
      </c>
      <c r="B4654" s="12" t="inlineStr">
        <is>
          <t>I</t>
        </is>
      </c>
      <c r="C4654" s="12" t="inlineStr">
        <is>
          <t>Modular / portable power</t>
        </is>
      </c>
      <c r="D4654" s="12" t="inlineStr">
        <is>
          <t>Thermocouple to TC JB JB-RICE-3-TC01: 20 x 1 pr (field cables)</t>
        </is>
      </c>
      <c r="E4654" s="12" t="inlineStr">
        <is>
          <t>RICE-3</t>
        </is>
      </c>
      <c r="F4654" s="12" t="inlineStr">
        <is>
          <t>RICE engine-generator 3</t>
        </is>
      </c>
      <c r="G4654" s="12" t="inlineStr">
        <is>
          <t>JB-RICE-3-TC01</t>
        </is>
      </c>
      <c r="H4654" s="12" t="inlineStr">
        <is>
          <t>RICE engine-generator 3</t>
        </is>
      </c>
      <c r="I4654" s="12" t="inlineStr">
        <is>
          <t>Instrumentation</t>
        </is>
      </c>
      <c r="J4654" s="12" t="inlineStr">
        <is>
          <t>Thermocouple extension KX, #16 shielded pairs, PLTC</t>
        </is>
      </c>
      <c r="K4654" s="12" t="inlineStr">
        <is>
          <t>TCX|1 pr|16</t>
        </is>
      </c>
      <c r="L4654" s="12" t="inlineStr">
        <is>
          <t>1 pr</t>
        </is>
      </c>
      <c r="M4654" s="12" t="inlineStr">
        <is>
          <t>16</t>
        </is>
      </c>
      <c r="N4654" s="12" t="n">
        <v>20</v>
      </c>
      <c r="O4654" s="12" t="n">
        <v>1</v>
      </c>
      <c r="P4654" s="12" t="n"/>
      <c r="Q4654" s="12" t="n"/>
      <c r="R4654" s="12" t="n"/>
      <c r="S4654" s="12" t="inlineStr">
        <is>
          <t>Tray / conduit</t>
        </is>
      </c>
      <c r="T4654" s="16" t="n">
        <v>72</v>
      </c>
      <c r="U4654" s="16" t="n">
        <v>10</v>
      </c>
      <c r="V4654" s="16">
        <f>ROUNDUP((T4654+U4654+2*'Read Me'!$B$13)*(1+'Read Me'!$B$12),-1)</f>
        <v/>
      </c>
      <c r="W4654" s="16">
        <f>V4654*N4654*O4654</f>
        <v/>
      </c>
      <c r="X4654" s="12">
        <f>IF(LEFT(I4654,2)="MV",2*N4654*IF(L4654="1/C",O4654,1),0)</f>
        <v/>
      </c>
      <c r="Y4654" s="12">
        <f>IF(OR(LEFT(K4654,4)="LVAX",LEFT(K4654,6)="MV15AX",LEFT(K4654,4)="CTAX",LEFT(K4654,2)="W|"),2*N4654*O4654,0)</f>
        <v/>
      </c>
      <c r="Z4654" s="12" t="inlineStr">
        <is>
          <t>device-to-JB field wiring, one cable per device</t>
        </is>
      </c>
      <c r="AA4654" s="12">
        <f>N4654*O4654</f>
        <v/>
      </c>
    </row>
    <row r="4655">
      <c r="A4655" s="12" t="inlineStr">
        <is>
          <t>I-I-0297</t>
        </is>
      </c>
      <c r="B4655" s="12" t="inlineStr">
        <is>
          <t>I</t>
        </is>
      </c>
      <c r="C4655" s="12" t="inlineStr">
        <is>
          <t>Modular / portable power</t>
        </is>
      </c>
      <c r="D4655" s="12" t="inlineStr">
        <is>
          <t>Home run JB-RICE-3-TC01 to the control / marshalling room</t>
        </is>
      </c>
      <c r="E4655" s="12" t="inlineStr"/>
      <c r="F4655" s="12" t="inlineStr">
        <is>
          <t>PCM: power control module</t>
        </is>
      </c>
      <c r="G4655" s="12" t="inlineStr">
        <is>
          <t>JB-RICE-3-TC01</t>
        </is>
      </c>
      <c r="H4655" s="12" t="inlineStr">
        <is>
          <t>RICE engine-generator 3</t>
        </is>
      </c>
      <c r="I4655" s="12" t="inlineStr">
        <is>
          <t>Instrumentation</t>
        </is>
      </c>
      <c r="J4655" s="12" t="inlineStr">
        <is>
          <t>Thermocouple extension KX, #16 shielded pairs, PLTC</t>
        </is>
      </c>
      <c r="K4655" s="12" t="inlineStr">
        <is>
          <t>TCX|24 pr|16</t>
        </is>
      </c>
      <c r="L4655" s="12" t="inlineStr">
        <is>
          <t>24 pr</t>
        </is>
      </c>
      <c r="M4655" s="12" t="inlineStr">
        <is>
          <t>16</t>
        </is>
      </c>
      <c r="N4655" s="12" t="n">
        <v>1</v>
      </c>
      <c r="O4655" s="12" t="n">
        <v>1</v>
      </c>
      <c r="P4655" s="12" t="n"/>
      <c r="Q4655" s="12" t="n"/>
      <c r="R4655" s="12" t="n"/>
      <c r="S4655" s="12" t="inlineStr">
        <is>
          <t>Duct bank</t>
        </is>
      </c>
      <c r="T4655" s="16" t="n">
        <v>550</v>
      </c>
      <c r="U4655" s="16" t="n">
        <v>81</v>
      </c>
      <c r="V4655" s="16">
        <f>ROUNDUP((T4655+U4655+2*'Read Me'!$B$13)*(1+'Read Me'!$B$12),-1)</f>
        <v/>
      </c>
      <c r="W4655" s="16">
        <f>V4655*N4655*O4655</f>
        <v/>
      </c>
      <c r="X4655" s="12">
        <f>IF(LEFT(I4655,2)="MV",2*N4655*IF(L4655="1/C",O4655,1),0)</f>
        <v/>
      </c>
      <c r="Y4655" s="12">
        <f>IF(OR(LEFT(K4655,4)="LVAX",LEFT(K4655,6)="MV15AX",LEFT(K4655,4)="CTAX",LEFT(K4655,2)="W|"),2*N4655*O4655,0)</f>
        <v/>
      </c>
      <c r="Z4655" s="12" t="inlineStr"/>
      <c r="AA4655" s="12">
        <f>N4655*O4655</f>
        <v/>
      </c>
    </row>
    <row r="4656">
      <c r="A4656" s="12" t="inlineStr">
        <is>
          <t>I-I-0298</t>
        </is>
      </c>
      <c r="B4656" s="12" t="inlineStr">
        <is>
          <t>I</t>
        </is>
      </c>
      <c r="C4656" s="12" t="inlineStr">
        <is>
          <t>Modular / portable power</t>
        </is>
      </c>
      <c r="D4656" s="12" t="inlineStr">
        <is>
          <t>Thermocouple to TC JB JB-RICE-3-TC02: 10 x 1 pr (field cables)</t>
        </is>
      </c>
      <c r="E4656" s="12" t="inlineStr">
        <is>
          <t>RICE-3</t>
        </is>
      </c>
      <c r="F4656" s="12" t="inlineStr">
        <is>
          <t>RICE engine-generator 3</t>
        </is>
      </c>
      <c r="G4656" s="12" t="inlineStr">
        <is>
          <t>JB-RICE-3-TC02</t>
        </is>
      </c>
      <c r="H4656" s="12" t="inlineStr">
        <is>
          <t>RICE engine-generator 3</t>
        </is>
      </c>
      <c r="I4656" s="12" t="inlineStr">
        <is>
          <t>Instrumentation</t>
        </is>
      </c>
      <c r="J4656" s="12" t="inlineStr">
        <is>
          <t>Thermocouple extension KX, #16 shielded pairs, PLTC</t>
        </is>
      </c>
      <c r="K4656" s="12" t="inlineStr">
        <is>
          <t>TCX|1 pr|16</t>
        </is>
      </c>
      <c r="L4656" s="12" t="inlineStr">
        <is>
          <t>1 pr</t>
        </is>
      </c>
      <c r="M4656" s="12" t="inlineStr">
        <is>
          <t>16</t>
        </is>
      </c>
      <c r="N4656" s="12" t="n">
        <v>10</v>
      </c>
      <c r="O4656" s="12" t="n">
        <v>1</v>
      </c>
      <c r="P4656" s="12" t="n"/>
      <c r="Q4656" s="12" t="n"/>
      <c r="R4656" s="12" t="n"/>
      <c r="S4656" s="12" t="inlineStr">
        <is>
          <t>Tray / conduit</t>
        </is>
      </c>
      <c r="T4656" s="16" t="n">
        <v>72</v>
      </c>
      <c r="U4656" s="16" t="n">
        <v>10</v>
      </c>
      <c r="V4656" s="16">
        <f>ROUNDUP((T4656+U4656+2*'Read Me'!$B$13)*(1+'Read Me'!$B$12),-1)</f>
        <v/>
      </c>
      <c r="W4656" s="16">
        <f>V4656*N4656*O4656</f>
        <v/>
      </c>
      <c r="X4656" s="12">
        <f>IF(LEFT(I4656,2)="MV",2*N4656*IF(L4656="1/C",O4656,1),0)</f>
        <v/>
      </c>
      <c r="Y4656" s="12">
        <f>IF(OR(LEFT(K4656,4)="LVAX",LEFT(K4656,6)="MV15AX",LEFT(K4656,4)="CTAX",LEFT(K4656,2)="W|"),2*N4656*O4656,0)</f>
        <v/>
      </c>
      <c r="Z4656" s="12" t="inlineStr">
        <is>
          <t>device-to-JB field wiring, one cable per device</t>
        </is>
      </c>
      <c r="AA4656" s="12">
        <f>N4656*O4656</f>
        <v/>
      </c>
    </row>
    <row r="4657">
      <c r="A4657" s="12" t="inlineStr">
        <is>
          <t>I-I-0299</t>
        </is>
      </c>
      <c r="B4657" s="12" t="inlineStr">
        <is>
          <t>I</t>
        </is>
      </c>
      <c r="C4657" s="12" t="inlineStr">
        <is>
          <t>Modular / portable power</t>
        </is>
      </c>
      <c r="D4657" s="12" t="inlineStr">
        <is>
          <t>Home run JB-RICE-3-TC02 to the control / marshalling room</t>
        </is>
      </c>
      <c r="E4657" s="12" t="inlineStr"/>
      <c r="F4657" s="12" t="inlineStr">
        <is>
          <t>PCM: power control module</t>
        </is>
      </c>
      <c r="G4657" s="12" t="inlineStr">
        <is>
          <t>JB-RICE-3-TC02</t>
        </is>
      </c>
      <c r="H4657" s="12" t="inlineStr">
        <is>
          <t>RICE engine-generator 3</t>
        </is>
      </c>
      <c r="I4657" s="12" t="inlineStr">
        <is>
          <t>Instrumentation</t>
        </is>
      </c>
      <c r="J4657" s="12" t="inlineStr">
        <is>
          <t>Thermocouple extension KX, #16 shielded pairs, PLTC</t>
        </is>
      </c>
      <c r="K4657" s="12" t="inlineStr">
        <is>
          <t>TCX|24 pr|16</t>
        </is>
      </c>
      <c r="L4657" s="12" t="inlineStr">
        <is>
          <t>24 pr</t>
        </is>
      </c>
      <c r="M4657" s="12" t="inlineStr">
        <is>
          <t>16</t>
        </is>
      </c>
      <c r="N4657" s="12" t="n">
        <v>1</v>
      </c>
      <c r="O4657" s="12" t="n">
        <v>1</v>
      </c>
      <c r="P4657" s="12" t="n"/>
      <c r="Q4657" s="12" t="n"/>
      <c r="R4657" s="12" t="n"/>
      <c r="S4657" s="12" t="inlineStr">
        <is>
          <t>Duct bank</t>
        </is>
      </c>
      <c r="T4657" s="16" t="n">
        <v>550</v>
      </c>
      <c r="U4657" s="16" t="n">
        <v>81</v>
      </c>
      <c r="V4657" s="16">
        <f>ROUNDUP((T4657+U4657+2*'Read Me'!$B$13)*(1+'Read Me'!$B$12),-1)</f>
        <v/>
      </c>
      <c r="W4657" s="16">
        <f>V4657*N4657*O4657</f>
        <v/>
      </c>
      <c r="X4657" s="12">
        <f>IF(LEFT(I4657,2)="MV",2*N4657*IF(L4657="1/C",O4657,1),0)</f>
        <v/>
      </c>
      <c r="Y4657" s="12">
        <f>IF(OR(LEFT(K4657,4)="LVAX",LEFT(K4657,6)="MV15AX",LEFT(K4657,4)="CTAX",LEFT(K4657,2)="W|"),2*N4657*O4657,0)</f>
        <v/>
      </c>
      <c r="Z4657" s="12" t="inlineStr"/>
      <c r="AA4657" s="12">
        <f>N4657*O4657</f>
        <v/>
      </c>
    </row>
    <row r="4658">
      <c r="A4658" s="12" t="inlineStr">
        <is>
          <t>I-I-0300</t>
        </is>
      </c>
      <c r="B4658" s="12" t="inlineStr">
        <is>
          <t>I</t>
        </is>
      </c>
      <c r="C4658" s="12" t="inlineStr">
        <is>
          <t>Modular / portable power</t>
        </is>
      </c>
      <c r="D4658" s="12" t="inlineStr">
        <is>
          <t>RTD to JB JB-RICE-3-RTD01: 10 x 1 tri (field cables)</t>
        </is>
      </c>
      <c r="E4658" s="12" t="inlineStr">
        <is>
          <t>RICE-3</t>
        </is>
      </c>
      <c r="F4658" s="12" t="inlineStr">
        <is>
          <t>RICE engine-generator 3</t>
        </is>
      </c>
      <c r="G4658" s="12" t="inlineStr">
        <is>
          <t>JB-RICE-3-RTD01</t>
        </is>
      </c>
      <c r="H4658" s="12" t="inlineStr">
        <is>
          <t>RICE engine-generator 3</t>
        </is>
      </c>
      <c r="I4658" s="12" t="inlineStr">
        <is>
          <t>Instrumentation</t>
        </is>
      </c>
      <c r="J4658" s="12" t="inlineStr">
        <is>
          <t>RTD cable, #18 shielded triads, PLTC</t>
        </is>
      </c>
      <c r="K4658" s="12" t="inlineStr">
        <is>
          <t>RTD|1 tri|18</t>
        </is>
      </c>
      <c r="L4658" s="12" t="inlineStr">
        <is>
          <t>1 tri</t>
        </is>
      </c>
      <c r="M4658" s="12" t="inlineStr">
        <is>
          <t>18</t>
        </is>
      </c>
      <c r="N4658" s="12" t="n">
        <v>10</v>
      </c>
      <c r="O4658" s="12" t="n">
        <v>1</v>
      </c>
      <c r="P4658" s="12" t="n"/>
      <c r="Q4658" s="12" t="n"/>
      <c r="R4658" s="12" t="n"/>
      <c r="S4658" s="12" t="inlineStr">
        <is>
          <t>Tray / conduit</t>
        </is>
      </c>
      <c r="T4658" s="16" t="n">
        <v>72</v>
      </c>
      <c r="U4658" s="16" t="n">
        <v>10</v>
      </c>
      <c r="V4658" s="16">
        <f>ROUNDUP((T4658+U4658+2*'Read Me'!$B$13)*(1+'Read Me'!$B$12),-1)</f>
        <v/>
      </c>
      <c r="W4658" s="16">
        <f>V4658*N4658*O4658</f>
        <v/>
      </c>
      <c r="X4658" s="12">
        <f>IF(LEFT(I4658,2)="MV",2*N4658*IF(L4658="1/C",O4658,1),0)</f>
        <v/>
      </c>
      <c r="Y4658" s="12">
        <f>IF(OR(LEFT(K4658,4)="LVAX",LEFT(K4658,6)="MV15AX",LEFT(K4658,4)="CTAX",LEFT(K4658,2)="W|"),2*N4658*O4658,0)</f>
        <v/>
      </c>
      <c r="Z4658" s="12" t="inlineStr">
        <is>
          <t>device-to-JB field wiring, one cable per device</t>
        </is>
      </c>
      <c r="AA4658" s="12">
        <f>N4658*O4658</f>
        <v/>
      </c>
    </row>
    <row r="4659">
      <c r="A4659" s="12" t="inlineStr">
        <is>
          <t>I-I-0301</t>
        </is>
      </c>
      <c r="B4659" s="12" t="inlineStr">
        <is>
          <t>I</t>
        </is>
      </c>
      <c r="C4659" s="12" t="inlineStr">
        <is>
          <t>Modular / portable power</t>
        </is>
      </c>
      <c r="D4659" s="12" t="inlineStr">
        <is>
          <t>Home run JB-RICE-3-RTD01 to the control / marshalling room</t>
        </is>
      </c>
      <c r="E4659" s="12" t="inlineStr"/>
      <c r="F4659" s="12" t="inlineStr">
        <is>
          <t>PCM: power control module</t>
        </is>
      </c>
      <c r="G4659" s="12" t="inlineStr">
        <is>
          <t>JB-RICE-3-RTD01</t>
        </is>
      </c>
      <c r="H4659" s="12" t="inlineStr">
        <is>
          <t>RICE engine-generator 3</t>
        </is>
      </c>
      <c r="I4659" s="12" t="inlineStr">
        <is>
          <t>Instrumentation</t>
        </is>
      </c>
      <c r="J4659" s="12" t="inlineStr">
        <is>
          <t>RTD cable, #18 shielded triads, PLTC</t>
        </is>
      </c>
      <c r="K4659" s="12" t="inlineStr">
        <is>
          <t>RTD|12 tri|18</t>
        </is>
      </c>
      <c r="L4659" s="12" t="inlineStr">
        <is>
          <t>12 tri</t>
        </is>
      </c>
      <c r="M4659" s="12" t="inlineStr">
        <is>
          <t>18</t>
        </is>
      </c>
      <c r="N4659" s="12" t="n">
        <v>1</v>
      </c>
      <c r="O4659" s="12" t="n">
        <v>1</v>
      </c>
      <c r="P4659" s="12" t="n"/>
      <c r="Q4659" s="12" t="n"/>
      <c r="R4659" s="12" t="n"/>
      <c r="S4659" s="12" t="inlineStr">
        <is>
          <t>Duct bank</t>
        </is>
      </c>
      <c r="T4659" s="16" t="n">
        <v>550</v>
      </c>
      <c r="U4659" s="16" t="n">
        <v>81</v>
      </c>
      <c r="V4659" s="16">
        <f>ROUNDUP((T4659+U4659+2*'Read Me'!$B$13)*(1+'Read Me'!$B$12),-1)</f>
        <v/>
      </c>
      <c r="W4659" s="16">
        <f>V4659*N4659*O4659</f>
        <v/>
      </c>
      <c r="X4659" s="12">
        <f>IF(LEFT(I4659,2)="MV",2*N4659*IF(L4659="1/C",O4659,1),0)</f>
        <v/>
      </c>
      <c r="Y4659" s="12">
        <f>IF(OR(LEFT(K4659,4)="LVAX",LEFT(K4659,6)="MV15AX",LEFT(K4659,4)="CTAX",LEFT(K4659,2)="W|"),2*N4659*O4659,0)</f>
        <v/>
      </c>
      <c r="Z4659" s="12" t="inlineStr"/>
      <c r="AA4659" s="12">
        <f>N4659*O4659</f>
        <v/>
      </c>
    </row>
    <row r="4660">
      <c r="A4660" s="12" t="inlineStr">
        <is>
          <t>I-I-0302</t>
        </is>
      </c>
      <c r="B4660" s="12" t="inlineStr">
        <is>
          <t>I</t>
        </is>
      </c>
      <c r="C4660" s="12" t="inlineStr">
        <is>
          <t>Modular / portable power</t>
        </is>
      </c>
      <c r="D4660" s="12" t="inlineStr">
        <is>
          <t>RTD to JB JB-RICE-3-RTD02: 2 x 1 tri (field cables)</t>
        </is>
      </c>
      <c r="E4660" s="12" t="inlineStr">
        <is>
          <t>RICE-3</t>
        </is>
      </c>
      <c r="F4660" s="12" t="inlineStr">
        <is>
          <t>RICE engine-generator 3</t>
        </is>
      </c>
      <c r="G4660" s="12" t="inlineStr">
        <is>
          <t>JB-RICE-3-RTD02</t>
        </is>
      </c>
      <c r="H4660" s="12" t="inlineStr">
        <is>
          <t>RICE engine-generator 3</t>
        </is>
      </c>
      <c r="I4660" s="12" t="inlineStr">
        <is>
          <t>Instrumentation</t>
        </is>
      </c>
      <c r="J4660" s="12" t="inlineStr">
        <is>
          <t>RTD cable, #18 shielded triads, PLTC</t>
        </is>
      </c>
      <c r="K4660" s="12" t="inlineStr">
        <is>
          <t>RTD|1 tri|18</t>
        </is>
      </c>
      <c r="L4660" s="12" t="inlineStr">
        <is>
          <t>1 tri</t>
        </is>
      </c>
      <c r="M4660" s="12" t="inlineStr">
        <is>
          <t>18</t>
        </is>
      </c>
      <c r="N4660" s="12" t="n">
        <v>2</v>
      </c>
      <c r="O4660" s="12" t="n">
        <v>1</v>
      </c>
      <c r="P4660" s="12" t="n"/>
      <c r="Q4660" s="12" t="n"/>
      <c r="R4660" s="12" t="n"/>
      <c r="S4660" s="12" t="inlineStr">
        <is>
          <t>Tray / conduit</t>
        </is>
      </c>
      <c r="T4660" s="16" t="n">
        <v>72</v>
      </c>
      <c r="U4660" s="16" t="n">
        <v>10</v>
      </c>
      <c r="V4660" s="16">
        <f>ROUNDUP((T4660+U4660+2*'Read Me'!$B$13)*(1+'Read Me'!$B$12),-1)</f>
        <v/>
      </c>
      <c r="W4660" s="16">
        <f>V4660*N4660*O4660</f>
        <v/>
      </c>
      <c r="X4660" s="12">
        <f>IF(LEFT(I4660,2)="MV",2*N4660*IF(L4660="1/C",O4660,1),0)</f>
        <v/>
      </c>
      <c r="Y4660" s="12">
        <f>IF(OR(LEFT(K4660,4)="LVAX",LEFT(K4660,6)="MV15AX",LEFT(K4660,4)="CTAX",LEFT(K4660,2)="W|"),2*N4660*O4660,0)</f>
        <v/>
      </c>
      <c r="Z4660" s="12" t="inlineStr">
        <is>
          <t>device-to-JB field wiring, one cable per device</t>
        </is>
      </c>
      <c r="AA4660" s="12">
        <f>N4660*O4660</f>
        <v/>
      </c>
    </row>
    <row r="4661">
      <c r="A4661" s="12" t="inlineStr">
        <is>
          <t>I-I-0303</t>
        </is>
      </c>
      <c r="B4661" s="12" t="inlineStr">
        <is>
          <t>I</t>
        </is>
      </c>
      <c r="C4661" s="12" t="inlineStr">
        <is>
          <t>Modular / portable power</t>
        </is>
      </c>
      <c r="D4661" s="12" t="inlineStr">
        <is>
          <t>Home run JB-RICE-3-RTD02 to the control / marshalling room</t>
        </is>
      </c>
      <c r="E4661" s="12" t="inlineStr"/>
      <c r="F4661" s="12" t="inlineStr">
        <is>
          <t>PCM: power control module</t>
        </is>
      </c>
      <c r="G4661" s="12" t="inlineStr">
        <is>
          <t>JB-RICE-3-RTD02</t>
        </is>
      </c>
      <c r="H4661" s="12" t="inlineStr">
        <is>
          <t>RICE engine-generator 3</t>
        </is>
      </c>
      <c r="I4661" s="12" t="inlineStr">
        <is>
          <t>Instrumentation</t>
        </is>
      </c>
      <c r="J4661" s="12" t="inlineStr">
        <is>
          <t>RTD cable, #18 shielded triads, PLTC</t>
        </is>
      </c>
      <c r="K4661" s="12" t="inlineStr">
        <is>
          <t>RTD|12 tri|18</t>
        </is>
      </c>
      <c r="L4661" s="12" t="inlineStr">
        <is>
          <t>12 tri</t>
        </is>
      </c>
      <c r="M4661" s="12" t="inlineStr">
        <is>
          <t>18</t>
        </is>
      </c>
      <c r="N4661" s="12" t="n">
        <v>1</v>
      </c>
      <c r="O4661" s="12" t="n">
        <v>1</v>
      </c>
      <c r="P4661" s="12" t="n"/>
      <c r="Q4661" s="12" t="n"/>
      <c r="R4661" s="12" t="n"/>
      <c r="S4661" s="12" t="inlineStr">
        <is>
          <t>Duct bank</t>
        </is>
      </c>
      <c r="T4661" s="16" t="n">
        <v>550</v>
      </c>
      <c r="U4661" s="16" t="n">
        <v>81</v>
      </c>
      <c r="V4661" s="16">
        <f>ROUNDUP((T4661+U4661+2*'Read Me'!$B$13)*(1+'Read Me'!$B$12),-1)</f>
        <v/>
      </c>
      <c r="W4661" s="16">
        <f>V4661*N4661*O4661</f>
        <v/>
      </c>
      <c r="X4661" s="12">
        <f>IF(LEFT(I4661,2)="MV",2*N4661*IF(L4661="1/C",O4661,1),0)</f>
        <v/>
      </c>
      <c r="Y4661" s="12">
        <f>IF(OR(LEFT(K4661,4)="LVAX",LEFT(K4661,6)="MV15AX",LEFT(K4661,4)="CTAX",LEFT(K4661,2)="W|"),2*N4661*O4661,0)</f>
        <v/>
      </c>
      <c r="Z4661" s="12" t="inlineStr"/>
      <c r="AA4661" s="12">
        <f>N4661*O4661</f>
        <v/>
      </c>
    </row>
    <row r="4662">
      <c r="A4662" s="12" t="inlineStr">
        <is>
          <t>I-I-0304</t>
        </is>
      </c>
      <c r="B4662" s="12" t="inlineStr">
        <is>
          <t>I</t>
        </is>
      </c>
      <c r="C4662" s="12" t="inlineStr">
        <is>
          <t>Modular / portable power</t>
        </is>
      </c>
      <c r="D4662" s="12" t="inlineStr">
        <is>
          <t>Analog instrument to JB JB-RICE-4-AI01: 20 x 1 pr (field cables)</t>
        </is>
      </c>
      <c r="E4662" s="12" t="inlineStr">
        <is>
          <t>RICE-4</t>
        </is>
      </c>
      <c r="F4662" s="12" t="inlineStr">
        <is>
          <t>RICE engine-generator 4</t>
        </is>
      </c>
      <c r="G4662" s="12" t="inlineStr">
        <is>
          <t>JB-RICE-4-AI01</t>
        </is>
      </c>
      <c r="H4662" s="12" t="inlineStr">
        <is>
          <t>RICE engine-generator 4</t>
        </is>
      </c>
      <c r="I4662" s="12" t="inlineStr">
        <is>
          <t>Instrumentation</t>
        </is>
      </c>
      <c r="J4662" s="12" t="inlineStr">
        <is>
          <t>Instrumentation PLTC / TC-ER 300 V, #18 twisted shielded pairs, overall shield</t>
        </is>
      </c>
      <c r="K4662" s="12" t="inlineStr">
        <is>
          <t>PLTC|1 pr|16</t>
        </is>
      </c>
      <c r="L4662" s="12" t="inlineStr">
        <is>
          <t>1 pr</t>
        </is>
      </c>
      <c r="M4662" s="12" t="inlineStr">
        <is>
          <t>16</t>
        </is>
      </c>
      <c r="N4662" s="12" t="n">
        <v>20</v>
      </c>
      <c r="O4662" s="12" t="n">
        <v>1</v>
      </c>
      <c r="P4662" s="12" t="n"/>
      <c r="Q4662" s="12" t="n"/>
      <c r="R4662" s="12" t="n"/>
      <c r="S4662" s="12" t="inlineStr">
        <is>
          <t>Tray / conduit</t>
        </is>
      </c>
      <c r="T4662" s="16" t="n">
        <v>72</v>
      </c>
      <c r="U4662" s="16" t="n">
        <v>10</v>
      </c>
      <c r="V4662" s="16">
        <f>ROUNDUP((T4662+U4662+2*'Read Me'!$B$13)*(1+'Read Me'!$B$12),-1)</f>
        <v/>
      </c>
      <c r="W4662" s="16">
        <f>V4662*N4662*O4662</f>
        <v/>
      </c>
      <c r="X4662" s="12">
        <f>IF(LEFT(I4662,2)="MV",2*N4662*IF(L4662="1/C",O4662,1),0)</f>
        <v/>
      </c>
      <c r="Y4662" s="12">
        <f>IF(OR(LEFT(K4662,4)="LVAX",LEFT(K4662,6)="MV15AX",LEFT(K4662,4)="CTAX",LEFT(K4662,2)="W|"),2*N4662*O4662,0)</f>
        <v/>
      </c>
      <c r="Z4662" s="12" t="inlineStr">
        <is>
          <t>device-to-JB field wiring, one cable per device</t>
        </is>
      </c>
      <c r="AA4662" s="12">
        <f>N4662*O4662</f>
        <v/>
      </c>
    </row>
    <row r="4663">
      <c r="A4663" s="12" t="inlineStr">
        <is>
          <t>I-I-0305</t>
        </is>
      </c>
      <c r="B4663" s="12" t="inlineStr">
        <is>
          <t>I</t>
        </is>
      </c>
      <c r="C4663" s="12" t="inlineStr">
        <is>
          <t>Modular / portable power</t>
        </is>
      </c>
      <c r="D4663" s="12" t="inlineStr">
        <is>
          <t>Home run JB-RICE-4-AI01 to the control / marshalling room</t>
        </is>
      </c>
      <c r="E4663" s="12" t="inlineStr"/>
      <c r="F4663" s="12" t="inlineStr">
        <is>
          <t>PCM: power control module</t>
        </is>
      </c>
      <c r="G4663" s="12" t="inlineStr">
        <is>
          <t>JB-RICE-4-AI01</t>
        </is>
      </c>
      <c r="H4663" s="12" t="inlineStr">
        <is>
          <t>RICE engine-generator 4</t>
        </is>
      </c>
      <c r="I4663" s="12" t="inlineStr">
        <is>
          <t>Instrumentation</t>
        </is>
      </c>
      <c r="J4663" s="12" t="inlineStr">
        <is>
          <t>Instrumentation PLTC / TC-ER 300 V, #18 twisted shielded pairs, overall shield</t>
        </is>
      </c>
      <c r="K4663" s="12" t="inlineStr">
        <is>
          <t>PLTC|24 pr|18</t>
        </is>
      </c>
      <c r="L4663" s="12" t="inlineStr">
        <is>
          <t>24 pr</t>
        </is>
      </c>
      <c r="M4663" s="12" t="inlineStr">
        <is>
          <t>18</t>
        </is>
      </c>
      <c r="N4663" s="12" t="n">
        <v>1</v>
      </c>
      <c r="O4663" s="12" t="n">
        <v>1</v>
      </c>
      <c r="P4663" s="12" t="n"/>
      <c r="Q4663" s="12" t="n"/>
      <c r="R4663" s="12" t="n"/>
      <c r="S4663" s="12" t="inlineStr">
        <is>
          <t>Duct bank</t>
        </is>
      </c>
      <c r="T4663" s="16" t="n">
        <v>550</v>
      </c>
      <c r="U4663" s="16" t="n">
        <v>53</v>
      </c>
      <c r="V4663" s="16">
        <f>ROUNDUP((T4663+U4663+2*'Read Me'!$B$13)*(1+'Read Me'!$B$12),-1)</f>
        <v/>
      </c>
      <c r="W4663" s="16">
        <f>V4663*N4663*O4663</f>
        <v/>
      </c>
      <c r="X4663" s="12">
        <f>IF(LEFT(I4663,2)="MV",2*N4663*IF(L4663="1/C",O4663,1),0)</f>
        <v/>
      </c>
      <c r="Y4663" s="12">
        <f>IF(OR(LEFT(K4663,4)="LVAX",LEFT(K4663,6)="MV15AX",LEFT(K4663,4)="CTAX",LEFT(K4663,2)="W|"),2*N4663*O4663,0)</f>
        <v/>
      </c>
      <c r="Z4663" s="12" t="inlineStr"/>
      <c r="AA4663" s="12">
        <f>N4663*O4663</f>
        <v/>
      </c>
    </row>
    <row r="4664">
      <c r="A4664" s="12" t="inlineStr">
        <is>
          <t>I-I-0306</t>
        </is>
      </c>
      <c r="B4664" s="12" t="inlineStr">
        <is>
          <t>I</t>
        </is>
      </c>
      <c r="C4664" s="12" t="inlineStr">
        <is>
          <t>Modular / portable power</t>
        </is>
      </c>
      <c r="D4664" s="12" t="inlineStr">
        <is>
          <t>Analog instrument to JB JB-RICE-4-AI02: 20 x 1 pr (field cables)</t>
        </is>
      </c>
      <c r="E4664" s="12" t="inlineStr">
        <is>
          <t>RICE-4</t>
        </is>
      </c>
      <c r="F4664" s="12" t="inlineStr">
        <is>
          <t>RICE engine-generator 4</t>
        </is>
      </c>
      <c r="G4664" s="12" t="inlineStr">
        <is>
          <t>JB-RICE-4-AI02</t>
        </is>
      </c>
      <c r="H4664" s="12" t="inlineStr">
        <is>
          <t>RICE engine-generator 4</t>
        </is>
      </c>
      <c r="I4664" s="12" t="inlineStr">
        <is>
          <t>Instrumentation</t>
        </is>
      </c>
      <c r="J4664" s="12" t="inlineStr">
        <is>
          <t>Instrumentation PLTC / TC-ER 300 V, #18 twisted shielded pairs, overall shield</t>
        </is>
      </c>
      <c r="K4664" s="12" t="inlineStr">
        <is>
          <t>PLTC|1 pr|16</t>
        </is>
      </c>
      <c r="L4664" s="12" t="inlineStr">
        <is>
          <t>1 pr</t>
        </is>
      </c>
      <c r="M4664" s="12" t="inlineStr">
        <is>
          <t>16</t>
        </is>
      </c>
      <c r="N4664" s="12" t="n">
        <v>20</v>
      </c>
      <c r="O4664" s="12" t="n">
        <v>1</v>
      </c>
      <c r="P4664" s="12" t="n"/>
      <c r="Q4664" s="12" t="n"/>
      <c r="R4664" s="12" t="n"/>
      <c r="S4664" s="12" t="inlineStr">
        <is>
          <t>Tray / conduit</t>
        </is>
      </c>
      <c r="T4664" s="16" t="n">
        <v>72</v>
      </c>
      <c r="U4664" s="16" t="n">
        <v>10</v>
      </c>
      <c r="V4664" s="16">
        <f>ROUNDUP((T4664+U4664+2*'Read Me'!$B$13)*(1+'Read Me'!$B$12),-1)</f>
        <v/>
      </c>
      <c r="W4664" s="16">
        <f>V4664*N4664*O4664</f>
        <v/>
      </c>
      <c r="X4664" s="12">
        <f>IF(LEFT(I4664,2)="MV",2*N4664*IF(L4664="1/C",O4664,1),0)</f>
        <v/>
      </c>
      <c r="Y4664" s="12">
        <f>IF(OR(LEFT(K4664,4)="LVAX",LEFT(K4664,6)="MV15AX",LEFT(K4664,4)="CTAX",LEFT(K4664,2)="W|"),2*N4664*O4664,0)</f>
        <v/>
      </c>
      <c r="Z4664" s="12" t="inlineStr">
        <is>
          <t>device-to-JB field wiring, one cable per device</t>
        </is>
      </c>
      <c r="AA4664" s="12">
        <f>N4664*O4664</f>
        <v/>
      </c>
    </row>
    <row r="4665">
      <c r="A4665" s="12" t="inlineStr">
        <is>
          <t>I-I-0307</t>
        </is>
      </c>
      <c r="B4665" s="12" t="inlineStr">
        <is>
          <t>I</t>
        </is>
      </c>
      <c r="C4665" s="12" t="inlineStr">
        <is>
          <t>Modular / portable power</t>
        </is>
      </c>
      <c r="D4665" s="12" t="inlineStr">
        <is>
          <t>Home run JB-RICE-4-AI02 to the control / marshalling room</t>
        </is>
      </c>
      <c r="E4665" s="12" t="inlineStr"/>
      <c r="F4665" s="12" t="inlineStr">
        <is>
          <t>PCM: power control module</t>
        </is>
      </c>
      <c r="G4665" s="12" t="inlineStr">
        <is>
          <t>JB-RICE-4-AI02</t>
        </is>
      </c>
      <c r="H4665" s="12" t="inlineStr">
        <is>
          <t>RICE engine-generator 4</t>
        </is>
      </c>
      <c r="I4665" s="12" t="inlineStr">
        <is>
          <t>Instrumentation</t>
        </is>
      </c>
      <c r="J4665" s="12" t="inlineStr">
        <is>
          <t>Instrumentation PLTC / TC-ER 300 V, #18 twisted shielded pairs, overall shield</t>
        </is>
      </c>
      <c r="K4665" s="12" t="inlineStr">
        <is>
          <t>PLTC|24 pr|18</t>
        </is>
      </c>
      <c r="L4665" s="12" t="inlineStr">
        <is>
          <t>24 pr</t>
        </is>
      </c>
      <c r="M4665" s="12" t="inlineStr">
        <is>
          <t>18</t>
        </is>
      </c>
      <c r="N4665" s="12" t="n">
        <v>1</v>
      </c>
      <c r="O4665" s="12" t="n">
        <v>1</v>
      </c>
      <c r="P4665" s="12" t="n"/>
      <c r="Q4665" s="12" t="n"/>
      <c r="R4665" s="12" t="n"/>
      <c r="S4665" s="12" t="inlineStr">
        <is>
          <t>Duct bank</t>
        </is>
      </c>
      <c r="T4665" s="16" t="n">
        <v>550</v>
      </c>
      <c r="U4665" s="16" t="n">
        <v>53</v>
      </c>
      <c r="V4665" s="16">
        <f>ROUNDUP((T4665+U4665+2*'Read Me'!$B$13)*(1+'Read Me'!$B$12),-1)</f>
        <v/>
      </c>
      <c r="W4665" s="16">
        <f>V4665*N4665*O4665</f>
        <v/>
      </c>
      <c r="X4665" s="12">
        <f>IF(LEFT(I4665,2)="MV",2*N4665*IF(L4665="1/C",O4665,1),0)</f>
        <v/>
      </c>
      <c r="Y4665" s="12">
        <f>IF(OR(LEFT(K4665,4)="LVAX",LEFT(K4665,6)="MV15AX",LEFT(K4665,4)="CTAX",LEFT(K4665,2)="W|"),2*N4665*O4665,0)</f>
        <v/>
      </c>
      <c r="Z4665" s="12" t="inlineStr"/>
      <c r="AA4665" s="12">
        <f>N4665*O4665</f>
        <v/>
      </c>
    </row>
    <row r="4666">
      <c r="A4666" s="12" t="inlineStr">
        <is>
          <t>I-I-0308</t>
        </is>
      </c>
      <c r="B4666" s="12" t="inlineStr">
        <is>
          <t>I</t>
        </is>
      </c>
      <c r="C4666" s="12" t="inlineStr">
        <is>
          <t>Modular / portable power</t>
        </is>
      </c>
      <c r="D4666" s="12" t="inlineStr">
        <is>
          <t>Analog instrument to JB JB-RICE-4-AI03: 20 x 1 pr (field cables)</t>
        </is>
      </c>
      <c r="E4666" s="12" t="inlineStr">
        <is>
          <t>RICE-4</t>
        </is>
      </c>
      <c r="F4666" s="12" t="inlineStr">
        <is>
          <t>RICE engine-generator 4</t>
        </is>
      </c>
      <c r="G4666" s="12" t="inlineStr">
        <is>
          <t>JB-RICE-4-AI03</t>
        </is>
      </c>
      <c r="H4666" s="12" t="inlineStr">
        <is>
          <t>RICE engine-generator 4</t>
        </is>
      </c>
      <c r="I4666" s="12" t="inlineStr">
        <is>
          <t>Instrumentation</t>
        </is>
      </c>
      <c r="J4666" s="12" t="inlineStr">
        <is>
          <t>Instrumentation PLTC / TC-ER 300 V, #18 twisted shielded pairs, overall shield</t>
        </is>
      </c>
      <c r="K4666" s="12" t="inlineStr">
        <is>
          <t>PLTC|1 pr|16</t>
        </is>
      </c>
      <c r="L4666" s="12" t="inlineStr">
        <is>
          <t>1 pr</t>
        </is>
      </c>
      <c r="M4666" s="12" t="inlineStr">
        <is>
          <t>16</t>
        </is>
      </c>
      <c r="N4666" s="12" t="n">
        <v>20</v>
      </c>
      <c r="O4666" s="12" t="n">
        <v>1</v>
      </c>
      <c r="P4666" s="12" t="n"/>
      <c r="Q4666" s="12" t="n"/>
      <c r="R4666" s="12" t="n"/>
      <c r="S4666" s="12" t="inlineStr">
        <is>
          <t>Tray / conduit</t>
        </is>
      </c>
      <c r="T4666" s="16" t="n">
        <v>72</v>
      </c>
      <c r="U4666" s="16" t="n">
        <v>10</v>
      </c>
      <c r="V4666" s="16">
        <f>ROUNDUP((T4666+U4666+2*'Read Me'!$B$13)*(1+'Read Me'!$B$12),-1)</f>
        <v/>
      </c>
      <c r="W4666" s="16">
        <f>V4666*N4666*O4666</f>
        <v/>
      </c>
      <c r="X4666" s="12">
        <f>IF(LEFT(I4666,2)="MV",2*N4666*IF(L4666="1/C",O4666,1),0)</f>
        <v/>
      </c>
      <c r="Y4666" s="12">
        <f>IF(OR(LEFT(K4666,4)="LVAX",LEFT(K4666,6)="MV15AX",LEFT(K4666,4)="CTAX",LEFT(K4666,2)="W|"),2*N4666*O4666,0)</f>
        <v/>
      </c>
      <c r="Z4666" s="12" t="inlineStr">
        <is>
          <t>device-to-JB field wiring, one cable per device</t>
        </is>
      </c>
      <c r="AA4666" s="12">
        <f>N4666*O4666</f>
        <v/>
      </c>
    </row>
    <row r="4667">
      <c r="A4667" s="12" t="inlineStr">
        <is>
          <t>I-I-0309</t>
        </is>
      </c>
      <c r="B4667" s="12" t="inlineStr">
        <is>
          <t>I</t>
        </is>
      </c>
      <c r="C4667" s="12" t="inlineStr">
        <is>
          <t>Modular / portable power</t>
        </is>
      </c>
      <c r="D4667" s="12" t="inlineStr">
        <is>
          <t>Home run JB-RICE-4-AI03 to the control / marshalling room</t>
        </is>
      </c>
      <c r="E4667" s="12" t="inlineStr"/>
      <c r="F4667" s="12" t="inlineStr">
        <is>
          <t>PCM: power control module</t>
        </is>
      </c>
      <c r="G4667" s="12" t="inlineStr">
        <is>
          <t>JB-RICE-4-AI03</t>
        </is>
      </c>
      <c r="H4667" s="12" t="inlineStr">
        <is>
          <t>RICE engine-generator 4</t>
        </is>
      </c>
      <c r="I4667" s="12" t="inlineStr">
        <is>
          <t>Instrumentation</t>
        </is>
      </c>
      <c r="J4667" s="12" t="inlineStr">
        <is>
          <t>Instrumentation PLTC / TC-ER 300 V, #18 twisted shielded pairs, overall shield</t>
        </is>
      </c>
      <c r="K4667" s="12" t="inlineStr">
        <is>
          <t>PLTC|24 pr|18</t>
        </is>
      </c>
      <c r="L4667" s="12" t="inlineStr">
        <is>
          <t>24 pr</t>
        </is>
      </c>
      <c r="M4667" s="12" t="inlineStr">
        <is>
          <t>18</t>
        </is>
      </c>
      <c r="N4667" s="12" t="n">
        <v>1</v>
      </c>
      <c r="O4667" s="12" t="n">
        <v>1</v>
      </c>
      <c r="P4667" s="12" t="n"/>
      <c r="Q4667" s="12" t="n"/>
      <c r="R4667" s="12" t="n"/>
      <c r="S4667" s="12" t="inlineStr">
        <is>
          <t>Duct bank</t>
        </is>
      </c>
      <c r="T4667" s="16" t="n">
        <v>550</v>
      </c>
      <c r="U4667" s="16" t="n">
        <v>53</v>
      </c>
      <c r="V4667" s="16">
        <f>ROUNDUP((T4667+U4667+2*'Read Me'!$B$13)*(1+'Read Me'!$B$12),-1)</f>
        <v/>
      </c>
      <c r="W4667" s="16">
        <f>V4667*N4667*O4667</f>
        <v/>
      </c>
      <c r="X4667" s="12">
        <f>IF(LEFT(I4667,2)="MV",2*N4667*IF(L4667="1/C",O4667,1),0)</f>
        <v/>
      </c>
      <c r="Y4667" s="12">
        <f>IF(OR(LEFT(K4667,4)="LVAX",LEFT(K4667,6)="MV15AX",LEFT(K4667,4)="CTAX",LEFT(K4667,2)="W|"),2*N4667*O4667,0)</f>
        <v/>
      </c>
      <c r="Z4667" s="12" t="inlineStr"/>
      <c r="AA4667" s="12">
        <f>N4667*O4667</f>
        <v/>
      </c>
    </row>
    <row r="4668">
      <c r="A4668" s="12" t="inlineStr">
        <is>
          <t>I-I-0310</t>
        </is>
      </c>
      <c r="B4668" s="12" t="inlineStr">
        <is>
          <t>I</t>
        </is>
      </c>
      <c r="C4668" s="12" t="inlineStr">
        <is>
          <t>Modular / portable power</t>
        </is>
      </c>
      <c r="D4668" s="12" t="inlineStr">
        <is>
          <t>Analog instrument to JB JB-RICE-4-AI04: 20 x 1 pr (field cables)</t>
        </is>
      </c>
      <c r="E4668" s="12" t="inlineStr">
        <is>
          <t>RICE-4</t>
        </is>
      </c>
      <c r="F4668" s="12" t="inlineStr">
        <is>
          <t>RICE engine-generator 4</t>
        </is>
      </c>
      <c r="G4668" s="12" t="inlineStr">
        <is>
          <t>JB-RICE-4-AI04</t>
        </is>
      </c>
      <c r="H4668" s="12" t="inlineStr">
        <is>
          <t>RICE engine-generator 4</t>
        </is>
      </c>
      <c r="I4668" s="12" t="inlineStr">
        <is>
          <t>Instrumentation</t>
        </is>
      </c>
      <c r="J4668" s="12" t="inlineStr">
        <is>
          <t>Instrumentation PLTC / TC-ER 300 V, #18 twisted shielded pairs, overall shield</t>
        </is>
      </c>
      <c r="K4668" s="12" t="inlineStr">
        <is>
          <t>PLTC|1 pr|16</t>
        </is>
      </c>
      <c r="L4668" s="12" t="inlineStr">
        <is>
          <t>1 pr</t>
        </is>
      </c>
      <c r="M4668" s="12" t="inlineStr">
        <is>
          <t>16</t>
        </is>
      </c>
      <c r="N4668" s="12" t="n">
        <v>20</v>
      </c>
      <c r="O4668" s="12" t="n">
        <v>1</v>
      </c>
      <c r="P4668" s="12" t="n"/>
      <c r="Q4668" s="12" t="n"/>
      <c r="R4668" s="12" t="n"/>
      <c r="S4668" s="12" t="inlineStr">
        <is>
          <t>Tray / conduit</t>
        </is>
      </c>
      <c r="T4668" s="16" t="n">
        <v>72</v>
      </c>
      <c r="U4668" s="16" t="n">
        <v>10</v>
      </c>
      <c r="V4668" s="16">
        <f>ROUNDUP((T4668+U4668+2*'Read Me'!$B$13)*(1+'Read Me'!$B$12),-1)</f>
        <v/>
      </c>
      <c r="W4668" s="16">
        <f>V4668*N4668*O4668</f>
        <v/>
      </c>
      <c r="X4668" s="12">
        <f>IF(LEFT(I4668,2)="MV",2*N4668*IF(L4668="1/C",O4668,1),0)</f>
        <v/>
      </c>
      <c r="Y4668" s="12">
        <f>IF(OR(LEFT(K4668,4)="LVAX",LEFT(K4668,6)="MV15AX",LEFT(K4668,4)="CTAX",LEFT(K4668,2)="W|"),2*N4668*O4668,0)</f>
        <v/>
      </c>
      <c r="Z4668" s="12" t="inlineStr">
        <is>
          <t>device-to-JB field wiring, one cable per device</t>
        </is>
      </c>
      <c r="AA4668" s="12">
        <f>N4668*O4668</f>
        <v/>
      </c>
    </row>
    <row r="4669">
      <c r="A4669" s="12" t="inlineStr">
        <is>
          <t>I-I-0311</t>
        </is>
      </c>
      <c r="B4669" s="12" t="inlineStr">
        <is>
          <t>I</t>
        </is>
      </c>
      <c r="C4669" s="12" t="inlineStr">
        <is>
          <t>Modular / portable power</t>
        </is>
      </c>
      <c r="D4669" s="12" t="inlineStr">
        <is>
          <t>Home run JB-RICE-4-AI04 to the control / marshalling room</t>
        </is>
      </c>
      <c r="E4669" s="12" t="inlineStr"/>
      <c r="F4669" s="12" t="inlineStr">
        <is>
          <t>PCM: power control module</t>
        </is>
      </c>
      <c r="G4669" s="12" t="inlineStr">
        <is>
          <t>JB-RICE-4-AI04</t>
        </is>
      </c>
      <c r="H4669" s="12" t="inlineStr">
        <is>
          <t>RICE engine-generator 4</t>
        </is>
      </c>
      <c r="I4669" s="12" t="inlineStr">
        <is>
          <t>Instrumentation</t>
        </is>
      </c>
      <c r="J4669" s="12" t="inlineStr">
        <is>
          <t>Instrumentation PLTC / TC-ER 300 V, #18 twisted shielded pairs, overall shield</t>
        </is>
      </c>
      <c r="K4669" s="12" t="inlineStr">
        <is>
          <t>PLTC|24 pr|18</t>
        </is>
      </c>
      <c r="L4669" s="12" t="inlineStr">
        <is>
          <t>24 pr</t>
        </is>
      </c>
      <c r="M4669" s="12" t="inlineStr">
        <is>
          <t>18</t>
        </is>
      </c>
      <c r="N4669" s="12" t="n">
        <v>1</v>
      </c>
      <c r="O4669" s="12" t="n">
        <v>1</v>
      </c>
      <c r="P4669" s="12" t="n"/>
      <c r="Q4669" s="12" t="n"/>
      <c r="R4669" s="12" t="n"/>
      <c r="S4669" s="12" t="inlineStr">
        <is>
          <t>Duct bank</t>
        </is>
      </c>
      <c r="T4669" s="16" t="n">
        <v>550</v>
      </c>
      <c r="U4669" s="16" t="n">
        <v>53</v>
      </c>
      <c r="V4669" s="16">
        <f>ROUNDUP((T4669+U4669+2*'Read Me'!$B$13)*(1+'Read Me'!$B$12),-1)</f>
        <v/>
      </c>
      <c r="W4669" s="16">
        <f>V4669*N4669*O4669</f>
        <v/>
      </c>
      <c r="X4669" s="12">
        <f>IF(LEFT(I4669,2)="MV",2*N4669*IF(L4669="1/C",O4669,1),0)</f>
        <v/>
      </c>
      <c r="Y4669" s="12">
        <f>IF(OR(LEFT(K4669,4)="LVAX",LEFT(K4669,6)="MV15AX",LEFT(K4669,4)="CTAX",LEFT(K4669,2)="W|"),2*N4669*O4669,0)</f>
        <v/>
      </c>
      <c r="Z4669" s="12" t="inlineStr"/>
      <c r="AA4669" s="12">
        <f>N4669*O4669</f>
        <v/>
      </c>
    </row>
    <row r="4670">
      <c r="A4670" s="12" t="inlineStr">
        <is>
          <t>I-I-0312</t>
        </is>
      </c>
      <c r="B4670" s="12" t="inlineStr">
        <is>
          <t>I</t>
        </is>
      </c>
      <c r="C4670" s="12" t="inlineStr">
        <is>
          <t>Modular / portable power</t>
        </is>
      </c>
      <c r="D4670" s="12" t="inlineStr">
        <is>
          <t>Discrete device to JB JB-RICE-4-DI01: 20 x 1 pr (field cables)</t>
        </is>
      </c>
      <c r="E4670" s="12" t="inlineStr">
        <is>
          <t>RICE-4</t>
        </is>
      </c>
      <c r="F4670" s="12" t="inlineStr">
        <is>
          <t>RICE engine-generator 4</t>
        </is>
      </c>
      <c r="G4670" s="12" t="inlineStr">
        <is>
          <t>JB-RICE-4-DI01</t>
        </is>
      </c>
      <c r="H4670" s="12" t="inlineStr">
        <is>
          <t>RICE engine-generator 4</t>
        </is>
      </c>
      <c r="I4670" s="12" t="inlineStr">
        <is>
          <t>Instrumentation</t>
        </is>
      </c>
      <c r="J4670" s="12" t="inlineStr">
        <is>
          <t>Instrumentation PLTC / TC-ER 300 V, #18 twisted shielded pairs, overall shield</t>
        </is>
      </c>
      <c r="K4670" s="12" t="inlineStr">
        <is>
          <t>PLTC|1 pr|16</t>
        </is>
      </c>
      <c r="L4670" s="12" t="inlineStr">
        <is>
          <t>1 pr</t>
        </is>
      </c>
      <c r="M4670" s="12" t="inlineStr">
        <is>
          <t>16</t>
        </is>
      </c>
      <c r="N4670" s="12" t="n">
        <v>20</v>
      </c>
      <c r="O4670" s="12" t="n">
        <v>1</v>
      </c>
      <c r="P4670" s="12" t="n"/>
      <c r="Q4670" s="12" t="n"/>
      <c r="R4670" s="12" t="n"/>
      <c r="S4670" s="12" t="inlineStr">
        <is>
          <t>Tray / conduit</t>
        </is>
      </c>
      <c r="T4670" s="16" t="n">
        <v>72</v>
      </c>
      <c r="U4670" s="16" t="n">
        <v>10</v>
      </c>
      <c r="V4670" s="16">
        <f>ROUNDUP((T4670+U4670+2*'Read Me'!$B$13)*(1+'Read Me'!$B$12),-1)</f>
        <v/>
      </c>
      <c r="W4670" s="16">
        <f>V4670*N4670*O4670</f>
        <v/>
      </c>
      <c r="X4670" s="12">
        <f>IF(LEFT(I4670,2)="MV",2*N4670*IF(L4670="1/C",O4670,1),0)</f>
        <v/>
      </c>
      <c r="Y4670" s="12">
        <f>IF(OR(LEFT(K4670,4)="LVAX",LEFT(K4670,6)="MV15AX",LEFT(K4670,4)="CTAX",LEFT(K4670,2)="W|"),2*N4670*O4670,0)</f>
        <v/>
      </c>
      <c r="Z4670" s="12" t="inlineStr">
        <is>
          <t>device-to-JB field wiring, one cable per device</t>
        </is>
      </c>
      <c r="AA4670" s="12">
        <f>N4670*O4670</f>
        <v/>
      </c>
    </row>
    <row r="4671">
      <c r="A4671" s="12" t="inlineStr">
        <is>
          <t>I-I-0313</t>
        </is>
      </c>
      <c r="B4671" s="12" t="inlineStr">
        <is>
          <t>I</t>
        </is>
      </c>
      <c r="C4671" s="12" t="inlineStr">
        <is>
          <t>Modular / portable power</t>
        </is>
      </c>
      <c r="D4671" s="12" t="inlineStr">
        <is>
          <t>Home run JB-RICE-4-DI01 to the control / marshalling room</t>
        </is>
      </c>
      <c r="E4671" s="12" t="inlineStr"/>
      <c r="F4671" s="12" t="inlineStr">
        <is>
          <t>PCM: power control module</t>
        </is>
      </c>
      <c r="G4671" s="12" t="inlineStr">
        <is>
          <t>JB-RICE-4-DI01</t>
        </is>
      </c>
      <c r="H4671" s="12" t="inlineStr">
        <is>
          <t>RICE engine-generator 4</t>
        </is>
      </c>
      <c r="I4671" s="12" t="inlineStr">
        <is>
          <t>Instrumentation</t>
        </is>
      </c>
      <c r="J4671" s="12" t="inlineStr">
        <is>
          <t>Instrumentation PLTC / TC-ER 300 V, #18 twisted shielded pairs, overall shield</t>
        </is>
      </c>
      <c r="K4671" s="12" t="inlineStr">
        <is>
          <t>PLTC|24 pr|18</t>
        </is>
      </c>
      <c r="L4671" s="12" t="inlineStr">
        <is>
          <t>24 pr</t>
        </is>
      </c>
      <c r="M4671" s="12" t="inlineStr">
        <is>
          <t>18</t>
        </is>
      </c>
      <c r="N4671" s="12" t="n">
        <v>1</v>
      </c>
      <c r="O4671" s="12" t="n">
        <v>1</v>
      </c>
      <c r="P4671" s="12" t="n"/>
      <c r="Q4671" s="12" t="n"/>
      <c r="R4671" s="12" t="n"/>
      <c r="S4671" s="12" t="inlineStr">
        <is>
          <t>Duct bank</t>
        </is>
      </c>
      <c r="T4671" s="16" t="n">
        <v>550</v>
      </c>
      <c r="U4671" s="16" t="n">
        <v>53</v>
      </c>
      <c r="V4671" s="16">
        <f>ROUNDUP((T4671+U4671+2*'Read Me'!$B$13)*(1+'Read Me'!$B$12),-1)</f>
        <v/>
      </c>
      <c r="W4671" s="16">
        <f>V4671*N4671*O4671</f>
        <v/>
      </c>
      <c r="X4671" s="12">
        <f>IF(LEFT(I4671,2)="MV",2*N4671*IF(L4671="1/C",O4671,1),0)</f>
        <v/>
      </c>
      <c r="Y4671" s="12">
        <f>IF(OR(LEFT(K4671,4)="LVAX",LEFT(K4671,6)="MV15AX",LEFT(K4671,4)="CTAX",LEFT(K4671,2)="W|"),2*N4671*O4671,0)</f>
        <v/>
      </c>
      <c r="Z4671" s="12" t="inlineStr"/>
      <c r="AA4671" s="12">
        <f>N4671*O4671</f>
        <v/>
      </c>
    </row>
    <row r="4672">
      <c r="A4672" s="12" t="inlineStr">
        <is>
          <t>I-I-0314</t>
        </is>
      </c>
      <c r="B4672" s="12" t="inlineStr">
        <is>
          <t>I</t>
        </is>
      </c>
      <c r="C4672" s="12" t="inlineStr">
        <is>
          <t>Modular / portable power</t>
        </is>
      </c>
      <c r="D4672" s="12" t="inlineStr">
        <is>
          <t>Discrete device to JB JB-RICE-4-DI02: 20 x 1 pr (field cables)</t>
        </is>
      </c>
      <c r="E4672" s="12" t="inlineStr">
        <is>
          <t>RICE-4</t>
        </is>
      </c>
      <c r="F4672" s="12" t="inlineStr">
        <is>
          <t>RICE engine-generator 4</t>
        </is>
      </c>
      <c r="G4672" s="12" t="inlineStr">
        <is>
          <t>JB-RICE-4-DI02</t>
        </is>
      </c>
      <c r="H4672" s="12" t="inlineStr">
        <is>
          <t>RICE engine-generator 4</t>
        </is>
      </c>
      <c r="I4672" s="12" t="inlineStr">
        <is>
          <t>Instrumentation</t>
        </is>
      </c>
      <c r="J4672" s="12" t="inlineStr">
        <is>
          <t>Instrumentation PLTC / TC-ER 300 V, #18 twisted shielded pairs, overall shield</t>
        </is>
      </c>
      <c r="K4672" s="12" t="inlineStr">
        <is>
          <t>PLTC|1 pr|16</t>
        </is>
      </c>
      <c r="L4672" s="12" t="inlineStr">
        <is>
          <t>1 pr</t>
        </is>
      </c>
      <c r="M4672" s="12" t="inlineStr">
        <is>
          <t>16</t>
        </is>
      </c>
      <c r="N4672" s="12" t="n">
        <v>20</v>
      </c>
      <c r="O4672" s="12" t="n">
        <v>1</v>
      </c>
      <c r="P4672" s="12" t="n"/>
      <c r="Q4672" s="12" t="n"/>
      <c r="R4672" s="12" t="n"/>
      <c r="S4672" s="12" t="inlineStr">
        <is>
          <t>Tray / conduit</t>
        </is>
      </c>
      <c r="T4672" s="16" t="n">
        <v>72</v>
      </c>
      <c r="U4672" s="16" t="n">
        <v>10</v>
      </c>
      <c r="V4672" s="16">
        <f>ROUNDUP((T4672+U4672+2*'Read Me'!$B$13)*(1+'Read Me'!$B$12),-1)</f>
        <v/>
      </c>
      <c r="W4672" s="16">
        <f>V4672*N4672*O4672</f>
        <v/>
      </c>
      <c r="X4672" s="12">
        <f>IF(LEFT(I4672,2)="MV",2*N4672*IF(L4672="1/C",O4672,1),0)</f>
        <v/>
      </c>
      <c r="Y4672" s="12">
        <f>IF(OR(LEFT(K4672,4)="LVAX",LEFT(K4672,6)="MV15AX",LEFT(K4672,4)="CTAX",LEFT(K4672,2)="W|"),2*N4672*O4672,0)</f>
        <v/>
      </c>
      <c r="Z4672" s="12" t="inlineStr">
        <is>
          <t>device-to-JB field wiring, one cable per device</t>
        </is>
      </c>
      <c r="AA4672" s="12">
        <f>N4672*O4672</f>
        <v/>
      </c>
    </row>
    <row r="4673">
      <c r="A4673" s="12" t="inlineStr">
        <is>
          <t>I-I-0315</t>
        </is>
      </c>
      <c r="B4673" s="12" t="inlineStr">
        <is>
          <t>I</t>
        </is>
      </c>
      <c r="C4673" s="12" t="inlineStr">
        <is>
          <t>Modular / portable power</t>
        </is>
      </c>
      <c r="D4673" s="12" t="inlineStr">
        <is>
          <t>Home run JB-RICE-4-DI02 to the control / marshalling room</t>
        </is>
      </c>
      <c r="E4673" s="12" t="inlineStr"/>
      <c r="F4673" s="12" t="inlineStr">
        <is>
          <t>PCM: power control module</t>
        </is>
      </c>
      <c r="G4673" s="12" t="inlineStr">
        <is>
          <t>JB-RICE-4-DI02</t>
        </is>
      </c>
      <c r="H4673" s="12" t="inlineStr">
        <is>
          <t>RICE engine-generator 4</t>
        </is>
      </c>
      <c r="I4673" s="12" t="inlineStr">
        <is>
          <t>Instrumentation</t>
        </is>
      </c>
      <c r="J4673" s="12" t="inlineStr">
        <is>
          <t>Instrumentation PLTC / TC-ER 300 V, #18 twisted shielded pairs, overall shield</t>
        </is>
      </c>
      <c r="K4673" s="12" t="inlineStr">
        <is>
          <t>PLTC|24 pr|18</t>
        </is>
      </c>
      <c r="L4673" s="12" t="inlineStr">
        <is>
          <t>24 pr</t>
        </is>
      </c>
      <c r="M4673" s="12" t="inlineStr">
        <is>
          <t>18</t>
        </is>
      </c>
      <c r="N4673" s="12" t="n">
        <v>1</v>
      </c>
      <c r="O4673" s="12" t="n">
        <v>1</v>
      </c>
      <c r="P4673" s="12" t="n"/>
      <c r="Q4673" s="12" t="n"/>
      <c r="R4673" s="12" t="n"/>
      <c r="S4673" s="12" t="inlineStr">
        <is>
          <t>Duct bank</t>
        </is>
      </c>
      <c r="T4673" s="16" t="n">
        <v>550</v>
      </c>
      <c r="U4673" s="16" t="n">
        <v>53</v>
      </c>
      <c r="V4673" s="16">
        <f>ROUNDUP((T4673+U4673+2*'Read Me'!$B$13)*(1+'Read Me'!$B$12),-1)</f>
        <v/>
      </c>
      <c r="W4673" s="16">
        <f>V4673*N4673*O4673</f>
        <v/>
      </c>
      <c r="X4673" s="12">
        <f>IF(LEFT(I4673,2)="MV",2*N4673*IF(L4673="1/C",O4673,1),0)</f>
        <v/>
      </c>
      <c r="Y4673" s="12">
        <f>IF(OR(LEFT(K4673,4)="LVAX",LEFT(K4673,6)="MV15AX",LEFT(K4673,4)="CTAX",LEFT(K4673,2)="W|"),2*N4673*O4673,0)</f>
        <v/>
      </c>
      <c r="Z4673" s="12" t="inlineStr"/>
      <c r="AA4673" s="12">
        <f>N4673*O4673</f>
        <v/>
      </c>
    </row>
    <row r="4674">
      <c r="A4674" s="12" t="inlineStr">
        <is>
          <t>I-I-0316</t>
        </is>
      </c>
      <c r="B4674" s="12" t="inlineStr">
        <is>
          <t>I</t>
        </is>
      </c>
      <c r="C4674" s="12" t="inlineStr">
        <is>
          <t>Modular / portable power</t>
        </is>
      </c>
      <c r="D4674" s="12" t="inlineStr">
        <is>
          <t>Discrete device to JB JB-RICE-4-DI03: 20 x 1 pr (field cables)</t>
        </is>
      </c>
      <c r="E4674" s="12" t="inlineStr">
        <is>
          <t>RICE-4</t>
        </is>
      </c>
      <c r="F4674" s="12" t="inlineStr">
        <is>
          <t>RICE engine-generator 4</t>
        </is>
      </c>
      <c r="G4674" s="12" t="inlineStr">
        <is>
          <t>JB-RICE-4-DI03</t>
        </is>
      </c>
      <c r="H4674" s="12" t="inlineStr">
        <is>
          <t>RICE engine-generator 4</t>
        </is>
      </c>
      <c r="I4674" s="12" t="inlineStr">
        <is>
          <t>Instrumentation</t>
        </is>
      </c>
      <c r="J4674" s="12" t="inlineStr">
        <is>
          <t>Instrumentation PLTC / TC-ER 300 V, #18 twisted shielded pairs, overall shield</t>
        </is>
      </c>
      <c r="K4674" s="12" t="inlineStr">
        <is>
          <t>PLTC|1 pr|16</t>
        </is>
      </c>
      <c r="L4674" s="12" t="inlineStr">
        <is>
          <t>1 pr</t>
        </is>
      </c>
      <c r="M4674" s="12" t="inlineStr">
        <is>
          <t>16</t>
        </is>
      </c>
      <c r="N4674" s="12" t="n">
        <v>20</v>
      </c>
      <c r="O4674" s="12" t="n">
        <v>1</v>
      </c>
      <c r="P4674" s="12" t="n"/>
      <c r="Q4674" s="12" t="n"/>
      <c r="R4674" s="12" t="n"/>
      <c r="S4674" s="12" t="inlineStr">
        <is>
          <t>Tray / conduit</t>
        </is>
      </c>
      <c r="T4674" s="16" t="n">
        <v>72</v>
      </c>
      <c r="U4674" s="16" t="n">
        <v>10</v>
      </c>
      <c r="V4674" s="16">
        <f>ROUNDUP((T4674+U4674+2*'Read Me'!$B$13)*(1+'Read Me'!$B$12),-1)</f>
        <v/>
      </c>
      <c r="W4674" s="16">
        <f>V4674*N4674*O4674</f>
        <v/>
      </c>
      <c r="X4674" s="12">
        <f>IF(LEFT(I4674,2)="MV",2*N4674*IF(L4674="1/C",O4674,1),0)</f>
        <v/>
      </c>
      <c r="Y4674" s="12">
        <f>IF(OR(LEFT(K4674,4)="LVAX",LEFT(K4674,6)="MV15AX",LEFT(K4674,4)="CTAX",LEFT(K4674,2)="W|"),2*N4674*O4674,0)</f>
        <v/>
      </c>
      <c r="Z4674" s="12" t="inlineStr">
        <is>
          <t>device-to-JB field wiring, one cable per device</t>
        </is>
      </c>
      <c r="AA4674" s="12">
        <f>N4674*O4674</f>
        <v/>
      </c>
    </row>
    <row r="4675">
      <c r="A4675" s="12" t="inlineStr">
        <is>
          <t>I-I-0317</t>
        </is>
      </c>
      <c r="B4675" s="12" t="inlineStr">
        <is>
          <t>I</t>
        </is>
      </c>
      <c r="C4675" s="12" t="inlineStr">
        <is>
          <t>Modular / portable power</t>
        </is>
      </c>
      <c r="D4675" s="12" t="inlineStr">
        <is>
          <t>Home run JB-RICE-4-DI03 to the control / marshalling room</t>
        </is>
      </c>
      <c r="E4675" s="12" t="inlineStr"/>
      <c r="F4675" s="12" t="inlineStr">
        <is>
          <t>PCM: power control module</t>
        </is>
      </c>
      <c r="G4675" s="12" t="inlineStr">
        <is>
          <t>JB-RICE-4-DI03</t>
        </is>
      </c>
      <c r="H4675" s="12" t="inlineStr">
        <is>
          <t>RICE engine-generator 4</t>
        </is>
      </c>
      <c r="I4675" s="12" t="inlineStr">
        <is>
          <t>Instrumentation</t>
        </is>
      </c>
      <c r="J4675" s="12" t="inlineStr">
        <is>
          <t>Instrumentation PLTC / TC-ER 300 V, #18 twisted shielded pairs, overall shield</t>
        </is>
      </c>
      <c r="K4675" s="12" t="inlineStr">
        <is>
          <t>PLTC|24 pr|18</t>
        </is>
      </c>
      <c r="L4675" s="12" t="inlineStr">
        <is>
          <t>24 pr</t>
        </is>
      </c>
      <c r="M4675" s="12" t="inlineStr">
        <is>
          <t>18</t>
        </is>
      </c>
      <c r="N4675" s="12" t="n">
        <v>1</v>
      </c>
      <c r="O4675" s="12" t="n">
        <v>1</v>
      </c>
      <c r="P4675" s="12" t="n"/>
      <c r="Q4675" s="12" t="n"/>
      <c r="R4675" s="12" t="n"/>
      <c r="S4675" s="12" t="inlineStr">
        <is>
          <t>Duct bank</t>
        </is>
      </c>
      <c r="T4675" s="16" t="n">
        <v>550</v>
      </c>
      <c r="U4675" s="16" t="n">
        <v>53</v>
      </c>
      <c r="V4675" s="16">
        <f>ROUNDUP((T4675+U4675+2*'Read Me'!$B$13)*(1+'Read Me'!$B$12),-1)</f>
        <v/>
      </c>
      <c r="W4675" s="16">
        <f>V4675*N4675*O4675</f>
        <v/>
      </c>
      <c r="X4675" s="12">
        <f>IF(LEFT(I4675,2)="MV",2*N4675*IF(L4675="1/C",O4675,1),0)</f>
        <v/>
      </c>
      <c r="Y4675" s="12">
        <f>IF(OR(LEFT(K4675,4)="LVAX",LEFT(K4675,6)="MV15AX",LEFT(K4675,4)="CTAX",LEFT(K4675,2)="W|"),2*N4675*O4675,0)</f>
        <v/>
      </c>
      <c r="Z4675" s="12" t="inlineStr"/>
      <c r="AA4675" s="12">
        <f>N4675*O4675</f>
        <v/>
      </c>
    </row>
    <row r="4676">
      <c r="A4676" s="12" t="inlineStr">
        <is>
          <t>I-I-0318</t>
        </is>
      </c>
      <c r="B4676" s="12" t="inlineStr">
        <is>
          <t>I</t>
        </is>
      </c>
      <c r="C4676" s="12" t="inlineStr">
        <is>
          <t>Modular / portable power</t>
        </is>
      </c>
      <c r="D4676" s="12" t="inlineStr">
        <is>
          <t>Thermocouple to TC JB JB-RICE-4-TC01: 20 x 1 pr (field cables)</t>
        </is>
      </c>
      <c r="E4676" s="12" t="inlineStr">
        <is>
          <t>RICE-4</t>
        </is>
      </c>
      <c r="F4676" s="12" t="inlineStr">
        <is>
          <t>RICE engine-generator 4</t>
        </is>
      </c>
      <c r="G4676" s="12" t="inlineStr">
        <is>
          <t>JB-RICE-4-TC01</t>
        </is>
      </c>
      <c r="H4676" s="12" t="inlineStr">
        <is>
          <t>RICE engine-generator 4</t>
        </is>
      </c>
      <c r="I4676" s="12" t="inlineStr">
        <is>
          <t>Instrumentation</t>
        </is>
      </c>
      <c r="J4676" s="12" t="inlineStr">
        <is>
          <t>Thermocouple extension KX, #16 shielded pairs, PLTC</t>
        </is>
      </c>
      <c r="K4676" s="12" t="inlineStr">
        <is>
          <t>TCX|1 pr|16</t>
        </is>
      </c>
      <c r="L4676" s="12" t="inlineStr">
        <is>
          <t>1 pr</t>
        </is>
      </c>
      <c r="M4676" s="12" t="inlineStr">
        <is>
          <t>16</t>
        </is>
      </c>
      <c r="N4676" s="12" t="n">
        <v>20</v>
      </c>
      <c r="O4676" s="12" t="n">
        <v>1</v>
      </c>
      <c r="P4676" s="12" t="n"/>
      <c r="Q4676" s="12" t="n"/>
      <c r="R4676" s="12" t="n"/>
      <c r="S4676" s="12" t="inlineStr">
        <is>
          <t>Tray / conduit</t>
        </is>
      </c>
      <c r="T4676" s="16" t="n">
        <v>72</v>
      </c>
      <c r="U4676" s="16" t="n">
        <v>10</v>
      </c>
      <c r="V4676" s="16">
        <f>ROUNDUP((T4676+U4676+2*'Read Me'!$B$13)*(1+'Read Me'!$B$12),-1)</f>
        <v/>
      </c>
      <c r="W4676" s="16">
        <f>V4676*N4676*O4676</f>
        <v/>
      </c>
      <c r="X4676" s="12">
        <f>IF(LEFT(I4676,2)="MV",2*N4676*IF(L4676="1/C",O4676,1),0)</f>
        <v/>
      </c>
      <c r="Y4676" s="12">
        <f>IF(OR(LEFT(K4676,4)="LVAX",LEFT(K4676,6)="MV15AX",LEFT(K4676,4)="CTAX",LEFT(K4676,2)="W|"),2*N4676*O4676,0)</f>
        <v/>
      </c>
      <c r="Z4676" s="12" t="inlineStr">
        <is>
          <t>device-to-JB field wiring, one cable per device</t>
        </is>
      </c>
      <c r="AA4676" s="12">
        <f>N4676*O4676</f>
        <v/>
      </c>
    </row>
    <row r="4677">
      <c r="A4677" s="12" t="inlineStr">
        <is>
          <t>I-I-0319</t>
        </is>
      </c>
      <c r="B4677" s="12" t="inlineStr">
        <is>
          <t>I</t>
        </is>
      </c>
      <c r="C4677" s="12" t="inlineStr">
        <is>
          <t>Modular / portable power</t>
        </is>
      </c>
      <c r="D4677" s="12" t="inlineStr">
        <is>
          <t>Home run JB-RICE-4-TC01 to the control / marshalling room</t>
        </is>
      </c>
      <c r="E4677" s="12" t="inlineStr"/>
      <c r="F4677" s="12" t="inlineStr">
        <is>
          <t>PCM: power control module</t>
        </is>
      </c>
      <c r="G4677" s="12" t="inlineStr">
        <is>
          <t>JB-RICE-4-TC01</t>
        </is>
      </c>
      <c r="H4677" s="12" t="inlineStr">
        <is>
          <t>RICE engine-generator 4</t>
        </is>
      </c>
      <c r="I4677" s="12" t="inlineStr">
        <is>
          <t>Instrumentation</t>
        </is>
      </c>
      <c r="J4677" s="12" t="inlineStr">
        <is>
          <t>Thermocouple extension KX, #16 shielded pairs, PLTC</t>
        </is>
      </c>
      <c r="K4677" s="12" t="inlineStr">
        <is>
          <t>TCX|24 pr|16</t>
        </is>
      </c>
      <c r="L4677" s="12" t="inlineStr">
        <is>
          <t>24 pr</t>
        </is>
      </c>
      <c r="M4677" s="12" t="inlineStr">
        <is>
          <t>16</t>
        </is>
      </c>
      <c r="N4677" s="12" t="n">
        <v>1</v>
      </c>
      <c r="O4677" s="12" t="n">
        <v>1</v>
      </c>
      <c r="P4677" s="12" t="n"/>
      <c r="Q4677" s="12" t="n"/>
      <c r="R4677" s="12" t="n"/>
      <c r="S4677" s="12" t="inlineStr">
        <is>
          <t>Duct bank</t>
        </is>
      </c>
      <c r="T4677" s="16" t="n">
        <v>550</v>
      </c>
      <c r="U4677" s="16" t="n">
        <v>53</v>
      </c>
      <c r="V4677" s="16">
        <f>ROUNDUP((T4677+U4677+2*'Read Me'!$B$13)*(1+'Read Me'!$B$12),-1)</f>
        <v/>
      </c>
      <c r="W4677" s="16">
        <f>V4677*N4677*O4677</f>
        <v/>
      </c>
      <c r="X4677" s="12">
        <f>IF(LEFT(I4677,2)="MV",2*N4677*IF(L4677="1/C",O4677,1),0)</f>
        <v/>
      </c>
      <c r="Y4677" s="12">
        <f>IF(OR(LEFT(K4677,4)="LVAX",LEFT(K4677,6)="MV15AX",LEFT(K4677,4)="CTAX",LEFT(K4677,2)="W|"),2*N4677*O4677,0)</f>
        <v/>
      </c>
      <c r="Z4677" s="12" t="inlineStr"/>
      <c r="AA4677" s="12">
        <f>N4677*O4677</f>
        <v/>
      </c>
    </row>
    <row r="4678">
      <c r="A4678" s="12" t="inlineStr">
        <is>
          <t>I-I-0320</t>
        </is>
      </c>
      <c r="B4678" s="12" t="inlineStr">
        <is>
          <t>I</t>
        </is>
      </c>
      <c r="C4678" s="12" t="inlineStr">
        <is>
          <t>Modular / portable power</t>
        </is>
      </c>
      <c r="D4678" s="12" t="inlineStr">
        <is>
          <t>Thermocouple to TC JB JB-RICE-4-TC02: 10 x 1 pr (field cables)</t>
        </is>
      </c>
      <c r="E4678" s="12" t="inlineStr">
        <is>
          <t>RICE-4</t>
        </is>
      </c>
      <c r="F4678" s="12" t="inlineStr">
        <is>
          <t>RICE engine-generator 4</t>
        </is>
      </c>
      <c r="G4678" s="12" t="inlineStr">
        <is>
          <t>JB-RICE-4-TC02</t>
        </is>
      </c>
      <c r="H4678" s="12" t="inlineStr">
        <is>
          <t>RICE engine-generator 4</t>
        </is>
      </c>
      <c r="I4678" s="12" t="inlineStr">
        <is>
          <t>Instrumentation</t>
        </is>
      </c>
      <c r="J4678" s="12" t="inlineStr">
        <is>
          <t>Thermocouple extension KX, #16 shielded pairs, PLTC</t>
        </is>
      </c>
      <c r="K4678" s="12" t="inlineStr">
        <is>
          <t>TCX|1 pr|16</t>
        </is>
      </c>
      <c r="L4678" s="12" t="inlineStr">
        <is>
          <t>1 pr</t>
        </is>
      </c>
      <c r="M4678" s="12" t="inlineStr">
        <is>
          <t>16</t>
        </is>
      </c>
      <c r="N4678" s="12" t="n">
        <v>10</v>
      </c>
      <c r="O4678" s="12" t="n">
        <v>1</v>
      </c>
      <c r="P4678" s="12" t="n"/>
      <c r="Q4678" s="12" t="n"/>
      <c r="R4678" s="12" t="n"/>
      <c r="S4678" s="12" t="inlineStr">
        <is>
          <t>Tray / conduit</t>
        </is>
      </c>
      <c r="T4678" s="16" t="n">
        <v>72</v>
      </c>
      <c r="U4678" s="16" t="n">
        <v>10</v>
      </c>
      <c r="V4678" s="16">
        <f>ROUNDUP((T4678+U4678+2*'Read Me'!$B$13)*(1+'Read Me'!$B$12),-1)</f>
        <v/>
      </c>
      <c r="W4678" s="16">
        <f>V4678*N4678*O4678</f>
        <v/>
      </c>
      <c r="X4678" s="12">
        <f>IF(LEFT(I4678,2)="MV",2*N4678*IF(L4678="1/C",O4678,1),0)</f>
        <v/>
      </c>
      <c r="Y4678" s="12">
        <f>IF(OR(LEFT(K4678,4)="LVAX",LEFT(K4678,6)="MV15AX",LEFT(K4678,4)="CTAX",LEFT(K4678,2)="W|"),2*N4678*O4678,0)</f>
        <v/>
      </c>
      <c r="Z4678" s="12" t="inlineStr">
        <is>
          <t>device-to-JB field wiring, one cable per device</t>
        </is>
      </c>
      <c r="AA4678" s="12">
        <f>N4678*O4678</f>
        <v/>
      </c>
    </row>
    <row r="4679">
      <c r="A4679" s="12" t="inlineStr">
        <is>
          <t>I-I-0321</t>
        </is>
      </c>
      <c r="B4679" s="12" t="inlineStr">
        <is>
          <t>I</t>
        </is>
      </c>
      <c r="C4679" s="12" t="inlineStr">
        <is>
          <t>Modular / portable power</t>
        </is>
      </c>
      <c r="D4679" s="12" t="inlineStr">
        <is>
          <t>Home run JB-RICE-4-TC02 to the control / marshalling room</t>
        </is>
      </c>
      <c r="E4679" s="12" t="inlineStr"/>
      <c r="F4679" s="12" t="inlineStr">
        <is>
          <t>PCM: power control module</t>
        </is>
      </c>
      <c r="G4679" s="12" t="inlineStr">
        <is>
          <t>JB-RICE-4-TC02</t>
        </is>
      </c>
      <c r="H4679" s="12" t="inlineStr">
        <is>
          <t>RICE engine-generator 4</t>
        </is>
      </c>
      <c r="I4679" s="12" t="inlineStr">
        <is>
          <t>Instrumentation</t>
        </is>
      </c>
      <c r="J4679" s="12" t="inlineStr">
        <is>
          <t>Thermocouple extension KX, #16 shielded pairs, PLTC</t>
        </is>
      </c>
      <c r="K4679" s="12" t="inlineStr">
        <is>
          <t>TCX|24 pr|16</t>
        </is>
      </c>
      <c r="L4679" s="12" t="inlineStr">
        <is>
          <t>24 pr</t>
        </is>
      </c>
      <c r="M4679" s="12" t="inlineStr">
        <is>
          <t>16</t>
        </is>
      </c>
      <c r="N4679" s="12" t="n">
        <v>1</v>
      </c>
      <c r="O4679" s="12" t="n">
        <v>1</v>
      </c>
      <c r="P4679" s="12" t="n"/>
      <c r="Q4679" s="12" t="n"/>
      <c r="R4679" s="12" t="n"/>
      <c r="S4679" s="12" t="inlineStr">
        <is>
          <t>Duct bank</t>
        </is>
      </c>
      <c r="T4679" s="16" t="n">
        <v>550</v>
      </c>
      <c r="U4679" s="16" t="n">
        <v>53</v>
      </c>
      <c r="V4679" s="16">
        <f>ROUNDUP((T4679+U4679+2*'Read Me'!$B$13)*(1+'Read Me'!$B$12),-1)</f>
        <v/>
      </c>
      <c r="W4679" s="16">
        <f>V4679*N4679*O4679</f>
        <v/>
      </c>
      <c r="X4679" s="12">
        <f>IF(LEFT(I4679,2)="MV",2*N4679*IF(L4679="1/C",O4679,1),0)</f>
        <v/>
      </c>
      <c r="Y4679" s="12">
        <f>IF(OR(LEFT(K4679,4)="LVAX",LEFT(K4679,6)="MV15AX",LEFT(K4679,4)="CTAX",LEFT(K4679,2)="W|"),2*N4679*O4679,0)</f>
        <v/>
      </c>
      <c r="Z4679" s="12" t="inlineStr"/>
      <c r="AA4679" s="12">
        <f>N4679*O4679</f>
        <v/>
      </c>
    </row>
    <row r="4680">
      <c r="A4680" s="12" t="inlineStr">
        <is>
          <t>I-I-0322</t>
        </is>
      </c>
      <c r="B4680" s="12" t="inlineStr">
        <is>
          <t>I</t>
        </is>
      </c>
      <c r="C4680" s="12" t="inlineStr">
        <is>
          <t>Modular / portable power</t>
        </is>
      </c>
      <c r="D4680" s="12" t="inlineStr">
        <is>
          <t>RTD to JB JB-RICE-4-RTD01: 10 x 1 tri (field cables)</t>
        </is>
      </c>
      <c r="E4680" s="12" t="inlineStr">
        <is>
          <t>RICE-4</t>
        </is>
      </c>
      <c r="F4680" s="12" t="inlineStr">
        <is>
          <t>RICE engine-generator 4</t>
        </is>
      </c>
      <c r="G4680" s="12" t="inlineStr">
        <is>
          <t>JB-RICE-4-RTD01</t>
        </is>
      </c>
      <c r="H4680" s="12" t="inlineStr">
        <is>
          <t>RICE engine-generator 4</t>
        </is>
      </c>
      <c r="I4680" s="12" t="inlineStr">
        <is>
          <t>Instrumentation</t>
        </is>
      </c>
      <c r="J4680" s="12" t="inlineStr">
        <is>
          <t>RTD cable, #18 shielded triads, PLTC</t>
        </is>
      </c>
      <c r="K4680" s="12" t="inlineStr">
        <is>
          <t>RTD|1 tri|18</t>
        </is>
      </c>
      <c r="L4680" s="12" t="inlineStr">
        <is>
          <t>1 tri</t>
        </is>
      </c>
      <c r="M4680" s="12" t="inlineStr">
        <is>
          <t>18</t>
        </is>
      </c>
      <c r="N4680" s="12" t="n">
        <v>10</v>
      </c>
      <c r="O4680" s="12" t="n">
        <v>1</v>
      </c>
      <c r="P4680" s="12" t="n"/>
      <c r="Q4680" s="12" t="n"/>
      <c r="R4680" s="12" t="n"/>
      <c r="S4680" s="12" t="inlineStr">
        <is>
          <t>Tray / conduit</t>
        </is>
      </c>
      <c r="T4680" s="16" t="n">
        <v>72</v>
      </c>
      <c r="U4680" s="16" t="n">
        <v>10</v>
      </c>
      <c r="V4680" s="16">
        <f>ROUNDUP((T4680+U4680+2*'Read Me'!$B$13)*(1+'Read Me'!$B$12),-1)</f>
        <v/>
      </c>
      <c r="W4680" s="16">
        <f>V4680*N4680*O4680</f>
        <v/>
      </c>
      <c r="X4680" s="12">
        <f>IF(LEFT(I4680,2)="MV",2*N4680*IF(L4680="1/C",O4680,1),0)</f>
        <v/>
      </c>
      <c r="Y4680" s="12">
        <f>IF(OR(LEFT(K4680,4)="LVAX",LEFT(K4680,6)="MV15AX",LEFT(K4680,4)="CTAX",LEFT(K4680,2)="W|"),2*N4680*O4680,0)</f>
        <v/>
      </c>
      <c r="Z4680" s="12" t="inlineStr">
        <is>
          <t>device-to-JB field wiring, one cable per device</t>
        </is>
      </c>
      <c r="AA4680" s="12">
        <f>N4680*O4680</f>
        <v/>
      </c>
    </row>
    <row r="4681">
      <c r="A4681" s="12" t="inlineStr">
        <is>
          <t>I-I-0323</t>
        </is>
      </c>
      <c r="B4681" s="12" t="inlineStr">
        <is>
          <t>I</t>
        </is>
      </c>
      <c r="C4681" s="12" t="inlineStr">
        <is>
          <t>Modular / portable power</t>
        </is>
      </c>
      <c r="D4681" s="12" t="inlineStr">
        <is>
          <t>Home run JB-RICE-4-RTD01 to the control / marshalling room</t>
        </is>
      </c>
      <c r="E4681" s="12" t="inlineStr"/>
      <c r="F4681" s="12" t="inlineStr">
        <is>
          <t>PCM: power control module</t>
        </is>
      </c>
      <c r="G4681" s="12" t="inlineStr">
        <is>
          <t>JB-RICE-4-RTD01</t>
        </is>
      </c>
      <c r="H4681" s="12" t="inlineStr">
        <is>
          <t>RICE engine-generator 4</t>
        </is>
      </c>
      <c r="I4681" s="12" t="inlineStr">
        <is>
          <t>Instrumentation</t>
        </is>
      </c>
      <c r="J4681" s="12" t="inlineStr">
        <is>
          <t>RTD cable, #18 shielded triads, PLTC</t>
        </is>
      </c>
      <c r="K4681" s="12" t="inlineStr">
        <is>
          <t>RTD|12 tri|18</t>
        </is>
      </c>
      <c r="L4681" s="12" t="inlineStr">
        <is>
          <t>12 tri</t>
        </is>
      </c>
      <c r="M4681" s="12" t="inlineStr">
        <is>
          <t>18</t>
        </is>
      </c>
      <c r="N4681" s="12" t="n">
        <v>1</v>
      </c>
      <c r="O4681" s="12" t="n">
        <v>1</v>
      </c>
      <c r="P4681" s="12" t="n"/>
      <c r="Q4681" s="12" t="n"/>
      <c r="R4681" s="12" t="n"/>
      <c r="S4681" s="12" t="inlineStr">
        <is>
          <t>Duct bank</t>
        </is>
      </c>
      <c r="T4681" s="16" t="n">
        <v>550</v>
      </c>
      <c r="U4681" s="16" t="n">
        <v>53</v>
      </c>
      <c r="V4681" s="16">
        <f>ROUNDUP((T4681+U4681+2*'Read Me'!$B$13)*(1+'Read Me'!$B$12),-1)</f>
        <v/>
      </c>
      <c r="W4681" s="16">
        <f>V4681*N4681*O4681</f>
        <v/>
      </c>
      <c r="X4681" s="12">
        <f>IF(LEFT(I4681,2)="MV",2*N4681*IF(L4681="1/C",O4681,1),0)</f>
        <v/>
      </c>
      <c r="Y4681" s="12">
        <f>IF(OR(LEFT(K4681,4)="LVAX",LEFT(K4681,6)="MV15AX",LEFT(K4681,4)="CTAX",LEFT(K4681,2)="W|"),2*N4681*O4681,0)</f>
        <v/>
      </c>
      <c r="Z4681" s="12" t="inlineStr"/>
      <c r="AA4681" s="12">
        <f>N4681*O4681</f>
        <v/>
      </c>
    </row>
    <row r="4682">
      <c r="A4682" s="12" t="inlineStr">
        <is>
          <t>I-I-0324</t>
        </is>
      </c>
      <c r="B4682" s="12" t="inlineStr">
        <is>
          <t>I</t>
        </is>
      </c>
      <c r="C4682" s="12" t="inlineStr">
        <is>
          <t>Modular / portable power</t>
        </is>
      </c>
      <c r="D4682" s="12" t="inlineStr">
        <is>
          <t>RTD to JB JB-RICE-4-RTD02: 2 x 1 tri (field cables)</t>
        </is>
      </c>
      <c r="E4682" s="12" t="inlineStr">
        <is>
          <t>RICE-4</t>
        </is>
      </c>
      <c r="F4682" s="12" t="inlineStr">
        <is>
          <t>RICE engine-generator 4</t>
        </is>
      </c>
      <c r="G4682" s="12" t="inlineStr">
        <is>
          <t>JB-RICE-4-RTD02</t>
        </is>
      </c>
      <c r="H4682" s="12" t="inlineStr">
        <is>
          <t>RICE engine-generator 4</t>
        </is>
      </c>
      <c r="I4682" s="12" t="inlineStr">
        <is>
          <t>Instrumentation</t>
        </is>
      </c>
      <c r="J4682" s="12" t="inlineStr">
        <is>
          <t>RTD cable, #18 shielded triads, PLTC</t>
        </is>
      </c>
      <c r="K4682" s="12" t="inlineStr">
        <is>
          <t>RTD|1 tri|18</t>
        </is>
      </c>
      <c r="L4682" s="12" t="inlineStr">
        <is>
          <t>1 tri</t>
        </is>
      </c>
      <c r="M4682" s="12" t="inlineStr">
        <is>
          <t>18</t>
        </is>
      </c>
      <c r="N4682" s="12" t="n">
        <v>2</v>
      </c>
      <c r="O4682" s="12" t="n">
        <v>1</v>
      </c>
      <c r="P4682" s="12" t="n"/>
      <c r="Q4682" s="12" t="n"/>
      <c r="R4682" s="12" t="n"/>
      <c r="S4682" s="12" t="inlineStr">
        <is>
          <t>Tray / conduit</t>
        </is>
      </c>
      <c r="T4682" s="16" t="n">
        <v>72</v>
      </c>
      <c r="U4682" s="16" t="n">
        <v>10</v>
      </c>
      <c r="V4682" s="16">
        <f>ROUNDUP((T4682+U4682+2*'Read Me'!$B$13)*(1+'Read Me'!$B$12),-1)</f>
        <v/>
      </c>
      <c r="W4682" s="16">
        <f>V4682*N4682*O4682</f>
        <v/>
      </c>
      <c r="X4682" s="12">
        <f>IF(LEFT(I4682,2)="MV",2*N4682*IF(L4682="1/C",O4682,1),0)</f>
        <v/>
      </c>
      <c r="Y4682" s="12">
        <f>IF(OR(LEFT(K4682,4)="LVAX",LEFT(K4682,6)="MV15AX",LEFT(K4682,4)="CTAX",LEFT(K4682,2)="W|"),2*N4682*O4682,0)</f>
        <v/>
      </c>
      <c r="Z4682" s="12" t="inlineStr">
        <is>
          <t>device-to-JB field wiring, one cable per device</t>
        </is>
      </c>
      <c r="AA4682" s="12">
        <f>N4682*O4682</f>
        <v/>
      </c>
    </row>
    <row r="4683">
      <c r="A4683" s="12" t="inlineStr">
        <is>
          <t>I-I-0325</t>
        </is>
      </c>
      <c r="B4683" s="12" t="inlineStr">
        <is>
          <t>I</t>
        </is>
      </c>
      <c r="C4683" s="12" t="inlineStr">
        <is>
          <t>Modular / portable power</t>
        </is>
      </c>
      <c r="D4683" s="12" t="inlineStr">
        <is>
          <t>Home run JB-RICE-4-RTD02 to the control / marshalling room</t>
        </is>
      </c>
      <c r="E4683" s="12" t="inlineStr"/>
      <c r="F4683" s="12" t="inlineStr">
        <is>
          <t>PCM: power control module</t>
        </is>
      </c>
      <c r="G4683" s="12" t="inlineStr">
        <is>
          <t>JB-RICE-4-RTD02</t>
        </is>
      </c>
      <c r="H4683" s="12" t="inlineStr">
        <is>
          <t>RICE engine-generator 4</t>
        </is>
      </c>
      <c r="I4683" s="12" t="inlineStr">
        <is>
          <t>Instrumentation</t>
        </is>
      </c>
      <c r="J4683" s="12" t="inlineStr">
        <is>
          <t>RTD cable, #18 shielded triads, PLTC</t>
        </is>
      </c>
      <c r="K4683" s="12" t="inlineStr">
        <is>
          <t>RTD|12 tri|18</t>
        </is>
      </c>
      <c r="L4683" s="12" t="inlineStr">
        <is>
          <t>12 tri</t>
        </is>
      </c>
      <c r="M4683" s="12" t="inlineStr">
        <is>
          <t>18</t>
        </is>
      </c>
      <c r="N4683" s="12" t="n">
        <v>1</v>
      </c>
      <c r="O4683" s="12" t="n">
        <v>1</v>
      </c>
      <c r="P4683" s="12" t="n"/>
      <c r="Q4683" s="12" t="n"/>
      <c r="R4683" s="12" t="n"/>
      <c r="S4683" s="12" t="inlineStr">
        <is>
          <t>Duct bank</t>
        </is>
      </c>
      <c r="T4683" s="16" t="n">
        <v>550</v>
      </c>
      <c r="U4683" s="16" t="n">
        <v>53</v>
      </c>
      <c r="V4683" s="16">
        <f>ROUNDUP((T4683+U4683+2*'Read Me'!$B$13)*(1+'Read Me'!$B$12),-1)</f>
        <v/>
      </c>
      <c r="W4683" s="16">
        <f>V4683*N4683*O4683</f>
        <v/>
      </c>
      <c r="X4683" s="12">
        <f>IF(LEFT(I4683,2)="MV",2*N4683*IF(L4683="1/C",O4683,1),0)</f>
        <v/>
      </c>
      <c r="Y4683" s="12">
        <f>IF(OR(LEFT(K4683,4)="LVAX",LEFT(K4683,6)="MV15AX",LEFT(K4683,4)="CTAX",LEFT(K4683,2)="W|"),2*N4683*O4683,0)</f>
        <v/>
      </c>
      <c r="Z4683" s="12" t="inlineStr"/>
      <c r="AA4683" s="12">
        <f>N4683*O4683</f>
        <v/>
      </c>
    </row>
    <row r="4684">
      <c r="A4684" s="12" t="inlineStr">
        <is>
          <t>I-I-0326</t>
        </is>
      </c>
      <c r="B4684" s="12" t="inlineStr">
        <is>
          <t>I</t>
        </is>
      </c>
      <c r="C4684" s="12" t="inlineStr">
        <is>
          <t>Modular / portable power</t>
        </is>
      </c>
      <c r="D4684" s="12" t="inlineStr">
        <is>
          <t>Analog instrument to JB JB-RICE-5-AI01: 20 x 1 pr (field cables)</t>
        </is>
      </c>
      <c r="E4684" s="12" t="inlineStr">
        <is>
          <t>RICE-5</t>
        </is>
      </c>
      <c r="F4684" s="12" t="inlineStr">
        <is>
          <t>RICE engine-generator 5</t>
        </is>
      </c>
      <c r="G4684" s="12" t="inlineStr">
        <is>
          <t>JB-RICE-5-AI01</t>
        </is>
      </c>
      <c r="H4684" s="12" t="inlineStr">
        <is>
          <t>RICE engine-generator 5</t>
        </is>
      </c>
      <c r="I4684" s="12" t="inlineStr">
        <is>
          <t>Instrumentation</t>
        </is>
      </c>
      <c r="J4684" s="12" t="inlineStr">
        <is>
          <t>Instrumentation PLTC / TC-ER 300 V, #18 twisted shielded pairs, overall shield</t>
        </is>
      </c>
      <c r="K4684" s="12" t="inlineStr">
        <is>
          <t>PLTC|1 pr|16</t>
        </is>
      </c>
      <c r="L4684" s="12" t="inlineStr">
        <is>
          <t>1 pr</t>
        </is>
      </c>
      <c r="M4684" s="12" t="inlineStr">
        <is>
          <t>16</t>
        </is>
      </c>
      <c r="N4684" s="12" t="n">
        <v>20</v>
      </c>
      <c r="O4684" s="12" t="n">
        <v>1</v>
      </c>
      <c r="P4684" s="12" t="n"/>
      <c r="Q4684" s="12" t="n"/>
      <c r="R4684" s="12" t="n"/>
      <c r="S4684" s="12" t="inlineStr">
        <is>
          <t>Tray / conduit</t>
        </is>
      </c>
      <c r="T4684" s="16" t="n">
        <v>72</v>
      </c>
      <c r="U4684" s="16" t="n">
        <v>10</v>
      </c>
      <c r="V4684" s="16">
        <f>ROUNDUP((T4684+U4684+2*'Read Me'!$B$13)*(1+'Read Me'!$B$12),-1)</f>
        <v/>
      </c>
      <c r="W4684" s="16">
        <f>V4684*N4684*O4684</f>
        <v/>
      </c>
      <c r="X4684" s="12">
        <f>IF(LEFT(I4684,2)="MV",2*N4684*IF(L4684="1/C",O4684,1),0)</f>
        <v/>
      </c>
      <c r="Y4684" s="12">
        <f>IF(OR(LEFT(K4684,4)="LVAX",LEFT(K4684,6)="MV15AX",LEFT(K4684,4)="CTAX",LEFT(K4684,2)="W|"),2*N4684*O4684,0)</f>
        <v/>
      </c>
      <c r="Z4684" s="12" t="inlineStr">
        <is>
          <t>device-to-JB field wiring, one cable per device</t>
        </is>
      </c>
      <c r="AA4684" s="12">
        <f>N4684*O4684</f>
        <v/>
      </c>
    </row>
    <row r="4685">
      <c r="A4685" s="12" t="inlineStr">
        <is>
          <t>I-I-0327</t>
        </is>
      </c>
      <c r="B4685" s="12" t="inlineStr">
        <is>
          <t>I</t>
        </is>
      </c>
      <c r="C4685" s="12" t="inlineStr">
        <is>
          <t>Modular / portable power</t>
        </is>
      </c>
      <c r="D4685" s="12" t="inlineStr">
        <is>
          <t>Home run JB-RICE-5-AI01 to the control / marshalling room</t>
        </is>
      </c>
      <c r="E4685" s="12" t="inlineStr"/>
      <c r="F4685" s="12" t="inlineStr">
        <is>
          <t>PCM: power control module</t>
        </is>
      </c>
      <c r="G4685" s="12" t="inlineStr">
        <is>
          <t>JB-RICE-5-AI01</t>
        </is>
      </c>
      <c r="H4685" s="12" t="inlineStr">
        <is>
          <t>RICE engine-generator 5</t>
        </is>
      </c>
      <c r="I4685" s="12" t="inlineStr">
        <is>
          <t>Instrumentation</t>
        </is>
      </c>
      <c r="J4685" s="12" t="inlineStr">
        <is>
          <t>Instrumentation PLTC / TC-ER 300 V, #18 twisted shielded pairs, overall shield</t>
        </is>
      </c>
      <c r="K4685" s="12" t="inlineStr">
        <is>
          <t>PLTC|24 pr|18</t>
        </is>
      </c>
      <c r="L4685" s="12" t="inlineStr">
        <is>
          <t>24 pr</t>
        </is>
      </c>
      <c r="M4685" s="12" t="inlineStr">
        <is>
          <t>18</t>
        </is>
      </c>
      <c r="N4685" s="12" t="n">
        <v>1</v>
      </c>
      <c r="O4685" s="12" t="n">
        <v>1</v>
      </c>
      <c r="P4685" s="12" t="n"/>
      <c r="Q4685" s="12" t="n"/>
      <c r="R4685" s="12" t="n"/>
      <c r="S4685" s="12" t="inlineStr">
        <is>
          <t>Duct bank</t>
        </is>
      </c>
      <c r="T4685" s="16" t="n">
        <v>367</v>
      </c>
      <c r="U4685" s="16" t="n">
        <v>208</v>
      </c>
      <c r="V4685" s="16">
        <f>ROUNDUP((T4685+U4685+2*'Read Me'!$B$13)*(1+'Read Me'!$B$12),-1)</f>
        <v/>
      </c>
      <c r="W4685" s="16">
        <f>V4685*N4685*O4685</f>
        <v/>
      </c>
      <c r="X4685" s="12">
        <f>IF(LEFT(I4685,2)="MV",2*N4685*IF(L4685="1/C",O4685,1),0)</f>
        <v/>
      </c>
      <c r="Y4685" s="12">
        <f>IF(OR(LEFT(K4685,4)="LVAX",LEFT(K4685,6)="MV15AX",LEFT(K4685,4)="CTAX",LEFT(K4685,2)="W|"),2*N4685*O4685,0)</f>
        <v/>
      </c>
      <c r="Z4685" s="12" t="inlineStr"/>
      <c r="AA4685" s="12">
        <f>N4685*O4685</f>
        <v/>
      </c>
    </row>
    <row r="4686">
      <c r="A4686" s="12" t="inlineStr">
        <is>
          <t>I-I-0328</t>
        </is>
      </c>
      <c r="B4686" s="12" t="inlineStr">
        <is>
          <t>I</t>
        </is>
      </c>
      <c r="C4686" s="12" t="inlineStr">
        <is>
          <t>Modular / portable power</t>
        </is>
      </c>
      <c r="D4686" s="12" t="inlineStr">
        <is>
          <t>Analog instrument to JB JB-RICE-5-AI02: 20 x 1 pr (field cables)</t>
        </is>
      </c>
      <c r="E4686" s="12" t="inlineStr">
        <is>
          <t>RICE-5</t>
        </is>
      </c>
      <c r="F4686" s="12" t="inlineStr">
        <is>
          <t>RICE engine-generator 5</t>
        </is>
      </c>
      <c r="G4686" s="12" t="inlineStr">
        <is>
          <t>JB-RICE-5-AI02</t>
        </is>
      </c>
      <c r="H4686" s="12" t="inlineStr">
        <is>
          <t>RICE engine-generator 5</t>
        </is>
      </c>
      <c r="I4686" s="12" t="inlineStr">
        <is>
          <t>Instrumentation</t>
        </is>
      </c>
      <c r="J4686" s="12" t="inlineStr">
        <is>
          <t>Instrumentation PLTC / TC-ER 300 V, #18 twisted shielded pairs, overall shield</t>
        </is>
      </c>
      <c r="K4686" s="12" t="inlineStr">
        <is>
          <t>PLTC|1 pr|16</t>
        </is>
      </c>
      <c r="L4686" s="12" t="inlineStr">
        <is>
          <t>1 pr</t>
        </is>
      </c>
      <c r="M4686" s="12" t="inlineStr">
        <is>
          <t>16</t>
        </is>
      </c>
      <c r="N4686" s="12" t="n">
        <v>20</v>
      </c>
      <c r="O4686" s="12" t="n">
        <v>1</v>
      </c>
      <c r="P4686" s="12" t="n"/>
      <c r="Q4686" s="12" t="n"/>
      <c r="R4686" s="12" t="n"/>
      <c r="S4686" s="12" t="inlineStr">
        <is>
          <t>Tray / conduit</t>
        </is>
      </c>
      <c r="T4686" s="16" t="n">
        <v>72</v>
      </c>
      <c r="U4686" s="16" t="n">
        <v>10</v>
      </c>
      <c r="V4686" s="16">
        <f>ROUNDUP((T4686+U4686+2*'Read Me'!$B$13)*(1+'Read Me'!$B$12),-1)</f>
        <v/>
      </c>
      <c r="W4686" s="16">
        <f>V4686*N4686*O4686</f>
        <v/>
      </c>
      <c r="X4686" s="12">
        <f>IF(LEFT(I4686,2)="MV",2*N4686*IF(L4686="1/C",O4686,1),0)</f>
        <v/>
      </c>
      <c r="Y4686" s="12">
        <f>IF(OR(LEFT(K4686,4)="LVAX",LEFT(K4686,6)="MV15AX",LEFT(K4686,4)="CTAX",LEFT(K4686,2)="W|"),2*N4686*O4686,0)</f>
        <v/>
      </c>
      <c r="Z4686" s="12" t="inlineStr">
        <is>
          <t>device-to-JB field wiring, one cable per device</t>
        </is>
      </c>
      <c r="AA4686" s="12">
        <f>N4686*O4686</f>
        <v/>
      </c>
    </row>
    <row r="4687">
      <c r="A4687" s="12" t="inlineStr">
        <is>
          <t>I-I-0329</t>
        </is>
      </c>
      <c r="B4687" s="12" t="inlineStr">
        <is>
          <t>I</t>
        </is>
      </c>
      <c r="C4687" s="12" t="inlineStr">
        <is>
          <t>Modular / portable power</t>
        </is>
      </c>
      <c r="D4687" s="12" t="inlineStr">
        <is>
          <t>Home run JB-RICE-5-AI02 to the control / marshalling room</t>
        </is>
      </c>
      <c r="E4687" s="12" t="inlineStr"/>
      <c r="F4687" s="12" t="inlineStr">
        <is>
          <t>PCM: power control module</t>
        </is>
      </c>
      <c r="G4687" s="12" t="inlineStr">
        <is>
          <t>JB-RICE-5-AI02</t>
        </is>
      </c>
      <c r="H4687" s="12" t="inlineStr">
        <is>
          <t>RICE engine-generator 5</t>
        </is>
      </c>
      <c r="I4687" s="12" t="inlineStr">
        <is>
          <t>Instrumentation</t>
        </is>
      </c>
      <c r="J4687" s="12" t="inlineStr">
        <is>
          <t>Instrumentation PLTC / TC-ER 300 V, #18 twisted shielded pairs, overall shield</t>
        </is>
      </c>
      <c r="K4687" s="12" t="inlineStr">
        <is>
          <t>PLTC|24 pr|18</t>
        </is>
      </c>
      <c r="L4687" s="12" t="inlineStr">
        <is>
          <t>24 pr</t>
        </is>
      </c>
      <c r="M4687" s="12" t="inlineStr">
        <is>
          <t>18</t>
        </is>
      </c>
      <c r="N4687" s="12" t="n">
        <v>1</v>
      </c>
      <c r="O4687" s="12" t="n">
        <v>1</v>
      </c>
      <c r="P4687" s="12" t="n"/>
      <c r="Q4687" s="12" t="n"/>
      <c r="R4687" s="12" t="n"/>
      <c r="S4687" s="12" t="inlineStr">
        <is>
          <t>Duct bank</t>
        </is>
      </c>
      <c r="T4687" s="16" t="n">
        <v>367</v>
      </c>
      <c r="U4687" s="16" t="n">
        <v>208</v>
      </c>
      <c r="V4687" s="16">
        <f>ROUNDUP((T4687+U4687+2*'Read Me'!$B$13)*(1+'Read Me'!$B$12),-1)</f>
        <v/>
      </c>
      <c r="W4687" s="16">
        <f>V4687*N4687*O4687</f>
        <v/>
      </c>
      <c r="X4687" s="12">
        <f>IF(LEFT(I4687,2)="MV",2*N4687*IF(L4687="1/C",O4687,1),0)</f>
        <v/>
      </c>
      <c r="Y4687" s="12">
        <f>IF(OR(LEFT(K4687,4)="LVAX",LEFT(K4687,6)="MV15AX",LEFT(K4687,4)="CTAX",LEFT(K4687,2)="W|"),2*N4687*O4687,0)</f>
        <v/>
      </c>
      <c r="Z4687" s="12" t="inlineStr"/>
      <c r="AA4687" s="12">
        <f>N4687*O4687</f>
        <v/>
      </c>
    </row>
    <row r="4688">
      <c r="A4688" s="12" t="inlineStr">
        <is>
          <t>I-I-0330</t>
        </is>
      </c>
      <c r="B4688" s="12" t="inlineStr">
        <is>
          <t>I</t>
        </is>
      </c>
      <c r="C4688" s="12" t="inlineStr">
        <is>
          <t>Modular / portable power</t>
        </is>
      </c>
      <c r="D4688" s="12" t="inlineStr">
        <is>
          <t>Analog instrument to JB JB-RICE-5-AI03: 20 x 1 pr (field cables)</t>
        </is>
      </c>
      <c r="E4688" s="12" t="inlineStr">
        <is>
          <t>RICE-5</t>
        </is>
      </c>
      <c r="F4688" s="12" t="inlineStr">
        <is>
          <t>RICE engine-generator 5</t>
        </is>
      </c>
      <c r="G4688" s="12" t="inlineStr">
        <is>
          <t>JB-RICE-5-AI03</t>
        </is>
      </c>
      <c r="H4688" s="12" t="inlineStr">
        <is>
          <t>RICE engine-generator 5</t>
        </is>
      </c>
      <c r="I4688" s="12" t="inlineStr">
        <is>
          <t>Instrumentation</t>
        </is>
      </c>
      <c r="J4688" s="12" t="inlineStr">
        <is>
          <t>Instrumentation PLTC / TC-ER 300 V, #18 twisted shielded pairs, overall shield</t>
        </is>
      </c>
      <c r="K4688" s="12" t="inlineStr">
        <is>
          <t>PLTC|1 pr|16</t>
        </is>
      </c>
      <c r="L4688" s="12" t="inlineStr">
        <is>
          <t>1 pr</t>
        </is>
      </c>
      <c r="M4688" s="12" t="inlineStr">
        <is>
          <t>16</t>
        </is>
      </c>
      <c r="N4688" s="12" t="n">
        <v>20</v>
      </c>
      <c r="O4688" s="12" t="n">
        <v>1</v>
      </c>
      <c r="P4688" s="12" t="n"/>
      <c r="Q4688" s="12" t="n"/>
      <c r="R4688" s="12" t="n"/>
      <c r="S4688" s="12" t="inlineStr">
        <is>
          <t>Tray / conduit</t>
        </is>
      </c>
      <c r="T4688" s="16" t="n">
        <v>72</v>
      </c>
      <c r="U4688" s="16" t="n">
        <v>10</v>
      </c>
      <c r="V4688" s="16">
        <f>ROUNDUP((T4688+U4688+2*'Read Me'!$B$13)*(1+'Read Me'!$B$12),-1)</f>
        <v/>
      </c>
      <c r="W4688" s="16">
        <f>V4688*N4688*O4688</f>
        <v/>
      </c>
      <c r="X4688" s="12">
        <f>IF(LEFT(I4688,2)="MV",2*N4688*IF(L4688="1/C",O4688,1),0)</f>
        <v/>
      </c>
      <c r="Y4688" s="12">
        <f>IF(OR(LEFT(K4688,4)="LVAX",LEFT(K4688,6)="MV15AX",LEFT(K4688,4)="CTAX",LEFT(K4688,2)="W|"),2*N4688*O4688,0)</f>
        <v/>
      </c>
      <c r="Z4688" s="12" t="inlineStr">
        <is>
          <t>device-to-JB field wiring, one cable per device</t>
        </is>
      </c>
      <c r="AA4688" s="12">
        <f>N4688*O4688</f>
        <v/>
      </c>
    </row>
    <row r="4689">
      <c r="A4689" s="12" t="inlineStr">
        <is>
          <t>I-I-0331</t>
        </is>
      </c>
      <c r="B4689" s="12" t="inlineStr">
        <is>
          <t>I</t>
        </is>
      </c>
      <c r="C4689" s="12" t="inlineStr">
        <is>
          <t>Modular / portable power</t>
        </is>
      </c>
      <c r="D4689" s="12" t="inlineStr">
        <is>
          <t>Home run JB-RICE-5-AI03 to the control / marshalling room</t>
        </is>
      </c>
      <c r="E4689" s="12" t="inlineStr"/>
      <c r="F4689" s="12" t="inlineStr">
        <is>
          <t>PCM: power control module</t>
        </is>
      </c>
      <c r="G4689" s="12" t="inlineStr">
        <is>
          <t>JB-RICE-5-AI03</t>
        </is>
      </c>
      <c r="H4689" s="12" t="inlineStr">
        <is>
          <t>RICE engine-generator 5</t>
        </is>
      </c>
      <c r="I4689" s="12" t="inlineStr">
        <is>
          <t>Instrumentation</t>
        </is>
      </c>
      <c r="J4689" s="12" t="inlineStr">
        <is>
          <t>Instrumentation PLTC / TC-ER 300 V, #18 twisted shielded pairs, overall shield</t>
        </is>
      </c>
      <c r="K4689" s="12" t="inlineStr">
        <is>
          <t>PLTC|24 pr|18</t>
        </is>
      </c>
      <c r="L4689" s="12" t="inlineStr">
        <is>
          <t>24 pr</t>
        </is>
      </c>
      <c r="M4689" s="12" t="inlineStr">
        <is>
          <t>18</t>
        </is>
      </c>
      <c r="N4689" s="12" t="n">
        <v>1</v>
      </c>
      <c r="O4689" s="12" t="n">
        <v>1</v>
      </c>
      <c r="P4689" s="12" t="n"/>
      <c r="Q4689" s="12" t="n"/>
      <c r="R4689" s="12" t="n"/>
      <c r="S4689" s="12" t="inlineStr">
        <is>
          <t>Duct bank</t>
        </is>
      </c>
      <c r="T4689" s="16" t="n">
        <v>367</v>
      </c>
      <c r="U4689" s="16" t="n">
        <v>208</v>
      </c>
      <c r="V4689" s="16">
        <f>ROUNDUP((T4689+U4689+2*'Read Me'!$B$13)*(1+'Read Me'!$B$12),-1)</f>
        <v/>
      </c>
      <c r="W4689" s="16">
        <f>V4689*N4689*O4689</f>
        <v/>
      </c>
      <c r="X4689" s="12">
        <f>IF(LEFT(I4689,2)="MV",2*N4689*IF(L4689="1/C",O4689,1),0)</f>
        <v/>
      </c>
      <c r="Y4689" s="12">
        <f>IF(OR(LEFT(K4689,4)="LVAX",LEFT(K4689,6)="MV15AX",LEFT(K4689,4)="CTAX",LEFT(K4689,2)="W|"),2*N4689*O4689,0)</f>
        <v/>
      </c>
      <c r="Z4689" s="12" t="inlineStr"/>
      <c r="AA4689" s="12">
        <f>N4689*O4689</f>
        <v/>
      </c>
    </row>
    <row r="4690">
      <c r="A4690" s="12" t="inlineStr">
        <is>
          <t>I-I-0332</t>
        </is>
      </c>
      <c r="B4690" s="12" t="inlineStr">
        <is>
          <t>I</t>
        </is>
      </c>
      <c r="C4690" s="12" t="inlineStr">
        <is>
          <t>Modular / portable power</t>
        </is>
      </c>
      <c r="D4690" s="12" t="inlineStr">
        <is>
          <t>Analog instrument to JB JB-RICE-5-AI04: 20 x 1 pr (field cables)</t>
        </is>
      </c>
      <c r="E4690" s="12" t="inlineStr">
        <is>
          <t>RICE-5</t>
        </is>
      </c>
      <c r="F4690" s="12" t="inlineStr">
        <is>
          <t>RICE engine-generator 5</t>
        </is>
      </c>
      <c r="G4690" s="12" t="inlineStr">
        <is>
          <t>JB-RICE-5-AI04</t>
        </is>
      </c>
      <c r="H4690" s="12" t="inlineStr">
        <is>
          <t>RICE engine-generator 5</t>
        </is>
      </c>
      <c r="I4690" s="12" t="inlineStr">
        <is>
          <t>Instrumentation</t>
        </is>
      </c>
      <c r="J4690" s="12" t="inlineStr">
        <is>
          <t>Instrumentation PLTC / TC-ER 300 V, #18 twisted shielded pairs, overall shield</t>
        </is>
      </c>
      <c r="K4690" s="12" t="inlineStr">
        <is>
          <t>PLTC|1 pr|16</t>
        </is>
      </c>
      <c r="L4690" s="12" t="inlineStr">
        <is>
          <t>1 pr</t>
        </is>
      </c>
      <c r="M4690" s="12" t="inlineStr">
        <is>
          <t>16</t>
        </is>
      </c>
      <c r="N4690" s="12" t="n">
        <v>20</v>
      </c>
      <c r="O4690" s="12" t="n">
        <v>1</v>
      </c>
      <c r="P4690" s="12" t="n"/>
      <c r="Q4690" s="12" t="n"/>
      <c r="R4690" s="12" t="n"/>
      <c r="S4690" s="12" t="inlineStr">
        <is>
          <t>Tray / conduit</t>
        </is>
      </c>
      <c r="T4690" s="16" t="n">
        <v>72</v>
      </c>
      <c r="U4690" s="16" t="n">
        <v>10</v>
      </c>
      <c r="V4690" s="16">
        <f>ROUNDUP((T4690+U4690+2*'Read Me'!$B$13)*(1+'Read Me'!$B$12),-1)</f>
        <v/>
      </c>
      <c r="W4690" s="16">
        <f>V4690*N4690*O4690</f>
        <v/>
      </c>
      <c r="X4690" s="12">
        <f>IF(LEFT(I4690,2)="MV",2*N4690*IF(L4690="1/C",O4690,1),0)</f>
        <v/>
      </c>
      <c r="Y4690" s="12">
        <f>IF(OR(LEFT(K4690,4)="LVAX",LEFT(K4690,6)="MV15AX",LEFT(K4690,4)="CTAX",LEFT(K4690,2)="W|"),2*N4690*O4690,0)</f>
        <v/>
      </c>
      <c r="Z4690" s="12" t="inlineStr">
        <is>
          <t>device-to-JB field wiring, one cable per device</t>
        </is>
      </c>
      <c r="AA4690" s="12">
        <f>N4690*O4690</f>
        <v/>
      </c>
    </row>
    <row r="4691">
      <c r="A4691" s="12" t="inlineStr">
        <is>
          <t>I-I-0333</t>
        </is>
      </c>
      <c r="B4691" s="12" t="inlineStr">
        <is>
          <t>I</t>
        </is>
      </c>
      <c r="C4691" s="12" t="inlineStr">
        <is>
          <t>Modular / portable power</t>
        </is>
      </c>
      <c r="D4691" s="12" t="inlineStr">
        <is>
          <t>Home run JB-RICE-5-AI04 to the control / marshalling room</t>
        </is>
      </c>
      <c r="E4691" s="12" t="inlineStr"/>
      <c r="F4691" s="12" t="inlineStr">
        <is>
          <t>PCM: power control module</t>
        </is>
      </c>
      <c r="G4691" s="12" t="inlineStr">
        <is>
          <t>JB-RICE-5-AI04</t>
        </is>
      </c>
      <c r="H4691" s="12" t="inlineStr">
        <is>
          <t>RICE engine-generator 5</t>
        </is>
      </c>
      <c r="I4691" s="12" t="inlineStr">
        <is>
          <t>Instrumentation</t>
        </is>
      </c>
      <c r="J4691" s="12" t="inlineStr">
        <is>
          <t>Instrumentation PLTC / TC-ER 300 V, #18 twisted shielded pairs, overall shield</t>
        </is>
      </c>
      <c r="K4691" s="12" t="inlineStr">
        <is>
          <t>PLTC|24 pr|18</t>
        </is>
      </c>
      <c r="L4691" s="12" t="inlineStr">
        <is>
          <t>24 pr</t>
        </is>
      </c>
      <c r="M4691" s="12" t="inlineStr">
        <is>
          <t>18</t>
        </is>
      </c>
      <c r="N4691" s="12" t="n">
        <v>1</v>
      </c>
      <c r="O4691" s="12" t="n">
        <v>1</v>
      </c>
      <c r="P4691" s="12" t="n"/>
      <c r="Q4691" s="12" t="n"/>
      <c r="R4691" s="12" t="n"/>
      <c r="S4691" s="12" t="inlineStr">
        <is>
          <t>Duct bank</t>
        </is>
      </c>
      <c r="T4691" s="16" t="n">
        <v>367</v>
      </c>
      <c r="U4691" s="16" t="n">
        <v>208</v>
      </c>
      <c r="V4691" s="16">
        <f>ROUNDUP((T4691+U4691+2*'Read Me'!$B$13)*(1+'Read Me'!$B$12),-1)</f>
        <v/>
      </c>
      <c r="W4691" s="16">
        <f>V4691*N4691*O4691</f>
        <v/>
      </c>
      <c r="X4691" s="12">
        <f>IF(LEFT(I4691,2)="MV",2*N4691*IF(L4691="1/C",O4691,1),0)</f>
        <v/>
      </c>
      <c r="Y4691" s="12">
        <f>IF(OR(LEFT(K4691,4)="LVAX",LEFT(K4691,6)="MV15AX",LEFT(K4691,4)="CTAX",LEFT(K4691,2)="W|"),2*N4691*O4691,0)</f>
        <v/>
      </c>
      <c r="Z4691" s="12" t="inlineStr"/>
      <c r="AA4691" s="12">
        <f>N4691*O4691</f>
        <v/>
      </c>
    </row>
    <row r="4692">
      <c r="A4692" s="12" t="inlineStr">
        <is>
          <t>I-I-0334</t>
        </is>
      </c>
      <c r="B4692" s="12" t="inlineStr">
        <is>
          <t>I</t>
        </is>
      </c>
      <c r="C4692" s="12" t="inlineStr">
        <is>
          <t>Modular / portable power</t>
        </is>
      </c>
      <c r="D4692" s="12" t="inlineStr">
        <is>
          <t>Discrete device to JB JB-RICE-5-DI01: 20 x 1 pr (field cables)</t>
        </is>
      </c>
      <c r="E4692" s="12" t="inlineStr">
        <is>
          <t>RICE-5</t>
        </is>
      </c>
      <c r="F4692" s="12" t="inlineStr">
        <is>
          <t>RICE engine-generator 5</t>
        </is>
      </c>
      <c r="G4692" s="12" t="inlineStr">
        <is>
          <t>JB-RICE-5-DI01</t>
        </is>
      </c>
      <c r="H4692" s="12" t="inlineStr">
        <is>
          <t>RICE engine-generator 5</t>
        </is>
      </c>
      <c r="I4692" s="12" t="inlineStr">
        <is>
          <t>Instrumentation</t>
        </is>
      </c>
      <c r="J4692" s="12" t="inlineStr">
        <is>
          <t>Instrumentation PLTC / TC-ER 300 V, #18 twisted shielded pairs, overall shield</t>
        </is>
      </c>
      <c r="K4692" s="12" t="inlineStr">
        <is>
          <t>PLTC|1 pr|16</t>
        </is>
      </c>
      <c r="L4692" s="12" t="inlineStr">
        <is>
          <t>1 pr</t>
        </is>
      </c>
      <c r="M4692" s="12" t="inlineStr">
        <is>
          <t>16</t>
        </is>
      </c>
      <c r="N4692" s="12" t="n">
        <v>20</v>
      </c>
      <c r="O4692" s="12" t="n">
        <v>1</v>
      </c>
      <c r="P4692" s="12" t="n"/>
      <c r="Q4692" s="12" t="n"/>
      <c r="R4692" s="12" t="n"/>
      <c r="S4692" s="12" t="inlineStr">
        <is>
          <t>Tray / conduit</t>
        </is>
      </c>
      <c r="T4692" s="16" t="n">
        <v>72</v>
      </c>
      <c r="U4692" s="16" t="n">
        <v>10</v>
      </c>
      <c r="V4692" s="16">
        <f>ROUNDUP((T4692+U4692+2*'Read Me'!$B$13)*(1+'Read Me'!$B$12),-1)</f>
        <v/>
      </c>
      <c r="W4692" s="16">
        <f>V4692*N4692*O4692</f>
        <v/>
      </c>
      <c r="X4692" s="12">
        <f>IF(LEFT(I4692,2)="MV",2*N4692*IF(L4692="1/C",O4692,1),0)</f>
        <v/>
      </c>
      <c r="Y4692" s="12">
        <f>IF(OR(LEFT(K4692,4)="LVAX",LEFT(K4692,6)="MV15AX",LEFT(K4692,4)="CTAX",LEFT(K4692,2)="W|"),2*N4692*O4692,0)</f>
        <v/>
      </c>
      <c r="Z4692" s="12" t="inlineStr">
        <is>
          <t>device-to-JB field wiring, one cable per device</t>
        </is>
      </c>
      <c r="AA4692" s="12">
        <f>N4692*O4692</f>
        <v/>
      </c>
    </row>
    <row r="4693">
      <c r="A4693" s="12" t="inlineStr">
        <is>
          <t>I-I-0335</t>
        </is>
      </c>
      <c r="B4693" s="12" t="inlineStr">
        <is>
          <t>I</t>
        </is>
      </c>
      <c r="C4693" s="12" t="inlineStr">
        <is>
          <t>Modular / portable power</t>
        </is>
      </c>
      <c r="D4693" s="12" t="inlineStr">
        <is>
          <t>Home run JB-RICE-5-DI01 to the control / marshalling room</t>
        </is>
      </c>
      <c r="E4693" s="12" t="inlineStr"/>
      <c r="F4693" s="12" t="inlineStr">
        <is>
          <t>PCM: power control module</t>
        </is>
      </c>
      <c r="G4693" s="12" t="inlineStr">
        <is>
          <t>JB-RICE-5-DI01</t>
        </is>
      </c>
      <c r="H4693" s="12" t="inlineStr">
        <is>
          <t>RICE engine-generator 5</t>
        </is>
      </c>
      <c r="I4693" s="12" t="inlineStr">
        <is>
          <t>Instrumentation</t>
        </is>
      </c>
      <c r="J4693" s="12" t="inlineStr">
        <is>
          <t>Instrumentation PLTC / TC-ER 300 V, #18 twisted shielded pairs, overall shield</t>
        </is>
      </c>
      <c r="K4693" s="12" t="inlineStr">
        <is>
          <t>PLTC|24 pr|18</t>
        </is>
      </c>
      <c r="L4693" s="12" t="inlineStr">
        <is>
          <t>24 pr</t>
        </is>
      </c>
      <c r="M4693" s="12" t="inlineStr">
        <is>
          <t>18</t>
        </is>
      </c>
      <c r="N4693" s="12" t="n">
        <v>1</v>
      </c>
      <c r="O4693" s="12" t="n">
        <v>1</v>
      </c>
      <c r="P4693" s="12" t="n"/>
      <c r="Q4693" s="12" t="n"/>
      <c r="R4693" s="12" t="n"/>
      <c r="S4693" s="12" t="inlineStr">
        <is>
          <t>Duct bank</t>
        </is>
      </c>
      <c r="T4693" s="16" t="n">
        <v>367</v>
      </c>
      <c r="U4693" s="16" t="n">
        <v>208</v>
      </c>
      <c r="V4693" s="16">
        <f>ROUNDUP((T4693+U4693+2*'Read Me'!$B$13)*(1+'Read Me'!$B$12),-1)</f>
        <v/>
      </c>
      <c r="W4693" s="16">
        <f>V4693*N4693*O4693</f>
        <v/>
      </c>
      <c r="X4693" s="12">
        <f>IF(LEFT(I4693,2)="MV",2*N4693*IF(L4693="1/C",O4693,1),0)</f>
        <v/>
      </c>
      <c r="Y4693" s="12">
        <f>IF(OR(LEFT(K4693,4)="LVAX",LEFT(K4693,6)="MV15AX",LEFT(K4693,4)="CTAX",LEFT(K4693,2)="W|"),2*N4693*O4693,0)</f>
        <v/>
      </c>
      <c r="Z4693" s="12" t="inlineStr"/>
      <c r="AA4693" s="12">
        <f>N4693*O4693</f>
        <v/>
      </c>
    </row>
    <row r="4694">
      <c r="A4694" s="12" t="inlineStr">
        <is>
          <t>I-I-0336</t>
        </is>
      </c>
      <c r="B4694" s="12" t="inlineStr">
        <is>
          <t>I</t>
        </is>
      </c>
      <c r="C4694" s="12" t="inlineStr">
        <is>
          <t>Modular / portable power</t>
        </is>
      </c>
      <c r="D4694" s="12" t="inlineStr">
        <is>
          <t>Discrete device to JB JB-RICE-5-DI02: 20 x 1 pr (field cables)</t>
        </is>
      </c>
      <c r="E4694" s="12" t="inlineStr">
        <is>
          <t>RICE-5</t>
        </is>
      </c>
      <c r="F4694" s="12" t="inlineStr">
        <is>
          <t>RICE engine-generator 5</t>
        </is>
      </c>
      <c r="G4694" s="12" t="inlineStr">
        <is>
          <t>JB-RICE-5-DI02</t>
        </is>
      </c>
      <c r="H4694" s="12" t="inlineStr">
        <is>
          <t>RICE engine-generator 5</t>
        </is>
      </c>
      <c r="I4694" s="12" t="inlineStr">
        <is>
          <t>Instrumentation</t>
        </is>
      </c>
      <c r="J4694" s="12" t="inlineStr">
        <is>
          <t>Instrumentation PLTC / TC-ER 300 V, #18 twisted shielded pairs, overall shield</t>
        </is>
      </c>
      <c r="K4694" s="12" t="inlineStr">
        <is>
          <t>PLTC|1 pr|16</t>
        </is>
      </c>
      <c r="L4694" s="12" t="inlineStr">
        <is>
          <t>1 pr</t>
        </is>
      </c>
      <c r="M4694" s="12" t="inlineStr">
        <is>
          <t>16</t>
        </is>
      </c>
      <c r="N4694" s="12" t="n">
        <v>20</v>
      </c>
      <c r="O4694" s="12" t="n">
        <v>1</v>
      </c>
      <c r="P4694" s="12" t="n"/>
      <c r="Q4694" s="12" t="n"/>
      <c r="R4694" s="12" t="n"/>
      <c r="S4694" s="12" t="inlineStr">
        <is>
          <t>Tray / conduit</t>
        </is>
      </c>
      <c r="T4694" s="16" t="n">
        <v>72</v>
      </c>
      <c r="U4694" s="16" t="n">
        <v>10</v>
      </c>
      <c r="V4694" s="16">
        <f>ROUNDUP((T4694+U4694+2*'Read Me'!$B$13)*(1+'Read Me'!$B$12),-1)</f>
        <v/>
      </c>
      <c r="W4694" s="16">
        <f>V4694*N4694*O4694</f>
        <v/>
      </c>
      <c r="X4694" s="12">
        <f>IF(LEFT(I4694,2)="MV",2*N4694*IF(L4694="1/C",O4694,1),0)</f>
        <v/>
      </c>
      <c r="Y4694" s="12">
        <f>IF(OR(LEFT(K4694,4)="LVAX",LEFT(K4694,6)="MV15AX",LEFT(K4694,4)="CTAX",LEFT(K4694,2)="W|"),2*N4694*O4694,0)</f>
        <v/>
      </c>
      <c r="Z4694" s="12" t="inlineStr">
        <is>
          <t>device-to-JB field wiring, one cable per device</t>
        </is>
      </c>
      <c r="AA4694" s="12">
        <f>N4694*O4694</f>
        <v/>
      </c>
    </row>
    <row r="4695">
      <c r="A4695" s="12" t="inlineStr">
        <is>
          <t>I-I-0337</t>
        </is>
      </c>
      <c r="B4695" s="12" t="inlineStr">
        <is>
          <t>I</t>
        </is>
      </c>
      <c r="C4695" s="12" t="inlineStr">
        <is>
          <t>Modular / portable power</t>
        </is>
      </c>
      <c r="D4695" s="12" t="inlineStr">
        <is>
          <t>Home run JB-RICE-5-DI02 to the control / marshalling room</t>
        </is>
      </c>
      <c r="E4695" s="12" t="inlineStr"/>
      <c r="F4695" s="12" t="inlineStr">
        <is>
          <t>PCM: power control module</t>
        </is>
      </c>
      <c r="G4695" s="12" t="inlineStr">
        <is>
          <t>JB-RICE-5-DI02</t>
        </is>
      </c>
      <c r="H4695" s="12" t="inlineStr">
        <is>
          <t>RICE engine-generator 5</t>
        </is>
      </c>
      <c r="I4695" s="12" t="inlineStr">
        <is>
          <t>Instrumentation</t>
        </is>
      </c>
      <c r="J4695" s="12" t="inlineStr">
        <is>
          <t>Instrumentation PLTC / TC-ER 300 V, #18 twisted shielded pairs, overall shield</t>
        </is>
      </c>
      <c r="K4695" s="12" t="inlineStr">
        <is>
          <t>PLTC|24 pr|18</t>
        </is>
      </c>
      <c r="L4695" s="12" t="inlineStr">
        <is>
          <t>24 pr</t>
        </is>
      </c>
      <c r="M4695" s="12" t="inlineStr">
        <is>
          <t>18</t>
        </is>
      </c>
      <c r="N4695" s="12" t="n">
        <v>1</v>
      </c>
      <c r="O4695" s="12" t="n">
        <v>1</v>
      </c>
      <c r="P4695" s="12" t="n"/>
      <c r="Q4695" s="12" t="n"/>
      <c r="R4695" s="12" t="n"/>
      <c r="S4695" s="12" t="inlineStr">
        <is>
          <t>Duct bank</t>
        </is>
      </c>
      <c r="T4695" s="16" t="n">
        <v>367</v>
      </c>
      <c r="U4695" s="16" t="n">
        <v>208</v>
      </c>
      <c r="V4695" s="16">
        <f>ROUNDUP((T4695+U4695+2*'Read Me'!$B$13)*(1+'Read Me'!$B$12),-1)</f>
        <v/>
      </c>
      <c r="W4695" s="16">
        <f>V4695*N4695*O4695</f>
        <v/>
      </c>
      <c r="X4695" s="12">
        <f>IF(LEFT(I4695,2)="MV",2*N4695*IF(L4695="1/C",O4695,1),0)</f>
        <v/>
      </c>
      <c r="Y4695" s="12">
        <f>IF(OR(LEFT(K4695,4)="LVAX",LEFT(K4695,6)="MV15AX",LEFT(K4695,4)="CTAX",LEFT(K4695,2)="W|"),2*N4695*O4695,0)</f>
        <v/>
      </c>
      <c r="Z4695" s="12" t="inlineStr"/>
      <c r="AA4695" s="12">
        <f>N4695*O4695</f>
        <v/>
      </c>
    </row>
    <row r="4696">
      <c r="A4696" s="12" t="inlineStr">
        <is>
          <t>I-I-0338</t>
        </is>
      </c>
      <c r="B4696" s="12" t="inlineStr">
        <is>
          <t>I</t>
        </is>
      </c>
      <c r="C4696" s="12" t="inlineStr">
        <is>
          <t>Modular / portable power</t>
        </is>
      </c>
      <c r="D4696" s="12" t="inlineStr">
        <is>
          <t>Discrete device to JB JB-RICE-5-DI03: 20 x 1 pr (field cables)</t>
        </is>
      </c>
      <c r="E4696" s="12" t="inlineStr">
        <is>
          <t>RICE-5</t>
        </is>
      </c>
      <c r="F4696" s="12" t="inlineStr">
        <is>
          <t>RICE engine-generator 5</t>
        </is>
      </c>
      <c r="G4696" s="12" t="inlineStr">
        <is>
          <t>JB-RICE-5-DI03</t>
        </is>
      </c>
      <c r="H4696" s="12" t="inlineStr">
        <is>
          <t>RICE engine-generator 5</t>
        </is>
      </c>
      <c r="I4696" s="12" t="inlineStr">
        <is>
          <t>Instrumentation</t>
        </is>
      </c>
      <c r="J4696" s="12" t="inlineStr">
        <is>
          <t>Instrumentation PLTC / TC-ER 300 V, #18 twisted shielded pairs, overall shield</t>
        </is>
      </c>
      <c r="K4696" s="12" t="inlineStr">
        <is>
          <t>PLTC|1 pr|16</t>
        </is>
      </c>
      <c r="L4696" s="12" t="inlineStr">
        <is>
          <t>1 pr</t>
        </is>
      </c>
      <c r="M4696" s="12" t="inlineStr">
        <is>
          <t>16</t>
        </is>
      </c>
      <c r="N4696" s="12" t="n">
        <v>20</v>
      </c>
      <c r="O4696" s="12" t="n">
        <v>1</v>
      </c>
      <c r="P4696" s="12" t="n"/>
      <c r="Q4696" s="12" t="n"/>
      <c r="R4696" s="12" t="n"/>
      <c r="S4696" s="12" t="inlineStr">
        <is>
          <t>Tray / conduit</t>
        </is>
      </c>
      <c r="T4696" s="16" t="n">
        <v>72</v>
      </c>
      <c r="U4696" s="16" t="n">
        <v>10</v>
      </c>
      <c r="V4696" s="16">
        <f>ROUNDUP((T4696+U4696+2*'Read Me'!$B$13)*(1+'Read Me'!$B$12),-1)</f>
        <v/>
      </c>
      <c r="W4696" s="16">
        <f>V4696*N4696*O4696</f>
        <v/>
      </c>
      <c r="X4696" s="12">
        <f>IF(LEFT(I4696,2)="MV",2*N4696*IF(L4696="1/C",O4696,1),0)</f>
        <v/>
      </c>
      <c r="Y4696" s="12">
        <f>IF(OR(LEFT(K4696,4)="LVAX",LEFT(K4696,6)="MV15AX",LEFT(K4696,4)="CTAX",LEFT(K4696,2)="W|"),2*N4696*O4696,0)</f>
        <v/>
      </c>
      <c r="Z4696" s="12" t="inlineStr">
        <is>
          <t>device-to-JB field wiring, one cable per device</t>
        </is>
      </c>
      <c r="AA4696" s="12">
        <f>N4696*O4696</f>
        <v/>
      </c>
    </row>
    <row r="4697">
      <c r="A4697" s="12" t="inlineStr">
        <is>
          <t>I-I-0339</t>
        </is>
      </c>
      <c r="B4697" s="12" t="inlineStr">
        <is>
          <t>I</t>
        </is>
      </c>
      <c r="C4697" s="12" t="inlineStr">
        <is>
          <t>Modular / portable power</t>
        </is>
      </c>
      <c r="D4697" s="12" t="inlineStr">
        <is>
          <t>Home run JB-RICE-5-DI03 to the control / marshalling room</t>
        </is>
      </c>
      <c r="E4697" s="12" t="inlineStr"/>
      <c r="F4697" s="12" t="inlineStr">
        <is>
          <t>PCM: power control module</t>
        </is>
      </c>
      <c r="G4697" s="12" t="inlineStr">
        <is>
          <t>JB-RICE-5-DI03</t>
        </is>
      </c>
      <c r="H4697" s="12" t="inlineStr">
        <is>
          <t>RICE engine-generator 5</t>
        </is>
      </c>
      <c r="I4697" s="12" t="inlineStr">
        <is>
          <t>Instrumentation</t>
        </is>
      </c>
      <c r="J4697" s="12" t="inlineStr">
        <is>
          <t>Instrumentation PLTC / TC-ER 300 V, #18 twisted shielded pairs, overall shield</t>
        </is>
      </c>
      <c r="K4697" s="12" t="inlineStr">
        <is>
          <t>PLTC|24 pr|18</t>
        </is>
      </c>
      <c r="L4697" s="12" t="inlineStr">
        <is>
          <t>24 pr</t>
        </is>
      </c>
      <c r="M4697" s="12" t="inlineStr">
        <is>
          <t>18</t>
        </is>
      </c>
      <c r="N4697" s="12" t="n">
        <v>1</v>
      </c>
      <c r="O4697" s="12" t="n">
        <v>1</v>
      </c>
      <c r="P4697" s="12" t="n"/>
      <c r="Q4697" s="12" t="n"/>
      <c r="R4697" s="12" t="n"/>
      <c r="S4697" s="12" t="inlineStr">
        <is>
          <t>Duct bank</t>
        </is>
      </c>
      <c r="T4697" s="16" t="n">
        <v>367</v>
      </c>
      <c r="U4697" s="16" t="n">
        <v>208</v>
      </c>
      <c r="V4697" s="16">
        <f>ROUNDUP((T4697+U4697+2*'Read Me'!$B$13)*(1+'Read Me'!$B$12),-1)</f>
        <v/>
      </c>
      <c r="W4697" s="16">
        <f>V4697*N4697*O4697</f>
        <v/>
      </c>
      <c r="X4697" s="12">
        <f>IF(LEFT(I4697,2)="MV",2*N4697*IF(L4697="1/C",O4697,1),0)</f>
        <v/>
      </c>
      <c r="Y4697" s="12">
        <f>IF(OR(LEFT(K4697,4)="LVAX",LEFT(K4697,6)="MV15AX",LEFT(K4697,4)="CTAX",LEFT(K4697,2)="W|"),2*N4697*O4697,0)</f>
        <v/>
      </c>
      <c r="Z4697" s="12" t="inlineStr"/>
      <c r="AA4697" s="12">
        <f>N4697*O4697</f>
        <v/>
      </c>
    </row>
    <row r="4698">
      <c r="A4698" s="12" t="inlineStr">
        <is>
          <t>I-I-0340</t>
        </is>
      </c>
      <c r="B4698" s="12" t="inlineStr">
        <is>
          <t>I</t>
        </is>
      </c>
      <c r="C4698" s="12" t="inlineStr">
        <is>
          <t>Modular / portable power</t>
        </is>
      </c>
      <c r="D4698" s="12" t="inlineStr">
        <is>
          <t>Thermocouple to TC JB JB-RICE-5-TC01: 20 x 1 pr (field cables)</t>
        </is>
      </c>
      <c r="E4698" s="12" t="inlineStr">
        <is>
          <t>RICE-5</t>
        </is>
      </c>
      <c r="F4698" s="12" t="inlineStr">
        <is>
          <t>RICE engine-generator 5</t>
        </is>
      </c>
      <c r="G4698" s="12" t="inlineStr">
        <is>
          <t>JB-RICE-5-TC01</t>
        </is>
      </c>
      <c r="H4698" s="12" t="inlineStr">
        <is>
          <t>RICE engine-generator 5</t>
        </is>
      </c>
      <c r="I4698" s="12" t="inlineStr">
        <is>
          <t>Instrumentation</t>
        </is>
      </c>
      <c r="J4698" s="12" t="inlineStr">
        <is>
          <t>Thermocouple extension KX, #16 shielded pairs, PLTC</t>
        </is>
      </c>
      <c r="K4698" s="12" t="inlineStr">
        <is>
          <t>TCX|1 pr|16</t>
        </is>
      </c>
      <c r="L4698" s="12" t="inlineStr">
        <is>
          <t>1 pr</t>
        </is>
      </c>
      <c r="M4698" s="12" t="inlineStr">
        <is>
          <t>16</t>
        </is>
      </c>
      <c r="N4698" s="12" t="n">
        <v>20</v>
      </c>
      <c r="O4698" s="12" t="n">
        <v>1</v>
      </c>
      <c r="P4698" s="12" t="n"/>
      <c r="Q4698" s="12" t="n"/>
      <c r="R4698" s="12" t="n"/>
      <c r="S4698" s="12" t="inlineStr">
        <is>
          <t>Tray / conduit</t>
        </is>
      </c>
      <c r="T4698" s="16" t="n">
        <v>72</v>
      </c>
      <c r="U4698" s="16" t="n">
        <v>10</v>
      </c>
      <c r="V4698" s="16">
        <f>ROUNDUP((T4698+U4698+2*'Read Me'!$B$13)*(1+'Read Me'!$B$12),-1)</f>
        <v/>
      </c>
      <c r="W4698" s="16">
        <f>V4698*N4698*O4698</f>
        <v/>
      </c>
      <c r="X4698" s="12">
        <f>IF(LEFT(I4698,2)="MV",2*N4698*IF(L4698="1/C",O4698,1),0)</f>
        <v/>
      </c>
      <c r="Y4698" s="12">
        <f>IF(OR(LEFT(K4698,4)="LVAX",LEFT(K4698,6)="MV15AX",LEFT(K4698,4)="CTAX",LEFT(K4698,2)="W|"),2*N4698*O4698,0)</f>
        <v/>
      </c>
      <c r="Z4698" s="12" t="inlineStr">
        <is>
          <t>device-to-JB field wiring, one cable per device</t>
        </is>
      </c>
      <c r="AA4698" s="12">
        <f>N4698*O4698</f>
        <v/>
      </c>
    </row>
    <row r="4699">
      <c r="A4699" s="12" t="inlineStr">
        <is>
          <t>I-I-0341</t>
        </is>
      </c>
      <c r="B4699" s="12" t="inlineStr">
        <is>
          <t>I</t>
        </is>
      </c>
      <c r="C4699" s="12" t="inlineStr">
        <is>
          <t>Modular / portable power</t>
        </is>
      </c>
      <c r="D4699" s="12" t="inlineStr">
        <is>
          <t>Home run JB-RICE-5-TC01 to the control / marshalling room</t>
        </is>
      </c>
      <c r="E4699" s="12" t="inlineStr"/>
      <c r="F4699" s="12" t="inlineStr">
        <is>
          <t>PCM: power control module</t>
        </is>
      </c>
      <c r="G4699" s="12" t="inlineStr">
        <is>
          <t>JB-RICE-5-TC01</t>
        </is>
      </c>
      <c r="H4699" s="12" t="inlineStr">
        <is>
          <t>RICE engine-generator 5</t>
        </is>
      </c>
      <c r="I4699" s="12" t="inlineStr">
        <is>
          <t>Instrumentation</t>
        </is>
      </c>
      <c r="J4699" s="12" t="inlineStr">
        <is>
          <t>Thermocouple extension KX, #16 shielded pairs, PLTC</t>
        </is>
      </c>
      <c r="K4699" s="12" t="inlineStr">
        <is>
          <t>TCX|24 pr|16</t>
        </is>
      </c>
      <c r="L4699" s="12" t="inlineStr">
        <is>
          <t>24 pr</t>
        </is>
      </c>
      <c r="M4699" s="12" t="inlineStr">
        <is>
          <t>16</t>
        </is>
      </c>
      <c r="N4699" s="12" t="n">
        <v>1</v>
      </c>
      <c r="O4699" s="12" t="n">
        <v>1</v>
      </c>
      <c r="P4699" s="12" t="n"/>
      <c r="Q4699" s="12" t="n"/>
      <c r="R4699" s="12" t="n"/>
      <c r="S4699" s="12" t="inlineStr">
        <is>
          <t>Duct bank</t>
        </is>
      </c>
      <c r="T4699" s="16" t="n">
        <v>367</v>
      </c>
      <c r="U4699" s="16" t="n">
        <v>208</v>
      </c>
      <c r="V4699" s="16">
        <f>ROUNDUP((T4699+U4699+2*'Read Me'!$B$13)*(1+'Read Me'!$B$12),-1)</f>
        <v/>
      </c>
      <c r="W4699" s="16">
        <f>V4699*N4699*O4699</f>
        <v/>
      </c>
      <c r="X4699" s="12">
        <f>IF(LEFT(I4699,2)="MV",2*N4699*IF(L4699="1/C",O4699,1),0)</f>
        <v/>
      </c>
      <c r="Y4699" s="12">
        <f>IF(OR(LEFT(K4699,4)="LVAX",LEFT(K4699,6)="MV15AX",LEFT(K4699,4)="CTAX",LEFT(K4699,2)="W|"),2*N4699*O4699,0)</f>
        <v/>
      </c>
      <c r="Z4699" s="12" t="inlineStr"/>
      <c r="AA4699" s="12">
        <f>N4699*O4699</f>
        <v/>
      </c>
    </row>
    <row r="4700">
      <c r="A4700" s="12" t="inlineStr">
        <is>
          <t>I-I-0342</t>
        </is>
      </c>
      <c r="B4700" s="12" t="inlineStr">
        <is>
          <t>I</t>
        </is>
      </c>
      <c r="C4700" s="12" t="inlineStr">
        <is>
          <t>Modular / portable power</t>
        </is>
      </c>
      <c r="D4700" s="12" t="inlineStr">
        <is>
          <t>Thermocouple to TC JB JB-RICE-5-TC02: 10 x 1 pr (field cables)</t>
        </is>
      </c>
      <c r="E4700" s="12" t="inlineStr">
        <is>
          <t>RICE-5</t>
        </is>
      </c>
      <c r="F4700" s="12" t="inlineStr">
        <is>
          <t>RICE engine-generator 5</t>
        </is>
      </c>
      <c r="G4700" s="12" t="inlineStr">
        <is>
          <t>JB-RICE-5-TC02</t>
        </is>
      </c>
      <c r="H4700" s="12" t="inlineStr">
        <is>
          <t>RICE engine-generator 5</t>
        </is>
      </c>
      <c r="I4700" s="12" t="inlineStr">
        <is>
          <t>Instrumentation</t>
        </is>
      </c>
      <c r="J4700" s="12" t="inlineStr">
        <is>
          <t>Thermocouple extension KX, #16 shielded pairs, PLTC</t>
        </is>
      </c>
      <c r="K4700" s="12" t="inlineStr">
        <is>
          <t>TCX|1 pr|16</t>
        </is>
      </c>
      <c r="L4700" s="12" t="inlineStr">
        <is>
          <t>1 pr</t>
        </is>
      </c>
      <c r="M4700" s="12" t="inlineStr">
        <is>
          <t>16</t>
        </is>
      </c>
      <c r="N4700" s="12" t="n">
        <v>10</v>
      </c>
      <c r="O4700" s="12" t="n">
        <v>1</v>
      </c>
      <c r="P4700" s="12" t="n"/>
      <c r="Q4700" s="12" t="n"/>
      <c r="R4700" s="12" t="n"/>
      <c r="S4700" s="12" t="inlineStr">
        <is>
          <t>Tray / conduit</t>
        </is>
      </c>
      <c r="T4700" s="16" t="n">
        <v>72</v>
      </c>
      <c r="U4700" s="16" t="n">
        <v>10</v>
      </c>
      <c r="V4700" s="16">
        <f>ROUNDUP((T4700+U4700+2*'Read Me'!$B$13)*(1+'Read Me'!$B$12),-1)</f>
        <v/>
      </c>
      <c r="W4700" s="16">
        <f>V4700*N4700*O4700</f>
        <v/>
      </c>
      <c r="X4700" s="12">
        <f>IF(LEFT(I4700,2)="MV",2*N4700*IF(L4700="1/C",O4700,1),0)</f>
        <v/>
      </c>
      <c r="Y4700" s="12">
        <f>IF(OR(LEFT(K4700,4)="LVAX",LEFT(K4700,6)="MV15AX",LEFT(K4700,4)="CTAX",LEFT(K4700,2)="W|"),2*N4700*O4700,0)</f>
        <v/>
      </c>
      <c r="Z4700" s="12" t="inlineStr">
        <is>
          <t>device-to-JB field wiring, one cable per device</t>
        </is>
      </c>
      <c r="AA4700" s="12">
        <f>N4700*O4700</f>
        <v/>
      </c>
    </row>
    <row r="4701">
      <c r="A4701" s="12" t="inlineStr">
        <is>
          <t>I-I-0343</t>
        </is>
      </c>
      <c r="B4701" s="12" t="inlineStr">
        <is>
          <t>I</t>
        </is>
      </c>
      <c r="C4701" s="12" t="inlineStr">
        <is>
          <t>Modular / portable power</t>
        </is>
      </c>
      <c r="D4701" s="12" t="inlineStr">
        <is>
          <t>Home run JB-RICE-5-TC02 to the control / marshalling room</t>
        </is>
      </c>
      <c r="E4701" s="12" t="inlineStr"/>
      <c r="F4701" s="12" t="inlineStr">
        <is>
          <t>PCM: power control module</t>
        </is>
      </c>
      <c r="G4701" s="12" t="inlineStr">
        <is>
          <t>JB-RICE-5-TC02</t>
        </is>
      </c>
      <c r="H4701" s="12" t="inlineStr">
        <is>
          <t>RICE engine-generator 5</t>
        </is>
      </c>
      <c r="I4701" s="12" t="inlineStr">
        <is>
          <t>Instrumentation</t>
        </is>
      </c>
      <c r="J4701" s="12" t="inlineStr">
        <is>
          <t>Thermocouple extension KX, #16 shielded pairs, PLTC</t>
        </is>
      </c>
      <c r="K4701" s="12" t="inlineStr">
        <is>
          <t>TCX|24 pr|16</t>
        </is>
      </c>
      <c r="L4701" s="12" t="inlineStr">
        <is>
          <t>24 pr</t>
        </is>
      </c>
      <c r="M4701" s="12" t="inlineStr">
        <is>
          <t>16</t>
        </is>
      </c>
      <c r="N4701" s="12" t="n">
        <v>1</v>
      </c>
      <c r="O4701" s="12" t="n">
        <v>1</v>
      </c>
      <c r="P4701" s="12" t="n"/>
      <c r="Q4701" s="12" t="n"/>
      <c r="R4701" s="12" t="n"/>
      <c r="S4701" s="12" t="inlineStr">
        <is>
          <t>Duct bank</t>
        </is>
      </c>
      <c r="T4701" s="16" t="n">
        <v>367</v>
      </c>
      <c r="U4701" s="16" t="n">
        <v>208</v>
      </c>
      <c r="V4701" s="16">
        <f>ROUNDUP((T4701+U4701+2*'Read Me'!$B$13)*(1+'Read Me'!$B$12),-1)</f>
        <v/>
      </c>
      <c r="W4701" s="16">
        <f>V4701*N4701*O4701</f>
        <v/>
      </c>
      <c r="X4701" s="12">
        <f>IF(LEFT(I4701,2)="MV",2*N4701*IF(L4701="1/C",O4701,1),0)</f>
        <v/>
      </c>
      <c r="Y4701" s="12">
        <f>IF(OR(LEFT(K4701,4)="LVAX",LEFT(K4701,6)="MV15AX",LEFT(K4701,4)="CTAX",LEFT(K4701,2)="W|"),2*N4701*O4701,0)</f>
        <v/>
      </c>
      <c r="Z4701" s="12" t="inlineStr"/>
      <c r="AA4701" s="12">
        <f>N4701*O4701</f>
        <v/>
      </c>
    </row>
    <row r="4702">
      <c r="A4702" s="12" t="inlineStr">
        <is>
          <t>I-I-0344</t>
        </is>
      </c>
      <c r="B4702" s="12" t="inlineStr">
        <is>
          <t>I</t>
        </is>
      </c>
      <c r="C4702" s="12" t="inlineStr">
        <is>
          <t>Modular / portable power</t>
        </is>
      </c>
      <c r="D4702" s="12" t="inlineStr">
        <is>
          <t>RTD to JB JB-RICE-5-RTD01: 10 x 1 tri (field cables)</t>
        </is>
      </c>
      <c r="E4702" s="12" t="inlineStr">
        <is>
          <t>RICE-5</t>
        </is>
      </c>
      <c r="F4702" s="12" t="inlineStr">
        <is>
          <t>RICE engine-generator 5</t>
        </is>
      </c>
      <c r="G4702" s="12" t="inlineStr">
        <is>
          <t>JB-RICE-5-RTD01</t>
        </is>
      </c>
      <c r="H4702" s="12" t="inlineStr">
        <is>
          <t>RICE engine-generator 5</t>
        </is>
      </c>
      <c r="I4702" s="12" t="inlineStr">
        <is>
          <t>Instrumentation</t>
        </is>
      </c>
      <c r="J4702" s="12" t="inlineStr">
        <is>
          <t>RTD cable, #18 shielded triads, PLTC</t>
        </is>
      </c>
      <c r="K4702" s="12" t="inlineStr">
        <is>
          <t>RTD|1 tri|18</t>
        </is>
      </c>
      <c r="L4702" s="12" t="inlineStr">
        <is>
          <t>1 tri</t>
        </is>
      </c>
      <c r="M4702" s="12" t="inlineStr">
        <is>
          <t>18</t>
        </is>
      </c>
      <c r="N4702" s="12" t="n">
        <v>10</v>
      </c>
      <c r="O4702" s="12" t="n">
        <v>1</v>
      </c>
      <c r="P4702" s="12" t="n"/>
      <c r="Q4702" s="12" t="n"/>
      <c r="R4702" s="12" t="n"/>
      <c r="S4702" s="12" t="inlineStr">
        <is>
          <t>Tray / conduit</t>
        </is>
      </c>
      <c r="T4702" s="16" t="n">
        <v>72</v>
      </c>
      <c r="U4702" s="16" t="n">
        <v>10</v>
      </c>
      <c r="V4702" s="16">
        <f>ROUNDUP((T4702+U4702+2*'Read Me'!$B$13)*(1+'Read Me'!$B$12),-1)</f>
        <v/>
      </c>
      <c r="W4702" s="16">
        <f>V4702*N4702*O4702</f>
        <v/>
      </c>
      <c r="X4702" s="12">
        <f>IF(LEFT(I4702,2)="MV",2*N4702*IF(L4702="1/C",O4702,1),0)</f>
        <v/>
      </c>
      <c r="Y4702" s="12">
        <f>IF(OR(LEFT(K4702,4)="LVAX",LEFT(K4702,6)="MV15AX",LEFT(K4702,4)="CTAX",LEFT(K4702,2)="W|"),2*N4702*O4702,0)</f>
        <v/>
      </c>
      <c r="Z4702" s="12" t="inlineStr">
        <is>
          <t>device-to-JB field wiring, one cable per device</t>
        </is>
      </c>
      <c r="AA4702" s="12">
        <f>N4702*O4702</f>
        <v/>
      </c>
    </row>
    <row r="4703">
      <c r="A4703" s="12" t="inlineStr">
        <is>
          <t>I-I-0345</t>
        </is>
      </c>
      <c r="B4703" s="12" t="inlineStr">
        <is>
          <t>I</t>
        </is>
      </c>
      <c r="C4703" s="12" t="inlineStr">
        <is>
          <t>Modular / portable power</t>
        </is>
      </c>
      <c r="D4703" s="12" t="inlineStr">
        <is>
          <t>Home run JB-RICE-5-RTD01 to the control / marshalling room</t>
        </is>
      </c>
      <c r="E4703" s="12" t="inlineStr"/>
      <c r="F4703" s="12" t="inlineStr">
        <is>
          <t>PCM: power control module</t>
        </is>
      </c>
      <c r="G4703" s="12" t="inlineStr">
        <is>
          <t>JB-RICE-5-RTD01</t>
        </is>
      </c>
      <c r="H4703" s="12" t="inlineStr">
        <is>
          <t>RICE engine-generator 5</t>
        </is>
      </c>
      <c r="I4703" s="12" t="inlineStr">
        <is>
          <t>Instrumentation</t>
        </is>
      </c>
      <c r="J4703" s="12" t="inlineStr">
        <is>
          <t>RTD cable, #18 shielded triads, PLTC</t>
        </is>
      </c>
      <c r="K4703" s="12" t="inlineStr">
        <is>
          <t>RTD|12 tri|18</t>
        </is>
      </c>
      <c r="L4703" s="12" t="inlineStr">
        <is>
          <t>12 tri</t>
        </is>
      </c>
      <c r="M4703" s="12" t="inlineStr">
        <is>
          <t>18</t>
        </is>
      </c>
      <c r="N4703" s="12" t="n">
        <v>1</v>
      </c>
      <c r="O4703" s="12" t="n">
        <v>1</v>
      </c>
      <c r="P4703" s="12" t="n"/>
      <c r="Q4703" s="12" t="n"/>
      <c r="R4703" s="12" t="n"/>
      <c r="S4703" s="12" t="inlineStr">
        <is>
          <t>Duct bank</t>
        </is>
      </c>
      <c r="T4703" s="16" t="n">
        <v>367</v>
      </c>
      <c r="U4703" s="16" t="n">
        <v>208</v>
      </c>
      <c r="V4703" s="16">
        <f>ROUNDUP((T4703+U4703+2*'Read Me'!$B$13)*(1+'Read Me'!$B$12),-1)</f>
        <v/>
      </c>
      <c r="W4703" s="16">
        <f>V4703*N4703*O4703</f>
        <v/>
      </c>
      <c r="X4703" s="12">
        <f>IF(LEFT(I4703,2)="MV",2*N4703*IF(L4703="1/C",O4703,1),0)</f>
        <v/>
      </c>
      <c r="Y4703" s="12">
        <f>IF(OR(LEFT(K4703,4)="LVAX",LEFT(K4703,6)="MV15AX",LEFT(K4703,4)="CTAX",LEFT(K4703,2)="W|"),2*N4703*O4703,0)</f>
        <v/>
      </c>
      <c r="Z4703" s="12" t="inlineStr"/>
      <c r="AA4703" s="12">
        <f>N4703*O4703</f>
        <v/>
      </c>
    </row>
    <row r="4704">
      <c r="A4704" s="12" t="inlineStr">
        <is>
          <t>I-I-0346</t>
        </is>
      </c>
      <c r="B4704" s="12" t="inlineStr">
        <is>
          <t>I</t>
        </is>
      </c>
      <c r="C4704" s="12" t="inlineStr">
        <is>
          <t>Modular / portable power</t>
        </is>
      </c>
      <c r="D4704" s="12" t="inlineStr">
        <is>
          <t>RTD to JB JB-RICE-5-RTD02: 2 x 1 tri (field cables)</t>
        </is>
      </c>
      <c r="E4704" s="12" t="inlineStr">
        <is>
          <t>RICE-5</t>
        </is>
      </c>
      <c r="F4704" s="12" t="inlineStr">
        <is>
          <t>RICE engine-generator 5</t>
        </is>
      </c>
      <c r="G4704" s="12" t="inlineStr">
        <is>
          <t>JB-RICE-5-RTD02</t>
        </is>
      </c>
      <c r="H4704" s="12" t="inlineStr">
        <is>
          <t>RICE engine-generator 5</t>
        </is>
      </c>
      <c r="I4704" s="12" t="inlineStr">
        <is>
          <t>Instrumentation</t>
        </is>
      </c>
      <c r="J4704" s="12" t="inlineStr">
        <is>
          <t>RTD cable, #18 shielded triads, PLTC</t>
        </is>
      </c>
      <c r="K4704" s="12" t="inlineStr">
        <is>
          <t>RTD|1 tri|18</t>
        </is>
      </c>
      <c r="L4704" s="12" t="inlineStr">
        <is>
          <t>1 tri</t>
        </is>
      </c>
      <c r="M4704" s="12" t="inlineStr">
        <is>
          <t>18</t>
        </is>
      </c>
      <c r="N4704" s="12" t="n">
        <v>2</v>
      </c>
      <c r="O4704" s="12" t="n">
        <v>1</v>
      </c>
      <c r="P4704" s="12" t="n"/>
      <c r="Q4704" s="12" t="n"/>
      <c r="R4704" s="12" t="n"/>
      <c r="S4704" s="12" t="inlineStr">
        <is>
          <t>Tray / conduit</t>
        </is>
      </c>
      <c r="T4704" s="16" t="n">
        <v>72</v>
      </c>
      <c r="U4704" s="16" t="n">
        <v>10</v>
      </c>
      <c r="V4704" s="16">
        <f>ROUNDUP((T4704+U4704+2*'Read Me'!$B$13)*(1+'Read Me'!$B$12),-1)</f>
        <v/>
      </c>
      <c r="W4704" s="16">
        <f>V4704*N4704*O4704</f>
        <v/>
      </c>
      <c r="X4704" s="12">
        <f>IF(LEFT(I4704,2)="MV",2*N4704*IF(L4704="1/C",O4704,1),0)</f>
        <v/>
      </c>
      <c r="Y4704" s="12">
        <f>IF(OR(LEFT(K4704,4)="LVAX",LEFT(K4704,6)="MV15AX",LEFT(K4704,4)="CTAX",LEFT(K4704,2)="W|"),2*N4704*O4704,0)</f>
        <v/>
      </c>
      <c r="Z4704" s="12" t="inlineStr">
        <is>
          <t>device-to-JB field wiring, one cable per device</t>
        </is>
      </c>
      <c r="AA4704" s="12">
        <f>N4704*O4704</f>
        <v/>
      </c>
    </row>
    <row r="4705">
      <c r="A4705" s="12" t="inlineStr">
        <is>
          <t>I-I-0347</t>
        </is>
      </c>
      <c r="B4705" s="12" t="inlineStr">
        <is>
          <t>I</t>
        </is>
      </c>
      <c r="C4705" s="12" t="inlineStr">
        <is>
          <t>Modular / portable power</t>
        </is>
      </c>
      <c r="D4705" s="12" t="inlineStr">
        <is>
          <t>Home run JB-RICE-5-RTD02 to the control / marshalling room</t>
        </is>
      </c>
      <c r="E4705" s="12" t="inlineStr"/>
      <c r="F4705" s="12" t="inlineStr">
        <is>
          <t>PCM: power control module</t>
        </is>
      </c>
      <c r="G4705" s="12" t="inlineStr">
        <is>
          <t>JB-RICE-5-RTD02</t>
        </is>
      </c>
      <c r="H4705" s="12" t="inlineStr">
        <is>
          <t>RICE engine-generator 5</t>
        </is>
      </c>
      <c r="I4705" s="12" t="inlineStr">
        <is>
          <t>Instrumentation</t>
        </is>
      </c>
      <c r="J4705" s="12" t="inlineStr">
        <is>
          <t>RTD cable, #18 shielded triads, PLTC</t>
        </is>
      </c>
      <c r="K4705" s="12" t="inlineStr">
        <is>
          <t>RTD|12 tri|18</t>
        </is>
      </c>
      <c r="L4705" s="12" t="inlineStr">
        <is>
          <t>12 tri</t>
        </is>
      </c>
      <c r="M4705" s="12" t="inlineStr">
        <is>
          <t>18</t>
        </is>
      </c>
      <c r="N4705" s="12" t="n">
        <v>1</v>
      </c>
      <c r="O4705" s="12" t="n">
        <v>1</v>
      </c>
      <c r="P4705" s="12" t="n"/>
      <c r="Q4705" s="12" t="n"/>
      <c r="R4705" s="12" t="n"/>
      <c r="S4705" s="12" t="inlineStr">
        <is>
          <t>Duct bank</t>
        </is>
      </c>
      <c r="T4705" s="16" t="n">
        <v>367</v>
      </c>
      <c r="U4705" s="16" t="n">
        <v>208</v>
      </c>
      <c r="V4705" s="16">
        <f>ROUNDUP((T4705+U4705+2*'Read Me'!$B$13)*(1+'Read Me'!$B$12),-1)</f>
        <v/>
      </c>
      <c r="W4705" s="16">
        <f>V4705*N4705*O4705</f>
        <v/>
      </c>
      <c r="X4705" s="12">
        <f>IF(LEFT(I4705,2)="MV",2*N4705*IF(L4705="1/C",O4705,1),0)</f>
        <v/>
      </c>
      <c r="Y4705" s="12">
        <f>IF(OR(LEFT(K4705,4)="LVAX",LEFT(K4705,6)="MV15AX",LEFT(K4705,4)="CTAX",LEFT(K4705,2)="W|"),2*N4705*O4705,0)</f>
        <v/>
      </c>
      <c r="Z4705" s="12" t="inlineStr"/>
      <c r="AA4705" s="12">
        <f>N4705*O4705</f>
        <v/>
      </c>
    </row>
    <row r="4706">
      <c r="A4706" s="12" t="inlineStr">
        <is>
          <t>I-I-0348</t>
        </is>
      </c>
      <c r="B4706" s="12" t="inlineStr">
        <is>
          <t>I</t>
        </is>
      </c>
      <c r="C4706" s="12" t="inlineStr">
        <is>
          <t>Modular / portable power</t>
        </is>
      </c>
      <c r="D4706" s="12" t="inlineStr">
        <is>
          <t>Analog instrument to JB JB-RICE-6-AI01: 20 x 1 pr (field cables)</t>
        </is>
      </c>
      <c r="E4706" s="12" t="inlineStr">
        <is>
          <t>RICE-6</t>
        </is>
      </c>
      <c r="F4706" s="12" t="inlineStr">
        <is>
          <t>RICE engine-generator 6</t>
        </is>
      </c>
      <c r="G4706" s="12" t="inlineStr">
        <is>
          <t>JB-RICE-6-AI01</t>
        </is>
      </c>
      <c r="H4706" s="12" t="inlineStr">
        <is>
          <t>RICE engine-generator 6</t>
        </is>
      </c>
      <c r="I4706" s="12" t="inlineStr">
        <is>
          <t>Instrumentation</t>
        </is>
      </c>
      <c r="J4706" s="12" t="inlineStr">
        <is>
          <t>Instrumentation PLTC / TC-ER 300 V, #18 twisted shielded pairs, overall shield</t>
        </is>
      </c>
      <c r="K4706" s="12" t="inlineStr">
        <is>
          <t>PLTC|1 pr|16</t>
        </is>
      </c>
      <c r="L4706" s="12" t="inlineStr">
        <is>
          <t>1 pr</t>
        </is>
      </c>
      <c r="M4706" s="12" t="inlineStr">
        <is>
          <t>16</t>
        </is>
      </c>
      <c r="N4706" s="12" t="n">
        <v>20</v>
      </c>
      <c r="O4706" s="12" t="n">
        <v>1</v>
      </c>
      <c r="P4706" s="12" t="n"/>
      <c r="Q4706" s="12" t="n"/>
      <c r="R4706" s="12" t="n"/>
      <c r="S4706" s="12" t="inlineStr">
        <is>
          <t>Tray / conduit</t>
        </is>
      </c>
      <c r="T4706" s="16" t="n">
        <v>72</v>
      </c>
      <c r="U4706" s="16" t="n">
        <v>10</v>
      </c>
      <c r="V4706" s="16">
        <f>ROUNDUP((T4706+U4706+2*'Read Me'!$B$13)*(1+'Read Me'!$B$12),-1)</f>
        <v/>
      </c>
      <c r="W4706" s="16">
        <f>V4706*N4706*O4706</f>
        <v/>
      </c>
      <c r="X4706" s="12">
        <f>IF(LEFT(I4706,2)="MV",2*N4706*IF(L4706="1/C",O4706,1),0)</f>
        <v/>
      </c>
      <c r="Y4706" s="12">
        <f>IF(OR(LEFT(K4706,4)="LVAX",LEFT(K4706,6)="MV15AX",LEFT(K4706,4)="CTAX",LEFT(K4706,2)="W|"),2*N4706*O4706,0)</f>
        <v/>
      </c>
      <c r="Z4706" s="12" t="inlineStr">
        <is>
          <t>device-to-JB field wiring, one cable per device</t>
        </is>
      </c>
      <c r="AA4706" s="12">
        <f>N4706*O4706</f>
        <v/>
      </c>
    </row>
    <row r="4707">
      <c r="A4707" s="12" t="inlineStr">
        <is>
          <t>I-I-0349</t>
        </is>
      </c>
      <c r="B4707" s="12" t="inlineStr">
        <is>
          <t>I</t>
        </is>
      </c>
      <c r="C4707" s="12" t="inlineStr">
        <is>
          <t>Modular / portable power</t>
        </is>
      </c>
      <c r="D4707" s="12" t="inlineStr">
        <is>
          <t>Home run JB-RICE-6-AI01 to the control / marshalling room</t>
        </is>
      </c>
      <c r="E4707" s="12" t="inlineStr"/>
      <c r="F4707" s="12" t="inlineStr">
        <is>
          <t>PCM: power control module</t>
        </is>
      </c>
      <c r="G4707" s="12" t="inlineStr">
        <is>
          <t>JB-RICE-6-AI01</t>
        </is>
      </c>
      <c r="H4707" s="12" t="inlineStr">
        <is>
          <t>RICE engine-generator 6</t>
        </is>
      </c>
      <c r="I4707" s="12" t="inlineStr">
        <is>
          <t>Instrumentation</t>
        </is>
      </c>
      <c r="J4707" s="12" t="inlineStr">
        <is>
          <t>Instrumentation PLTC / TC-ER 300 V, #18 twisted shielded pairs, overall shield</t>
        </is>
      </c>
      <c r="K4707" s="12" t="inlineStr">
        <is>
          <t>PLTC|24 pr|18</t>
        </is>
      </c>
      <c r="L4707" s="12" t="inlineStr">
        <is>
          <t>24 pr</t>
        </is>
      </c>
      <c r="M4707" s="12" t="inlineStr">
        <is>
          <t>18</t>
        </is>
      </c>
      <c r="N4707" s="12" t="n">
        <v>1</v>
      </c>
      <c r="O4707" s="12" t="n">
        <v>1</v>
      </c>
      <c r="P4707" s="12" t="n"/>
      <c r="Q4707" s="12" t="n"/>
      <c r="R4707" s="12" t="n"/>
      <c r="S4707" s="12" t="inlineStr">
        <is>
          <t>Duct bank</t>
        </is>
      </c>
      <c r="T4707" s="16" t="n">
        <v>367</v>
      </c>
      <c r="U4707" s="16" t="n">
        <v>180</v>
      </c>
      <c r="V4707" s="16">
        <f>ROUNDUP((T4707+U4707+2*'Read Me'!$B$13)*(1+'Read Me'!$B$12),-1)</f>
        <v/>
      </c>
      <c r="W4707" s="16">
        <f>V4707*N4707*O4707</f>
        <v/>
      </c>
      <c r="X4707" s="12">
        <f>IF(LEFT(I4707,2)="MV",2*N4707*IF(L4707="1/C",O4707,1),0)</f>
        <v/>
      </c>
      <c r="Y4707" s="12">
        <f>IF(OR(LEFT(K4707,4)="LVAX",LEFT(K4707,6)="MV15AX",LEFT(K4707,4)="CTAX",LEFT(K4707,2)="W|"),2*N4707*O4707,0)</f>
        <v/>
      </c>
      <c r="Z4707" s="12" t="inlineStr"/>
      <c r="AA4707" s="12">
        <f>N4707*O4707</f>
        <v/>
      </c>
    </row>
    <row r="4708">
      <c r="A4708" s="12" t="inlineStr">
        <is>
          <t>I-I-0350</t>
        </is>
      </c>
      <c r="B4708" s="12" t="inlineStr">
        <is>
          <t>I</t>
        </is>
      </c>
      <c r="C4708" s="12" t="inlineStr">
        <is>
          <t>Modular / portable power</t>
        </is>
      </c>
      <c r="D4708" s="12" t="inlineStr">
        <is>
          <t>Analog instrument to JB JB-RICE-6-AI02: 20 x 1 pr (field cables)</t>
        </is>
      </c>
      <c r="E4708" s="12" t="inlineStr">
        <is>
          <t>RICE-6</t>
        </is>
      </c>
      <c r="F4708" s="12" t="inlineStr">
        <is>
          <t>RICE engine-generator 6</t>
        </is>
      </c>
      <c r="G4708" s="12" t="inlineStr">
        <is>
          <t>JB-RICE-6-AI02</t>
        </is>
      </c>
      <c r="H4708" s="12" t="inlineStr">
        <is>
          <t>RICE engine-generator 6</t>
        </is>
      </c>
      <c r="I4708" s="12" t="inlineStr">
        <is>
          <t>Instrumentation</t>
        </is>
      </c>
      <c r="J4708" s="12" t="inlineStr">
        <is>
          <t>Instrumentation PLTC / TC-ER 300 V, #18 twisted shielded pairs, overall shield</t>
        </is>
      </c>
      <c r="K4708" s="12" t="inlineStr">
        <is>
          <t>PLTC|1 pr|16</t>
        </is>
      </c>
      <c r="L4708" s="12" t="inlineStr">
        <is>
          <t>1 pr</t>
        </is>
      </c>
      <c r="M4708" s="12" t="inlineStr">
        <is>
          <t>16</t>
        </is>
      </c>
      <c r="N4708" s="12" t="n">
        <v>20</v>
      </c>
      <c r="O4708" s="12" t="n">
        <v>1</v>
      </c>
      <c r="P4708" s="12" t="n"/>
      <c r="Q4708" s="12" t="n"/>
      <c r="R4708" s="12" t="n"/>
      <c r="S4708" s="12" t="inlineStr">
        <is>
          <t>Tray / conduit</t>
        </is>
      </c>
      <c r="T4708" s="16" t="n">
        <v>72</v>
      </c>
      <c r="U4708" s="16" t="n">
        <v>10</v>
      </c>
      <c r="V4708" s="16">
        <f>ROUNDUP((T4708+U4708+2*'Read Me'!$B$13)*(1+'Read Me'!$B$12),-1)</f>
        <v/>
      </c>
      <c r="W4708" s="16">
        <f>V4708*N4708*O4708</f>
        <v/>
      </c>
      <c r="X4708" s="12">
        <f>IF(LEFT(I4708,2)="MV",2*N4708*IF(L4708="1/C",O4708,1),0)</f>
        <v/>
      </c>
      <c r="Y4708" s="12">
        <f>IF(OR(LEFT(K4708,4)="LVAX",LEFT(K4708,6)="MV15AX",LEFT(K4708,4)="CTAX",LEFT(K4708,2)="W|"),2*N4708*O4708,0)</f>
        <v/>
      </c>
      <c r="Z4708" s="12" t="inlineStr">
        <is>
          <t>device-to-JB field wiring, one cable per device</t>
        </is>
      </c>
      <c r="AA4708" s="12">
        <f>N4708*O4708</f>
        <v/>
      </c>
    </row>
    <row r="4709">
      <c r="A4709" s="12" t="inlineStr">
        <is>
          <t>I-I-0351</t>
        </is>
      </c>
      <c r="B4709" s="12" t="inlineStr">
        <is>
          <t>I</t>
        </is>
      </c>
      <c r="C4709" s="12" t="inlineStr">
        <is>
          <t>Modular / portable power</t>
        </is>
      </c>
      <c r="D4709" s="12" t="inlineStr">
        <is>
          <t>Home run JB-RICE-6-AI02 to the control / marshalling room</t>
        </is>
      </c>
      <c r="E4709" s="12" t="inlineStr"/>
      <c r="F4709" s="12" t="inlineStr">
        <is>
          <t>PCM: power control module</t>
        </is>
      </c>
      <c r="G4709" s="12" t="inlineStr">
        <is>
          <t>JB-RICE-6-AI02</t>
        </is>
      </c>
      <c r="H4709" s="12" t="inlineStr">
        <is>
          <t>RICE engine-generator 6</t>
        </is>
      </c>
      <c r="I4709" s="12" t="inlineStr">
        <is>
          <t>Instrumentation</t>
        </is>
      </c>
      <c r="J4709" s="12" t="inlineStr">
        <is>
          <t>Instrumentation PLTC / TC-ER 300 V, #18 twisted shielded pairs, overall shield</t>
        </is>
      </c>
      <c r="K4709" s="12" t="inlineStr">
        <is>
          <t>PLTC|24 pr|18</t>
        </is>
      </c>
      <c r="L4709" s="12" t="inlineStr">
        <is>
          <t>24 pr</t>
        </is>
      </c>
      <c r="M4709" s="12" t="inlineStr">
        <is>
          <t>18</t>
        </is>
      </c>
      <c r="N4709" s="12" t="n">
        <v>1</v>
      </c>
      <c r="O4709" s="12" t="n">
        <v>1</v>
      </c>
      <c r="P4709" s="12" t="n"/>
      <c r="Q4709" s="12" t="n"/>
      <c r="R4709" s="12" t="n"/>
      <c r="S4709" s="12" t="inlineStr">
        <is>
          <t>Duct bank</t>
        </is>
      </c>
      <c r="T4709" s="16" t="n">
        <v>367</v>
      </c>
      <c r="U4709" s="16" t="n">
        <v>180</v>
      </c>
      <c r="V4709" s="16">
        <f>ROUNDUP((T4709+U4709+2*'Read Me'!$B$13)*(1+'Read Me'!$B$12),-1)</f>
        <v/>
      </c>
      <c r="W4709" s="16">
        <f>V4709*N4709*O4709</f>
        <v/>
      </c>
      <c r="X4709" s="12">
        <f>IF(LEFT(I4709,2)="MV",2*N4709*IF(L4709="1/C",O4709,1),0)</f>
        <v/>
      </c>
      <c r="Y4709" s="12">
        <f>IF(OR(LEFT(K4709,4)="LVAX",LEFT(K4709,6)="MV15AX",LEFT(K4709,4)="CTAX",LEFT(K4709,2)="W|"),2*N4709*O4709,0)</f>
        <v/>
      </c>
      <c r="Z4709" s="12" t="inlineStr"/>
      <c r="AA4709" s="12">
        <f>N4709*O4709</f>
        <v/>
      </c>
    </row>
    <row r="4710">
      <c r="A4710" s="12" t="inlineStr">
        <is>
          <t>I-I-0352</t>
        </is>
      </c>
      <c r="B4710" s="12" t="inlineStr">
        <is>
          <t>I</t>
        </is>
      </c>
      <c r="C4710" s="12" t="inlineStr">
        <is>
          <t>Modular / portable power</t>
        </is>
      </c>
      <c r="D4710" s="12" t="inlineStr">
        <is>
          <t>Analog instrument to JB JB-RICE-6-AI03: 20 x 1 pr (field cables)</t>
        </is>
      </c>
      <c r="E4710" s="12" t="inlineStr">
        <is>
          <t>RICE-6</t>
        </is>
      </c>
      <c r="F4710" s="12" t="inlineStr">
        <is>
          <t>RICE engine-generator 6</t>
        </is>
      </c>
      <c r="G4710" s="12" t="inlineStr">
        <is>
          <t>JB-RICE-6-AI03</t>
        </is>
      </c>
      <c r="H4710" s="12" t="inlineStr">
        <is>
          <t>RICE engine-generator 6</t>
        </is>
      </c>
      <c r="I4710" s="12" t="inlineStr">
        <is>
          <t>Instrumentation</t>
        </is>
      </c>
      <c r="J4710" s="12" t="inlineStr">
        <is>
          <t>Instrumentation PLTC / TC-ER 300 V, #18 twisted shielded pairs, overall shield</t>
        </is>
      </c>
      <c r="K4710" s="12" t="inlineStr">
        <is>
          <t>PLTC|1 pr|16</t>
        </is>
      </c>
      <c r="L4710" s="12" t="inlineStr">
        <is>
          <t>1 pr</t>
        </is>
      </c>
      <c r="M4710" s="12" t="inlineStr">
        <is>
          <t>16</t>
        </is>
      </c>
      <c r="N4710" s="12" t="n">
        <v>20</v>
      </c>
      <c r="O4710" s="12" t="n">
        <v>1</v>
      </c>
      <c r="P4710" s="12" t="n"/>
      <c r="Q4710" s="12" t="n"/>
      <c r="R4710" s="12" t="n"/>
      <c r="S4710" s="12" t="inlineStr">
        <is>
          <t>Tray / conduit</t>
        </is>
      </c>
      <c r="T4710" s="16" t="n">
        <v>72</v>
      </c>
      <c r="U4710" s="16" t="n">
        <v>10</v>
      </c>
      <c r="V4710" s="16">
        <f>ROUNDUP((T4710+U4710+2*'Read Me'!$B$13)*(1+'Read Me'!$B$12),-1)</f>
        <v/>
      </c>
      <c r="W4710" s="16">
        <f>V4710*N4710*O4710</f>
        <v/>
      </c>
      <c r="X4710" s="12">
        <f>IF(LEFT(I4710,2)="MV",2*N4710*IF(L4710="1/C",O4710,1),0)</f>
        <v/>
      </c>
      <c r="Y4710" s="12">
        <f>IF(OR(LEFT(K4710,4)="LVAX",LEFT(K4710,6)="MV15AX",LEFT(K4710,4)="CTAX",LEFT(K4710,2)="W|"),2*N4710*O4710,0)</f>
        <v/>
      </c>
      <c r="Z4710" s="12" t="inlineStr">
        <is>
          <t>device-to-JB field wiring, one cable per device</t>
        </is>
      </c>
      <c r="AA4710" s="12">
        <f>N4710*O4710</f>
        <v/>
      </c>
    </row>
    <row r="4711">
      <c r="A4711" s="12" t="inlineStr">
        <is>
          <t>I-I-0353</t>
        </is>
      </c>
      <c r="B4711" s="12" t="inlineStr">
        <is>
          <t>I</t>
        </is>
      </c>
      <c r="C4711" s="12" t="inlineStr">
        <is>
          <t>Modular / portable power</t>
        </is>
      </c>
      <c r="D4711" s="12" t="inlineStr">
        <is>
          <t>Home run JB-RICE-6-AI03 to the control / marshalling room</t>
        </is>
      </c>
      <c r="E4711" s="12" t="inlineStr"/>
      <c r="F4711" s="12" t="inlineStr">
        <is>
          <t>PCM: power control module</t>
        </is>
      </c>
      <c r="G4711" s="12" t="inlineStr">
        <is>
          <t>JB-RICE-6-AI03</t>
        </is>
      </c>
      <c r="H4711" s="12" t="inlineStr">
        <is>
          <t>RICE engine-generator 6</t>
        </is>
      </c>
      <c r="I4711" s="12" t="inlineStr">
        <is>
          <t>Instrumentation</t>
        </is>
      </c>
      <c r="J4711" s="12" t="inlineStr">
        <is>
          <t>Instrumentation PLTC / TC-ER 300 V, #18 twisted shielded pairs, overall shield</t>
        </is>
      </c>
      <c r="K4711" s="12" t="inlineStr">
        <is>
          <t>PLTC|24 pr|18</t>
        </is>
      </c>
      <c r="L4711" s="12" t="inlineStr">
        <is>
          <t>24 pr</t>
        </is>
      </c>
      <c r="M4711" s="12" t="inlineStr">
        <is>
          <t>18</t>
        </is>
      </c>
      <c r="N4711" s="12" t="n">
        <v>1</v>
      </c>
      <c r="O4711" s="12" t="n">
        <v>1</v>
      </c>
      <c r="P4711" s="12" t="n"/>
      <c r="Q4711" s="12" t="n"/>
      <c r="R4711" s="12" t="n"/>
      <c r="S4711" s="12" t="inlineStr">
        <is>
          <t>Duct bank</t>
        </is>
      </c>
      <c r="T4711" s="16" t="n">
        <v>367</v>
      </c>
      <c r="U4711" s="16" t="n">
        <v>180</v>
      </c>
      <c r="V4711" s="16">
        <f>ROUNDUP((T4711+U4711+2*'Read Me'!$B$13)*(1+'Read Me'!$B$12),-1)</f>
        <v/>
      </c>
      <c r="W4711" s="16">
        <f>V4711*N4711*O4711</f>
        <v/>
      </c>
      <c r="X4711" s="12">
        <f>IF(LEFT(I4711,2)="MV",2*N4711*IF(L4711="1/C",O4711,1),0)</f>
        <v/>
      </c>
      <c r="Y4711" s="12">
        <f>IF(OR(LEFT(K4711,4)="LVAX",LEFT(K4711,6)="MV15AX",LEFT(K4711,4)="CTAX",LEFT(K4711,2)="W|"),2*N4711*O4711,0)</f>
        <v/>
      </c>
      <c r="Z4711" s="12" t="inlineStr"/>
      <c r="AA4711" s="12">
        <f>N4711*O4711</f>
        <v/>
      </c>
    </row>
    <row r="4712">
      <c r="A4712" s="12" t="inlineStr">
        <is>
          <t>I-I-0354</t>
        </is>
      </c>
      <c r="B4712" s="12" t="inlineStr">
        <is>
          <t>I</t>
        </is>
      </c>
      <c r="C4712" s="12" t="inlineStr">
        <is>
          <t>Modular / portable power</t>
        </is>
      </c>
      <c r="D4712" s="12" t="inlineStr">
        <is>
          <t>Analog instrument to JB JB-RICE-6-AI04: 20 x 1 pr (field cables)</t>
        </is>
      </c>
      <c r="E4712" s="12" t="inlineStr">
        <is>
          <t>RICE-6</t>
        </is>
      </c>
      <c r="F4712" s="12" t="inlineStr">
        <is>
          <t>RICE engine-generator 6</t>
        </is>
      </c>
      <c r="G4712" s="12" t="inlineStr">
        <is>
          <t>JB-RICE-6-AI04</t>
        </is>
      </c>
      <c r="H4712" s="12" t="inlineStr">
        <is>
          <t>RICE engine-generator 6</t>
        </is>
      </c>
      <c r="I4712" s="12" t="inlineStr">
        <is>
          <t>Instrumentation</t>
        </is>
      </c>
      <c r="J4712" s="12" t="inlineStr">
        <is>
          <t>Instrumentation PLTC / TC-ER 300 V, #18 twisted shielded pairs, overall shield</t>
        </is>
      </c>
      <c r="K4712" s="12" t="inlineStr">
        <is>
          <t>PLTC|1 pr|16</t>
        </is>
      </c>
      <c r="L4712" s="12" t="inlineStr">
        <is>
          <t>1 pr</t>
        </is>
      </c>
      <c r="M4712" s="12" t="inlineStr">
        <is>
          <t>16</t>
        </is>
      </c>
      <c r="N4712" s="12" t="n">
        <v>20</v>
      </c>
      <c r="O4712" s="12" t="n">
        <v>1</v>
      </c>
      <c r="P4712" s="12" t="n"/>
      <c r="Q4712" s="12" t="n"/>
      <c r="R4712" s="12" t="n"/>
      <c r="S4712" s="12" t="inlineStr">
        <is>
          <t>Tray / conduit</t>
        </is>
      </c>
      <c r="T4712" s="16" t="n">
        <v>72</v>
      </c>
      <c r="U4712" s="16" t="n">
        <v>10</v>
      </c>
      <c r="V4712" s="16">
        <f>ROUNDUP((T4712+U4712+2*'Read Me'!$B$13)*(1+'Read Me'!$B$12),-1)</f>
        <v/>
      </c>
      <c r="W4712" s="16">
        <f>V4712*N4712*O4712</f>
        <v/>
      </c>
      <c r="X4712" s="12">
        <f>IF(LEFT(I4712,2)="MV",2*N4712*IF(L4712="1/C",O4712,1),0)</f>
        <v/>
      </c>
      <c r="Y4712" s="12">
        <f>IF(OR(LEFT(K4712,4)="LVAX",LEFT(K4712,6)="MV15AX",LEFT(K4712,4)="CTAX",LEFT(K4712,2)="W|"),2*N4712*O4712,0)</f>
        <v/>
      </c>
      <c r="Z4712" s="12" t="inlineStr">
        <is>
          <t>device-to-JB field wiring, one cable per device</t>
        </is>
      </c>
      <c r="AA4712" s="12">
        <f>N4712*O4712</f>
        <v/>
      </c>
    </row>
    <row r="4713">
      <c r="A4713" s="12" t="inlineStr">
        <is>
          <t>I-I-0355</t>
        </is>
      </c>
      <c r="B4713" s="12" t="inlineStr">
        <is>
          <t>I</t>
        </is>
      </c>
      <c r="C4713" s="12" t="inlineStr">
        <is>
          <t>Modular / portable power</t>
        </is>
      </c>
      <c r="D4713" s="12" t="inlineStr">
        <is>
          <t>Home run JB-RICE-6-AI04 to the control / marshalling room</t>
        </is>
      </c>
      <c r="E4713" s="12" t="inlineStr"/>
      <c r="F4713" s="12" t="inlineStr">
        <is>
          <t>PCM: power control module</t>
        </is>
      </c>
      <c r="G4713" s="12" t="inlineStr">
        <is>
          <t>JB-RICE-6-AI04</t>
        </is>
      </c>
      <c r="H4713" s="12" t="inlineStr">
        <is>
          <t>RICE engine-generator 6</t>
        </is>
      </c>
      <c r="I4713" s="12" t="inlineStr">
        <is>
          <t>Instrumentation</t>
        </is>
      </c>
      <c r="J4713" s="12" t="inlineStr">
        <is>
          <t>Instrumentation PLTC / TC-ER 300 V, #18 twisted shielded pairs, overall shield</t>
        </is>
      </c>
      <c r="K4713" s="12" t="inlineStr">
        <is>
          <t>PLTC|24 pr|18</t>
        </is>
      </c>
      <c r="L4713" s="12" t="inlineStr">
        <is>
          <t>24 pr</t>
        </is>
      </c>
      <c r="M4713" s="12" t="inlineStr">
        <is>
          <t>18</t>
        </is>
      </c>
      <c r="N4713" s="12" t="n">
        <v>1</v>
      </c>
      <c r="O4713" s="12" t="n">
        <v>1</v>
      </c>
      <c r="P4713" s="12" t="n"/>
      <c r="Q4713" s="12" t="n"/>
      <c r="R4713" s="12" t="n"/>
      <c r="S4713" s="12" t="inlineStr">
        <is>
          <t>Duct bank</t>
        </is>
      </c>
      <c r="T4713" s="16" t="n">
        <v>367</v>
      </c>
      <c r="U4713" s="16" t="n">
        <v>180</v>
      </c>
      <c r="V4713" s="16">
        <f>ROUNDUP((T4713+U4713+2*'Read Me'!$B$13)*(1+'Read Me'!$B$12),-1)</f>
        <v/>
      </c>
      <c r="W4713" s="16">
        <f>V4713*N4713*O4713</f>
        <v/>
      </c>
      <c r="X4713" s="12">
        <f>IF(LEFT(I4713,2)="MV",2*N4713*IF(L4713="1/C",O4713,1),0)</f>
        <v/>
      </c>
      <c r="Y4713" s="12">
        <f>IF(OR(LEFT(K4713,4)="LVAX",LEFT(K4713,6)="MV15AX",LEFT(K4713,4)="CTAX",LEFT(K4713,2)="W|"),2*N4713*O4713,0)</f>
        <v/>
      </c>
      <c r="Z4713" s="12" t="inlineStr"/>
      <c r="AA4713" s="12">
        <f>N4713*O4713</f>
        <v/>
      </c>
    </row>
    <row r="4714">
      <c r="A4714" s="12" t="inlineStr">
        <is>
          <t>I-I-0356</t>
        </is>
      </c>
      <c r="B4714" s="12" t="inlineStr">
        <is>
          <t>I</t>
        </is>
      </c>
      <c r="C4714" s="12" t="inlineStr">
        <is>
          <t>Modular / portable power</t>
        </is>
      </c>
      <c r="D4714" s="12" t="inlineStr">
        <is>
          <t>Discrete device to JB JB-RICE-6-DI01: 20 x 1 pr (field cables)</t>
        </is>
      </c>
      <c r="E4714" s="12" t="inlineStr">
        <is>
          <t>RICE-6</t>
        </is>
      </c>
      <c r="F4714" s="12" t="inlineStr">
        <is>
          <t>RICE engine-generator 6</t>
        </is>
      </c>
      <c r="G4714" s="12" t="inlineStr">
        <is>
          <t>JB-RICE-6-DI01</t>
        </is>
      </c>
      <c r="H4714" s="12" t="inlineStr">
        <is>
          <t>RICE engine-generator 6</t>
        </is>
      </c>
      <c r="I4714" s="12" t="inlineStr">
        <is>
          <t>Instrumentation</t>
        </is>
      </c>
      <c r="J4714" s="12" t="inlineStr">
        <is>
          <t>Instrumentation PLTC / TC-ER 300 V, #18 twisted shielded pairs, overall shield</t>
        </is>
      </c>
      <c r="K4714" s="12" t="inlineStr">
        <is>
          <t>PLTC|1 pr|16</t>
        </is>
      </c>
      <c r="L4714" s="12" t="inlineStr">
        <is>
          <t>1 pr</t>
        </is>
      </c>
      <c r="M4714" s="12" t="inlineStr">
        <is>
          <t>16</t>
        </is>
      </c>
      <c r="N4714" s="12" t="n">
        <v>20</v>
      </c>
      <c r="O4714" s="12" t="n">
        <v>1</v>
      </c>
      <c r="P4714" s="12" t="n"/>
      <c r="Q4714" s="12" t="n"/>
      <c r="R4714" s="12" t="n"/>
      <c r="S4714" s="12" t="inlineStr">
        <is>
          <t>Tray / conduit</t>
        </is>
      </c>
      <c r="T4714" s="16" t="n">
        <v>72</v>
      </c>
      <c r="U4714" s="16" t="n">
        <v>10</v>
      </c>
      <c r="V4714" s="16">
        <f>ROUNDUP((T4714+U4714+2*'Read Me'!$B$13)*(1+'Read Me'!$B$12),-1)</f>
        <v/>
      </c>
      <c r="W4714" s="16">
        <f>V4714*N4714*O4714</f>
        <v/>
      </c>
      <c r="X4714" s="12">
        <f>IF(LEFT(I4714,2)="MV",2*N4714*IF(L4714="1/C",O4714,1),0)</f>
        <v/>
      </c>
      <c r="Y4714" s="12">
        <f>IF(OR(LEFT(K4714,4)="LVAX",LEFT(K4714,6)="MV15AX",LEFT(K4714,4)="CTAX",LEFT(K4714,2)="W|"),2*N4714*O4714,0)</f>
        <v/>
      </c>
      <c r="Z4714" s="12" t="inlineStr">
        <is>
          <t>device-to-JB field wiring, one cable per device</t>
        </is>
      </c>
      <c r="AA4714" s="12">
        <f>N4714*O4714</f>
        <v/>
      </c>
    </row>
    <row r="4715">
      <c r="A4715" s="12" t="inlineStr">
        <is>
          <t>I-I-0357</t>
        </is>
      </c>
      <c r="B4715" s="12" t="inlineStr">
        <is>
          <t>I</t>
        </is>
      </c>
      <c r="C4715" s="12" t="inlineStr">
        <is>
          <t>Modular / portable power</t>
        </is>
      </c>
      <c r="D4715" s="12" t="inlineStr">
        <is>
          <t>Home run JB-RICE-6-DI01 to the control / marshalling room</t>
        </is>
      </c>
      <c r="E4715" s="12" t="inlineStr"/>
      <c r="F4715" s="12" t="inlineStr">
        <is>
          <t>PCM: power control module</t>
        </is>
      </c>
      <c r="G4715" s="12" t="inlineStr">
        <is>
          <t>JB-RICE-6-DI01</t>
        </is>
      </c>
      <c r="H4715" s="12" t="inlineStr">
        <is>
          <t>RICE engine-generator 6</t>
        </is>
      </c>
      <c r="I4715" s="12" t="inlineStr">
        <is>
          <t>Instrumentation</t>
        </is>
      </c>
      <c r="J4715" s="12" t="inlineStr">
        <is>
          <t>Instrumentation PLTC / TC-ER 300 V, #18 twisted shielded pairs, overall shield</t>
        </is>
      </c>
      <c r="K4715" s="12" t="inlineStr">
        <is>
          <t>PLTC|24 pr|18</t>
        </is>
      </c>
      <c r="L4715" s="12" t="inlineStr">
        <is>
          <t>24 pr</t>
        </is>
      </c>
      <c r="M4715" s="12" t="inlineStr">
        <is>
          <t>18</t>
        </is>
      </c>
      <c r="N4715" s="12" t="n">
        <v>1</v>
      </c>
      <c r="O4715" s="12" t="n">
        <v>1</v>
      </c>
      <c r="P4715" s="12" t="n"/>
      <c r="Q4715" s="12" t="n"/>
      <c r="R4715" s="12" t="n"/>
      <c r="S4715" s="12" t="inlineStr">
        <is>
          <t>Duct bank</t>
        </is>
      </c>
      <c r="T4715" s="16" t="n">
        <v>367</v>
      </c>
      <c r="U4715" s="16" t="n">
        <v>180</v>
      </c>
      <c r="V4715" s="16">
        <f>ROUNDUP((T4715+U4715+2*'Read Me'!$B$13)*(1+'Read Me'!$B$12),-1)</f>
        <v/>
      </c>
      <c r="W4715" s="16">
        <f>V4715*N4715*O4715</f>
        <v/>
      </c>
      <c r="X4715" s="12">
        <f>IF(LEFT(I4715,2)="MV",2*N4715*IF(L4715="1/C",O4715,1),0)</f>
        <v/>
      </c>
      <c r="Y4715" s="12">
        <f>IF(OR(LEFT(K4715,4)="LVAX",LEFT(K4715,6)="MV15AX",LEFT(K4715,4)="CTAX",LEFT(K4715,2)="W|"),2*N4715*O4715,0)</f>
        <v/>
      </c>
      <c r="Z4715" s="12" t="inlineStr"/>
      <c r="AA4715" s="12">
        <f>N4715*O4715</f>
        <v/>
      </c>
    </row>
    <row r="4716">
      <c r="A4716" s="12" t="inlineStr">
        <is>
          <t>I-I-0358</t>
        </is>
      </c>
      <c r="B4716" s="12" t="inlineStr">
        <is>
          <t>I</t>
        </is>
      </c>
      <c r="C4716" s="12" t="inlineStr">
        <is>
          <t>Modular / portable power</t>
        </is>
      </c>
      <c r="D4716" s="12" t="inlineStr">
        <is>
          <t>Discrete device to JB JB-RICE-6-DI02: 20 x 1 pr (field cables)</t>
        </is>
      </c>
      <c r="E4716" s="12" t="inlineStr">
        <is>
          <t>RICE-6</t>
        </is>
      </c>
      <c r="F4716" s="12" t="inlineStr">
        <is>
          <t>RICE engine-generator 6</t>
        </is>
      </c>
      <c r="G4716" s="12" t="inlineStr">
        <is>
          <t>JB-RICE-6-DI02</t>
        </is>
      </c>
      <c r="H4716" s="12" t="inlineStr">
        <is>
          <t>RICE engine-generator 6</t>
        </is>
      </c>
      <c r="I4716" s="12" t="inlineStr">
        <is>
          <t>Instrumentation</t>
        </is>
      </c>
      <c r="J4716" s="12" t="inlineStr">
        <is>
          <t>Instrumentation PLTC / TC-ER 300 V, #18 twisted shielded pairs, overall shield</t>
        </is>
      </c>
      <c r="K4716" s="12" t="inlineStr">
        <is>
          <t>PLTC|1 pr|16</t>
        </is>
      </c>
      <c r="L4716" s="12" t="inlineStr">
        <is>
          <t>1 pr</t>
        </is>
      </c>
      <c r="M4716" s="12" t="inlineStr">
        <is>
          <t>16</t>
        </is>
      </c>
      <c r="N4716" s="12" t="n">
        <v>20</v>
      </c>
      <c r="O4716" s="12" t="n">
        <v>1</v>
      </c>
      <c r="P4716" s="12" t="n"/>
      <c r="Q4716" s="12" t="n"/>
      <c r="R4716" s="12" t="n"/>
      <c r="S4716" s="12" t="inlineStr">
        <is>
          <t>Tray / conduit</t>
        </is>
      </c>
      <c r="T4716" s="16" t="n">
        <v>72</v>
      </c>
      <c r="U4716" s="16" t="n">
        <v>10</v>
      </c>
      <c r="V4716" s="16">
        <f>ROUNDUP((T4716+U4716+2*'Read Me'!$B$13)*(1+'Read Me'!$B$12),-1)</f>
        <v/>
      </c>
      <c r="W4716" s="16">
        <f>V4716*N4716*O4716</f>
        <v/>
      </c>
      <c r="X4716" s="12">
        <f>IF(LEFT(I4716,2)="MV",2*N4716*IF(L4716="1/C",O4716,1),0)</f>
        <v/>
      </c>
      <c r="Y4716" s="12">
        <f>IF(OR(LEFT(K4716,4)="LVAX",LEFT(K4716,6)="MV15AX",LEFT(K4716,4)="CTAX",LEFT(K4716,2)="W|"),2*N4716*O4716,0)</f>
        <v/>
      </c>
      <c r="Z4716" s="12" t="inlineStr">
        <is>
          <t>device-to-JB field wiring, one cable per device</t>
        </is>
      </c>
      <c r="AA4716" s="12">
        <f>N4716*O4716</f>
        <v/>
      </c>
    </row>
    <row r="4717">
      <c r="A4717" s="12" t="inlineStr">
        <is>
          <t>I-I-0359</t>
        </is>
      </c>
      <c r="B4717" s="12" t="inlineStr">
        <is>
          <t>I</t>
        </is>
      </c>
      <c r="C4717" s="12" t="inlineStr">
        <is>
          <t>Modular / portable power</t>
        </is>
      </c>
      <c r="D4717" s="12" t="inlineStr">
        <is>
          <t>Home run JB-RICE-6-DI02 to the control / marshalling room</t>
        </is>
      </c>
      <c r="E4717" s="12" t="inlineStr"/>
      <c r="F4717" s="12" t="inlineStr">
        <is>
          <t>PCM: power control module</t>
        </is>
      </c>
      <c r="G4717" s="12" t="inlineStr">
        <is>
          <t>JB-RICE-6-DI02</t>
        </is>
      </c>
      <c r="H4717" s="12" t="inlineStr">
        <is>
          <t>RICE engine-generator 6</t>
        </is>
      </c>
      <c r="I4717" s="12" t="inlineStr">
        <is>
          <t>Instrumentation</t>
        </is>
      </c>
      <c r="J4717" s="12" t="inlineStr">
        <is>
          <t>Instrumentation PLTC / TC-ER 300 V, #18 twisted shielded pairs, overall shield</t>
        </is>
      </c>
      <c r="K4717" s="12" t="inlineStr">
        <is>
          <t>PLTC|24 pr|18</t>
        </is>
      </c>
      <c r="L4717" s="12" t="inlineStr">
        <is>
          <t>24 pr</t>
        </is>
      </c>
      <c r="M4717" s="12" t="inlineStr">
        <is>
          <t>18</t>
        </is>
      </c>
      <c r="N4717" s="12" t="n">
        <v>1</v>
      </c>
      <c r="O4717" s="12" t="n">
        <v>1</v>
      </c>
      <c r="P4717" s="12" t="n"/>
      <c r="Q4717" s="12" t="n"/>
      <c r="R4717" s="12" t="n"/>
      <c r="S4717" s="12" t="inlineStr">
        <is>
          <t>Duct bank</t>
        </is>
      </c>
      <c r="T4717" s="16" t="n">
        <v>367</v>
      </c>
      <c r="U4717" s="16" t="n">
        <v>180</v>
      </c>
      <c r="V4717" s="16">
        <f>ROUNDUP((T4717+U4717+2*'Read Me'!$B$13)*(1+'Read Me'!$B$12),-1)</f>
        <v/>
      </c>
      <c r="W4717" s="16">
        <f>V4717*N4717*O4717</f>
        <v/>
      </c>
      <c r="X4717" s="12">
        <f>IF(LEFT(I4717,2)="MV",2*N4717*IF(L4717="1/C",O4717,1),0)</f>
        <v/>
      </c>
      <c r="Y4717" s="12">
        <f>IF(OR(LEFT(K4717,4)="LVAX",LEFT(K4717,6)="MV15AX",LEFT(K4717,4)="CTAX",LEFT(K4717,2)="W|"),2*N4717*O4717,0)</f>
        <v/>
      </c>
      <c r="Z4717" s="12" t="inlineStr"/>
      <c r="AA4717" s="12">
        <f>N4717*O4717</f>
        <v/>
      </c>
    </row>
    <row r="4718">
      <c r="A4718" s="12" t="inlineStr">
        <is>
          <t>I-I-0360</t>
        </is>
      </c>
      <c r="B4718" s="12" t="inlineStr">
        <is>
          <t>I</t>
        </is>
      </c>
      <c r="C4718" s="12" t="inlineStr">
        <is>
          <t>Modular / portable power</t>
        </is>
      </c>
      <c r="D4718" s="12" t="inlineStr">
        <is>
          <t>Discrete device to JB JB-RICE-6-DI03: 20 x 1 pr (field cables)</t>
        </is>
      </c>
      <c r="E4718" s="12" t="inlineStr">
        <is>
          <t>RICE-6</t>
        </is>
      </c>
      <c r="F4718" s="12" t="inlineStr">
        <is>
          <t>RICE engine-generator 6</t>
        </is>
      </c>
      <c r="G4718" s="12" t="inlineStr">
        <is>
          <t>JB-RICE-6-DI03</t>
        </is>
      </c>
      <c r="H4718" s="12" t="inlineStr">
        <is>
          <t>RICE engine-generator 6</t>
        </is>
      </c>
      <c r="I4718" s="12" t="inlineStr">
        <is>
          <t>Instrumentation</t>
        </is>
      </c>
      <c r="J4718" s="12" t="inlineStr">
        <is>
          <t>Instrumentation PLTC / TC-ER 300 V, #18 twisted shielded pairs, overall shield</t>
        </is>
      </c>
      <c r="K4718" s="12" t="inlineStr">
        <is>
          <t>PLTC|1 pr|16</t>
        </is>
      </c>
      <c r="L4718" s="12" t="inlineStr">
        <is>
          <t>1 pr</t>
        </is>
      </c>
      <c r="M4718" s="12" t="inlineStr">
        <is>
          <t>16</t>
        </is>
      </c>
      <c r="N4718" s="12" t="n">
        <v>20</v>
      </c>
      <c r="O4718" s="12" t="n">
        <v>1</v>
      </c>
      <c r="P4718" s="12" t="n"/>
      <c r="Q4718" s="12" t="n"/>
      <c r="R4718" s="12" t="n"/>
      <c r="S4718" s="12" t="inlineStr">
        <is>
          <t>Tray / conduit</t>
        </is>
      </c>
      <c r="T4718" s="16" t="n">
        <v>72</v>
      </c>
      <c r="U4718" s="16" t="n">
        <v>10</v>
      </c>
      <c r="V4718" s="16">
        <f>ROUNDUP((T4718+U4718+2*'Read Me'!$B$13)*(1+'Read Me'!$B$12),-1)</f>
        <v/>
      </c>
      <c r="W4718" s="16">
        <f>V4718*N4718*O4718</f>
        <v/>
      </c>
      <c r="X4718" s="12">
        <f>IF(LEFT(I4718,2)="MV",2*N4718*IF(L4718="1/C",O4718,1),0)</f>
        <v/>
      </c>
      <c r="Y4718" s="12">
        <f>IF(OR(LEFT(K4718,4)="LVAX",LEFT(K4718,6)="MV15AX",LEFT(K4718,4)="CTAX",LEFT(K4718,2)="W|"),2*N4718*O4718,0)</f>
        <v/>
      </c>
      <c r="Z4718" s="12" t="inlineStr">
        <is>
          <t>device-to-JB field wiring, one cable per device</t>
        </is>
      </c>
      <c r="AA4718" s="12">
        <f>N4718*O4718</f>
        <v/>
      </c>
    </row>
    <row r="4719">
      <c r="A4719" s="12" t="inlineStr">
        <is>
          <t>I-I-0361</t>
        </is>
      </c>
      <c r="B4719" s="12" t="inlineStr">
        <is>
          <t>I</t>
        </is>
      </c>
      <c r="C4719" s="12" t="inlineStr">
        <is>
          <t>Modular / portable power</t>
        </is>
      </c>
      <c r="D4719" s="12" t="inlineStr">
        <is>
          <t>Home run JB-RICE-6-DI03 to the control / marshalling room</t>
        </is>
      </c>
      <c r="E4719" s="12" t="inlineStr"/>
      <c r="F4719" s="12" t="inlineStr">
        <is>
          <t>PCM: power control module</t>
        </is>
      </c>
      <c r="G4719" s="12" t="inlineStr">
        <is>
          <t>JB-RICE-6-DI03</t>
        </is>
      </c>
      <c r="H4719" s="12" t="inlineStr">
        <is>
          <t>RICE engine-generator 6</t>
        </is>
      </c>
      <c r="I4719" s="12" t="inlineStr">
        <is>
          <t>Instrumentation</t>
        </is>
      </c>
      <c r="J4719" s="12" t="inlineStr">
        <is>
          <t>Instrumentation PLTC / TC-ER 300 V, #18 twisted shielded pairs, overall shield</t>
        </is>
      </c>
      <c r="K4719" s="12" t="inlineStr">
        <is>
          <t>PLTC|24 pr|18</t>
        </is>
      </c>
      <c r="L4719" s="12" t="inlineStr">
        <is>
          <t>24 pr</t>
        </is>
      </c>
      <c r="M4719" s="12" t="inlineStr">
        <is>
          <t>18</t>
        </is>
      </c>
      <c r="N4719" s="12" t="n">
        <v>1</v>
      </c>
      <c r="O4719" s="12" t="n">
        <v>1</v>
      </c>
      <c r="P4719" s="12" t="n"/>
      <c r="Q4719" s="12" t="n"/>
      <c r="R4719" s="12" t="n"/>
      <c r="S4719" s="12" t="inlineStr">
        <is>
          <t>Duct bank</t>
        </is>
      </c>
      <c r="T4719" s="16" t="n">
        <v>367</v>
      </c>
      <c r="U4719" s="16" t="n">
        <v>180</v>
      </c>
      <c r="V4719" s="16">
        <f>ROUNDUP((T4719+U4719+2*'Read Me'!$B$13)*(1+'Read Me'!$B$12),-1)</f>
        <v/>
      </c>
      <c r="W4719" s="16">
        <f>V4719*N4719*O4719</f>
        <v/>
      </c>
      <c r="X4719" s="12">
        <f>IF(LEFT(I4719,2)="MV",2*N4719*IF(L4719="1/C",O4719,1),0)</f>
        <v/>
      </c>
      <c r="Y4719" s="12">
        <f>IF(OR(LEFT(K4719,4)="LVAX",LEFT(K4719,6)="MV15AX",LEFT(K4719,4)="CTAX",LEFT(K4719,2)="W|"),2*N4719*O4719,0)</f>
        <v/>
      </c>
      <c r="Z4719" s="12" t="inlineStr"/>
      <c r="AA4719" s="12">
        <f>N4719*O4719</f>
        <v/>
      </c>
    </row>
    <row r="4720">
      <c r="A4720" s="12" t="inlineStr">
        <is>
          <t>I-I-0362</t>
        </is>
      </c>
      <c r="B4720" s="12" t="inlineStr">
        <is>
          <t>I</t>
        </is>
      </c>
      <c r="C4720" s="12" t="inlineStr">
        <is>
          <t>Modular / portable power</t>
        </is>
      </c>
      <c r="D4720" s="12" t="inlineStr">
        <is>
          <t>Thermocouple to TC JB JB-RICE-6-TC01: 20 x 1 pr (field cables)</t>
        </is>
      </c>
      <c r="E4720" s="12" t="inlineStr">
        <is>
          <t>RICE-6</t>
        </is>
      </c>
      <c r="F4720" s="12" t="inlineStr">
        <is>
          <t>RICE engine-generator 6</t>
        </is>
      </c>
      <c r="G4720" s="12" t="inlineStr">
        <is>
          <t>JB-RICE-6-TC01</t>
        </is>
      </c>
      <c r="H4720" s="12" t="inlineStr">
        <is>
          <t>RICE engine-generator 6</t>
        </is>
      </c>
      <c r="I4720" s="12" t="inlineStr">
        <is>
          <t>Instrumentation</t>
        </is>
      </c>
      <c r="J4720" s="12" t="inlineStr">
        <is>
          <t>Thermocouple extension KX, #16 shielded pairs, PLTC</t>
        </is>
      </c>
      <c r="K4720" s="12" t="inlineStr">
        <is>
          <t>TCX|1 pr|16</t>
        </is>
      </c>
      <c r="L4720" s="12" t="inlineStr">
        <is>
          <t>1 pr</t>
        </is>
      </c>
      <c r="M4720" s="12" t="inlineStr">
        <is>
          <t>16</t>
        </is>
      </c>
      <c r="N4720" s="12" t="n">
        <v>20</v>
      </c>
      <c r="O4720" s="12" t="n">
        <v>1</v>
      </c>
      <c r="P4720" s="12" t="n"/>
      <c r="Q4720" s="12" t="n"/>
      <c r="R4720" s="12" t="n"/>
      <c r="S4720" s="12" t="inlineStr">
        <is>
          <t>Tray / conduit</t>
        </is>
      </c>
      <c r="T4720" s="16" t="n">
        <v>72</v>
      </c>
      <c r="U4720" s="16" t="n">
        <v>10</v>
      </c>
      <c r="V4720" s="16">
        <f>ROUNDUP((T4720+U4720+2*'Read Me'!$B$13)*(1+'Read Me'!$B$12),-1)</f>
        <v/>
      </c>
      <c r="W4720" s="16">
        <f>V4720*N4720*O4720</f>
        <v/>
      </c>
      <c r="X4720" s="12">
        <f>IF(LEFT(I4720,2)="MV",2*N4720*IF(L4720="1/C",O4720,1),0)</f>
        <v/>
      </c>
      <c r="Y4720" s="12">
        <f>IF(OR(LEFT(K4720,4)="LVAX",LEFT(K4720,6)="MV15AX",LEFT(K4720,4)="CTAX",LEFT(K4720,2)="W|"),2*N4720*O4720,0)</f>
        <v/>
      </c>
      <c r="Z4720" s="12" t="inlineStr">
        <is>
          <t>device-to-JB field wiring, one cable per device</t>
        </is>
      </c>
      <c r="AA4720" s="12">
        <f>N4720*O4720</f>
        <v/>
      </c>
    </row>
    <row r="4721">
      <c r="A4721" s="12" t="inlineStr">
        <is>
          <t>I-I-0363</t>
        </is>
      </c>
      <c r="B4721" s="12" t="inlineStr">
        <is>
          <t>I</t>
        </is>
      </c>
      <c r="C4721" s="12" t="inlineStr">
        <is>
          <t>Modular / portable power</t>
        </is>
      </c>
      <c r="D4721" s="12" t="inlineStr">
        <is>
          <t>Home run JB-RICE-6-TC01 to the control / marshalling room</t>
        </is>
      </c>
      <c r="E4721" s="12" t="inlineStr"/>
      <c r="F4721" s="12" t="inlineStr">
        <is>
          <t>PCM: power control module</t>
        </is>
      </c>
      <c r="G4721" s="12" t="inlineStr">
        <is>
          <t>JB-RICE-6-TC01</t>
        </is>
      </c>
      <c r="H4721" s="12" t="inlineStr">
        <is>
          <t>RICE engine-generator 6</t>
        </is>
      </c>
      <c r="I4721" s="12" t="inlineStr">
        <is>
          <t>Instrumentation</t>
        </is>
      </c>
      <c r="J4721" s="12" t="inlineStr">
        <is>
          <t>Thermocouple extension KX, #16 shielded pairs, PLTC</t>
        </is>
      </c>
      <c r="K4721" s="12" t="inlineStr">
        <is>
          <t>TCX|24 pr|16</t>
        </is>
      </c>
      <c r="L4721" s="12" t="inlineStr">
        <is>
          <t>24 pr</t>
        </is>
      </c>
      <c r="M4721" s="12" t="inlineStr">
        <is>
          <t>16</t>
        </is>
      </c>
      <c r="N4721" s="12" t="n">
        <v>1</v>
      </c>
      <c r="O4721" s="12" t="n">
        <v>1</v>
      </c>
      <c r="P4721" s="12" t="n"/>
      <c r="Q4721" s="12" t="n"/>
      <c r="R4721" s="12" t="n"/>
      <c r="S4721" s="12" t="inlineStr">
        <is>
          <t>Duct bank</t>
        </is>
      </c>
      <c r="T4721" s="16" t="n">
        <v>367</v>
      </c>
      <c r="U4721" s="16" t="n">
        <v>180</v>
      </c>
      <c r="V4721" s="16">
        <f>ROUNDUP((T4721+U4721+2*'Read Me'!$B$13)*(1+'Read Me'!$B$12),-1)</f>
        <v/>
      </c>
      <c r="W4721" s="16">
        <f>V4721*N4721*O4721</f>
        <v/>
      </c>
      <c r="X4721" s="12">
        <f>IF(LEFT(I4721,2)="MV",2*N4721*IF(L4721="1/C",O4721,1),0)</f>
        <v/>
      </c>
      <c r="Y4721" s="12">
        <f>IF(OR(LEFT(K4721,4)="LVAX",LEFT(K4721,6)="MV15AX",LEFT(K4721,4)="CTAX",LEFT(K4721,2)="W|"),2*N4721*O4721,0)</f>
        <v/>
      </c>
      <c r="Z4721" s="12" t="inlineStr"/>
      <c r="AA4721" s="12">
        <f>N4721*O4721</f>
        <v/>
      </c>
    </row>
    <row r="4722">
      <c r="A4722" s="12" t="inlineStr">
        <is>
          <t>I-I-0364</t>
        </is>
      </c>
      <c r="B4722" s="12" t="inlineStr">
        <is>
          <t>I</t>
        </is>
      </c>
      <c r="C4722" s="12" t="inlineStr">
        <is>
          <t>Modular / portable power</t>
        </is>
      </c>
      <c r="D4722" s="12" t="inlineStr">
        <is>
          <t>Thermocouple to TC JB JB-RICE-6-TC02: 10 x 1 pr (field cables)</t>
        </is>
      </c>
      <c r="E4722" s="12" t="inlineStr">
        <is>
          <t>RICE-6</t>
        </is>
      </c>
      <c r="F4722" s="12" t="inlineStr">
        <is>
          <t>RICE engine-generator 6</t>
        </is>
      </c>
      <c r="G4722" s="12" t="inlineStr">
        <is>
          <t>JB-RICE-6-TC02</t>
        </is>
      </c>
      <c r="H4722" s="12" t="inlineStr">
        <is>
          <t>RICE engine-generator 6</t>
        </is>
      </c>
      <c r="I4722" s="12" t="inlineStr">
        <is>
          <t>Instrumentation</t>
        </is>
      </c>
      <c r="J4722" s="12" t="inlineStr">
        <is>
          <t>Thermocouple extension KX, #16 shielded pairs, PLTC</t>
        </is>
      </c>
      <c r="K4722" s="12" t="inlineStr">
        <is>
          <t>TCX|1 pr|16</t>
        </is>
      </c>
      <c r="L4722" s="12" t="inlineStr">
        <is>
          <t>1 pr</t>
        </is>
      </c>
      <c r="M4722" s="12" t="inlineStr">
        <is>
          <t>16</t>
        </is>
      </c>
      <c r="N4722" s="12" t="n">
        <v>10</v>
      </c>
      <c r="O4722" s="12" t="n">
        <v>1</v>
      </c>
      <c r="P4722" s="12" t="n"/>
      <c r="Q4722" s="12" t="n"/>
      <c r="R4722" s="12" t="n"/>
      <c r="S4722" s="12" t="inlineStr">
        <is>
          <t>Tray / conduit</t>
        </is>
      </c>
      <c r="T4722" s="16" t="n">
        <v>72</v>
      </c>
      <c r="U4722" s="16" t="n">
        <v>10</v>
      </c>
      <c r="V4722" s="16">
        <f>ROUNDUP((T4722+U4722+2*'Read Me'!$B$13)*(1+'Read Me'!$B$12),-1)</f>
        <v/>
      </c>
      <c r="W4722" s="16">
        <f>V4722*N4722*O4722</f>
        <v/>
      </c>
      <c r="X4722" s="12">
        <f>IF(LEFT(I4722,2)="MV",2*N4722*IF(L4722="1/C",O4722,1),0)</f>
        <v/>
      </c>
      <c r="Y4722" s="12">
        <f>IF(OR(LEFT(K4722,4)="LVAX",LEFT(K4722,6)="MV15AX",LEFT(K4722,4)="CTAX",LEFT(K4722,2)="W|"),2*N4722*O4722,0)</f>
        <v/>
      </c>
      <c r="Z4722" s="12" t="inlineStr">
        <is>
          <t>device-to-JB field wiring, one cable per device</t>
        </is>
      </c>
      <c r="AA4722" s="12">
        <f>N4722*O4722</f>
        <v/>
      </c>
    </row>
    <row r="4723">
      <c r="A4723" s="12" t="inlineStr">
        <is>
          <t>I-I-0365</t>
        </is>
      </c>
      <c r="B4723" s="12" t="inlineStr">
        <is>
          <t>I</t>
        </is>
      </c>
      <c r="C4723" s="12" t="inlineStr">
        <is>
          <t>Modular / portable power</t>
        </is>
      </c>
      <c r="D4723" s="12" t="inlineStr">
        <is>
          <t>Home run JB-RICE-6-TC02 to the control / marshalling room</t>
        </is>
      </c>
      <c r="E4723" s="12" t="inlineStr"/>
      <c r="F4723" s="12" t="inlineStr">
        <is>
          <t>PCM: power control module</t>
        </is>
      </c>
      <c r="G4723" s="12" t="inlineStr">
        <is>
          <t>JB-RICE-6-TC02</t>
        </is>
      </c>
      <c r="H4723" s="12" t="inlineStr">
        <is>
          <t>RICE engine-generator 6</t>
        </is>
      </c>
      <c r="I4723" s="12" t="inlineStr">
        <is>
          <t>Instrumentation</t>
        </is>
      </c>
      <c r="J4723" s="12" t="inlineStr">
        <is>
          <t>Thermocouple extension KX, #16 shielded pairs, PLTC</t>
        </is>
      </c>
      <c r="K4723" s="12" t="inlineStr">
        <is>
          <t>TCX|24 pr|16</t>
        </is>
      </c>
      <c r="L4723" s="12" t="inlineStr">
        <is>
          <t>24 pr</t>
        </is>
      </c>
      <c r="M4723" s="12" t="inlineStr">
        <is>
          <t>16</t>
        </is>
      </c>
      <c r="N4723" s="12" t="n">
        <v>1</v>
      </c>
      <c r="O4723" s="12" t="n">
        <v>1</v>
      </c>
      <c r="P4723" s="12" t="n"/>
      <c r="Q4723" s="12" t="n"/>
      <c r="R4723" s="12" t="n"/>
      <c r="S4723" s="12" t="inlineStr">
        <is>
          <t>Duct bank</t>
        </is>
      </c>
      <c r="T4723" s="16" t="n">
        <v>367</v>
      </c>
      <c r="U4723" s="16" t="n">
        <v>180</v>
      </c>
      <c r="V4723" s="16">
        <f>ROUNDUP((T4723+U4723+2*'Read Me'!$B$13)*(1+'Read Me'!$B$12),-1)</f>
        <v/>
      </c>
      <c r="W4723" s="16">
        <f>V4723*N4723*O4723</f>
        <v/>
      </c>
      <c r="X4723" s="12">
        <f>IF(LEFT(I4723,2)="MV",2*N4723*IF(L4723="1/C",O4723,1),0)</f>
        <v/>
      </c>
      <c r="Y4723" s="12">
        <f>IF(OR(LEFT(K4723,4)="LVAX",LEFT(K4723,6)="MV15AX",LEFT(K4723,4)="CTAX",LEFT(K4723,2)="W|"),2*N4723*O4723,0)</f>
        <v/>
      </c>
      <c r="Z4723" s="12" t="inlineStr"/>
      <c r="AA4723" s="12">
        <f>N4723*O4723</f>
        <v/>
      </c>
    </row>
    <row r="4724">
      <c r="A4724" s="12" t="inlineStr">
        <is>
          <t>I-I-0366</t>
        </is>
      </c>
      <c r="B4724" s="12" t="inlineStr">
        <is>
          <t>I</t>
        </is>
      </c>
      <c r="C4724" s="12" t="inlineStr">
        <is>
          <t>Modular / portable power</t>
        </is>
      </c>
      <c r="D4724" s="12" t="inlineStr">
        <is>
          <t>RTD to JB JB-RICE-6-RTD01: 10 x 1 tri (field cables)</t>
        </is>
      </c>
      <c r="E4724" s="12" t="inlineStr">
        <is>
          <t>RICE-6</t>
        </is>
      </c>
      <c r="F4724" s="12" t="inlineStr">
        <is>
          <t>RICE engine-generator 6</t>
        </is>
      </c>
      <c r="G4724" s="12" t="inlineStr">
        <is>
          <t>JB-RICE-6-RTD01</t>
        </is>
      </c>
      <c r="H4724" s="12" t="inlineStr">
        <is>
          <t>RICE engine-generator 6</t>
        </is>
      </c>
      <c r="I4724" s="12" t="inlineStr">
        <is>
          <t>Instrumentation</t>
        </is>
      </c>
      <c r="J4724" s="12" t="inlineStr">
        <is>
          <t>RTD cable, #18 shielded triads, PLTC</t>
        </is>
      </c>
      <c r="K4724" s="12" t="inlineStr">
        <is>
          <t>RTD|1 tri|18</t>
        </is>
      </c>
      <c r="L4724" s="12" t="inlineStr">
        <is>
          <t>1 tri</t>
        </is>
      </c>
      <c r="M4724" s="12" t="inlineStr">
        <is>
          <t>18</t>
        </is>
      </c>
      <c r="N4724" s="12" t="n">
        <v>10</v>
      </c>
      <c r="O4724" s="12" t="n">
        <v>1</v>
      </c>
      <c r="P4724" s="12" t="n"/>
      <c r="Q4724" s="12" t="n"/>
      <c r="R4724" s="12" t="n"/>
      <c r="S4724" s="12" t="inlineStr">
        <is>
          <t>Tray / conduit</t>
        </is>
      </c>
      <c r="T4724" s="16" t="n">
        <v>72</v>
      </c>
      <c r="U4724" s="16" t="n">
        <v>10</v>
      </c>
      <c r="V4724" s="16">
        <f>ROUNDUP((T4724+U4724+2*'Read Me'!$B$13)*(1+'Read Me'!$B$12),-1)</f>
        <v/>
      </c>
      <c r="W4724" s="16">
        <f>V4724*N4724*O4724</f>
        <v/>
      </c>
      <c r="X4724" s="12">
        <f>IF(LEFT(I4724,2)="MV",2*N4724*IF(L4724="1/C",O4724,1),0)</f>
        <v/>
      </c>
      <c r="Y4724" s="12">
        <f>IF(OR(LEFT(K4724,4)="LVAX",LEFT(K4724,6)="MV15AX",LEFT(K4724,4)="CTAX",LEFT(K4724,2)="W|"),2*N4724*O4724,0)</f>
        <v/>
      </c>
      <c r="Z4724" s="12" t="inlineStr">
        <is>
          <t>device-to-JB field wiring, one cable per device</t>
        </is>
      </c>
      <c r="AA4724" s="12">
        <f>N4724*O4724</f>
        <v/>
      </c>
    </row>
    <row r="4725">
      <c r="A4725" s="12" t="inlineStr">
        <is>
          <t>I-I-0367</t>
        </is>
      </c>
      <c r="B4725" s="12" t="inlineStr">
        <is>
          <t>I</t>
        </is>
      </c>
      <c r="C4725" s="12" t="inlineStr">
        <is>
          <t>Modular / portable power</t>
        </is>
      </c>
      <c r="D4725" s="12" t="inlineStr">
        <is>
          <t>Home run JB-RICE-6-RTD01 to the control / marshalling room</t>
        </is>
      </c>
      <c r="E4725" s="12" t="inlineStr"/>
      <c r="F4725" s="12" t="inlineStr">
        <is>
          <t>PCM: power control module</t>
        </is>
      </c>
      <c r="G4725" s="12" t="inlineStr">
        <is>
          <t>JB-RICE-6-RTD01</t>
        </is>
      </c>
      <c r="H4725" s="12" t="inlineStr">
        <is>
          <t>RICE engine-generator 6</t>
        </is>
      </c>
      <c r="I4725" s="12" t="inlineStr">
        <is>
          <t>Instrumentation</t>
        </is>
      </c>
      <c r="J4725" s="12" t="inlineStr">
        <is>
          <t>RTD cable, #18 shielded triads, PLTC</t>
        </is>
      </c>
      <c r="K4725" s="12" t="inlineStr">
        <is>
          <t>RTD|12 tri|18</t>
        </is>
      </c>
      <c r="L4725" s="12" t="inlineStr">
        <is>
          <t>12 tri</t>
        </is>
      </c>
      <c r="M4725" s="12" t="inlineStr">
        <is>
          <t>18</t>
        </is>
      </c>
      <c r="N4725" s="12" t="n">
        <v>1</v>
      </c>
      <c r="O4725" s="12" t="n">
        <v>1</v>
      </c>
      <c r="P4725" s="12" t="n"/>
      <c r="Q4725" s="12" t="n"/>
      <c r="R4725" s="12" t="n"/>
      <c r="S4725" s="12" t="inlineStr">
        <is>
          <t>Duct bank</t>
        </is>
      </c>
      <c r="T4725" s="16" t="n">
        <v>367</v>
      </c>
      <c r="U4725" s="16" t="n">
        <v>180</v>
      </c>
      <c r="V4725" s="16">
        <f>ROUNDUP((T4725+U4725+2*'Read Me'!$B$13)*(1+'Read Me'!$B$12),-1)</f>
        <v/>
      </c>
      <c r="W4725" s="16">
        <f>V4725*N4725*O4725</f>
        <v/>
      </c>
      <c r="X4725" s="12">
        <f>IF(LEFT(I4725,2)="MV",2*N4725*IF(L4725="1/C",O4725,1),0)</f>
        <v/>
      </c>
      <c r="Y4725" s="12">
        <f>IF(OR(LEFT(K4725,4)="LVAX",LEFT(K4725,6)="MV15AX",LEFT(K4725,4)="CTAX",LEFT(K4725,2)="W|"),2*N4725*O4725,0)</f>
        <v/>
      </c>
      <c r="Z4725" s="12" t="inlineStr"/>
      <c r="AA4725" s="12">
        <f>N4725*O4725</f>
        <v/>
      </c>
    </row>
    <row r="4726">
      <c r="A4726" s="12" t="inlineStr">
        <is>
          <t>I-I-0368</t>
        </is>
      </c>
      <c r="B4726" s="12" t="inlineStr">
        <is>
          <t>I</t>
        </is>
      </c>
      <c r="C4726" s="12" t="inlineStr">
        <is>
          <t>Modular / portable power</t>
        </is>
      </c>
      <c r="D4726" s="12" t="inlineStr">
        <is>
          <t>RTD to JB JB-RICE-6-RTD02: 2 x 1 tri (field cables)</t>
        </is>
      </c>
      <c r="E4726" s="12" t="inlineStr">
        <is>
          <t>RICE-6</t>
        </is>
      </c>
      <c r="F4726" s="12" t="inlineStr">
        <is>
          <t>RICE engine-generator 6</t>
        </is>
      </c>
      <c r="G4726" s="12" t="inlineStr">
        <is>
          <t>JB-RICE-6-RTD02</t>
        </is>
      </c>
      <c r="H4726" s="12" t="inlineStr">
        <is>
          <t>RICE engine-generator 6</t>
        </is>
      </c>
      <c r="I4726" s="12" t="inlineStr">
        <is>
          <t>Instrumentation</t>
        </is>
      </c>
      <c r="J4726" s="12" t="inlineStr">
        <is>
          <t>RTD cable, #18 shielded triads, PLTC</t>
        </is>
      </c>
      <c r="K4726" s="12" t="inlineStr">
        <is>
          <t>RTD|1 tri|18</t>
        </is>
      </c>
      <c r="L4726" s="12" t="inlineStr">
        <is>
          <t>1 tri</t>
        </is>
      </c>
      <c r="M4726" s="12" t="inlineStr">
        <is>
          <t>18</t>
        </is>
      </c>
      <c r="N4726" s="12" t="n">
        <v>2</v>
      </c>
      <c r="O4726" s="12" t="n">
        <v>1</v>
      </c>
      <c r="P4726" s="12" t="n"/>
      <c r="Q4726" s="12" t="n"/>
      <c r="R4726" s="12" t="n"/>
      <c r="S4726" s="12" t="inlineStr">
        <is>
          <t>Tray / conduit</t>
        </is>
      </c>
      <c r="T4726" s="16" t="n">
        <v>72</v>
      </c>
      <c r="U4726" s="16" t="n">
        <v>10</v>
      </c>
      <c r="V4726" s="16">
        <f>ROUNDUP((T4726+U4726+2*'Read Me'!$B$13)*(1+'Read Me'!$B$12),-1)</f>
        <v/>
      </c>
      <c r="W4726" s="16">
        <f>V4726*N4726*O4726</f>
        <v/>
      </c>
      <c r="X4726" s="12">
        <f>IF(LEFT(I4726,2)="MV",2*N4726*IF(L4726="1/C",O4726,1),0)</f>
        <v/>
      </c>
      <c r="Y4726" s="12">
        <f>IF(OR(LEFT(K4726,4)="LVAX",LEFT(K4726,6)="MV15AX",LEFT(K4726,4)="CTAX",LEFT(K4726,2)="W|"),2*N4726*O4726,0)</f>
        <v/>
      </c>
      <c r="Z4726" s="12" t="inlineStr">
        <is>
          <t>device-to-JB field wiring, one cable per device</t>
        </is>
      </c>
      <c r="AA4726" s="12">
        <f>N4726*O4726</f>
        <v/>
      </c>
    </row>
    <row r="4727">
      <c r="A4727" s="12" t="inlineStr">
        <is>
          <t>I-I-0369</t>
        </is>
      </c>
      <c r="B4727" s="12" t="inlineStr">
        <is>
          <t>I</t>
        </is>
      </c>
      <c r="C4727" s="12" t="inlineStr">
        <is>
          <t>Modular / portable power</t>
        </is>
      </c>
      <c r="D4727" s="12" t="inlineStr">
        <is>
          <t>Home run JB-RICE-6-RTD02 to the control / marshalling room</t>
        </is>
      </c>
      <c r="E4727" s="12" t="inlineStr"/>
      <c r="F4727" s="12" t="inlineStr">
        <is>
          <t>PCM: power control module</t>
        </is>
      </c>
      <c r="G4727" s="12" t="inlineStr">
        <is>
          <t>JB-RICE-6-RTD02</t>
        </is>
      </c>
      <c r="H4727" s="12" t="inlineStr">
        <is>
          <t>RICE engine-generator 6</t>
        </is>
      </c>
      <c r="I4727" s="12" t="inlineStr">
        <is>
          <t>Instrumentation</t>
        </is>
      </c>
      <c r="J4727" s="12" t="inlineStr">
        <is>
          <t>RTD cable, #18 shielded triads, PLTC</t>
        </is>
      </c>
      <c r="K4727" s="12" t="inlineStr">
        <is>
          <t>RTD|12 tri|18</t>
        </is>
      </c>
      <c r="L4727" s="12" t="inlineStr">
        <is>
          <t>12 tri</t>
        </is>
      </c>
      <c r="M4727" s="12" t="inlineStr">
        <is>
          <t>18</t>
        </is>
      </c>
      <c r="N4727" s="12" t="n">
        <v>1</v>
      </c>
      <c r="O4727" s="12" t="n">
        <v>1</v>
      </c>
      <c r="P4727" s="12" t="n"/>
      <c r="Q4727" s="12" t="n"/>
      <c r="R4727" s="12" t="n"/>
      <c r="S4727" s="12" t="inlineStr">
        <is>
          <t>Duct bank</t>
        </is>
      </c>
      <c r="T4727" s="16" t="n">
        <v>367</v>
      </c>
      <c r="U4727" s="16" t="n">
        <v>180</v>
      </c>
      <c r="V4727" s="16">
        <f>ROUNDUP((T4727+U4727+2*'Read Me'!$B$13)*(1+'Read Me'!$B$12),-1)</f>
        <v/>
      </c>
      <c r="W4727" s="16">
        <f>V4727*N4727*O4727</f>
        <v/>
      </c>
      <c r="X4727" s="12">
        <f>IF(LEFT(I4727,2)="MV",2*N4727*IF(L4727="1/C",O4727,1),0)</f>
        <v/>
      </c>
      <c r="Y4727" s="12">
        <f>IF(OR(LEFT(K4727,4)="LVAX",LEFT(K4727,6)="MV15AX",LEFT(K4727,4)="CTAX",LEFT(K4727,2)="W|"),2*N4727*O4727,0)</f>
        <v/>
      </c>
      <c r="Z4727" s="12" t="inlineStr"/>
      <c r="AA4727" s="12">
        <f>N4727*O4727</f>
        <v/>
      </c>
    </row>
    <row r="4728">
      <c r="A4728" s="12" t="inlineStr">
        <is>
          <t>I-I-0370</t>
        </is>
      </c>
      <c r="B4728" s="12" t="inlineStr">
        <is>
          <t>I</t>
        </is>
      </c>
      <c r="C4728" s="12" t="inlineStr">
        <is>
          <t>Modular / portable power</t>
        </is>
      </c>
      <c r="D4728" s="12" t="inlineStr">
        <is>
          <t>Analog instrument to JB JB-RICE-7-AI01: 20 x 1 pr (field cables)</t>
        </is>
      </c>
      <c r="E4728" s="12" t="inlineStr">
        <is>
          <t>RICE-7</t>
        </is>
      </c>
      <c r="F4728" s="12" t="inlineStr">
        <is>
          <t>RICE engine-generator 7</t>
        </is>
      </c>
      <c r="G4728" s="12" t="inlineStr">
        <is>
          <t>JB-RICE-7-AI01</t>
        </is>
      </c>
      <c r="H4728" s="12" t="inlineStr">
        <is>
          <t>RICE engine-generator 7</t>
        </is>
      </c>
      <c r="I4728" s="12" t="inlineStr">
        <is>
          <t>Instrumentation</t>
        </is>
      </c>
      <c r="J4728" s="12" t="inlineStr">
        <is>
          <t>Instrumentation PLTC / TC-ER 300 V, #18 twisted shielded pairs, overall shield</t>
        </is>
      </c>
      <c r="K4728" s="12" t="inlineStr">
        <is>
          <t>PLTC|1 pr|16</t>
        </is>
      </c>
      <c r="L4728" s="12" t="inlineStr">
        <is>
          <t>1 pr</t>
        </is>
      </c>
      <c r="M4728" s="12" t="inlineStr">
        <is>
          <t>16</t>
        </is>
      </c>
      <c r="N4728" s="12" t="n">
        <v>20</v>
      </c>
      <c r="O4728" s="12" t="n">
        <v>1</v>
      </c>
      <c r="P4728" s="12" t="n"/>
      <c r="Q4728" s="12" t="n"/>
      <c r="R4728" s="12" t="n"/>
      <c r="S4728" s="12" t="inlineStr">
        <is>
          <t>Tray / conduit</t>
        </is>
      </c>
      <c r="T4728" s="16" t="n">
        <v>72</v>
      </c>
      <c r="U4728" s="16" t="n">
        <v>10</v>
      </c>
      <c r="V4728" s="16">
        <f>ROUNDUP((T4728+U4728+2*'Read Me'!$B$13)*(1+'Read Me'!$B$12),-1)</f>
        <v/>
      </c>
      <c r="W4728" s="16">
        <f>V4728*N4728*O4728</f>
        <v/>
      </c>
      <c r="X4728" s="12">
        <f>IF(LEFT(I4728,2)="MV",2*N4728*IF(L4728="1/C",O4728,1),0)</f>
        <v/>
      </c>
      <c r="Y4728" s="12">
        <f>IF(OR(LEFT(K4728,4)="LVAX",LEFT(K4728,6)="MV15AX",LEFT(K4728,4)="CTAX",LEFT(K4728,2)="W|"),2*N4728*O4728,0)</f>
        <v/>
      </c>
      <c r="Z4728" s="12" t="inlineStr">
        <is>
          <t>device-to-JB field wiring, one cable per device</t>
        </is>
      </c>
      <c r="AA4728" s="12">
        <f>N4728*O4728</f>
        <v/>
      </c>
    </row>
    <row r="4729">
      <c r="A4729" s="12" t="inlineStr">
        <is>
          <t>I-I-0371</t>
        </is>
      </c>
      <c r="B4729" s="12" t="inlineStr">
        <is>
          <t>I</t>
        </is>
      </c>
      <c r="C4729" s="12" t="inlineStr">
        <is>
          <t>Modular / portable power</t>
        </is>
      </c>
      <c r="D4729" s="12" t="inlineStr">
        <is>
          <t>Home run JB-RICE-7-AI01 to the control / marshalling room</t>
        </is>
      </c>
      <c r="E4729" s="12" t="inlineStr"/>
      <c r="F4729" s="12" t="inlineStr">
        <is>
          <t>PCM: power control module</t>
        </is>
      </c>
      <c r="G4729" s="12" t="inlineStr">
        <is>
          <t>JB-RICE-7-AI01</t>
        </is>
      </c>
      <c r="H4729" s="12" t="inlineStr">
        <is>
          <t>RICE engine-generator 7</t>
        </is>
      </c>
      <c r="I4729" s="12" t="inlineStr">
        <is>
          <t>Instrumentation</t>
        </is>
      </c>
      <c r="J4729" s="12" t="inlineStr">
        <is>
          <t>Instrumentation PLTC / TC-ER 300 V, #18 twisted shielded pairs, overall shield</t>
        </is>
      </c>
      <c r="K4729" s="12" t="inlineStr">
        <is>
          <t>PLTC|24 pr|18</t>
        </is>
      </c>
      <c r="L4729" s="12" t="inlineStr">
        <is>
          <t>24 pr</t>
        </is>
      </c>
      <c r="M4729" s="12" t="inlineStr">
        <is>
          <t>18</t>
        </is>
      </c>
      <c r="N4729" s="12" t="n">
        <v>1</v>
      </c>
      <c r="O4729" s="12" t="n">
        <v>1</v>
      </c>
      <c r="P4729" s="12" t="n"/>
      <c r="Q4729" s="12" t="n"/>
      <c r="R4729" s="12" t="n"/>
      <c r="S4729" s="12" t="inlineStr">
        <is>
          <t>Tray</t>
        </is>
      </c>
      <c r="T4729" s="16" t="n">
        <v>0</v>
      </c>
      <c r="U4729" s="16" t="n">
        <v>189</v>
      </c>
      <c r="V4729" s="16">
        <f>ROUNDUP((T4729+U4729+2*'Read Me'!$B$13)*(1+'Read Me'!$B$12),-1)</f>
        <v/>
      </c>
      <c r="W4729" s="16">
        <f>V4729*N4729*O4729</f>
        <v/>
      </c>
      <c r="X4729" s="12">
        <f>IF(LEFT(I4729,2)="MV",2*N4729*IF(L4729="1/C",O4729,1),0)</f>
        <v/>
      </c>
      <c r="Y4729" s="12">
        <f>IF(OR(LEFT(K4729,4)="LVAX",LEFT(K4729,6)="MV15AX",LEFT(K4729,4)="CTAX",LEFT(K4729,2)="W|"),2*N4729*O4729,0)</f>
        <v/>
      </c>
      <c r="Z4729" s="12" t="inlineStr"/>
      <c r="AA4729" s="12">
        <f>N4729*O4729</f>
        <v/>
      </c>
    </row>
    <row r="4730">
      <c r="A4730" s="12" t="inlineStr">
        <is>
          <t>I-I-0372</t>
        </is>
      </c>
      <c r="B4730" s="12" t="inlineStr">
        <is>
          <t>I</t>
        </is>
      </c>
      <c r="C4730" s="12" t="inlineStr">
        <is>
          <t>Modular / portable power</t>
        </is>
      </c>
      <c r="D4730" s="12" t="inlineStr">
        <is>
          <t>Analog instrument to JB JB-RICE-7-AI02: 20 x 1 pr (field cables)</t>
        </is>
      </c>
      <c r="E4730" s="12" t="inlineStr">
        <is>
          <t>RICE-7</t>
        </is>
      </c>
      <c r="F4730" s="12" t="inlineStr">
        <is>
          <t>RICE engine-generator 7</t>
        </is>
      </c>
      <c r="G4730" s="12" t="inlineStr">
        <is>
          <t>JB-RICE-7-AI02</t>
        </is>
      </c>
      <c r="H4730" s="12" t="inlineStr">
        <is>
          <t>RICE engine-generator 7</t>
        </is>
      </c>
      <c r="I4730" s="12" t="inlineStr">
        <is>
          <t>Instrumentation</t>
        </is>
      </c>
      <c r="J4730" s="12" t="inlineStr">
        <is>
          <t>Instrumentation PLTC / TC-ER 300 V, #18 twisted shielded pairs, overall shield</t>
        </is>
      </c>
      <c r="K4730" s="12" t="inlineStr">
        <is>
          <t>PLTC|1 pr|16</t>
        </is>
      </c>
      <c r="L4730" s="12" t="inlineStr">
        <is>
          <t>1 pr</t>
        </is>
      </c>
      <c r="M4730" s="12" t="inlineStr">
        <is>
          <t>16</t>
        </is>
      </c>
      <c r="N4730" s="12" t="n">
        <v>20</v>
      </c>
      <c r="O4730" s="12" t="n">
        <v>1</v>
      </c>
      <c r="P4730" s="12" t="n"/>
      <c r="Q4730" s="12" t="n"/>
      <c r="R4730" s="12" t="n"/>
      <c r="S4730" s="12" t="inlineStr">
        <is>
          <t>Tray / conduit</t>
        </is>
      </c>
      <c r="T4730" s="16" t="n">
        <v>72</v>
      </c>
      <c r="U4730" s="16" t="n">
        <v>10</v>
      </c>
      <c r="V4730" s="16">
        <f>ROUNDUP((T4730+U4730+2*'Read Me'!$B$13)*(1+'Read Me'!$B$12),-1)</f>
        <v/>
      </c>
      <c r="W4730" s="16">
        <f>V4730*N4730*O4730</f>
        <v/>
      </c>
      <c r="X4730" s="12">
        <f>IF(LEFT(I4730,2)="MV",2*N4730*IF(L4730="1/C",O4730,1),0)</f>
        <v/>
      </c>
      <c r="Y4730" s="12">
        <f>IF(OR(LEFT(K4730,4)="LVAX",LEFT(K4730,6)="MV15AX",LEFT(K4730,4)="CTAX",LEFT(K4730,2)="W|"),2*N4730*O4730,0)</f>
        <v/>
      </c>
      <c r="Z4730" s="12" t="inlineStr">
        <is>
          <t>device-to-JB field wiring, one cable per device</t>
        </is>
      </c>
      <c r="AA4730" s="12">
        <f>N4730*O4730</f>
        <v/>
      </c>
    </row>
    <row r="4731">
      <c r="A4731" s="12" t="inlineStr">
        <is>
          <t>I-I-0373</t>
        </is>
      </c>
      <c r="B4731" s="12" t="inlineStr">
        <is>
          <t>I</t>
        </is>
      </c>
      <c r="C4731" s="12" t="inlineStr">
        <is>
          <t>Modular / portable power</t>
        </is>
      </c>
      <c r="D4731" s="12" t="inlineStr">
        <is>
          <t>Home run JB-RICE-7-AI02 to the control / marshalling room</t>
        </is>
      </c>
      <c r="E4731" s="12" t="inlineStr"/>
      <c r="F4731" s="12" t="inlineStr">
        <is>
          <t>PCM: power control module</t>
        </is>
      </c>
      <c r="G4731" s="12" t="inlineStr">
        <is>
          <t>JB-RICE-7-AI02</t>
        </is>
      </c>
      <c r="H4731" s="12" t="inlineStr">
        <is>
          <t>RICE engine-generator 7</t>
        </is>
      </c>
      <c r="I4731" s="12" t="inlineStr">
        <is>
          <t>Instrumentation</t>
        </is>
      </c>
      <c r="J4731" s="12" t="inlineStr">
        <is>
          <t>Instrumentation PLTC / TC-ER 300 V, #18 twisted shielded pairs, overall shield</t>
        </is>
      </c>
      <c r="K4731" s="12" t="inlineStr">
        <is>
          <t>PLTC|24 pr|18</t>
        </is>
      </c>
      <c r="L4731" s="12" t="inlineStr">
        <is>
          <t>24 pr</t>
        </is>
      </c>
      <c r="M4731" s="12" t="inlineStr">
        <is>
          <t>18</t>
        </is>
      </c>
      <c r="N4731" s="12" t="n">
        <v>1</v>
      </c>
      <c r="O4731" s="12" t="n">
        <v>1</v>
      </c>
      <c r="P4731" s="12" t="n"/>
      <c r="Q4731" s="12" t="n"/>
      <c r="R4731" s="12" t="n"/>
      <c r="S4731" s="12" t="inlineStr">
        <is>
          <t>Tray</t>
        </is>
      </c>
      <c r="T4731" s="16" t="n">
        <v>0</v>
      </c>
      <c r="U4731" s="16" t="n">
        <v>189</v>
      </c>
      <c r="V4731" s="16">
        <f>ROUNDUP((T4731+U4731+2*'Read Me'!$B$13)*(1+'Read Me'!$B$12),-1)</f>
        <v/>
      </c>
      <c r="W4731" s="16">
        <f>V4731*N4731*O4731</f>
        <v/>
      </c>
      <c r="X4731" s="12">
        <f>IF(LEFT(I4731,2)="MV",2*N4731*IF(L4731="1/C",O4731,1),0)</f>
        <v/>
      </c>
      <c r="Y4731" s="12">
        <f>IF(OR(LEFT(K4731,4)="LVAX",LEFT(K4731,6)="MV15AX",LEFT(K4731,4)="CTAX",LEFT(K4731,2)="W|"),2*N4731*O4731,0)</f>
        <v/>
      </c>
      <c r="Z4731" s="12" t="inlineStr"/>
      <c r="AA4731" s="12">
        <f>N4731*O4731</f>
        <v/>
      </c>
    </row>
    <row r="4732">
      <c r="A4732" s="12" t="inlineStr">
        <is>
          <t>I-I-0374</t>
        </is>
      </c>
      <c r="B4732" s="12" t="inlineStr">
        <is>
          <t>I</t>
        </is>
      </c>
      <c r="C4732" s="12" t="inlineStr">
        <is>
          <t>Modular / portable power</t>
        </is>
      </c>
      <c r="D4732" s="12" t="inlineStr">
        <is>
          <t>Analog instrument to JB JB-RICE-7-AI03: 20 x 1 pr (field cables)</t>
        </is>
      </c>
      <c r="E4732" s="12" t="inlineStr">
        <is>
          <t>RICE-7</t>
        </is>
      </c>
      <c r="F4732" s="12" t="inlineStr">
        <is>
          <t>RICE engine-generator 7</t>
        </is>
      </c>
      <c r="G4732" s="12" t="inlineStr">
        <is>
          <t>JB-RICE-7-AI03</t>
        </is>
      </c>
      <c r="H4732" s="12" t="inlineStr">
        <is>
          <t>RICE engine-generator 7</t>
        </is>
      </c>
      <c r="I4732" s="12" t="inlineStr">
        <is>
          <t>Instrumentation</t>
        </is>
      </c>
      <c r="J4732" s="12" t="inlineStr">
        <is>
          <t>Instrumentation PLTC / TC-ER 300 V, #18 twisted shielded pairs, overall shield</t>
        </is>
      </c>
      <c r="K4732" s="12" t="inlineStr">
        <is>
          <t>PLTC|1 pr|16</t>
        </is>
      </c>
      <c r="L4732" s="12" t="inlineStr">
        <is>
          <t>1 pr</t>
        </is>
      </c>
      <c r="M4732" s="12" t="inlineStr">
        <is>
          <t>16</t>
        </is>
      </c>
      <c r="N4732" s="12" t="n">
        <v>20</v>
      </c>
      <c r="O4732" s="12" t="n">
        <v>1</v>
      </c>
      <c r="P4732" s="12" t="n"/>
      <c r="Q4732" s="12" t="n"/>
      <c r="R4732" s="12" t="n"/>
      <c r="S4732" s="12" t="inlineStr">
        <is>
          <t>Tray / conduit</t>
        </is>
      </c>
      <c r="T4732" s="16" t="n">
        <v>72</v>
      </c>
      <c r="U4732" s="16" t="n">
        <v>10</v>
      </c>
      <c r="V4732" s="16">
        <f>ROUNDUP((T4732+U4732+2*'Read Me'!$B$13)*(1+'Read Me'!$B$12),-1)</f>
        <v/>
      </c>
      <c r="W4732" s="16">
        <f>V4732*N4732*O4732</f>
        <v/>
      </c>
      <c r="X4732" s="12">
        <f>IF(LEFT(I4732,2)="MV",2*N4732*IF(L4732="1/C",O4732,1),0)</f>
        <v/>
      </c>
      <c r="Y4732" s="12">
        <f>IF(OR(LEFT(K4732,4)="LVAX",LEFT(K4732,6)="MV15AX",LEFT(K4732,4)="CTAX",LEFT(K4732,2)="W|"),2*N4732*O4732,0)</f>
        <v/>
      </c>
      <c r="Z4732" s="12" t="inlineStr">
        <is>
          <t>device-to-JB field wiring, one cable per device</t>
        </is>
      </c>
      <c r="AA4732" s="12">
        <f>N4732*O4732</f>
        <v/>
      </c>
    </row>
    <row r="4733">
      <c r="A4733" s="12" t="inlineStr">
        <is>
          <t>I-I-0375</t>
        </is>
      </c>
      <c r="B4733" s="12" t="inlineStr">
        <is>
          <t>I</t>
        </is>
      </c>
      <c r="C4733" s="12" t="inlineStr">
        <is>
          <t>Modular / portable power</t>
        </is>
      </c>
      <c r="D4733" s="12" t="inlineStr">
        <is>
          <t>Home run JB-RICE-7-AI03 to the control / marshalling room</t>
        </is>
      </c>
      <c r="E4733" s="12" t="inlineStr"/>
      <c r="F4733" s="12" t="inlineStr">
        <is>
          <t>PCM: power control module</t>
        </is>
      </c>
      <c r="G4733" s="12" t="inlineStr">
        <is>
          <t>JB-RICE-7-AI03</t>
        </is>
      </c>
      <c r="H4733" s="12" t="inlineStr">
        <is>
          <t>RICE engine-generator 7</t>
        </is>
      </c>
      <c r="I4733" s="12" t="inlineStr">
        <is>
          <t>Instrumentation</t>
        </is>
      </c>
      <c r="J4733" s="12" t="inlineStr">
        <is>
          <t>Instrumentation PLTC / TC-ER 300 V, #18 twisted shielded pairs, overall shield</t>
        </is>
      </c>
      <c r="K4733" s="12" t="inlineStr">
        <is>
          <t>PLTC|24 pr|18</t>
        </is>
      </c>
      <c r="L4733" s="12" t="inlineStr">
        <is>
          <t>24 pr</t>
        </is>
      </c>
      <c r="M4733" s="12" t="inlineStr">
        <is>
          <t>18</t>
        </is>
      </c>
      <c r="N4733" s="12" t="n">
        <v>1</v>
      </c>
      <c r="O4733" s="12" t="n">
        <v>1</v>
      </c>
      <c r="P4733" s="12" t="n"/>
      <c r="Q4733" s="12" t="n"/>
      <c r="R4733" s="12" t="n"/>
      <c r="S4733" s="12" t="inlineStr">
        <is>
          <t>Tray</t>
        </is>
      </c>
      <c r="T4733" s="16" t="n">
        <v>0</v>
      </c>
      <c r="U4733" s="16" t="n">
        <v>189</v>
      </c>
      <c r="V4733" s="16">
        <f>ROUNDUP((T4733+U4733+2*'Read Me'!$B$13)*(1+'Read Me'!$B$12),-1)</f>
        <v/>
      </c>
      <c r="W4733" s="16">
        <f>V4733*N4733*O4733</f>
        <v/>
      </c>
      <c r="X4733" s="12">
        <f>IF(LEFT(I4733,2)="MV",2*N4733*IF(L4733="1/C",O4733,1),0)</f>
        <v/>
      </c>
      <c r="Y4733" s="12">
        <f>IF(OR(LEFT(K4733,4)="LVAX",LEFT(K4733,6)="MV15AX",LEFT(K4733,4)="CTAX",LEFT(K4733,2)="W|"),2*N4733*O4733,0)</f>
        <v/>
      </c>
      <c r="Z4733" s="12" t="inlineStr"/>
      <c r="AA4733" s="12">
        <f>N4733*O4733</f>
        <v/>
      </c>
    </row>
    <row r="4734">
      <c r="A4734" s="12" t="inlineStr">
        <is>
          <t>I-I-0376</t>
        </is>
      </c>
      <c r="B4734" s="12" t="inlineStr">
        <is>
          <t>I</t>
        </is>
      </c>
      <c r="C4734" s="12" t="inlineStr">
        <is>
          <t>Modular / portable power</t>
        </is>
      </c>
      <c r="D4734" s="12" t="inlineStr">
        <is>
          <t>Analog instrument to JB JB-RICE-7-AI04: 20 x 1 pr (field cables)</t>
        </is>
      </c>
      <c r="E4734" s="12" t="inlineStr">
        <is>
          <t>RICE-7</t>
        </is>
      </c>
      <c r="F4734" s="12" t="inlineStr">
        <is>
          <t>RICE engine-generator 7</t>
        </is>
      </c>
      <c r="G4734" s="12" t="inlineStr">
        <is>
          <t>JB-RICE-7-AI04</t>
        </is>
      </c>
      <c r="H4734" s="12" t="inlineStr">
        <is>
          <t>RICE engine-generator 7</t>
        </is>
      </c>
      <c r="I4734" s="12" t="inlineStr">
        <is>
          <t>Instrumentation</t>
        </is>
      </c>
      <c r="J4734" s="12" t="inlineStr">
        <is>
          <t>Instrumentation PLTC / TC-ER 300 V, #18 twisted shielded pairs, overall shield</t>
        </is>
      </c>
      <c r="K4734" s="12" t="inlineStr">
        <is>
          <t>PLTC|1 pr|16</t>
        </is>
      </c>
      <c r="L4734" s="12" t="inlineStr">
        <is>
          <t>1 pr</t>
        </is>
      </c>
      <c r="M4734" s="12" t="inlineStr">
        <is>
          <t>16</t>
        </is>
      </c>
      <c r="N4734" s="12" t="n">
        <v>20</v>
      </c>
      <c r="O4734" s="12" t="n">
        <v>1</v>
      </c>
      <c r="P4734" s="12" t="n"/>
      <c r="Q4734" s="12" t="n"/>
      <c r="R4734" s="12" t="n"/>
      <c r="S4734" s="12" t="inlineStr">
        <is>
          <t>Tray / conduit</t>
        </is>
      </c>
      <c r="T4734" s="16" t="n">
        <v>72</v>
      </c>
      <c r="U4734" s="16" t="n">
        <v>10</v>
      </c>
      <c r="V4734" s="16">
        <f>ROUNDUP((T4734+U4734+2*'Read Me'!$B$13)*(1+'Read Me'!$B$12),-1)</f>
        <v/>
      </c>
      <c r="W4734" s="16">
        <f>V4734*N4734*O4734</f>
        <v/>
      </c>
      <c r="X4734" s="12">
        <f>IF(LEFT(I4734,2)="MV",2*N4734*IF(L4734="1/C",O4734,1),0)</f>
        <v/>
      </c>
      <c r="Y4734" s="12">
        <f>IF(OR(LEFT(K4734,4)="LVAX",LEFT(K4734,6)="MV15AX",LEFT(K4734,4)="CTAX",LEFT(K4734,2)="W|"),2*N4734*O4734,0)</f>
        <v/>
      </c>
      <c r="Z4734" s="12" t="inlineStr">
        <is>
          <t>device-to-JB field wiring, one cable per device</t>
        </is>
      </c>
      <c r="AA4734" s="12">
        <f>N4734*O4734</f>
        <v/>
      </c>
    </row>
    <row r="4735">
      <c r="A4735" s="12" t="inlineStr">
        <is>
          <t>I-I-0377</t>
        </is>
      </c>
      <c r="B4735" s="12" t="inlineStr">
        <is>
          <t>I</t>
        </is>
      </c>
      <c r="C4735" s="12" t="inlineStr">
        <is>
          <t>Modular / portable power</t>
        </is>
      </c>
      <c r="D4735" s="12" t="inlineStr">
        <is>
          <t>Home run JB-RICE-7-AI04 to the control / marshalling room</t>
        </is>
      </c>
      <c r="E4735" s="12" t="inlineStr"/>
      <c r="F4735" s="12" t="inlineStr">
        <is>
          <t>PCM: power control module</t>
        </is>
      </c>
      <c r="G4735" s="12" t="inlineStr">
        <is>
          <t>JB-RICE-7-AI04</t>
        </is>
      </c>
      <c r="H4735" s="12" t="inlineStr">
        <is>
          <t>RICE engine-generator 7</t>
        </is>
      </c>
      <c r="I4735" s="12" t="inlineStr">
        <is>
          <t>Instrumentation</t>
        </is>
      </c>
      <c r="J4735" s="12" t="inlineStr">
        <is>
          <t>Instrumentation PLTC / TC-ER 300 V, #18 twisted shielded pairs, overall shield</t>
        </is>
      </c>
      <c r="K4735" s="12" t="inlineStr">
        <is>
          <t>PLTC|24 pr|18</t>
        </is>
      </c>
      <c r="L4735" s="12" t="inlineStr">
        <is>
          <t>24 pr</t>
        </is>
      </c>
      <c r="M4735" s="12" t="inlineStr">
        <is>
          <t>18</t>
        </is>
      </c>
      <c r="N4735" s="12" t="n">
        <v>1</v>
      </c>
      <c r="O4735" s="12" t="n">
        <v>1</v>
      </c>
      <c r="P4735" s="12" t="n"/>
      <c r="Q4735" s="12" t="n"/>
      <c r="R4735" s="12" t="n"/>
      <c r="S4735" s="12" t="inlineStr">
        <is>
          <t>Tray</t>
        </is>
      </c>
      <c r="T4735" s="16" t="n">
        <v>0</v>
      </c>
      <c r="U4735" s="16" t="n">
        <v>189</v>
      </c>
      <c r="V4735" s="16">
        <f>ROUNDUP((T4735+U4735+2*'Read Me'!$B$13)*(1+'Read Me'!$B$12),-1)</f>
        <v/>
      </c>
      <c r="W4735" s="16">
        <f>V4735*N4735*O4735</f>
        <v/>
      </c>
      <c r="X4735" s="12">
        <f>IF(LEFT(I4735,2)="MV",2*N4735*IF(L4735="1/C",O4735,1),0)</f>
        <v/>
      </c>
      <c r="Y4735" s="12">
        <f>IF(OR(LEFT(K4735,4)="LVAX",LEFT(K4735,6)="MV15AX",LEFT(K4735,4)="CTAX",LEFT(K4735,2)="W|"),2*N4735*O4735,0)</f>
        <v/>
      </c>
      <c r="Z4735" s="12" t="inlineStr"/>
      <c r="AA4735" s="12">
        <f>N4735*O4735</f>
        <v/>
      </c>
    </row>
    <row r="4736">
      <c r="A4736" s="12" t="inlineStr">
        <is>
          <t>I-I-0378</t>
        </is>
      </c>
      <c r="B4736" s="12" t="inlineStr">
        <is>
          <t>I</t>
        </is>
      </c>
      <c r="C4736" s="12" t="inlineStr">
        <is>
          <t>Modular / portable power</t>
        </is>
      </c>
      <c r="D4736" s="12" t="inlineStr">
        <is>
          <t>Discrete device to JB JB-RICE-7-DI01: 20 x 1 pr (field cables)</t>
        </is>
      </c>
      <c r="E4736" s="12" t="inlineStr">
        <is>
          <t>RICE-7</t>
        </is>
      </c>
      <c r="F4736" s="12" t="inlineStr">
        <is>
          <t>RICE engine-generator 7</t>
        </is>
      </c>
      <c r="G4736" s="12" t="inlineStr">
        <is>
          <t>JB-RICE-7-DI01</t>
        </is>
      </c>
      <c r="H4736" s="12" t="inlineStr">
        <is>
          <t>RICE engine-generator 7</t>
        </is>
      </c>
      <c r="I4736" s="12" t="inlineStr">
        <is>
          <t>Instrumentation</t>
        </is>
      </c>
      <c r="J4736" s="12" t="inlineStr">
        <is>
          <t>Instrumentation PLTC / TC-ER 300 V, #18 twisted shielded pairs, overall shield</t>
        </is>
      </c>
      <c r="K4736" s="12" t="inlineStr">
        <is>
          <t>PLTC|1 pr|16</t>
        </is>
      </c>
      <c r="L4736" s="12" t="inlineStr">
        <is>
          <t>1 pr</t>
        </is>
      </c>
      <c r="M4736" s="12" t="inlineStr">
        <is>
          <t>16</t>
        </is>
      </c>
      <c r="N4736" s="12" t="n">
        <v>20</v>
      </c>
      <c r="O4736" s="12" t="n">
        <v>1</v>
      </c>
      <c r="P4736" s="12" t="n"/>
      <c r="Q4736" s="12" t="n"/>
      <c r="R4736" s="12" t="n"/>
      <c r="S4736" s="12" t="inlineStr">
        <is>
          <t>Tray / conduit</t>
        </is>
      </c>
      <c r="T4736" s="16" t="n">
        <v>72</v>
      </c>
      <c r="U4736" s="16" t="n">
        <v>10</v>
      </c>
      <c r="V4736" s="16">
        <f>ROUNDUP((T4736+U4736+2*'Read Me'!$B$13)*(1+'Read Me'!$B$12),-1)</f>
        <v/>
      </c>
      <c r="W4736" s="16">
        <f>V4736*N4736*O4736</f>
        <v/>
      </c>
      <c r="X4736" s="12">
        <f>IF(LEFT(I4736,2)="MV",2*N4736*IF(L4736="1/C",O4736,1),0)</f>
        <v/>
      </c>
      <c r="Y4736" s="12">
        <f>IF(OR(LEFT(K4736,4)="LVAX",LEFT(K4736,6)="MV15AX",LEFT(K4736,4)="CTAX",LEFT(K4736,2)="W|"),2*N4736*O4736,0)</f>
        <v/>
      </c>
      <c r="Z4736" s="12" t="inlineStr">
        <is>
          <t>device-to-JB field wiring, one cable per device</t>
        </is>
      </c>
      <c r="AA4736" s="12">
        <f>N4736*O4736</f>
        <v/>
      </c>
    </row>
    <row r="4737">
      <c r="A4737" s="12" t="inlineStr">
        <is>
          <t>I-I-0379</t>
        </is>
      </c>
      <c r="B4737" s="12" t="inlineStr">
        <is>
          <t>I</t>
        </is>
      </c>
      <c r="C4737" s="12" t="inlineStr">
        <is>
          <t>Modular / portable power</t>
        </is>
      </c>
      <c r="D4737" s="12" t="inlineStr">
        <is>
          <t>Home run JB-RICE-7-DI01 to the control / marshalling room</t>
        </is>
      </c>
      <c r="E4737" s="12" t="inlineStr"/>
      <c r="F4737" s="12" t="inlineStr">
        <is>
          <t>PCM: power control module</t>
        </is>
      </c>
      <c r="G4737" s="12" t="inlineStr">
        <is>
          <t>JB-RICE-7-DI01</t>
        </is>
      </c>
      <c r="H4737" s="12" t="inlineStr">
        <is>
          <t>RICE engine-generator 7</t>
        </is>
      </c>
      <c r="I4737" s="12" t="inlineStr">
        <is>
          <t>Instrumentation</t>
        </is>
      </c>
      <c r="J4737" s="12" t="inlineStr">
        <is>
          <t>Instrumentation PLTC / TC-ER 300 V, #18 twisted shielded pairs, overall shield</t>
        </is>
      </c>
      <c r="K4737" s="12" t="inlineStr">
        <is>
          <t>PLTC|24 pr|18</t>
        </is>
      </c>
      <c r="L4737" s="12" t="inlineStr">
        <is>
          <t>24 pr</t>
        </is>
      </c>
      <c r="M4737" s="12" t="inlineStr">
        <is>
          <t>18</t>
        </is>
      </c>
      <c r="N4737" s="12" t="n">
        <v>1</v>
      </c>
      <c r="O4737" s="12" t="n">
        <v>1</v>
      </c>
      <c r="P4737" s="12" t="n"/>
      <c r="Q4737" s="12" t="n"/>
      <c r="R4737" s="12" t="n"/>
      <c r="S4737" s="12" t="inlineStr">
        <is>
          <t>Tray</t>
        </is>
      </c>
      <c r="T4737" s="16" t="n">
        <v>0</v>
      </c>
      <c r="U4737" s="16" t="n">
        <v>189</v>
      </c>
      <c r="V4737" s="16">
        <f>ROUNDUP((T4737+U4737+2*'Read Me'!$B$13)*(1+'Read Me'!$B$12),-1)</f>
        <v/>
      </c>
      <c r="W4737" s="16">
        <f>V4737*N4737*O4737</f>
        <v/>
      </c>
      <c r="X4737" s="12">
        <f>IF(LEFT(I4737,2)="MV",2*N4737*IF(L4737="1/C",O4737,1),0)</f>
        <v/>
      </c>
      <c r="Y4737" s="12">
        <f>IF(OR(LEFT(K4737,4)="LVAX",LEFT(K4737,6)="MV15AX",LEFT(K4737,4)="CTAX",LEFT(K4737,2)="W|"),2*N4737*O4737,0)</f>
        <v/>
      </c>
      <c r="Z4737" s="12" t="inlineStr"/>
      <c r="AA4737" s="12">
        <f>N4737*O4737</f>
        <v/>
      </c>
    </row>
    <row r="4738">
      <c r="A4738" s="12" t="inlineStr">
        <is>
          <t>I-I-0380</t>
        </is>
      </c>
      <c r="B4738" s="12" t="inlineStr">
        <is>
          <t>I</t>
        </is>
      </c>
      <c r="C4738" s="12" t="inlineStr">
        <is>
          <t>Modular / portable power</t>
        </is>
      </c>
      <c r="D4738" s="12" t="inlineStr">
        <is>
          <t>Discrete device to JB JB-RICE-7-DI02: 20 x 1 pr (field cables)</t>
        </is>
      </c>
      <c r="E4738" s="12" t="inlineStr">
        <is>
          <t>RICE-7</t>
        </is>
      </c>
      <c r="F4738" s="12" t="inlineStr">
        <is>
          <t>RICE engine-generator 7</t>
        </is>
      </c>
      <c r="G4738" s="12" t="inlineStr">
        <is>
          <t>JB-RICE-7-DI02</t>
        </is>
      </c>
      <c r="H4738" s="12" t="inlineStr">
        <is>
          <t>RICE engine-generator 7</t>
        </is>
      </c>
      <c r="I4738" s="12" t="inlineStr">
        <is>
          <t>Instrumentation</t>
        </is>
      </c>
      <c r="J4738" s="12" t="inlineStr">
        <is>
          <t>Instrumentation PLTC / TC-ER 300 V, #18 twisted shielded pairs, overall shield</t>
        </is>
      </c>
      <c r="K4738" s="12" t="inlineStr">
        <is>
          <t>PLTC|1 pr|16</t>
        </is>
      </c>
      <c r="L4738" s="12" t="inlineStr">
        <is>
          <t>1 pr</t>
        </is>
      </c>
      <c r="M4738" s="12" t="inlineStr">
        <is>
          <t>16</t>
        </is>
      </c>
      <c r="N4738" s="12" t="n">
        <v>20</v>
      </c>
      <c r="O4738" s="12" t="n">
        <v>1</v>
      </c>
      <c r="P4738" s="12" t="n"/>
      <c r="Q4738" s="12" t="n"/>
      <c r="R4738" s="12" t="n"/>
      <c r="S4738" s="12" t="inlineStr">
        <is>
          <t>Tray / conduit</t>
        </is>
      </c>
      <c r="T4738" s="16" t="n">
        <v>72</v>
      </c>
      <c r="U4738" s="16" t="n">
        <v>10</v>
      </c>
      <c r="V4738" s="16">
        <f>ROUNDUP((T4738+U4738+2*'Read Me'!$B$13)*(1+'Read Me'!$B$12),-1)</f>
        <v/>
      </c>
      <c r="W4738" s="16">
        <f>V4738*N4738*O4738</f>
        <v/>
      </c>
      <c r="X4738" s="12">
        <f>IF(LEFT(I4738,2)="MV",2*N4738*IF(L4738="1/C",O4738,1),0)</f>
        <v/>
      </c>
      <c r="Y4738" s="12">
        <f>IF(OR(LEFT(K4738,4)="LVAX",LEFT(K4738,6)="MV15AX",LEFT(K4738,4)="CTAX",LEFT(K4738,2)="W|"),2*N4738*O4738,0)</f>
        <v/>
      </c>
      <c r="Z4738" s="12" t="inlineStr">
        <is>
          <t>device-to-JB field wiring, one cable per device</t>
        </is>
      </c>
      <c r="AA4738" s="12">
        <f>N4738*O4738</f>
        <v/>
      </c>
    </row>
    <row r="4739">
      <c r="A4739" s="12" t="inlineStr">
        <is>
          <t>I-I-0381</t>
        </is>
      </c>
      <c r="B4739" s="12" t="inlineStr">
        <is>
          <t>I</t>
        </is>
      </c>
      <c r="C4739" s="12" t="inlineStr">
        <is>
          <t>Modular / portable power</t>
        </is>
      </c>
      <c r="D4739" s="12" t="inlineStr">
        <is>
          <t>Home run JB-RICE-7-DI02 to the control / marshalling room</t>
        </is>
      </c>
      <c r="E4739" s="12" t="inlineStr"/>
      <c r="F4739" s="12" t="inlineStr">
        <is>
          <t>PCM: power control module</t>
        </is>
      </c>
      <c r="G4739" s="12" t="inlineStr">
        <is>
          <t>JB-RICE-7-DI02</t>
        </is>
      </c>
      <c r="H4739" s="12" t="inlineStr">
        <is>
          <t>RICE engine-generator 7</t>
        </is>
      </c>
      <c r="I4739" s="12" t="inlineStr">
        <is>
          <t>Instrumentation</t>
        </is>
      </c>
      <c r="J4739" s="12" t="inlineStr">
        <is>
          <t>Instrumentation PLTC / TC-ER 300 V, #18 twisted shielded pairs, overall shield</t>
        </is>
      </c>
      <c r="K4739" s="12" t="inlineStr">
        <is>
          <t>PLTC|24 pr|18</t>
        </is>
      </c>
      <c r="L4739" s="12" t="inlineStr">
        <is>
          <t>24 pr</t>
        </is>
      </c>
      <c r="M4739" s="12" t="inlineStr">
        <is>
          <t>18</t>
        </is>
      </c>
      <c r="N4739" s="12" t="n">
        <v>1</v>
      </c>
      <c r="O4739" s="12" t="n">
        <v>1</v>
      </c>
      <c r="P4739" s="12" t="n"/>
      <c r="Q4739" s="12" t="n"/>
      <c r="R4739" s="12" t="n"/>
      <c r="S4739" s="12" t="inlineStr">
        <is>
          <t>Tray</t>
        </is>
      </c>
      <c r="T4739" s="16" t="n">
        <v>0</v>
      </c>
      <c r="U4739" s="16" t="n">
        <v>189</v>
      </c>
      <c r="V4739" s="16">
        <f>ROUNDUP((T4739+U4739+2*'Read Me'!$B$13)*(1+'Read Me'!$B$12),-1)</f>
        <v/>
      </c>
      <c r="W4739" s="16">
        <f>V4739*N4739*O4739</f>
        <v/>
      </c>
      <c r="X4739" s="12">
        <f>IF(LEFT(I4739,2)="MV",2*N4739*IF(L4739="1/C",O4739,1),0)</f>
        <v/>
      </c>
      <c r="Y4739" s="12">
        <f>IF(OR(LEFT(K4739,4)="LVAX",LEFT(K4739,6)="MV15AX",LEFT(K4739,4)="CTAX",LEFT(K4739,2)="W|"),2*N4739*O4739,0)</f>
        <v/>
      </c>
      <c r="Z4739" s="12" t="inlineStr"/>
      <c r="AA4739" s="12">
        <f>N4739*O4739</f>
        <v/>
      </c>
    </row>
    <row r="4740">
      <c r="A4740" s="12" t="inlineStr">
        <is>
          <t>I-I-0382</t>
        </is>
      </c>
      <c r="B4740" s="12" t="inlineStr">
        <is>
          <t>I</t>
        </is>
      </c>
      <c r="C4740" s="12" t="inlineStr">
        <is>
          <t>Modular / portable power</t>
        </is>
      </c>
      <c r="D4740" s="12" t="inlineStr">
        <is>
          <t>Discrete device to JB JB-RICE-7-DI03: 20 x 1 pr (field cables)</t>
        </is>
      </c>
      <c r="E4740" s="12" t="inlineStr">
        <is>
          <t>RICE-7</t>
        </is>
      </c>
      <c r="F4740" s="12" t="inlineStr">
        <is>
          <t>RICE engine-generator 7</t>
        </is>
      </c>
      <c r="G4740" s="12" t="inlineStr">
        <is>
          <t>JB-RICE-7-DI03</t>
        </is>
      </c>
      <c r="H4740" s="12" t="inlineStr">
        <is>
          <t>RICE engine-generator 7</t>
        </is>
      </c>
      <c r="I4740" s="12" t="inlineStr">
        <is>
          <t>Instrumentation</t>
        </is>
      </c>
      <c r="J4740" s="12" t="inlineStr">
        <is>
          <t>Instrumentation PLTC / TC-ER 300 V, #18 twisted shielded pairs, overall shield</t>
        </is>
      </c>
      <c r="K4740" s="12" t="inlineStr">
        <is>
          <t>PLTC|1 pr|16</t>
        </is>
      </c>
      <c r="L4740" s="12" t="inlineStr">
        <is>
          <t>1 pr</t>
        </is>
      </c>
      <c r="M4740" s="12" t="inlineStr">
        <is>
          <t>16</t>
        </is>
      </c>
      <c r="N4740" s="12" t="n">
        <v>20</v>
      </c>
      <c r="O4740" s="12" t="n">
        <v>1</v>
      </c>
      <c r="P4740" s="12" t="n"/>
      <c r="Q4740" s="12" t="n"/>
      <c r="R4740" s="12" t="n"/>
      <c r="S4740" s="12" t="inlineStr">
        <is>
          <t>Tray / conduit</t>
        </is>
      </c>
      <c r="T4740" s="16" t="n">
        <v>72</v>
      </c>
      <c r="U4740" s="16" t="n">
        <v>10</v>
      </c>
      <c r="V4740" s="16">
        <f>ROUNDUP((T4740+U4740+2*'Read Me'!$B$13)*(1+'Read Me'!$B$12),-1)</f>
        <v/>
      </c>
      <c r="W4740" s="16">
        <f>V4740*N4740*O4740</f>
        <v/>
      </c>
      <c r="X4740" s="12">
        <f>IF(LEFT(I4740,2)="MV",2*N4740*IF(L4740="1/C",O4740,1),0)</f>
        <v/>
      </c>
      <c r="Y4740" s="12">
        <f>IF(OR(LEFT(K4740,4)="LVAX",LEFT(K4740,6)="MV15AX",LEFT(K4740,4)="CTAX",LEFT(K4740,2)="W|"),2*N4740*O4740,0)</f>
        <v/>
      </c>
      <c r="Z4740" s="12" t="inlineStr">
        <is>
          <t>device-to-JB field wiring, one cable per device</t>
        </is>
      </c>
      <c r="AA4740" s="12">
        <f>N4740*O4740</f>
        <v/>
      </c>
    </row>
    <row r="4741">
      <c r="A4741" s="12" t="inlineStr">
        <is>
          <t>I-I-0383</t>
        </is>
      </c>
      <c r="B4741" s="12" t="inlineStr">
        <is>
          <t>I</t>
        </is>
      </c>
      <c r="C4741" s="12" t="inlineStr">
        <is>
          <t>Modular / portable power</t>
        </is>
      </c>
      <c r="D4741" s="12" t="inlineStr">
        <is>
          <t>Home run JB-RICE-7-DI03 to the control / marshalling room</t>
        </is>
      </c>
      <c r="E4741" s="12" t="inlineStr"/>
      <c r="F4741" s="12" t="inlineStr">
        <is>
          <t>PCM: power control module</t>
        </is>
      </c>
      <c r="G4741" s="12" t="inlineStr">
        <is>
          <t>JB-RICE-7-DI03</t>
        </is>
      </c>
      <c r="H4741" s="12" t="inlineStr">
        <is>
          <t>RICE engine-generator 7</t>
        </is>
      </c>
      <c r="I4741" s="12" t="inlineStr">
        <is>
          <t>Instrumentation</t>
        </is>
      </c>
      <c r="J4741" s="12" t="inlineStr">
        <is>
          <t>Instrumentation PLTC / TC-ER 300 V, #18 twisted shielded pairs, overall shield</t>
        </is>
      </c>
      <c r="K4741" s="12" t="inlineStr">
        <is>
          <t>PLTC|24 pr|18</t>
        </is>
      </c>
      <c r="L4741" s="12" t="inlineStr">
        <is>
          <t>24 pr</t>
        </is>
      </c>
      <c r="M4741" s="12" t="inlineStr">
        <is>
          <t>18</t>
        </is>
      </c>
      <c r="N4741" s="12" t="n">
        <v>1</v>
      </c>
      <c r="O4741" s="12" t="n">
        <v>1</v>
      </c>
      <c r="P4741" s="12" t="n"/>
      <c r="Q4741" s="12" t="n"/>
      <c r="R4741" s="12" t="n"/>
      <c r="S4741" s="12" t="inlineStr">
        <is>
          <t>Tray</t>
        </is>
      </c>
      <c r="T4741" s="16" t="n">
        <v>0</v>
      </c>
      <c r="U4741" s="16" t="n">
        <v>189</v>
      </c>
      <c r="V4741" s="16">
        <f>ROUNDUP((T4741+U4741+2*'Read Me'!$B$13)*(1+'Read Me'!$B$12),-1)</f>
        <v/>
      </c>
      <c r="W4741" s="16">
        <f>V4741*N4741*O4741</f>
        <v/>
      </c>
      <c r="X4741" s="12">
        <f>IF(LEFT(I4741,2)="MV",2*N4741*IF(L4741="1/C",O4741,1),0)</f>
        <v/>
      </c>
      <c r="Y4741" s="12">
        <f>IF(OR(LEFT(K4741,4)="LVAX",LEFT(K4741,6)="MV15AX",LEFT(K4741,4)="CTAX",LEFT(K4741,2)="W|"),2*N4741*O4741,0)</f>
        <v/>
      </c>
      <c r="Z4741" s="12" t="inlineStr"/>
      <c r="AA4741" s="12">
        <f>N4741*O4741</f>
        <v/>
      </c>
    </row>
    <row r="4742">
      <c r="A4742" s="12" t="inlineStr">
        <is>
          <t>I-I-0384</t>
        </is>
      </c>
      <c r="B4742" s="12" t="inlineStr">
        <is>
          <t>I</t>
        </is>
      </c>
      <c r="C4742" s="12" t="inlineStr">
        <is>
          <t>Modular / portable power</t>
        </is>
      </c>
      <c r="D4742" s="12" t="inlineStr">
        <is>
          <t>Thermocouple to TC JB JB-RICE-7-TC01: 20 x 1 pr (field cables)</t>
        </is>
      </c>
      <c r="E4742" s="12" t="inlineStr">
        <is>
          <t>RICE-7</t>
        </is>
      </c>
      <c r="F4742" s="12" t="inlineStr">
        <is>
          <t>RICE engine-generator 7</t>
        </is>
      </c>
      <c r="G4742" s="12" t="inlineStr">
        <is>
          <t>JB-RICE-7-TC01</t>
        </is>
      </c>
      <c r="H4742" s="12" t="inlineStr">
        <is>
          <t>RICE engine-generator 7</t>
        </is>
      </c>
      <c r="I4742" s="12" t="inlineStr">
        <is>
          <t>Instrumentation</t>
        </is>
      </c>
      <c r="J4742" s="12" t="inlineStr">
        <is>
          <t>Thermocouple extension KX, #16 shielded pairs, PLTC</t>
        </is>
      </c>
      <c r="K4742" s="12" t="inlineStr">
        <is>
          <t>TCX|1 pr|16</t>
        </is>
      </c>
      <c r="L4742" s="12" t="inlineStr">
        <is>
          <t>1 pr</t>
        </is>
      </c>
      <c r="M4742" s="12" t="inlineStr">
        <is>
          <t>16</t>
        </is>
      </c>
      <c r="N4742" s="12" t="n">
        <v>20</v>
      </c>
      <c r="O4742" s="12" t="n">
        <v>1</v>
      </c>
      <c r="P4742" s="12" t="n"/>
      <c r="Q4742" s="12" t="n"/>
      <c r="R4742" s="12" t="n"/>
      <c r="S4742" s="12" t="inlineStr">
        <is>
          <t>Tray / conduit</t>
        </is>
      </c>
      <c r="T4742" s="16" t="n">
        <v>72</v>
      </c>
      <c r="U4742" s="16" t="n">
        <v>10</v>
      </c>
      <c r="V4742" s="16">
        <f>ROUNDUP((T4742+U4742+2*'Read Me'!$B$13)*(1+'Read Me'!$B$12),-1)</f>
        <v/>
      </c>
      <c r="W4742" s="16">
        <f>V4742*N4742*O4742</f>
        <v/>
      </c>
      <c r="X4742" s="12">
        <f>IF(LEFT(I4742,2)="MV",2*N4742*IF(L4742="1/C",O4742,1),0)</f>
        <v/>
      </c>
      <c r="Y4742" s="12">
        <f>IF(OR(LEFT(K4742,4)="LVAX",LEFT(K4742,6)="MV15AX",LEFT(K4742,4)="CTAX",LEFT(K4742,2)="W|"),2*N4742*O4742,0)</f>
        <v/>
      </c>
      <c r="Z4742" s="12" t="inlineStr">
        <is>
          <t>device-to-JB field wiring, one cable per device</t>
        </is>
      </c>
      <c r="AA4742" s="12">
        <f>N4742*O4742</f>
        <v/>
      </c>
    </row>
    <row r="4743">
      <c r="A4743" s="12" t="inlineStr">
        <is>
          <t>I-I-0385</t>
        </is>
      </c>
      <c r="B4743" s="12" t="inlineStr">
        <is>
          <t>I</t>
        </is>
      </c>
      <c r="C4743" s="12" t="inlineStr">
        <is>
          <t>Modular / portable power</t>
        </is>
      </c>
      <c r="D4743" s="12" t="inlineStr">
        <is>
          <t>Home run JB-RICE-7-TC01 to the control / marshalling room</t>
        </is>
      </c>
      <c r="E4743" s="12" t="inlineStr"/>
      <c r="F4743" s="12" t="inlineStr">
        <is>
          <t>PCM: power control module</t>
        </is>
      </c>
      <c r="G4743" s="12" t="inlineStr">
        <is>
          <t>JB-RICE-7-TC01</t>
        </is>
      </c>
      <c r="H4743" s="12" t="inlineStr">
        <is>
          <t>RICE engine-generator 7</t>
        </is>
      </c>
      <c r="I4743" s="12" t="inlineStr">
        <is>
          <t>Instrumentation</t>
        </is>
      </c>
      <c r="J4743" s="12" t="inlineStr">
        <is>
          <t>Thermocouple extension KX, #16 shielded pairs, PLTC</t>
        </is>
      </c>
      <c r="K4743" s="12" t="inlineStr">
        <is>
          <t>TCX|24 pr|16</t>
        </is>
      </c>
      <c r="L4743" s="12" t="inlineStr">
        <is>
          <t>24 pr</t>
        </is>
      </c>
      <c r="M4743" s="12" t="inlineStr">
        <is>
          <t>16</t>
        </is>
      </c>
      <c r="N4743" s="12" t="n">
        <v>1</v>
      </c>
      <c r="O4743" s="12" t="n">
        <v>1</v>
      </c>
      <c r="P4743" s="12" t="n"/>
      <c r="Q4743" s="12" t="n"/>
      <c r="R4743" s="12" t="n"/>
      <c r="S4743" s="12" t="inlineStr">
        <is>
          <t>Tray</t>
        </is>
      </c>
      <c r="T4743" s="16" t="n">
        <v>0</v>
      </c>
      <c r="U4743" s="16" t="n">
        <v>189</v>
      </c>
      <c r="V4743" s="16">
        <f>ROUNDUP((T4743+U4743+2*'Read Me'!$B$13)*(1+'Read Me'!$B$12),-1)</f>
        <v/>
      </c>
      <c r="W4743" s="16">
        <f>V4743*N4743*O4743</f>
        <v/>
      </c>
      <c r="X4743" s="12">
        <f>IF(LEFT(I4743,2)="MV",2*N4743*IF(L4743="1/C",O4743,1),0)</f>
        <v/>
      </c>
      <c r="Y4743" s="12">
        <f>IF(OR(LEFT(K4743,4)="LVAX",LEFT(K4743,6)="MV15AX",LEFT(K4743,4)="CTAX",LEFT(K4743,2)="W|"),2*N4743*O4743,0)</f>
        <v/>
      </c>
      <c r="Z4743" s="12" t="inlineStr"/>
      <c r="AA4743" s="12">
        <f>N4743*O4743</f>
        <v/>
      </c>
    </row>
    <row r="4744">
      <c r="A4744" s="12" t="inlineStr">
        <is>
          <t>I-I-0386</t>
        </is>
      </c>
      <c r="B4744" s="12" t="inlineStr">
        <is>
          <t>I</t>
        </is>
      </c>
      <c r="C4744" s="12" t="inlineStr">
        <is>
          <t>Modular / portable power</t>
        </is>
      </c>
      <c r="D4744" s="12" t="inlineStr">
        <is>
          <t>Thermocouple to TC JB JB-RICE-7-TC02: 10 x 1 pr (field cables)</t>
        </is>
      </c>
      <c r="E4744" s="12" t="inlineStr">
        <is>
          <t>RICE-7</t>
        </is>
      </c>
      <c r="F4744" s="12" t="inlineStr">
        <is>
          <t>RICE engine-generator 7</t>
        </is>
      </c>
      <c r="G4744" s="12" t="inlineStr">
        <is>
          <t>JB-RICE-7-TC02</t>
        </is>
      </c>
      <c r="H4744" s="12" t="inlineStr">
        <is>
          <t>RICE engine-generator 7</t>
        </is>
      </c>
      <c r="I4744" s="12" t="inlineStr">
        <is>
          <t>Instrumentation</t>
        </is>
      </c>
      <c r="J4744" s="12" t="inlineStr">
        <is>
          <t>Thermocouple extension KX, #16 shielded pairs, PLTC</t>
        </is>
      </c>
      <c r="K4744" s="12" t="inlineStr">
        <is>
          <t>TCX|1 pr|16</t>
        </is>
      </c>
      <c r="L4744" s="12" t="inlineStr">
        <is>
          <t>1 pr</t>
        </is>
      </c>
      <c r="M4744" s="12" t="inlineStr">
        <is>
          <t>16</t>
        </is>
      </c>
      <c r="N4744" s="12" t="n">
        <v>10</v>
      </c>
      <c r="O4744" s="12" t="n">
        <v>1</v>
      </c>
      <c r="P4744" s="12" t="n"/>
      <c r="Q4744" s="12" t="n"/>
      <c r="R4744" s="12" t="n"/>
      <c r="S4744" s="12" t="inlineStr">
        <is>
          <t>Tray / conduit</t>
        </is>
      </c>
      <c r="T4744" s="16" t="n">
        <v>72</v>
      </c>
      <c r="U4744" s="16" t="n">
        <v>10</v>
      </c>
      <c r="V4744" s="16">
        <f>ROUNDUP((T4744+U4744+2*'Read Me'!$B$13)*(1+'Read Me'!$B$12),-1)</f>
        <v/>
      </c>
      <c r="W4744" s="16">
        <f>V4744*N4744*O4744</f>
        <v/>
      </c>
      <c r="X4744" s="12">
        <f>IF(LEFT(I4744,2)="MV",2*N4744*IF(L4744="1/C",O4744,1),0)</f>
        <v/>
      </c>
      <c r="Y4744" s="12">
        <f>IF(OR(LEFT(K4744,4)="LVAX",LEFT(K4744,6)="MV15AX",LEFT(K4744,4)="CTAX",LEFT(K4744,2)="W|"),2*N4744*O4744,0)</f>
        <v/>
      </c>
      <c r="Z4744" s="12" t="inlineStr">
        <is>
          <t>device-to-JB field wiring, one cable per device</t>
        </is>
      </c>
      <c r="AA4744" s="12">
        <f>N4744*O4744</f>
        <v/>
      </c>
    </row>
    <row r="4745">
      <c r="A4745" s="12" t="inlineStr">
        <is>
          <t>I-I-0387</t>
        </is>
      </c>
      <c r="B4745" s="12" t="inlineStr">
        <is>
          <t>I</t>
        </is>
      </c>
      <c r="C4745" s="12" t="inlineStr">
        <is>
          <t>Modular / portable power</t>
        </is>
      </c>
      <c r="D4745" s="12" t="inlineStr">
        <is>
          <t>Home run JB-RICE-7-TC02 to the control / marshalling room</t>
        </is>
      </c>
      <c r="E4745" s="12" t="inlineStr"/>
      <c r="F4745" s="12" t="inlineStr">
        <is>
          <t>PCM: power control module</t>
        </is>
      </c>
      <c r="G4745" s="12" t="inlineStr">
        <is>
          <t>JB-RICE-7-TC02</t>
        </is>
      </c>
      <c r="H4745" s="12" t="inlineStr">
        <is>
          <t>RICE engine-generator 7</t>
        </is>
      </c>
      <c r="I4745" s="12" t="inlineStr">
        <is>
          <t>Instrumentation</t>
        </is>
      </c>
      <c r="J4745" s="12" t="inlineStr">
        <is>
          <t>Thermocouple extension KX, #16 shielded pairs, PLTC</t>
        </is>
      </c>
      <c r="K4745" s="12" t="inlineStr">
        <is>
          <t>TCX|24 pr|16</t>
        </is>
      </c>
      <c r="L4745" s="12" t="inlineStr">
        <is>
          <t>24 pr</t>
        </is>
      </c>
      <c r="M4745" s="12" t="inlineStr">
        <is>
          <t>16</t>
        </is>
      </c>
      <c r="N4745" s="12" t="n">
        <v>1</v>
      </c>
      <c r="O4745" s="12" t="n">
        <v>1</v>
      </c>
      <c r="P4745" s="12" t="n"/>
      <c r="Q4745" s="12" t="n"/>
      <c r="R4745" s="12" t="n"/>
      <c r="S4745" s="12" t="inlineStr">
        <is>
          <t>Tray</t>
        </is>
      </c>
      <c r="T4745" s="16" t="n">
        <v>0</v>
      </c>
      <c r="U4745" s="16" t="n">
        <v>189</v>
      </c>
      <c r="V4745" s="16">
        <f>ROUNDUP((T4745+U4745+2*'Read Me'!$B$13)*(1+'Read Me'!$B$12),-1)</f>
        <v/>
      </c>
      <c r="W4745" s="16">
        <f>V4745*N4745*O4745</f>
        <v/>
      </c>
      <c r="X4745" s="12">
        <f>IF(LEFT(I4745,2)="MV",2*N4745*IF(L4745="1/C",O4745,1),0)</f>
        <v/>
      </c>
      <c r="Y4745" s="12">
        <f>IF(OR(LEFT(K4745,4)="LVAX",LEFT(K4745,6)="MV15AX",LEFT(K4745,4)="CTAX",LEFT(K4745,2)="W|"),2*N4745*O4745,0)</f>
        <v/>
      </c>
      <c r="Z4745" s="12" t="inlineStr"/>
      <c r="AA4745" s="12">
        <f>N4745*O4745</f>
        <v/>
      </c>
    </row>
    <row r="4746">
      <c r="A4746" s="12" t="inlineStr">
        <is>
          <t>I-I-0388</t>
        </is>
      </c>
      <c r="B4746" s="12" t="inlineStr">
        <is>
          <t>I</t>
        </is>
      </c>
      <c r="C4746" s="12" t="inlineStr">
        <is>
          <t>Modular / portable power</t>
        </is>
      </c>
      <c r="D4746" s="12" t="inlineStr">
        <is>
          <t>RTD to JB JB-RICE-7-RTD01: 10 x 1 tri (field cables)</t>
        </is>
      </c>
      <c r="E4746" s="12" t="inlineStr">
        <is>
          <t>RICE-7</t>
        </is>
      </c>
      <c r="F4746" s="12" t="inlineStr">
        <is>
          <t>RICE engine-generator 7</t>
        </is>
      </c>
      <c r="G4746" s="12" t="inlineStr">
        <is>
          <t>JB-RICE-7-RTD01</t>
        </is>
      </c>
      <c r="H4746" s="12" t="inlineStr">
        <is>
          <t>RICE engine-generator 7</t>
        </is>
      </c>
      <c r="I4746" s="12" t="inlineStr">
        <is>
          <t>Instrumentation</t>
        </is>
      </c>
      <c r="J4746" s="12" t="inlineStr">
        <is>
          <t>RTD cable, #18 shielded triads, PLTC</t>
        </is>
      </c>
      <c r="K4746" s="12" t="inlineStr">
        <is>
          <t>RTD|1 tri|18</t>
        </is>
      </c>
      <c r="L4746" s="12" t="inlineStr">
        <is>
          <t>1 tri</t>
        </is>
      </c>
      <c r="M4746" s="12" t="inlineStr">
        <is>
          <t>18</t>
        </is>
      </c>
      <c r="N4746" s="12" t="n">
        <v>10</v>
      </c>
      <c r="O4746" s="12" t="n">
        <v>1</v>
      </c>
      <c r="P4746" s="12" t="n"/>
      <c r="Q4746" s="12" t="n"/>
      <c r="R4746" s="12" t="n"/>
      <c r="S4746" s="12" t="inlineStr">
        <is>
          <t>Tray / conduit</t>
        </is>
      </c>
      <c r="T4746" s="16" t="n">
        <v>72</v>
      </c>
      <c r="U4746" s="16" t="n">
        <v>10</v>
      </c>
      <c r="V4746" s="16">
        <f>ROUNDUP((T4746+U4746+2*'Read Me'!$B$13)*(1+'Read Me'!$B$12),-1)</f>
        <v/>
      </c>
      <c r="W4746" s="16">
        <f>V4746*N4746*O4746</f>
        <v/>
      </c>
      <c r="X4746" s="12">
        <f>IF(LEFT(I4746,2)="MV",2*N4746*IF(L4746="1/C",O4746,1),0)</f>
        <v/>
      </c>
      <c r="Y4746" s="12">
        <f>IF(OR(LEFT(K4746,4)="LVAX",LEFT(K4746,6)="MV15AX",LEFT(K4746,4)="CTAX",LEFT(K4746,2)="W|"),2*N4746*O4746,0)</f>
        <v/>
      </c>
      <c r="Z4746" s="12" t="inlineStr">
        <is>
          <t>device-to-JB field wiring, one cable per device</t>
        </is>
      </c>
      <c r="AA4746" s="12">
        <f>N4746*O4746</f>
        <v/>
      </c>
    </row>
    <row r="4747">
      <c r="A4747" s="12" t="inlineStr">
        <is>
          <t>I-I-0389</t>
        </is>
      </c>
      <c r="B4747" s="12" t="inlineStr">
        <is>
          <t>I</t>
        </is>
      </c>
      <c r="C4747" s="12" t="inlineStr">
        <is>
          <t>Modular / portable power</t>
        </is>
      </c>
      <c r="D4747" s="12" t="inlineStr">
        <is>
          <t>Home run JB-RICE-7-RTD01 to the control / marshalling room</t>
        </is>
      </c>
      <c r="E4747" s="12" t="inlineStr"/>
      <c r="F4747" s="12" t="inlineStr">
        <is>
          <t>PCM: power control module</t>
        </is>
      </c>
      <c r="G4747" s="12" t="inlineStr">
        <is>
          <t>JB-RICE-7-RTD01</t>
        </is>
      </c>
      <c r="H4747" s="12" t="inlineStr">
        <is>
          <t>RICE engine-generator 7</t>
        </is>
      </c>
      <c r="I4747" s="12" t="inlineStr">
        <is>
          <t>Instrumentation</t>
        </is>
      </c>
      <c r="J4747" s="12" t="inlineStr">
        <is>
          <t>RTD cable, #18 shielded triads, PLTC</t>
        </is>
      </c>
      <c r="K4747" s="12" t="inlineStr">
        <is>
          <t>RTD|12 tri|18</t>
        </is>
      </c>
      <c r="L4747" s="12" t="inlineStr">
        <is>
          <t>12 tri</t>
        </is>
      </c>
      <c r="M4747" s="12" t="inlineStr">
        <is>
          <t>18</t>
        </is>
      </c>
      <c r="N4747" s="12" t="n">
        <v>1</v>
      </c>
      <c r="O4747" s="12" t="n">
        <v>1</v>
      </c>
      <c r="P4747" s="12" t="n"/>
      <c r="Q4747" s="12" t="n"/>
      <c r="R4747" s="12" t="n"/>
      <c r="S4747" s="12" t="inlineStr">
        <is>
          <t>Tray</t>
        </is>
      </c>
      <c r="T4747" s="16" t="n">
        <v>0</v>
      </c>
      <c r="U4747" s="16" t="n">
        <v>189</v>
      </c>
      <c r="V4747" s="16">
        <f>ROUNDUP((T4747+U4747+2*'Read Me'!$B$13)*(1+'Read Me'!$B$12),-1)</f>
        <v/>
      </c>
      <c r="W4747" s="16">
        <f>V4747*N4747*O4747</f>
        <v/>
      </c>
      <c r="X4747" s="12">
        <f>IF(LEFT(I4747,2)="MV",2*N4747*IF(L4747="1/C",O4747,1),0)</f>
        <v/>
      </c>
      <c r="Y4747" s="12">
        <f>IF(OR(LEFT(K4747,4)="LVAX",LEFT(K4747,6)="MV15AX",LEFT(K4747,4)="CTAX",LEFT(K4747,2)="W|"),2*N4747*O4747,0)</f>
        <v/>
      </c>
      <c r="Z4747" s="12" t="inlineStr"/>
      <c r="AA4747" s="12">
        <f>N4747*O4747</f>
        <v/>
      </c>
    </row>
    <row r="4748">
      <c r="A4748" s="12" t="inlineStr">
        <is>
          <t>I-I-0390</t>
        </is>
      </c>
      <c r="B4748" s="12" t="inlineStr">
        <is>
          <t>I</t>
        </is>
      </c>
      <c r="C4748" s="12" t="inlineStr">
        <is>
          <t>Modular / portable power</t>
        </is>
      </c>
      <c r="D4748" s="12" t="inlineStr">
        <is>
          <t>RTD to JB JB-RICE-7-RTD02: 2 x 1 tri (field cables)</t>
        </is>
      </c>
      <c r="E4748" s="12" t="inlineStr">
        <is>
          <t>RICE-7</t>
        </is>
      </c>
      <c r="F4748" s="12" t="inlineStr">
        <is>
          <t>RICE engine-generator 7</t>
        </is>
      </c>
      <c r="G4748" s="12" t="inlineStr">
        <is>
          <t>JB-RICE-7-RTD02</t>
        </is>
      </c>
      <c r="H4748" s="12" t="inlineStr">
        <is>
          <t>RICE engine-generator 7</t>
        </is>
      </c>
      <c r="I4748" s="12" t="inlineStr">
        <is>
          <t>Instrumentation</t>
        </is>
      </c>
      <c r="J4748" s="12" t="inlineStr">
        <is>
          <t>RTD cable, #18 shielded triads, PLTC</t>
        </is>
      </c>
      <c r="K4748" s="12" t="inlineStr">
        <is>
          <t>RTD|1 tri|18</t>
        </is>
      </c>
      <c r="L4748" s="12" t="inlineStr">
        <is>
          <t>1 tri</t>
        </is>
      </c>
      <c r="M4748" s="12" t="inlineStr">
        <is>
          <t>18</t>
        </is>
      </c>
      <c r="N4748" s="12" t="n">
        <v>2</v>
      </c>
      <c r="O4748" s="12" t="n">
        <v>1</v>
      </c>
      <c r="P4748" s="12" t="n"/>
      <c r="Q4748" s="12" t="n"/>
      <c r="R4748" s="12" t="n"/>
      <c r="S4748" s="12" t="inlineStr">
        <is>
          <t>Tray / conduit</t>
        </is>
      </c>
      <c r="T4748" s="16" t="n">
        <v>72</v>
      </c>
      <c r="U4748" s="16" t="n">
        <v>10</v>
      </c>
      <c r="V4748" s="16">
        <f>ROUNDUP((T4748+U4748+2*'Read Me'!$B$13)*(1+'Read Me'!$B$12),-1)</f>
        <v/>
      </c>
      <c r="W4748" s="16">
        <f>V4748*N4748*O4748</f>
        <v/>
      </c>
      <c r="X4748" s="12">
        <f>IF(LEFT(I4748,2)="MV",2*N4748*IF(L4748="1/C",O4748,1),0)</f>
        <v/>
      </c>
      <c r="Y4748" s="12">
        <f>IF(OR(LEFT(K4748,4)="LVAX",LEFT(K4748,6)="MV15AX",LEFT(K4748,4)="CTAX",LEFT(K4748,2)="W|"),2*N4748*O4748,0)</f>
        <v/>
      </c>
      <c r="Z4748" s="12" t="inlineStr">
        <is>
          <t>device-to-JB field wiring, one cable per device</t>
        </is>
      </c>
      <c r="AA4748" s="12">
        <f>N4748*O4748</f>
        <v/>
      </c>
    </row>
    <row r="4749">
      <c r="A4749" s="12" t="inlineStr">
        <is>
          <t>I-I-0391</t>
        </is>
      </c>
      <c r="B4749" s="12" t="inlineStr">
        <is>
          <t>I</t>
        </is>
      </c>
      <c r="C4749" s="12" t="inlineStr">
        <is>
          <t>Modular / portable power</t>
        </is>
      </c>
      <c r="D4749" s="12" t="inlineStr">
        <is>
          <t>Home run JB-RICE-7-RTD02 to the control / marshalling room</t>
        </is>
      </c>
      <c r="E4749" s="12" t="inlineStr"/>
      <c r="F4749" s="12" t="inlineStr">
        <is>
          <t>PCM: power control module</t>
        </is>
      </c>
      <c r="G4749" s="12" t="inlineStr">
        <is>
          <t>JB-RICE-7-RTD02</t>
        </is>
      </c>
      <c r="H4749" s="12" t="inlineStr">
        <is>
          <t>RICE engine-generator 7</t>
        </is>
      </c>
      <c r="I4749" s="12" t="inlineStr">
        <is>
          <t>Instrumentation</t>
        </is>
      </c>
      <c r="J4749" s="12" t="inlineStr">
        <is>
          <t>RTD cable, #18 shielded triads, PLTC</t>
        </is>
      </c>
      <c r="K4749" s="12" t="inlineStr">
        <is>
          <t>RTD|12 tri|18</t>
        </is>
      </c>
      <c r="L4749" s="12" t="inlineStr">
        <is>
          <t>12 tri</t>
        </is>
      </c>
      <c r="M4749" s="12" t="inlineStr">
        <is>
          <t>18</t>
        </is>
      </c>
      <c r="N4749" s="12" t="n">
        <v>1</v>
      </c>
      <c r="O4749" s="12" t="n">
        <v>1</v>
      </c>
      <c r="P4749" s="12" t="n"/>
      <c r="Q4749" s="12" t="n"/>
      <c r="R4749" s="12" t="n"/>
      <c r="S4749" s="12" t="inlineStr">
        <is>
          <t>Tray</t>
        </is>
      </c>
      <c r="T4749" s="16" t="n">
        <v>0</v>
      </c>
      <c r="U4749" s="16" t="n">
        <v>189</v>
      </c>
      <c r="V4749" s="16">
        <f>ROUNDUP((T4749+U4749+2*'Read Me'!$B$13)*(1+'Read Me'!$B$12),-1)</f>
        <v/>
      </c>
      <c r="W4749" s="16">
        <f>V4749*N4749*O4749</f>
        <v/>
      </c>
      <c r="X4749" s="12">
        <f>IF(LEFT(I4749,2)="MV",2*N4749*IF(L4749="1/C",O4749,1),0)</f>
        <v/>
      </c>
      <c r="Y4749" s="12">
        <f>IF(OR(LEFT(K4749,4)="LVAX",LEFT(K4749,6)="MV15AX",LEFT(K4749,4)="CTAX",LEFT(K4749,2)="W|"),2*N4749*O4749,0)</f>
        <v/>
      </c>
      <c r="Z4749" s="12" t="inlineStr"/>
      <c r="AA4749" s="12">
        <f>N4749*O4749</f>
        <v/>
      </c>
    </row>
    <row r="4750">
      <c r="A4750" s="12" t="inlineStr">
        <is>
          <t>I-I-0392</t>
        </is>
      </c>
      <c r="B4750" s="12" t="inlineStr">
        <is>
          <t>I</t>
        </is>
      </c>
      <c r="C4750" s="12" t="inlineStr">
        <is>
          <t>Modular / portable power</t>
        </is>
      </c>
      <c r="D4750" s="12" t="inlineStr">
        <is>
          <t>Analog instrument to JB JB-RICE-8-AI01: 20 x 1 pr (field cables)</t>
        </is>
      </c>
      <c r="E4750" s="12" t="inlineStr">
        <is>
          <t>RICE-8</t>
        </is>
      </c>
      <c r="F4750" s="12" t="inlineStr">
        <is>
          <t>RICE engine-generator 8</t>
        </is>
      </c>
      <c r="G4750" s="12" t="inlineStr">
        <is>
          <t>JB-RICE-8-AI01</t>
        </is>
      </c>
      <c r="H4750" s="12" t="inlineStr">
        <is>
          <t>RICE engine-generator 8</t>
        </is>
      </c>
      <c r="I4750" s="12" t="inlineStr">
        <is>
          <t>Instrumentation</t>
        </is>
      </c>
      <c r="J4750" s="12" t="inlineStr">
        <is>
          <t>Instrumentation PLTC / TC-ER 300 V, #18 twisted shielded pairs, overall shield</t>
        </is>
      </c>
      <c r="K4750" s="12" t="inlineStr">
        <is>
          <t>PLTC|1 pr|16</t>
        </is>
      </c>
      <c r="L4750" s="12" t="inlineStr">
        <is>
          <t>1 pr</t>
        </is>
      </c>
      <c r="M4750" s="12" t="inlineStr">
        <is>
          <t>16</t>
        </is>
      </c>
      <c r="N4750" s="12" t="n">
        <v>20</v>
      </c>
      <c r="O4750" s="12" t="n">
        <v>1</v>
      </c>
      <c r="P4750" s="12" t="n"/>
      <c r="Q4750" s="12" t="n"/>
      <c r="R4750" s="12" t="n"/>
      <c r="S4750" s="12" t="inlineStr">
        <is>
          <t>Tray / conduit</t>
        </is>
      </c>
      <c r="T4750" s="16" t="n">
        <v>72</v>
      </c>
      <c r="U4750" s="16" t="n">
        <v>10</v>
      </c>
      <c r="V4750" s="16">
        <f>ROUNDUP((T4750+U4750+2*'Read Me'!$B$13)*(1+'Read Me'!$B$12),-1)</f>
        <v/>
      </c>
      <c r="W4750" s="16">
        <f>V4750*N4750*O4750</f>
        <v/>
      </c>
      <c r="X4750" s="12">
        <f>IF(LEFT(I4750,2)="MV",2*N4750*IF(L4750="1/C",O4750,1),0)</f>
        <v/>
      </c>
      <c r="Y4750" s="12">
        <f>IF(OR(LEFT(K4750,4)="LVAX",LEFT(K4750,6)="MV15AX",LEFT(K4750,4)="CTAX",LEFT(K4750,2)="W|"),2*N4750*O4750,0)</f>
        <v/>
      </c>
      <c r="Z4750" s="12" t="inlineStr">
        <is>
          <t>device-to-JB field wiring, one cable per device</t>
        </is>
      </c>
      <c r="AA4750" s="12">
        <f>N4750*O4750</f>
        <v/>
      </c>
    </row>
    <row r="4751">
      <c r="A4751" s="12" t="inlineStr">
        <is>
          <t>I-I-0393</t>
        </is>
      </c>
      <c r="B4751" s="12" t="inlineStr">
        <is>
          <t>I</t>
        </is>
      </c>
      <c r="C4751" s="12" t="inlineStr">
        <is>
          <t>Modular / portable power</t>
        </is>
      </c>
      <c r="D4751" s="12" t="inlineStr">
        <is>
          <t>Home run JB-RICE-8-AI01 to the control / marshalling room</t>
        </is>
      </c>
      <c r="E4751" s="12" t="inlineStr"/>
      <c r="F4751" s="12" t="inlineStr">
        <is>
          <t>PCM: power control module</t>
        </is>
      </c>
      <c r="G4751" s="12" t="inlineStr">
        <is>
          <t>JB-RICE-8-AI01</t>
        </is>
      </c>
      <c r="H4751" s="12" t="inlineStr">
        <is>
          <t>RICE engine-generator 8</t>
        </is>
      </c>
      <c r="I4751" s="12" t="inlineStr">
        <is>
          <t>Instrumentation</t>
        </is>
      </c>
      <c r="J4751" s="12" t="inlineStr">
        <is>
          <t>Instrumentation PLTC / TC-ER 300 V, #18 twisted shielded pairs, overall shield</t>
        </is>
      </c>
      <c r="K4751" s="12" t="inlineStr">
        <is>
          <t>PLTC|24 pr|18</t>
        </is>
      </c>
      <c r="L4751" s="12" t="inlineStr">
        <is>
          <t>24 pr</t>
        </is>
      </c>
      <c r="M4751" s="12" t="inlineStr">
        <is>
          <t>18</t>
        </is>
      </c>
      <c r="N4751" s="12" t="n">
        <v>1</v>
      </c>
      <c r="O4751" s="12" t="n">
        <v>1</v>
      </c>
      <c r="P4751" s="12" t="n"/>
      <c r="Q4751" s="12" t="n"/>
      <c r="R4751" s="12" t="n"/>
      <c r="S4751" s="12" t="inlineStr">
        <is>
          <t>Tray</t>
        </is>
      </c>
      <c r="T4751" s="16" t="n">
        <v>0</v>
      </c>
      <c r="U4751" s="16" t="n">
        <v>161</v>
      </c>
      <c r="V4751" s="16">
        <f>ROUNDUP((T4751+U4751+2*'Read Me'!$B$13)*(1+'Read Me'!$B$12),-1)</f>
        <v/>
      </c>
      <c r="W4751" s="16">
        <f>V4751*N4751*O4751</f>
        <v/>
      </c>
      <c r="X4751" s="12">
        <f>IF(LEFT(I4751,2)="MV",2*N4751*IF(L4751="1/C",O4751,1),0)</f>
        <v/>
      </c>
      <c r="Y4751" s="12">
        <f>IF(OR(LEFT(K4751,4)="LVAX",LEFT(K4751,6)="MV15AX",LEFT(K4751,4)="CTAX",LEFT(K4751,2)="W|"),2*N4751*O4751,0)</f>
        <v/>
      </c>
      <c r="Z4751" s="12" t="inlineStr"/>
      <c r="AA4751" s="12">
        <f>N4751*O4751</f>
        <v/>
      </c>
    </row>
    <row r="4752">
      <c r="A4752" s="12" t="inlineStr">
        <is>
          <t>I-I-0394</t>
        </is>
      </c>
      <c r="B4752" s="12" t="inlineStr">
        <is>
          <t>I</t>
        </is>
      </c>
      <c r="C4752" s="12" t="inlineStr">
        <is>
          <t>Modular / portable power</t>
        </is>
      </c>
      <c r="D4752" s="12" t="inlineStr">
        <is>
          <t>Analog instrument to JB JB-RICE-8-AI02: 20 x 1 pr (field cables)</t>
        </is>
      </c>
      <c r="E4752" s="12" t="inlineStr">
        <is>
          <t>RICE-8</t>
        </is>
      </c>
      <c r="F4752" s="12" t="inlineStr">
        <is>
          <t>RICE engine-generator 8</t>
        </is>
      </c>
      <c r="G4752" s="12" t="inlineStr">
        <is>
          <t>JB-RICE-8-AI02</t>
        </is>
      </c>
      <c r="H4752" s="12" t="inlineStr">
        <is>
          <t>RICE engine-generator 8</t>
        </is>
      </c>
      <c r="I4752" s="12" t="inlineStr">
        <is>
          <t>Instrumentation</t>
        </is>
      </c>
      <c r="J4752" s="12" t="inlineStr">
        <is>
          <t>Instrumentation PLTC / TC-ER 300 V, #18 twisted shielded pairs, overall shield</t>
        </is>
      </c>
      <c r="K4752" s="12" t="inlineStr">
        <is>
          <t>PLTC|1 pr|16</t>
        </is>
      </c>
      <c r="L4752" s="12" t="inlineStr">
        <is>
          <t>1 pr</t>
        </is>
      </c>
      <c r="M4752" s="12" t="inlineStr">
        <is>
          <t>16</t>
        </is>
      </c>
      <c r="N4752" s="12" t="n">
        <v>20</v>
      </c>
      <c r="O4752" s="12" t="n">
        <v>1</v>
      </c>
      <c r="P4752" s="12" t="n"/>
      <c r="Q4752" s="12" t="n"/>
      <c r="R4752" s="12" t="n"/>
      <c r="S4752" s="12" t="inlineStr">
        <is>
          <t>Tray / conduit</t>
        </is>
      </c>
      <c r="T4752" s="16" t="n">
        <v>72</v>
      </c>
      <c r="U4752" s="16" t="n">
        <v>10</v>
      </c>
      <c r="V4752" s="16">
        <f>ROUNDUP((T4752+U4752+2*'Read Me'!$B$13)*(1+'Read Me'!$B$12),-1)</f>
        <v/>
      </c>
      <c r="W4752" s="16">
        <f>V4752*N4752*O4752</f>
        <v/>
      </c>
      <c r="X4752" s="12">
        <f>IF(LEFT(I4752,2)="MV",2*N4752*IF(L4752="1/C",O4752,1),0)</f>
        <v/>
      </c>
      <c r="Y4752" s="12">
        <f>IF(OR(LEFT(K4752,4)="LVAX",LEFT(K4752,6)="MV15AX",LEFT(K4752,4)="CTAX",LEFT(K4752,2)="W|"),2*N4752*O4752,0)</f>
        <v/>
      </c>
      <c r="Z4752" s="12" t="inlineStr">
        <is>
          <t>device-to-JB field wiring, one cable per device</t>
        </is>
      </c>
      <c r="AA4752" s="12">
        <f>N4752*O4752</f>
        <v/>
      </c>
    </row>
    <row r="4753">
      <c r="A4753" s="12" t="inlineStr">
        <is>
          <t>I-I-0395</t>
        </is>
      </c>
      <c r="B4753" s="12" t="inlineStr">
        <is>
          <t>I</t>
        </is>
      </c>
      <c r="C4753" s="12" t="inlineStr">
        <is>
          <t>Modular / portable power</t>
        </is>
      </c>
      <c r="D4753" s="12" t="inlineStr">
        <is>
          <t>Home run JB-RICE-8-AI02 to the control / marshalling room</t>
        </is>
      </c>
      <c r="E4753" s="12" t="inlineStr"/>
      <c r="F4753" s="12" t="inlineStr">
        <is>
          <t>PCM: power control module</t>
        </is>
      </c>
      <c r="G4753" s="12" t="inlineStr">
        <is>
          <t>JB-RICE-8-AI02</t>
        </is>
      </c>
      <c r="H4753" s="12" t="inlineStr">
        <is>
          <t>RICE engine-generator 8</t>
        </is>
      </c>
      <c r="I4753" s="12" t="inlineStr">
        <is>
          <t>Instrumentation</t>
        </is>
      </c>
      <c r="J4753" s="12" t="inlineStr">
        <is>
          <t>Instrumentation PLTC / TC-ER 300 V, #18 twisted shielded pairs, overall shield</t>
        </is>
      </c>
      <c r="K4753" s="12" t="inlineStr">
        <is>
          <t>PLTC|24 pr|18</t>
        </is>
      </c>
      <c r="L4753" s="12" t="inlineStr">
        <is>
          <t>24 pr</t>
        </is>
      </c>
      <c r="M4753" s="12" t="inlineStr">
        <is>
          <t>18</t>
        </is>
      </c>
      <c r="N4753" s="12" t="n">
        <v>1</v>
      </c>
      <c r="O4753" s="12" t="n">
        <v>1</v>
      </c>
      <c r="P4753" s="12" t="n"/>
      <c r="Q4753" s="12" t="n"/>
      <c r="R4753" s="12" t="n"/>
      <c r="S4753" s="12" t="inlineStr">
        <is>
          <t>Tray</t>
        </is>
      </c>
      <c r="T4753" s="16" t="n">
        <v>0</v>
      </c>
      <c r="U4753" s="16" t="n">
        <v>161</v>
      </c>
      <c r="V4753" s="16">
        <f>ROUNDUP((T4753+U4753+2*'Read Me'!$B$13)*(1+'Read Me'!$B$12),-1)</f>
        <v/>
      </c>
      <c r="W4753" s="16">
        <f>V4753*N4753*O4753</f>
        <v/>
      </c>
      <c r="X4753" s="12">
        <f>IF(LEFT(I4753,2)="MV",2*N4753*IF(L4753="1/C",O4753,1),0)</f>
        <v/>
      </c>
      <c r="Y4753" s="12">
        <f>IF(OR(LEFT(K4753,4)="LVAX",LEFT(K4753,6)="MV15AX",LEFT(K4753,4)="CTAX",LEFT(K4753,2)="W|"),2*N4753*O4753,0)</f>
        <v/>
      </c>
      <c r="Z4753" s="12" t="inlineStr"/>
      <c r="AA4753" s="12">
        <f>N4753*O4753</f>
        <v/>
      </c>
    </row>
    <row r="4754">
      <c r="A4754" s="12" t="inlineStr">
        <is>
          <t>I-I-0396</t>
        </is>
      </c>
      <c r="B4754" s="12" t="inlineStr">
        <is>
          <t>I</t>
        </is>
      </c>
      <c r="C4754" s="12" t="inlineStr">
        <is>
          <t>Modular / portable power</t>
        </is>
      </c>
      <c r="D4754" s="12" t="inlineStr">
        <is>
          <t>Analog instrument to JB JB-RICE-8-AI03: 20 x 1 pr (field cables)</t>
        </is>
      </c>
      <c r="E4754" s="12" t="inlineStr">
        <is>
          <t>RICE-8</t>
        </is>
      </c>
      <c r="F4754" s="12" t="inlineStr">
        <is>
          <t>RICE engine-generator 8</t>
        </is>
      </c>
      <c r="G4754" s="12" t="inlineStr">
        <is>
          <t>JB-RICE-8-AI03</t>
        </is>
      </c>
      <c r="H4754" s="12" t="inlineStr">
        <is>
          <t>RICE engine-generator 8</t>
        </is>
      </c>
      <c r="I4754" s="12" t="inlineStr">
        <is>
          <t>Instrumentation</t>
        </is>
      </c>
      <c r="J4754" s="12" t="inlineStr">
        <is>
          <t>Instrumentation PLTC / TC-ER 300 V, #18 twisted shielded pairs, overall shield</t>
        </is>
      </c>
      <c r="K4754" s="12" t="inlineStr">
        <is>
          <t>PLTC|1 pr|16</t>
        </is>
      </c>
      <c r="L4754" s="12" t="inlineStr">
        <is>
          <t>1 pr</t>
        </is>
      </c>
      <c r="M4754" s="12" t="inlineStr">
        <is>
          <t>16</t>
        </is>
      </c>
      <c r="N4754" s="12" t="n">
        <v>20</v>
      </c>
      <c r="O4754" s="12" t="n">
        <v>1</v>
      </c>
      <c r="P4754" s="12" t="n"/>
      <c r="Q4754" s="12" t="n"/>
      <c r="R4754" s="12" t="n"/>
      <c r="S4754" s="12" t="inlineStr">
        <is>
          <t>Tray / conduit</t>
        </is>
      </c>
      <c r="T4754" s="16" t="n">
        <v>72</v>
      </c>
      <c r="U4754" s="16" t="n">
        <v>10</v>
      </c>
      <c r="V4754" s="16">
        <f>ROUNDUP((T4754+U4754+2*'Read Me'!$B$13)*(1+'Read Me'!$B$12),-1)</f>
        <v/>
      </c>
      <c r="W4754" s="16">
        <f>V4754*N4754*O4754</f>
        <v/>
      </c>
      <c r="X4754" s="12">
        <f>IF(LEFT(I4754,2)="MV",2*N4754*IF(L4754="1/C",O4754,1),0)</f>
        <v/>
      </c>
      <c r="Y4754" s="12">
        <f>IF(OR(LEFT(K4754,4)="LVAX",LEFT(K4754,6)="MV15AX",LEFT(K4754,4)="CTAX",LEFT(K4754,2)="W|"),2*N4754*O4754,0)</f>
        <v/>
      </c>
      <c r="Z4754" s="12" t="inlineStr">
        <is>
          <t>device-to-JB field wiring, one cable per device</t>
        </is>
      </c>
      <c r="AA4754" s="12">
        <f>N4754*O4754</f>
        <v/>
      </c>
    </row>
    <row r="4755">
      <c r="A4755" s="12" t="inlineStr">
        <is>
          <t>I-I-0397</t>
        </is>
      </c>
      <c r="B4755" s="12" t="inlineStr">
        <is>
          <t>I</t>
        </is>
      </c>
      <c r="C4755" s="12" t="inlineStr">
        <is>
          <t>Modular / portable power</t>
        </is>
      </c>
      <c r="D4755" s="12" t="inlineStr">
        <is>
          <t>Home run JB-RICE-8-AI03 to the control / marshalling room</t>
        </is>
      </c>
      <c r="E4755" s="12" t="inlineStr"/>
      <c r="F4755" s="12" t="inlineStr">
        <is>
          <t>PCM: power control module</t>
        </is>
      </c>
      <c r="G4755" s="12" t="inlineStr">
        <is>
          <t>JB-RICE-8-AI03</t>
        </is>
      </c>
      <c r="H4755" s="12" t="inlineStr">
        <is>
          <t>RICE engine-generator 8</t>
        </is>
      </c>
      <c r="I4755" s="12" t="inlineStr">
        <is>
          <t>Instrumentation</t>
        </is>
      </c>
      <c r="J4755" s="12" t="inlineStr">
        <is>
          <t>Instrumentation PLTC / TC-ER 300 V, #18 twisted shielded pairs, overall shield</t>
        </is>
      </c>
      <c r="K4755" s="12" t="inlineStr">
        <is>
          <t>PLTC|24 pr|18</t>
        </is>
      </c>
      <c r="L4755" s="12" t="inlineStr">
        <is>
          <t>24 pr</t>
        </is>
      </c>
      <c r="M4755" s="12" t="inlineStr">
        <is>
          <t>18</t>
        </is>
      </c>
      <c r="N4755" s="12" t="n">
        <v>1</v>
      </c>
      <c r="O4755" s="12" t="n">
        <v>1</v>
      </c>
      <c r="P4755" s="12" t="n"/>
      <c r="Q4755" s="12" t="n"/>
      <c r="R4755" s="12" t="n"/>
      <c r="S4755" s="12" t="inlineStr">
        <is>
          <t>Tray</t>
        </is>
      </c>
      <c r="T4755" s="16" t="n">
        <v>0</v>
      </c>
      <c r="U4755" s="16" t="n">
        <v>161</v>
      </c>
      <c r="V4755" s="16">
        <f>ROUNDUP((T4755+U4755+2*'Read Me'!$B$13)*(1+'Read Me'!$B$12),-1)</f>
        <v/>
      </c>
      <c r="W4755" s="16">
        <f>V4755*N4755*O4755</f>
        <v/>
      </c>
      <c r="X4755" s="12">
        <f>IF(LEFT(I4755,2)="MV",2*N4755*IF(L4755="1/C",O4755,1),0)</f>
        <v/>
      </c>
      <c r="Y4755" s="12">
        <f>IF(OR(LEFT(K4755,4)="LVAX",LEFT(K4755,6)="MV15AX",LEFT(K4755,4)="CTAX",LEFT(K4755,2)="W|"),2*N4755*O4755,0)</f>
        <v/>
      </c>
      <c r="Z4755" s="12" t="inlineStr"/>
      <c r="AA4755" s="12">
        <f>N4755*O4755</f>
        <v/>
      </c>
    </row>
    <row r="4756">
      <c r="A4756" s="12" t="inlineStr">
        <is>
          <t>I-I-0398</t>
        </is>
      </c>
      <c r="B4756" s="12" t="inlineStr">
        <is>
          <t>I</t>
        </is>
      </c>
      <c r="C4756" s="12" t="inlineStr">
        <is>
          <t>Modular / portable power</t>
        </is>
      </c>
      <c r="D4756" s="12" t="inlineStr">
        <is>
          <t>Analog instrument to JB JB-RICE-8-AI04: 20 x 1 pr (field cables)</t>
        </is>
      </c>
      <c r="E4756" s="12" t="inlineStr">
        <is>
          <t>RICE-8</t>
        </is>
      </c>
      <c r="F4756" s="12" t="inlineStr">
        <is>
          <t>RICE engine-generator 8</t>
        </is>
      </c>
      <c r="G4756" s="12" t="inlineStr">
        <is>
          <t>JB-RICE-8-AI04</t>
        </is>
      </c>
      <c r="H4756" s="12" t="inlineStr">
        <is>
          <t>RICE engine-generator 8</t>
        </is>
      </c>
      <c r="I4756" s="12" t="inlineStr">
        <is>
          <t>Instrumentation</t>
        </is>
      </c>
      <c r="J4756" s="12" t="inlineStr">
        <is>
          <t>Instrumentation PLTC / TC-ER 300 V, #18 twisted shielded pairs, overall shield</t>
        </is>
      </c>
      <c r="K4756" s="12" t="inlineStr">
        <is>
          <t>PLTC|1 pr|16</t>
        </is>
      </c>
      <c r="L4756" s="12" t="inlineStr">
        <is>
          <t>1 pr</t>
        </is>
      </c>
      <c r="M4756" s="12" t="inlineStr">
        <is>
          <t>16</t>
        </is>
      </c>
      <c r="N4756" s="12" t="n">
        <v>20</v>
      </c>
      <c r="O4756" s="12" t="n">
        <v>1</v>
      </c>
      <c r="P4756" s="12" t="n"/>
      <c r="Q4756" s="12" t="n"/>
      <c r="R4756" s="12" t="n"/>
      <c r="S4756" s="12" t="inlineStr">
        <is>
          <t>Tray / conduit</t>
        </is>
      </c>
      <c r="T4756" s="16" t="n">
        <v>72</v>
      </c>
      <c r="U4756" s="16" t="n">
        <v>10</v>
      </c>
      <c r="V4756" s="16">
        <f>ROUNDUP((T4756+U4756+2*'Read Me'!$B$13)*(1+'Read Me'!$B$12),-1)</f>
        <v/>
      </c>
      <c r="W4756" s="16">
        <f>V4756*N4756*O4756</f>
        <v/>
      </c>
      <c r="X4756" s="12">
        <f>IF(LEFT(I4756,2)="MV",2*N4756*IF(L4756="1/C",O4756,1),0)</f>
        <v/>
      </c>
      <c r="Y4756" s="12">
        <f>IF(OR(LEFT(K4756,4)="LVAX",LEFT(K4756,6)="MV15AX",LEFT(K4756,4)="CTAX",LEFT(K4756,2)="W|"),2*N4756*O4756,0)</f>
        <v/>
      </c>
      <c r="Z4756" s="12" t="inlineStr">
        <is>
          <t>device-to-JB field wiring, one cable per device</t>
        </is>
      </c>
      <c r="AA4756" s="12">
        <f>N4756*O4756</f>
        <v/>
      </c>
    </row>
    <row r="4757">
      <c r="A4757" s="12" t="inlineStr">
        <is>
          <t>I-I-0399</t>
        </is>
      </c>
      <c r="B4757" s="12" t="inlineStr">
        <is>
          <t>I</t>
        </is>
      </c>
      <c r="C4757" s="12" t="inlineStr">
        <is>
          <t>Modular / portable power</t>
        </is>
      </c>
      <c r="D4757" s="12" t="inlineStr">
        <is>
          <t>Home run JB-RICE-8-AI04 to the control / marshalling room</t>
        </is>
      </c>
      <c r="E4757" s="12" t="inlineStr"/>
      <c r="F4757" s="12" t="inlineStr">
        <is>
          <t>PCM: power control module</t>
        </is>
      </c>
      <c r="G4757" s="12" t="inlineStr">
        <is>
          <t>JB-RICE-8-AI04</t>
        </is>
      </c>
      <c r="H4757" s="12" t="inlineStr">
        <is>
          <t>RICE engine-generator 8</t>
        </is>
      </c>
      <c r="I4757" s="12" t="inlineStr">
        <is>
          <t>Instrumentation</t>
        </is>
      </c>
      <c r="J4757" s="12" t="inlineStr">
        <is>
          <t>Instrumentation PLTC / TC-ER 300 V, #18 twisted shielded pairs, overall shield</t>
        </is>
      </c>
      <c r="K4757" s="12" t="inlineStr">
        <is>
          <t>PLTC|24 pr|18</t>
        </is>
      </c>
      <c r="L4757" s="12" t="inlineStr">
        <is>
          <t>24 pr</t>
        </is>
      </c>
      <c r="M4757" s="12" t="inlineStr">
        <is>
          <t>18</t>
        </is>
      </c>
      <c r="N4757" s="12" t="n">
        <v>1</v>
      </c>
      <c r="O4757" s="12" t="n">
        <v>1</v>
      </c>
      <c r="P4757" s="12" t="n"/>
      <c r="Q4757" s="12" t="n"/>
      <c r="R4757" s="12" t="n"/>
      <c r="S4757" s="12" t="inlineStr">
        <is>
          <t>Tray</t>
        </is>
      </c>
      <c r="T4757" s="16" t="n">
        <v>0</v>
      </c>
      <c r="U4757" s="16" t="n">
        <v>161</v>
      </c>
      <c r="V4757" s="16">
        <f>ROUNDUP((T4757+U4757+2*'Read Me'!$B$13)*(1+'Read Me'!$B$12),-1)</f>
        <v/>
      </c>
      <c r="W4757" s="16">
        <f>V4757*N4757*O4757</f>
        <v/>
      </c>
      <c r="X4757" s="12">
        <f>IF(LEFT(I4757,2)="MV",2*N4757*IF(L4757="1/C",O4757,1),0)</f>
        <v/>
      </c>
      <c r="Y4757" s="12">
        <f>IF(OR(LEFT(K4757,4)="LVAX",LEFT(K4757,6)="MV15AX",LEFT(K4757,4)="CTAX",LEFT(K4757,2)="W|"),2*N4757*O4757,0)</f>
        <v/>
      </c>
      <c r="Z4757" s="12" t="inlineStr"/>
      <c r="AA4757" s="12">
        <f>N4757*O4757</f>
        <v/>
      </c>
    </row>
    <row r="4758">
      <c r="A4758" s="12" t="inlineStr">
        <is>
          <t>I-I-0400</t>
        </is>
      </c>
      <c r="B4758" s="12" t="inlineStr">
        <is>
          <t>I</t>
        </is>
      </c>
      <c r="C4758" s="12" t="inlineStr">
        <is>
          <t>Modular / portable power</t>
        </is>
      </c>
      <c r="D4758" s="12" t="inlineStr">
        <is>
          <t>Discrete device to JB JB-RICE-8-DI01: 20 x 1 pr (field cables)</t>
        </is>
      </c>
      <c r="E4758" s="12" t="inlineStr">
        <is>
          <t>RICE-8</t>
        </is>
      </c>
      <c r="F4758" s="12" t="inlineStr">
        <is>
          <t>RICE engine-generator 8</t>
        </is>
      </c>
      <c r="G4758" s="12" t="inlineStr">
        <is>
          <t>JB-RICE-8-DI01</t>
        </is>
      </c>
      <c r="H4758" s="12" t="inlineStr">
        <is>
          <t>RICE engine-generator 8</t>
        </is>
      </c>
      <c r="I4758" s="12" t="inlineStr">
        <is>
          <t>Instrumentation</t>
        </is>
      </c>
      <c r="J4758" s="12" t="inlineStr">
        <is>
          <t>Instrumentation PLTC / TC-ER 300 V, #18 twisted shielded pairs, overall shield</t>
        </is>
      </c>
      <c r="K4758" s="12" t="inlineStr">
        <is>
          <t>PLTC|1 pr|16</t>
        </is>
      </c>
      <c r="L4758" s="12" t="inlineStr">
        <is>
          <t>1 pr</t>
        </is>
      </c>
      <c r="M4758" s="12" t="inlineStr">
        <is>
          <t>16</t>
        </is>
      </c>
      <c r="N4758" s="12" t="n">
        <v>20</v>
      </c>
      <c r="O4758" s="12" t="n">
        <v>1</v>
      </c>
      <c r="P4758" s="12" t="n"/>
      <c r="Q4758" s="12" t="n"/>
      <c r="R4758" s="12" t="n"/>
      <c r="S4758" s="12" t="inlineStr">
        <is>
          <t>Tray / conduit</t>
        </is>
      </c>
      <c r="T4758" s="16" t="n">
        <v>72</v>
      </c>
      <c r="U4758" s="16" t="n">
        <v>10</v>
      </c>
      <c r="V4758" s="16">
        <f>ROUNDUP((T4758+U4758+2*'Read Me'!$B$13)*(1+'Read Me'!$B$12),-1)</f>
        <v/>
      </c>
      <c r="W4758" s="16">
        <f>V4758*N4758*O4758</f>
        <v/>
      </c>
      <c r="X4758" s="12">
        <f>IF(LEFT(I4758,2)="MV",2*N4758*IF(L4758="1/C",O4758,1),0)</f>
        <v/>
      </c>
      <c r="Y4758" s="12">
        <f>IF(OR(LEFT(K4758,4)="LVAX",LEFT(K4758,6)="MV15AX",LEFT(K4758,4)="CTAX",LEFT(K4758,2)="W|"),2*N4758*O4758,0)</f>
        <v/>
      </c>
      <c r="Z4758" s="12" t="inlineStr">
        <is>
          <t>device-to-JB field wiring, one cable per device</t>
        </is>
      </c>
      <c r="AA4758" s="12">
        <f>N4758*O4758</f>
        <v/>
      </c>
    </row>
    <row r="4759">
      <c r="A4759" s="12" t="inlineStr">
        <is>
          <t>I-I-0401</t>
        </is>
      </c>
      <c r="B4759" s="12" t="inlineStr">
        <is>
          <t>I</t>
        </is>
      </c>
      <c r="C4759" s="12" t="inlineStr">
        <is>
          <t>Modular / portable power</t>
        </is>
      </c>
      <c r="D4759" s="12" t="inlineStr">
        <is>
          <t>Home run JB-RICE-8-DI01 to the control / marshalling room</t>
        </is>
      </c>
      <c r="E4759" s="12" t="inlineStr"/>
      <c r="F4759" s="12" t="inlineStr">
        <is>
          <t>PCM: power control module</t>
        </is>
      </c>
      <c r="G4759" s="12" t="inlineStr">
        <is>
          <t>JB-RICE-8-DI01</t>
        </is>
      </c>
      <c r="H4759" s="12" t="inlineStr">
        <is>
          <t>RICE engine-generator 8</t>
        </is>
      </c>
      <c r="I4759" s="12" t="inlineStr">
        <is>
          <t>Instrumentation</t>
        </is>
      </c>
      <c r="J4759" s="12" t="inlineStr">
        <is>
          <t>Instrumentation PLTC / TC-ER 300 V, #18 twisted shielded pairs, overall shield</t>
        </is>
      </c>
      <c r="K4759" s="12" t="inlineStr">
        <is>
          <t>PLTC|24 pr|18</t>
        </is>
      </c>
      <c r="L4759" s="12" t="inlineStr">
        <is>
          <t>24 pr</t>
        </is>
      </c>
      <c r="M4759" s="12" t="inlineStr">
        <is>
          <t>18</t>
        </is>
      </c>
      <c r="N4759" s="12" t="n">
        <v>1</v>
      </c>
      <c r="O4759" s="12" t="n">
        <v>1</v>
      </c>
      <c r="P4759" s="12" t="n"/>
      <c r="Q4759" s="12" t="n"/>
      <c r="R4759" s="12" t="n"/>
      <c r="S4759" s="12" t="inlineStr">
        <is>
          <t>Tray</t>
        </is>
      </c>
      <c r="T4759" s="16" t="n">
        <v>0</v>
      </c>
      <c r="U4759" s="16" t="n">
        <v>161</v>
      </c>
      <c r="V4759" s="16">
        <f>ROUNDUP((T4759+U4759+2*'Read Me'!$B$13)*(1+'Read Me'!$B$12),-1)</f>
        <v/>
      </c>
      <c r="W4759" s="16">
        <f>V4759*N4759*O4759</f>
        <v/>
      </c>
      <c r="X4759" s="12">
        <f>IF(LEFT(I4759,2)="MV",2*N4759*IF(L4759="1/C",O4759,1),0)</f>
        <v/>
      </c>
      <c r="Y4759" s="12">
        <f>IF(OR(LEFT(K4759,4)="LVAX",LEFT(K4759,6)="MV15AX",LEFT(K4759,4)="CTAX",LEFT(K4759,2)="W|"),2*N4759*O4759,0)</f>
        <v/>
      </c>
      <c r="Z4759" s="12" t="inlineStr"/>
      <c r="AA4759" s="12">
        <f>N4759*O4759</f>
        <v/>
      </c>
    </row>
    <row r="4760">
      <c r="A4760" s="12" t="inlineStr">
        <is>
          <t>I-I-0402</t>
        </is>
      </c>
      <c r="B4760" s="12" t="inlineStr">
        <is>
          <t>I</t>
        </is>
      </c>
      <c r="C4760" s="12" t="inlineStr">
        <is>
          <t>Modular / portable power</t>
        </is>
      </c>
      <c r="D4760" s="12" t="inlineStr">
        <is>
          <t>Discrete device to JB JB-RICE-8-DI02: 20 x 1 pr (field cables)</t>
        </is>
      </c>
      <c r="E4760" s="12" t="inlineStr">
        <is>
          <t>RICE-8</t>
        </is>
      </c>
      <c r="F4760" s="12" t="inlineStr">
        <is>
          <t>RICE engine-generator 8</t>
        </is>
      </c>
      <c r="G4760" s="12" t="inlineStr">
        <is>
          <t>JB-RICE-8-DI02</t>
        </is>
      </c>
      <c r="H4760" s="12" t="inlineStr">
        <is>
          <t>RICE engine-generator 8</t>
        </is>
      </c>
      <c r="I4760" s="12" t="inlineStr">
        <is>
          <t>Instrumentation</t>
        </is>
      </c>
      <c r="J4760" s="12" t="inlineStr">
        <is>
          <t>Instrumentation PLTC / TC-ER 300 V, #18 twisted shielded pairs, overall shield</t>
        </is>
      </c>
      <c r="K4760" s="12" t="inlineStr">
        <is>
          <t>PLTC|1 pr|16</t>
        </is>
      </c>
      <c r="L4760" s="12" t="inlineStr">
        <is>
          <t>1 pr</t>
        </is>
      </c>
      <c r="M4760" s="12" t="inlineStr">
        <is>
          <t>16</t>
        </is>
      </c>
      <c r="N4760" s="12" t="n">
        <v>20</v>
      </c>
      <c r="O4760" s="12" t="n">
        <v>1</v>
      </c>
      <c r="P4760" s="12" t="n"/>
      <c r="Q4760" s="12" t="n"/>
      <c r="R4760" s="12" t="n"/>
      <c r="S4760" s="12" t="inlineStr">
        <is>
          <t>Tray / conduit</t>
        </is>
      </c>
      <c r="T4760" s="16" t="n">
        <v>72</v>
      </c>
      <c r="U4760" s="16" t="n">
        <v>10</v>
      </c>
      <c r="V4760" s="16">
        <f>ROUNDUP((T4760+U4760+2*'Read Me'!$B$13)*(1+'Read Me'!$B$12),-1)</f>
        <v/>
      </c>
      <c r="W4760" s="16">
        <f>V4760*N4760*O4760</f>
        <v/>
      </c>
      <c r="X4760" s="12">
        <f>IF(LEFT(I4760,2)="MV",2*N4760*IF(L4760="1/C",O4760,1),0)</f>
        <v/>
      </c>
      <c r="Y4760" s="12">
        <f>IF(OR(LEFT(K4760,4)="LVAX",LEFT(K4760,6)="MV15AX",LEFT(K4760,4)="CTAX",LEFT(K4760,2)="W|"),2*N4760*O4760,0)</f>
        <v/>
      </c>
      <c r="Z4760" s="12" t="inlineStr">
        <is>
          <t>device-to-JB field wiring, one cable per device</t>
        </is>
      </c>
      <c r="AA4760" s="12">
        <f>N4760*O4760</f>
        <v/>
      </c>
    </row>
    <row r="4761">
      <c r="A4761" s="12" t="inlineStr">
        <is>
          <t>I-I-0403</t>
        </is>
      </c>
      <c r="B4761" s="12" t="inlineStr">
        <is>
          <t>I</t>
        </is>
      </c>
      <c r="C4761" s="12" t="inlineStr">
        <is>
          <t>Modular / portable power</t>
        </is>
      </c>
      <c r="D4761" s="12" t="inlineStr">
        <is>
          <t>Home run JB-RICE-8-DI02 to the control / marshalling room</t>
        </is>
      </c>
      <c r="E4761" s="12" t="inlineStr"/>
      <c r="F4761" s="12" t="inlineStr">
        <is>
          <t>PCM: power control module</t>
        </is>
      </c>
      <c r="G4761" s="12" t="inlineStr">
        <is>
          <t>JB-RICE-8-DI02</t>
        </is>
      </c>
      <c r="H4761" s="12" t="inlineStr">
        <is>
          <t>RICE engine-generator 8</t>
        </is>
      </c>
      <c r="I4761" s="12" t="inlineStr">
        <is>
          <t>Instrumentation</t>
        </is>
      </c>
      <c r="J4761" s="12" t="inlineStr">
        <is>
          <t>Instrumentation PLTC / TC-ER 300 V, #18 twisted shielded pairs, overall shield</t>
        </is>
      </c>
      <c r="K4761" s="12" t="inlineStr">
        <is>
          <t>PLTC|24 pr|18</t>
        </is>
      </c>
      <c r="L4761" s="12" t="inlineStr">
        <is>
          <t>24 pr</t>
        </is>
      </c>
      <c r="M4761" s="12" t="inlineStr">
        <is>
          <t>18</t>
        </is>
      </c>
      <c r="N4761" s="12" t="n">
        <v>1</v>
      </c>
      <c r="O4761" s="12" t="n">
        <v>1</v>
      </c>
      <c r="P4761" s="12" t="n"/>
      <c r="Q4761" s="12" t="n"/>
      <c r="R4761" s="12" t="n"/>
      <c r="S4761" s="12" t="inlineStr">
        <is>
          <t>Tray</t>
        </is>
      </c>
      <c r="T4761" s="16" t="n">
        <v>0</v>
      </c>
      <c r="U4761" s="16" t="n">
        <v>161</v>
      </c>
      <c r="V4761" s="16">
        <f>ROUNDUP((T4761+U4761+2*'Read Me'!$B$13)*(1+'Read Me'!$B$12),-1)</f>
        <v/>
      </c>
      <c r="W4761" s="16">
        <f>V4761*N4761*O4761</f>
        <v/>
      </c>
      <c r="X4761" s="12">
        <f>IF(LEFT(I4761,2)="MV",2*N4761*IF(L4761="1/C",O4761,1),0)</f>
        <v/>
      </c>
      <c r="Y4761" s="12">
        <f>IF(OR(LEFT(K4761,4)="LVAX",LEFT(K4761,6)="MV15AX",LEFT(K4761,4)="CTAX",LEFT(K4761,2)="W|"),2*N4761*O4761,0)</f>
        <v/>
      </c>
      <c r="Z4761" s="12" t="inlineStr"/>
      <c r="AA4761" s="12">
        <f>N4761*O4761</f>
        <v/>
      </c>
    </row>
    <row r="4762">
      <c r="A4762" s="12" t="inlineStr">
        <is>
          <t>I-I-0404</t>
        </is>
      </c>
      <c r="B4762" s="12" t="inlineStr">
        <is>
          <t>I</t>
        </is>
      </c>
      <c r="C4762" s="12" t="inlineStr">
        <is>
          <t>Modular / portable power</t>
        </is>
      </c>
      <c r="D4762" s="12" t="inlineStr">
        <is>
          <t>Discrete device to JB JB-RICE-8-DI03: 20 x 1 pr (field cables)</t>
        </is>
      </c>
      <c r="E4762" s="12" t="inlineStr">
        <is>
          <t>RICE-8</t>
        </is>
      </c>
      <c r="F4762" s="12" t="inlineStr">
        <is>
          <t>RICE engine-generator 8</t>
        </is>
      </c>
      <c r="G4762" s="12" t="inlineStr">
        <is>
          <t>JB-RICE-8-DI03</t>
        </is>
      </c>
      <c r="H4762" s="12" t="inlineStr">
        <is>
          <t>RICE engine-generator 8</t>
        </is>
      </c>
      <c r="I4762" s="12" t="inlineStr">
        <is>
          <t>Instrumentation</t>
        </is>
      </c>
      <c r="J4762" s="12" t="inlineStr">
        <is>
          <t>Instrumentation PLTC / TC-ER 300 V, #18 twisted shielded pairs, overall shield</t>
        </is>
      </c>
      <c r="K4762" s="12" t="inlineStr">
        <is>
          <t>PLTC|1 pr|16</t>
        </is>
      </c>
      <c r="L4762" s="12" t="inlineStr">
        <is>
          <t>1 pr</t>
        </is>
      </c>
      <c r="M4762" s="12" t="inlineStr">
        <is>
          <t>16</t>
        </is>
      </c>
      <c r="N4762" s="12" t="n">
        <v>20</v>
      </c>
      <c r="O4762" s="12" t="n">
        <v>1</v>
      </c>
      <c r="P4762" s="12" t="n"/>
      <c r="Q4762" s="12" t="n"/>
      <c r="R4762" s="12" t="n"/>
      <c r="S4762" s="12" t="inlineStr">
        <is>
          <t>Tray / conduit</t>
        </is>
      </c>
      <c r="T4762" s="16" t="n">
        <v>72</v>
      </c>
      <c r="U4762" s="16" t="n">
        <v>10</v>
      </c>
      <c r="V4762" s="16">
        <f>ROUNDUP((T4762+U4762+2*'Read Me'!$B$13)*(1+'Read Me'!$B$12),-1)</f>
        <v/>
      </c>
      <c r="W4762" s="16">
        <f>V4762*N4762*O4762</f>
        <v/>
      </c>
      <c r="X4762" s="12">
        <f>IF(LEFT(I4762,2)="MV",2*N4762*IF(L4762="1/C",O4762,1),0)</f>
        <v/>
      </c>
      <c r="Y4762" s="12">
        <f>IF(OR(LEFT(K4762,4)="LVAX",LEFT(K4762,6)="MV15AX",LEFT(K4762,4)="CTAX",LEFT(K4762,2)="W|"),2*N4762*O4762,0)</f>
        <v/>
      </c>
      <c r="Z4762" s="12" t="inlineStr">
        <is>
          <t>device-to-JB field wiring, one cable per device</t>
        </is>
      </c>
      <c r="AA4762" s="12">
        <f>N4762*O4762</f>
        <v/>
      </c>
    </row>
    <row r="4763">
      <c r="A4763" s="12" t="inlineStr">
        <is>
          <t>I-I-0405</t>
        </is>
      </c>
      <c r="B4763" s="12" t="inlineStr">
        <is>
          <t>I</t>
        </is>
      </c>
      <c r="C4763" s="12" t="inlineStr">
        <is>
          <t>Modular / portable power</t>
        </is>
      </c>
      <c r="D4763" s="12" t="inlineStr">
        <is>
          <t>Home run JB-RICE-8-DI03 to the control / marshalling room</t>
        </is>
      </c>
      <c r="E4763" s="12" t="inlineStr"/>
      <c r="F4763" s="12" t="inlineStr">
        <is>
          <t>PCM: power control module</t>
        </is>
      </c>
      <c r="G4763" s="12" t="inlineStr">
        <is>
          <t>JB-RICE-8-DI03</t>
        </is>
      </c>
      <c r="H4763" s="12" t="inlineStr">
        <is>
          <t>RICE engine-generator 8</t>
        </is>
      </c>
      <c r="I4763" s="12" t="inlineStr">
        <is>
          <t>Instrumentation</t>
        </is>
      </c>
      <c r="J4763" s="12" t="inlineStr">
        <is>
          <t>Instrumentation PLTC / TC-ER 300 V, #18 twisted shielded pairs, overall shield</t>
        </is>
      </c>
      <c r="K4763" s="12" t="inlineStr">
        <is>
          <t>PLTC|24 pr|18</t>
        </is>
      </c>
      <c r="L4763" s="12" t="inlineStr">
        <is>
          <t>24 pr</t>
        </is>
      </c>
      <c r="M4763" s="12" t="inlineStr">
        <is>
          <t>18</t>
        </is>
      </c>
      <c r="N4763" s="12" t="n">
        <v>1</v>
      </c>
      <c r="O4763" s="12" t="n">
        <v>1</v>
      </c>
      <c r="P4763" s="12" t="n"/>
      <c r="Q4763" s="12" t="n"/>
      <c r="R4763" s="12" t="n"/>
      <c r="S4763" s="12" t="inlineStr">
        <is>
          <t>Tray</t>
        </is>
      </c>
      <c r="T4763" s="16" t="n">
        <v>0</v>
      </c>
      <c r="U4763" s="16" t="n">
        <v>161</v>
      </c>
      <c r="V4763" s="16">
        <f>ROUNDUP((T4763+U4763+2*'Read Me'!$B$13)*(1+'Read Me'!$B$12),-1)</f>
        <v/>
      </c>
      <c r="W4763" s="16">
        <f>V4763*N4763*O4763</f>
        <v/>
      </c>
      <c r="X4763" s="12">
        <f>IF(LEFT(I4763,2)="MV",2*N4763*IF(L4763="1/C",O4763,1),0)</f>
        <v/>
      </c>
      <c r="Y4763" s="12">
        <f>IF(OR(LEFT(K4763,4)="LVAX",LEFT(K4763,6)="MV15AX",LEFT(K4763,4)="CTAX",LEFT(K4763,2)="W|"),2*N4763*O4763,0)</f>
        <v/>
      </c>
      <c r="Z4763" s="12" t="inlineStr"/>
      <c r="AA4763" s="12">
        <f>N4763*O4763</f>
        <v/>
      </c>
    </row>
    <row r="4764">
      <c r="A4764" s="12" t="inlineStr">
        <is>
          <t>I-I-0406</t>
        </is>
      </c>
      <c r="B4764" s="12" t="inlineStr">
        <is>
          <t>I</t>
        </is>
      </c>
      <c r="C4764" s="12" t="inlineStr">
        <is>
          <t>Modular / portable power</t>
        </is>
      </c>
      <c r="D4764" s="12" t="inlineStr">
        <is>
          <t>Thermocouple to TC JB JB-RICE-8-TC01: 20 x 1 pr (field cables)</t>
        </is>
      </c>
      <c r="E4764" s="12" t="inlineStr">
        <is>
          <t>RICE-8</t>
        </is>
      </c>
      <c r="F4764" s="12" t="inlineStr">
        <is>
          <t>RICE engine-generator 8</t>
        </is>
      </c>
      <c r="G4764" s="12" t="inlineStr">
        <is>
          <t>JB-RICE-8-TC01</t>
        </is>
      </c>
      <c r="H4764" s="12" t="inlineStr">
        <is>
          <t>RICE engine-generator 8</t>
        </is>
      </c>
      <c r="I4764" s="12" t="inlineStr">
        <is>
          <t>Instrumentation</t>
        </is>
      </c>
      <c r="J4764" s="12" t="inlineStr">
        <is>
          <t>Thermocouple extension KX, #16 shielded pairs, PLTC</t>
        </is>
      </c>
      <c r="K4764" s="12" t="inlineStr">
        <is>
          <t>TCX|1 pr|16</t>
        </is>
      </c>
      <c r="L4764" s="12" t="inlineStr">
        <is>
          <t>1 pr</t>
        </is>
      </c>
      <c r="M4764" s="12" t="inlineStr">
        <is>
          <t>16</t>
        </is>
      </c>
      <c r="N4764" s="12" t="n">
        <v>20</v>
      </c>
      <c r="O4764" s="12" t="n">
        <v>1</v>
      </c>
      <c r="P4764" s="12" t="n"/>
      <c r="Q4764" s="12" t="n"/>
      <c r="R4764" s="12" t="n"/>
      <c r="S4764" s="12" t="inlineStr">
        <is>
          <t>Tray / conduit</t>
        </is>
      </c>
      <c r="T4764" s="16" t="n">
        <v>72</v>
      </c>
      <c r="U4764" s="16" t="n">
        <v>10</v>
      </c>
      <c r="V4764" s="16">
        <f>ROUNDUP((T4764+U4764+2*'Read Me'!$B$13)*(1+'Read Me'!$B$12),-1)</f>
        <v/>
      </c>
      <c r="W4764" s="16">
        <f>V4764*N4764*O4764</f>
        <v/>
      </c>
      <c r="X4764" s="12">
        <f>IF(LEFT(I4764,2)="MV",2*N4764*IF(L4764="1/C",O4764,1),0)</f>
        <v/>
      </c>
      <c r="Y4764" s="12">
        <f>IF(OR(LEFT(K4764,4)="LVAX",LEFT(K4764,6)="MV15AX",LEFT(K4764,4)="CTAX",LEFT(K4764,2)="W|"),2*N4764*O4764,0)</f>
        <v/>
      </c>
      <c r="Z4764" s="12" t="inlineStr">
        <is>
          <t>device-to-JB field wiring, one cable per device</t>
        </is>
      </c>
      <c r="AA4764" s="12">
        <f>N4764*O4764</f>
        <v/>
      </c>
    </row>
    <row r="4765">
      <c r="A4765" s="12" t="inlineStr">
        <is>
          <t>I-I-0407</t>
        </is>
      </c>
      <c r="B4765" s="12" t="inlineStr">
        <is>
          <t>I</t>
        </is>
      </c>
      <c r="C4765" s="12" t="inlineStr">
        <is>
          <t>Modular / portable power</t>
        </is>
      </c>
      <c r="D4765" s="12" t="inlineStr">
        <is>
          <t>Home run JB-RICE-8-TC01 to the control / marshalling room</t>
        </is>
      </c>
      <c r="E4765" s="12" t="inlineStr"/>
      <c r="F4765" s="12" t="inlineStr">
        <is>
          <t>PCM: power control module</t>
        </is>
      </c>
      <c r="G4765" s="12" t="inlineStr">
        <is>
          <t>JB-RICE-8-TC01</t>
        </is>
      </c>
      <c r="H4765" s="12" t="inlineStr">
        <is>
          <t>RICE engine-generator 8</t>
        </is>
      </c>
      <c r="I4765" s="12" t="inlineStr">
        <is>
          <t>Instrumentation</t>
        </is>
      </c>
      <c r="J4765" s="12" t="inlineStr">
        <is>
          <t>Thermocouple extension KX, #16 shielded pairs, PLTC</t>
        </is>
      </c>
      <c r="K4765" s="12" t="inlineStr">
        <is>
          <t>TCX|24 pr|16</t>
        </is>
      </c>
      <c r="L4765" s="12" t="inlineStr">
        <is>
          <t>24 pr</t>
        </is>
      </c>
      <c r="M4765" s="12" t="inlineStr">
        <is>
          <t>16</t>
        </is>
      </c>
      <c r="N4765" s="12" t="n">
        <v>1</v>
      </c>
      <c r="O4765" s="12" t="n">
        <v>1</v>
      </c>
      <c r="P4765" s="12" t="n"/>
      <c r="Q4765" s="12" t="n"/>
      <c r="R4765" s="12" t="n"/>
      <c r="S4765" s="12" t="inlineStr">
        <is>
          <t>Tray</t>
        </is>
      </c>
      <c r="T4765" s="16" t="n">
        <v>0</v>
      </c>
      <c r="U4765" s="16" t="n">
        <v>161</v>
      </c>
      <c r="V4765" s="16">
        <f>ROUNDUP((T4765+U4765+2*'Read Me'!$B$13)*(1+'Read Me'!$B$12),-1)</f>
        <v/>
      </c>
      <c r="W4765" s="16">
        <f>V4765*N4765*O4765</f>
        <v/>
      </c>
      <c r="X4765" s="12">
        <f>IF(LEFT(I4765,2)="MV",2*N4765*IF(L4765="1/C",O4765,1),0)</f>
        <v/>
      </c>
      <c r="Y4765" s="12">
        <f>IF(OR(LEFT(K4765,4)="LVAX",LEFT(K4765,6)="MV15AX",LEFT(K4765,4)="CTAX",LEFT(K4765,2)="W|"),2*N4765*O4765,0)</f>
        <v/>
      </c>
      <c r="Z4765" s="12" t="inlineStr"/>
      <c r="AA4765" s="12">
        <f>N4765*O4765</f>
        <v/>
      </c>
    </row>
    <row r="4766">
      <c r="A4766" s="12" t="inlineStr">
        <is>
          <t>I-I-0408</t>
        </is>
      </c>
      <c r="B4766" s="12" t="inlineStr">
        <is>
          <t>I</t>
        </is>
      </c>
      <c r="C4766" s="12" t="inlineStr">
        <is>
          <t>Modular / portable power</t>
        </is>
      </c>
      <c r="D4766" s="12" t="inlineStr">
        <is>
          <t>Thermocouple to TC JB JB-RICE-8-TC02: 10 x 1 pr (field cables)</t>
        </is>
      </c>
      <c r="E4766" s="12" t="inlineStr">
        <is>
          <t>RICE-8</t>
        </is>
      </c>
      <c r="F4766" s="12" t="inlineStr">
        <is>
          <t>RICE engine-generator 8</t>
        </is>
      </c>
      <c r="G4766" s="12" t="inlineStr">
        <is>
          <t>JB-RICE-8-TC02</t>
        </is>
      </c>
      <c r="H4766" s="12" t="inlineStr">
        <is>
          <t>RICE engine-generator 8</t>
        </is>
      </c>
      <c r="I4766" s="12" t="inlineStr">
        <is>
          <t>Instrumentation</t>
        </is>
      </c>
      <c r="J4766" s="12" t="inlineStr">
        <is>
          <t>Thermocouple extension KX, #16 shielded pairs, PLTC</t>
        </is>
      </c>
      <c r="K4766" s="12" t="inlineStr">
        <is>
          <t>TCX|1 pr|16</t>
        </is>
      </c>
      <c r="L4766" s="12" t="inlineStr">
        <is>
          <t>1 pr</t>
        </is>
      </c>
      <c r="M4766" s="12" t="inlineStr">
        <is>
          <t>16</t>
        </is>
      </c>
      <c r="N4766" s="12" t="n">
        <v>10</v>
      </c>
      <c r="O4766" s="12" t="n">
        <v>1</v>
      </c>
      <c r="P4766" s="12" t="n"/>
      <c r="Q4766" s="12" t="n"/>
      <c r="R4766" s="12" t="n"/>
      <c r="S4766" s="12" t="inlineStr">
        <is>
          <t>Tray / conduit</t>
        </is>
      </c>
      <c r="T4766" s="16" t="n">
        <v>72</v>
      </c>
      <c r="U4766" s="16" t="n">
        <v>10</v>
      </c>
      <c r="V4766" s="16">
        <f>ROUNDUP((T4766+U4766+2*'Read Me'!$B$13)*(1+'Read Me'!$B$12),-1)</f>
        <v/>
      </c>
      <c r="W4766" s="16">
        <f>V4766*N4766*O4766</f>
        <v/>
      </c>
      <c r="X4766" s="12">
        <f>IF(LEFT(I4766,2)="MV",2*N4766*IF(L4766="1/C",O4766,1),0)</f>
        <v/>
      </c>
      <c r="Y4766" s="12">
        <f>IF(OR(LEFT(K4766,4)="LVAX",LEFT(K4766,6)="MV15AX",LEFT(K4766,4)="CTAX",LEFT(K4766,2)="W|"),2*N4766*O4766,0)</f>
        <v/>
      </c>
      <c r="Z4766" s="12" t="inlineStr">
        <is>
          <t>device-to-JB field wiring, one cable per device</t>
        </is>
      </c>
      <c r="AA4766" s="12">
        <f>N4766*O4766</f>
        <v/>
      </c>
    </row>
    <row r="4767">
      <c r="A4767" s="12" t="inlineStr">
        <is>
          <t>I-I-0409</t>
        </is>
      </c>
      <c r="B4767" s="12" t="inlineStr">
        <is>
          <t>I</t>
        </is>
      </c>
      <c r="C4767" s="12" t="inlineStr">
        <is>
          <t>Modular / portable power</t>
        </is>
      </c>
      <c r="D4767" s="12" t="inlineStr">
        <is>
          <t>Home run JB-RICE-8-TC02 to the control / marshalling room</t>
        </is>
      </c>
      <c r="E4767" s="12" t="inlineStr"/>
      <c r="F4767" s="12" t="inlineStr">
        <is>
          <t>PCM: power control module</t>
        </is>
      </c>
      <c r="G4767" s="12" t="inlineStr">
        <is>
          <t>JB-RICE-8-TC02</t>
        </is>
      </c>
      <c r="H4767" s="12" t="inlineStr">
        <is>
          <t>RICE engine-generator 8</t>
        </is>
      </c>
      <c r="I4767" s="12" t="inlineStr">
        <is>
          <t>Instrumentation</t>
        </is>
      </c>
      <c r="J4767" s="12" t="inlineStr">
        <is>
          <t>Thermocouple extension KX, #16 shielded pairs, PLTC</t>
        </is>
      </c>
      <c r="K4767" s="12" t="inlineStr">
        <is>
          <t>TCX|24 pr|16</t>
        </is>
      </c>
      <c r="L4767" s="12" t="inlineStr">
        <is>
          <t>24 pr</t>
        </is>
      </c>
      <c r="M4767" s="12" t="inlineStr">
        <is>
          <t>16</t>
        </is>
      </c>
      <c r="N4767" s="12" t="n">
        <v>1</v>
      </c>
      <c r="O4767" s="12" t="n">
        <v>1</v>
      </c>
      <c r="P4767" s="12" t="n"/>
      <c r="Q4767" s="12" t="n"/>
      <c r="R4767" s="12" t="n"/>
      <c r="S4767" s="12" t="inlineStr">
        <is>
          <t>Tray</t>
        </is>
      </c>
      <c r="T4767" s="16" t="n">
        <v>0</v>
      </c>
      <c r="U4767" s="16" t="n">
        <v>161</v>
      </c>
      <c r="V4767" s="16">
        <f>ROUNDUP((T4767+U4767+2*'Read Me'!$B$13)*(1+'Read Me'!$B$12),-1)</f>
        <v/>
      </c>
      <c r="W4767" s="16">
        <f>V4767*N4767*O4767</f>
        <v/>
      </c>
      <c r="X4767" s="12">
        <f>IF(LEFT(I4767,2)="MV",2*N4767*IF(L4767="1/C",O4767,1),0)</f>
        <v/>
      </c>
      <c r="Y4767" s="12">
        <f>IF(OR(LEFT(K4767,4)="LVAX",LEFT(K4767,6)="MV15AX",LEFT(K4767,4)="CTAX",LEFT(K4767,2)="W|"),2*N4767*O4767,0)</f>
        <v/>
      </c>
      <c r="Z4767" s="12" t="inlineStr"/>
      <c r="AA4767" s="12">
        <f>N4767*O4767</f>
        <v/>
      </c>
    </row>
    <row r="4768">
      <c r="A4768" s="12" t="inlineStr">
        <is>
          <t>I-I-0410</t>
        </is>
      </c>
      <c r="B4768" s="12" t="inlineStr">
        <is>
          <t>I</t>
        </is>
      </c>
      <c r="C4768" s="12" t="inlineStr">
        <is>
          <t>Modular / portable power</t>
        </is>
      </c>
      <c r="D4768" s="12" t="inlineStr">
        <is>
          <t>RTD to JB JB-RICE-8-RTD01: 10 x 1 tri (field cables)</t>
        </is>
      </c>
      <c r="E4768" s="12" t="inlineStr">
        <is>
          <t>RICE-8</t>
        </is>
      </c>
      <c r="F4768" s="12" t="inlineStr">
        <is>
          <t>RICE engine-generator 8</t>
        </is>
      </c>
      <c r="G4768" s="12" t="inlineStr">
        <is>
          <t>JB-RICE-8-RTD01</t>
        </is>
      </c>
      <c r="H4768" s="12" t="inlineStr">
        <is>
          <t>RICE engine-generator 8</t>
        </is>
      </c>
      <c r="I4768" s="12" t="inlineStr">
        <is>
          <t>Instrumentation</t>
        </is>
      </c>
      <c r="J4768" s="12" t="inlineStr">
        <is>
          <t>RTD cable, #18 shielded triads, PLTC</t>
        </is>
      </c>
      <c r="K4768" s="12" t="inlineStr">
        <is>
          <t>RTD|1 tri|18</t>
        </is>
      </c>
      <c r="L4768" s="12" t="inlineStr">
        <is>
          <t>1 tri</t>
        </is>
      </c>
      <c r="M4768" s="12" t="inlineStr">
        <is>
          <t>18</t>
        </is>
      </c>
      <c r="N4768" s="12" t="n">
        <v>10</v>
      </c>
      <c r="O4768" s="12" t="n">
        <v>1</v>
      </c>
      <c r="P4768" s="12" t="n"/>
      <c r="Q4768" s="12" t="n"/>
      <c r="R4768" s="12" t="n"/>
      <c r="S4768" s="12" t="inlineStr">
        <is>
          <t>Tray / conduit</t>
        </is>
      </c>
      <c r="T4768" s="16" t="n">
        <v>72</v>
      </c>
      <c r="U4768" s="16" t="n">
        <v>10</v>
      </c>
      <c r="V4768" s="16">
        <f>ROUNDUP((T4768+U4768+2*'Read Me'!$B$13)*(1+'Read Me'!$B$12),-1)</f>
        <v/>
      </c>
      <c r="W4768" s="16">
        <f>V4768*N4768*O4768</f>
        <v/>
      </c>
      <c r="X4768" s="12">
        <f>IF(LEFT(I4768,2)="MV",2*N4768*IF(L4768="1/C",O4768,1),0)</f>
        <v/>
      </c>
      <c r="Y4768" s="12">
        <f>IF(OR(LEFT(K4768,4)="LVAX",LEFT(K4768,6)="MV15AX",LEFT(K4768,4)="CTAX",LEFT(K4768,2)="W|"),2*N4768*O4768,0)</f>
        <v/>
      </c>
      <c r="Z4768" s="12" t="inlineStr">
        <is>
          <t>device-to-JB field wiring, one cable per device</t>
        </is>
      </c>
      <c r="AA4768" s="12">
        <f>N4768*O4768</f>
        <v/>
      </c>
    </row>
    <row r="4769">
      <c r="A4769" s="12" t="inlineStr">
        <is>
          <t>I-I-0411</t>
        </is>
      </c>
      <c r="B4769" s="12" t="inlineStr">
        <is>
          <t>I</t>
        </is>
      </c>
      <c r="C4769" s="12" t="inlineStr">
        <is>
          <t>Modular / portable power</t>
        </is>
      </c>
      <c r="D4769" s="12" t="inlineStr">
        <is>
          <t>Home run JB-RICE-8-RTD01 to the control / marshalling room</t>
        </is>
      </c>
      <c r="E4769" s="12" t="inlineStr"/>
      <c r="F4769" s="12" t="inlineStr">
        <is>
          <t>PCM: power control module</t>
        </is>
      </c>
      <c r="G4769" s="12" t="inlineStr">
        <is>
          <t>JB-RICE-8-RTD01</t>
        </is>
      </c>
      <c r="H4769" s="12" t="inlineStr">
        <is>
          <t>RICE engine-generator 8</t>
        </is>
      </c>
      <c r="I4769" s="12" t="inlineStr">
        <is>
          <t>Instrumentation</t>
        </is>
      </c>
      <c r="J4769" s="12" t="inlineStr">
        <is>
          <t>RTD cable, #18 shielded triads, PLTC</t>
        </is>
      </c>
      <c r="K4769" s="12" t="inlineStr">
        <is>
          <t>RTD|12 tri|18</t>
        </is>
      </c>
      <c r="L4769" s="12" t="inlineStr">
        <is>
          <t>12 tri</t>
        </is>
      </c>
      <c r="M4769" s="12" t="inlineStr">
        <is>
          <t>18</t>
        </is>
      </c>
      <c r="N4769" s="12" t="n">
        <v>1</v>
      </c>
      <c r="O4769" s="12" t="n">
        <v>1</v>
      </c>
      <c r="P4769" s="12" t="n"/>
      <c r="Q4769" s="12" t="n"/>
      <c r="R4769" s="12" t="n"/>
      <c r="S4769" s="12" t="inlineStr">
        <is>
          <t>Tray</t>
        </is>
      </c>
      <c r="T4769" s="16" t="n">
        <v>0</v>
      </c>
      <c r="U4769" s="16" t="n">
        <v>161</v>
      </c>
      <c r="V4769" s="16">
        <f>ROUNDUP((T4769+U4769+2*'Read Me'!$B$13)*(1+'Read Me'!$B$12),-1)</f>
        <v/>
      </c>
      <c r="W4769" s="16">
        <f>V4769*N4769*O4769</f>
        <v/>
      </c>
      <c r="X4769" s="12">
        <f>IF(LEFT(I4769,2)="MV",2*N4769*IF(L4769="1/C",O4769,1),0)</f>
        <v/>
      </c>
      <c r="Y4769" s="12">
        <f>IF(OR(LEFT(K4769,4)="LVAX",LEFT(K4769,6)="MV15AX",LEFT(K4769,4)="CTAX",LEFT(K4769,2)="W|"),2*N4769*O4769,0)</f>
        <v/>
      </c>
      <c r="Z4769" s="12" t="inlineStr"/>
      <c r="AA4769" s="12">
        <f>N4769*O4769</f>
        <v/>
      </c>
    </row>
    <row r="4770">
      <c r="A4770" s="12" t="inlineStr">
        <is>
          <t>I-I-0412</t>
        </is>
      </c>
      <c r="B4770" s="12" t="inlineStr">
        <is>
          <t>I</t>
        </is>
      </c>
      <c r="C4770" s="12" t="inlineStr">
        <is>
          <t>Modular / portable power</t>
        </is>
      </c>
      <c r="D4770" s="12" t="inlineStr">
        <is>
          <t>RTD to JB JB-RICE-8-RTD02: 2 x 1 tri (field cables)</t>
        </is>
      </c>
      <c r="E4770" s="12" t="inlineStr">
        <is>
          <t>RICE-8</t>
        </is>
      </c>
      <c r="F4770" s="12" t="inlineStr">
        <is>
          <t>RICE engine-generator 8</t>
        </is>
      </c>
      <c r="G4770" s="12" t="inlineStr">
        <is>
          <t>JB-RICE-8-RTD02</t>
        </is>
      </c>
      <c r="H4770" s="12" t="inlineStr">
        <is>
          <t>RICE engine-generator 8</t>
        </is>
      </c>
      <c r="I4770" s="12" t="inlineStr">
        <is>
          <t>Instrumentation</t>
        </is>
      </c>
      <c r="J4770" s="12" t="inlineStr">
        <is>
          <t>RTD cable, #18 shielded triads, PLTC</t>
        </is>
      </c>
      <c r="K4770" s="12" t="inlineStr">
        <is>
          <t>RTD|1 tri|18</t>
        </is>
      </c>
      <c r="L4770" s="12" t="inlineStr">
        <is>
          <t>1 tri</t>
        </is>
      </c>
      <c r="M4770" s="12" t="inlineStr">
        <is>
          <t>18</t>
        </is>
      </c>
      <c r="N4770" s="12" t="n">
        <v>2</v>
      </c>
      <c r="O4770" s="12" t="n">
        <v>1</v>
      </c>
      <c r="P4770" s="12" t="n"/>
      <c r="Q4770" s="12" t="n"/>
      <c r="R4770" s="12" t="n"/>
      <c r="S4770" s="12" t="inlineStr">
        <is>
          <t>Tray / conduit</t>
        </is>
      </c>
      <c r="T4770" s="16" t="n">
        <v>72</v>
      </c>
      <c r="U4770" s="16" t="n">
        <v>10</v>
      </c>
      <c r="V4770" s="16">
        <f>ROUNDUP((T4770+U4770+2*'Read Me'!$B$13)*(1+'Read Me'!$B$12),-1)</f>
        <v/>
      </c>
      <c r="W4770" s="16">
        <f>V4770*N4770*O4770</f>
        <v/>
      </c>
      <c r="X4770" s="12">
        <f>IF(LEFT(I4770,2)="MV",2*N4770*IF(L4770="1/C",O4770,1),0)</f>
        <v/>
      </c>
      <c r="Y4770" s="12">
        <f>IF(OR(LEFT(K4770,4)="LVAX",LEFT(K4770,6)="MV15AX",LEFT(K4770,4)="CTAX",LEFT(K4770,2)="W|"),2*N4770*O4770,0)</f>
        <v/>
      </c>
      <c r="Z4770" s="12" t="inlineStr">
        <is>
          <t>device-to-JB field wiring, one cable per device</t>
        </is>
      </c>
      <c r="AA4770" s="12">
        <f>N4770*O4770</f>
        <v/>
      </c>
    </row>
    <row r="4771">
      <c r="A4771" s="12" t="inlineStr">
        <is>
          <t>I-I-0413</t>
        </is>
      </c>
      <c r="B4771" s="12" t="inlineStr">
        <is>
          <t>I</t>
        </is>
      </c>
      <c r="C4771" s="12" t="inlineStr">
        <is>
          <t>Modular / portable power</t>
        </is>
      </c>
      <c r="D4771" s="12" t="inlineStr">
        <is>
          <t>Home run JB-RICE-8-RTD02 to the control / marshalling room</t>
        </is>
      </c>
      <c r="E4771" s="12" t="inlineStr"/>
      <c r="F4771" s="12" t="inlineStr">
        <is>
          <t>PCM: power control module</t>
        </is>
      </c>
      <c r="G4771" s="12" t="inlineStr">
        <is>
          <t>JB-RICE-8-RTD02</t>
        </is>
      </c>
      <c r="H4771" s="12" t="inlineStr">
        <is>
          <t>RICE engine-generator 8</t>
        </is>
      </c>
      <c r="I4771" s="12" t="inlineStr">
        <is>
          <t>Instrumentation</t>
        </is>
      </c>
      <c r="J4771" s="12" t="inlineStr">
        <is>
          <t>RTD cable, #18 shielded triads, PLTC</t>
        </is>
      </c>
      <c r="K4771" s="12" t="inlineStr">
        <is>
          <t>RTD|12 tri|18</t>
        </is>
      </c>
      <c r="L4771" s="12" t="inlineStr">
        <is>
          <t>12 tri</t>
        </is>
      </c>
      <c r="M4771" s="12" t="inlineStr">
        <is>
          <t>18</t>
        </is>
      </c>
      <c r="N4771" s="12" t="n">
        <v>1</v>
      </c>
      <c r="O4771" s="12" t="n">
        <v>1</v>
      </c>
      <c r="P4771" s="12" t="n"/>
      <c r="Q4771" s="12" t="n"/>
      <c r="R4771" s="12" t="n"/>
      <c r="S4771" s="12" t="inlineStr">
        <is>
          <t>Tray</t>
        </is>
      </c>
      <c r="T4771" s="16" t="n">
        <v>0</v>
      </c>
      <c r="U4771" s="16" t="n">
        <v>161</v>
      </c>
      <c r="V4771" s="16">
        <f>ROUNDUP((T4771+U4771+2*'Read Me'!$B$13)*(1+'Read Me'!$B$12),-1)</f>
        <v/>
      </c>
      <c r="W4771" s="16">
        <f>V4771*N4771*O4771</f>
        <v/>
      </c>
      <c r="X4771" s="12">
        <f>IF(LEFT(I4771,2)="MV",2*N4771*IF(L4771="1/C",O4771,1),0)</f>
        <v/>
      </c>
      <c r="Y4771" s="12">
        <f>IF(OR(LEFT(K4771,4)="LVAX",LEFT(K4771,6)="MV15AX",LEFT(K4771,4)="CTAX",LEFT(K4771,2)="W|"),2*N4771*O4771,0)</f>
        <v/>
      </c>
      <c r="Z4771" s="12" t="inlineStr"/>
      <c r="AA4771" s="12">
        <f>N4771*O4771</f>
        <v/>
      </c>
    </row>
    <row r="4772">
      <c r="A4772" s="12" t="inlineStr">
        <is>
          <t>I-I-0414</t>
        </is>
      </c>
      <c r="B4772" s="12" t="inlineStr">
        <is>
          <t>I</t>
        </is>
      </c>
      <c r="C4772" s="12" t="inlineStr">
        <is>
          <t>Modular / portable power</t>
        </is>
      </c>
      <c r="D4772" s="12" t="inlineStr">
        <is>
          <t>Instrumentation</t>
        </is>
      </c>
      <c r="E4772" s="12" t="inlineStr"/>
      <c r="F4772" s="12" t="inlineStr">
        <is>
          <t>PCM: power control module</t>
        </is>
      </c>
      <c r="G4772" s="12" t="inlineStr"/>
      <c r="H4772" s="12" t="inlineStr">
        <is>
          <t>Reagent storage</t>
        </is>
      </c>
      <c r="I4772" s="12" t="inlineStr">
        <is>
          <t>Instrumentation</t>
        </is>
      </c>
      <c r="J4772" s="12" t="inlineStr">
        <is>
          <t>Instrumentation PLTC / TC-ER 300 V, #18 twisted shielded pairs, overall shield</t>
        </is>
      </c>
      <c r="K4772" s="12" t="inlineStr">
        <is>
          <t>PLTC|4 pr|18</t>
        </is>
      </c>
      <c r="L4772" s="12" t="inlineStr">
        <is>
          <t>4 pr</t>
        </is>
      </c>
      <c r="M4772" s="12" t="inlineStr">
        <is>
          <t>18</t>
        </is>
      </c>
      <c r="N4772" s="12" t="n">
        <v>1</v>
      </c>
      <c r="O4772" s="12" t="n">
        <v>1</v>
      </c>
      <c r="P4772" s="12" t="n"/>
      <c r="Q4772" s="12" t="n"/>
      <c r="R4772" s="12" t="n"/>
      <c r="S4772" s="12" t="inlineStr">
        <is>
          <t>Tray</t>
        </is>
      </c>
      <c r="T4772" s="16" t="n">
        <v>32</v>
      </c>
      <c r="U4772" s="16" t="n">
        <v>32</v>
      </c>
      <c r="V4772" s="16">
        <f>ROUNDUP((T4772+U4772+2*'Read Me'!$B$13)*(1+'Read Me'!$B$12),-1)</f>
        <v/>
      </c>
      <c r="W4772" s="16">
        <f>V4772*N4772*O4772</f>
        <v/>
      </c>
      <c r="X4772" s="12">
        <f>IF(LEFT(I4772,2)="MV",2*N4772*IF(L4772="1/C",O4772,1),0)</f>
        <v/>
      </c>
      <c r="Y4772" s="12">
        <f>IF(OR(LEFT(K4772,4)="LVAX",LEFT(K4772,6)="MV15AX",LEFT(K4772,4)="CTAX",LEFT(K4772,2)="W|"),2*N4772*O4772,0)</f>
        <v/>
      </c>
      <c r="Z4772" s="12" t="inlineStr"/>
      <c r="AA4772" s="12">
        <f>N4772*O4772</f>
        <v/>
      </c>
    </row>
    <row r="4773">
      <c r="A4773" s="12" t="inlineStr">
        <is>
          <t>I-I-0415</t>
        </is>
      </c>
      <c r="B4773" s="12" t="inlineStr">
        <is>
          <t>I</t>
        </is>
      </c>
      <c r="C4773" s="12" t="inlineStr">
        <is>
          <t>Modular / portable power</t>
        </is>
      </c>
      <c r="D4773" s="12" t="inlineStr">
        <is>
          <t>Analog instrument to JB JB-SC-1 SCR / CO cata-AI01: 12 x 1 pr (field cables)</t>
        </is>
      </c>
      <c r="E4773" s="12" t="inlineStr"/>
      <c r="F4773" s="12" t="inlineStr">
        <is>
          <t>SC-1 SCR / CO catalyst</t>
        </is>
      </c>
      <c r="G4773" s="12" t="inlineStr">
        <is>
          <t>JB-SC-1 SCR / CO cata-AI01</t>
        </is>
      </c>
      <c r="H4773" s="12" t="inlineStr">
        <is>
          <t>SC-1 SCR / CO catalyst</t>
        </is>
      </c>
      <c r="I4773" s="12" t="inlineStr">
        <is>
          <t>Instrumentation</t>
        </is>
      </c>
      <c r="J4773" s="12" t="inlineStr">
        <is>
          <t>Instrumentation PLTC / TC-ER 300 V, #18 twisted shielded pairs, overall shield</t>
        </is>
      </c>
      <c r="K4773" s="12" t="inlineStr">
        <is>
          <t>PLTC|1 pr|16</t>
        </is>
      </c>
      <c r="L4773" s="12" t="inlineStr">
        <is>
          <t>1 pr</t>
        </is>
      </c>
      <c r="M4773" s="12" t="inlineStr">
        <is>
          <t>16</t>
        </is>
      </c>
      <c r="N4773" s="12" t="n">
        <v>12</v>
      </c>
      <c r="O4773" s="12" t="n">
        <v>1</v>
      </c>
      <c r="P4773" s="12" t="n"/>
      <c r="Q4773" s="12" t="n"/>
      <c r="R4773" s="12" t="n"/>
      <c r="S4773" s="12" t="inlineStr">
        <is>
          <t>Tray / conduit</t>
        </is>
      </c>
      <c r="T4773" s="16" t="n">
        <v>74</v>
      </c>
      <c r="U4773" s="16" t="n">
        <v>10</v>
      </c>
      <c r="V4773" s="16">
        <f>ROUNDUP((T4773+U4773+2*'Read Me'!$B$13)*(1+'Read Me'!$B$12),-1)</f>
        <v/>
      </c>
      <c r="W4773" s="16">
        <f>V4773*N4773*O4773</f>
        <v/>
      </c>
      <c r="X4773" s="12">
        <f>IF(LEFT(I4773,2)="MV",2*N4773*IF(L4773="1/C",O4773,1),0)</f>
        <v/>
      </c>
      <c r="Y4773" s="12">
        <f>IF(OR(LEFT(K4773,4)="LVAX",LEFT(K4773,6)="MV15AX",LEFT(K4773,4)="CTAX",LEFT(K4773,2)="W|"),2*N4773*O4773,0)</f>
        <v/>
      </c>
      <c r="Z4773" s="12" t="inlineStr">
        <is>
          <t>device-to-JB field wiring, one cable per device</t>
        </is>
      </c>
      <c r="AA4773" s="12">
        <f>N4773*O4773</f>
        <v/>
      </c>
    </row>
    <row r="4774">
      <c r="A4774" s="12" t="inlineStr">
        <is>
          <t>I-I-0416</t>
        </is>
      </c>
      <c r="B4774" s="12" t="inlineStr">
        <is>
          <t>I</t>
        </is>
      </c>
      <c r="C4774" s="12" t="inlineStr">
        <is>
          <t>Modular / portable power</t>
        </is>
      </c>
      <c r="D4774" s="12" t="inlineStr">
        <is>
          <t>Home run JB-SC-1 SCR / CO cata-AI01 to the control / marshalling room</t>
        </is>
      </c>
      <c r="E4774" s="12" t="inlineStr"/>
      <c r="F4774" s="12" t="inlineStr">
        <is>
          <t>PCM: power control module</t>
        </is>
      </c>
      <c r="G4774" s="12" t="inlineStr">
        <is>
          <t>JB-SC-1 SCR / CO cata-AI01</t>
        </is>
      </c>
      <c r="H4774" s="12" t="inlineStr">
        <is>
          <t>SC-1 SCR / CO catalyst</t>
        </is>
      </c>
      <c r="I4774" s="12" t="inlineStr">
        <is>
          <t>Instrumentation</t>
        </is>
      </c>
      <c r="J4774" s="12" t="inlineStr">
        <is>
          <t>Instrumentation PLTC / TC-ER 300 V, #18 twisted shielded pairs, overall shield</t>
        </is>
      </c>
      <c r="K4774" s="12" t="inlineStr">
        <is>
          <t>PLTC|24 pr|18</t>
        </is>
      </c>
      <c r="L4774" s="12" t="inlineStr">
        <is>
          <t>24 pr</t>
        </is>
      </c>
      <c r="M4774" s="12" t="inlineStr">
        <is>
          <t>18</t>
        </is>
      </c>
      <c r="N4774" s="12" t="n">
        <v>1</v>
      </c>
      <c r="O4774" s="12" t="n">
        <v>1</v>
      </c>
      <c r="P4774" s="12" t="n"/>
      <c r="Q4774" s="12" t="n"/>
      <c r="R4774" s="12" t="n"/>
      <c r="S4774" s="12" t="inlineStr">
        <is>
          <t>Duct bank</t>
        </is>
      </c>
      <c r="T4774" s="16" t="n">
        <v>40</v>
      </c>
      <c r="U4774" s="16" t="n">
        <v>142</v>
      </c>
      <c r="V4774" s="16">
        <f>ROUNDUP((T4774+U4774+2*'Read Me'!$B$13)*(1+'Read Me'!$B$12),-1)</f>
        <v/>
      </c>
      <c r="W4774" s="16">
        <f>V4774*N4774*O4774</f>
        <v/>
      </c>
      <c r="X4774" s="12">
        <f>IF(LEFT(I4774,2)="MV",2*N4774*IF(L4774="1/C",O4774,1),0)</f>
        <v/>
      </c>
      <c r="Y4774" s="12">
        <f>IF(OR(LEFT(K4774,4)="LVAX",LEFT(K4774,6)="MV15AX",LEFT(K4774,4)="CTAX",LEFT(K4774,2)="W|"),2*N4774*O4774,0)</f>
        <v/>
      </c>
      <c r="Z4774" s="12" t="inlineStr"/>
      <c r="AA4774" s="12">
        <f>N4774*O4774</f>
        <v/>
      </c>
    </row>
    <row r="4775">
      <c r="A4775" s="12" t="inlineStr">
        <is>
          <t>I-I-0417</t>
        </is>
      </c>
      <c r="B4775" s="12" t="inlineStr">
        <is>
          <t>I</t>
        </is>
      </c>
      <c r="C4775" s="12" t="inlineStr">
        <is>
          <t>Modular / portable power</t>
        </is>
      </c>
      <c r="D4775" s="12" t="inlineStr">
        <is>
          <t>Discrete device to JB JB-SC-1 SCR / CO cata-DI01: 8 x 1 pr (field cables)</t>
        </is>
      </c>
      <c r="E4775" s="12" t="inlineStr"/>
      <c r="F4775" s="12" t="inlineStr">
        <is>
          <t>SC-1 SCR / CO catalyst</t>
        </is>
      </c>
      <c r="G4775" s="12" t="inlineStr">
        <is>
          <t>JB-SC-1 SCR / CO cata-DI01</t>
        </is>
      </c>
      <c r="H4775" s="12" t="inlineStr">
        <is>
          <t>SC-1 SCR / CO catalyst</t>
        </is>
      </c>
      <c r="I4775" s="12" t="inlineStr">
        <is>
          <t>Instrumentation</t>
        </is>
      </c>
      <c r="J4775" s="12" t="inlineStr">
        <is>
          <t>Instrumentation PLTC / TC-ER 300 V, #18 twisted shielded pairs, overall shield</t>
        </is>
      </c>
      <c r="K4775" s="12" t="inlineStr">
        <is>
          <t>PLTC|1 pr|16</t>
        </is>
      </c>
      <c r="L4775" s="12" t="inlineStr">
        <is>
          <t>1 pr</t>
        </is>
      </c>
      <c r="M4775" s="12" t="inlineStr">
        <is>
          <t>16</t>
        </is>
      </c>
      <c r="N4775" s="12" t="n">
        <v>8</v>
      </c>
      <c r="O4775" s="12" t="n">
        <v>1</v>
      </c>
      <c r="P4775" s="12" t="n"/>
      <c r="Q4775" s="12" t="n"/>
      <c r="R4775" s="12" t="n"/>
      <c r="S4775" s="12" t="inlineStr">
        <is>
          <t>Tray / conduit</t>
        </is>
      </c>
      <c r="T4775" s="16" t="n">
        <v>74</v>
      </c>
      <c r="U4775" s="16" t="n">
        <v>10</v>
      </c>
      <c r="V4775" s="16">
        <f>ROUNDUP((T4775+U4775+2*'Read Me'!$B$13)*(1+'Read Me'!$B$12),-1)</f>
        <v/>
      </c>
      <c r="W4775" s="16">
        <f>V4775*N4775*O4775</f>
        <v/>
      </c>
      <c r="X4775" s="12">
        <f>IF(LEFT(I4775,2)="MV",2*N4775*IF(L4775="1/C",O4775,1),0)</f>
        <v/>
      </c>
      <c r="Y4775" s="12">
        <f>IF(OR(LEFT(K4775,4)="LVAX",LEFT(K4775,6)="MV15AX",LEFT(K4775,4)="CTAX",LEFT(K4775,2)="W|"),2*N4775*O4775,0)</f>
        <v/>
      </c>
      <c r="Z4775" s="12" t="inlineStr">
        <is>
          <t>device-to-JB field wiring, one cable per device</t>
        </is>
      </c>
      <c r="AA4775" s="12">
        <f>N4775*O4775</f>
        <v/>
      </c>
    </row>
    <row r="4776">
      <c r="A4776" s="12" t="inlineStr">
        <is>
          <t>I-I-0418</t>
        </is>
      </c>
      <c r="B4776" s="12" t="inlineStr">
        <is>
          <t>I</t>
        </is>
      </c>
      <c r="C4776" s="12" t="inlineStr">
        <is>
          <t>Modular / portable power</t>
        </is>
      </c>
      <c r="D4776" s="12" t="inlineStr">
        <is>
          <t>Home run JB-SC-1 SCR / CO cata-DI01 to the control / marshalling room</t>
        </is>
      </c>
      <c r="E4776" s="12" t="inlineStr"/>
      <c r="F4776" s="12" t="inlineStr">
        <is>
          <t>PCM: power control module</t>
        </is>
      </c>
      <c r="G4776" s="12" t="inlineStr">
        <is>
          <t>JB-SC-1 SCR / CO cata-DI01</t>
        </is>
      </c>
      <c r="H4776" s="12" t="inlineStr">
        <is>
          <t>SC-1 SCR / CO catalyst</t>
        </is>
      </c>
      <c r="I4776" s="12" t="inlineStr">
        <is>
          <t>Instrumentation</t>
        </is>
      </c>
      <c r="J4776" s="12" t="inlineStr">
        <is>
          <t>Instrumentation PLTC / TC-ER 300 V, #18 twisted shielded pairs, overall shield</t>
        </is>
      </c>
      <c r="K4776" s="12" t="inlineStr">
        <is>
          <t>PLTC|24 pr|18</t>
        </is>
      </c>
      <c r="L4776" s="12" t="inlineStr">
        <is>
          <t>24 pr</t>
        </is>
      </c>
      <c r="M4776" s="12" t="inlineStr">
        <is>
          <t>18</t>
        </is>
      </c>
      <c r="N4776" s="12" t="n">
        <v>1</v>
      </c>
      <c r="O4776" s="12" t="n">
        <v>1</v>
      </c>
      <c r="P4776" s="12" t="n"/>
      <c r="Q4776" s="12" t="n"/>
      <c r="R4776" s="12" t="n"/>
      <c r="S4776" s="12" t="inlineStr">
        <is>
          <t>Duct bank</t>
        </is>
      </c>
      <c r="T4776" s="16" t="n">
        <v>40</v>
      </c>
      <c r="U4776" s="16" t="n">
        <v>142</v>
      </c>
      <c r="V4776" s="16">
        <f>ROUNDUP((T4776+U4776+2*'Read Me'!$B$13)*(1+'Read Me'!$B$12),-1)</f>
        <v/>
      </c>
      <c r="W4776" s="16">
        <f>V4776*N4776*O4776</f>
        <v/>
      </c>
      <c r="X4776" s="12">
        <f>IF(LEFT(I4776,2)="MV",2*N4776*IF(L4776="1/C",O4776,1),0)</f>
        <v/>
      </c>
      <c r="Y4776" s="12">
        <f>IF(OR(LEFT(K4776,4)="LVAX",LEFT(K4776,6)="MV15AX",LEFT(K4776,4)="CTAX",LEFT(K4776,2)="W|"),2*N4776*O4776,0)</f>
        <v/>
      </c>
      <c r="Z4776" s="12" t="inlineStr"/>
      <c r="AA4776" s="12">
        <f>N4776*O4776</f>
        <v/>
      </c>
    </row>
    <row r="4777">
      <c r="A4777" s="12" t="inlineStr">
        <is>
          <t>I-I-0419</t>
        </is>
      </c>
      <c r="B4777" s="12" t="inlineStr">
        <is>
          <t>I</t>
        </is>
      </c>
      <c r="C4777" s="12" t="inlineStr">
        <is>
          <t>Modular / portable power</t>
        </is>
      </c>
      <c r="D4777" s="12" t="inlineStr">
        <is>
          <t>Analog instrument to JB JB-SC-1 lube-oil fin--AI01: 4 x 1 pr (field cables)</t>
        </is>
      </c>
      <c r="E4777" s="12" t="inlineStr"/>
      <c r="F4777" s="12" t="inlineStr">
        <is>
          <t>SC-1 lube-oil fin-fan cooler</t>
        </is>
      </c>
      <c r="G4777" s="12" t="inlineStr">
        <is>
          <t>JB-SC-1 lube-oil fin--AI01</t>
        </is>
      </c>
      <c r="H4777" s="12" t="inlineStr">
        <is>
          <t>SC-1 lube-oil fin-fan cooler</t>
        </is>
      </c>
      <c r="I4777" s="12" t="inlineStr">
        <is>
          <t>Instrumentation</t>
        </is>
      </c>
      <c r="J4777" s="12" t="inlineStr">
        <is>
          <t>Instrumentation PLTC / TC-ER 300 V, #18 twisted shielded pairs, overall shield</t>
        </is>
      </c>
      <c r="K4777" s="12" t="inlineStr">
        <is>
          <t>PLTC|1 pr|16</t>
        </is>
      </c>
      <c r="L4777" s="12" t="inlineStr">
        <is>
          <t>1 pr</t>
        </is>
      </c>
      <c r="M4777" s="12" t="inlineStr">
        <is>
          <t>16</t>
        </is>
      </c>
      <c r="N4777" s="12" t="n">
        <v>4</v>
      </c>
      <c r="O4777" s="12" t="n">
        <v>1</v>
      </c>
      <c r="P4777" s="12" t="n"/>
      <c r="Q4777" s="12" t="n"/>
      <c r="R4777" s="12" t="n"/>
      <c r="S4777" s="12" t="inlineStr">
        <is>
          <t>Tray / conduit</t>
        </is>
      </c>
      <c r="T4777" s="16" t="n">
        <v>46</v>
      </c>
      <c r="U4777" s="16" t="n">
        <v>10</v>
      </c>
      <c r="V4777" s="16">
        <f>ROUNDUP((T4777+U4777+2*'Read Me'!$B$13)*(1+'Read Me'!$B$12),-1)</f>
        <v/>
      </c>
      <c r="W4777" s="16">
        <f>V4777*N4777*O4777</f>
        <v/>
      </c>
      <c r="X4777" s="12">
        <f>IF(LEFT(I4777,2)="MV",2*N4777*IF(L4777="1/C",O4777,1),0)</f>
        <v/>
      </c>
      <c r="Y4777" s="12">
        <f>IF(OR(LEFT(K4777,4)="LVAX",LEFT(K4777,6)="MV15AX",LEFT(K4777,4)="CTAX",LEFT(K4777,2)="W|"),2*N4777*O4777,0)</f>
        <v/>
      </c>
      <c r="Z4777" s="12" t="inlineStr">
        <is>
          <t>device-to-JB field wiring, one cable per device</t>
        </is>
      </c>
      <c r="AA4777" s="12">
        <f>N4777*O4777</f>
        <v/>
      </c>
    </row>
    <row r="4778">
      <c r="A4778" s="12" t="inlineStr">
        <is>
          <t>I-I-0420</t>
        </is>
      </c>
      <c r="B4778" s="12" t="inlineStr">
        <is>
          <t>I</t>
        </is>
      </c>
      <c r="C4778" s="12" t="inlineStr">
        <is>
          <t>Modular / portable power</t>
        </is>
      </c>
      <c r="D4778" s="12" t="inlineStr">
        <is>
          <t>Home run JB-SC-1 lube-oil fin--AI01 to the control / marshalling room</t>
        </is>
      </c>
      <c r="E4778" s="12" t="inlineStr"/>
      <c r="F4778" s="12" t="inlineStr">
        <is>
          <t>PCM: power control module</t>
        </is>
      </c>
      <c r="G4778" s="12" t="inlineStr">
        <is>
          <t>JB-SC-1 lube-oil fin--AI01</t>
        </is>
      </c>
      <c r="H4778" s="12" t="inlineStr">
        <is>
          <t>SC-1 lube-oil fin-fan cooler</t>
        </is>
      </c>
      <c r="I4778" s="12" t="inlineStr">
        <is>
          <t>Instrumentation</t>
        </is>
      </c>
      <c r="J4778" s="12" t="inlineStr">
        <is>
          <t>Instrumentation PLTC / TC-ER 300 V, #18 twisted shielded pairs, overall shield</t>
        </is>
      </c>
      <c r="K4778" s="12" t="inlineStr">
        <is>
          <t>PLTC|24 pr|18</t>
        </is>
      </c>
      <c r="L4778" s="12" t="inlineStr">
        <is>
          <t>24 pr</t>
        </is>
      </c>
      <c r="M4778" s="12" t="inlineStr">
        <is>
          <t>18</t>
        </is>
      </c>
      <c r="N4778" s="12" t="n">
        <v>1</v>
      </c>
      <c r="O4778" s="12" t="n">
        <v>1</v>
      </c>
      <c r="P4778" s="12" t="n"/>
      <c r="Q4778" s="12" t="n"/>
      <c r="R4778" s="12" t="n"/>
      <c r="S4778" s="12" t="inlineStr">
        <is>
          <t>Duct bank</t>
        </is>
      </c>
      <c r="T4778" s="16" t="n">
        <v>82</v>
      </c>
      <c r="U4778" s="16" t="n">
        <v>82</v>
      </c>
      <c r="V4778" s="16">
        <f>ROUNDUP((T4778+U4778+2*'Read Me'!$B$13)*(1+'Read Me'!$B$12),-1)</f>
        <v/>
      </c>
      <c r="W4778" s="16">
        <f>V4778*N4778*O4778</f>
        <v/>
      </c>
      <c r="X4778" s="12">
        <f>IF(LEFT(I4778,2)="MV",2*N4778*IF(L4778="1/C",O4778,1),0)</f>
        <v/>
      </c>
      <c r="Y4778" s="12">
        <f>IF(OR(LEFT(K4778,4)="LVAX",LEFT(K4778,6)="MV15AX",LEFT(K4778,4)="CTAX",LEFT(K4778,2)="W|"),2*N4778*O4778,0)</f>
        <v/>
      </c>
      <c r="Z4778" s="12" t="inlineStr"/>
      <c r="AA4778" s="12">
        <f>N4778*O4778</f>
        <v/>
      </c>
    </row>
    <row r="4779">
      <c r="A4779" s="12" t="inlineStr">
        <is>
          <t>I-I-0421</t>
        </is>
      </c>
      <c r="B4779" s="12" t="inlineStr">
        <is>
          <t>I</t>
        </is>
      </c>
      <c r="C4779" s="12" t="inlineStr">
        <is>
          <t>Modular / portable power</t>
        </is>
      </c>
      <c r="D4779" s="12" t="inlineStr">
        <is>
          <t>Discrete device to JB JB-SC-1 lube-oil fin--DI01: 8 x 1 pr (field cables)</t>
        </is>
      </c>
      <c r="E4779" s="12" t="inlineStr"/>
      <c r="F4779" s="12" t="inlineStr">
        <is>
          <t>SC-1 lube-oil fin-fan cooler</t>
        </is>
      </c>
      <c r="G4779" s="12" t="inlineStr">
        <is>
          <t>JB-SC-1 lube-oil fin--DI01</t>
        </is>
      </c>
      <c r="H4779" s="12" t="inlineStr">
        <is>
          <t>SC-1 lube-oil fin-fan cooler</t>
        </is>
      </c>
      <c r="I4779" s="12" t="inlineStr">
        <is>
          <t>Instrumentation</t>
        </is>
      </c>
      <c r="J4779" s="12" t="inlineStr">
        <is>
          <t>Instrumentation PLTC / TC-ER 300 V, #18 twisted shielded pairs, overall shield</t>
        </is>
      </c>
      <c r="K4779" s="12" t="inlineStr">
        <is>
          <t>PLTC|1 pr|16</t>
        </is>
      </c>
      <c r="L4779" s="12" t="inlineStr">
        <is>
          <t>1 pr</t>
        </is>
      </c>
      <c r="M4779" s="12" t="inlineStr">
        <is>
          <t>16</t>
        </is>
      </c>
      <c r="N4779" s="12" t="n">
        <v>8</v>
      </c>
      <c r="O4779" s="12" t="n">
        <v>1</v>
      </c>
      <c r="P4779" s="12" t="n"/>
      <c r="Q4779" s="12" t="n"/>
      <c r="R4779" s="12" t="n"/>
      <c r="S4779" s="12" t="inlineStr">
        <is>
          <t>Tray / conduit</t>
        </is>
      </c>
      <c r="T4779" s="16" t="n">
        <v>46</v>
      </c>
      <c r="U4779" s="16" t="n">
        <v>10</v>
      </c>
      <c r="V4779" s="16">
        <f>ROUNDUP((T4779+U4779+2*'Read Me'!$B$13)*(1+'Read Me'!$B$12),-1)</f>
        <v/>
      </c>
      <c r="W4779" s="16">
        <f>V4779*N4779*O4779</f>
        <v/>
      </c>
      <c r="X4779" s="12">
        <f>IF(LEFT(I4779,2)="MV",2*N4779*IF(L4779="1/C",O4779,1),0)</f>
        <v/>
      </c>
      <c r="Y4779" s="12">
        <f>IF(OR(LEFT(K4779,4)="LVAX",LEFT(K4779,6)="MV15AX",LEFT(K4779,4)="CTAX",LEFT(K4779,2)="W|"),2*N4779*O4779,0)</f>
        <v/>
      </c>
      <c r="Z4779" s="12" t="inlineStr">
        <is>
          <t>device-to-JB field wiring, one cable per device</t>
        </is>
      </c>
      <c r="AA4779" s="12">
        <f>N4779*O4779</f>
        <v/>
      </c>
    </row>
    <row r="4780">
      <c r="A4780" s="12" t="inlineStr">
        <is>
          <t>I-I-0422</t>
        </is>
      </c>
      <c r="B4780" s="12" t="inlineStr">
        <is>
          <t>I</t>
        </is>
      </c>
      <c r="C4780" s="12" t="inlineStr">
        <is>
          <t>Modular / portable power</t>
        </is>
      </c>
      <c r="D4780" s="12" t="inlineStr">
        <is>
          <t>Home run JB-SC-1 lube-oil fin--DI01 to the control / marshalling room</t>
        </is>
      </c>
      <c r="E4780" s="12" t="inlineStr"/>
      <c r="F4780" s="12" t="inlineStr">
        <is>
          <t>PCM: power control module</t>
        </is>
      </c>
      <c r="G4780" s="12" t="inlineStr">
        <is>
          <t>JB-SC-1 lube-oil fin--DI01</t>
        </is>
      </c>
      <c r="H4780" s="12" t="inlineStr">
        <is>
          <t>SC-1 lube-oil fin-fan cooler</t>
        </is>
      </c>
      <c r="I4780" s="12" t="inlineStr">
        <is>
          <t>Instrumentation</t>
        </is>
      </c>
      <c r="J4780" s="12" t="inlineStr">
        <is>
          <t>Instrumentation PLTC / TC-ER 300 V, #18 twisted shielded pairs, overall shield</t>
        </is>
      </c>
      <c r="K4780" s="12" t="inlineStr">
        <is>
          <t>PLTC|24 pr|18</t>
        </is>
      </c>
      <c r="L4780" s="12" t="inlineStr">
        <is>
          <t>24 pr</t>
        </is>
      </c>
      <c r="M4780" s="12" t="inlineStr">
        <is>
          <t>18</t>
        </is>
      </c>
      <c r="N4780" s="12" t="n">
        <v>1</v>
      </c>
      <c r="O4780" s="12" t="n">
        <v>1</v>
      </c>
      <c r="P4780" s="12" t="n"/>
      <c r="Q4780" s="12" t="n"/>
      <c r="R4780" s="12" t="n"/>
      <c r="S4780" s="12" t="inlineStr">
        <is>
          <t>Duct bank</t>
        </is>
      </c>
      <c r="T4780" s="16" t="n">
        <v>82</v>
      </c>
      <c r="U4780" s="16" t="n">
        <v>82</v>
      </c>
      <c r="V4780" s="16">
        <f>ROUNDUP((T4780+U4780+2*'Read Me'!$B$13)*(1+'Read Me'!$B$12),-1)</f>
        <v/>
      </c>
      <c r="W4780" s="16">
        <f>V4780*N4780*O4780</f>
        <v/>
      </c>
      <c r="X4780" s="12">
        <f>IF(LEFT(I4780,2)="MV",2*N4780*IF(L4780="1/C",O4780,1),0)</f>
        <v/>
      </c>
      <c r="Y4780" s="12">
        <f>IF(OR(LEFT(K4780,4)="LVAX",LEFT(K4780,6)="MV15AX",LEFT(K4780,4)="CTAX",LEFT(K4780,2)="W|"),2*N4780*O4780,0)</f>
        <v/>
      </c>
      <c r="Z4780" s="12" t="inlineStr"/>
      <c r="AA4780" s="12">
        <f>N4780*O4780</f>
        <v/>
      </c>
    </row>
    <row r="4781">
      <c r="A4781" s="12" t="inlineStr">
        <is>
          <t>I-I-0423</t>
        </is>
      </c>
      <c r="B4781" s="12" t="inlineStr">
        <is>
          <t>I</t>
        </is>
      </c>
      <c r="C4781" s="12" t="inlineStr">
        <is>
          <t>Modular / portable power</t>
        </is>
      </c>
      <c r="D4781" s="12" t="inlineStr">
        <is>
          <t>Analog instrument to JB JB-SC-1-AI01: 20 x 1 pr (field cables)</t>
        </is>
      </c>
      <c r="E4781" s="12" t="inlineStr">
        <is>
          <t>SC-1</t>
        </is>
      </c>
      <c r="F4781" s="12" t="inlineStr">
        <is>
          <t>SC-1: aeroderivative simple-cycle unit (LM6000 class)</t>
        </is>
      </c>
      <c r="G4781" s="12" t="inlineStr">
        <is>
          <t>JB-SC-1-AI01</t>
        </is>
      </c>
      <c r="H4781" s="12" t="inlineStr">
        <is>
          <t>SC-1: aeroderivative simple-cycle unit (LM6000 class)</t>
        </is>
      </c>
      <c r="I4781" s="12" t="inlineStr">
        <is>
          <t>Instrumentation</t>
        </is>
      </c>
      <c r="J4781" s="12" t="inlineStr">
        <is>
          <t>Instrumentation PLTC / TC-ER 300 V, #18 twisted shielded pairs, overall shield</t>
        </is>
      </c>
      <c r="K4781" s="12" t="inlineStr">
        <is>
          <t>PLTC|1 pr|16</t>
        </is>
      </c>
      <c r="L4781" s="12" t="inlineStr">
        <is>
          <t>1 pr</t>
        </is>
      </c>
      <c r="M4781" s="12" t="inlineStr">
        <is>
          <t>16</t>
        </is>
      </c>
      <c r="N4781" s="12" t="n">
        <v>20</v>
      </c>
      <c r="O4781" s="12" t="n">
        <v>1</v>
      </c>
      <c r="P4781" s="12" t="n"/>
      <c r="Q4781" s="12" t="n"/>
      <c r="R4781" s="12" t="n"/>
      <c r="S4781" s="12" t="inlineStr">
        <is>
          <t>Tray / conduit</t>
        </is>
      </c>
      <c r="T4781" s="16" t="n">
        <v>99</v>
      </c>
      <c r="U4781" s="16" t="n">
        <v>10</v>
      </c>
      <c r="V4781" s="16">
        <f>ROUNDUP((T4781+U4781+2*'Read Me'!$B$13)*(1+'Read Me'!$B$12),-1)</f>
        <v/>
      </c>
      <c r="W4781" s="16">
        <f>V4781*N4781*O4781</f>
        <v/>
      </c>
      <c r="X4781" s="12">
        <f>IF(LEFT(I4781,2)="MV",2*N4781*IF(L4781="1/C",O4781,1),0)</f>
        <v/>
      </c>
      <c r="Y4781" s="12">
        <f>IF(OR(LEFT(K4781,4)="LVAX",LEFT(K4781,6)="MV15AX",LEFT(K4781,4)="CTAX",LEFT(K4781,2)="W|"),2*N4781*O4781,0)</f>
        <v/>
      </c>
      <c r="Z4781" s="12" t="inlineStr">
        <is>
          <t>device-to-JB field wiring, one cable per device</t>
        </is>
      </c>
      <c r="AA4781" s="12">
        <f>N4781*O4781</f>
        <v/>
      </c>
    </row>
    <row r="4782">
      <c r="A4782" s="12" t="inlineStr">
        <is>
          <t>I-I-0424</t>
        </is>
      </c>
      <c r="B4782" s="12" t="inlineStr">
        <is>
          <t>I</t>
        </is>
      </c>
      <c r="C4782" s="12" t="inlineStr">
        <is>
          <t>Modular / portable power</t>
        </is>
      </c>
      <c r="D4782" s="12" t="inlineStr">
        <is>
          <t>Home run JB-SC-1-AI01 to the control / marshalling room</t>
        </is>
      </c>
      <c r="E4782" s="12" t="inlineStr"/>
      <c r="F4782" s="12" t="inlineStr">
        <is>
          <t>PCM: power control module</t>
        </is>
      </c>
      <c r="G4782" s="12" t="inlineStr">
        <is>
          <t>JB-SC-1-AI01</t>
        </is>
      </c>
      <c r="H4782" s="12" t="inlineStr">
        <is>
          <t>SC-1: aeroderivative simple-cycle unit (LM6000 class)</t>
        </is>
      </c>
      <c r="I4782" s="12" t="inlineStr">
        <is>
          <t>Instrumentation</t>
        </is>
      </c>
      <c r="J4782" s="12" t="inlineStr">
        <is>
          <t>Instrumentation PLTC / TC-ER 300 V, #18 twisted shielded pairs, overall shield</t>
        </is>
      </c>
      <c r="K4782" s="12" t="inlineStr">
        <is>
          <t>PLTC|24 pr|18</t>
        </is>
      </c>
      <c r="L4782" s="12" t="inlineStr">
        <is>
          <t>24 pr</t>
        </is>
      </c>
      <c r="M4782" s="12" t="inlineStr">
        <is>
          <t>18</t>
        </is>
      </c>
      <c r="N4782" s="12" t="n">
        <v>1</v>
      </c>
      <c r="O4782" s="12" t="n">
        <v>1</v>
      </c>
      <c r="P4782" s="12" t="n"/>
      <c r="Q4782" s="12" t="n"/>
      <c r="R4782" s="12" t="n"/>
      <c r="S4782" s="12" t="inlineStr">
        <is>
          <t>Duct bank</t>
        </is>
      </c>
      <c r="T4782" s="16" t="n">
        <v>40</v>
      </c>
      <c r="U4782" s="16" t="n">
        <v>52</v>
      </c>
      <c r="V4782" s="16">
        <f>ROUNDUP((T4782+U4782+2*'Read Me'!$B$13)*(1+'Read Me'!$B$12),-1)</f>
        <v/>
      </c>
      <c r="W4782" s="16">
        <f>V4782*N4782*O4782</f>
        <v/>
      </c>
      <c r="X4782" s="12">
        <f>IF(LEFT(I4782,2)="MV",2*N4782*IF(L4782="1/C",O4782,1),0)</f>
        <v/>
      </c>
      <c r="Y4782" s="12">
        <f>IF(OR(LEFT(K4782,4)="LVAX",LEFT(K4782,6)="MV15AX",LEFT(K4782,4)="CTAX",LEFT(K4782,2)="W|"),2*N4782*O4782,0)</f>
        <v/>
      </c>
      <c r="Z4782" s="12" t="inlineStr"/>
      <c r="AA4782" s="12">
        <f>N4782*O4782</f>
        <v/>
      </c>
    </row>
    <row r="4783">
      <c r="A4783" s="12" t="inlineStr">
        <is>
          <t>I-I-0425</t>
        </is>
      </c>
      <c r="B4783" s="12" t="inlineStr">
        <is>
          <t>I</t>
        </is>
      </c>
      <c r="C4783" s="12" t="inlineStr">
        <is>
          <t>Modular / portable power</t>
        </is>
      </c>
      <c r="D4783" s="12" t="inlineStr">
        <is>
          <t>Analog instrument to JB JB-SC-1-AI02: 20 x 1 pr (field cables)</t>
        </is>
      </c>
      <c r="E4783" s="12" t="inlineStr">
        <is>
          <t>SC-1</t>
        </is>
      </c>
      <c r="F4783" s="12" t="inlineStr">
        <is>
          <t>SC-1: aeroderivative simple-cycle unit (LM6000 class)</t>
        </is>
      </c>
      <c r="G4783" s="12" t="inlineStr">
        <is>
          <t>JB-SC-1-AI02</t>
        </is>
      </c>
      <c r="H4783" s="12" t="inlineStr">
        <is>
          <t>SC-1: aeroderivative simple-cycle unit (LM6000 class)</t>
        </is>
      </c>
      <c r="I4783" s="12" t="inlineStr">
        <is>
          <t>Instrumentation</t>
        </is>
      </c>
      <c r="J4783" s="12" t="inlineStr">
        <is>
          <t>Instrumentation PLTC / TC-ER 300 V, #18 twisted shielded pairs, overall shield</t>
        </is>
      </c>
      <c r="K4783" s="12" t="inlineStr">
        <is>
          <t>PLTC|1 pr|16</t>
        </is>
      </c>
      <c r="L4783" s="12" t="inlineStr">
        <is>
          <t>1 pr</t>
        </is>
      </c>
      <c r="M4783" s="12" t="inlineStr">
        <is>
          <t>16</t>
        </is>
      </c>
      <c r="N4783" s="12" t="n">
        <v>20</v>
      </c>
      <c r="O4783" s="12" t="n">
        <v>1</v>
      </c>
      <c r="P4783" s="12" t="n"/>
      <c r="Q4783" s="12" t="n"/>
      <c r="R4783" s="12" t="n"/>
      <c r="S4783" s="12" t="inlineStr">
        <is>
          <t>Tray / conduit</t>
        </is>
      </c>
      <c r="T4783" s="16" t="n">
        <v>99</v>
      </c>
      <c r="U4783" s="16" t="n">
        <v>10</v>
      </c>
      <c r="V4783" s="16">
        <f>ROUNDUP((T4783+U4783+2*'Read Me'!$B$13)*(1+'Read Me'!$B$12),-1)</f>
        <v/>
      </c>
      <c r="W4783" s="16">
        <f>V4783*N4783*O4783</f>
        <v/>
      </c>
      <c r="X4783" s="12">
        <f>IF(LEFT(I4783,2)="MV",2*N4783*IF(L4783="1/C",O4783,1),0)</f>
        <v/>
      </c>
      <c r="Y4783" s="12">
        <f>IF(OR(LEFT(K4783,4)="LVAX",LEFT(K4783,6)="MV15AX",LEFT(K4783,4)="CTAX",LEFT(K4783,2)="W|"),2*N4783*O4783,0)</f>
        <v/>
      </c>
      <c r="Z4783" s="12" t="inlineStr">
        <is>
          <t>device-to-JB field wiring, one cable per device</t>
        </is>
      </c>
      <c r="AA4783" s="12">
        <f>N4783*O4783</f>
        <v/>
      </c>
    </row>
    <row r="4784">
      <c r="A4784" s="12" t="inlineStr">
        <is>
          <t>I-I-0426</t>
        </is>
      </c>
      <c r="B4784" s="12" t="inlineStr">
        <is>
          <t>I</t>
        </is>
      </c>
      <c r="C4784" s="12" t="inlineStr">
        <is>
          <t>Modular / portable power</t>
        </is>
      </c>
      <c r="D4784" s="12" t="inlineStr">
        <is>
          <t>Home run JB-SC-1-AI02 to the control / marshalling room</t>
        </is>
      </c>
      <c r="E4784" s="12" t="inlineStr"/>
      <c r="F4784" s="12" t="inlineStr">
        <is>
          <t>PCM: power control module</t>
        </is>
      </c>
      <c r="G4784" s="12" t="inlineStr">
        <is>
          <t>JB-SC-1-AI02</t>
        </is>
      </c>
      <c r="H4784" s="12" t="inlineStr">
        <is>
          <t>SC-1: aeroderivative simple-cycle unit (LM6000 class)</t>
        </is>
      </c>
      <c r="I4784" s="12" t="inlineStr">
        <is>
          <t>Instrumentation</t>
        </is>
      </c>
      <c r="J4784" s="12" t="inlineStr">
        <is>
          <t>Instrumentation PLTC / TC-ER 300 V, #18 twisted shielded pairs, overall shield</t>
        </is>
      </c>
      <c r="K4784" s="12" t="inlineStr">
        <is>
          <t>PLTC|24 pr|18</t>
        </is>
      </c>
      <c r="L4784" s="12" t="inlineStr">
        <is>
          <t>24 pr</t>
        </is>
      </c>
      <c r="M4784" s="12" t="inlineStr">
        <is>
          <t>18</t>
        </is>
      </c>
      <c r="N4784" s="12" t="n">
        <v>1</v>
      </c>
      <c r="O4784" s="12" t="n">
        <v>1</v>
      </c>
      <c r="P4784" s="12" t="n"/>
      <c r="Q4784" s="12" t="n"/>
      <c r="R4784" s="12" t="n"/>
      <c r="S4784" s="12" t="inlineStr">
        <is>
          <t>Duct bank</t>
        </is>
      </c>
      <c r="T4784" s="16" t="n">
        <v>40</v>
      </c>
      <c r="U4784" s="16" t="n">
        <v>52</v>
      </c>
      <c r="V4784" s="16">
        <f>ROUNDUP((T4784+U4784+2*'Read Me'!$B$13)*(1+'Read Me'!$B$12),-1)</f>
        <v/>
      </c>
      <c r="W4784" s="16">
        <f>V4784*N4784*O4784</f>
        <v/>
      </c>
      <c r="X4784" s="12">
        <f>IF(LEFT(I4784,2)="MV",2*N4784*IF(L4784="1/C",O4784,1),0)</f>
        <v/>
      </c>
      <c r="Y4784" s="12">
        <f>IF(OR(LEFT(K4784,4)="LVAX",LEFT(K4784,6)="MV15AX",LEFT(K4784,4)="CTAX",LEFT(K4784,2)="W|"),2*N4784*O4784,0)</f>
        <v/>
      </c>
      <c r="Z4784" s="12" t="inlineStr"/>
      <c r="AA4784" s="12">
        <f>N4784*O4784</f>
        <v/>
      </c>
    </row>
    <row r="4785">
      <c r="A4785" s="12" t="inlineStr">
        <is>
          <t>I-I-0427</t>
        </is>
      </c>
      <c r="B4785" s="12" t="inlineStr">
        <is>
          <t>I</t>
        </is>
      </c>
      <c r="C4785" s="12" t="inlineStr">
        <is>
          <t>Modular / portable power</t>
        </is>
      </c>
      <c r="D4785" s="12" t="inlineStr">
        <is>
          <t>Analog instrument to JB JB-SC-1-AI03: 20 x 1 pr (field cables)</t>
        </is>
      </c>
      <c r="E4785" s="12" t="inlineStr">
        <is>
          <t>SC-1</t>
        </is>
      </c>
      <c r="F4785" s="12" t="inlineStr">
        <is>
          <t>SC-1: aeroderivative simple-cycle unit (LM6000 class)</t>
        </is>
      </c>
      <c r="G4785" s="12" t="inlineStr">
        <is>
          <t>JB-SC-1-AI03</t>
        </is>
      </c>
      <c r="H4785" s="12" t="inlineStr">
        <is>
          <t>SC-1: aeroderivative simple-cycle unit (LM6000 class)</t>
        </is>
      </c>
      <c r="I4785" s="12" t="inlineStr">
        <is>
          <t>Instrumentation</t>
        </is>
      </c>
      <c r="J4785" s="12" t="inlineStr">
        <is>
          <t>Instrumentation PLTC / TC-ER 300 V, #18 twisted shielded pairs, overall shield</t>
        </is>
      </c>
      <c r="K4785" s="12" t="inlineStr">
        <is>
          <t>PLTC|1 pr|16</t>
        </is>
      </c>
      <c r="L4785" s="12" t="inlineStr">
        <is>
          <t>1 pr</t>
        </is>
      </c>
      <c r="M4785" s="12" t="inlineStr">
        <is>
          <t>16</t>
        </is>
      </c>
      <c r="N4785" s="12" t="n">
        <v>20</v>
      </c>
      <c r="O4785" s="12" t="n">
        <v>1</v>
      </c>
      <c r="P4785" s="12" t="n"/>
      <c r="Q4785" s="12" t="n"/>
      <c r="R4785" s="12" t="n"/>
      <c r="S4785" s="12" t="inlineStr">
        <is>
          <t>Tray / conduit</t>
        </is>
      </c>
      <c r="T4785" s="16" t="n">
        <v>99</v>
      </c>
      <c r="U4785" s="16" t="n">
        <v>10</v>
      </c>
      <c r="V4785" s="16">
        <f>ROUNDUP((T4785+U4785+2*'Read Me'!$B$13)*(1+'Read Me'!$B$12),-1)</f>
        <v/>
      </c>
      <c r="W4785" s="16">
        <f>V4785*N4785*O4785</f>
        <v/>
      </c>
      <c r="X4785" s="12">
        <f>IF(LEFT(I4785,2)="MV",2*N4785*IF(L4785="1/C",O4785,1),0)</f>
        <v/>
      </c>
      <c r="Y4785" s="12">
        <f>IF(OR(LEFT(K4785,4)="LVAX",LEFT(K4785,6)="MV15AX",LEFT(K4785,4)="CTAX",LEFT(K4785,2)="W|"),2*N4785*O4785,0)</f>
        <v/>
      </c>
      <c r="Z4785" s="12" t="inlineStr">
        <is>
          <t>device-to-JB field wiring, one cable per device</t>
        </is>
      </c>
      <c r="AA4785" s="12">
        <f>N4785*O4785</f>
        <v/>
      </c>
    </row>
    <row r="4786">
      <c r="A4786" s="12" t="inlineStr">
        <is>
          <t>I-I-0428</t>
        </is>
      </c>
      <c r="B4786" s="12" t="inlineStr">
        <is>
          <t>I</t>
        </is>
      </c>
      <c r="C4786" s="12" t="inlineStr">
        <is>
          <t>Modular / portable power</t>
        </is>
      </c>
      <c r="D4786" s="12" t="inlineStr">
        <is>
          <t>Home run JB-SC-1-AI03 to the control / marshalling room</t>
        </is>
      </c>
      <c r="E4786" s="12" t="inlineStr"/>
      <c r="F4786" s="12" t="inlineStr">
        <is>
          <t>PCM: power control module</t>
        </is>
      </c>
      <c r="G4786" s="12" t="inlineStr">
        <is>
          <t>JB-SC-1-AI03</t>
        </is>
      </c>
      <c r="H4786" s="12" t="inlineStr">
        <is>
          <t>SC-1: aeroderivative simple-cycle unit (LM6000 class)</t>
        </is>
      </c>
      <c r="I4786" s="12" t="inlineStr">
        <is>
          <t>Instrumentation</t>
        </is>
      </c>
      <c r="J4786" s="12" t="inlineStr">
        <is>
          <t>Instrumentation PLTC / TC-ER 300 V, #18 twisted shielded pairs, overall shield</t>
        </is>
      </c>
      <c r="K4786" s="12" t="inlineStr">
        <is>
          <t>PLTC|24 pr|18</t>
        </is>
      </c>
      <c r="L4786" s="12" t="inlineStr">
        <is>
          <t>24 pr</t>
        </is>
      </c>
      <c r="M4786" s="12" t="inlineStr">
        <is>
          <t>18</t>
        </is>
      </c>
      <c r="N4786" s="12" t="n">
        <v>1</v>
      </c>
      <c r="O4786" s="12" t="n">
        <v>1</v>
      </c>
      <c r="P4786" s="12" t="n"/>
      <c r="Q4786" s="12" t="n"/>
      <c r="R4786" s="12" t="n"/>
      <c r="S4786" s="12" t="inlineStr">
        <is>
          <t>Duct bank</t>
        </is>
      </c>
      <c r="T4786" s="16" t="n">
        <v>40</v>
      </c>
      <c r="U4786" s="16" t="n">
        <v>52</v>
      </c>
      <c r="V4786" s="16">
        <f>ROUNDUP((T4786+U4786+2*'Read Me'!$B$13)*(1+'Read Me'!$B$12),-1)</f>
        <v/>
      </c>
      <c r="W4786" s="16">
        <f>V4786*N4786*O4786</f>
        <v/>
      </c>
      <c r="X4786" s="12">
        <f>IF(LEFT(I4786,2)="MV",2*N4786*IF(L4786="1/C",O4786,1),0)</f>
        <v/>
      </c>
      <c r="Y4786" s="12">
        <f>IF(OR(LEFT(K4786,4)="LVAX",LEFT(K4786,6)="MV15AX",LEFT(K4786,4)="CTAX",LEFT(K4786,2)="W|"),2*N4786*O4786,0)</f>
        <v/>
      </c>
      <c r="Z4786" s="12" t="inlineStr"/>
      <c r="AA4786" s="12">
        <f>N4786*O4786</f>
        <v/>
      </c>
    </row>
    <row r="4787">
      <c r="A4787" s="12" t="inlineStr">
        <is>
          <t>I-I-0429</t>
        </is>
      </c>
      <c r="B4787" s="12" t="inlineStr">
        <is>
          <t>I</t>
        </is>
      </c>
      <c r="C4787" s="12" t="inlineStr">
        <is>
          <t>Modular / portable power</t>
        </is>
      </c>
      <c r="D4787" s="12" t="inlineStr">
        <is>
          <t>Analog instrument to JB JB-SC-1-AI04: 20 x 1 pr (field cables)</t>
        </is>
      </c>
      <c r="E4787" s="12" t="inlineStr">
        <is>
          <t>SC-1</t>
        </is>
      </c>
      <c r="F4787" s="12" t="inlineStr">
        <is>
          <t>SC-1: aeroderivative simple-cycle unit (LM6000 class)</t>
        </is>
      </c>
      <c r="G4787" s="12" t="inlineStr">
        <is>
          <t>JB-SC-1-AI04</t>
        </is>
      </c>
      <c r="H4787" s="12" t="inlineStr">
        <is>
          <t>SC-1: aeroderivative simple-cycle unit (LM6000 class)</t>
        </is>
      </c>
      <c r="I4787" s="12" t="inlineStr">
        <is>
          <t>Instrumentation</t>
        </is>
      </c>
      <c r="J4787" s="12" t="inlineStr">
        <is>
          <t>Instrumentation PLTC / TC-ER 300 V, #18 twisted shielded pairs, overall shield</t>
        </is>
      </c>
      <c r="K4787" s="12" t="inlineStr">
        <is>
          <t>PLTC|1 pr|16</t>
        </is>
      </c>
      <c r="L4787" s="12" t="inlineStr">
        <is>
          <t>1 pr</t>
        </is>
      </c>
      <c r="M4787" s="12" t="inlineStr">
        <is>
          <t>16</t>
        </is>
      </c>
      <c r="N4787" s="12" t="n">
        <v>20</v>
      </c>
      <c r="O4787" s="12" t="n">
        <v>1</v>
      </c>
      <c r="P4787" s="12" t="n"/>
      <c r="Q4787" s="12" t="n"/>
      <c r="R4787" s="12" t="n"/>
      <c r="S4787" s="12" t="inlineStr">
        <is>
          <t>Tray / conduit</t>
        </is>
      </c>
      <c r="T4787" s="16" t="n">
        <v>99</v>
      </c>
      <c r="U4787" s="16" t="n">
        <v>10</v>
      </c>
      <c r="V4787" s="16">
        <f>ROUNDUP((T4787+U4787+2*'Read Me'!$B$13)*(1+'Read Me'!$B$12),-1)</f>
        <v/>
      </c>
      <c r="W4787" s="16">
        <f>V4787*N4787*O4787</f>
        <v/>
      </c>
      <c r="X4787" s="12">
        <f>IF(LEFT(I4787,2)="MV",2*N4787*IF(L4787="1/C",O4787,1),0)</f>
        <v/>
      </c>
      <c r="Y4787" s="12">
        <f>IF(OR(LEFT(K4787,4)="LVAX",LEFT(K4787,6)="MV15AX",LEFT(K4787,4)="CTAX",LEFT(K4787,2)="W|"),2*N4787*O4787,0)</f>
        <v/>
      </c>
      <c r="Z4787" s="12" t="inlineStr">
        <is>
          <t>device-to-JB field wiring, one cable per device</t>
        </is>
      </c>
      <c r="AA4787" s="12">
        <f>N4787*O4787</f>
        <v/>
      </c>
    </row>
    <row r="4788">
      <c r="A4788" s="12" t="inlineStr">
        <is>
          <t>I-I-0430</t>
        </is>
      </c>
      <c r="B4788" s="12" t="inlineStr">
        <is>
          <t>I</t>
        </is>
      </c>
      <c r="C4788" s="12" t="inlineStr">
        <is>
          <t>Modular / portable power</t>
        </is>
      </c>
      <c r="D4788" s="12" t="inlineStr">
        <is>
          <t>Home run JB-SC-1-AI04 to the control / marshalling room</t>
        </is>
      </c>
      <c r="E4788" s="12" t="inlineStr"/>
      <c r="F4788" s="12" t="inlineStr">
        <is>
          <t>PCM: power control module</t>
        </is>
      </c>
      <c r="G4788" s="12" t="inlineStr">
        <is>
          <t>JB-SC-1-AI04</t>
        </is>
      </c>
      <c r="H4788" s="12" t="inlineStr">
        <is>
          <t>SC-1: aeroderivative simple-cycle unit (LM6000 class)</t>
        </is>
      </c>
      <c r="I4788" s="12" t="inlineStr">
        <is>
          <t>Instrumentation</t>
        </is>
      </c>
      <c r="J4788" s="12" t="inlineStr">
        <is>
          <t>Instrumentation PLTC / TC-ER 300 V, #18 twisted shielded pairs, overall shield</t>
        </is>
      </c>
      <c r="K4788" s="12" t="inlineStr">
        <is>
          <t>PLTC|24 pr|18</t>
        </is>
      </c>
      <c r="L4788" s="12" t="inlineStr">
        <is>
          <t>24 pr</t>
        </is>
      </c>
      <c r="M4788" s="12" t="inlineStr">
        <is>
          <t>18</t>
        </is>
      </c>
      <c r="N4788" s="12" t="n">
        <v>1</v>
      </c>
      <c r="O4788" s="12" t="n">
        <v>1</v>
      </c>
      <c r="P4788" s="12" t="n"/>
      <c r="Q4788" s="12" t="n"/>
      <c r="R4788" s="12" t="n"/>
      <c r="S4788" s="12" t="inlineStr">
        <is>
          <t>Duct bank</t>
        </is>
      </c>
      <c r="T4788" s="16" t="n">
        <v>40</v>
      </c>
      <c r="U4788" s="16" t="n">
        <v>52</v>
      </c>
      <c r="V4788" s="16">
        <f>ROUNDUP((T4788+U4788+2*'Read Me'!$B$13)*(1+'Read Me'!$B$12),-1)</f>
        <v/>
      </c>
      <c r="W4788" s="16">
        <f>V4788*N4788*O4788</f>
        <v/>
      </c>
      <c r="X4788" s="12">
        <f>IF(LEFT(I4788,2)="MV",2*N4788*IF(L4788="1/C",O4788,1),0)</f>
        <v/>
      </c>
      <c r="Y4788" s="12">
        <f>IF(OR(LEFT(K4788,4)="LVAX",LEFT(K4788,6)="MV15AX",LEFT(K4788,4)="CTAX",LEFT(K4788,2)="W|"),2*N4788*O4788,0)</f>
        <v/>
      </c>
      <c r="Z4788" s="12" t="inlineStr"/>
      <c r="AA4788" s="12">
        <f>N4788*O4788</f>
        <v/>
      </c>
    </row>
    <row r="4789">
      <c r="A4789" s="12" t="inlineStr">
        <is>
          <t>I-I-0431</t>
        </is>
      </c>
      <c r="B4789" s="12" t="inlineStr">
        <is>
          <t>I</t>
        </is>
      </c>
      <c r="C4789" s="12" t="inlineStr">
        <is>
          <t>Modular / portable power</t>
        </is>
      </c>
      <c r="D4789" s="12" t="inlineStr">
        <is>
          <t>Analog instrument to JB JB-SC-1-AI05: 20 x 1 pr (field cables)</t>
        </is>
      </c>
      <c r="E4789" s="12" t="inlineStr">
        <is>
          <t>SC-1</t>
        </is>
      </c>
      <c r="F4789" s="12" t="inlineStr">
        <is>
          <t>SC-1: aeroderivative simple-cycle unit (LM6000 class)</t>
        </is>
      </c>
      <c r="G4789" s="12" t="inlineStr">
        <is>
          <t>JB-SC-1-AI05</t>
        </is>
      </c>
      <c r="H4789" s="12" t="inlineStr">
        <is>
          <t>SC-1: aeroderivative simple-cycle unit (LM6000 class)</t>
        </is>
      </c>
      <c r="I4789" s="12" t="inlineStr">
        <is>
          <t>Instrumentation</t>
        </is>
      </c>
      <c r="J4789" s="12" t="inlineStr">
        <is>
          <t>Instrumentation PLTC / TC-ER 300 V, #18 twisted shielded pairs, overall shield</t>
        </is>
      </c>
      <c r="K4789" s="12" t="inlineStr">
        <is>
          <t>PLTC|1 pr|16</t>
        </is>
      </c>
      <c r="L4789" s="12" t="inlineStr">
        <is>
          <t>1 pr</t>
        </is>
      </c>
      <c r="M4789" s="12" t="inlineStr">
        <is>
          <t>16</t>
        </is>
      </c>
      <c r="N4789" s="12" t="n">
        <v>20</v>
      </c>
      <c r="O4789" s="12" t="n">
        <v>1</v>
      </c>
      <c r="P4789" s="12" t="n"/>
      <c r="Q4789" s="12" t="n"/>
      <c r="R4789" s="12" t="n"/>
      <c r="S4789" s="12" t="inlineStr">
        <is>
          <t>Tray / conduit</t>
        </is>
      </c>
      <c r="T4789" s="16" t="n">
        <v>99</v>
      </c>
      <c r="U4789" s="16" t="n">
        <v>10</v>
      </c>
      <c r="V4789" s="16">
        <f>ROUNDUP((T4789+U4789+2*'Read Me'!$B$13)*(1+'Read Me'!$B$12),-1)</f>
        <v/>
      </c>
      <c r="W4789" s="16">
        <f>V4789*N4789*O4789</f>
        <v/>
      </c>
      <c r="X4789" s="12">
        <f>IF(LEFT(I4789,2)="MV",2*N4789*IF(L4789="1/C",O4789,1),0)</f>
        <v/>
      </c>
      <c r="Y4789" s="12">
        <f>IF(OR(LEFT(K4789,4)="LVAX",LEFT(K4789,6)="MV15AX",LEFT(K4789,4)="CTAX",LEFT(K4789,2)="W|"),2*N4789*O4789,0)</f>
        <v/>
      </c>
      <c r="Z4789" s="12" t="inlineStr">
        <is>
          <t>device-to-JB field wiring, one cable per device</t>
        </is>
      </c>
      <c r="AA4789" s="12">
        <f>N4789*O4789</f>
        <v/>
      </c>
    </row>
    <row r="4790">
      <c r="A4790" s="12" t="inlineStr">
        <is>
          <t>I-I-0432</t>
        </is>
      </c>
      <c r="B4790" s="12" t="inlineStr">
        <is>
          <t>I</t>
        </is>
      </c>
      <c r="C4790" s="12" t="inlineStr">
        <is>
          <t>Modular / portable power</t>
        </is>
      </c>
      <c r="D4790" s="12" t="inlineStr">
        <is>
          <t>Home run JB-SC-1-AI05 to the control / marshalling room</t>
        </is>
      </c>
      <c r="E4790" s="12" t="inlineStr"/>
      <c r="F4790" s="12" t="inlineStr">
        <is>
          <t>PCM: power control module</t>
        </is>
      </c>
      <c r="G4790" s="12" t="inlineStr">
        <is>
          <t>JB-SC-1-AI05</t>
        </is>
      </c>
      <c r="H4790" s="12" t="inlineStr">
        <is>
          <t>SC-1: aeroderivative simple-cycle unit (LM6000 class)</t>
        </is>
      </c>
      <c r="I4790" s="12" t="inlineStr">
        <is>
          <t>Instrumentation</t>
        </is>
      </c>
      <c r="J4790" s="12" t="inlineStr">
        <is>
          <t>Instrumentation PLTC / TC-ER 300 V, #18 twisted shielded pairs, overall shield</t>
        </is>
      </c>
      <c r="K4790" s="12" t="inlineStr">
        <is>
          <t>PLTC|24 pr|18</t>
        </is>
      </c>
      <c r="L4790" s="12" t="inlineStr">
        <is>
          <t>24 pr</t>
        </is>
      </c>
      <c r="M4790" s="12" t="inlineStr">
        <is>
          <t>18</t>
        </is>
      </c>
      <c r="N4790" s="12" t="n">
        <v>1</v>
      </c>
      <c r="O4790" s="12" t="n">
        <v>1</v>
      </c>
      <c r="P4790" s="12" t="n"/>
      <c r="Q4790" s="12" t="n"/>
      <c r="R4790" s="12" t="n"/>
      <c r="S4790" s="12" t="inlineStr">
        <is>
          <t>Duct bank</t>
        </is>
      </c>
      <c r="T4790" s="16" t="n">
        <v>40</v>
      </c>
      <c r="U4790" s="16" t="n">
        <v>52</v>
      </c>
      <c r="V4790" s="16">
        <f>ROUNDUP((T4790+U4790+2*'Read Me'!$B$13)*(1+'Read Me'!$B$12),-1)</f>
        <v/>
      </c>
      <c r="W4790" s="16">
        <f>V4790*N4790*O4790</f>
        <v/>
      </c>
      <c r="X4790" s="12">
        <f>IF(LEFT(I4790,2)="MV",2*N4790*IF(L4790="1/C",O4790,1),0)</f>
        <v/>
      </c>
      <c r="Y4790" s="12">
        <f>IF(OR(LEFT(K4790,4)="LVAX",LEFT(K4790,6)="MV15AX",LEFT(K4790,4)="CTAX",LEFT(K4790,2)="W|"),2*N4790*O4790,0)</f>
        <v/>
      </c>
      <c r="Z4790" s="12" t="inlineStr"/>
      <c r="AA4790" s="12">
        <f>N4790*O4790</f>
        <v/>
      </c>
    </row>
    <row r="4791">
      <c r="A4791" s="12" t="inlineStr">
        <is>
          <t>I-I-0433</t>
        </is>
      </c>
      <c r="B4791" s="12" t="inlineStr">
        <is>
          <t>I</t>
        </is>
      </c>
      <c r="C4791" s="12" t="inlineStr">
        <is>
          <t>Modular / portable power</t>
        </is>
      </c>
      <c r="D4791" s="12" t="inlineStr">
        <is>
          <t>Analog instrument to JB JB-SC-1-AI06: 20 x 1 pr (field cables)</t>
        </is>
      </c>
      <c r="E4791" s="12" t="inlineStr">
        <is>
          <t>SC-1</t>
        </is>
      </c>
      <c r="F4791" s="12" t="inlineStr">
        <is>
          <t>SC-1: aeroderivative simple-cycle unit (LM6000 class)</t>
        </is>
      </c>
      <c r="G4791" s="12" t="inlineStr">
        <is>
          <t>JB-SC-1-AI06</t>
        </is>
      </c>
      <c r="H4791" s="12" t="inlineStr">
        <is>
          <t>SC-1: aeroderivative simple-cycle unit (LM6000 class)</t>
        </is>
      </c>
      <c r="I4791" s="12" t="inlineStr">
        <is>
          <t>Instrumentation</t>
        </is>
      </c>
      <c r="J4791" s="12" t="inlineStr">
        <is>
          <t>Instrumentation PLTC / TC-ER 300 V, #18 twisted shielded pairs, overall shield</t>
        </is>
      </c>
      <c r="K4791" s="12" t="inlineStr">
        <is>
          <t>PLTC|1 pr|16</t>
        </is>
      </c>
      <c r="L4791" s="12" t="inlineStr">
        <is>
          <t>1 pr</t>
        </is>
      </c>
      <c r="M4791" s="12" t="inlineStr">
        <is>
          <t>16</t>
        </is>
      </c>
      <c r="N4791" s="12" t="n">
        <v>20</v>
      </c>
      <c r="O4791" s="12" t="n">
        <v>1</v>
      </c>
      <c r="P4791" s="12" t="n"/>
      <c r="Q4791" s="12" t="n"/>
      <c r="R4791" s="12" t="n"/>
      <c r="S4791" s="12" t="inlineStr">
        <is>
          <t>Tray / conduit</t>
        </is>
      </c>
      <c r="T4791" s="16" t="n">
        <v>99</v>
      </c>
      <c r="U4791" s="16" t="n">
        <v>10</v>
      </c>
      <c r="V4791" s="16">
        <f>ROUNDUP((T4791+U4791+2*'Read Me'!$B$13)*(1+'Read Me'!$B$12),-1)</f>
        <v/>
      </c>
      <c r="W4791" s="16">
        <f>V4791*N4791*O4791</f>
        <v/>
      </c>
      <c r="X4791" s="12">
        <f>IF(LEFT(I4791,2)="MV",2*N4791*IF(L4791="1/C",O4791,1),0)</f>
        <v/>
      </c>
      <c r="Y4791" s="12">
        <f>IF(OR(LEFT(K4791,4)="LVAX",LEFT(K4791,6)="MV15AX",LEFT(K4791,4)="CTAX",LEFT(K4791,2)="W|"),2*N4791*O4791,0)</f>
        <v/>
      </c>
      <c r="Z4791" s="12" t="inlineStr">
        <is>
          <t>device-to-JB field wiring, one cable per device</t>
        </is>
      </c>
      <c r="AA4791" s="12">
        <f>N4791*O4791</f>
        <v/>
      </c>
    </row>
    <row r="4792">
      <c r="A4792" s="12" t="inlineStr">
        <is>
          <t>I-I-0434</t>
        </is>
      </c>
      <c r="B4792" s="12" t="inlineStr">
        <is>
          <t>I</t>
        </is>
      </c>
      <c r="C4792" s="12" t="inlineStr">
        <is>
          <t>Modular / portable power</t>
        </is>
      </c>
      <c r="D4792" s="12" t="inlineStr">
        <is>
          <t>Home run JB-SC-1-AI06 to the control / marshalling room</t>
        </is>
      </c>
      <c r="E4792" s="12" t="inlineStr"/>
      <c r="F4792" s="12" t="inlineStr">
        <is>
          <t>PCM: power control module</t>
        </is>
      </c>
      <c r="G4792" s="12" t="inlineStr">
        <is>
          <t>JB-SC-1-AI06</t>
        </is>
      </c>
      <c r="H4792" s="12" t="inlineStr">
        <is>
          <t>SC-1: aeroderivative simple-cycle unit (LM6000 class)</t>
        </is>
      </c>
      <c r="I4792" s="12" t="inlineStr">
        <is>
          <t>Instrumentation</t>
        </is>
      </c>
      <c r="J4792" s="12" t="inlineStr">
        <is>
          <t>Instrumentation PLTC / TC-ER 300 V, #18 twisted shielded pairs, overall shield</t>
        </is>
      </c>
      <c r="K4792" s="12" t="inlineStr">
        <is>
          <t>PLTC|24 pr|18</t>
        </is>
      </c>
      <c r="L4792" s="12" t="inlineStr">
        <is>
          <t>24 pr</t>
        </is>
      </c>
      <c r="M4792" s="12" t="inlineStr">
        <is>
          <t>18</t>
        </is>
      </c>
      <c r="N4792" s="12" t="n">
        <v>1</v>
      </c>
      <c r="O4792" s="12" t="n">
        <v>1</v>
      </c>
      <c r="P4792" s="12" t="n"/>
      <c r="Q4792" s="12" t="n"/>
      <c r="R4792" s="12" t="n"/>
      <c r="S4792" s="12" t="inlineStr">
        <is>
          <t>Duct bank</t>
        </is>
      </c>
      <c r="T4792" s="16" t="n">
        <v>40</v>
      </c>
      <c r="U4792" s="16" t="n">
        <v>52</v>
      </c>
      <c r="V4792" s="16">
        <f>ROUNDUP((T4792+U4792+2*'Read Me'!$B$13)*(1+'Read Me'!$B$12),-1)</f>
        <v/>
      </c>
      <c r="W4792" s="16">
        <f>V4792*N4792*O4792</f>
        <v/>
      </c>
      <c r="X4792" s="12">
        <f>IF(LEFT(I4792,2)="MV",2*N4792*IF(L4792="1/C",O4792,1),0)</f>
        <v/>
      </c>
      <c r="Y4792" s="12">
        <f>IF(OR(LEFT(K4792,4)="LVAX",LEFT(K4792,6)="MV15AX",LEFT(K4792,4)="CTAX",LEFT(K4792,2)="W|"),2*N4792*O4792,0)</f>
        <v/>
      </c>
      <c r="Z4792" s="12" t="inlineStr"/>
      <c r="AA4792" s="12">
        <f>N4792*O4792</f>
        <v/>
      </c>
    </row>
    <row r="4793">
      <c r="A4793" s="12" t="inlineStr">
        <is>
          <t>I-I-0435</t>
        </is>
      </c>
      <c r="B4793" s="12" t="inlineStr">
        <is>
          <t>I</t>
        </is>
      </c>
      <c r="C4793" s="12" t="inlineStr">
        <is>
          <t>Modular / portable power</t>
        </is>
      </c>
      <c r="D4793" s="12" t="inlineStr">
        <is>
          <t>Analog instrument to JB JB-SC-1-AI07: 20 x 1 pr (field cables)</t>
        </is>
      </c>
      <c r="E4793" s="12" t="inlineStr">
        <is>
          <t>SC-1</t>
        </is>
      </c>
      <c r="F4793" s="12" t="inlineStr">
        <is>
          <t>SC-1: aeroderivative simple-cycle unit (LM6000 class)</t>
        </is>
      </c>
      <c r="G4793" s="12" t="inlineStr">
        <is>
          <t>JB-SC-1-AI07</t>
        </is>
      </c>
      <c r="H4793" s="12" t="inlineStr">
        <is>
          <t>SC-1: aeroderivative simple-cycle unit (LM6000 class)</t>
        </is>
      </c>
      <c r="I4793" s="12" t="inlineStr">
        <is>
          <t>Instrumentation</t>
        </is>
      </c>
      <c r="J4793" s="12" t="inlineStr">
        <is>
          <t>Instrumentation PLTC / TC-ER 300 V, #18 twisted shielded pairs, overall shield</t>
        </is>
      </c>
      <c r="K4793" s="12" t="inlineStr">
        <is>
          <t>PLTC|1 pr|16</t>
        </is>
      </c>
      <c r="L4793" s="12" t="inlineStr">
        <is>
          <t>1 pr</t>
        </is>
      </c>
      <c r="M4793" s="12" t="inlineStr">
        <is>
          <t>16</t>
        </is>
      </c>
      <c r="N4793" s="12" t="n">
        <v>20</v>
      </c>
      <c r="O4793" s="12" t="n">
        <v>1</v>
      </c>
      <c r="P4793" s="12" t="n"/>
      <c r="Q4793" s="12" t="n"/>
      <c r="R4793" s="12" t="n"/>
      <c r="S4793" s="12" t="inlineStr">
        <is>
          <t>Tray / conduit</t>
        </is>
      </c>
      <c r="T4793" s="16" t="n">
        <v>99</v>
      </c>
      <c r="U4793" s="16" t="n">
        <v>10</v>
      </c>
      <c r="V4793" s="16">
        <f>ROUNDUP((T4793+U4793+2*'Read Me'!$B$13)*(1+'Read Me'!$B$12),-1)</f>
        <v/>
      </c>
      <c r="W4793" s="16">
        <f>V4793*N4793*O4793</f>
        <v/>
      </c>
      <c r="X4793" s="12">
        <f>IF(LEFT(I4793,2)="MV",2*N4793*IF(L4793="1/C",O4793,1),0)</f>
        <v/>
      </c>
      <c r="Y4793" s="12">
        <f>IF(OR(LEFT(K4793,4)="LVAX",LEFT(K4793,6)="MV15AX",LEFT(K4793,4)="CTAX",LEFT(K4793,2)="W|"),2*N4793*O4793,0)</f>
        <v/>
      </c>
      <c r="Z4793" s="12" t="inlineStr">
        <is>
          <t>device-to-JB field wiring, one cable per device</t>
        </is>
      </c>
      <c r="AA4793" s="12">
        <f>N4793*O4793</f>
        <v/>
      </c>
    </row>
    <row r="4794">
      <c r="A4794" s="12" t="inlineStr">
        <is>
          <t>I-I-0436</t>
        </is>
      </c>
      <c r="B4794" s="12" t="inlineStr">
        <is>
          <t>I</t>
        </is>
      </c>
      <c r="C4794" s="12" t="inlineStr">
        <is>
          <t>Modular / portable power</t>
        </is>
      </c>
      <c r="D4794" s="12" t="inlineStr">
        <is>
          <t>Home run JB-SC-1-AI07 to the control / marshalling room</t>
        </is>
      </c>
      <c r="E4794" s="12" t="inlineStr"/>
      <c r="F4794" s="12" t="inlineStr">
        <is>
          <t>PCM: power control module</t>
        </is>
      </c>
      <c r="G4794" s="12" t="inlineStr">
        <is>
          <t>JB-SC-1-AI07</t>
        </is>
      </c>
      <c r="H4794" s="12" t="inlineStr">
        <is>
          <t>SC-1: aeroderivative simple-cycle unit (LM6000 class)</t>
        </is>
      </c>
      <c r="I4794" s="12" t="inlineStr">
        <is>
          <t>Instrumentation</t>
        </is>
      </c>
      <c r="J4794" s="12" t="inlineStr">
        <is>
          <t>Instrumentation PLTC / TC-ER 300 V, #18 twisted shielded pairs, overall shield</t>
        </is>
      </c>
      <c r="K4794" s="12" t="inlineStr">
        <is>
          <t>PLTC|24 pr|18</t>
        </is>
      </c>
      <c r="L4794" s="12" t="inlineStr">
        <is>
          <t>24 pr</t>
        </is>
      </c>
      <c r="M4794" s="12" t="inlineStr">
        <is>
          <t>18</t>
        </is>
      </c>
      <c r="N4794" s="12" t="n">
        <v>1</v>
      </c>
      <c r="O4794" s="12" t="n">
        <v>1</v>
      </c>
      <c r="P4794" s="12" t="n"/>
      <c r="Q4794" s="12" t="n"/>
      <c r="R4794" s="12" t="n"/>
      <c r="S4794" s="12" t="inlineStr">
        <is>
          <t>Duct bank</t>
        </is>
      </c>
      <c r="T4794" s="16" t="n">
        <v>40</v>
      </c>
      <c r="U4794" s="16" t="n">
        <v>52</v>
      </c>
      <c r="V4794" s="16">
        <f>ROUNDUP((T4794+U4794+2*'Read Me'!$B$13)*(1+'Read Me'!$B$12),-1)</f>
        <v/>
      </c>
      <c r="W4794" s="16">
        <f>V4794*N4794*O4794</f>
        <v/>
      </c>
      <c r="X4794" s="12">
        <f>IF(LEFT(I4794,2)="MV",2*N4794*IF(L4794="1/C",O4794,1),0)</f>
        <v/>
      </c>
      <c r="Y4794" s="12">
        <f>IF(OR(LEFT(K4794,4)="LVAX",LEFT(K4794,6)="MV15AX",LEFT(K4794,4)="CTAX",LEFT(K4794,2)="W|"),2*N4794*O4794,0)</f>
        <v/>
      </c>
      <c r="Z4794" s="12" t="inlineStr"/>
      <c r="AA4794" s="12">
        <f>N4794*O4794</f>
        <v/>
      </c>
    </row>
    <row r="4795">
      <c r="A4795" s="12" t="inlineStr">
        <is>
          <t>I-I-0437</t>
        </is>
      </c>
      <c r="B4795" s="12" t="inlineStr">
        <is>
          <t>I</t>
        </is>
      </c>
      <c r="C4795" s="12" t="inlineStr">
        <is>
          <t>Modular / portable power</t>
        </is>
      </c>
      <c r="D4795" s="12" t="inlineStr">
        <is>
          <t>Analog instrument to JB JB-SC-1-AI08: 10 x 1 pr (field cables)</t>
        </is>
      </c>
      <c r="E4795" s="12" t="inlineStr">
        <is>
          <t>SC-1</t>
        </is>
      </c>
      <c r="F4795" s="12" t="inlineStr">
        <is>
          <t>SC-1: aeroderivative simple-cycle unit (LM6000 class)</t>
        </is>
      </c>
      <c r="G4795" s="12" t="inlineStr">
        <is>
          <t>JB-SC-1-AI08</t>
        </is>
      </c>
      <c r="H4795" s="12" t="inlineStr">
        <is>
          <t>SC-1: aeroderivative simple-cycle unit (LM6000 class)</t>
        </is>
      </c>
      <c r="I4795" s="12" t="inlineStr">
        <is>
          <t>Instrumentation</t>
        </is>
      </c>
      <c r="J4795" s="12" t="inlineStr">
        <is>
          <t>Instrumentation PLTC / TC-ER 300 V, #18 twisted shielded pairs, overall shield</t>
        </is>
      </c>
      <c r="K4795" s="12" t="inlineStr">
        <is>
          <t>PLTC|1 pr|16</t>
        </is>
      </c>
      <c r="L4795" s="12" t="inlineStr">
        <is>
          <t>1 pr</t>
        </is>
      </c>
      <c r="M4795" s="12" t="inlineStr">
        <is>
          <t>16</t>
        </is>
      </c>
      <c r="N4795" s="12" t="n">
        <v>10</v>
      </c>
      <c r="O4795" s="12" t="n">
        <v>1</v>
      </c>
      <c r="P4795" s="12" t="n"/>
      <c r="Q4795" s="12" t="n"/>
      <c r="R4795" s="12" t="n"/>
      <c r="S4795" s="12" t="inlineStr">
        <is>
          <t>Tray / conduit</t>
        </is>
      </c>
      <c r="T4795" s="16" t="n">
        <v>99</v>
      </c>
      <c r="U4795" s="16" t="n">
        <v>10</v>
      </c>
      <c r="V4795" s="16">
        <f>ROUNDUP((T4795+U4795+2*'Read Me'!$B$13)*(1+'Read Me'!$B$12),-1)</f>
        <v/>
      </c>
      <c r="W4795" s="16">
        <f>V4795*N4795*O4795</f>
        <v/>
      </c>
      <c r="X4795" s="12">
        <f>IF(LEFT(I4795,2)="MV",2*N4795*IF(L4795="1/C",O4795,1),0)</f>
        <v/>
      </c>
      <c r="Y4795" s="12">
        <f>IF(OR(LEFT(K4795,4)="LVAX",LEFT(K4795,6)="MV15AX",LEFT(K4795,4)="CTAX",LEFT(K4795,2)="W|"),2*N4795*O4795,0)</f>
        <v/>
      </c>
      <c r="Z4795" s="12" t="inlineStr">
        <is>
          <t>device-to-JB field wiring, one cable per device</t>
        </is>
      </c>
      <c r="AA4795" s="12">
        <f>N4795*O4795</f>
        <v/>
      </c>
    </row>
    <row r="4796">
      <c r="A4796" s="12" t="inlineStr">
        <is>
          <t>I-I-0438</t>
        </is>
      </c>
      <c r="B4796" s="12" t="inlineStr">
        <is>
          <t>I</t>
        </is>
      </c>
      <c r="C4796" s="12" t="inlineStr">
        <is>
          <t>Modular / portable power</t>
        </is>
      </c>
      <c r="D4796" s="12" t="inlineStr">
        <is>
          <t>Home run JB-SC-1-AI08 to the control / marshalling room</t>
        </is>
      </c>
      <c r="E4796" s="12" t="inlineStr"/>
      <c r="F4796" s="12" t="inlineStr">
        <is>
          <t>PCM: power control module</t>
        </is>
      </c>
      <c r="G4796" s="12" t="inlineStr">
        <is>
          <t>JB-SC-1-AI08</t>
        </is>
      </c>
      <c r="H4796" s="12" t="inlineStr">
        <is>
          <t>SC-1: aeroderivative simple-cycle unit (LM6000 class)</t>
        </is>
      </c>
      <c r="I4796" s="12" t="inlineStr">
        <is>
          <t>Instrumentation</t>
        </is>
      </c>
      <c r="J4796" s="12" t="inlineStr">
        <is>
          <t>Instrumentation PLTC / TC-ER 300 V, #18 twisted shielded pairs, overall shield</t>
        </is>
      </c>
      <c r="K4796" s="12" t="inlineStr">
        <is>
          <t>PLTC|24 pr|18</t>
        </is>
      </c>
      <c r="L4796" s="12" t="inlineStr">
        <is>
          <t>24 pr</t>
        </is>
      </c>
      <c r="M4796" s="12" t="inlineStr">
        <is>
          <t>18</t>
        </is>
      </c>
      <c r="N4796" s="12" t="n">
        <v>1</v>
      </c>
      <c r="O4796" s="12" t="n">
        <v>1</v>
      </c>
      <c r="P4796" s="12" t="n"/>
      <c r="Q4796" s="12" t="n"/>
      <c r="R4796" s="12" t="n"/>
      <c r="S4796" s="12" t="inlineStr">
        <is>
          <t>Duct bank</t>
        </is>
      </c>
      <c r="T4796" s="16" t="n">
        <v>40</v>
      </c>
      <c r="U4796" s="16" t="n">
        <v>52</v>
      </c>
      <c r="V4796" s="16">
        <f>ROUNDUP((T4796+U4796+2*'Read Me'!$B$13)*(1+'Read Me'!$B$12),-1)</f>
        <v/>
      </c>
      <c r="W4796" s="16">
        <f>V4796*N4796*O4796</f>
        <v/>
      </c>
      <c r="X4796" s="12">
        <f>IF(LEFT(I4796,2)="MV",2*N4796*IF(L4796="1/C",O4796,1),0)</f>
        <v/>
      </c>
      <c r="Y4796" s="12">
        <f>IF(OR(LEFT(K4796,4)="LVAX",LEFT(K4796,6)="MV15AX",LEFT(K4796,4)="CTAX",LEFT(K4796,2)="W|"),2*N4796*O4796,0)</f>
        <v/>
      </c>
      <c r="Z4796" s="12" t="inlineStr"/>
      <c r="AA4796" s="12">
        <f>N4796*O4796</f>
        <v/>
      </c>
    </row>
    <row r="4797">
      <c r="A4797" s="12" t="inlineStr">
        <is>
          <t>I-I-0439</t>
        </is>
      </c>
      <c r="B4797" s="12" t="inlineStr">
        <is>
          <t>I</t>
        </is>
      </c>
      <c r="C4797" s="12" t="inlineStr">
        <is>
          <t>Modular / portable power</t>
        </is>
      </c>
      <c r="D4797" s="12" t="inlineStr">
        <is>
          <t>Discrete device to JB JB-SC-1-DI01: 20 x 1 pr (field cables)</t>
        </is>
      </c>
      <c r="E4797" s="12" t="inlineStr">
        <is>
          <t>SC-1</t>
        </is>
      </c>
      <c r="F4797" s="12" t="inlineStr">
        <is>
          <t>SC-1: aeroderivative simple-cycle unit (LM6000 class)</t>
        </is>
      </c>
      <c r="G4797" s="12" t="inlineStr">
        <is>
          <t>JB-SC-1-DI01</t>
        </is>
      </c>
      <c r="H4797" s="12" t="inlineStr">
        <is>
          <t>SC-1: aeroderivative simple-cycle unit (LM6000 class)</t>
        </is>
      </c>
      <c r="I4797" s="12" t="inlineStr">
        <is>
          <t>Instrumentation</t>
        </is>
      </c>
      <c r="J4797" s="12" t="inlineStr">
        <is>
          <t>Instrumentation PLTC / TC-ER 300 V, #18 twisted shielded pairs, overall shield</t>
        </is>
      </c>
      <c r="K4797" s="12" t="inlineStr">
        <is>
          <t>PLTC|1 pr|16</t>
        </is>
      </c>
      <c r="L4797" s="12" t="inlineStr">
        <is>
          <t>1 pr</t>
        </is>
      </c>
      <c r="M4797" s="12" t="inlineStr">
        <is>
          <t>16</t>
        </is>
      </c>
      <c r="N4797" s="12" t="n">
        <v>20</v>
      </c>
      <c r="O4797" s="12" t="n">
        <v>1</v>
      </c>
      <c r="P4797" s="12" t="n"/>
      <c r="Q4797" s="12" t="n"/>
      <c r="R4797" s="12" t="n"/>
      <c r="S4797" s="12" t="inlineStr">
        <is>
          <t>Tray / conduit</t>
        </is>
      </c>
      <c r="T4797" s="16" t="n">
        <v>99</v>
      </c>
      <c r="U4797" s="16" t="n">
        <v>10</v>
      </c>
      <c r="V4797" s="16">
        <f>ROUNDUP((T4797+U4797+2*'Read Me'!$B$13)*(1+'Read Me'!$B$12),-1)</f>
        <v/>
      </c>
      <c r="W4797" s="16">
        <f>V4797*N4797*O4797</f>
        <v/>
      </c>
      <c r="X4797" s="12">
        <f>IF(LEFT(I4797,2)="MV",2*N4797*IF(L4797="1/C",O4797,1),0)</f>
        <v/>
      </c>
      <c r="Y4797" s="12">
        <f>IF(OR(LEFT(K4797,4)="LVAX",LEFT(K4797,6)="MV15AX",LEFT(K4797,4)="CTAX",LEFT(K4797,2)="W|"),2*N4797*O4797,0)</f>
        <v/>
      </c>
      <c r="Z4797" s="12" t="inlineStr">
        <is>
          <t>device-to-JB field wiring, one cable per device</t>
        </is>
      </c>
      <c r="AA4797" s="12">
        <f>N4797*O4797</f>
        <v/>
      </c>
    </row>
    <row r="4798">
      <c r="A4798" s="12" t="inlineStr">
        <is>
          <t>I-I-0440</t>
        </is>
      </c>
      <c r="B4798" s="12" t="inlineStr">
        <is>
          <t>I</t>
        </is>
      </c>
      <c r="C4798" s="12" t="inlineStr">
        <is>
          <t>Modular / portable power</t>
        </is>
      </c>
      <c r="D4798" s="12" t="inlineStr">
        <is>
          <t>Home run JB-SC-1-DI01 to the control / marshalling room</t>
        </is>
      </c>
      <c r="E4798" s="12" t="inlineStr"/>
      <c r="F4798" s="12" t="inlineStr">
        <is>
          <t>PCM: power control module</t>
        </is>
      </c>
      <c r="G4798" s="12" t="inlineStr">
        <is>
          <t>JB-SC-1-DI01</t>
        </is>
      </c>
      <c r="H4798" s="12" t="inlineStr">
        <is>
          <t>SC-1: aeroderivative simple-cycle unit (LM6000 class)</t>
        </is>
      </c>
      <c r="I4798" s="12" t="inlineStr">
        <is>
          <t>Instrumentation</t>
        </is>
      </c>
      <c r="J4798" s="12" t="inlineStr">
        <is>
          <t>Instrumentation PLTC / TC-ER 300 V, #18 twisted shielded pairs, overall shield</t>
        </is>
      </c>
      <c r="K4798" s="12" t="inlineStr">
        <is>
          <t>PLTC|24 pr|18</t>
        </is>
      </c>
      <c r="L4798" s="12" t="inlineStr">
        <is>
          <t>24 pr</t>
        </is>
      </c>
      <c r="M4798" s="12" t="inlineStr">
        <is>
          <t>18</t>
        </is>
      </c>
      <c r="N4798" s="12" t="n">
        <v>1</v>
      </c>
      <c r="O4798" s="12" t="n">
        <v>1</v>
      </c>
      <c r="P4798" s="12" t="n"/>
      <c r="Q4798" s="12" t="n"/>
      <c r="R4798" s="12" t="n"/>
      <c r="S4798" s="12" t="inlineStr">
        <is>
          <t>Duct bank</t>
        </is>
      </c>
      <c r="T4798" s="16" t="n">
        <v>40</v>
      </c>
      <c r="U4798" s="16" t="n">
        <v>52</v>
      </c>
      <c r="V4798" s="16">
        <f>ROUNDUP((T4798+U4798+2*'Read Me'!$B$13)*(1+'Read Me'!$B$12),-1)</f>
        <v/>
      </c>
      <c r="W4798" s="16">
        <f>V4798*N4798*O4798</f>
        <v/>
      </c>
      <c r="X4798" s="12">
        <f>IF(LEFT(I4798,2)="MV",2*N4798*IF(L4798="1/C",O4798,1),0)</f>
        <v/>
      </c>
      <c r="Y4798" s="12">
        <f>IF(OR(LEFT(K4798,4)="LVAX",LEFT(K4798,6)="MV15AX",LEFT(K4798,4)="CTAX",LEFT(K4798,2)="W|"),2*N4798*O4798,0)</f>
        <v/>
      </c>
      <c r="Z4798" s="12" t="inlineStr"/>
      <c r="AA4798" s="12">
        <f>N4798*O4798</f>
        <v/>
      </c>
    </row>
    <row r="4799">
      <c r="A4799" s="12" t="inlineStr">
        <is>
          <t>I-I-0441</t>
        </is>
      </c>
      <c r="B4799" s="12" t="inlineStr">
        <is>
          <t>I</t>
        </is>
      </c>
      <c r="C4799" s="12" t="inlineStr">
        <is>
          <t>Modular / portable power</t>
        </is>
      </c>
      <c r="D4799" s="12" t="inlineStr">
        <is>
          <t>Discrete device to JB JB-SC-1-DI02: 20 x 1 pr (field cables)</t>
        </is>
      </c>
      <c r="E4799" s="12" t="inlineStr">
        <is>
          <t>SC-1</t>
        </is>
      </c>
      <c r="F4799" s="12" t="inlineStr">
        <is>
          <t>SC-1: aeroderivative simple-cycle unit (LM6000 class)</t>
        </is>
      </c>
      <c r="G4799" s="12" t="inlineStr">
        <is>
          <t>JB-SC-1-DI02</t>
        </is>
      </c>
      <c r="H4799" s="12" t="inlineStr">
        <is>
          <t>SC-1: aeroderivative simple-cycle unit (LM6000 class)</t>
        </is>
      </c>
      <c r="I4799" s="12" t="inlineStr">
        <is>
          <t>Instrumentation</t>
        </is>
      </c>
      <c r="J4799" s="12" t="inlineStr">
        <is>
          <t>Instrumentation PLTC / TC-ER 300 V, #18 twisted shielded pairs, overall shield</t>
        </is>
      </c>
      <c r="K4799" s="12" t="inlineStr">
        <is>
          <t>PLTC|1 pr|16</t>
        </is>
      </c>
      <c r="L4799" s="12" t="inlineStr">
        <is>
          <t>1 pr</t>
        </is>
      </c>
      <c r="M4799" s="12" t="inlineStr">
        <is>
          <t>16</t>
        </is>
      </c>
      <c r="N4799" s="12" t="n">
        <v>20</v>
      </c>
      <c r="O4799" s="12" t="n">
        <v>1</v>
      </c>
      <c r="P4799" s="12" t="n"/>
      <c r="Q4799" s="12" t="n"/>
      <c r="R4799" s="12" t="n"/>
      <c r="S4799" s="12" t="inlineStr">
        <is>
          <t>Tray / conduit</t>
        </is>
      </c>
      <c r="T4799" s="16" t="n">
        <v>99</v>
      </c>
      <c r="U4799" s="16" t="n">
        <v>10</v>
      </c>
      <c r="V4799" s="16">
        <f>ROUNDUP((T4799+U4799+2*'Read Me'!$B$13)*(1+'Read Me'!$B$12),-1)</f>
        <v/>
      </c>
      <c r="W4799" s="16">
        <f>V4799*N4799*O4799</f>
        <v/>
      </c>
      <c r="X4799" s="12">
        <f>IF(LEFT(I4799,2)="MV",2*N4799*IF(L4799="1/C",O4799,1),0)</f>
        <v/>
      </c>
      <c r="Y4799" s="12">
        <f>IF(OR(LEFT(K4799,4)="LVAX",LEFT(K4799,6)="MV15AX",LEFT(K4799,4)="CTAX",LEFT(K4799,2)="W|"),2*N4799*O4799,0)</f>
        <v/>
      </c>
      <c r="Z4799" s="12" t="inlineStr">
        <is>
          <t>device-to-JB field wiring, one cable per device</t>
        </is>
      </c>
      <c r="AA4799" s="12">
        <f>N4799*O4799</f>
        <v/>
      </c>
    </row>
    <row r="4800">
      <c r="A4800" s="12" t="inlineStr">
        <is>
          <t>I-I-0442</t>
        </is>
      </c>
      <c r="B4800" s="12" t="inlineStr">
        <is>
          <t>I</t>
        </is>
      </c>
      <c r="C4800" s="12" t="inlineStr">
        <is>
          <t>Modular / portable power</t>
        </is>
      </c>
      <c r="D4800" s="12" t="inlineStr">
        <is>
          <t>Home run JB-SC-1-DI02 to the control / marshalling room</t>
        </is>
      </c>
      <c r="E4800" s="12" t="inlineStr"/>
      <c r="F4800" s="12" t="inlineStr">
        <is>
          <t>PCM: power control module</t>
        </is>
      </c>
      <c r="G4800" s="12" t="inlineStr">
        <is>
          <t>JB-SC-1-DI02</t>
        </is>
      </c>
      <c r="H4800" s="12" t="inlineStr">
        <is>
          <t>SC-1: aeroderivative simple-cycle unit (LM6000 class)</t>
        </is>
      </c>
      <c r="I4800" s="12" t="inlineStr">
        <is>
          <t>Instrumentation</t>
        </is>
      </c>
      <c r="J4800" s="12" t="inlineStr">
        <is>
          <t>Instrumentation PLTC / TC-ER 300 V, #18 twisted shielded pairs, overall shield</t>
        </is>
      </c>
      <c r="K4800" s="12" t="inlineStr">
        <is>
          <t>PLTC|24 pr|18</t>
        </is>
      </c>
      <c r="L4800" s="12" t="inlineStr">
        <is>
          <t>24 pr</t>
        </is>
      </c>
      <c r="M4800" s="12" t="inlineStr">
        <is>
          <t>18</t>
        </is>
      </c>
      <c r="N4800" s="12" t="n">
        <v>1</v>
      </c>
      <c r="O4800" s="12" t="n">
        <v>1</v>
      </c>
      <c r="P4800" s="12" t="n"/>
      <c r="Q4800" s="12" t="n"/>
      <c r="R4800" s="12" t="n"/>
      <c r="S4800" s="12" t="inlineStr">
        <is>
          <t>Duct bank</t>
        </is>
      </c>
      <c r="T4800" s="16" t="n">
        <v>40</v>
      </c>
      <c r="U4800" s="16" t="n">
        <v>52</v>
      </c>
      <c r="V4800" s="16">
        <f>ROUNDUP((T4800+U4800+2*'Read Me'!$B$13)*(1+'Read Me'!$B$12),-1)</f>
        <v/>
      </c>
      <c r="W4800" s="16">
        <f>V4800*N4800*O4800</f>
        <v/>
      </c>
      <c r="X4800" s="12">
        <f>IF(LEFT(I4800,2)="MV",2*N4800*IF(L4800="1/C",O4800,1),0)</f>
        <v/>
      </c>
      <c r="Y4800" s="12">
        <f>IF(OR(LEFT(K4800,4)="LVAX",LEFT(K4800,6)="MV15AX",LEFT(K4800,4)="CTAX",LEFT(K4800,2)="W|"),2*N4800*O4800,0)</f>
        <v/>
      </c>
      <c r="Z4800" s="12" t="inlineStr"/>
      <c r="AA4800" s="12">
        <f>N4800*O4800</f>
        <v/>
      </c>
    </row>
    <row r="4801">
      <c r="A4801" s="12" t="inlineStr">
        <is>
          <t>I-I-0443</t>
        </is>
      </c>
      <c r="B4801" s="12" t="inlineStr">
        <is>
          <t>I</t>
        </is>
      </c>
      <c r="C4801" s="12" t="inlineStr">
        <is>
          <t>Modular / portable power</t>
        </is>
      </c>
      <c r="D4801" s="12" t="inlineStr">
        <is>
          <t>Discrete device to JB JB-SC-1-DI03: 20 x 1 pr (field cables)</t>
        </is>
      </c>
      <c r="E4801" s="12" t="inlineStr">
        <is>
          <t>SC-1</t>
        </is>
      </c>
      <c r="F4801" s="12" t="inlineStr">
        <is>
          <t>SC-1: aeroderivative simple-cycle unit (LM6000 class)</t>
        </is>
      </c>
      <c r="G4801" s="12" t="inlineStr">
        <is>
          <t>JB-SC-1-DI03</t>
        </is>
      </c>
      <c r="H4801" s="12" t="inlineStr">
        <is>
          <t>SC-1: aeroderivative simple-cycle unit (LM6000 class)</t>
        </is>
      </c>
      <c r="I4801" s="12" t="inlineStr">
        <is>
          <t>Instrumentation</t>
        </is>
      </c>
      <c r="J4801" s="12" t="inlineStr">
        <is>
          <t>Instrumentation PLTC / TC-ER 300 V, #18 twisted shielded pairs, overall shield</t>
        </is>
      </c>
      <c r="K4801" s="12" t="inlineStr">
        <is>
          <t>PLTC|1 pr|16</t>
        </is>
      </c>
      <c r="L4801" s="12" t="inlineStr">
        <is>
          <t>1 pr</t>
        </is>
      </c>
      <c r="M4801" s="12" t="inlineStr">
        <is>
          <t>16</t>
        </is>
      </c>
      <c r="N4801" s="12" t="n">
        <v>20</v>
      </c>
      <c r="O4801" s="12" t="n">
        <v>1</v>
      </c>
      <c r="P4801" s="12" t="n"/>
      <c r="Q4801" s="12" t="n"/>
      <c r="R4801" s="12" t="n"/>
      <c r="S4801" s="12" t="inlineStr">
        <is>
          <t>Tray / conduit</t>
        </is>
      </c>
      <c r="T4801" s="16" t="n">
        <v>99</v>
      </c>
      <c r="U4801" s="16" t="n">
        <v>10</v>
      </c>
      <c r="V4801" s="16">
        <f>ROUNDUP((T4801+U4801+2*'Read Me'!$B$13)*(1+'Read Me'!$B$12),-1)</f>
        <v/>
      </c>
      <c r="W4801" s="16">
        <f>V4801*N4801*O4801</f>
        <v/>
      </c>
      <c r="X4801" s="12">
        <f>IF(LEFT(I4801,2)="MV",2*N4801*IF(L4801="1/C",O4801,1),0)</f>
        <v/>
      </c>
      <c r="Y4801" s="12">
        <f>IF(OR(LEFT(K4801,4)="LVAX",LEFT(K4801,6)="MV15AX",LEFT(K4801,4)="CTAX",LEFT(K4801,2)="W|"),2*N4801*O4801,0)</f>
        <v/>
      </c>
      <c r="Z4801" s="12" t="inlineStr">
        <is>
          <t>device-to-JB field wiring, one cable per device</t>
        </is>
      </c>
      <c r="AA4801" s="12">
        <f>N4801*O4801</f>
        <v/>
      </c>
    </row>
    <row r="4802">
      <c r="A4802" s="12" t="inlineStr">
        <is>
          <t>I-I-0444</t>
        </is>
      </c>
      <c r="B4802" s="12" t="inlineStr">
        <is>
          <t>I</t>
        </is>
      </c>
      <c r="C4802" s="12" t="inlineStr">
        <is>
          <t>Modular / portable power</t>
        </is>
      </c>
      <c r="D4802" s="12" t="inlineStr">
        <is>
          <t>Home run JB-SC-1-DI03 to the control / marshalling room</t>
        </is>
      </c>
      <c r="E4802" s="12" t="inlineStr"/>
      <c r="F4802" s="12" t="inlineStr">
        <is>
          <t>PCM: power control module</t>
        </is>
      </c>
      <c r="G4802" s="12" t="inlineStr">
        <is>
          <t>JB-SC-1-DI03</t>
        </is>
      </c>
      <c r="H4802" s="12" t="inlineStr">
        <is>
          <t>SC-1: aeroderivative simple-cycle unit (LM6000 class)</t>
        </is>
      </c>
      <c r="I4802" s="12" t="inlineStr">
        <is>
          <t>Instrumentation</t>
        </is>
      </c>
      <c r="J4802" s="12" t="inlineStr">
        <is>
          <t>Instrumentation PLTC / TC-ER 300 V, #18 twisted shielded pairs, overall shield</t>
        </is>
      </c>
      <c r="K4802" s="12" t="inlineStr">
        <is>
          <t>PLTC|24 pr|18</t>
        </is>
      </c>
      <c r="L4802" s="12" t="inlineStr">
        <is>
          <t>24 pr</t>
        </is>
      </c>
      <c r="M4802" s="12" t="inlineStr">
        <is>
          <t>18</t>
        </is>
      </c>
      <c r="N4802" s="12" t="n">
        <v>1</v>
      </c>
      <c r="O4802" s="12" t="n">
        <v>1</v>
      </c>
      <c r="P4802" s="12" t="n"/>
      <c r="Q4802" s="12" t="n"/>
      <c r="R4802" s="12" t="n"/>
      <c r="S4802" s="12" t="inlineStr">
        <is>
          <t>Duct bank</t>
        </is>
      </c>
      <c r="T4802" s="16" t="n">
        <v>40</v>
      </c>
      <c r="U4802" s="16" t="n">
        <v>52</v>
      </c>
      <c r="V4802" s="16">
        <f>ROUNDUP((T4802+U4802+2*'Read Me'!$B$13)*(1+'Read Me'!$B$12),-1)</f>
        <v/>
      </c>
      <c r="W4802" s="16">
        <f>V4802*N4802*O4802</f>
        <v/>
      </c>
      <c r="X4802" s="12">
        <f>IF(LEFT(I4802,2)="MV",2*N4802*IF(L4802="1/C",O4802,1),0)</f>
        <v/>
      </c>
      <c r="Y4802" s="12">
        <f>IF(OR(LEFT(K4802,4)="LVAX",LEFT(K4802,6)="MV15AX",LEFT(K4802,4)="CTAX",LEFT(K4802,2)="W|"),2*N4802*O4802,0)</f>
        <v/>
      </c>
      <c r="Z4802" s="12" t="inlineStr"/>
      <c r="AA4802" s="12">
        <f>N4802*O4802</f>
        <v/>
      </c>
    </row>
    <row r="4803">
      <c r="A4803" s="12" t="inlineStr">
        <is>
          <t>I-I-0445</t>
        </is>
      </c>
      <c r="B4803" s="12" t="inlineStr">
        <is>
          <t>I</t>
        </is>
      </c>
      <c r="C4803" s="12" t="inlineStr">
        <is>
          <t>Modular / portable power</t>
        </is>
      </c>
      <c r="D4803" s="12" t="inlineStr">
        <is>
          <t>Discrete device to JB JB-SC-1-DI04: 20 x 1 pr (field cables)</t>
        </is>
      </c>
      <c r="E4803" s="12" t="inlineStr">
        <is>
          <t>SC-1</t>
        </is>
      </c>
      <c r="F4803" s="12" t="inlineStr">
        <is>
          <t>SC-1: aeroderivative simple-cycle unit (LM6000 class)</t>
        </is>
      </c>
      <c r="G4803" s="12" t="inlineStr">
        <is>
          <t>JB-SC-1-DI04</t>
        </is>
      </c>
      <c r="H4803" s="12" t="inlineStr">
        <is>
          <t>SC-1: aeroderivative simple-cycle unit (LM6000 class)</t>
        </is>
      </c>
      <c r="I4803" s="12" t="inlineStr">
        <is>
          <t>Instrumentation</t>
        </is>
      </c>
      <c r="J4803" s="12" t="inlineStr">
        <is>
          <t>Instrumentation PLTC / TC-ER 300 V, #18 twisted shielded pairs, overall shield</t>
        </is>
      </c>
      <c r="K4803" s="12" t="inlineStr">
        <is>
          <t>PLTC|1 pr|16</t>
        </is>
      </c>
      <c r="L4803" s="12" t="inlineStr">
        <is>
          <t>1 pr</t>
        </is>
      </c>
      <c r="M4803" s="12" t="inlineStr">
        <is>
          <t>16</t>
        </is>
      </c>
      <c r="N4803" s="12" t="n">
        <v>20</v>
      </c>
      <c r="O4803" s="12" t="n">
        <v>1</v>
      </c>
      <c r="P4803" s="12" t="n"/>
      <c r="Q4803" s="12" t="n"/>
      <c r="R4803" s="12" t="n"/>
      <c r="S4803" s="12" t="inlineStr">
        <is>
          <t>Tray / conduit</t>
        </is>
      </c>
      <c r="T4803" s="16" t="n">
        <v>99</v>
      </c>
      <c r="U4803" s="16" t="n">
        <v>10</v>
      </c>
      <c r="V4803" s="16">
        <f>ROUNDUP((T4803+U4803+2*'Read Me'!$B$13)*(1+'Read Me'!$B$12),-1)</f>
        <v/>
      </c>
      <c r="W4803" s="16">
        <f>V4803*N4803*O4803</f>
        <v/>
      </c>
      <c r="X4803" s="12">
        <f>IF(LEFT(I4803,2)="MV",2*N4803*IF(L4803="1/C",O4803,1),0)</f>
        <v/>
      </c>
      <c r="Y4803" s="12">
        <f>IF(OR(LEFT(K4803,4)="LVAX",LEFT(K4803,6)="MV15AX",LEFT(K4803,4)="CTAX",LEFT(K4803,2)="W|"),2*N4803*O4803,0)</f>
        <v/>
      </c>
      <c r="Z4803" s="12" t="inlineStr">
        <is>
          <t>device-to-JB field wiring, one cable per device</t>
        </is>
      </c>
      <c r="AA4803" s="12">
        <f>N4803*O4803</f>
        <v/>
      </c>
    </row>
    <row r="4804">
      <c r="A4804" s="12" t="inlineStr">
        <is>
          <t>I-I-0446</t>
        </is>
      </c>
      <c r="B4804" s="12" t="inlineStr">
        <is>
          <t>I</t>
        </is>
      </c>
      <c r="C4804" s="12" t="inlineStr">
        <is>
          <t>Modular / portable power</t>
        </is>
      </c>
      <c r="D4804" s="12" t="inlineStr">
        <is>
          <t>Home run JB-SC-1-DI04 to the control / marshalling room</t>
        </is>
      </c>
      <c r="E4804" s="12" t="inlineStr"/>
      <c r="F4804" s="12" t="inlineStr">
        <is>
          <t>PCM: power control module</t>
        </is>
      </c>
      <c r="G4804" s="12" t="inlineStr">
        <is>
          <t>JB-SC-1-DI04</t>
        </is>
      </c>
      <c r="H4804" s="12" t="inlineStr">
        <is>
          <t>SC-1: aeroderivative simple-cycle unit (LM6000 class)</t>
        </is>
      </c>
      <c r="I4804" s="12" t="inlineStr">
        <is>
          <t>Instrumentation</t>
        </is>
      </c>
      <c r="J4804" s="12" t="inlineStr">
        <is>
          <t>Instrumentation PLTC / TC-ER 300 V, #18 twisted shielded pairs, overall shield</t>
        </is>
      </c>
      <c r="K4804" s="12" t="inlineStr">
        <is>
          <t>PLTC|24 pr|18</t>
        </is>
      </c>
      <c r="L4804" s="12" t="inlineStr">
        <is>
          <t>24 pr</t>
        </is>
      </c>
      <c r="M4804" s="12" t="inlineStr">
        <is>
          <t>18</t>
        </is>
      </c>
      <c r="N4804" s="12" t="n">
        <v>1</v>
      </c>
      <c r="O4804" s="12" t="n">
        <v>1</v>
      </c>
      <c r="P4804" s="12" t="n"/>
      <c r="Q4804" s="12" t="n"/>
      <c r="R4804" s="12" t="n"/>
      <c r="S4804" s="12" t="inlineStr">
        <is>
          <t>Duct bank</t>
        </is>
      </c>
      <c r="T4804" s="16" t="n">
        <v>40</v>
      </c>
      <c r="U4804" s="16" t="n">
        <v>52</v>
      </c>
      <c r="V4804" s="16">
        <f>ROUNDUP((T4804+U4804+2*'Read Me'!$B$13)*(1+'Read Me'!$B$12),-1)</f>
        <v/>
      </c>
      <c r="W4804" s="16">
        <f>V4804*N4804*O4804</f>
        <v/>
      </c>
      <c r="X4804" s="12">
        <f>IF(LEFT(I4804,2)="MV",2*N4804*IF(L4804="1/C",O4804,1),0)</f>
        <v/>
      </c>
      <c r="Y4804" s="12">
        <f>IF(OR(LEFT(K4804,4)="LVAX",LEFT(K4804,6)="MV15AX",LEFT(K4804,4)="CTAX",LEFT(K4804,2)="W|"),2*N4804*O4804,0)</f>
        <v/>
      </c>
      <c r="Z4804" s="12" t="inlineStr"/>
      <c r="AA4804" s="12">
        <f>N4804*O4804</f>
        <v/>
      </c>
    </row>
    <row r="4805">
      <c r="A4805" s="12" t="inlineStr">
        <is>
          <t>I-I-0447</t>
        </is>
      </c>
      <c r="B4805" s="12" t="inlineStr">
        <is>
          <t>I</t>
        </is>
      </c>
      <c r="C4805" s="12" t="inlineStr">
        <is>
          <t>Modular / portable power</t>
        </is>
      </c>
      <c r="D4805" s="12" t="inlineStr">
        <is>
          <t>Discrete device to JB JB-SC-1-DI05: 20 x 1 pr (field cables)</t>
        </is>
      </c>
      <c r="E4805" s="12" t="inlineStr">
        <is>
          <t>SC-1</t>
        </is>
      </c>
      <c r="F4805" s="12" t="inlineStr">
        <is>
          <t>SC-1: aeroderivative simple-cycle unit (LM6000 class)</t>
        </is>
      </c>
      <c r="G4805" s="12" t="inlineStr">
        <is>
          <t>JB-SC-1-DI05</t>
        </is>
      </c>
      <c r="H4805" s="12" t="inlineStr">
        <is>
          <t>SC-1: aeroderivative simple-cycle unit (LM6000 class)</t>
        </is>
      </c>
      <c r="I4805" s="12" t="inlineStr">
        <is>
          <t>Instrumentation</t>
        </is>
      </c>
      <c r="J4805" s="12" t="inlineStr">
        <is>
          <t>Instrumentation PLTC / TC-ER 300 V, #18 twisted shielded pairs, overall shield</t>
        </is>
      </c>
      <c r="K4805" s="12" t="inlineStr">
        <is>
          <t>PLTC|1 pr|16</t>
        </is>
      </c>
      <c r="L4805" s="12" t="inlineStr">
        <is>
          <t>1 pr</t>
        </is>
      </c>
      <c r="M4805" s="12" t="inlineStr">
        <is>
          <t>16</t>
        </is>
      </c>
      <c r="N4805" s="12" t="n">
        <v>20</v>
      </c>
      <c r="O4805" s="12" t="n">
        <v>1</v>
      </c>
      <c r="P4805" s="12" t="n"/>
      <c r="Q4805" s="12" t="n"/>
      <c r="R4805" s="12" t="n"/>
      <c r="S4805" s="12" t="inlineStr">
        <is>
          <t>Tray / conduit</t>
        </is>
      </c>
      <c r="T4805" s="16" t="n">
        <v>99</v>
      </c>
      <c r="U4805" s="16" t="n">
        <v>10</v>
      </c>
      <c r="V4805" s="16">
        <f>ROUNDUP((T4805+U4805+2*'Read Me'!$B$13)*(1+'Read Me'!$B$12),-1)</f>
        <v/>
      </c>
      <c r="W4805" s="16">
        <f>V4805*N4805*O4805</f>
        <v/>
      </c>
      <c r="X4805" s="12">
        <f>IF(LEFT(I4805,2)="MV",2*N4805*IF(L4805="1/C",O4805,1),0)</f>
        <v/>
      </c>
      <c r="Y4805" s="12">
        <f>IF(OR(LEFT(K4805,4)="LVAX",LEFT(K4805,6)="MV15AX",LEFT(K4805,4)="CTAX",LEFT(K4805,2)="W|"),2*N4805*O4805,0)</f>
        <v/>
      </c>
      <c r="Z4805" s="12" t="inlineStr">
        <is>
          <t>device-to-JB field wiring, one cable per device</t>
        </is>
      </c>
      <c r="AA4805" s="12">
        <f>N4805*O4805</f>
        <v/>
      </c>
    </row>
    <row r="4806">
      <c r="A4806" s="12" t="inlineStr">
        <is>
          <t>I-I-0448</t>
        </is>
      </c>
      <c r="B4806" s="12" t="inlineStr">
        <is>
          <t>I</t>
        </is>
      </c>
      <c r="C4806" s="12" t="inlineStr">
        <is>
          <t>Modular / portable power</t>
        </is>
      </c>
      <c r="D4806" s="12" t="inlineStr">
        <is>
          <t>Home run JB-SC-1-DI05 to the control / marshalling room</t>
        </is>
      </c>
      <c r="E4806" s="12" t="inlineStr"/>
      <c r="F4806" s="12" t="inlineStr">
        <is>
          <t>PCM: power control module</t>
        </is>
      </c>
      <c r="G4806" s="12" t="inlineStr">
        <is>
          <t>JB-SC-1-DI05</t>
        </is>
      </c>
      <c r="H4806" s="12" t="inlineStr">
        <is>
          <t>SC-1: aeroderivative simple-cycle unit (LM6000 class)</t>
        </is>
      </c>
      <c r="I4806" s="12" t="inlineStr">
        <is>
          <t>Instrumentation</t>
        </is>
      </c>
      <c r="J4806" s="12" t="inlineStr">
        <is>
          <t>Instrumentation PLTC / TC-ER 300 V, #18 twisted shielded pairs, overall shield</t>
        </is>
      </c>
      <c r="K4806" s="12" t="inlineStr">
        <is>
          <t>PLTC|24 pr|18</t>
        </is>
      </c>
      <c r="L4806" s="12" t="inlineStr">
        <is>
          <t>24 pr</t>
        </is>
      </c>
      <c r="M4806" s="12" t="inlineStr">
        <is>
          <t>18</t>
        </is>
      </c>
      <c r="N4806" s="12" t="n">
        <v>1</v>
      </c>
      <c r="O4806" s="12" t="n">
        <v>1</v>
      </c>
      <c r="P4806" s="12" t="n"/>
      <c r="Q4806" s="12" t="n"/>
      <c r="R4806" s="12" t="n"/>
      <c r="S4806" s="12" t="inlineStr">
        <is>
          <t>Duct bank</t>
        </is>
      </c>
      <c r="T4806" s="16" t="n">
        <v>40</v>
      </c>
      <c r="U4806" s="16" t="n">
        <v>52</v>
      </c>
      <c r="V4806" s="16">
        <f>ROUNDUP((T4806+U4806+2*'Read Me'!$B$13)*(1+'Read Me'!$B$12),-1)</f>
        <v/>
      </c>
      <c r="W4806" s="16">
        <f>V4806*N4806*O4806</f>
        <v/>
      </c>
      <c r="X4806" s="12">
        <f>IF(LEFT(I4806,2)="MV",2*N4806*IF(L4806="1/C",O4806,1),0)</f>
        <v/>
      </c>
      <c r="Y4806" s="12">
        <f>IF(OR(LEFT(K4806,4)="LVAX",LEFT(K4806,6)="MV15AX",LEFT(K4806,4)="CTAX",LEFT(K4806,2)="W|"),2*N4806*O4806,0)</f>
        <v/>
      </c>
      <c r="Z4806" s="12" t="inlineStr"/>
      <c r="AA4806" s="12">
        <f>N4806*O4806</f>
        <v/>
      </c>
    </row>
    <row r="4807">
      <c r="A4807" s="12" t="inlineStr">
        <is>
          <t>I-I-0449</t>
        </is>
      </c>
      <c r="B4807" s="12" t="inlineStr">
        <is>
          <t>I</t>
        </is>
      </c>
      <c r="C4807" s="12" t="inlineStr">
        <is>
          <t>Modular / portable power</t>
        </is>
      </c>
      <c r="D4807" s="12" t="inlineStr">
        <is>
          <t>Thermocouple to TC JB JB-SC-1-TC01: 20 x 1 pr (field cables)</t>
        </is>
      </c>
      <c r="E4807" s="12" t="inlineStr">
        <is>
          <t>SC-1</t>
        </is>
      </c>
      <c r="F4807" s="12" t="inlineStr">
        <is>
          <t>SC-1: aeroderivative simple-cycle unit (LM6000 class)</t>
        </is>
      </c>
      <c r="G4807" s="12" t="inlineStr">
        <is>
          <t>JB-SC-1-TC01</t>
        </is>
      </c>
      <c r="H4807" s="12" t="inlineStr">
        <is>
          <t>SC-1: aeroderivative simple-cycle unit (LM6000 class)</t>
        </is>
      </c>
      <c r="I4807" s="12" t="inlineStr">
        <is>
          <t>Instrumentation</t>
        </is>
      </c>
      <c r="J4807" s="12" t="inlineStr">
        <is>
          <t>Thermocouple extension KX, #16 shielded pairs, PLTC</t>
        </is>
      </c>
      <c r="K4807" s="12" t="inlineStr">
        <is>
          <t>TCX|1 pr|16</t>
        </is>
      </c>
      <c r="L4807" s="12" t="inlineStr">
        <is>
          <t>1 pr</t>
        </is>
      </c>
      <c r="M4807" s="12" t="inlineStr">
        <is>
          <t>16</t>
        </is>
      </c>
      <c r="N4807" s="12" t="n">
        <v>20</v>
      </c>
      <c r="O4807" s="12" t="n">
        <v>1</v>
      </c>
      <c r="P4807" s="12" t="n"/>
      <c r="Q4807" s="12" t="n"/>
      <c r="R4807" s="12" t="n"/>
      <c r="S4807" s="12" t="inlineStr">
        <is>
          <t>Tray / conduit</t>
        </is>
      </c>
      <c r="T4807" s="16" t="n">
        <v>99</v>
      </c>
      <c r="U4807" s="16" t="n">
        <v>10</v>
      </c>
      <c r="V4807" s="16">
        <f>ROUNDUP((T4807+U4807+2*'Read Me'!$B$13)*(1+'Read Me'!$B$12),-1)</f>
        <v/>
      </c>
      <c r="W4807" s="16">
        <f>V4807*N4807*O4807</f>
        <v/>
      </c>
      <c r="X4807" s="12">
        <f>IF(LEFT(I4807,2)="MV",2*N4807*IF(L4807="1/C",O4807,1),0)</f>
        <v/>
      </c>
      <c r="Y4807" s="12">
        <f>IF(OR(LEFT(K4807,4)="LVAX",LEFT(K4807,6)="MV15AX",LEFT(K4807,4)="CTAX",LEFT(K4807,2)="W|"),2*N4807*O4807,0)</f>
        <v/>
      </c>
      <c r="Z4807" s="12" t="inlineStr">
        <is>
          <t>device-to-JB field wiring, one cable per device</t>
        </is>
      </c>
      <c r="AA4807" s="12">
        <f>N4807*O4807</f>
        <v/>
      </c>
    </row>
    <row r="4808">
      <c r="A4808" s="12" t="inlineStr">
        <is>
          <t>I-I-0450</t>
        </is>
      </c>
      <c r="B4808" s="12" t="inlineStr">
        <is>
          <t>I</t>
        </is>
      </c>
      <c r="C4808" s="12" t="inlineStr">
        <is>
          <t>Modular / portable power</t>
        </is>
      </c>
      <c r="D4808" s="12" t="inlineStr">
        <is>
          <t>Home run JB-SC-1-TC01 to the control / marshalling room</t>
        </is>
      </c>
      <c r="E4808" s="12" t="inlineStr"/>
      <c r="F4808" s="12" t="inlineStr">
        <is>
          <t>PCM: power control module</t>
        </is>
      </c>
      <c r="G4808" s="12" t="inlineStr">
        <is>
          <t>JB-SC-1-TC01</t>
        </is>
      </c>
      <c r="H4808" s="12" t="inlineStr">
        <is>
          <t>SC-1: aeroderivative simple-cycle unit (LM6000 class)</t>
        </is>
      </c>
      <c r="I4808" s="12" t="inlineStr">
        <is>
          <t>Instrumentation</t>
        </is>
      </c>
      <c r="J4808" s="12" t="inlineStr">
        <is>
          <t>Thermocouple extension KX, #16 shielded pairs, PLTC</t>
        </is>
      </c>
      <c r="K4808" s="12" t="inlineStr">
        <is>
          <t>TCX|24 pr|16</t>
        </is>
      </c>
      <c r="L4808" s="12" t="inlineStr">
        <is>
          <t>24 pr</t>
        </is>
      </c>
      <c r="M4808" s="12" t="inlineStr">
        <is>
          <t>16</t>
        </is>
      </c>
      <c r="N4808" s="12" t="n">
        <v>1</v>
      </c>
      <c r="O4808" s="12" t="n">
        <v>1</v>
      </c>
      <c r="P4808" s="12" t="n"/>
      <c r="Q4808" s="12" t="n"/>
      <c r="R4808" s="12" t="n"/>
      <c r="S4808" s="12" t="inlineStr">
        <is>
          <t>Duct bank</t>
        </is>
      </c>
      <c r="T4808" s="16" t="n">
        <v>40</v>
      </c>
      <c r="U4808" s="16" t="n">
        <v>52</v>
      </c>
      <c r="V4808" s="16">
        <f>ROUNDUP((T4808+U4808+2*'Read Me'!$B$13)*(1+'Read Me'!$B$12),-1)</f>
        <v/>
      </c>
      <c r="W4808" s="16">
        <f>V4808*N4808*O4808</f>
        <v/>
      </c>
      <c r="X4808" s="12">
        <f>IF(LEFT(I4808,2)="MV",2*N4808*IF(L4808="1/C",O4808,1),0)</f>
        <v/>
      </c>
      <c r="Y4808" s="12">
        <f>IF(OR(LEFT(K4808,4)="LVAX",LEFT(K4808,6)="MV15AX",LEFT(K4808,4)="CTAX",LEFT(K4808,2)="W|"),2*N4808*O4808,0)</f>
        <v/>
      </c>
      <c r="Z4808" s="12" t="inlineStr"/>
      <c r="AA4808" s="12">
        <f>N4808*O4808</f>
        <v/>
      </c>
    </row>
    <row r="4809">
      <c r="A4809" s="12" t="inlineStr">
        <is>
          <t>I-I-0451</t>
        </is>
      </c>
      <c r="B4809" s="12" t="inlineStr">
        <is>
          <t>I</t>
        </is>
      </c>
      <c r="C4809" s="12" t="inlineStr">
        <is>
          <t>Modular / portable power</t>
        </is>
      </c>
      <c r="D4809" s="12" t="inlineStr">
        <is>
          <t>Thermocouple to TC JB JB-SC-1-TC02: 20 x 1 pr (field cables)</t>
        </is>
      </c>
      <c r="E4809" s="12" t="inlineStr">
        <is>
          <t>SC-1</t>
        </is>
      </c>
      <c r="F4809" s="12" t="inlineStr">
        <is>
          <t>SC-1: aeroderivative simple-cycle unit (LM6000 class)</t>
        </is>
      </c>
      <c r="G4809" s="12" t="inlineStr">
        <is>
          <t>JB-SC-1-TC02</t>
        </is>
      </c>
      <c r="H4809" s="12" t="inlineStr">
        <is>
          <t>SC-1: aeroderivative simple-cycle unit (LM6000 class)</t>
        </is>
      </c>
      <c r="I4809" s="12" t="inlineStr">
        <is>
          <t>Instrumentation</t>
        </is>
      </c>
      <c r="J4809" s="12" t="inlineStr">
        <is>
          <t>Thermocouple extension KX, #16 shielded pairs, PLTC</t>
        </is>
      </c>
      <c r="K4809" s="12" t="inlineStr">
        <is>
          <t>TCX|1 pr|16</t>
        </is>
      </c>
      <c r="L4809" s="12" t="inlineStr">
        <is>
          <t>1 pr</t>
        </is>
      </c>
      <c r="M4809" s="12" t="inlineStr">
        <is>
          <t>16</t>
        </is>
      </c>
      <c r="N4809" s="12" t="n">
        <v>20</v>
      </c>
      <c r="O4809" s="12" t="n">
        <v>1</v>
      </c>
      <c r="P4809" s="12" t="n"/>
      <c r="Q4809" s="12" t="n"/>
      <c r="R4809" s="12" t="n"/>
      <c r="S4809" s="12" t="inlineStr">
        <is>
          <t>Tray / conduit</t>
        </is>
      </c>
      <c r="T4809" s="16" t="n">
        <v>99</v>
      </c>
      <c r="U4809" s="16" t="n">
        <v>10</v>
      </c>
      <c r="V4809" s="16">
        <f>ROUNDUP((T4809+U4809+2*'Read Me'!$B$13)*(1+'Read Me'!$B$12),-1)</f>
        <v/>
      </c>
      <c r="W4809" s="16">
        <f>V4809*N4809*O4809</f>
        <v/>
      </c>
      <c r="X4809" s="12">
        <f>IF(LEFT(I4809,2)="MV",2*N4809*IF(L4809="1/C",O4809,1),0)</f>
        <v/>
      </c>
      <c r="Y4809" s="12">
        <f>IF(OR(LEFT(K4809,4)="LVAX",LEFT(K4809,6)="MV15AX",LEFT(K4809,4)="CTAX",LEFT(K4809,2)="W|"),2*N4809*O4809,0)</f>
        <v/>
      </c>
      <c r="Z4809" s="12" t="inlineStr">
        <is>
          <t>device-to-JB field wiring, one cable per device</t>
        </is>
      </c>
      <c r="AA4809" s="12">
        <f>N4809*O4809</f>
        <v/>
      </c>
    </row>
    <row r="4810">
      <c r="A4810" s="12" t="inlineStr">
        <is>
          <t>I-I-0452</t>
        </is>
      </c>
      <c r="B4810" s="12" t="inlineStr">
        <is>
          <t>I</t>
        </is>
      </c>
      <c r="C4810" s="12" t="inlineStr">
        <is>
          <t>Modular / portable power</t>
        </is>
      </c>
      <c r="D4810" s="12" t="inlineStr">
        <is>
          <t>Home run JB-SC-1-TC02 to the control / marshalling room</t>
        </is>
      </c>
      <c r="E4810" s="12" t="inlineStr"/>
      <c r="F4810" s="12" t="inlineStr">
        <is>
          <t>PCM: power control module</t>
        </is>
      </c>
      <c r="G4810" s="12" t="inlineStr">
        <is>
          <t>JB-SC-1-TC02</t>
        </is>
      </c>
      <c r="H4810" s="12" t="inlineStr">
        <is>
          <t>SC-1: aeroderivative simple-cycle unit (LM6000 class)</t>
        </is>
      </c>
      <c r="I4810" s="12" t="inlineStr">
        <is>
          <t>Instrumentation</t>
        </is>
      </c>
      <c r="J4810" s="12" t="inlineStr">
        <is>
          <t>Thermocouple extension KX, #16 shielded pairs, PLTC</t>
        </is>
      </c>
      <c r="K4810" s="12" t="inlineStr">
        <is>
          <t>TCX|24 pr|16</t>
        </is>
      </c>
      <c r="L4810" s="12" t="inlineStr">
        <is>
          <t>24 pr</t>
        </is>
      </c>
      <c r="M4810" s="12" t="inlineStr">
        <is>
          <t>16</t>
        </is>
      </c>
      <c r="N4810" s="12" t="n">
        <v>1</v>
      </c>
      <c r="O4810" s="12" t="n">
        <v>1</v>
      </c>
      <c r="P4810" s="12" t="n"/>
      <c r="Q4810" s="12" t="n"/>
      <c r="R4810" s="12" t="n"/>
      <c r="S4810" s="12" t="inlineStr">
        <is>
          <t>Duct bank</t>
        </is>
      </c>
      <c r="T4810" s="16" t="n">
        <v>40</v>
      </c>
      <c r="U4810" s="16" t="n">
        <v>52</v>
      </c>
      <c r="V4810" s="16">
        <f>ROUNDUP((T4810+U4810+2*'Read Me'!$B$13)*(1+'Read Me'!$B$12),-1)</f>
        <v/>
      </c>
      <c r="W4810" s="16">
        <f>V4810*N4810*O4810</f>
        <v/>
      </c>
      <c r="X4810" s="12">
        <f>IF(LEFT(I4810,2)="MV",2*N4810*IF(L4810="1/C",O4810,1),0)</f>
        <v/>
      </c>
      <c r="Y4810" s="12">
        <f>IF(OR(LEFT(K4810,4)="LVAX",LEFT(K4810,6)="MV15AX",LEFT(K4810,4)="CTAX",LEFT(K4810,2)="W|"),2*N4810*O4810,0)</f>
        <v/>
      </c>
      <c r="Z4810" s="12" t="inlineStr"/>
      <c r="AA4810" s="12">
        <f>N4810*O4810</f>
        <v/>
      </c>
    </row>
    <row r="4811">
      <c r="A4811" s="12" t="inlineStr">
        <is>
          <t>I-I-0453</t>
        </is>
      </c>
      <c r="B4811" s="12" t="inlineStr">
        <is>
          <t>I</t>
        </is>
      </c>
      <c r="C4811" s="12" t="inlineStr">
        <is>
          <t>Modular / portable power</t>
        </is>
      </c>
      <c r="D4811" s="12" t="inlineStr">
        <is>
          <t>Analog instrument to JB JB-SC-2 SCR / CO cata-AI01: 12 x 1 pr (field cables)</t>
        </is>
      </c>
      <c r="E4811" s="12" t="inlineStr"/>
      <c r="F4811" s="12" t="inlineStr">
        <is>
          <t>SC-2 SCR / CO catalyst</t>
        </is>
      </c>
      <c r="G4811" s="12" t="inlineStr">
        <is>
          <t>JB-SC-2 SCR / CO cata-AI01</t>
        </is>
      </c>
      <c r="H4811" s="12" t="inlineStr">
        <is>
          <t>SC-2 SCR / CO catalyst</t>
        </is>
      </c>
      <c r="I4811" s="12" t="inlineStr">
        <is>
          <t>Instrumentation</t>
        </is>
      </c>
      <c r="J4811" s="12" t="inlineStr">
        <is>
          <t>Instrumentation PLTC / TC-ER 300 V, #18 twisted shielded pairs, overall shield</t>
        </is>
      </c>
      <c r="K4811" s="12" t="inlineStr">
        <is>
          <t>PLTC|1 pr|16</t>
        </is>
      </c>
      <c r="L4811" s="12" t="inlineStr">
        <is>
          <t>1 pr</t>
        </is>
      </c>
      <c r="M4811" s="12" t="inlineStr">
        <is>
          <t>16</t>
        </is>
      </c>
      <c r="N4811" s="12" t="n">
        <v>12</v>
      </c>
      <c r="O4811" s="12" t="n">
        <v>1</v>
      </c>
      <c r="P4811" s="12" t="n"/>
      <c r="Q4811" s="12" t="n"/>
      <c r="R4811" s="12" t="n"/>
      <c r="S4811" s="12" t="inlineStr">
        <is>
          <t>Tray / conduit</t>
        </is>
      </c>
      <c r="T4811" s="16" t="n">
        <v>74</v>
      </c>
      <c r="U4811" s="16" t="n">
        <v>10</v>
      </c>
      <c r="V4811" s="16">
        <f>ROUNDUP((T4811+U4811+2*'Read Me'!$B$13)*(1+'Read Me'!$B$12),-1)</f>
        <v/>
      </c>
      <c r="W4811" s="16">
        <f>V4811*N4811*O4811</f>
        <v/>
      </c>
      <c r="X4811" s="12">
        <f>IF(LEFT(I4811,2)="MV",2*N4811*IF(L4811="1/C",O4811,1),0)</f>
        <v/>
      </c>
      <c r="Y4811" s="12">
        <f>IF(OR(LEFT(K4811,4)="LVAX",LEFT(K4811,6)="MV15AX",LEFT(K4811,4)="CTAX",LEFT(K4811,2)="W|"),2*N4811*O4811,0)</f>
        <v/>
      </c>
      <c r="Z4811" s="12" t="inlineStr">
        <is>
          <t>device-to-JB field wiring, one cable per device</t>
        </is>
      </c>
      <c r="AA4811" s="12">
        <f>N4811*O4811</f>
        <v/>
      </c>
    </row>
    <row r="4812">
      <c r="A4812" s="12" t="inlineStr">
        <is>
          <t>I-I-0454</t>
        </is>
      </c>
      <c r="B4812" s="12" t="inlineStr">
        <is>
          <t>I</t>
        </is>
      </c>
      <c r="C4812" s="12" t="inlineStr">
        <is>
          <t>Modular / portable power</t>
        </is>
      </c>
      <c r="D4812" s="12" t="inlineStr">
        <is>
          <t>Home run JB-SC-2 SCR / CO cata-AI01 to the control / marshalling room</t>
        </is>
      </c>
      <c r="E4812" s="12" t="inlineStr"/>
      <c r="F4812" s="12" t="inlineStr">
        <is>
          <t>PCM: power control module</t>
        </is>
      </c>
      <c r="G4812" s="12" t="inlineStr">
        <is>
          <t>JB-SC-2 SCR / CO cata-AI01</t>
        </is>
      </c>
      <c r="H4812" s="12" t="inlineStr">
        <is>
          <t>SC-2 SCR / CO catalyst</t>
        </is>
      </c>
      <c r="I4812" s="12" t="inlineStr">
        <is>
          <t>Instrumentation</t>
        </is>
      </c>
      <c r="J4812" s="12" t="inlineStr">
        <is>
          <t>Instrumentation PLTC / TC-ER 300 V, #18 twisted shielded pairs, overall shield</t>
        </is>
      </c>
      <c r="K4812" s="12" t="inlineStr">
        <is>
          <t>PLTC|24 pr|18</t>
        </is>
      </c>
      <c r="L4812" s="12" t="inlineStr">
        <is>
          <t>24 pr</t>
        </is>
      </c>
      <c r="M4812" s="12" t="inlineStr">
        <is>
          <t>18</t>
        </is>
      </c>
      <c r="N4812" s="12" t="n">
        <v>1</v>
      </c>
      <c r="O4812" s="12" t="n">
        <v>1</v>
      </c>
      <c r="P4812" s="12" t="n"/>
      <c r="Q4812" s="12" t="n"/>
      <c r="R4812" s="12" t="n"/>
      <c r="S4812" s="12" t="inlineStr">
        <is>
          <t>HV duct bank</t>
        </is>
      </c>
      <c r="T4812" s="16" t="n">
        <v>4378</v>
      </c>
      <c r="U4812" s="16" t="n">
        <v>58</v>
      </c>
      <c r="V4812" s="16">
        <f>ROUNDUP((T4812+U4812+2*'Read Me'!$B$13)*(1+'Read Me'!$B$12),-1)</f>
        <v/>
      </c>
      <c r="W4812" s="16">
        <f>V4812*N4812*O4812</f>
        <v/>
      </c>
      <c r="X4812" s="12">
        <f>IF(LEFT(I4812,2)="MV",2*N4812*IF(L4812="1/C",O4812,1),0)</f>
        <v/>
      </c>
      <c r="Y4812" s="12">
        <f>IF(OR(LEFT(K4812,4)="LVAX",LEFT(K4812,6)="MV15AX",LEFT(K4812,4)="CTAX",LEFT(K4812,2)="W|"),2*N4812*O4812,0)</f>
        <v/>
      </c>
      <c r="Z4812" s="12" t="inlineStr"/>
      <c r="AA4812" s="12">
        <f>N4812*O4812</f>
        <v/>
      </c>
    </row>
    <row r="4813">
      <c r="A4813" s="12" t="inlineStr">
        <is>
          <t>I-I-0455</t>
        </is>
      </c>
      <c r="B4813" s="12" t="inlineStr">
        <is>
          <t>I</t>
        </is>
      </c>
      <c r="C4813" s="12" t="inlineStr">
        <is>
          <t>Modular / portable power</t>
        </is>
      </c>
      <c r="D4813" s="12" t="inlineStr">
        <is>
          <t>Discrete device to JB JB-SC-2 SCR / CO cata-DI01: 8 x 1 pr (field cables)</t>
        </is>
      </c>
      <c r="E4813" s="12" t="inlineStr"/>
      <c r="F4813" s="12" t="inlineStr">
        <is>
          <t>SC-2 SCR / CO catalyst</t>
        </is>
      </c>
      <c r="G4813" s="12" t="inlineStr">
        <is>
          <t>JB-SC-2 SCR / CO cata-DI01</t>
        </is>
      </c>
      <c r="H4813" s="12" t="inlineStr">
        <is>
          <t>SC-2 SCR / CO catalyst</t>
        </is>
      </c>
      <c r="I4813" s="12" t="inlineStr">
        <is>
          <t>Instrumentation</t>
        </is>
      </c>
      <c r="J4813" s="12" t="inlineStr">
        <is>
          <t>Instrumentation PLTC / TC-ER 300 V, #18 twisted shielded pairs, overall shield</t>
        </is>
      </c>
      <c r="K4813" s="12" t="inlineStr">
        <is>
          <t>PLTC|1 pr|16</t>
        </is>
      </c>
      <c r="L4813" s="12" t="inlineStr">
        <is>
          <t>1 pr</t>
        </is>
      </c>
      <c r="M4813" s="12" t="inlineStr">
        <is>
          <t>16</t>
        </is>
      </c>
      <c r="N4813" s="12" t="n">
        <v>8</v>
      </c>
      <c r="O4813" s="12" t="n">
        <v>1</v>
      </c>
      <c r="P4813" s="12" t="n"/>
      <c r="Q4813" s="12" t="n"/>
      <c r="R4813" s="12" t="n"/>
      <c r="S4813" s="12" t="inlineStr">
        <is>
          <t>Tray / conduit</t>
        </is>
      </c>
      <c r="T4813" s="16" t="n">
        <v>74</v>
      </c>
      <c r="U4813" s="16" t="n">
        <v>10</v>
      </c>
      <c r="V4813" s="16">
        <f>ROUNDUP((T4813+U4813+2*'Read Me'!$B$13)*(1+'Read Me'!$B$12),-1)</f>
        <v/>
      </c>
      <c r="W4813" s="16">
        <f>V4813*N4813*O4813</f>
        <v/>
      </c>
      <c r="X4813" s="12">
        <f>IF(LEFT(I4813,2)="MV",2*N4813*IF(L4813="1/C",O4813,1),0)</f>
        <v/>
      </c>
      <c r="Y4813" s="12">
        <f>IF(OR(LEFT(K4813,4)="LVAX",LEFT(K4813,6)="MV15AX",LEFT(K4813,4)="CTAX",LEFT(K4813,2)="W|"),2*N4813*O4813,0)</f>
        <v/>
      </c>
      <c r="Z4813" s="12" t="inlineStr">
        <is>
          <t>device-to-JB field wiring, one cable per device</t>
        </is>
      </c>
      <c r="AA4813" s="12">
        <f>N4813*O4813</f>
        <v/>
      </c>
    </row>
    <row r="4814">
      <c r="A4814" s="12" t="inlineStr">
        <is>
          <t>I-I-0456</t>
        </is>
      </c>
      <c r="B4814" s="12" t="inlineStr">
        <is>
          <t>I</t>
        </is>
      </c>
      <c r="C4814" s="12" t="inlineStr">
        <is>
          <t>Modular / portable power</t>
        </is>
      </c>
      <c r="D4814" s="12" t="inlineStr">
        <is>
          <t>Home run JB-SC-2 SCR / CO cata-DI01 to the control / marshalling room</t>
        </is>
      </c>
      <c r="E4814" s="12" t="inlineStr"/>
      <c r="F4814" s="12" t="inlineStr">
        <is>
          <t>PCM: power control module</t>
        </is>
      </c>
      <c r="G4814" s="12" t="inlineStr">
        <is>
          <t>JB-SC-2 SCR / CO cata-DI01</t>
        </is>
      </c>
      <c r="H4814" s="12" t="inlineStr">
        <is>
          <t>SC-2 SCR / CO catalyst</t>
        </is>
      </c>
      <c r="I4814" s="12" t="inlineStr">
        <is>
          <t>Instrumentation</t>
        </is>
      </c>
      <c r="J4814" s="12" t="inlineStr">
        <is>
          <t>Instrumentation PLTC / TC-ER 300 V, #18 twisted shielded pairs, overall shield</t>
        </is>
      </c>
      <c r="K4814" s="12" t="inlineStr">
        <is>
          <t>PLTC|24 pr|18</t>
        </is>
      </c>
      <c r="L4814" s="12" t="inlineStr">
        <is>
          <t>24 pr</t>
        </is>
      </c>
      <c r="M4814" s="12" t="inlineStr">
        <is>
          <t>18</t>
        </is>
      </c>
      <c r="N4814" s="12" t="n">
        <v>1</v>
      </c>
      <c r="O4814" s="12" t="n">
        <v>1</v>
      </c>
      <c r="P4814" s="12" t="n"/>
      <c r="Q4814" s="12" t="n"/>
      <c r="R4814" s="12" t="n"/>
      <c r="S4814" s="12" t="inlineStr">
        <is>
          <t>HV duct bank</t>
        </is>
      </c>
      <c r="T4814" s="16" t="n">
        <v>4378</v>
      </c>
      <c r="U4814" s="16" t="n">
        <v>58</v>
      </c>
      <c r="V4814" s="16">
        <f>ROUNDUP((T4814+U4814+2*'Read Me'!$B$13)*(1+'Read Me'!$B$12),-1)</f>
        <v/>
      </c>
      <c r="W4814" s="16">
        <f>V4814*N4814*O4814</f>
        <v/>
      </c>
      <c r="X4814" s="12">
        <f>IF(LEFT(I4814,2)="MV",2*N4814*IF(L4814="1/C",O4814,1),0)</f>
        <v/>
      </c>
      <c r="Y4814" s="12">
        <f>IF(OR(LEFT(K4814,4)="LVAX",LEFT(K4814,6)="MV15AX",LEFT(K4814,4)="CTAX",LEFT(K4814,2)="W|"),2*N4814*O4814,0)</f>
        <v/>
      </c>
      <c r="Z4814" s="12" t="inlineStr"/>
      <c r="AA4814" s="12">
        <f>N4814*O4814</f>
        <v/>
      </c>
    </row>
    <row r="4815">
      <c r="A4815" s="12" t="inlineStr">
        <is>
          <t>I-I-0457</t>
        </is>
      </c>
      <c r="B4815" s="12" t="inlineStr">
        <is>
          <t>I</t>
        </is>
      </c>
      <c r="C4815" s="12" t="inlineStr">
        <is>
          <t>Modular / portable power</t>
        </is>
      </c>
      <c r="D4815" s="12" t="inlineStr">
        <is>
          <t>Analog instrument to JB JB-SC-2 lube-oil fin--AI01: 4 x 1 pr (field cables)</t>
        </is>
      </c>
      <c r="E4815" s="12" t="inlineStr"/>
      <c r="F4815" s="12" t="inlineStr">
        <is>
          <t>SC-2 lube-oil fin-fan cooler</t>
        </is>
      </c>
      <c r="G4815" s="12" t="inlineStr">
        <is>
          <t>JB-SC-2 lube-oil fin--AI01</t>
        </is>
      </c>
      <c r="H4815" s="12" t="inlineStr">
        <is>
          <t>SC-2 lube-oil fin-fan cooler</t>
        </is>
      </c>
      <c r="I4815" s="12" t="inlineStr">
        <is>
          <t>Instrumentation</t>
        </is>
      </c>
      <c r="J4815" s="12" t="inlineStr">
        <is>
          <t>Instrumentation PLTC / TC-ER 300 V, #18 twisted shielded pairs, overall shield</t>
        </is>
      </c>
      <c r="K4815" s="12" t="inlineStr">
        <is>
          <t>PLTC|1 pr|16</t>
        </is>
      </c>
      <c r="L4815" s="12" t="inlineStr">
        <is>
          <t>1 pr</t>
        </is>
      </c>
      <c r="M4815" s="12" t="inlineStr">
        <is>
          <t>16</t>
        </is>
      </c>
      <c r="N4815" s="12" t="n">
        <v>4</v>
      </c>
      <c r="O4815" s="12" t="n">
        <v>1</v>
      </c>
      <c r="P4815" s="12" t="n"/>
      <c r="Q4815" s="12" t="n"/>
      <c r="R4815" s="12" t="n"/>
      <c r="S4815" s="12" t="inlineStr">
        <is>
          <t>Tray / conduit</t>
        </is>
      </c>
      <c r="T4815" s="16" t="n">
        <v>46</v>
      </c>
      <c r="U4815" s="16" t="n">
        <v>10</v>
      </c>
      <c r="V4815" s="16">
        <f>ROUNDUP((T4815+U4815+2*'Read Me'!$B$13)*(1+'Read Me'!$B$12),-1)</f>
        <v/>
      </c>
      <c r="W4815" s="16">
        <f>V4815*N4815*O4815</f>
        <v/>
      </c>
      <c r="X4815" s="12">
        <f>IF(LEFT(I4815,2)="MV",2*N4815*IF(L4815="1/C",O4815,1),0)</f>
        <v/>
      </c>
      <c r="Y4815" s="12">
        <f>IF(OR(LEFT(K4815,4)="LVAX",LEFT(K4815,6)="MV15AX",LEFT(K4815,4)="CTAX",LEFT(K4815,2)="W|"),2*N4815*O4815,0)</f>
        <v/>
      </c>
      <c r="Z4815" s="12" t="inlineStr">
        <is>
          <t>device-to-JB field wiring, one cable per device</t>
        </is>
      </c>
      <c r="AA4815" s="12">
        <f>N4815*O4815</f>
        <v/>
      </c>
    </row>
    <row r="4816">
      <c r="A4816" s="12" t="inlineStr">
        <is>
          <t>I-I-0458</t>
        </is>
      </c>
      <c r="B4816" s="12" t="inlineStr">
        <is>
          <t>I</t>
        </is>
      </c>
      <c r="C4816" s="12" t="inlineStr">
        <is>
          <t>Modular / portable power</t>
        </is>
      </c>
      <c r="D4816" s="12" t="inlineStr">
        <is>
          <t>Home run JB-SC-2 lube-oil fin--AI01 to the control / marshalling room</t>
        </is>
      </c>
      <c r="E4816" s="12" t="inlineStr"/>
      <c r="F4816" s="12" t="inlineStr">
        <is>
          <t>PCM: power control module</t>
        </is>
      </c>
      <c r="G4816" s="12" t="inlineStr">
        <is>
          <t>JB-SC-2 lube-oil fin--AI01</t>
        </is>
      </c>
      <c r="H4816" s="12" t="inlineStr">
        <is>
          <t>SC-2 lube-oil fin-fan cooler</t>
        </is>
      </c>
      <c r="I4816" s="12" t="inlineStr">
        <is>
          <t>Instrumentation</t>
        </is>
      </c>
      <c r="J4816" s="12" t="inlineStr">
        <is>
          <t>Instrumentation PLTC / TC-ER 300 V, #18 twisted shielded pairs, overall shield</t>
        </is>
      </c>
      <c r="K4816" s="12" t="inlineStr">
        <is>
          <t>PLTC|24 pr|18</t>
        </is>
      </c>
      <c r="L4816" s="12" t="inlineStr">
        <is>
          <t>24 pr</t>
        </is>
      </c>
      <c r="M4816" s="12" t="inlineStr">
        <is>
          <t>18</t>
        </is>
      </c>
      <c r="N4816" s="12" t="n">
        <v>1</v>
      </c>
      <c r="O4816" s="12" t="n">
        <v>1</v>
      </c>
      <c r="P4816" s="12" t="n"/>
      <c r="Q4816" s="12" t="n"/>
      <c r="R4816" s="12" t="n"/>
      <c r="S4816" s="12" t="inlineStr">
        <is>
          <t>HV duct bank</t>
        </is>
      </c>
      <c r="T4816" s="16" t="n">
        <v>4366</v>
      </c>
      <c r="U4816" s="16" t="n">
        <v>93</v>
      </c>
      <c r="V4816" s="16">
        <f>ROUNDUP((T4816+U4816+2*'Read Me'!$B$13)*(1+'Read Me'!$B$12),-1)</f>
        <v/>
      </c>
      <c r="W4816" s="16">
        <f>V4816*N4816*O4816</f>
        <v/>
      </c>
      <c r="X4816" s="12">
        <f>IF(LEFT(I4816,2)="MV",2*N4816*IF(L4816="1/C",O4816,1),0)</f>
        <v/>
      </c>
      <c r="Y4816" s="12">
        <f>IF(OR(LEFT(K4816,4)="LVAX",LEFT(K4816,6)="MV15AX",LEFT(K4816,4)="CTAX",LEFT(K4816,2)="W|"),2*N4816*O4816,0)</f>
        <v/>
      </c>
      <c r="Z4816" s="12" t="inlineStr"/>
      <c r="AA4816" s="12">
        <f>N4816*O4816</f>
        <v/>
      </c>
    </row>
    <row r="4817">
      <c r="A4817" s="12" t="inlineStr">
        <is>
          <t>I-I-0459</t>
        </is>
      </c>
      <c r="B4817" s="12" t="inlineStr">
        <is>
          <t>I</t>
        </is>
      </c>
      <c r="C4817" s="12" t="inlineStr">
        <is>
          <t>Modular / portable power</t>
        </is>
      </c>
      <c r="D4817" s="12" t="inlineStr">
        <is>
          <t>Discrete device to JB JB-SC-2 lube-oil fin--DI01: 8 x 1 pr (field cables)</t>
        </is>
      </c>
      <c r="E4817" s="12" t="inlineStr"/>
      <c r="F4817" s="12" t="inlineStr">
        <is>
          <t>SC-2 lube-oil fin-fan cooler</t>
        </is>
      </c>
      <c r="G4817" s="12" t="inlineStr">
        <is>
          <t>JB-SC-2 lube-oil fin--DI01</t>
        </is>
      </c>
      <c r="H4817" s="12" t="inlineStr">
        <is>
          <t>SC-2 lube-oil fin-fan cooler</t>
        </is>
      </c>
      <c r="I4817" s="12" t="inlineStr">
        <is>
          <t>Instrumentation</t>
        </is>
      </c>
      <c r="J4817" s="12" t="inlineStr">
        <is>
          <t>Instrumentation PLTC / TC-ER 300 V, #18 twisted shielded pairs, overall shield</t>
        </is>
      </c>
      <c r="K4817" s="12" t="inlineStr">
        <is>
          <t>PLTC|1 pr|16</t>
        </is>
      </c>
      <c r="L4817" s="12" t="inlineStr">
        <is>
          <t>1 pr</t>
        </is>
      </c>
      <c r="M4817" s="12" t="inlineStr">
        <is>
          <t>16</t>
        </is>
      </c>
      <c r="N4817" s="12" t="n">
        <v>8</v>
      </c>
      <c r="O4817" s="12" t="n">
        <v>1</v>
      </c>
      <c r="P4817" s="12" t="n"/>
      <c r="Q4817" s="12" t="n"/>
      <c r="R4817" s="12" t="n"/>
      <c r="S4817" s="12" t="inlineStr">
        <is>
          <t>Tray / conduit</t>
        </is>
      </c>
      <c r="T4817" s="16" t="n">
        <v>46</v>
      </c>
      <c r="U4817" s="16" t="n">
        <v>10</v>
      </c>
      <c r="V4817" s="16">
        <f>ROUNDUP((T4817+U4817+2*'Read Me'!$B$13)*(1+'Read Me'!$B$12),-1)</f>
        <v/>
      </c>
      <c r="W4817" s="16">
        <f>V4817*N4817*O4817</f>
        <v/>
      </c>
      <c r="X4817" s="12">
        <f>IF(LEFT(I4817,2)="MV",2*N4817*IF(L4817="1/C",O4817,1),0)</f>
        <v/>
      </c>
      <c r="Y4817" s="12">
        <f>IF(OR(LEFT(K4817,4)="LVAX",LEFT(K4817,6)="MV15AX",LEFT(K4817,4)="CTAX",LEFT(K4817,2)="W|"),2*N4817*O4817,0)</f>
        <v/>
      </c>
      <c r="Z4817" s="12" t="inlineStr">
        <is>
          <t>device-to-JB field wiring, one cable per device</t>
        </is>
      </c>
      <c r="AA4817" s="12">
        <f>N4817*O4817</f>
        <v/>
      </c>
    </row>
    <row r="4818">
      <c r="A4818" s="12" t="inlineStr">
        <is>
          <t>I-I-0460</t>
        </is>
      </c>
      <c r="B4818" s="12" t="inlineStr">
        <is>
          <t>I</t>
        </is>
      </c>
      <c r="C4818" s="12" t="inlineStr">
        <is>
          <t>Modular / portable power</t>
        </is>
      </c>
      <c r="D4818" s="12" t="inlineStr">
        <is>
          <t>Home run JB-SC-2 lube-oil fin--DI01 to the control / marshalling room</t>
        </is>
      </c>
      <c r="E4818" s="12" t="inlineStr"/>
      <c r="F4818" s="12" t="inlineStr">
        <is>
          <t>PCM: power control module</t>
        </is>
      </c>
      <c r="G4818" s="12" t="inlineStr">
        <is>
          <t>JB-SC-2 lube-oil fin--DI01</t>
        </is>
      </c>
      <c r="H4818" s="12" t="inlineStr">
        <is>
          <t>SC-2 lube-oil fin-fan cooler</t>
        </is>
      </c>
      <c r="I4818" s="12" t="inlineStr">
        <is>
          <t>Instrumentation</t>
        </is>
      </c>
      <c r="J4818" s="12" t="inlineStr">
        <is>
          <t>Instrumentation PLTC / TC-ER 300 V, #18 twisted shielded pairs, overall shield</t>
        </is>
      </c>
      <c r="K4818" s="12" t="inlineStr">
        <is>
          <t>PLTC|24 pr|18</t>
        </is>
      </c>
      <c r="L4818" s="12" t="inlineStr">
        <is>
          <t>24 pr</t>
        </is>
      </c>
      <c r="M4818" s="12" t="inlineStr">
        <is>
          <t>18</t>
        </is>
      </c>
      <c r="N4818" s="12" t="n">
        <v>1</v>
      </c>
      <c r="O4818" s="12" t="n">
        <v>1</v>
      </c>
      <c r="P4818" s="12" t="n"/>
      <c r="Q4818" s="12" t="n"/>
      <c r="R4818" s="12" t="n"/>
      <c r="S4818" s="12" t="inlineStr">
        <is>
          <t>HV duct bank</t>
        </is>
      </c>
      <c r="T4818" s="16" t="n">
        <v>4366</v>
      </c>
      <c r="U4818" s="16" t="n">
        <v>93</v>
      </c>
      <c r="V4818" s="16">
        <f>ROUNDUP((T4818+U4818+2*'Read Me'!$B$13)*(1+'Read Me'!$B$12),-1)</f>
        <v/>
      </c>
      <c r="W4818" s="16">
        <f>V4818*N4818*O4818</f>
        <v/>
      </c>
      <c r="X4818" s="12">
        <f>IF(LEFT(I4818,2)="MV",2*N4818*IF(L4818="1/C",O4818,1),0)</f>
        <v/>
      </c>
      <c r="Y4818" s="12">
        <f>IF(OR(LEFT(K4818,4)="LVAX",LEFT(K4818,6)="MV15AX",LEFT(K4818,4)="CTAX",LEFT(K4818,2)="W|"),2*N4818*O4818,0)</f>
        <v/>
      </c>
      <c r="Z4818" s="12" t="inlineStr"/>
      <c r="AA4818" s="12">
        <f>N4818*O4818</f>
        <v/>
      </c>
    </row>
    <row r="4819">
      <c r="A4819" s="12" t="inlineStr">
        <is>
          <t>I-I-0461</t>
        </is>
      </c>
      <c r="B4819" s="12" t="inlineStr">
        <is>
          <t>I</t>
        </is>
      </c>
      <c r="C4819" s="12" t="inlineStr">
        <is>
          <t>Modular / portable power</t>
        </is>
      </c>
      <c r="D4819" s="12" t="inlineStr">
        <is>
          <t>Analog instrument to JB JB-SC-2-AI01: 20 x 1 pr (field cables)</t>
        </is>
      </c>
      <c r="E4819" s="12" t="inlineStr">
        <is>
          <t>SC-2</t>
        </is>
      </c>
      <c r="F4819" s="12" t="inlineStr">
        <is>
          <t>SC-2: aeroderivative simple-cycle unit (LM6000 class)</t>
        </is>
      </c>
      <c r="G4819" s="12" t="inlineStr">
        <is>
          <t>JB-SC-2-AI01</t>
        </is>
      </c>
      <c r="H4819" s="12" t="inlineStr">
        <is>
          <t>SC-2: aeroderivative simple-cycle unit (LM6000 class)</t>
        </is>
      </c>
      <c r="I4819" s="12" t="inlineStr">
        <is>
          <t>Instrumentation</t>
        </is>
      </c>
      <c r="J4819" s="12" t="inlineStr">
        <is>
          <t>Instrumentation PLTC / TC-ER 300 V, #18 twisted shielded pairs, overall shield</t>
        </is>
      </c>
      <c r="K4819" s="12" t="inlineStr">
        <is>
          <t>PLTC|1 pr|16</t>
        </is>
      </c>
      <c r="L4819" s="12" t="inlineStr">
        <is>
          <t>1 pr</t>
        </is>
      </c>
      <c r="M4819" s="12" t="inlineStr">
        <is>
          <t>16</t>
        </is>
      </c>
      <c r="N4819" s="12" t="n">
        <v>20</v>
      </c>
      <c r="O4819" s="12" t="n">
        <v>1</v>
      </c>
      <c r="P4819" s="12" t="n"/>
      <c r="Q4819" s="12" t="n"/>
      <c r="R4819" s="12" t="n"/>
      <c r="S4819" s="12" t="inlineStr">
        <is>
          <t>Tray / conduit</t>
        </is>
      </c>
      <c r="T4819" s="16" t="n">
        <v>99</v>
      </c>
      <c r="U4819" s="16" t="n">
        <v>10</v>
      </c>
      <c r="V4819" s="16">
        <f>ROUNDUP((T4819+U4819+2*'Read Me'!$B$13)*(1+'Read Me'!$B$12),-1)</f>
        <v/>
      </c>
      <c r="W4819" s="16">
        <f>V4819*N4819*O4819</f>
        <v/>
      </c>
      <c r="X4819" s="12">
        <f>IF(LEFT(I4819,2)="MV",2*N4819*IF(L4819="1/C",O4819,1),0)</f>
        <v/>
      </c>
      <c r="Y4819" s="12">
        <f>IF(OR(LEFT(K4819,4)="LVAX",LEFT(K4819,6)="MV15AX",LEFT(K4819,4)="CTAX",LEFT(K4819,2)="W|"),2*N4819*O4819,0)</f>
        <v/>
      </c>
      <c r="Z4819" s="12" t="inlineStr">
        <is>
          <t>device-to-JB field wiring, one cable per device</t>
        </is>
      </c>
      <c r="AA4819" s="12">
        <f>N4819*O4819</f>
        <v/>
      </c>
    </row>
    <row r="4820">
      <c r="A4820" s="12" t="inlineStr">
        <is>
          <t>I-I-0462</t>
        </is>
      </c>
      <c r="B4820" s="12" t="inlineStr">
        <is>
          <t>I</t>
        </is>
      </c>
      <c r="C4820" s="12" t="inlineStr">
        <is>
          <t>Modular / portable power</t>
        </is>
      </c>
      <c r="D4820" s="12" t="inlineStr">
        <is>
          <t>Home run JB-SC-2-AI01 to the control / marshalling room</t>
        </is>
      </c>
      <c r="E4820" s="12" t="inlineStr"/>
      <c r="F4820" s="12" t="inlineStr">
        <is>
          <t>PCM: power control module</t>
        </is>
      </c>
      <c r="G4820" s="12" t="inlineStr">
        <is>
          <t>JB-SC-2-AI01</t>
        </is>
      </c>
      <c r="H4820" s="12" t="inlineStr">
        <is>
          <t>SC-2: aeroderivative simple-cycle unit (LM6000 class)</t>
        </is>
      </c>
      <c r="I4820" s="12" t="inlineStr">
        <is>
          <t>Instrumentation</t>
        </is>
      </c>
      <c r="J4820" s="12" t="inlineStr">
        <is>
          <t>Instrumentation PLTC / TC-ER 300 V, #18 twisted shielded pairs, overall shield</t>
        </is>
      </c>
      <c r="K4820" s="12" t="inlineStr">
        <is>
          <t>PLTC|24 pr|18</t>
        </is>
      </c>
      <c r="L4820" s="12" t="inlineStr">
        <is>
          <t>24 pr</t>
        </is>
      </c>
      <c r="M4820" s="12" t="inlineStr">
        <is>
          <t>18</t>
        </is>
      </c>
      <c r="N4820" s="12" t="n">
        <v>1</v>
      </c>
      <c r="O4820" s="12" t="n">
        <v>1</v>
      </c>
      <c r="P4820" s="12" t="n"/>
      <c r="Q4820" s="12" t="n"/>
      <c r="R4820" s="12" t="n"/>
      <c r="S4820" s="12" t="inlineStr">
        <is>
          <t>HV duct bank</t>
        </is>
      </c>
      <c r="T4820" s="16" t="n">
        <v>4478</v>
      </c>
      <c r="U4820" s="16" t="n">
        <v>38</v>
      </c>
      <c r="V4820" s="16">
        <f>ROUNDUP((T4820+U4820+2*'Read Me'!$B$13)*(1+'Read Me'!$B$12),-1)</f>
        <v/>
      </c>
      <c r="W4820" s="16">
        <f>V4820*N4820*O4820</f>
        <v/>
      </c>
      <c r="X4820" s="12">
        <f>IF(LEFT(I4820,2)="MV",2*N4820*IF(L4820="1/C",O4820,1),0)</f>
        <v/>
      </c>
      <c r="Y4820" s="12">
        <f>IF(OR(LEFT(K4820,4)="LVAX",LEFT(K4820,6)="MV15AX",LEFT(K4820,4)="CTAX",LEFT(K4820,2)="W|"),2*N4820*O4820,0)</f>
        <v/>
      </c>
      <c r="Z4820" s="12" t="inlineStr"/>
      <c r="AA4820" s="12">
        <f>N4820*O4820</f>
        <v/>
      </c>
    </row>
    <row r="4821">
      <c r="A4821" s="12" t="inlineStr">
        <is>
          <t>I-I-0463</t>
        </is>
      </c>
      <c r="B4821" s="12" t="inlineStr">
        <is>
          <t>I</t>
        </is>
      </c>
      <c r="C4821" s="12" t="inlineStr">
        <is>
          <t>Modular / portable power</t>
        </is>
      </c>
      <c r="D4821" s="12" t="inlineStr">
        <is>
          <t>Analog instrument to JB JB-SC-2-AI02: 20 x 1 pr (field cables)</t>
        </is>
      </c>
      <c r="E4821" s="12" t="inlineStr">
        <is>
          <t>SC-2</t>
        </is>
      </c>
      <c r="F4821" s="12" t="inlineStr">
        <is>
          <t>SC-2: aeroderivative simple-cycle unit (LM6000 class)</t>
        </is>
      </c>
      <c r="G4821" s="12" t="inlineStr">
        <is>
          <t>JB-SC-2-AI02</t>
        </is>
      </c>
      <c r="H4821" s="12" t="inlineStr">
        <is>
          <t>SC-2: aeroderivative simple-cycle unit (LM6000 class)</t>
        </is>
      </c>
      <c r="I4821" s="12" t="inlineStr">
        <is>
          <t>Instrumentation</t>
        </is>
      </c>
      <c r="J4821" s="12" t="inlineStr">
        <is>
          <t>Instrumentation PLTC / TC-ER 300 V, #18 twisted shielded pairs, overall shield</t>
        </is>
      </c>
      <c r="K4821" s="12" t="inlineStr">
        <is>
          <t>PLTC|1 pr|16</t>
        </is>
      </c>
      <c r="L4821" s="12" t="inlineStr">
        <is>
          <t>1 pr</t>
        </is>
      </c>
      <c r="M4821" s="12" t="inlineStr">
        <is>
          <t>16</t>
        </is>
      </c>
      <c r="N4821" s="12" t="n">
        <v>20</v>
      </c>
      <c r="O4821" s="12" t="n">
        <v>1</v>
      </c>
      <c r="P4821" s="12" t="n"/>
      <c r="Q4821" s="12" t="n"/>
      <c r="R4821" s="12" t="n"/>
      <c r="S4821" s="12" t="inlineStr">
        <is>
          <t>Tray / conduit</t>
        </is>
      </c>
      <c r="T4821" s="16" t="n">
        <v>99</v>
      </c>
      <c r="U4821" s="16" t="n">
        <v>10</v>
      </c>
      <c r="V4821" s="16">
        <f>ROUNDUP((T4821+U4821+2*'Read Me'!$B$13)*(1+'Read Me'!$B$12),-1)</f>
        <v/>
      </c>
      <c r="W4821" s="16">
        <f>V4821*N4821*O4821</f>
        <v/>
      </c>
      <c r="X4821" s="12">
        <f>IF(LEFT(I4821,2)="MV",2*N4821*IF(L4821="1/C",O4821,1),0)</f>
        <v/>
      </c>
      <c r="Y4821" s="12">
        <f>IF(OR(LEFT(K4821,4)="LVAX",LEFT(K4821,6)="MV15AX",LEFT(K4821,4)="CTAX",LEFT(K4821,2)="W|"),2*N4821*O4821,0)</f>
        <v/>
      </c>
      <c r="Z4821" s="12" t="inlineStr">
        <is>
          <t>device-to-JB field wiring, one cable per device</t>
        </is>
      </c>
      <c r="AA4821" s="12">
        <f>N4821*O4821</f>
        <v/>
      </c>
    </row>
    <row r="4822">
      <c r="A4822" s="12" t="inlineStr">
        <is>
          <t>I-I-0464</t>
        </is>
      </c>
      <c r="B4822" s="12" t="inlineStr">
        <is>
          <t>I</t>
        </is>
      </c>
      <c r="C4822" s="12" t="inlineStr">
        <is>
          <t>Modular / portable power</t>
        </is>
      </c>
      <c r="D4822" s="12" t="inlineStr">
        <is>
          <t>Home run JB-SC-2-AI02 to the control / marshalling room</t>
        </is>
      </c>
      <c r="E4822" s="12" t="inlineStr"/>
      <c r="F4822" s="12" t="inlineStr">
        <is>
          <t>PCM: power control module</t>
        </is>
      </c>
      <c r="G4822" s="12" t="inlineStr">
        <is>
          <t>JB-SC-2-AI02</t>
        </is>
      </c>
      <c r="H4822" s="12" t="inlineStr">
        <is>
          <t>SC-2: aeroderivative simple-cycle unit (LM6000 class)</t>
        </is>
      </c>
      <c r="I4822" s="12" t="inlineStr">
        <is>
          <t>Instrumentation</t>
        </is>
      </c>
      <c r="J4822" s="12" t="inlineStr">
        <is>
          <t>Instrumentation PLTC / TC-ER 300 V, #18 twisted shielded pairs, overall shield</t>
        </is>
      </c>
      <c r="K4822" s="12" t="inlineStr">
        <is>
          <t>PLTC|24 pr|18</t>
        </is>
      </c>
      <c r="L4822" s="12" t="inlineStr">
        <is>
          <t>24 pr</t>
        </is>
      </c>
      <c r="M4822" s="12" t="inlineStr">
        <is>
          <t>18</t>
        </is>
      </c>
      <c r="N4822" s="12" t="n">
        <v>1</v>
      </c>
      <c r="O4822" s="12" t="n">
        <v>1</v>
      </c>
      <c r="P4822" s="12" t="n"/>
      <c r="Q4822" s="12" t="n"/>
      <c r="R4822" s="12" t="n"/>
      <c r="S4822" s="12" t="inlineStr">
        <is>
          <t>HV duct bank</t>
        </is>
      </c>
      <c r="T4822" s="16" t="n">
        <v>4478</v>
      </c>
      <c r="U4822" s="16" t="n">
        <v>38</v>
      </c>
      <c r="V4822" s="16">
        <f>ROUNDUP((T4822+U4822+2*'Read Me'!$B$13)*(1+'Read Me'!$B$12),-1)</f>
        <v/>
      </c>
      <c r="W4822" s="16">
        <f>V4822*N4822*O4822</f>
        <v/>
      </c>
      <c r="X4822" s="12">
        <f>IF(LEFT(I4822,2)="MV",2*N4822*IF(L4822="1/C",O4822,1),0)</f>
        <v/>
      </c>
      <c r="Y4822" s="12">
        <f>IF(OR(LEFT(K4822,4)="LVAX",LEFT(K4822,6)="MV15AX",LEFT(K4822,4)="CTAX",LEFT(K4822,2)="W|"),2*N4822*O4822,0)</f>
        <v/>
      </c>
      <c r="Z4822" s="12" t="inlineStr"/>
      <c r="AA4822" s="12">
        <f>N4822*O4822</f>
        <v/>
      </c>
    </row>
    <row r="4823">
      <c r="A4823" s="12" t="inlineStr">
        <is>
          <t>I-I-0465</t>
        </is>
      </c>
      <c r="B4823" s="12" t="inlineStr">
        <is>
          <t>I</t>
        </is>
      </c>
      <c r="C4823" s="12" t="inlineStr">
        <is>
          <t>Modular / portable power</t>
        </is>
      </c>
      <c r="D4823" s="12" t="inlineStr">
        <is>
          <t>Analog instrument to JB JB-SC-2-AI03: 20 x 1 pr (field cables)</t>
        </is>
      </c>
      <c r="E4823" s="12" t="inlineStr">
        <is>
          <t>SC-2</t>
        </is>
      </c>
      <c r="F4823" s="12" t="inlineStr">
        <is>
          <t>SC-2: aeroderivative simple-cycle unit (LM6000 class)</t>
        </is>
      </c>
      <c r="G4823" s="12" t="inlineStr">
        <is>
          <t>JB-SC-2-AI03</t>
        </is>
      </c>
      <c r="H4823" s="12" t="inlineStr">
        <is>
          <t>SC-2: aeroderivative simple-cycle unit (LM6000 class)</t>
        </is>
      </c>
      <c r="I4823" s="12" t="inlineStr">
        <is>
          <t>Instrumentation</t>
        </is>
      </c>
      <c r="J4823" s="12" t="inlineStr">
        <is>
          <t>Instrumentation PLTC / TC-ER 300 V, #18 twisted shielded pairs, overall shield</t>
        </is>
      </c>
      <c r="K4823" s="12" t="inlineStr">
        <is>
          <t>PLTC|1 pr|16</t>
        </is>
      </c>
      <c r="L4823" s="12" t="inlineStr">
        <is>
          <t>1 pr</t>
        </is>
      </c>
      <c r="M4823" s="12" t="inlineStr">
        <is>
          <t>16</t>
        </is>
      </c>
      <c r="N4823" s="12" t="n">
        <v>20</v>
      </c>
      <c r="O4823" s="12" t="n">
        <v>1</v>
      </c>
      <c r="P4823" s="12" t="n"/>
      <c r="Q4823" s="12" t="n"/>
      <c r="R4823" s="12" t="n"/>
      <c r="S4823" s="12" t="inlineStr">
        <is>
          <t>Tray / conduit</t>
        </is>
      </c>
      <c r="T4823" s="16" t="n">
        <v>99</v>
      </c>
      <c r="U4823" s="16" t="n">
        <v>10</v>
      </c>
      <c r="V4823" s="16">
        <f>ROUNDUP((T4823+U4823+2*'Read Me'!$B$13)*(1+'Read Me'!$B$12),-1)</f>
        <v/>
      </c>
      <c r="W4823" s="16">
        <f>V4823*N4823*O4823</f>
        <v/>
      </c>
      <c r="X4823" s="12">
        <f>IF(LEFT(I4823,2)="MV",2*N4823*IF(L4823="1/C",O4823,1),0)</f>
        <v/>
      </c>
      <c r="Y4823" s="12">
        <f>IF(OR(LEFT(K4823,4)="LVAX",LEFT(K4823,6)="MV15AX",LEFT(K4823,4)="CTAX",LEFT(K4823,2)="W|"),2*N4823*O4823,0)</f>
        <v/>
      </c>
      <c r="Z4823" s="12" t="inlineStr">
        <is>
          <t>device-to-JB field wiring, one cable per device</t>
        </is>
      </c>
      <c r="AA4823" s="12">
        <f>N4823*O4823</f>
        <v/>
      </c>
    </row>
    <row r="4824">
      <c r="A4824" s="12" t="inlineStr">
        <is>
          <t>I-I-0466</t>
        </is>
      </c>
      <c r="B4824" s="12" t="inlineStr">
        <is>
          <t>I</t>
        </is>
      </c>
      <c r="C4824" s="12" t="inlineStr">
        <is>
          <t>Modular / portable power</t>
        </is>
      </c>
      <c r="D4824" s="12" t="inlineStr">
        <is>
          <t>Home run JB-SC-2-AI03 to the control / marshalling room</t>
        </is>
      </c>
      <c r="E4824" s="12" t="inlineStr"/>
      <c r="F4824" s="12" t="inlineStr">
        <is>
          <t>PCM: power control module</t>
        </is>
      </c>
      <c r="G4824" s="12" t="inlineStr">
        <is>
          <t>JB-SC-2-AI03</t>
        </is>
      </c>
      <c r="H4824" s="12" t="inlineStr">
        <is>
          <t>SC-2: aeroderivative simple-cycle unit (LM6000 class)</t>
        </is>
      </c>
      <c r="I4824" s="12" t="inlineStr">
        <is>
          <t>Instrumentation</t>
        </is>
      </c>
      <c r="J4824" s="12" t="inlineStr">
        <is>
          <t>Instrumentation PLTC / TC-ER 300 V, #18 twisted shielded pairs, overall shield</t>
        </is>
      </c>
      <c r="K4824" s="12" t="inlineStr">
        <is>
          <t>PLTC|24 pr|18</t>
        </is>
      </c>
      <c r="L4824" s="12" t="inlineStr">
        <is>
          <t>24 pr</t>
        </is>
      </c>
      <c r="M4824" s="12" t="inlineStr">
        <is>
          <t>18</t>
        </is>
      </c>
      <c r="N4824" s="12" t="n">
        <v>1</v>
      </c>
      <c r="O4824" s="12" t="n">
        <v>1</v>
      </c>
      <c r="P4824" s="12" t="n"/>
      <c r="Q4824" s="12" t="n"/>
      <c r="R4824" s="12" t="n"/>
      <c r="S4824" s="12" t="inlineStr">
        <is>
          <t>HV duct bank</t>
        </is>
      </c>
      <c r="T4824" s="16" t="n">
        <v>4478</v>
      </c>
      <c r="U4824" s="16" t="n">
        <v>38</v>
      </c>
      <c r="V4824" s="16">
        <f>ROUNDUP((T4824+U4824+2*'Read Me'!$B$13)*(1+'Read Me'!$B$12),-1)</f>
        <v/>
      </c>
      <c r="W4824" s="16">
        <f>V4824*N4824*O4824</f>
        <v/>
      </c>
      <c r="X4824" s="12">
        <f>IF(LEFT(I4824,2)="MV",2*N4824*IF(L4824="1/C",O4824,1),0)</f>
        <v/>
      </c>
      <c r="Y4824" s="12">
        <f>IF(OR(LEFT(K4824,4)="LVAX",LEFT(K4824,6)="MV15AX",LEFT(K4824,4)="CTAX",LEFT(K4824,2)="W|"),2*N4824*O4824,0)</f>
        <v/>
      </c>
      <c r="Z4824" s="12" t="inlineStr"/>
      <c r="AA4824" s="12">
        <f>N4824*O4824</f>
        <v/>
      </c>
    </row>
    <row r="4825">
      <c r="A4825" s="12" t="inlineStr">
        <is>
          <t>I-I-0467</t>
        </is>
      </c>
      <c r="B4825" s="12" t="inlineStr">
        <is>
          <t>I</t>
        </is>
      </c>
      <c r="C4825" s="12" t="inlineStr">
        <is>
          <t>Modular / portable power</t>
        </is>
      </c>
      <c r="D4825" s="12" t="inlineStr">
        <is>
          <t>Analog instrument to JB JB-SC-2-AI04: 20 x 1 pr (field cables)</t>
        </is>
      </c>
      <c r="E4825" s="12" t="inlineStr">
        <is>
          <t>SC-2</t>
        </is>
      </c>
      <c r="F4825" s="12" t="inlineStr">
        <is>
          <t>SC-2: aeroderivative simple-cycle unit (LM6000 class)</t>
        </is>
      </c>
      <c r="G4825" s="12" t="inlineStr">
        <is>
          <t>JB-SC-2-AI04</t>
        </is>
      </c>
      <c r="H4825" s="12" t="inlineStr">
        <is>
          <t>SC-2: aeroderivative simple-cycle unit (LM6000 class)</t>
        </is>
      </c>
      <c r="I4825" s="12" t="inlineStr">
        <is>
          <t>Instrumentation</t>
        </is>
      </c>
      <c r="J4825" s="12" t="inlineStr">
        <is>
          <t>Instrumentation PLTC / TC-ER 300 V, #18 twisted shielded pairs, overall shield</t>
        </is>
      </c>
      <c r="K4825" s="12" t="inlineStr">
        <is>
          <t>PLTC|1 pr|16</t>
        </is>
      </c>
      <c r="L4825" s="12" t="inlineStr">
        <is>
          <t>1 pr</t>
        </is>
      </c>
      <c r="M4825" s="12" t="inlineStr">
        <is>
          <t>16</t>
        </is>
      </c>
      <c r="N4825" s="12" t="n">
        <v>20</v>
      </c>
      <c r="O4825" s="12" t="n">
        <v>1</v>
      </c>
      <c r="P4825" s="12" t="n"/>
      <c r="Q4825" s="12" t="n"/>
      <c r="R4825" s="12" t="n"/>
      <c r="S4825" s="12" t="inlineStr">
        <is>
          <t>Tray / conduit</t>
        </is>
      </c>
      <c r="T4825" s="16" t="n">
        <v>99</v>
      </c>
      <c r="U4825" s="16" t="n">
        <v>10</v>
      </c>
      <c r="V4825" s="16">
        <f>ROUNDUP((T4825+U4825+2*'Read Me'!$B$13)*(1+'Read Me'!$B$12),-1)</f>
        <v/>
      </c>
      <c r="W4825" s="16">
        <f>V4825*N4825*O4825</f>
        <v/>
      </c>
      <c r="X4825" s="12">
        <f>IF(LEFT(I4825,2)="MV",2*N4825*IF(L4825="1/C",O4825,1),0)</f>
        <v/>
      </c>
      <c r="Y4825" s="12">
        <f>IF(OR(LEFT(K4825,4)="LVAX",LEFT(K4825,6)="MV15AX",LEFT(K4825,4)="CTAX",LEFT(K4825,2)="W|"),2*N4825*O4825,0)</f>
        <v/>
      </c>
      <c r="Z4825" s="12" t="inlineStr">
        <is>
          <t>device-to-JB field wiring, one cable per device</t>
        </is>
      </c>
      <c r="AA4825" s="12">
        <f>N4825*O4825</f>
        <v/>
      </c>
    </row>
    <row r="4826">
      <c r="A4826" s="12" t="inlineStr">
        <is>
          <t>I-I-0468</t>
        </is>
      </c>
      <c r="B4826" s="12" t="inlineStr">
        <is>
          <t>I</t>
        </is>
      </c>
      <c r="C4826" s="12" t="inlineStr">
        <is>
          <t>Modular / portable power</t>
        </is>
      </c>
      <c r="D4826" s="12" t="inlineStr">
        <is>
          <t>Home run JB-SC-2-AI04 to the control / marshalling room</t>
        </is>
      </c>
      <c r="E4826" s="12" t="inlineStr"/>
      <c r="F4826" s="12" t="inlineStr">
        <is>
          <t>PCM: power control module</t>
        </is>
      </c>
      <c r="G4826" s="12" t="inlineStr">
        <is>
          <t>JB-SC-2-AI04</t>
        </is>
      </c>
      <c r="H4826" s="12" t="inlineStr">
        <is>
          <t>SC-2: aeroderivative simple-cycle unit (LM6000 class)</t>
        </is>
      </c>
      <c r="I4826" s="12" t="inlineStr">
        <is>
          <t>Instrumentation</t>
        </is>
      </c>
      <c r="J4826" s="12" t="inlineStr">
        <is>
          <t>Instrumentation PLTC / TC-ER 300 V, #18 twisted shielded pairs, overall shield</t>
        </is>
      </c>
      <c r="K4826" s="12" t="inlineStr">
        <is>
          <t>PLTC|24 pr|18</t>
        </is>
      </c>
      <c r="L4826" s="12" t="inlineStr">
        <is>
          <t>24 pr</t>
        </is>
      </c>
      <c r="M4826" s="12" t="inlineStr">
        <is>
          <t>18</t>
        </is>
      </c>
      <c r="N4826" s="12" t="n">
        <v>1</v>
      </c>
      <c r="O4826" s="12" t="n">
        <v>1</v>
      </c>
      <c r="P4826" s="12" t="n"/>
      <c r="Q4826" s="12" t="n"/>
      <c r="R4826" s="12" t="n"/>
      <c r="S4826" s="12" t="inlineStr">
        <is>
          <t>HV duct bank</t>
        </is>
      </c>
      <c r="T4826" s="16" t="n">
        <v>4478</v>
      </c>
      <c r="U4826" s="16" t="n">
        <v>38</v>
      </c>
      <c r="V4826" s="16">
        <f>ROUNDUP((T4826+U4826+2*'Read Me'!$B$13)*(1+'Read Me'!$B$12),-1)</f>
        <v/>
      </c>
      <c r="W4826" s="16">
        <f>V4826*N4826*O4826</f>
        <v/>
      </c>
      <c r="X4826" s="12">
        <f>IF(LEFT(I4826,2)="MV",2*N4826*IF(L4826="1/C",O4826,1),0)</f>
        <v/>
      </c>
      <c r="Y4826" s="12">
        <f>IF(OR(LEFT(K4826,4)="LVAX",LEFT(K4826,6)="MV15AX",LEFT(K4826,4)="CTAX",LEFT(K4826,2)="W|"),2*N4826*O4826,0)</f>
        <v/>
      </c>
      <c r="Z4826" s="12" t="inlineStr"/>
      <c r="AA4826" s="12">
        <f>N4826*O4826</f>
        <v/>
      </c>
    </row>
    <row r="4827">
      <c r="A4827" s="12" t="inlineStr">
        <is>
          <t>I-I-0469</t>
        </is>
      </c>
      <c r="B4827" s="12" t="inlineStr">
        <is>
          <t>I</t>
        </is>
      </c>
      <c r="C4827" s="12" t="inlineStr">
        <is>
          <t>Modular / portable power</t>
        </is>
      </c>
      <c r="D4827" s="12" t="inlineStr">
        <is>
          <t>Analog instrument to JB JB-SC-2-AI05: 20 x 1 pr (field cables)</t>
        </is>
      </c>
      <c r="E4827" s="12" t="inlineStr">
        <is>
          <t>SC-2</t>
        </is>
      </c>
      <c r="F4827" s="12" t="inlineStr">
        <is>
          <t>SC-2: aeroderivative simple-cycle unit (LM6000 class)</t>
        </is>
      </c>
      <c r="G4827" s="12" t="inlineStr">
        <is>
          <t>JB-SC-2-AI05</t>
        </is>
      </c>
      <c r="H4827" s="12" t="inlineStr">
        <is>
          <t>SC-2: aeroderivative simple-cycle unit (LM6000 class)</t>
        </is>
      </c>
      <c r="I4827" s="12" t="inlineStr">
        <is>
          <t>Instrumentation</t>
        </is>
      </c>
      <c r="J4827" s="12" t="inlineStr">
        <is>
          <t>Instrumentation PLTC / TC-ER 300 V, #18 twisted shielded pairs, overall shield</t>
        </is>
      </c>
      <c r="K4827" s="12" t="inlineStr">
        <is>
          <t>PLTC|1 pr|16</t>
        </is>
      </c>
      <c r="L4827" s="12" t="inlineStr">
        <is>
          <t>1 pr</t>
        </is>
      </c>
      <c r="M4827" s="12" t="inlineStr">
        <is>
          <t>16</t>
        </is>
      </c>
      <c r="N4827" s="12" t="n">
        <v>20</v>
      </c>
      <c r="O4827" s="12" t="n">
        <v>1</v>
      </c>
      <c r="P4827" s="12" t="n"/>
      <c r="Q4827" s="12" t="n"/>
      <c r="R4827" s="12" t="n"/>
      <c r="S4827" s="12" t="inlineStr">
        <is>
          <t>Tray / conduit</t>
        </is>
      </c>
      <c r="T4827" s="16" t="n">
        <v>99</v>
      </c>
      <c r="U4827" s="16" t="n">
        <v>10</v>
      </c>
      <c r="V4827" s="16">
        <f>ROUNDUP((T4827+U4827+2*'Read Me'!$B$13)*(1+'Read Me'!$B$12),-1)</f>
        <v/>
      </c>
      <c r="W4827" s="16">
        <f>V4827*N4827*O4827</f>
        <v/>
      </c>
      <c r="X4827" s="12">
        <f>IF(LEFT(I4827,2)="MV",2*N4827*IF(L4827="1/C",O4827,1),0)</f>
        <v/>
      </c>
      <c r="Y4827" s="12">
        <f>IF(OR(LEFT(K4827,4)="LVAX",LEFT(K4827,6)="MV15AX",LEFT(K4827,4)="CTAX",LEFT(K4827,2)="W|"),2*N4827*O4827,0)</f>
        <v/>
      </c>
      <c r="Z4827" s="12" t="inlineStr">
        <is>
          <t>device-to-JB field wiring, one cable per device</t>
        </is>
      </c>
      <c r="AA4827" s="12">
        <f>N4827*O4827</f>
        <v/>
      </c>
    </row>
    <row r="4828">
      <c r="A4828" s="12" t="inlineStr">
        <is>
          <t>I-I-0470</t>
        </is>
      </c>
      <c r="B4828" s="12" t="inlineStr">
        <is>
          <t>I</t>
        </is>
      </c>
      <c r="C4828" s="12" t="inlineStr">
        <is>
          <t>Modular / portable power</t>
        </is>
      </c>
      <c r="D4828" s="12" t="inlineStr">
        <is>
          <t>Home run JB-SC-2-AI05 to the control / marshalling room</t>
        </is>
      </c>
      <c r="E4828" s="12" t="inlineStr"/>
      <c r="F4828" s="12" t="inlineStr">
        <is>
          <t>PCM: power control module</t>
        </is>
      </c>
      <c r="G4828" s="12" t="inlineStr">
        <is>
          <t>JB-SC-2-AI05</t>
        </is>
      </c>
      <c r="H4828" s="12" t="inlineStr">
        <is>
          <t>SC-2: aeroderivative simple-cycle unit (LM6000 class)</t>
        </is>
      </c>
      <c r="I4828" s="12" t="inlineStr">
        <is>
          <t>Instrumentation</t>
        </is>
      </c>
      <c r="J4828" s="12" t="inlineStr">
        <is>
          <t>Instrumentation PLTC / TC-ER 300 V, #18 twisted shielded pairs, overall shield</t>
        </is>
      </c>
      <c r="K4828" s="12" t="inlineStr">
        <is>
          <t>PLTC|24 pr|18</t>
        </is>
      </c>
      <c r="L4828" s="12" t="inlineStr">
        <is>
          <t>24 pr</t>
        </is>
      </c>
      <c r="M4828" s="12" t="inlineStr">
        <is>
          <t>18</t>
        </is>
      </c>
      <c r="N4828" s="12" t="n">
        <v>1</v>
      </c>
      <c r="O4828" s="12" t="n">
        <v>1</v>
      </c>
      <c r="P4828" s="12" t="n"/>
      <c r="Q4828" s="12" t="n"/>
      <c r="R4828" s="12" t="n"/>
      <c r="S4828" s="12" t="inlineStr">
        <is>
          <t>HV duct bank</t>
        </is>
      </c>
      <c r="T4828" s="16" t="n">
        <v>4478</v>
      </c>
      <c r="U4828" s="16" t="n">
        <v>38</v>
      </c>
      <c r="V4828" s="16">
        <f>ROUNDUP((T4828+U4828+2*'Read Me'!$B$13)*(1+'Read Me'!$B$12),-1)</f>
        <v/>
      </c>
      <c r="W4828" s="16">
        <f>V4828*N4828*O4828</f>
        <v/>
      </c>
      <c r="X4828" s="12">
        <f>IF(LEFT(I4828,2)="MV",2*N4828*IF(L4828="1/C",O4828,1),0)</f>
        <v/>
      </c>
      <c r="Y4828" s="12">
        <f>IF(OR(LEFT(K4828,4)="LVAX",LEFT(K4828,6)="MV15AX",LEFT(K4828,4)="CTAX",LEFT(K4828,2)="W|"),2*N4828*O4828,0)</f>
        <v/>
      </c>
      <c r="Z4828" s="12" t="inlineStr"/>
      <c r="AA4828" s="12">
        <f>N4828*O4828</f>
        <v/>
      </c>
    </row>
    <row r="4829">
      <c r="A4829" s="12" t="inlineStr">
        <is>
          <t>I-I-0471</t>
        </is>
      </c>
      <c r="B4829" s="12" t="inlineStr">
        <is>
          <t>I</t>
        </is>
      </c>
      <c r="C4829" s="12" t="inlineStr">
        <is>
          <t>Modular / portable power</t>
        </is>
      </c>
      <c r="D4829" s="12" t="inlineStr">
        <is>
          <t>Analog instrument to JB JB-SC-2-AI06: 20 x 1 pr (field cables)</t>
        </is>
      </c>
      <c r="E4829" s="12" t="inlineStr">
        <is>
          <t>SC-2</t>
        </is>
      </c>
      <c r="F4829" s="12" t="inlineStr">
        <is>
          <t>SC-2: aeroderivative simple-cycle unit (LM6000 class)</t>
        </is>
      </c>
      <c r="G4829" s="12" t="inlineStr">
        <is>
          <t>JB-SC-2-AI06</t>
        </is>
      </c>
      <c r="H4829" s="12" t="inlineStr">
        <is>
          <t>SC-2: aeroderivative simple-cycle unit (LM6000 class)</t>
        </is>
      </c>
      <c r="I4829" s="12" t="inlineStr">
        <is>
          <t>Instrumentation</t>
        </is>
      </c>
      <c r="J4829" s="12" t="inlineStr">
        <is>
          <t>Instrumentation PLTC / TC-ER 300 V, #18 twisted shielded pairs, overall shield</t>
        </is>
      </c>
      <c r="K4829" s="12" t="inlineStr">
        <is>
          <t>PLTC|1 pr|16</t>
        </is>
      </c>
      <c r="L4829" s="12" t="inlineStr">
        <is>
          <t>1 pr</t>
        </is>
      </c>
      <c r="M4829" s="12" t="inlineStr">
        <is>
          <t>16</t>
        </is>
      </c>
      <c r="N4829" s="12" t="n">
        <v>20</v>
      </c>
      <c r="O4829" s="12" t="n">
        <v>1</v>
      </c>
      <c r="P4829" s="12" t="n"/>
      <c r="Q4829" s="12" t="n"/>
      <c r="R4829" s="12" t="n"/>
      <c r="S4829" s="12" t="inlineStr">
        <is>
          <t>Tray / conduit</t>
        </is>
      </c>
      <c r="T4829" s="16" t="n">
        <v>99</v>
      </c>
      <c r="U4829" s="16" t="n">
        <v>10</v>
      </c>
      <c r="V4829" s="16">
        <f>ROUNDUP((T4829+U4829+2*'Read Me'!$B$13)*(1+'Read Me'!$B$12),-1)</f>
        <v/>
      </c>
      <c r="W4829" s="16">
        <f>V4829*N4829*O4829</f>
        <v/>
      </c>
      <c r="X4829" s="12">
        <f>IF(LEFT(I4829,2)="MV",2*N4829*IF(L4829="1/C",O4829,1),0)</f>
        <v/>
      </c>
      <c r="Y4829" s="12">
        <f>IF(OR(LEFT(K4829,4)="LVAX",LEFT(K4829,6)="MV15AX",LEFT(K4829,4)="CTAX",LEFT(K4829,2)="W|"),2*N4829*O4829,0)</f>
        <v/>
      </c>
      <c r="Z4829" s="12" t="inlineStr">
        <is>
          <t>device-to-JB field wiring, one cable per device</t>
        </is>
      </c>
      <c r="AA4829" s="12">
        <f>N4829*O4829</f>
        <v/>
      </c>
    </row>
    <row r="4830">
      <c r="A4830" s="12" t="inlineStr">
        <is>
          <t>I-I-0472</t>
        </is>
      </c>
      <c r="B4830" s="12" t="inlineStr">
        <is>
          <t>I</t>
        </is>
      </c>
      <c r="C4830" s="12" t="inlineStr">
        <is>
          <t>Modular / portable power</t>
        </is>
      </c>
      <c r="D4830" s="12" t="inlineStr">
        <is>
          <t>Home run JB-SC-2-AI06 to the control / marshalling room</t>
        </is>
      </c>
      <c r="E4830" s="12" t="inlineStr"/>
      <c r="F4830" s="12" t="inlineStr">
        <is>
          <t>PCM: power control module</t>
        </is>
      </c>
      <c r="G4830" s="12" t="inlineStr">
        <is>
          <t>JB-SC-2-AI06</t>
        </is>
      </c>
      <c r="H4830" s="12" t="inlineStr">
        <is>
          <t>SC-2: aeroderivative simple-cycle unit (LM6000 class)</t>
        </is>
      </c>
      <c r="I4830" s="12" t="inlineStr">
        <is>
          <t>Instrumentation</t>
        </is>
      </c>
      <c r="J4830" s="12" t="inlineStr">
        <is>
          <t>Instrumentation PLTC / TC-ER 300 V, #18 twisted shielded pairs, overall shield</t>
        </is>
      </c>
      <c r="K4830" s="12" t="inlineStr">
        <is>
          <t>PLTC|24 pr|18</t>
        </is>
      </c>
      <c r="L4830" s="12" t="inlineStr">
        <is>
          <t>24 pr</t>
        </is>
      </c>
      <c r="M4830" s="12" t="inlineStr">
        <is>
          <t>18</t>
        </is>
      </c>
      <c r="N4830" s="12" t="n">
        <v>1</v>
      </c>
      <c r="O4830" s="12" t="n">
        <v>1</v>
      </c>
      <c r="P4830" s="12" t="n"/>
      <c r="Q4830" s="12" t="n"/>
      <c r="R4830" s="12" t="n"/>
      <c r="S4830" s="12" t="inlineStr">
        <is>
          <t>HV duct bank</t>
        </is>
      </c>
      <c r="T4830" s="16" t="n">
        <v>4478</v>
      </c>
      <c r="U4830" s="16" t="n">
        <v>38</v>
      </c>
      <c r="V4830" s="16">
        <f>ROUNDUP((T4830+U4830+2*'Read Me'!$B$13)*(1+'Read Me'!$B$12),-1)</f>
        <v/>
      </c>
      <c r="W4830" s="16">
        <f>V4830*N4830*O4830</f>
        <v/>
      </c>
      <c r="X4830" s="12">
        <f>IF(LEFT(I4830,2)="MV",2*N4830*IF(L4830="1/C",O4830,1),0)</f>
        <v/>
      </c>
      <c r="Y4830" s="12">
        <f>IF(OR(LEFT(K4830,4)="LVAX",LEFT(K4830,6)="MV15AX",LEFT(K4830,4)="CTAX",LEFT(K4830,2)="W|"),2*N4830*O4830,0)</f>
        <v/>
      </c>
      <c r="Z4830" s="12" t="inlineStr"/>
      <c r="AA4830" s="12">
        <f>N4830*O4830</f>
        <v/>
      </c>
    </row>
    <row r="4831">
      <c r="A4831" s="12" t="inlineStr">
        <is>
          <t>I-I-0473</t>
        </is>
      </c>
      <c r="B4831" s="12" t="inlineStr">
        <is>
          <t>I</t>
        </is>
      </c>
      <c r="C4831" s="12" t="inlineStr">
        <is>
          <t>Modular / portable power</t>
        </is>
      </c>
      <c r="D4831" s="12" t="inlineStr">
        <is>
          <t>Analog instrument to JB JB-SC-2-AI07: 20 x 1 pr (field cables)</t>
        </is>
      </c>
      <c r="E4831" s="12" t="inlineStr">
        <is>
          <t>SC-2</t>
        </is>
      </c>
      <c r="F4831" s="12" t="inlineStr">
        <is>
          <t>SC-2: aeroderivative simple-cycle unit (LM6000 class)</t>
        </is>
      </c>
      <c r="G4831" s="12" t="inlineStr">
        <is>
          <t>JB-SC-2-AI07</t>
        </is>
      </c>
      <c r="H4831" s="12" t="inlineStr">
        <is>
          <t>SC-2: aeroderivative simple-cycle unit (LM6000 class)</t>
        </is>
      </c>
      <c r="I4831" s="12" t="inlineStr">
        <is>
          <t>Instrumentation</t>
        </is>
      </c>
      <c r="J4831" s="12" t="inlineStr">
        <is>
          <t>Instrumentation PLTC / TC-ER 300 V, #18 twisted shielded pairs, overall shield</t>
        </is>
      </c>
      <c r="K4831" s="12" t="inlineStr">
        <is>
          <t>PLTC|1 pr|16</t>
        </is>
      </c>
      <c r="L4831" s="12" t="inlineStr">
        <is>
          <t>1 pr</t>
        </is>
      </c>
      <c r="M4831" s="12" t="inlineStr">
        <is>
          <t>16</t>
        </is>
      </c>
      <c r="N4831" s="12" t="n">
        <v>20</v>
      </c>
      <c r="O4831" s="12" t="n">
        <v>1</v>
      </c>
      <c r="P4831" s="12" t="n"/>
      <c r="Q4831" s="12" t="n"/>
      <c r="R4831" s="12" t="n"/>
      <c r="S4831" s="12" t="inlineStr">
        <is>
          <t>Tray / conduit</t>
        </is>
      </c>
      <c r="T4831" s="16" t="n">
        <v>99</v>
      </c>
      <c r="U4831" s="16" t="n">
        <v>10</v>
      </c>
      <c r="V4831" s="16">
        <f>ROUNDUP((T4831+U4831+2*'Read Me'!$B$13)*(1+'Read Me'!$B$12),-1)</f>
        <v/>
      </c>
      <c r="W4831" s="16">
        <f>V4831*N4831*O4831</f>
        <v/>
      </c>
      <c r="X4831" s="12">
        <f>IF(LEFT(I4831,2)="MV",2*N4831*IF(L4831="1/C",O4831,1),0)</f>
        <v/>
      </c>
      <c r="Y4831" s="12">
        <f>IF(OR(LEFT(K4831,4)="LVAX",LEFT(K4831,6)="MV15AX",LEFT(K4831,4)="CTAX",LEFT(K4831,2)="W|"),2*N4831*O4831,0)</f>
        <v/>
      </c>
      <c r="Z4831" s="12" t="inlineStr">
        <is>
          <t>device-to-JB field wiring, one cable per device</t>
        </is>
      </c>
      <c r="AA4831" s="12">
        <f>N4831*O4831</f>
        <v/>
      </c>
    </row>
    <row r="4832">
      <c r="A4832" s="12" t="inlineStr">
        <is>
          <t>I-I-0474</t>
        </is>
      </c>
      <c r="B4832" s="12" t="inlineStr">
        <is>
          <t>I</t>
        </is>
      </c>
      <c r="C4832" s="12" t="inlineStr">
        <is>
          <t>Modular / portable power</t>
        </is>
      </c>
      <c r="D4832" s="12" t="inlineStr">
        <is>
          <t>Home run JB-SC-2-AI07 to the control / marshalling room</t>
        </is>
      </c>
      <c r="E4832" s="12" t="inlineStr"/>
      <c r="F4832" s="12" t="inlineStr">
        <is>
          <t>PCM: power control module</t>
        </is>
      </c>
      <c r="G4832" s="12" t="inlineStr">
        <is>
          <t>JB-SC-2-AI07</t>
        </is>
      </c>
      <c r="H4832" s="12" t="inlineStr">
        <is>
          <t>SC-2: aeroderivative simple-cycle unit (LM6000 class)</t>
        </is>
      </c>
      <c r="I4832" s="12" t="inlineStr">
        <is>
          <t>Instrumentation</t>
        </is>
      </c>
      <c r="J4832" s="12" t="inlineStr">
        <is>
          <t>Instrumentation PLTC / TC-ER 300 V, #18 twisted shielded pairs, overall shield</t>
        </is>
      </c>
      <c r="K4832" s="12" t="inlineStr">
        <is>
          <t>PLTC|24 pr|18</t>
        </is>
      </c>
      <c r="L4832" s="12" t="inlineStr">
        <is>
          <t>24 pr</t>
        </is>
      </c>
      <c r="M4832" s="12" t="inlineStr">
        <is>
          <t>18</t>
        </is>
      </c>
      <c r="N4832" s="12" t="n">
        <v>1</v>
      </c>
      <c r="O4832" s="12" t="n">
        <v>1</v>
      </c>
      <c r="P4832" s="12" t="n"/>
      <c r="Q4832" s="12" t="n"/>
      <c r="R4832" s="12" t="n"/>
      <c r="S4832" s="12" t="inlineStr">
        <is>
          <t>HV duct bank</t>
        </is>
      </c>
      <c r="T4832" s="16" t="n">
        <v>4478</v>
      </c>
      <c r="U4832" s="16" t="n">
        <v>38</v>
      </c>
      <c r="V4832" s="16">
        <f>ROUNDUP((T4832+U4832+2*'Read Me'!$B$13)*(1+'Read Me'!$B$12),-1)</f>
        <v/>
      </c>
      <c r="W4832" s="16">
        <f>V4832*N4832*O4832</f>
        <v/>
      </c>
      <c r="X4832" s="12">
        <f>IF(LEFT(I4832,2)="MV",2*N4832*IF(L4832="1/C",O4832,1),0)</f>
        <v/>
      </c>
      <c r="Y4832" s="12">
        <f>IF(OR(LEFT(K4832,4)="LVAX",LEFT(K4832,6)="MV15AX",LEFT(K4832,4)="CTAX",LEFT(K4832,2)="W|"),2*N4832*O4832,0)</f>
        <v/>
      </c>
      <c r="Z4832" s="12" t="inlineStr"/>
      <c r="AA4832" s="12">
        <f>N4832*O4832</f>
        <v/>
      </c>
    </row>
    <row r="4833">
      <c r="A4833" s="12" t="inlineStr">
        <is>
          <t>I-I-0475</t>
        </is>
      </c>
      <c r="B4833" s="12" t="inlineStr">
        <is>
          <t>I</t>
        </is>
      </c>
      <c r="C4833" s="12" t="inlineStr">
        <is>
          <t>Modular / portable power</t>
        </is>
      </c>
      <c r="D4833" s="12" t="inlineStr">
        <is>
          <t>Analog instrument to JB JB-SC-2-AI08: 10 x 1 pr (field cables)</t>
        </is>
      </c>
      <c r="E4833" s="12" t="inlineStr">
        <is>
          <t>SC-2</t>
        </is>
      </c>
      <c r="F4833" s="12" t="inlineStr">
        <is>
          <t>SC-2: aeroderivative simple-cycle unit (LM6000 class)</t>
        </is>
      </c>
      <c r="G4833" s="12" t="inlineStr">
        <is>
          <t>JB-SC-2-AI08</t>
        </is>
      </c>
      <c r="H4833" s="12" t="inlineStr">
        <is>
          <t>SC-2: aeroderivative simple-cycle unit (LM6000 class)</t>
        </is>
      </c>
      <c r="I4833" s="12" t="inlineStr">
        <is>
          <t>Instrumentation</t>
        </is>
      </c>
      <c r="J4833" s="12" t="inlineStr">
        <is>
          <t>Instrumentation PLTC / TC-ER 300 V, #18 twisted shielded pairs, overall shield</t>
        </is>
      </c>
      <c r="K4833" s="12" t="inlineStr">
        <is>
          <t>PLTC|1 pr|16</t>
        </is>
      </c>
      <c r="L4833" s="12" t="inlineStr">
        <is>
          <t>1 pr</t>
        </is>
      </c>
      <c r="M4833" s="12" t="inlineStr">
        <is>
          <t>16</t>
        </is>
      </c>
      <c r="N4833" s="12" t="n">
        <v>10</v>
      </c>
      <c r="O4833" s="12" t="n">
        <v>1</v>
      </c>
      <c r="P4833" s="12" t="n"/>
      <c r="Q4833" s="12" t="n"/>
      <c r="R4833" s="12" t="n"/>
      <c r="S4833" s="12" t="inlineStr">
        <is>
          <t>Tray / conduit</t>
        </is>
      </c>
      <c r="T4833" s="16" t="n">
        <v>99</v>
      </c>
      <c r="U4833" s="16" t="n">
        <v>10</v>
      </c>
      <c r="V4833" s="16">
        <f>ROUNDUP((T4833+U4833+2*'Read Me'!$B$13)*(1+'Read Me'!$B$12),-1)</f>
        <v/>
      </c>
      <c r="W4833" s="16">
        <f>V4833*N4833*O4833</f>
        <v/>
      </c>
      <c r="X4833" s="12">
        <f>IF(LEFT(I4833,2)="MV",2*N4833*IF(L4833="1/C",O4833,1),0)</f>
        <v/>
      </c>
      <c r="Y4833" s="12">
        <f>IF(OR(LEFT(K4833,4)="LVAX",LEFT(K4833,6)="MV15AX",LEFT(K4833,4)="CTAX",LEFT(K4833,2)="W|"),2*N4833*O4833,0)</f>
        <v/>
      </c>
      <c r="Z4833" s="12" t="inlineStr">
        <is>
          <t>device-to-JB field wiring, one cable per device</t>
        </is>
      </c>
      <c r="AA4833" s="12">
        <f>N4833*O4833</f>
        <v/>
      </c>
    </row>
    <row r="4834">
      <c r="A4834" s="12" t="inlineStr">
        <is>
          <t>I-I-0476</t>
        </is>
      </c>
      <c r="B4834" s="12" t="inlineStr">
        <is>
          <t>I</t>
        </is>
      </c>
      <c r="C4834" s="12" t="inlineStr">
        <is>
          <t>Modular / portable power</t>
        </is>
      </c>
      <c r="D4834" s="12" t="inlineStr">
        <is>
          <t>Home run JB-SC-2-AI08 to the control / marshalling room</t>
        </is>
      </c>
      <c r="E4834" s="12" t="inlineStr"/>
      <c r="F4834" s="12" t="inlineStr">
        <is>
          <t>PCM: power control module</t>
        </is>
      </c>
      <c r="G4834" s="12" t="inlineStr">
        <is>
          <t>JB-SC-2-AI08</t>
        </is>
      </c>
      <c r="H4834" s="12" t="inlineStr">
        <is>
          <t>SC-2: aeroderivative simple-cycle unit (LM6000 class)</t>
        </is>
      </c>
      <c r="I4834" s="12" t="inlineStr">
        <is>
          <t>Instrumentation</t>
        </is>
      </c>
      <c r="J4834" s="12" t="inlineStr">
        <is>
          <t>Instrumentation PLTC / TC-ER 300 V, #18 twisted shielded pairs, overall shield</t>
        </is>
      </c>
      <c r="K4834" s="12" t="inlineStr">
        <is>
          <t>PLTC|24 pr|18</t>
        </is>
      </c>
      <c r="L4834" s="12" t="inlineStr">
        <is>
          <t>24 pr</t>
        </is>
      </c>
      <c r="M4834" s="12" t="inlineStr">
        <is>
          <t>18</t>
        </is>
      </c>
      <c r="N4834" s="12" t="n">
        <v>1</v>
      </c>
      <c r="O4834" s="12" t="n">
        <v>1</v>
      </c>
      <c r="P4834" s="12" t="n"/>
      <c r="Q4834" s="12" t="n"/>
      <c r="R4834" s="12" t="n"/>
      <c r="S4834" s="12" t="inlineStr">
        <is>
          <t>HV duct bank</t>
        </is>
      </c>
      <c r="T4834" s="16" t="n">
        <v>4478</v>
      </c>
      <c r="U4834" s="16" t="n">
        <v>38</v>
      </c>
      <c r="V4834" s="16">
        <f>ROUNDUP((T4834+U4834+2*'Read Me'!$B$13)*(1+'Read Me'!$B$12),-1)</f>
        <v/>
      </c>
      <c r="W4834" s="16">
        <f>V4834*N4834*O4834</f>
        <v/>
      </c>
      <c r="X4834" s="12">
        <f>IF(LEFT(I4834,2)="MV",2*N4834*IF(L4834="1/C",O4834,1),0)</f>
        <v/>
      </c>
      <c r="Y4834" s="12">
        <f>IF(OR(LEFT(K4834,4)="LVAX",LEFT(K4834,6)="MV15AX",LEFT(K4834,4)="CTAX",LEFT(K4834,2)="W|"),2*N4834*O4834,0)</f>
        <v/>
      </c>
      <c r="Z4834" s="12" t="inlineStr"/>
      <c r="AA4834" s="12">
        <f>N4834*O4834</f>
        <v/>
      </c>
    </row>
    <row r="4835">
      <c r="A4835" s="12" t="inlineStr">
        <is>
          <t>I-I-0477</t>
        </is>
      </c>
      <c r="B4835" s="12" t="inlineStr">
        <is>
          <t>I</t>
        </is>
      </c>
      <c r="C4835" s="12" t="inlineStr">
        <is>
          <t>Modular / portable power</t>
        </is>
      </c>
      <c r="D4835" s="12" t="inlineStr">
        <is>
          <t>Discrete device to JB JB-SC-2-DI01: 20 x 1 pr (field cables)</t>
        </is>
      </c>
      <c r="E4835" s="12" t="inlineStr">
        <is>
          <t>SC-2</t>
        </is>
      </c>
      <c r="F4835" s="12" t="inlineStr">
        <is>
          <t>SC-2: aeroderivative simple-cycle unit (LM6000 class)</t>
        </is>
      </c>
      <c r="G4835" s="12" t="inlineStr">
        <is>
          <t>JB-SC-2-DI01</t>
        </is>
      </c>
      <c r="H4835" s="12" t="inlineStr">
        <is>
          <t>SC-2: aeroderivative simple-cycle unit (LM6000 class)</t>
        </is>
      </c>
      <c r="I4835" s="12" t="inlineStr">
        <is>
          <t>Instrumentation</t>
        </is>
      </c>
      <c r="J4835" s="12" t="inlineStr">
        <is>
          <t>Instrumentation PLTC / TC-ER 300 V, #18 twisted shielded pairs, overall shield</t>
        </is>
      </c>
      <c r="K4835" s="12" t="inlineStr">
        <is>
          <t>PLTC|1 pr|16</t>
        </is>
      </c>
      <c r="L4835" s="12" t="inlineStr">
        <is>
          <t>1 pr</t>
        </is>
      </c>
      <c r="M4835" s="12" t="inlineStr">
        <is>
          <t>16</t>
        </is>
      </c>
      <c r="N4835" s="12" t="n">
        <v>20</v>
      </c>
      <c r="O4835" s="12" t="n">
        <v>1</v>
      </c>
      <c r="P4835" s="12" t="n"/>
      <c r="Q4835" s="12" t="n"/>
      <c r="R4835" s="12" t="n"/>
      <c r="S4835" s="12" t="inlineStr">
        <is>
          <t>Tray / conduit</t>
        </is>
      </c>
      <c r="T4835" s="16" t="n">
        <v>99</v>
      </c>
      <c r="U4835" s="16" t="n">
        <v>10</v>
      </c>
      <c r="V4835" s="16">
        <f>ROUNDUP((T4835+U4835+2*'Read Me'!$B$13)*(1+'Read Me'!$B$12),-1)</f>
        <v/>
      </c>
      <c r="W4835" s="16">
        <f>V4835*N4835*O4835</f>
        <v/>
      </c>
      <c r="X4835" s="12">
        <f>IF(LEFT(I4835,2)="MV",2*N4835*IF(L4835="1/C",O4835,1),0)</f>
        <v/>
      </c>
      <c r="Y4835" s="12">
        <f>IF(OR(LEFT(K4835,4)="LVAX",LEFT(K4835,6)="MV15AX",LEFT(K4835,4)="CTAX",LEFT(K4835,2)="W|"),2*N4835*O4835,0)</f>
        <v/>
      </c>
      <c r="Z4835" s="12" t="inlineStr">
        <is>
          <t>device-to-JB field wiring, one cable per device</t>
        </is>
      </c>
      <c r="AA4835" s="12">
        <f>N4835*O4835</f>
        <v/>
      </c>
    </row>
    <row r="4836">
      <c r="A4836" s="12" t="inlineStr">
        <is>
          <t>I-I-0478</t>
        </is>
      </c>
      <c r="B4836" s="12" t="inlineStr">
        <is>
          <t>I</t>
        </is>
      </c>
      <c r="C4836" s="12" t="inlineStr">
        <is>
          <t>Modular / portable power</t>
        </is>
      </c>
      <c r="D4836" s="12" t="inlineStr">
        <is>
          <t>Home run JB-SC-2-DI01 to the control / marshalling room</t>
        </is>
      </c>
      <c r="E4836" s="12" t="inlineStr"/>
      <c r="F4836" s="12" t="inlineStr">
        <is>
          <t>PCM: power control module</t>
        </is>
      </c>
      <c r="G4836" s="12" t="inlineStr">
        <is>
          <t>JB-SC-2-DI01</t>
        </is>
      </c>
      <c r="H4836" s="12" t="inlineStr">
        <is>
          <t>SC-2: aeroderivative simple-cycle unit (LM6000 class)</t>
        </is>
      </c>
      <c r="I4836" s="12" t="inlineStr">
        <is>
          <t>Instrumentation</t>
        </is>
      </c>
      <c r="J4836" s="12" t="inlineStr">
        <is>
          <t>Instrumentation PLTC / TC-ER 300 V, #18 twisted shielded pairs, overall shield</t>
        </is>
      </c>
      <c r="K4836" s="12" t="inlineStr">
        <is>
          <t>PLTC|24 pr|18</t>
        </is>
      </c>
      <c r="L4836" s="12" t="inlineStr">
        <is>
          <t>24 pr</t>
        </is>
      </c>
      <c r="M4836" s="12" t="inlineStr">
        <is>
          <t>18</t>
        </is>
      </c>
      <c r="N4836" s="12" t="n">
        <v>1</v>
      </c>
      <c r="O4836" s="12" t="n">
        <v>1</v>
      </c>
      <c r="P4836" s="12" t="n"/>
      <c r="Q4836" s="12" t="n"/>
      <c r="R4836" s="12" t="n"/>
      <c r="S4836" s="12" t="inlineStr">
        <is>
          <t>HV duct bank</t>
        </is>
      </c>
      <c r="T4836" s="16" t="n">
        <v>4478</v>
      </c>
      <c r="U4836" s="16" t="n">
        <v>38</v>
      </c>
      <c r="V4836" s="16">
        <f>ROUNDUP((T4836+U4836+2*'Read Me'!$B$13)*(1+'Read Me'!$B$12),-1)</f>
        <v/>
      </c>
      <c r="W4836" s="16">
        <f>V4836*N4836*O4836</f>
        <v/>
      </c>
      <c r="X4836" s="12">
        <f>IF(LEFT(I4836,2)="MV",2*N4836*IF(L4836="1/C",O4836,1),0)</f>
        <v/>
      </c>
      <c r="Y4836" s="12">
        <f>IF(OR(LEFT(K4836,4)="LVAX",LEFT(K4836,6)="MV15AX",LEFT(K4836,4)="CTAX",LEFT(K4836,2)="W|"),2*N4836*O4836,0)</f>
        <v/>
      </c>
      <c r="Z4836" s="12" t="inlineStr"/>
      <c r="AA4836" s="12">
        <f>N4836*O4836</f>
        <v/>
      </c>
    </row>
    <row r="4837">
      <c r="A4837" s="12" t="inlineStr">
        <is>
          <t>I-I-0479</t>
        </is>
      </c>
      <c r="B4837" s="12" t="inlineStr">
        <is>
          <t>I</t>
        </is>
      </c>
      <c r="C4837" s="12" t="inlineStr">
        <is>
          <t>Modular / portable power</t>
        </is>
      </c>
      <c r="D4837" s="12" t="inlineStr">
        <is>
          <t>Discrete device to JB JB-SC-2-DI02: 20 x 1 pr (field cables)</t>
        </is>
      </c>
      <c r="E4837" s="12" t="inlineStr">
        <is>
          <t>SC-2</t>
        </is>
      </c>
      <c r="F4837" s="12" t="inlineStr">
        <is>
          <t>SC-2: aeroderivative simple-cycle unit (LM6000 class)</t>
        </is>
      </c>
      <c r="G4837" s="12" t="inlineStr">
        <is>
          <t>JB-SC-2-DI02</t>
        </is>
      </c>
      <c r="H4837" s="12" t="inlineStr">
        <is>
          <t>SC-2: aeroderivative simple-cycle unit (LM6000 class)</t>
        </is>
      </c>
      <c r="I4837" s="12" t="inlineStr">
        <is>
          <t>Instrumentation</t>
        </is>
      </c>
      <c r="J4837" s="12" t="inlineStr">
        <is>
          <t>Instrumentation PLTC / TC-ER 300 V, #18 twisted shielded pairs, overall shield</t>
        </is>
      </c>
      <c r="K4837" s="12" t="inlineStr">
        <is>
          <t>PLTC|1 pr|16</t>
        </is>
      </c>
      <c r="L4837" s="12" t="inlineStr">
        <is>
          <t>1 pr</t>
        </is>
      </c>
      <c r="M4837" s="12" t="inlineStr">
        <is>
          <t>16</t>
        </is>
      </c>
      <c r="N4837" s="12" t="n">
        <v>20</v>
      </c>
      <c r="O4837" s="12" t="n">
        <v>1</v>
      </c>
      <c r="P4837" s="12" t="n"/>
      <c r="Q4837" s="12" t="n"/>
      <c r="R4837" s="12" t="n"/>
      <c r="S4837" s="12" t="inlineStr">
        <is>
          <t>Tray / conduit</t>
        </is>
      </c>
      <c r="T4837" s="16" t="n">
        <v>99</v>
      </c>
      <c r="U4837" s="16" t="n">
        <v>10</v>
      </c>
      <c r="V4837" s="16">
        <f>ROUNDUP((T4837+U4837+2*'Read Me'!$B$13)*(1+'Read Me'!$B$12),-1)</f>
        <v/>
      </c>
      <c r="W4837" s="16">
        <f>V4837*N4837*O4837</f>
        <v/>
      </c>
      <c r="X4837" s="12">
        <f>IF(LEFT(I4837,2)="MV",2*N4837*IF(L4837="1/C",O4837,1),0)</f>
        <v/>
      </c>
      <c r="Y4837" s="12">
        <f>IF(OR(LEFT(K4837,4)="LVAX",LEFT(K4837,6)="MV15AX",LEFT(K4837,4)="CTAX",LEFT(K4837,2)="W|"),2*N4837*O4837,0)</f>
        <v/>
      </c>
      <c r="Z4837" s="12" t="inlineStr">
        <is>
          <t>device-to-JB field wiring, one cable per device</t>
        </is>
      </c>
      <c r="AA4837" s="12">
        <f>N4837*O4837</f>
        <v/>
      </c>
    </row>
    <row r="4838">
      <c r="A4838" s="12" t="inlineStr">
        <is>
          <t>I-I-0480</t>
        </is>
      </c>
      <c r="B4838" s="12" t="inlineStr">
        <is>
          <t>I</t>
        </is>
      </c>
      <c r="C4838" s="12" t="inlineStr">
        <is>
          <t>Modular / portable power</t>
        </is>
      </c>
      <c r="D4838" s="12" t="inlineStr">
        <is>
          <t>Home run JB-SC-2-DI02 to the control / marshalling room</t>
        </is>
      </c>
      <c r="E4838" s="12" t="inlineStr"/>
      <c r="F4838" s="12" t="inlineStr">
        <is>
          <t>PCM: power control module</t>
        </is>
      </c>
      <c r="G4838" s="12" t="inlineStr">
        <is>
          <t>JB-SC-2-DI02</t>
        </is>
      </c>
      <c r="H4838" s="12" t="inlineStr">
        <is>
          <t>SC-2: aeroderivative simple-cycle unit (LM6000 class)</t>
        </is>
      </c>
      <c r="I4838" s="12" t="inlineStr">
        <is>
          <t>Instrumentation</t>
        </is>
      </c>
      <c r="J4838" s="12" t="inlineStr">
        <is>
          <t>Instrumentation PLTC / TC-ER 300 V, #18 twisted shielded pairs, overall shield</t>
        </is>
      </c>
      <c r="K4838" s="12" t="inlineStr">
        <is>
          <t>PLTC|24 pr|18</t>
        </is>
      </c>
      <c r="L4838" s="12" t="inlineStr">
        <is>
          <t>24 pr</t>
        </is>
      </c>
      <c r="M4838" s="12" t="inlineStr">
        <is>
          <t>18</t>
        </is>
      </c>
      <c r="N4838" s="12" t="n">
        <v>1</v>
      </c>
      <c r="O4838" s="12" t="n">
        <v>1</v>
      </c>
      <c r="P4838" s="12" t="n"/>
      <c r="Q4838" s="12" t="n"/>
      <c r="R4838" s="12" t="n"/>
      <c r="S4838" s="12" t="inlineStr">
        <is>
          <t>HV duct bank</t>
        </is>
      </c>
      <c r="T4838" s="16" t="n">
        <v>4478</v>
      </c>
      <c r="U4838" s="16" t="n">
        <v>38</v>
      </c>
      <c r="V4838" s="16">
        <f>ROUNDUP((T4838+U4838+2*'Read Me'!$B$13)*(1+'Read Me'!$B$12),-1)</f>
        <v/>
      </c>
      <c r="W4838" s="16">
        <f>V4838*N4838*O4838</f>
        <v/>
      </c>
      <c r="X4838" s="12">
        <f>IF(LEFT(I4838,2)="MV",2*N4838*IF(L4838="1/C",O4838,1),0)</f>
        <v/>
      </c>
      <c r="Y4838" s="12">
        <f>IF(OR(LEFT(K4838,4)="LVAX",LEFT(K4838,6)="MV15AX",LEFT(K4838,4)="CTAX",LEFT(K4838,2)="W|"),2*N4838*O4838,0)</f>
        <v/>
      </c>
      <c r="Z4838" s="12" t="inlineStr"/>
      <c r="AA4838" s="12">
        <f>N4838*O4838</f>
        <v/>
      </c>
    </row>
    <row r="4839">
      <c r="A4839" s="12" t="inlineStr">
        <is>
          <t>I-I-0481</t>
        </is>
      </c>
      <c r="B4839" s="12" t="inlineStr">
        <is>
          <t>I</t>
        </is>
      </c>
      <c r="C4839" s="12" t="inlineStr">
        <is>
          <t>Modular / portable power</t>
        </is>
      </c>
      <c r="D4839" s="12" t="inlineStr">
        <is>
          <t>Discrete device to JB JB-SC-2-DI03: 20 x 1 pr (field cables)</t>
        </is>
      </c>
      <c r="E4839" s="12" t="inlineStr">
        <is>
          <t>SC-2</t>
        </is>
      </c>
      <c r="F4839" s="12" t="inlineStr">
        <is>
          <t>SC-2: aeroderivative simple-cycle unit (LM6000 class)</t>
        </is>
      </c>
      <c r="G4839" s="12" t="inlineStr">
        <is>
          <t>JB-SC-2-DI03</t>
        </is>
      </c>
      <c r="H4839" s="12" t="inlineStr">
        <is>
          <t>SC-2: aeroderivative simple-cycle unit (LM6000 class)</t>
        </is>
      </c>
      <c r="I4839" s="12" t="inlineStr">
        <is>
          <t>Instrumentation</t>
        </is>
      </c>
      <c r="J4839" s="12" t="inlineStr">
        <is>
          <t>Instrumentation PLTC / TC-ER 300 V, #18 twisted shielded pairs, overall shield</t>
        </is>
      </c>
      <c r="K4839" s="12" t="inlineStr">
        <is>
          <t>PLTC|1 pr|16</t>
        </is>
      </c>
      <c r="L4839" s="12" t="inlineStr">
        <is>
          <t>1 pr</t>
        </is>
      </c>
      <c r="M4839" s="12" t="inlineStr">
        <is>
          <t>16</t>
        </is>
      </c>
      <c r="N4839" s="12" t="n">
        <v>20</v>
      </c>
      <c r="O4839" s="12" t="n">
        <v>1</v>
      </c>
      <c r="P4839" s="12" t="n"/>
      <c r="Q4839" s="12" t="n"/>
      <c r="R4839" s="12" t="n"/>
      <c r="S4839" s="12" t="inlineStr">
        <is>
          <t>Tray / conduit</t>
        </is>
      </c>
      <c r="T4839" s="16" t="n">
        <v>99</v>
      </c>
      <c r="U4839" s="16" t="n">
        <v>10</v>
      </c>
      <c r="V4839" s="16">
        <f>ROUNDUP((T4839+U4839+2*'Read Me'!$B$13)*(1+'Read Me'!$B$12),-1)</f>
        <v/>
      </c>
      <c r="W4839" s="16">
        <f>V4839*N4839*O4839</f>
        <v/>
      </c>
      <c r="X4839" s="12">
        <f>IF(LEFT(I4839,2)="MV",2*N4839*IF(L4839="1/C",O4839,1),0)</f>
        <v/>
      </c>
      <c r="Y4839" s="12">
        <f>IF(OR(LEFT(K4839,4)="LVAX",LEFT(K4839,6)="MV15AX",LEFT(K4839,4)="CTAX",LEFT(K4839,2)="W|"),2*N4839*O4839,0)</f>
        <v/>
      </c>
      <c r="Z4839" s="12" t="inlineStr">
        <is>
          <t>device-to-JB field wiring, one cable per device</t>
        </is>
      </c>
      <c r="AA4839" s="12">
        <f>N4839*O4839</f>
        <v/>
      </c>
    </row>
    <row r="4840">
      <c r="A4840" s="12" t="inlineStr">
        <is>
          <t>I-I-0482</t>
        </is>
      </c>
      <c r="B4840" s="12" t="inlineStr">
        <is>
          <t>I</t>
        </is>
      </c>
      <c r="C4840" s="12" t="inlineStr">
        <is>
          <t>Modular / portable power</t>
        </is>
      </c>
      <c r="D4840" s="12" t="inlineStr">
        <is>
          <t>Home run JB-SC-2-DI03 to the control / marshalling room</t>
        </is>
      </c>
      <c r="E4840" s="12" t="inlineStr"/>
      <c r="F4840" s="12" t="inlineStr">
        <is>
          <t>PCM: power control module</t>
        </is>
      </c>
      <c r="G4840" s="12" t="inlineStr">
        <is>
          <t>JB-SC-2-DI03</t>
        </is>
      </c>
      <c r="H4840" s="12" t="inlineStr">
        <is>
          <t>SC-2: aeroderivative simple-cycle unit (LM6000 class)</t>
        </is>
      </c>
      <c r="I4840" s="12" t="inlineStr">
        <is>
          <t>Instrumentation</t>
        </is>
      </c>
      <c r="J4840" s="12" t="inlineStr">
        <is>
          <t>Instrumentation PLTC / TC-ER 300 V, #18 twisted shielded pairs, overall shield</t>
        </is>
      </c>
      <c r="K4840" s="12" t="inlineStr">
        <is>
          <t>PLTC|24 pr|18</t>
        </is>
      </c>
      <c r="L4840" s="12" t="inlineStr">
        <is>
          <t>24 pr</t>
        </is>
      </c>
      <c r="M4840" s="12" t="inlineStr">
        <is>
          <t>18</t>
        </is>
      </c>
      <c r="N4840" s="12" t="n">
        <v>1</v>
      </c>
      <c r="O4840" s="12" t="n">
        <v>1</v>
      </c>
      <c r="P4840" s="12" t="n"/>
      <c r="Q4840" s="12" t="n"/>
      <c r="R4840" s="12" t="n"/>
      <c r="S4840" s="12" t="inlineStr">
        <is>
          <t>HV duct bank</t>
        </is>
      </c>
      <c r="T4840" s="16" t="n">
        <v>4478</v>
      </c>
      <c r="U4840" s="16" t="n">
        <v>38</v>
      </c>
      <c r="V4840" s="16">
        <f>ROUNDUP((T4840+U4840+2*'Read Me'!$B$13)*(1+'Read Me'!$B$12),-1)</f>
        <v/>
      </c>
      <c r="W4840" s="16">
        <f>V4840*N4840*O4840</f>
        <v/>
      </c>
      <c r="X4840" s="12">
        <f>IF(LEFT(I4840,2)="MV",2*N4840*IF(L4840="1/C",O4840,1),0)</f>
        <v/>
      </c>
      <c r="Y4840" s="12">
        <f>IF(OR(LEFT(K4840,4)="LVAX",LEFT(K4840,6)="MV15AX",LEFT(K4840,4)="CTAX",LEFT(K4840,2)="W|"),2*N4840*O4840,0)</f>
        <v/>
      </c>
      <c r="Z4840" s="12" t="inlineStr"/>
      <c r="AA4840" s="12">
        <f>N4840*O4840</f>
        <v/>
      </c>
    </row>
    <row r="4841">
      <c r="A4841" s="12" t="inlineStr">
        <is>
          <t>I-I-0483</t>
        </is>
      </c>
      <c r="B4841" s="12" t="inlineStr">
        <is>
          <t>I</t>
        </is>
      </c>
      <c r="C4841" s="12" t="inlineStr">
        <is>
          <t>Modular / portable power</t>
        </is>
      </c>
      <c r="D4841" s="12" t="inlineStr">
        <is>
          <t>Discrete device to JB JB-SC-2-DI04: 20 x 1 pr (field cables)</t>
        </is>
      </c>
      <c r="E4841" s="12" t="inlineStr">
        <is>
          <t>SC-2</t>
        </is>
      </c>
      <c r="F4841" s="12" t="inlineStr">
        <is>
          <t>SC-2: aeroderivative simple-cycle unit (LM6000 class)</t>
        </is>
      </c>
      <c r="G4841" s="12" t="inlineStr">
        <is>
          <t>JB-SC-2-DI04</t>
        </is>
      </c>
      <c r="H4841" s="12" t="inlineStr">
        <is>
          <t>SC-2: aeroderivative simple-cycle unit (LM6000 class)</t>
        </is>
      </c>
      <c r="I4841" s="12" t="inlineStr">
        <is>
          <t>Instrumentation</t>
        </is>
      </c>
      <c r="J4841" s="12" t="inlineStr">
        <is>
          <t>Instrumentation PLTC / TC-ER 300 V, #18 twisted shielded pairs, overall shield</t>
        </is>
      </c>
      <c r="K4841" s="12" t="inlineStr">
        <is>
          <t>PLTC|1 pr|16</t>
        </is>
      </c>
      <c r="L4841" s="12" t="inlineStr">
        <is>
          <t>1 pr</t>
        </is>
      </c>
      <c r="M4841" s="12" t="inlineStr">
        <is>
          <t>16</t>
        </is>
      </c>
      <c r="N4841" s="12" t="n">
        <v>20</v>
      </c>
      <c r="O4841" s="12" t="n">
        <v>1</v>
      </c>
      <c r="P4841" s="12" t="n"/>
      <c r="Q4841" s="12" t="n"/>
      <c r="R4841" s="12" t="n"/>
      <c r="S4841" s="12" t="inlineStr">
        <is>
          <t>Tray / conduit</t>
        </is>
      </c>
      <c r="T4841" s="16" t="n">
        <v>99</v>
      </c>
      <c r="U4841" s="16" t="n">
        <v>10</v>
      </c>
      <c r="V4841" s="16">
        <f>ROUNDUP((T4841+U4841+2*'Read Me'!$B$13)*(1+'Read Me'!$B$12),-1)</f>
        <v/>
      </c>
      <c r="W4841" s="16">
        <f>V4841*N4841*O4841</f>
        <v/>
      </c>
      <c r="X4841" s="12">
        <f>IF(LEFT(I4841,2)="MV",2*N4841*IF(L4841="1/C",O4841,1),0)</f>
        <v/>
      </c>
      <c r="Y4841" s="12">
        <f>IF(OR(LEFT(K4841,4)="LVAX",LEFT(K4841,6)="MV15AX",LEFT(K4841,4)="CTAX",LEFT(K4841,2)="W|"),2*N4841*O4841,0)</f>
        <v/>
      </c>
      <c r="Z4841" s="12" t="inlineStr">
        <is>
          <t>device-to-JB field wiring, one cable per device</t>
        </is>
      </c>
      <c r="AA4841" s="12">
        <f>N4841*O4841</f>
        <v/>
      </c>
    </row>
    <row r="4842">
      <c r="A4842" s="12" t="inlineStr">
        <is>
          <t>I-I-0484</t>
        </is>
      </c>
      <c r="B4842" s="12" t="inlineStr">
        <is>
          <t>I</t>
        </is>
      </c>
      <c r="C4842" s="12" t="inlineStr">
        <is>
          <t>Modular / portable power</t>
        </is>
      </c>
      <c r="D4842" s="12" t="inlineStr">
        <is>
          <t>Home run JB-SC-2-DI04 to the control / marshalling room</t>
        </is>
      </c>
      <c r="E4842" s="12" t="inlineStr"/>
      <c r="F4842" s="12" t="inlineStr">
        <is>
          <t>PCM: power control module</t>
        </is>
      </c>
      <c r="G4842" s="12" t="inlineStr">
        <is>
          <t>JB-SC-2-DI04</t>
        </is>
      </c>
      <c r="H4842" s="12" t="inlineStr">
        <is>
          <t>SC-2: aeroderivative simple-cycle unit (LM6000 class)</t>
        </is>
      </c>
      <c r="I4842" s="12" t="inlineStr">
        <is>
          <t>Instrumentation</t>
        </is>
      </c>
      <c r="J4842" s="12" t="inlineStr">
        <is>
          <t>Instrumentation PLTC / TC-ER 300 V, #18 twisted shielded pairs, overall shield</t>
        </is>
      </c>
      <c r="K4842" s="12" t="inlineStr">
        <is>
          <t>PLTC|24 pr|18</t>
        </is>
      </c>
      <c r="L4842" s="12" t="inlineStr">
        <is>
          <t>24 pr</t>
        </is>
      </c>
      <c r="M4842" s="12" t="inlineStr">
        <is>
          <t>18</t>
        </is>
      </c>
      <c r="N4842" s="12" t="n">
        <v>1</v>
      </c>
      <c r="O4842" s="12" t="n">
        <v>1</v>
      </c>
      <c r="P4842" s="12" t="n"/>
      <c r="Q4842" s="12" t="n"/>
      <c r="R4842" s="12" t="n"/>
      <c r="S4842" s="12" t="inlineStr">
        <is>
          <t>HV duct bank</t>
        </is>
      </c>
      <c r="T4842" s="16" t="n">
        <v>4478</v>
      </c>
      <c r="U4842" s="16" t="n">
        <v>38</v>
      </c>
      <c r="V4842" s="16">
        <f>ROUNDUP((T4842+U4842+2*'Read Me'!$B$13)*(1+'Read Me'!$B$12),-1)</f>
        <v/>
      </c>
      <c r="W4842" s="16">
        <f>V4842*N4842*O4842</f>
        <v/>
      </c>
      <c r="X4842" s="12">
        <f>IF(LEFT(I4842,2)="MV",2*N4842*IF(L4842="1/C",O4842,1),0)</f>
        <v/>
      </c>
      <c r="Y4842" s="12">
        <f>IF(OR(LEFT(K4842,4)="LVAX",LEFT(K4842,6)="MV15AX",LEFT(K4842,4)="CTAX",LEFT(K4842,2)="W|"),2*N4842*O4842,0)</f>
        <v/>
      </c>
      <c r="Z4842" s="12" t="inlineStr"/>
      <c r="AA4842" s="12">
        <f>N4842*O4842</f>
        <v/>
      </c>
    </row>
    <row r="4843">
      <c r="A4843" s="12" t="inlineStr">
        <is>
          <t>I-I-0485</t>
        </is>
      </c>
      <c r="B4843" s="12" t="inlineStr">
        <is>
          <t>I</t>
        </is>
      </c>
      <c r="C4843" s="12" t="inlineStr">
        <is>
          <t>Modular / portable power</t>
        </is>
      </c>
      <c r="D4843" s="12" t="inlineStr">
        <is>
          <t>Discrete device to JB JB-SC-2-DI05: 20 x 1 pr (field cables)</t>
        </is>
      </c>
      <c r="E4843" s="12" t="inlineStr">
        <is>
          <t>SC-2</t>
        </is>
      </c>
      <c r="F4843" s="12" t="inlineStr">
        <is>
          <t>SC-2: aeroderivative simple-cycle unit (LM6000 class)</t>
        </is>
      </c>
      <c r="G4843" s="12" t="inlineStr">
        <is>
          <t>JB-SC-2-DI05</t>
        </is>
      </c>
      <c r="H4843" s="12" t="inlineStr">
        <is>
          <t>SC-2: aeroderivative simple-cycle unit (LM6000 class)</t>
        </is>
      </c>
      <c r="I4843" s="12" t="inlineStr">
        <is>
          <t>Instrumentation</t>
        </is>
      </c>
      <c r="J4843" s="12" t="inlineStr">
        <is>
          <t>Instrumentation PLTC / TC-ER 300 V, #18 twisted shielded pairs, overall shield</t>
        </is>
      </c>
      <c r="K4843" s="12" t="inlineStr">
        <is>
          <t>PLTC|1 pr|16</t>
        </is>
      </c>
      <c r="L4843" s="12" t="inlineStr">
        <is>
          <t>1 pr</t>
        </is>
      </c>
      <c r="M4843" s="12" t="inlineStr">
        <is>
          <t>16</t>
        </is>
      </c>
      <c r="N4843" s="12" t="n">
        <v>20</v>
      </c>
      <c r="O4843" s="12" t="n">
        <v>1</v>
      </c>
      <c r="P4843" s="12" t="n"/>
      <c r="Q4843" s="12" t="n"/>
      <c r="R4843" s="12" t="n"/>
      <c r="S4843" s="12" t="inlineStr">
        <is>
          <t>Tray / conduit</t>
        </is>
      </c>
      <c r="T4843" s="16" t="n">
        <v>99</v>
      </c>
      <c r="U4843" s="16" t="n">
        <v>10</v>
      </c>
      <c r="V4843" s="16">
        <f>ROUNDUP((T4843+U4843+2*'Read Me'!$B$13)*(1+'Read Me'!$B$12),-1)</f>
        <v/>
      </c>
      <c r="W4843" s="16">
        <f>V4843*N4843*O4843</f>
        <v/>
      </c>
      <c r="X4843" s="12">
        <f>IF(LEFT(I4843,2)="MV",2*N4843*IF(L4843="1/C",O4843,1),0)</f>
        <v/>
      </c>
      <c r="Y4843" s="12">
        <f>IF(OR(LEFT(K4843,4)="LVAX",LEFT(K4843,6)="MV15AX",LEFT(K4843,4)="CTAX",LEFT(K4843,2)="W|"),2*N4843*O4843,0)</f>
        <v/>
      </c>
      <c r="Z4843" s="12" t="inlineStr">
        <is>
          <t>device-to-JB field wiring, one cable per device</t>
        </is>
      </c>
      <c r="AA4843" s="12">
        <f>N4843*O4843</f>
        <v/>
      </c>
    </row>
    <row r="4844">
      <c r="A4844" s="12" t="inlineStr">
        <is>
          <t>I-I-0486</t>
        </is>
      </c>
      <c r="B4844" s="12" t="inlineStr">
        <is>
          <t>I</t>
        </is>
      </c>
      <c r="C4844" s="12" t="inlineStr">
        <is>
          <t>Modular / portable power</t>
        </is>
      </c>
      <c r="D4844" s="12" t="inlineStr">
        <is>
          <t>Home run JB-SC-2-DI05 to the control / marshalling room</t>
        </is>
      </c>
      <c r="E4844" s="12" t="inlineStr"/>
      <c r="F4844" s="12" t="inlineStr">
        <is>
          <t>PCM: power control module</t>
        </is>
      </c>
      <c r="G4844" s="12" t="inlineStr">
        <is>
          <t>JB-SC-2-DI05</t>
        </is>
      </c>
      <c r="H4844" s="12" t="inlineStr">
        <is>
          <t>SC-2: aeroderivative simple-cycle unit (LM6000 class)</t>
        </is>
      </c>
      <c r="I4844" s="12" t="inlineStr">
        <is>
          <t>Instrumentation</t>
        </is>
      </c>
      <c r="J4844" s="12" t="inlineStr">
        <is>
          <t>Instrumentation PLTC / TC-ER 300 V, #18 twisted shielded pairs, overall shield</t>
        </is>
      </c>
      <c r="K4844" s="12" t="inlineStr">
        <is>
          <t>PLTC|24 pr|18</t>
        </is>
      </c>
      <c r="L4844" s="12" t="inlineStr">
        <is>
          <t>24 pr</t>
        </is>
      </c>
      <c r="M4844" s="12" t="inlineStr">
        <is>
          <t>18</t>
        </is>
      </c>
      <c r="N4844" s="12" t="n">
        <v>1</v>
      </c>
      <c r="O4844" s="12" t="n">
        <v>1</v>
      </c>
      <c r="P4844" s="12" t="n"/>
      <c r="Q4844" s="12" t="n"/>
      <c r="R4844" s="12" t="n"/>
      <c r="S4844" s="12" t="inlineStr">
        <is>
          <t>HV duct bank</t>
        </is>
      </c>
      <c r="T4844" s="16" t="n">
        <v>4478</v>
      </c>
      <c r="U4844" s="16" t="n">
        <v>38</v>
      </c>
      <c r="V4844" s="16">
        <f>ROUNDUP((T4844+U4844+2*'Read Me'!$B$13)*(1+'Read Me'!$B$12),-1)</f>
        <v/>
      </c>
      <c r="W4844" s="16">
        <f>V4844*N4844*O4844</f>
        <v/>
      </c>
      <c r="X4844" s="12">
        <f>IF(LEFT(I4844,2)="MV",2*N4844*IF(L4844="1/C",O4844,1),0)</f>
        <v/>
      </c>
      <c r="Y4844" s="12">
        <f>IF(OR(LEFT(K4844,4)="LVAX",LEFT(K4844,6)="MV15AX",LEFT(K4844,4)="CTAX",LEFT(K4844,2)="W|"),2*N4844*O4844,0)</f>
        <v/>
      </c>
      <c r="Z4844" s="12" t="inlineStr"/>
      <c r="AA4844" s="12">
        <f>N4844*O4844</f>
        <v/>
      </c>
    </row>
    <row r="4845">
      <c r="A4845" s="12" t="inlineStr">
        <is>
          <t>I-I-0487</t>
        </is>
      </c>
      <c r="B4845" s="12" t="inlineStr">
        <is>
          <t>I</t>
        </is>
      </c>
      <c r="C4845" s="12" t="inlineStr">
        <is>
          <t>Modular / portable power</t>
        </is>
      </c>
      <c r="D4845" s="12" t="inlineStr">
        <is>
          <t>Thermocouple to TC JB JB-SC-2-TC01: 20 x 1 pr (field cables)</t>
        </is>
      </c>
      <c r="E4845" s="12" t="inlineStr">
        <is>
          <t>SC-2</t>
        </is>
      </c>
      <c r="F4845" s="12" t="inlineStr">
        <is>
          <t>SC-2: aeroderivative simple-cycle unit (LM6000 class)</t>
        </is>
      </c>
      <c r="G4845" s="12" t="inlineStr">
        <is>
          <t>JB-SC-2-TC01</t>
        </is>
      </c>
      <c r="H4845" s="12" t="inlineStr">
        <is>
          <t>SC-2: aeroderivative simple-cycle unit (LM6000 class)</t>
        </is>
      </c>
      <c r="I4845" s="12" t="inlineStr">
        <is>
          <t>Instrumentation</t>
        </is>
      </c>
      <c r="J4845" s="12" t="inlineStr">
        <is>
          <t>Thermocouple extension KX, #16 shielded pairs, PLTC</t>
        </is>
      </c>
      <c r="K4845" s="12" t="inlineStr">
        <is>
          <t>TCX|1 pr|16</t>
        </is>
      </c>
      <c r="L4845" s="12" t="inlineStr">
        <is>
          <t>1 pr</t>
        </is>
      </c>
      <c r="M4845" s="12" t="inlineStr">
        <is>
          <t>16</t>
        </is>
      </c>
      <c r="N4845" s="12" t="n">
        <v>20</v>
      </c>
      <c r="O4845" s="12" t="n">
        <v>1</v>
      </c>
      <c r="P4845" s="12" t="n"/>
      <c r="Q4845" s="12" t="n"/>
      <c r="R4845" s="12" t="n"/>
      <c r="S4845" s="12" t="inlineStr">
        <is>
          <t>Tray / conduit</t>
        </is>
      </c>
      <c r="T4845" s="16" t="n">
        <v>99</v>
      </c>
      <c r="U4845" s="16" t="n">
        <v>10</v>
      </c>
      <c r="V4845" s="16">
        <f>ROUNDUP((T4845+U4845+2*'Read Me'!$B$13)*(1+'Read Me'!$B$12),-1)</f>
        <v/>
      </c>
      <c r="W4845" s="16">
        <f>V4845*N4845*O4845</f>
        <v/>
      </c>
      <c r="X4845" s="12">
        <f>IF(LEFT(I4845,2)="MV",2*N4845*IF(L4845="1/C",O4845,1),0)</f>
        <v/>
      </c>
      <c r="Y4845" s="12">
        <f>IF(OR(LEFT(K4845,4)="LVAX",LEFT(K4845,6)="MV15AX",LEFT(K4845,4)="CTAX",LEFT(K4845,2)="W|"),2*N4845*O4845,0)</f>
        <v/>
      </c>
      <c r="Z4845" s="12" t="inlineStr">
        <is>
          <t>device-to-JB field wiring, one cable per device</t>
        </is>
      </c>
      <c r="AA4845" s="12">
        <f>N4845*O4845</f>
        <v/>
      </c>
    </row>
    <row r="4846">
      <c r="A4846" s="12" t="inlineStr">
        <is>
          <t>I-I-0488</t>
        </is>
      </c>
      <c r="B4846" s="12" t="inlineStr">
        <is>
          <t>I</t>
        </is>
      </c>
      <c r="C4846" s="12" t="inlineStr">
        <is>
          <t>Modular / portable power</t>
        </is>
      </c>
      <c r="D4846" s="12" t="inlineStr">
        <is>
          <t>Home run JB-SC-2-TC01 to the control / marshalling room</t>
        </is>
      </c>
      <c r="E4846" s="12" t="inlineStr"/>
      <c r="F4846" s="12" t="inlineStr">
        <is>
          <t>PCM: power control module</t>
        </is>
      </c>
      <c r="G4846" s="12" t="inlineStr">
        <is>
          <t>JB-SC-2-TC01</t>
        </is>
      </c>
      <c r="H4846" s="12" t="inlineStr">
        <is>
          <t>SC-2: aeroderivative simple-cycle unit (LM6000 class)</t>
        </is>
      </c>
      <c r="I4846" s="12" t="inlineStr">
        <is>
          <t>Instrumentation</t>
        </is>
      </c>
      <c r="J4846" s="12" t="inlineStr">
        <is>
          <t>Thermocouple extension KX, #16 shielded pairs, PLTC</t>
        </is>
      </c>
      <c r="K4846" s="12" t="inlineStr">
        <is>
          <t>TCX|24 pr|16</t>
        </is>
      </c>
      <c r="L4846" s="12" t="inlineStr">
        <is>
          <t>24 pr</t>
        </is>
      </c>
      <c r="M4846" s="12" t="inlineStr">
        <is>
          <t>16</t>
        </is>
      </c>
      <c r="N4846" s="12" t="n">
        <v>1</v>
      </c>
      <c r="O4846" s="12" t="n">
        <v>1</v>
      </c>
      <c r="P4846" s="12" t="n"/>
      <c r="Q4846" s="12" t="n"/>
      <c r="R4846" s="12" t="n"/>
      <c r="S4846" s="12" t="inlineStr">
        <is>
          <t>HV duct bank</t>
        </is>
      </c>
      <c r="T4846" s="16" t="n">
        <v>4478</v>
      </c>
      <c r="U4846" s="16" t="n">
        <v>38</v>
      </c>
      <c r="V4846" s="16">
        <f>ROUNDUP((T4846+U4846+2*'Read Me'!$B$13)*(1+'Read Me'!$B$12),-1)</f>
        <v/>
      </c>
      <c r="W4846" s="16">
        <f>V4846*N4846*O4846</f>
        <v/>
      </c>
      <c r="X4846" s="12">
        <f>IF(LEFT(I4846,2)="MV",2*N4846*IF(L4846="1/C",O4846,1),0)</f>
        <v/>
      </c>
      <c r="Y4846" s="12">
        <f>IF(OR(LEFT(K4846,4)="LVAX",LEFT(K4846,6)="MV15AX",LEFT(K4846,4)="CTAX",LEFT(K4846,2)="W|"),2*N4846*O4846,0)</f>
        <v/>
      </c>
      <c r="Z4846" s="12" t="inlineStr"/>
      <c r="AA4846" s="12">
        <f>N4846*O4846</f>
        <v/>
      </c>
    </row>
    <row r="4847">
      <c r="A4847" s="12" t="inlineStr">
        <is>
          <t>I-I-0489</t>
        </is>
      </c>
      <c r="B4847" s="12" t="inlineStr">
        <is>
          <t>I</t>
        </is>
      </c>
      <c r="C4847" s="12" t="inlineStr">
        <is>
          <t>Modular / portable power</t>
        </is>
      </c>
      <c r="D4847" s="12" t="inlineStr">
        <is>
          <t>Thermocouple to TC JB JB-SC-2-TC02: 20 x 1 pr (field cables)</t>
        </is>
      </c>
      <c r="E4847" s="12" t="inlineStr">
        <is>
          <t>SC-2</t>
        </is>
      </c>
      <c r="F4847" s="12" t="inlineStr">
        <is>
          <t>SC-2: aeroderivative simple-cycle unit (LM6000 class)</t>
        </is>
      </c>
      <c r="G4847" s="12" t="inlineStr">
        <is>
          <t>JB-SC-2-TC02</t>
        </is>
      </c>
      <c r="H4847" s="12" t="inlineStr">
        <is>
          <t>SC-2: aeroderivative simple-cycle unit (LM6000 class)</t>
        </is>
      </c>
      <c r="I4847" s="12" t="inlineStr">
        <is>
          <t>Instrumentation</t>
        </is>
      </c>
      <c r="J4847" s="12" t="inlineStr">
        <is>
          <t>Thermocouple extension KX, #16 shielded pairs, PLTC</t>
        </is>
      </c>
      <c r="K4847" s="12" t="inlineStr">
        <is>
          <t>TCX|1 pr|16</t>
        </is>
      </c>
      <c r="L4847" s="12" t="inlineStr">
        <is>
          <t>1 pr</t>
        </is>
      </c>
      <c r="M4847" s="12" t="inlineStr">
        <is>
          <t>16</t>
        </is>
      </c>
      <c r="N4847" s="12" t="n">
        <v>20</v>
      </c>
      <c r="O4847" s="12" t="n">
        <v>1</v>
      </c>
      <c r="P4847" s="12" t="n"/>
      <c r="Q4847" s="12" t="n"/>
      <c r="R4847" s="12" t="n"/>
      <c r="S4847" s="12" t="inlineStr">
        <is>
          <t>Tray / conduit</t>
        </is>
      </c>
      <c r="T4847" s="16" t="n">
        <v>99</v>
      </c>
      <c r="U4847" s="16" t="n">
        <v>10</v>
      </c>
      <c r="V4847" s="16">
        <f>ROUNDUP((T4847+U4847+2*'Read Me'!$B$13)*(1+'Read Me'!$B$12),-1)</f>
        <v/>
      </c>
      <c r="W4847" s="16">
        <f>V4847*N4847*O4847</f>
        <v/>
      </c>
      <c r="X4847" s="12">
        <f>IF(LEFT(I4847,2)="MV",2*N4847*IF(L4847="1/C",O4847,1),0)</f>
        <v/>
      </c>
      <c r="Y4847" s="12">
        <f>IF(OR(LEFT(K4847,4)="LVAX",LEFT(K4847,6)="MV15AX",LEFT(K4847,4)="CTAX",LEFT(K4847,2)="W|"),2*N4847*O4847,0)</f>
        <v/>
      </c>
      <c r="Z4847" s="12" t="inlineStr">
        <is>
          <t>device-to-JB field wiring, one cable per device</t>
        </is>
      </c>
      <c r="AA4847" s="12">
        <f>N4847*O4847</f>
        <v/>
      </c>
    </row>
    <row r="4848">
      <c r="A4848" s="12" t="inlineStr">
        <is>
          <t>I-I-0490</t>
        </is>
      </c>
      <c r="B4848" s="12" t="inlineStr">
        <is>
          <t>I</t>
        </is>
      </c>
      <c r="C4848" s="12" t="inlineStr">
        <is>
          <t>Modular / portable power</t>
        </is>
      </c>
      <c r="D4848" s="12" t="inlineStr">
        <is>
          <t>Home run JB-SC-2-TC02 to the control / marshalling room</t>
        </is>
      </c>
      <c r="E4848" s="12" t="inlineStr"/>
      <c r="F4848" s="12" t="inlineStr">
        <is>
          <t>PCM: power control module</t>
        </is>
      </c>
      <c r="G4848" s="12" t="inlineStr">
        <is>
          <t>JB-SC-2-TC02</t>
        </is>
      </c>
      <c r="H4848" s="12" t="inlineStr">
        <is>
          <t>SC-2: aeroderivative simple-cycle unit (LM6000 class)</t>
        </is>
      </c>
      <c r="I4848" s="12" t="inlineStr">
        <is>
          <t>Instrumentation</t>
        </is>
      </c>
      <c r="J4848" s="12" t="inlineStr">
        <is>
          <t>Thermocouple extension KX, #16 shielded pairs, PLTC</t>
        </is>
      </c>
      <c r="K4848" s="12" t="inlineStr">
        <is>
          <t>TCX|24 pr|16</t>
        </is>
      </c>
      <c r="L4848" s="12" t="inlineStr">
        <is>
          <t>24 pr</t>
        </is>
      </c>
      <c r="M4848" s="12" t="inlineStr">
        <is>
          <t>16</t>
        </is>
      </c>
      <c r="N4848" s="12" t="n">
        <v>1</v>
      </c>
      <c r="O4848" s="12" t="n">
        <v>1</v>
      </c>
      <c r="P4848" s="12" t="n"/>
      <c r="Q4848" s="12" t="n"/>
      <c r="R4848" s="12" t="n"/>
      <c r="S4848" s="12" t="inlineStr">
        <is>
          <t>HV duct bank</t>
        </is>
      </c>
      <c r="T4848" s="16" t="n">
        <v>4478</v>
      </c>
      <c r="U4848" s="16" t="n">
        <v>38</v>
      </c>
      <c r="V4848" s="16">
        <f>ROUNDUP((T4848+U4848+2*'Read Me'!$B$13)*(1+'Read Me'!$B$12),-1)</f>
        <v/>
      </c>
      <c r="W4848" s="16">
        <f>V4848*N4848*O4848</f>
        <v/>
      </c>
      <c r="X4848" s="12">
        <f>IF(LEFT(I4848,2)="MV",2*N4848*IF(L4848="1/C",O4848,1),0)</f>
        <v/>
      </c>
      <c r="Y4848" s="12">
        <f>IF(OR(LEFT(K4848,4)="LVAX",LEFT(K4848,6)="MV15AX",LEFT(K4848,4)="CTAX",LEFT(K4848,2)="W|"),2*N4848*O4848,0)</f>
        <v/>
      </c>
      <c r="Z4848" s="12" t="inlineStr"/>
      <c r="AA4848" s="12">
        <f>N4848*O4848</f>
        <v/>
      </c>
    </row>
    <row r="4849">
      <c r="A4849" s="12" t="inlineStr">
        <is>
          <t>I-I-0491</t>
        </is>
      </c>
      <c r="B4849" s="12" t="inlineStr">
        <is>
          <t>I</t>
        </is>
      </c>
      <c r="C4849" s="12" t="inlineStr">
        <is>
          <t>Modular / portable power</t>
        </is>
      </c>
      <c r="D4849" s="12" t="inlineStr">
        <is>
          <t>Analog instrument to JB JB-T-MOD 230 kV take--AI01: 8 x 1 pr (field cables)</t>
        </is>
      </c>
      <c r="E4849" s="12" t="inlineStr"/>
      <c r="F4849" s="12" t="inlineStr">
        <is>
          <t>T-MOD 230 kV take-off gantry with arresters</t>
        </is>
      </c>
      <c r="G4849" s="12" t="inlineStr">
        <is>
          <t>JB-T-MOD 230 kV take--AI01</t>
        </is>
      </c>
      <c r="H4849" s="12" t="inlineStr">
        <is>
          <t>T-MOD 230 kV take-off gantry with arresters</t>
        </is>
      </c>
      <c r="I4849" s="12" t="inlineStr">
        <is>
          <t>Instrumentation</t>
        </is>
      </c>
      <c r="J4849" s="12" t="inlineStr">
        <is>
          <t>Instrumentation PLTC / TC-ER 300 V, #18 twisted shielded pairs, overall shield</t>
        </is>
      </c>
      <c r="K4849" s="12" t="inlineStr">
        <is>
          <t>PLTC|1 pr|16</t>
        </is>
      </c>
      <c r="L4849" s="12" t="inlineStr">
        <is>
          <t>1 pr</t>
        </is>
      </c>
      <c r="M4849" s="12" t="inlineStr">
        <is>
          <t>16</t>
        </is>
      </c>
      <c r="N4849" s="12" t="n">
        <v>8</v>
      </c>
      <c r="O4849" s="12" t="n">
        <v>1</v>
      </c>
      <c r="P4849" s="12" t="n"/>
      <c r="Q4849" s="12" t="n"/>
      <c r="R4849" s="12" t="n"/>
      <c r="S4849" s="12" t="inlineStr">
        <is>
          <t>Tray / conduit</t>
        </is>
      </c>
      <c r="T4849" s="16" t="n">
        <v>88</v>
      </c>
      <c r="U4849" s="16" t="n">
        <v>10</v>
      </c>
      <c r="V4849" s="16">
        <f>ROUNDUP((T4849+U4849+2*'Read Me'!$B$13)*(1+'Read Me'!$B$12),-1)</f>
        <v/>
      </c>
      <c r="W4849" s="16">
        <f>V4849*N4849*O4849</f>
        <v/>
      </c>
      <c r="X4849" s="12">
        <f>IF(LEFT(I4849,2)="MV",2*N4849*IF(L4849="1/C",O4849,1),0)</f>
        <v/>
      </c>
      <c r="Y4849" s="12">
        <f>IF(OR(LEFT(K4849,4)="LVAX",LEFT(K4849,6)="MV15AX",LEFT(K4849,4)="CTAX",LEFT(K4849,2)="W|"),2*N4849*O4849,0)</f>
        <v/>
      </c>
      <c r="Z4849" s="12" t="inlineStr">
        <is>
          <t>device-to-JB field wiring, one cable per device</t>
        </is>
      </c>
      <c r="AA4849" s="12">
        <f>N4849*O4849</f>
        <v/>
      </c>
    </row>
    <row r="4850">
      <c r="A4850" s="12" t="inlineStr">
        <is>
          <t>I-I-0492</t>
        </is>
      </c>
      <c r="B4850" s="12" t="inlineStr">
        <is>
          <t>I</t>
        </is>
      </c>
      <c r="C4850" s="12" t="inlineStr">
        <is>
          <t>Modular / portable power</t>
        </is>
      </c>
      <c r="D4850" s="12" t="inlineStr">
        <is>
          <t>Home run JB-T-MOD 230 kV take--AI01 to the control / marshalling room</t>
        </is>
      </c>
      <c r="E4850" s="12" t="inlineStr">
        <is>
          <t>PAD-EH</t>
        </is>
      </c>
      <c r="F4850" s="12" t="inlineStr">
        <is>
          <t>PAD-EH 13.8 kV switchgear e-house</t>
        </is>
      </c>
      <c r="G4850" s="12" t="inlineStr">
        <is>
          <t>JB-T-MOD 230 kV take--AI01</t>
        </is>
      </c>
      <c r="H4850" s="12" t="inlineStr">
        <is>
          <t>T-MOD 230 kV take-off gantry with arresters</t>
        </is>
      </c>
      <c r="I4850" s="12" t="inlineStr">
        <is>
          <t>Instrumentation</t>
        </is>
      </c>
      <c r="J4850" s="12" t="inlineStr">
        <is>
          <t>Instrumentation PLTC / TC-ER 300 V, #18 twisted shielded pairs, overall shield</t>
        </is>
      </c>
      <c r="K4850" s="12" t="inlineStr">
        <is>
          <t>PLTC|24 pr|18</t>
        </is>
      </c>
      <c r="L4850" s="12" t="inlineStr">
        <is>
          <t>24 pr</t>
        </is>
      </c>
      <c r="M4850" s="12" t="inlineStr">
        <is>
          <t>18</t>
        </is>
      </c>
      <c r="N4850" s="12" t="n">
        <v>1</v>
      </c>
      <c r="O4850" s="12" t="n">
        <v>1</v>
      </c>
      <c r="P4850" s="12" t="n"/>
      <c r="Q4850" s="12" t="n"/>
      <c r="R4850" s="12" t="n"/>
      <c r="S4850" s="12" t="inlineStr">
        <is>
          <t>HV duct bank</t>
        </is>
      </c>
      <c r="T4850" s="16" t="n">
        <v>2426</v>
      </c>
      <c r="U4850" s="16" t="n">
        <v>141</v>
      </c>
      <c r="V4850" s="16">
        <f>ROUNDUP((T4850+U4850+2*'Read Me'!$B$13)*(1+'Read Me'!$B$12),-1)</f>
        <v/>
      </c>
      <c r="W4850" s="16">
        <f>V4850*N4850*O4850</f>
        <v/>
      </c>
      <c r="X4850" s="12">
        <f>IF(LEFT(I4850,2)="MV",2*N4850*IF(L4850="1/C",O4850,1),0)</f>
        <v/>
      </c>
      <c r="Y4850" s="12">
        <f>IF(OR(LEFT(K4850,4)="LVAX",LEFT(K4850,6)="MV15AX",LEFT(K4850,4)="CTAX",LEFT(K4850,2)="W|"),2*N4850*O4850,0)</f>
        <v/>
      </c>
      <c r="Z4850" s="12" t="inlineStr"/>
      <c r="AA4850" s="12">
        <f>N4850*O4850</f>
        <v/>
      </c>
    </row>
    <row r="4851">
      <c r="A4851" s="12" t="inlineStr">
        <is>
          <t>I-I-0493</t>
        </is>
      </c>
      <c r="B4851" s="12" t="inlineStr">
        <is>
          <t>I</t>
        </is>
      </c>
      <c r="C4851" s="12" t="inlineStr">
        <is>
          <t>Modular / portable power</t>
        </is>
      </c>
      <c r="D4851" s="12" t="inlineStr">
        <is>
          <t>Discrete device to JB JB-T-MOD 230 kV take--DI01: 16 x 1 pr (field cables)</t>
        </is>
      </c>
      <c r="E4851" s="12" t="inlineStr"/>
      <c r="F4851" s="12" t="inlineStr">
        <is>
          <t>T-MOD 230 kV take-off gantry with arresters</t>
        </is>
      </c>
      <c r="G4851" s="12" t="inlineStr">
        <is>
          <t>JB-T-MOD 230 kV take--DI01</t>
        </is>
      </c>
      <c r="H4851" s="12" t="inlineStr">
        <is>
          <t>T-MOD 230 kV take-off gantry with arresters</t>
        </is>
      </c>
      <c r="I4851" s="12" t="inlineStr">
        <is>
          <t>Instrumentation</t>
        </is>
      </c>
      <c r="J4851" s="12" t="inlineStr">
        <is>
          <t>Instrumentation PLTC / TC-ER 300 V, #18 twisted shielded pairs, overall shield</t>
        </is>
      </c>
      <c r="K4851" s="12" t="inlineStr">
        <is>
          <t>PLTC|1 pr|16</t>
        </is>
      </c>
      <c r="L4851" s="12" t="inlineStr">
        <is>
          <t>1 pr</t>
        </is>
      </c>
      <c r="M4851" s="12" t="inlineStr">
        <is>
          <t>16</t>
        </is>
      </c>
      <c r="N4851" s="12" t="n">
        <v>16</v>
      </c>
      <c r="O4851" s="12" t="n">
        <v>1</v>
      </c>
      <c r="P4851" s="12" t="n"/>
      <c r="Q4851" s="12" t="n"/>
      <c r="R4851" s="12" t="n"/>
      <c r="S4851" s="12" t="inlineStr">
        <is>
          <t>Tray / conduit</t>
        </is>
      </c>
      <c r="T4851" s="16" t="n">
        <v>88</v>
      </c>
      <c r="U4851" s="16" t="n">
        <v>10</v>
      </c>
      <c r="V4851" s="16">
        <f>ROUNDUP((T4851+U4851+2*'Read Me'!$B$13)*(1+'Read Me'!$B$12),-1)</f>
        <v/>
      </c>
      <c r="W4851" s="16">
        <f>V4851*N4851*O4851</f>
        <v/>
      </c>
      <c r="X4851" s="12">
        <f>IF(LEFT(I4851,2)="MV",2*N4851*IF(L4851="1/C",O4851,1),0)</f>
        <v/>
      </c>
      <c r="Y4851" s="12">
        <f>IF(OR(LEFT(K4851,4)="LVAX",LEFT(K4851,6)="MV15AX",LEFT(K4851,4)="CTAX",LEFT(K4851,2)="W|"),2*N4851*O4851,0)</f>
        <v/>
      </c>
      <c r="Z4851" s="12" t="inlineStr">
        <is>
          <t>device-to-JB field wiring, one cable per device</t>
        </is>
      </c>
      <c r="AA4851" s="12">
        <f>N4851*O4851</f>
        <v/>
      </c>
    </row>
    <row r="4852">
      <c r="A4852" s="12" t="inlineStr">
        <is>
          <t>I-I-0494</t>
        </is>
      </c>
      <c r="B4852" s="12" t="inlineStr">
        <is>
          <t>I</t>
        </is>
      </c>
      <c r="C4852" s="12" t="inlineStr">
        <is>
          <t>Modular / portable power</t>
        </is>
      </c>
      <c r="D4852" s="12" t="inlineStr">
        <is>
          <t>Home run JB-T-MOD 230 kV take--DI01 to the control / marshalling room</t>
        </is>
      </c>
      <c r="E4852" s="12" t="inlineStr">
        <is>
          <t>PAD-EH</t>
        </is>
      </c>
      <c r="F4852" s="12" t="inlineStr">
        <is>
          <t>PAD-EH 13.8 kV switchgear e-house</t>
        </is>
      </c>
      <c r="G4852" s="12" t="inlineStr">
        <is>
          <t>JB-T-MOD 230 kV take--DI01</t>
        </is>
      </c>
      <c r="H4852" s="12" t="inlineStr">
        <is>
          <t>T-MOD 230 kV take-off gantry with arresters</t>
        </is>
      </c>
      <c r="I4852" s="12" t="inlineStr">
        <is>
          <t>Instrumentation</t>
        </is>
      </c>
      <c r="J4852" s="12" t="inlineStr">
        <is>
          <t>Instrumentation PLTC / TC-ER 300 V, #18 twisted shielded pairs, overall shield</t>
        </is>
      </c>
      <c r="K4852" s="12" t="inlineStr">
        <is>
          <t>PLTC|24 pr|18</t>
        </is>
      </c>
      <c r="L4852" s="12" t="inlineStr">
        <is>
          <t>24 pr</t>
        </is>
      </c>
      <c r="M4852" s="12" t="inlineStr">
        <is>
          <t>18</t>
        </is>
      </c>
      <c r="N4852" s="12" t="n">
        <v>1</v>
      </c>
      <c r="O4852" s="12" t="n">
        <v>1</v>
      </c>
      <c r="P4852" s="12" t="n"/>
      <c r="Q4852" s="12" t="n"/>
      <c r="R4852" s="12" t="n"/>
      <c r="S4852" s="12" t="inlineStr">
        <is>
          <t>HV duct bank</t>
        </is>
      </c>
      <c r="T4852" s="16" t="n">
        <v>2426</v>
      </c>
      <c r="U4852" s="16" t="n">
        <v>141</v>
      </c>
      <c r="V4852" s="16">
        <f>ROUNDUP((T4852+U4852+2*'Read Me'!$B$13)*(1+'Read Me'!$B$12),-1)</f>
        <v/>
      </c>
      <c r="W4852" s="16">
        <f>V4852*N4852*O4852</f>
        <v/>
      </c>
      <c r="X4852" s="12">
        <f>IF(LEFT(I4852,2)="MV",2*N4852*IF(L4852="1/C",O4852,1),0)</f>
        <v/>
      </c>
      <c r="Y4852" s="12">
        <f>IF(OR(LEFT(K4852,4)="LVAX",LEFT(K4852,6)="MV15AX",LEFT(K4852,4)="CTAX",LEFT(K4852,2)="W|"),2*N4852*O4852,0)</f>
        <v/>
      </c>
      <c r="Z4852" s="12" t="inlineStr"/>
      <c r="AA4852" s="12">
        <f>N4852*O4852</f>
        <v/>
      </c>
    </row>
    <row r="4853">
      <c r="A4853" s="12" t="inlineStr">
        <is>
          <t>I-I-0495</t>
        </is>
      </c>
      <c r="B4853" s="12" t="inlineStr">
        <is>
          <t>I</t>
        </is>
      </c>
      <c r="C4853" s="12" t="inlineStr">
        <is>
          <t>Modular / portable power</t>
        </is>
      </c>
      <c r="D4853" s="12" t="inlineStr">
        <is>
          <t>Analog instrument to JB JB-T-MOD-1 / T-MOD-2 -AI01: 8 x 1 pr (field cables)</t>
        </is>
      </c>
      <c r="E4853" s="12" t="inlineStr"/>
      <c r="F4853" s="12" t="inlineStr">
        <is>
          <t>T-MOD-1 / T-MOD-2 firewall</t>
        </is>
      </c>
      <c r="G4853" s="12" t="inlineStr">
        <is>
          <t>JB-T-MOD-1 / T-MOD-2 -AI01</t>
        </is>
      </c>
      <c r="H4853" s="12" t="inlineStr">
        <is>
          <t>T-MOD-1 / T-MOD-2 firewall</t>
        </is>
      </c>
      <c r="I4853" s="12" t="inlineStr">
        <is>
          <t>Instrumentation</t>
        </is>
      </c>
      <c r="J4853" s="12" t="inlineStr">
        <is>
          <t>Instrumentation PLTC / TC-ER 300 V, #18 twisted shielded pairs, overall shield</t>
        </is>
      </c>
      <c r="K4853" s="12" t="inlineStr">
        <is>
          <t>PLTC|1 pr|16</t>
        </is>
      </c>
      <c r="L4853" s="12" t="inlineStr">
        <is>
          <t>1 pr</t>
        </is>
      </c>
      <c r="M4853" s="12" t="inlineStr">
        <is>
          <t>16</t>
        </is>
      </c>
      <c r="N4853" s="12" t="n">
        <v>8</v>
      </c>
      <c r="O4853" s="12" t="n">
        <v>1</v>
      </c>
      <c r="P4853" s="12" t="n"/>
      <c r="Q4853" s="12" t="n"/>
      <c r="R4853" s="12" t="n"/>
      <c r="S4853" s="12" t="inlineStr">
        <is>
          <t>Tray / conduit</t>
        </is>
      </c>
      <c r="T4853" s="16" t="n">
        <v>64</v>
      </c>
      <c r="U4853" s="16" t="n">
        <v>10</v>
      </c>
      <c r="V4853" s="16">
        <f>ROUNDUP((T4853+U4853+2*'Read Me'!$B$13)*(1+'Read Me'!$B$12),-1)</f>
        <v/>
      </c>
      <c r="W4853" s="16">
        <f>V4853*N4853*O4853</f>
        <v/>
      </c>
      <c r="X4853" s="12">
        <f>IF(LEFT(I4853,2)="MV",2*N4853*IF(L4853="1/C",O4853,1),0)</f>
        <v/>
      </c>
      <c r="Y4853" s="12">
        <f>IF(OR(LEFT(K4853,4)="LVAX",LEFT(K4853,6)="MV15AX",LEFT(K4853,4)="CTAX",LEFT(K4853,2)="W|"),2*N4853*O4853,0)</f>
        <v/>
      </c>
      <c r="Z4853" s="12" t="inlineStr">
        <is>
          <t>device-to-JB field wiring, one cable per device</t>
        </is>
      </c>
      <c r="AA4853" s="12">
        <f>N4853*O4853</f>
        <v/>
      </c>
    </row>
    <row r="4854">
      <c r="A4854" s="12" t="inlineStr">
        <is>
          <t>I-I-0496</t>
        </is>
      </c>
      <c r="B4854" s="12" t="inlineStr">
        <is>
          <t>I</t>
        </is>
      </c>
      <c r="C4854" s="12" t="inlineStr">
        <is>
          <t>Modular / portable power</t>
        </is>
      </c>
      <c r="D4854" s="12" t="inlineStr">
        <is>
          <t>Home run JB-T-MOD-1 / T-MOD-2 -AI01 to the control / marshalling room</t>
        </is>
      </c>
      <c r="E4854" s="12" t="inlineStr"/>
      <c r="F4854" s="12" t="inlineStr">
        <is>
          <t>PCM: power control module</t>
        </is>
      </c>
      <c r="G4854" s="12" t="inlineStr">
        <is>
          <t>JB-T-MOD-1 / T-MOD-2 -AI01</t>
        </is>
      </c>
      <c r="H4854" s="12" t="inlineStr">
        <is>
          <t>T-MOD-1 / T-MOD-2 firewall</t>
        </is>
      </c>
      <c r="I4854" s="12" t="inlineStr">
        <is>
          <t>Instrumentation</t>
        </is>
      </c>
      <c r="J4854" s="12" t="inlineStr">
        <is>
          <t>Instrumentation PLTC / TC-ER 300 V, #18 twisted shielded pairs, overall shield</t>
        </is>
      </c>
      <c r="K4854" s="12" t="inlineStr">
        <is>
          <t>PLTC|24 pr|18</t>
        </is>
      </c>
      <c r="L4854" s="12" t="inlineStr">
        <is>
          <t>24 pr</t>
        </is>
      </c>
      <c r="M4854" s="12" t="inlineStr">
        <is>
          <t>18</t>
        </is>
      </c>
      <c r="N4854" s="12" t="n">
        <v>1</v>
      </c>
      <c r="O4854" s="12" t="n">
        <v>1</v>
      </c>
      <c r="P4854" s="12" t="n"/>
      <c r="Q4854" s="12" t="n"/>
      <c r="R4854" s="12" t="n"/>
      <c r="S4854" s="12" t="inlineStr">
        <is>
          <t>Duct bank</t>
        </is>
      </c>
      <c r="T4854" s="16" t="n">
        <v>415</v>
      </c>
      <c r="U4854" s="16" t="n">
        <v>130</v>
      </c>
      <c r="V4854" s="16">
        <f>ROUNDUP((T4854+U4854+2*'Read Me'!$B$13)*(1+'Read Me'!$B$12),-1)</f>
        <v/>
      </c>
      <c r="W4854" s="16">
        <f>V4854*N4854*O4854</f>
        <v/>
      </c>
      <c r="X4854" s="12">
        <f>IF(LEFT(I4854,2)="MV",2*N4854*IF(L4854="1/C",O4854,1),0)</f>
        <v/>
      </c>
      <c r="Y4854" s="12">
        <f>IF(OR(LEFT(K4854,4)="LVAX",LEFT(K4854,6)="MV15AX",LEFT(K4854,4)="CTAX",LEFT(K4854,2)="W|"),2*N4854*O4854,0)</f>
        <v/>
      </c>
      <c r="Z4854" s="12" t="inlineStr"/>
      <c r="AA4854" s="12">
        <f>N4854*O4854</f>
        <v/>
      </c>
    </row>
    <row r="4855">
      <c r="A4855" s="12" t="inlineStr">
        <is>
          <t>I-I-0497</t>
        </is>
      </c>
      <c r="B4855" s="12" t="inlineStr">
        <is>
          <t>I</t>
        </is>
      </c>
      <c r="C4855" s="12" t="inlineStr">
        <is>
          <t>Modular / portable power</t>
        </is>
      </c>
      <c r="D4855" s="12" t="inlineStr">
        <is>
          <t>Discrete device to JB JB-T-MOD-1 / T-MOD-2 -DI01: 16 x 1 pr (field cables)</t>
        </is>
      </c>
      <c r="E4855" s="12" t="inlineStr"/>
      <c r="F4855" s="12" t="inlineStr">
        <is>
          <t>T-MOD-1 / T-MOD-2 firewall</t>
        </is>
      </c>
      <c r="G4855" s="12" t="inlineStr">
        <is>
          <t>JB-T-MOD-1 / T-MOD-2 -DI01</t>
        </is>
      </c>
      <c r="H4855" s="12" t="inlineStr">
        <is>
          <t>T-MOD-1 / T-MOD-2 firewall</t>
        </is>
      </c>
      <c r="I4855" s="12" t="inlineStr">
        <is>
          <t>Instrumentation</t>
        </is>
      </c>
      <c r="J4855" s="12" t="inlineStr">
        <is>
          <t>Instrumentation PLTC / TC-ER 300 V, #18 twisted shielded pairs, overall shield</t>
        </is>
      </c>
      <c r="K4855" s="12" t="inlineStr">
        <is>
          <t>PLTC|1 pr|16</t>
        </is>
      </c>
      <c r="L4855" s="12" t="inlineStr">
        <is>
          <t>1 pr</t>
        </is>
      </c>
      <c r="M4855" s="12" t="inlineStr">
        <is>
          <t>16</t>
        </is>
      </c>
      <c r="N4855" s="12" t="n">
        <v>16</v>
      </c>
      <c r="O4855" s="12" t="n">
        <v>1</v>
      </c>
      <c r="P4855" s="12" t="n"/>
      <c r="Q4855" s="12" t="n"/>
      <c r="R4855" s="12" t="n"/>
      <c r="S4855" s="12" t="inlineStr">
        <is>
          <t>Tray / conduit</t>
        </is>
      </c>
      <c r="T4855" s="16" t="n">
        <v>64</v>
      </c>
      <c r="U4855" s="16" t="n">
        <v>10</v>
      </c>
      <c r="V4855" s="16">
        <f>ROUNDUP((T4855+U4855+2*'Read Me'!$B$13)*(1+'Read Me'!$B$12),-1)</f>
        <v/>
      </c>
      <c r="W4855" s="16">
        <f>V4855*N4855*O4855</f>
        <v/>
      </c>
      <c r="X4855" s="12">
        <f>IF(LEFT(I4855,2)="MV",2*N4855*IF(L4855="1/C",O4855,1),0)</f>
        <v/>
      </c>
      <c r="Y4855" s="12">
        <f>IF(OR(LEFT(K4855,4)="LVAX",LEFT(K4855,6)="MV15AX",LEFT(K4855,4)="CTAX",LEFT(K4855,2)="W|"),2*N4855*O4855,0)</f>
        <v/>
      </c>
      <c r="Z4855" s="12" t="inlineStr">
        <is>
          <t>device-to-JB field wiring, one cable per device</t>
        </is>
      </c>
      <c r="AA4855" s="12">
        <f>N4855*O4855</f>
        <v/>
      </c>
    </row>
    <row r="4856">
      <c r="A4856" s="12" t="inlineStr">
        <is>
          <t>I-I-0498</t>
        </is>
      </c>
      <c r="B4856" s="12" t="inlineStr">
        <is>
          <t>I</t>
        </is>
      </c>
      <c r="C4856" s="12" t="inlineStr">
        <is>
          <t>Modular / portable power</t>
        </is>
      </c>
      <c r="D4856" s="12" t="inlineStr">
        <is>
          <t>Home run JB-T-MOD-1 / T-MOD-2 -DI01 to the control / marshalling room</t>
        </is>
      </c>
      <c r="E4856" s="12" t="inlineStr"/>
      <c r="F4856" s="12" t="inlineStr">
        <is>
          <t>PCM: power control module</t>
        </is>
      </c>
      <c r="G4856" s="12" t="inlineStr">
        <is>
          <t>JB-T-MOD-1 / T-MOD-2 -DI01</t>
        </is>
      </c>
      <c r="H4856" s="12" t="inlineStr">
        <is>
          <t>T-MOD-1 / T-MOD-2 firewall</t>
        </is>
      </c>
      <c r="I4856" s="12" t="inlineStr">
        <is>
          <t>Instrumentation</t>
        </is>
      </c>
      <c r="J4856" s="12" t="inlineStr">
        <is>
          <t>Instrumentation PLTC / TC-ER 300 V, #18 twisted shielded pairs, overall shield</t>
        </is>
      </c>
      <c r="K4856" s="12" t="inlineStr">
        <is>
          <t>PLTC|24 pr|18</t>
        </is>
      </c>
      <c r="L4856" s="12" t="inlineStr">
        <is>
          <t>24 pr</t>
        </is>
      </c>
      <c r="M4856" s="12" t="inlineStr">
        <is>
          <t>18</t>
        </is>
      </c>
      <c r="N4856" s="12" t="n">
        <v>1</v>
      </c>
      <c r="O4856" s="12" t="n">
        <v>1</v>
      </c>
      <c r="P4856" s="12" t="n"/>
      <c r="Q4856" s="12" t="n"/>
      <c r="R4856" s="12" t="n"/>
      <c r="S4856" s="12" t="inlineStr">
        <is>
          <t>Duct bank</t>
        </is>
      </c>
      <c r="T4856" s="16" t="n">
        <v>415</v>
      </c>
      <c r="U4856" s="16" t="n">
        <v>130</v>
      </c>
      <c r="V4856" s="16">
        <f>ROUNDUP((T4856+U4856+2*'Read Me'!$B$13)*(1+'Read Me'!$B$12),-1)</f>
        <v/>
      </c>
      <c r="W4856" s="16">
        <f>V4856*N4856*O4856</f>
        <v/>
      </c>
      <c r="X4856" s="12">
        <f>IF(LEFT(I4856,2)="MV",2*N4856*IF(L4856="1/C",O4856,1),0)</f>
        <v/>
      </c>
      <c r="Y4856" s="12">
        <f>IF(OR(LEFT(K4856,4)="LVAX",LEFT(K4856,6)="MV15AX",LEFT(K4856,4)="CTAX",LEFT(K4856,2)="W|"),2*N4856*O4856,0)</f>
        <v/>
      </c>
      <c r="Z4856" s="12" t="inlineStr"/>
      <c r="AA4856" s="12">
        <f>N4856*O4856</f>
        <v/>
      </c>
    </row>
    <row r="4857">
      <c r="A4857" s="12" t="inlineStr">
        <is>
          <t>I-I-0499</t>
        </is>
      </c>
      <c r="B4857" s="12" t="inlineStr">
        <is>
          <t>I</t>
        </is>
      </c>
      <c r="C4857" s="12" t="inlineStr">
        <is>
          <t>Modular / portable power</t>
        </is>
      </c>
      <c r="D4857" s="12" t="inlineStr">
        <is>
          <t>Analog instrument to JB JB-T-MOD-1-AI01: 8 x 1 pr (field cables)</t>
        </is>
      </c>
      <c r="E4857" s="12" t="inlineStr">
        <is>
          <t>T-MOD-1</t>
        </is>
      </c>
      <c r="F4857" s="12" t="inlineStr">
        <is>
          <t>T-MOD-1: 13.8/230 kV</t>
        </is>
      </c>
      <c r="G4857" s="12" t="inlineStr">
        <is>
          <t>JB-T-MOD-1-AI01</t>
        </is>
      </c>
      <c r="H4857" s="12" t="inlineStr">
        <is>
          <t>T-MOD-1: 13.8/230 kV</t>
        </is>
      </c>
      <c r="I4857" s="12" t="inlineStr">
        <is>
          <t>Instrumentation</t>
        </is>
      </c>
      <c r="J4857" s="12" t="inlineStr">
        <is>
          <t>Instrumentation PLTC / TC-ER 300 V, #18 twisted shielded pairs, overall shield</t>
        </is>
      </c>
      <c r="K4857" s="12" t="inlineStr">
        <is>
          <t>PLTC|1 pr|16</t>
        </is>
      </c>
      <c r="L4857" s="12" t="inlineStr">
        <is>
          <t>1 pr</t>
        </is>
      </c>
      <c r="M4857" s="12" t="inlineStr">
        <is>
          <t>16</t>
        </is>
      </c>
      <c r="N4857" s="12" t="n">
        <v>8</v>
      </c>
      <c r="O4857" s="12" t="n">
        <v>1</v>
      </c>
      <c r="P4857" s="12" t="n"/>
      <c r="Q4857" s="12" t="n"/>
      <c r="R4857" s="12" t="n"/>
      <c r="S4857" s="12" t="inlineStr">
        <is>
          <t>Tray / conduit</t>
        </is>
      </c>
      <c r="T4857" s="16" t="n">
        <v>77</v>
      </c>
      <c r="U4857" s="16" t="n">
        <v>10</v>
      </c>
      <c r="V4857" s="16">
        <f>ROUNDUP((T4857+U4857+2*'Read Me'!$B$13)*(1+'Read Me'!$B$12),-1)</f>
        <v/>
      </c>
      <c r="W4857" s="16">
        <f>V4857*N4857*O4857</f>
        <v/>
      </c>
      <c r="X4857" s="12">
        <f>IF(LEFT(I4857,2)="MV",2*N4857*IF(L4857="1/C",O4857,1),0)</f>
        <v/>
      </c>
      <c r="Y4857" s="12">
        <f>IF(OR(LEFT(K4857,4)="LVAX",LEFT(K4857,6)="MV15AX",LEFT(K4857,4)="CTAX",LEFT(K4857,2)="W|"),2*N4857*O4857,0)</f>
        <v/>
      </c>
      <c r="Z4857" s="12" t="inlineStr">
        <is>
          <t>device-to-JB field wiring, one cable per device</t>
        </is>
      </c>
      <c r="AA4857" s="12">
        <f>N4857*O4857</f>
        <v/>
      </c>
    </row>
    <row r="4858">
      <c r="A4858" s="12" t="inlineStr">
        <is>
          <t>I-I-0500</t>
        </is>
      </c>
      <c r="B4858" s="12" t="inlineStr">
        <is>
          <t>I</t>
        </is>
      </c>
      <c r="C4858" s="12" t="inlineStr">
        <is>
          <t>Modular / portable power</t>
        </is>
      </c>
      <c r="D4858" s="12" t="inlineStr">
        <is>
          <t>Home run JB-T-MOD-1-AI01 to the control / marshalling room</t>
        </is>
      </c>
      <c r="E4858" s="12" t="inlineStr"/>
      <c r="F4858" s="12" t="inlineStr">
        <is>
          <t>PCM: power control module</t>
        </is>
      </c>
      <c r="G4858" s="12" t="inlineStr">
        <is>
          <t>JB-T-MOD-1-AI01</t>
        </is>
      </c>
      <c r="H4858" s="12" t="inlineStr">
        <is>
          <t>T-MOD-1: 13.8/230 kV</t>
        </is>
      </c>
      <c r="I4858" s="12" t="inlineStr">
        <is>
          <t>Instrumentation</t>
        </is>
      </c>
      <c r="J4858" s="12" t="inlineStr">
        <is>
          <t>Instrumentation PLTC / TC-ER 300 V, #18 twisted shielded pairs, overall shield</t>
        </is>
      </c>
      <c r="K4858" s="12" t="inlineStr">
        <is>
          <t>PLTC|24 pr|18</t>
        </is>
      </c>
      <c r="L4858" s="12" t="inlineStr">
        <is>
          <t>24 pr</t>
        </is>
      </c>
      <c r="M4858" s="12" t="inlineStr">
        <is>
          <t>18</t>
        </is>
      </c>
      <c r="N4858" s="12" t="n">
        <v>1</v>
      </c>
      <c r="O4858" s="12" t="n">
        <v>1</v>
      </c>
      <c r="P4858" s="12" t="n"/>
      <c r="Q4858" s="12" t="n"/>
      <c r="R4858" s="12" t="n"/>
      <c r="S4858" s="12" t="inlineStr">
        <is>
          <t>Duct bank</t>
        </is>
      </c>
      <c r="T4858" s="16" t="n">
        <v>415</v>
      </c>
      <c r="U4858" s="16" t="n">
        <v>82</v>
      </c>
      <c r="V4858" s="16">
        <f>ROUNDUP((T4858+U4858+2*'Read Me'!$B$13)*(1+'Read Me'!$B$12),-1)</f>
        <v/>
      </c>
      <c r="W4858" s="16">
        <f>V4858*N4858*O4858</f>
        <v/>
      </c>
      <c r="X4858" s="12">
        <f>IF(LEFT(I4858,2)="MV",2*N4858*IF(L4858="1/C",O4858,1),0)</f>
        <v/>
      </c>
      <c r="Y4858" s="12">
        <f>IF(OR(LEFT(K4858,4)="LVAX",LEFT(K4858,6)="MV15AX",LEFT(K4858,4)="CTAX",LEFT(K4858,2)="W|"),2*N4858*O4858,0)</f>
        <v/>
      </c>
      <c r="Z4858" s="12" t="inlineStr"/>
      <c r="AA4858" s="12">
        <f>N4858*O4858</f>
        <v/>
      </c>
    </row>
    <row r="4859">
      <c r="A4859" s="12" t="inlineStr">
        <is>
          <t>I-I-0501</t>
        </is>
      </c>
      <c r="B4859" s="12" t="inlineStr">
        <is>
          <t>I</t>
        </is>
      </c>
      <c r="C4859" s="12" t="inlineStr">
        <is>
          <t>Modular / portable power</t>
        </is>
      </c>
      <c r="D4859" s="12" t="inlineStr">
        <is>
          <t>Discrete device to JB JB-T-MOD-1-DI01: 16 x 1 pr (field cables)</t>
        </is>
      </c>
      <c r="E4859" s="12" t="inlineStr">
        <is>
          <t>T-MOD-1</t>
        </is>
      </c>
      <c r="F4859" s="12" t="inlineStr">
        <is>
          <t>T-MOD-1: 13.8/230 kV</t>
        </is>
      </c>
      <c r="G4859" s="12" t="inlineStr">
        <is>
          <t>JB-T-MOD-1-DI01</t>
        </is>
      </c>
      <c r="H4859" s="12" t="inlineStr">
        <is>
          <t>T-MOD-1: 13.8/230 kV</t>
        </is>
      </c>
      <c r="I4859" s="12" t="inlineStr">
        <is>
          <t>Instrumentation</t>
        </is>
      </c>
      <c r="J4859" s="12" t="inlineStr">
        <is>
          <t>Instrumentation PLTC / TC-ER 300 V, #18 twisted shielded pairs, overall shield</t>
        </is>
      </c>
      <c r="K4859" s="12" t="inlineStr">
        <is>
          <t>PLTC|1 pr|16</t>
        </is>
      </c>
      <c r="L4859" s="12" t="inlineStr">
        <is>
          <t>1 pr</t>
        </is>
      </c>
      <c r="M4859" s="12" t="inlineStr">
        <is>
          <t>16</t>
        </is>
      </c>
      <c r="N4859" s="12" t="n">
        <v>16</v>
      </c>
      <c r="O4859" s="12" t="n">
        <v>1</v>
      </c>
      <c r="P4859" s="12" t="n"/>
      <c r="Q4859" s="12" t="n"/>
      <c r="R4859" s="12" t="n"/>
      <c r="S4859" s="12" t="inlineStr">
        <is>
          <t>Tray / conduit</t>
        </is>
      </c>
      <c r="T4859" s="16" t="n">
        <v>77</v>
      </c>
      <c r="U4859" s="16" t="n">
        <v>10</v>
      </c>
      <c r="V4859" s="16">
        <f>ROUNDUP((T4859+U4859+2*'Read Me'!$B$13)*(1+'Read Me'!$B$12),-1)</f>
        <v/>
      </c>
      <c r="W4859" s="16">
        <f>V4859*N4859*O4859</f>
        <v/>
      </c>
      <c r="X4859" s="12">
        <f>IF(LEFT(I4859,2)="MV",2*N4859*IF(L4859="1/C",O4859,1),0)</f>
        <v/>
      </c>
      <c r="Y4859" s="12">
        <f>IF(OR(LEFT(K4859,4)="LVAX",LEFT(K4859,6)="MV15AX",LEFT(K4859,4)="CTAX",LEFT(K4859,2)="W|"),2*N4859*O4859,0)</f>
        <v/>
      </c>
      <c r="Z4859" s="12" t="inlineStr">
        <is>
          <t>device-to-JB field wiring, one cable per device</t>
        </is>
      </c>
      <c r="AA4859" s="12">
        <f>N4859*O4859</f>
        <v/>
      </c>
    </row>
    <row r="4860">
      <c r="A4860" s="12" t="inlineStr">
        <is>
          <t>I-I-0502</t>
        </is>
      </c>
      <c r="B4860" s="12" t="inlineStr">
        <is>
          <t>I</t>
        </is>
      </c>
      <c r="C4860" s="12" t="inlineStr">
        <is>
          <t>Modular / portable power</t>
        </is>
      </c>
      <c r="D4860" s="12" t="inlineStr">
        <is>
          <t>Home run JB-T-MOD-1-DI01 to the control / marshalling room</t>
        </is>
      </c>
      <c r="E4860" s="12" t="inlineStr"/>
      <c r="F4860" s="12" t="inlineStr">
        <is>
          <t>PCM: power control module</t>
        </is>
      </c>
      <c r="G4860" s="12" t="inlineStr">
        <is>
          <t>JB-T-MOD-1-DI01</t>
        </is>
      </c>
      <c r="H4860" s="12" t="inlineStr">
        <is>
          <t>T-MOD-1: 13.8/230 kV</t>
        </is>
      </c>
      <c r="I4860" s="12" t="inlineStr">
        <is>
          <t>Instrumentation</t>
        </is>
      </c>
      <c r="J4860" s="12" t="inlineStr">
        <is>
          <t>Instrumentation PLTC / TC-ER 300 V, #18 twisted shielded pairs, overall shield</t>
        </is>
      </c>
      <c r="K4860" s="12" t="inlineStr">
        <is>
          <t>PLTC|24 pr|18</t>
        </is>
      </c>
      <c r="L4860" s="12" t="inlineStr">
        <is>
          <t>24 pr</t>
        </is>
      </c>
      <c r="M4860" s="12" t="inlineStr">
        <is>
          <t>18</t>
        </is>
      </c>
      <c r="N4860" s="12" t="n">
        <v>1</v>
      </c>
      <c r="O4860" s="12" t="n">
        <v>1</v>
      </c>
      <c r="P4860" s="12" t="n"/>
      <c r="Q4860" s="12" t="n"/>
      <c r="R4860" s="12" t="n"/>
      <c r="S4860" s="12" t="inlineStr">
        <is>
          <t>Duct bank</t>
        </is>
      </c>
      <c r="T4860" s="16" t="n">
        <v>415</v>
      </c>
      <c r="U4860" s="16" t="n">
        <v>82</v>
      </c>
      <c r="V4860" s="16">
        <f>ROUNDUP((T4860+U4860+2*'Read Me'!$B$13)*(1+'Read Me'!$B$12),-1)</f>
        <v/>
      </c>
      <c r="W4860" s="16">
        <f>V4860*N4860*O4860</f>
        <v/>
      </c>
      <c r="X4860" s="12">
        <f>IF(LEFT(I4860,2)="MV",2*N4860*IF(L4860="1/C",O4860,1),0)</f>
        <v/>
      </c>
      <c r="Y4860" s="12">
        <f>IF(OR(LEFT(K4860,4)="LVAX",LEFT(K4860,6)="MV15AX",LEFT(K4860,4)="CTAX",LEFT(K4860,2)="W|"),2*N4860*O4860,0)</f>
        <v/>
      </c>
      <c r="Z4860" s="12" t="inlineStr"/>
      <c r="AA4860" s="12">
        <f>N4860*O4860</f>
        <v/>
      </c>
    </row>
    <row r="4861">
      <c r="A4861" s="12" t="inlineStr">
        <is>
          <t>I-I-0503</t>
        </is>
      </c>
      <c r="B4861" s="12" t="inlineStr">
        <is>
          <t>I</t>
        </is>
      </c>
      <c r="C4861" s="12" t="inlineStr">
        <is>
          <t>Modular / portable power</t>
        </is>
      </c>
      <c r="D4861" s="12" t="inlineStr">
        <is>
          <t>Analog instrument to JB JB-T-MOD-2-AI01: 8 x 1 pr (field cables)</t>
        </is>
      </c>
      <c r="E4861" s="12" t="inlineStr">
        <is>
          <t>T-MOD-2</t>
        </is>
      </c>
      <c r="F4861" s="12" t="inlineStr">
        <is>
          <t>T-MOD-2: 13.8/230 kV</t>
        </is>
      </c>
      <c r="G4861" s="12" t="inlineStr">
        <is>
          <t>JB-T-MOD-2-AI01</t>
        </is>
      </c>
      <c r="H4861" s="12" t="inlineStr">
        <is>
          <t>T-MOD-2: 13.8/230 kV</t>
        </is>
      </c>
      <c r="I4861" s="12" t="inlineStr">
        <is>
          <t>Instrumentation</t>
        </is>
      </c>
      <c r="J4861" s="12" t="inlineStr">
        <is>
          <t>Instrumentation PLTC / TC-ER 300 V, #18 twisted shielded pairs, overall shield</t>
        </is>
      </c>
      <c r="K4861" s="12" t="inlineStr">
        <is>
          <t>PLTC|1 pr|16</t>
        </is>
      </c>
      <c r="L4861" s="12" t="inlineStr">
        <is>
          <t>1 pr</t>
        </is>
      </c>
      <c r="M4861" s="12" t="inlineStr">
        <is>
          <t>16</t>
        </is>
      </c>
      <c r="N4861" s="12" t="n">
        <v>8</v>
      </c>
      <c r="O4861" s="12" t="n">
        <v>1</v>
      </c>
      <c r="P4861" s="12" t="n"/>
      <c r="Q4861" s="12" t="n"/>
      <c r="R4861" s="12" t="n"/>
      <c r="S4861" s="12" t="inlineStr">
        <is>
          <t>Tray / conduit</t>
        </is>
      </c>
      <c r="T4861" s="16" t="n">
        <v>77</v>
      </c>
      <c r="U4861" s="16" t="n">
        <v>10</v>
      </c>
      <c r="V4861" s="16">
        <f>ROUNDUP((T4861+U4861+2*'Read Me'!$B$13)*(1+'Read Me'!$B$12),-1)</f>
        <v/>
      </c>
      <c r="W4861" s="16">
        <f>V4861*N4861*O4861</f>
        <v/>
      </c>
      <c r="X4861" s="12">
        <f>IF(LEFT(I4861,2)="MV",2*N4861*IF(L4861="1/C",O4861,1),0)</f>
        <v/>
      </c>
      <c r="Y4861" s="12">
        <f>IF(OR(LEFT(K4861,4)="LVAX",LEFT(K4861,6)="MV15AX",LEFT(K4861,4)="CTAX",LEFT(K4861,2)="W|"),2*N4861*O4861,0)</f>
        <v/>
      </c>
      <c r="Z4861" s="12" t="inlineStr">
        <is>
          <t>device-to-JB field wiring, one cable per device</t>
        </is>
      </c>
      <c r="AA4861" s="12">
        <f>N4861*O4861</f>
        <v/>
      </c>
    </row>
    <row r="4862">
      <c r="A4862" s="12" t="inlineStr">
        <is>
          <t>I-I-0504</t>
        </is>
      </c>
      <c r="B4862" s="12" t="inlineStr">
        <is>
          <t>I</t>
        </is>
      </c>
      <c r="C4862" s="12" t="inlineStr">
        <is>
          <t>Modular / portable power</t>
        </is>
      </c>
      <c r="D4862" s="12" t="inlineStr">
        <is>
          <t>Home run JB-T-MOD-2-AI01 to the control / marshalling room</t>
        </is>
      </c>
      <c r="E4862" s="12" t="inlineStr"/>
      <c r="F4862" s="12" t="inlineStr">
        <is>
          <t>PCM: power control module</t>
        </is>
      </c>
      <c r="G4862" s="12" t="inlineStr">
        <is>
          <t>JB-T-MOD-2-AI01</t>
        </is>
      </c>
      <c r="H4862" s="12" t="inlineStr">
        <is>
          <t>T-MOD-2: 13.8/230 kV</t>
        </is>
      </c>
      <c r="I4862" s="12" t="inlineStr">
        <is>
          <t>Instrumentation</t>
        </is>
      </c>
      <c r="J4862" s="12" t="inlineStr">
        <is>
          <t>Instrumentation PLTC / TC-ER 300 V, #18 twisted shielded pairs, overall shield</t>
        </is>
      </c>
      <c r="K4862" s="12" t="inlineStr">
        <is>
          <t>PLTC|24 pr|18</t>
        </is>
      </c>
      <c r="L4862" s="12" t="inlineStr">
        <is>
          <t>24 pr</t>
        </is>
      </c>
      <c r="M4862" s="12" t="inlineStr">
        <is>
          <t>18</t>
        </is>
      </c>
      <c r="N4862" s="12" t="n">
        <v>1</v>
      </c>
      <c r="O4862" s="12" t="n">
        <v>1</v>
      </c>
      <c r="P4862" s="12" t="n"/>
      <c r="Q4862" s="12" t="n"/>
      <c r="R4862" s="12" t="n"/>
      <c r="S4862" s="12" t="inlineStr">
        <is>
          <t>Duct bank</t>
        </is>
      </c>
      <c r="T4862" s="16" t="n">
        <v>799</v>
      </c>
      <c r="U4862" s="16" t="n">
        <v>191</v>
      </c>
      <c r="V4862" s="16">
        <f>ROUNDUP((T4862+U4862+2*'Read Me'!$B$13)*(1+'Read Me'!$B$12),-1)</f>
        <v/>
      </c>
      <c r="W4862" s="16">
        <f>V4862*N4862*O4862</f>
        <v/>
      </c>
      <c r="X4862" s="12">
        <f>IF(LEFT(I4862,2)="MV",2*N4862*IF(L4862="1/C",O4862,1),0)</f>
        <v/>
      </c>
      <c r="Y4862" s="12">
        <f>IF(OR(LEFT(K4862,4)="LVAX",LEFT(K4862,6)="MV15AX",LEFT(K4862,4)="CTAX",LEFT(K4862,2)="W|"),2*N4862*O4862,0)</f>
        <v/>
      </c>
      <c r="Z4862" s="12" t="inlineStr"/>
      <c r="AA4862" s="12">
        <f>N4862*O4862</f>
        <v/>
      </c>
    </row>
    <row r="4863">
      <c r="A4863" s="12" t="inlineStr">
        <is>
          <t>I-I-0505</t>
        </is>
      </c>
      <c r="B4863" s="12" t="inlineStr">
        <is>
          <t>I</t>
        </is>
      </c>
      <c r="C4863" s="12" t="inlineStr">
        <is>
          <t>Modular / portable power</t>
        </is>
      </c>
      <c r="D4863" s="12" t="inlineStr">
        <is>
          <t>Discrete device to JB JB-T-MOD-2-DI01: 16 x 1 pr (field cables)</t>
        </is>
      </c>
      <c r="E4863" s="12" t="inlineStr">
        <is>
          <t>T-MOD-2</t>
        </is>
      </c>
      <c r="F4863" s="12" t="inlineStr">
        <is>
          <t>T-MOD-2: 13.8/230 kV</t>
        </is>
      </c>
      <c r="G4863" s="12" t="inlineStr">
        <is>
          <t>JB-T-MOD-2-DI01</t>
        </is>
      </c>
      <c r="H4863" s="12" t="inlineStr">
        <is>
          <t>T-MOD-2: 13.8/230 kV</t>
        </is>
      </c>
      <c r="I4863" s="12" t="inlineStr">
        <is>
          <t>Instrumentation</t>
        </is>
      </c>
      <c r="J4863" s="12" t="inlineStr">
        <is>
          <t>Instrumentation PLTC / TC-ER 300 V, #18 twisted shielded pairs, overall shield</t>
        </is>
      </c>
      <c r="K4863" s="12" t="inlineStr">
        <is>
          <t>PLTC|1 pr|16</t>
        </is>
      </c>
      <c r="L4863" s="12" t="inlineStr">
        <is>
          <t>1 pr</t>
        </is>
      </c>
      <c r="M4863" s="12" t="inlineStr">
        <is>
          <t>16</t>
        </is>
      </c>
      <c r="N4863" s="12" t="n">
        <v>16</v>
      </c>
      <c r="O4863" s="12" t="n">
        <v>1</v>
      </c>
      <c r="P4863" s="12" t="n"/>
      <c r="Q4863" s="12" t="n"/>
      <c r="R4863" s="12" t="n"/>
      <c r="S4863" s="12" t="inlineStr">
        <is>
          <t>Tray / conduit</t>
        </is>
      </c>
      <c r="T4863" s="16" t="n">
        <v>77</v>
      </c>
      <c r="U4863" s="16" t="n">
        <v>10</v>
      </c>
      <c r="V4863" s="16">
        <f>ROUNDUP((T4863+U4863+2*'Read Me'!$B$13)*(1+'Read Me'!$B$12),-1)</f>
        <v/>
      </c>
      <c r="W4863" s="16">
        <f>V4863*N4863*O4863</f>
        <v/>
      </c>
      <c r="X4863" s="12">
        <f>IF(LEFT(I4863,2)="MV",2*N4863*IF(L4863="1/C",O4863,1),0)</f>
        <v/>
      </c>
      <c r="Y4863" s="12">
        <f>IF(OR(LEFT(K4863,4)="LVAX",LEFT(K4863,6)="MV15AX",LEFT(K4863,4)="CTAX",LEFT(K4863,2)="W|"),2*N4863*O4863,0)</f>
        <v/>
      </c>
      <c r="Z4863" s="12" t="inlineStr">
        <is>
          <t>device-to-JB field wiring, one cable per device</t>
        </is>
      </c>
      <c r="AA4863" s="12">
        <f>N4863*O4863</f>
        <v/>
      </c>
    </row>
    <row r="4864">
      <c r="A4864" s="12" t="inlineStr">
        <is>
          <t>I-I-0506</t>
        </is>
      </c>
      <c r="B4864" s="12" t="inlineStr">
        <is>
          <t>I</t>
        </is>
      </c>
      <c r="C4864" s="12" t="inlineStr">
        <is>
          <t>Modular / portable power</t>
        </is>
      </c>
      <c r="D4864" s="12" t="inlineStr">
        <is>
          <t>Home run JB-T-MOD-2-DI01 to the control / marshalling room</t>
        </is>
      </c>
      <c r="E4864" s="12" t="inlineStr"/>
      <c r="F4864" s="12" t="inlineStr">
        <is>
          <t>PCM: power control module</t>
        </is>
      </c>
      <c r="G4864" s="12" t="inlineStr">
        <is>
          <t>JB-T-MOD-2-DI01</t>
        </is>
      </c>
      <c r="H4864" s="12" t="inlineStr">
        <is>
          <t>T-MOD-2: 13.8/230 kV</t>
        </is>
      </c>
      <c r="I4864" s="12" t="inlineStr">
        <is>
          <t>Instrumentation</t>
        </is>
      </c>
      <c r="J4864" s="12" t="inlineStr">
        <is>
          <t>Instrumentation PLTC / TC-ER 300 V, #18 twisted shielded pairs, overall shield</t>
        </is>
      </c>
      <c r="K4864" s="12" t="inlineStr">
        <is>
          <t>PLTC|24 pr|18</t>
        </is>
      </c>
      <c r="L4864" s="12" t="inlineStr">
        <is>
          <t>24 pr</t>
        </is>
      </c>
      <c r="M4864" s="12" t="inlineStr">
        <is>
          <t>18</t>
        </is>
      </c>
      <c r="N4864" s="12" t="n">
        <v>1</v>
      </c>
      <c r="O4864" s="12" t="n">
        <v>1</v>
      </c>
      <c r="P4864" s="12" t="n"/>
      <c r="Q4864" s="12" t="n"/>
      <c r="R4864" s="12" t="n"/>
      <c r="S4864" s="12" t="inlineStr">
        <is>
          <t>Duct bank</t>
        </is>
      </c>
      <c r="T4864" s="16" t="n">
        <v>799</v>
      </c>
      <c r="U4864" s="16" t="n">
        <v>191</v>
      </c>
      <c r="V4864" s="16">
        <f>ROUNDUP((T4864+U4864+2*'Read Me'!$B$13)*(1+'Read Me'!$B$12),-1)</f>
        <v/>
      </c>
      <c r="W4864" s="16">
        <f>V4864*N4864*O4864</f>
        <v/>
      </c>
      <c r="X4864" s="12">
        <f>IF(LEFT(I4864,2)="MV",2*N4864*IF(L4864="1/C",O4864,1),0)</f>
        <v/>
      </c>
      <c r="Y4864" s="12">
        <f>IF(OR(LEFT(K4864,4)="LVAX",LEFT(K4864,6)="MV15AX",LEFT(K4864,4)="CTAX",LEFT(K4864,2)="W|"),2*N4864*O4864,0)</f>
        <v/>
      </c>
      <c r="Z4864" s="12" t="inlineStr"/>
      <c r="AA4864" s="12">
        <f>N4864*O4864</f>
        <v/>
      </c>
    </row>
    <row r="4865">
      <c r="A4865" s="12" t="inlineStr">
        <is>
          <t>I-I-0507</t>
        </is>
      </c>
      <c r="B4865" s="12" t="inlineStr">
        <is>
          <t>I</t>
        </is>
      </c>
      <c r="C4865" s="12" t="inlineStr">
        <is>
          <t>Modular / portable power</t>
        </is>
      </c>
      <c r="D4865" s="12" t="inlineStr">
        <is>
          <t>Analog instrument to JB JB-TM-1-AI01: 20 x 1 pr (field cables)</t>
        </is>
      </c>
      <c r="E4865" s="12" t="inlineStr">
        <is>
          <t>TM-1</t>
        </is>
      </c>
      <c r="F4865" s="12" t="inlineStr">
        <is>
          <t>TM-1: trailer-mounted aeroderivative GT (TM2500 class, ~35 MW)</t>
        </is>
      </c>
      <c r="G4865" s="12" t="inlineStr">
        <is>
          <t>JB-TM-1-AI01</t>
        </is>
      </c>
      <c r="H4865" s="12" t="inlineStr">
        <is>
          <t>TM-1: trailer-mounted aeroderivative GT (TM2500 class, ~35 MW)</t>
        </is>
      </c>
      <c r="I4865" s="12" t="inlineStr">
        <is>
          <t>Instrumentation</t>
        </is>
      </c>
      <c r="J4865" s="12" t="inlineStr">
        <is>
          <t>Instrumentation PLTC / TC-ER 300 V, #18 twisted shielded pairs, overall shield</t>
        </is>
      </c>
      <c r="K4865" s="12" t="inlineStr">
        <is>
          <t>PLTC|1 pr|16</t>
        </is>
      </c>
      <c r="L4865" s="12" t="inlineStr">
        <is>
          <t>1 pr</t>
        </is>
      </c>
      <c r="M4865" s="12" t="inlineStr">
        <is>
          <t>16</t>
        </is>
      </c>
      <c r="N4865" s="12" t="n">
        <v>20</v>
      </c>
      <c r="O4865" s="12" t="n">
        <v>1</v>
      </c>
      <c r="P4865" s="12" t="n"/>
      <c r="Q4865" s="12" t="n"/>
      <c r="R4865" s="12" t="n"/>
      <c r="S4865" s="12" t="inlineStr">
        <is>
          <t>Tray / conduit</t>
        </is>
      </c>
      <c r="T4865" s="16" t="n">
        <v>108</v>
      </c>
      <c r="U4865" s="16" t="n">
        <v>10</v>
      </c>
      <c r="V4865" s="16">
        <f>ROUNDUP((T4865+U4865+2*'Read Me'!$B$13)*(1+'Read Me'!$B$12),-1)</f>
        <v/>
      </c>
      <c r="W4865" s="16">
        <f>V4865*N4865*O4865</f>
        <v/>
      </c>
      <c r="X4865" s="12">
        <f>IF(LEFT(I4865,2)="MV",2*N4865*IF(L4865="1/C",O4865,1),0)</f>
        <v/>
      </c>
      <c r="Y4865" s="12">
        <f>IF(OR(LEFT(K4865,4)="LVAX",LEFT(K4865,6)="MV15AX",LEFT(K4865,4)="CTAX",LEFT(K4865,2)="W|"),2*N4865*O4865,0)</f>
        <v/>
      </c>
      <c r="Z4865" s="12" t="inlineStr">
        <is>
          <t>device-to-JB field wiring, one cable per device</t>
        </is>
      </c>
      <c r="AA4865" s="12">
        <f>N4865*O4865</f>
        <v/>
      </c>
    </row>
    <row r="4866">
      <c r="A4866" s="12" t="inlineStr">
        <is>
          <t>I-I-0508</t>
        </is>
      </c>
      <c r="B4866" s="12" t="inlineStr">
        <is>
          <t>I</t>
        </is>
      </c>
      <c r="C4866" s="12" t="inlineStr">
        <is>
          <t>Modular / portable power</t>
        </is>
      </c>
      <c r="D4866" s="12" t="inlineStr">
        <is>
          <t>Home run JB-TM-1-AI01 to the control / marshalling room</t>
        </is>
      </c>
      <c r="E4866" s="12" t="inlineStr">
        <is>
          <t>PAD-EH</t>
        </is>
      </c>
      <c r="F4866" s="12" t="inlineStr">
        <is>
          <t>PAD-EH 13.8 kV switchgear e-house</t>
        </is>
      </c>
      <c r="G4866" s="12" t="inlineStr">
        <is>
          <t>JB-TM-1-AI01</t>
        </is>
      </c>
      <c r="H4866" s="12" t="inlineStr">
        <is>
          <t>TM-1: trailer-mounted aeroderivative GT (TM2500 class, ~35 MW)</t>
        </is>
      </c>
      <c r="I4866" s="12" t="inlineStr">
        <is>
          <t>Instrumentation</t>
        </is>
      </c>
      <c r="J4866" s="12" t="inlineStr">
        <is>
          <t>Instrumentation PLTC / TC-ER 300 V, #18 twisted shielded pairs, overall shield</t>
        </is>
      </c>
      <c r="K4866" s="12" t="inlineStr">
        <is>
          <t>PLTC|24 pr|18</t>
        </is>
      </c>
      <c r="L4866" s="12" t="inlineStr">
        <is>
          <t>24 pr</t>
        </is>
      </c>
      <c r="M4866" s="12" t="inlineStr">
        <is>
          <t>18</t>
        </is>
      </c>
      <c r="N4866" s="12" t="n">
        <v>1</v>
      </c>
      <c r="O4866" s="12" t="n">
        <v>1</v>
      </c>
      <c r="P4866" s="12" t="n"/>
      <c r="Q4866" s="12" t="n"/>
      <c r="R4866" s="12" t="n"/>
      <c r="S4866" s="12" t="inlineStr">
        <is>
          <t>Surface</t>
        </is>
      </c>
      <c r="T4866" s="16" t="n">
        <v>382</v>
      </c>
      <c r="U4866" s="16" t="n">
        <v>50</v>
      </c>
      <c r="V4866" s="16">
        <f>ROUNDUP((T4866+U4866+2*'Read Me'!$B$13)*(1+'Read Me'!$B$12),-1)</f>
        <v/>
      </c>
      <c r="W4866" s="16">
        <f>V4866*N4866*O4866</f>
        <v/>
      </c>
      <c r="X4866" s="12">
        <f>IF(LEFT(I4866,2)="MV",2*N4866*IF(L4866="1/C",O4866,1),0)</f>
        <v/>
      </c>
      <c r="Y4866" s="12">
        <f>IF(OR(LEFT(K4866,4)="LVAX",LEFT(K4866,6)="MV15AX",LEFT(K4866,4)="CTAX",LEFT(K4866,2)="W|"),2*N4866*O4866,0)</f>
        <v/>
      </c>
      <c r="Z4866" s="12" t="inlineStr"/>
      <c r="AA4866" s="12">
        <f>N4866*O4866</f>
        <v/>
      </c>
    </row>
    <row r="4867">
      <c r="A4867" s="12" t="inlineStr">
        <is>
          <t>I-I-0509</t>
        </is>
      </c>
      <c r="B4867" s="12" t="inlineStr">
        <is>
          <t>I</t>
        </is>
      </c>
      <c r="C4867" s="12" t="inlineStr">
        <is>
          <t>Modular / portable power</t>
        </is>
      </c>
      <c r="D4867" s="12" t="inlineStr">
        <is>
          <t>Analog instrument to JB JB-TM-1-AI02: 20 x 1 pr (field cables)</t>
        </is>
      </c>
      <c r="E4867" s="12" t="inlineStr">
        <is>
          <t>TM-1</t>
        </is>
      </c>
      <c r="F4867" s="12" t="inlineStr">
        <is>
          <t>TM-1: trailer-mounted aeroderivative GT (TM2500 class, ~35 MW)</t>
        </is>
      </c>
      <c r="G4867" s="12" t="inlineStr">
        <is>
          <t>JB-TM-1-AI02</t>
        </is>
      </c>
      <c r="H4867" s="12" t="inlineStr">
        <is>
          <t>TM-1: trailer-mounted aeroderivative GT (TM2500 class, ~35 MW)</t>
        </is>
      </c>
      <c r="I4867" s="12" t="inlineStr">
        <is>
          <t>Instrumentation</t>
        </is>
      </c>
      <c r="J4867" s="12" t="inlineStr">
        <is>
          <t>Instrumentation PLTC / TC-ER 300 V, #18 twisted shielded pairs, overall shield</t>
        </is>
      </c>
      <c r="K4867" s="12" t="inlineStr">
        <is>
          <t>PLTC|1 pr|16</t>
        </is>
      </c>
      <c r="L4867" s="12" t="inlineStr">
        <is>
          <t>1 pr</t>
        </is>
      </c>
      <c r="M4867" s="12" t="inlineStr">
        <is>
          <t>16</t>
        </is>
      </c>
      <c r="N4867" s="12" t="n">
        <v>20</v>
      </c>
      <c r="O4867" s="12" t="n">
        <v>1</v>
      </c>
      <c r="P4867" s="12" t="n"/>
      <c r="Q4867" s="12" t="n"/>
      <c r="R4867" s="12" t="n"/>
      <c r="S4867" s="12" t="inlineStr">
        <is>
          <t>Tray / conduit</t>
        </is>
      </c>
      <c r="T4867" s="16" t="n">
        <v>108</v>
      </c>
      <c r="U4867" s="16" t="n">
        <v>10</v>
      </c>
      <c r="V4867" s="16">
        <f>ROUNDUP((T4867+U4867+2*'Read Me'!$B$13)*(1+'Read Me'!$B$12),-1)</f>
        <v/>
      </c>
      <c r="W4867" s="16">
        <f>V4867*N4867*O4867</f>
        <v/>
      </c>
      <c r="X4867" s="12">
        <f>IF(LEFT(I4867,2)="MV",2*N4867*IF(L4867="1/C",O4867,1),0)</f>
        <v/>
      </c>
      <c r="Y4867" s="12">
        <f>IF(OR(LEFT(K4867,4)="LVAX",LEFT(K4867,6)="MV15AX",LEFT(K4867,4)="CTAX",LEFT(K4867,2)="W|"),2*N4867*O4867,0)</f>
        <v/>
      </c>
      <c r="Z4867" s="12" t="inlineStr">
        <is>
          <t>device-to-JB field wiring, one cable per device</t>
        </is>
      </c>
      <c r="AA4867" s="12">
        <f>N4867*O4867</f>
        <v/>
      </c>
    </row>
    <row r="4868">
      <c r="A4868" s="12" t="inlineStr">
        <is>
          <t>I-I-0510</t>
        </is>
      </c>
      <c r="B4868" s="12" t="inlineStr">
        <is>
          <t>I</t>
        </is>
      </c>
      <c r="C4868" s="12" t="inlineStr">
        <is>
          <t>Modular / portable power</t>
        </is>
      </c>
      <c r="D4868" s="12" t="inlineStr">
        <is>
          <t>Home run JB-TM-1-AI02 to the control / marshalling room</t>
        </is>
      </c>
      <c r="E4868" s="12" t="inlineStr">
        <is>
          <t>PAD-EH</t>
        </is>
      </c>
      <c r="F4868" s="12" t="inlineStr">
        <is>
          <t>PAD-EH 13.8 kV switchgear e-house</t>
        </is>
      </c>
      <c r="G4868" s="12" t="inlineStr">
        <is>
          <t>JB-TM-1-AI02</t>
        </is>
      </c>
      <c r="H4868" s="12" t="inlineStr">
        <is>
          <t>TM-1: trailer-mounted aeroderivative GT (TM2500 class, ~35 MW)</t>
        </is>
      </c>
      <c r="I4868" s="12" t="inlineStr">
        <is>
          <t>Instrumentation</t>
        </is>
      </c>
      <c r="J4868" s="12" t="inlineStr">
        <is>
          <t>Instrumentation PLTC / TC-ER 300 V, #18 twisted shielded pairs, overall shield</t>
        </is>
      </c>
      <c r="K4868" s="12" t="inlineStr">
        <is>
          <t>PLTC|24 pr|18</t>
        </is>
      </c>
      <c r="L4868" s="12" t="inlineStr">
        <is>
          <t>24 pr</t>
        </is>
      </c>
      <c r="M4868" s="12" t="inlineStr">
        <is>
          <t>18</t>
        </is>
      </c>
      <c r="N4868" s="12" t="n">
        <v>1</v>
      </c>
      <c r="O4868" s="12" t="n">
        <v>1</v>
      </c>
      <c r="P4868" s="12" t="n"/>
      <c r="Q4868" s="12" t="n"/>
      <c r="R4868" s="12" t="n"/>
      <c r="S4868" s="12" t="inlineStr">
        <is>
          <t>Surface</t>
        </is>
      </c>
      <c r="T4868" s="16" t="n">
        <v>382</v>
      </c>
      <c r="U4868" s="16" t="n">
        <v>50</v>
      </c>
      <c r="V4868" s="16">
        <f>ROUNDUP((T4868+U4868+2*'Read Me'!$B$13)*(1+'Read Me'!$B$12),-1)</f>
        <v/>
      </c>
      <c r="W4868" s="16">
        <f>V4868*N4868*O4868</f>
        <v/>
      </c>
      <c r="X4868" s="12">
        <f>IF(LEFT(I4868,2)="MV",2*N4868*IF(L4868="1/C",O4868,1),0)</f>
        <v/>
      </c>
      <c r="Y4868" s="12">
        <f>IF(OR(LEFT(K4868,4)="LVAX",LEFT(K4868,6)="MV15AX",LEFT(K4868,4)="CTAX",LEFT(K4868,2)="W|"),2*N4868*O4868,0)</f>
        <v/>
      </c>
      <c r="Z4868" s="12" t="inlineStr"/>
      <c r="AA4868" s="12">
        <f>N4868*O4868</f>
        <v/>
      </c>
    </row>
    <row r="4869">
      <c r="A4869" s="12" t="inlineStr">
        <is>
          <t>I-I-0511</t>
        </is>
      </c>
      <c r="B4869" s="12" t="inlineStr">
        <is>
          <t>I</t>
        </is>
      </c>
      <c r="C4869" s="12" t="inlineStr">
        <is>
          <t>Modular / portable power</t>
        </is>
      </c>
      <c r="D4869" s="12" t="inlineStr">
        <is>
          <t>Analog instrument to JB JB-TM-1-AI03: 20 x 1 pr (field cables)</t>
        </is>
      </c>
      <c r="E4869" s="12" t="inlineStr">
        <is>
          <t>TM-1</t>
        </is>
      </c>
      <c r="F4869" s="12" t="inlineStr">
        <is>
          <t>TM-1: trailer-mounted aeroderivative GT (TM2500 class, ~35 MW)</t>
        </is>
      </c>
      <c r="G4869" s="12" t="inlineStr">
        <is>
          <t>JB-TM-1-AI03</t>
        </is>
      </c>
      <c r="H4869" s="12" t="inlineStr">
        <is>
          <t>TM-1: trailer-mounted aeroderivative GT (TM2500 class, ~35 MW)</t>
        </is>
      </c>
      <c r="I4869" s="12" t="inlineStr">
        <is>
          <t>Instrumentation</t>
        </is>
      </c>
      <c r="J4869" s="12" t="inlineStr">
        <is>
          <t>Instrumentation PLTC / TC-ER 300 V, #18 twisted shielded pairs, overall shield</t>
        </is>
      </c>
      <c r="K4869" s="12" t="inlineStr">
        <is>
          <t>PLTC|1 pr|16</t>
        </is>
      </c>
      <c r="L4869" s="12" t="inlineStr">
        <is>
          <t>1 pr</t>
        </is>
      </c>
      <c r="M4869" s="12" t="inlineStr">
        <is>
          <t>16</t>
        </is>
      </c>
      <c r="N4869" s="12" t="n">
        <v>20</v>
      </c>
      <c r="O4869" s="12" t="n">
        <v>1</v>
      </c>
      <c r="P4869" s="12" t="n"/>
      <c r="Q4869" s="12" t="n"/>
      <c r="R4869" s="12" t="n"/>
      <c r="S4869" s="12" t="inlineStr">
        <is>
          <t>Tray / conduit</t>
        </is>
      </c>
      <c r="T4869" s="16" t="n">
        <v>108</v>
      </c>
      <c r="U4869" s="16" t="n">
        <v>10</v>
      </c>
      <c r="V4869" s="16">
        <f>ROUNDUP((T4869+U4869+2*'Read Me'!$B$13)*(1+'Read Me'!$B$12),-1)</f>
        <v/>
      </c>
      <c r="W4869" s="16">
        <f>V4869*N4869*O4869</f>
        <v/>
      </c>
      <c r="X4869" s="12">
        <f>IF(LEFT(I4869,2)="MV",2*N4869*IF(L4869="1/C",O4869,1),0)</f>
        <v/>
      </c>
      <c r="Y4869" s="12">
        <f>IF(OR(LEFT(K4869,4)="LVAX",LEFT(K4869,6)="MV15AX",LEFT(K4869,4)="CTAX",LEFT(K4869,2)="W|"),2*N4869*O4869,0)</f>
        <v/>
      </c>
      <c r="Z4869" s="12" t="inlineStr">
        <is>
          <t>device-to-JB field wiring, one cable per device</t>
        </is>
      </c>
      <c r="AA4869" s="12">
        <f>N4869*O4869</f>
        <v/>
      </c>
    </row>
    <row r="4870">
      <c r="A4870" s="12" t="inlineStr">
        <is>
          <t>I-I-0512</t>
        </is>
      </c>
      <c r="B4870" s="12" t="inlineStr">
        <is>
          <t>I</t>
        </is>
      </c>
      <c r="C4870" s="12" t="inlineStr">
        <is>
          <t>Modular / portable power</t>
        </is>
      </c>
      <c r="D4870" s="12" t="inlineStr">
        <is>
          <t>Home run JB-TM-1-AI03 to the control / marshalling room</t>
        </is>
      </c>
      <c r="E4870" s="12" t="inlineStr">
        <is>
          <t>PAD-EH</t>
        </is>
      </c>
      <c r="F4870" s="12" t="inlineStr">
        <is>
          <t>PAD-EH 13.8 kV switchgear e-house</t>
        </is>
      </c>
      <c r="G4870" s="12" t="inlineStr">
        <is>
          <t>JB-TM-1-AI03</t>
        </is>
      </c>
      <c r="H4870" s="12" t="inlineStr">
        <is>
          <t>TM-1: trailer-mounted aeroderivative GT (TM2500 class, ~35 MW)</t>
        </is>
      </c>
      <c r="I4870" s="12" t="inlineStr">
        <is>
          <t>Instrumentation</t>
        </is>
      </c>
      <c r="J4870" s="12" t="inlineStr">
        <is>
          <t>Instrumentation PLTC / TC-ER 300 V, #18 twisted shielded pairs, overall shield</t>
        </is>
      </c>
      <c r="K4870" s="12" t="inlineStr">
        <is>
          <t>PLTC|24 pr|18</t>
        </is>
      </c>
      <c r="L4870" s="12" t="inlineStr">
        <is>
          <t>24 pr</t>
        </is>
      </c>
      <c r="M4870" s="12" t="inlineStr">
        <is>
          <t>18</t>
        </is>
      </c>
      <c r="N4870" s="12" t="n">
        <v>1</v>
      </c>
      <c r="O4870" s="12" t="n">
        <v>1</v>
      </c>
      <c r="P4870" s="12" t="n"/>
      <c r="Q4870" s="12" t="n"/>
      <c r="R4870" s="12" t="n"/>
      <c r="S4870" s="12" t="inlineStr">
        <is>
          <t>Surface</t>
        </is>
      </c>
      <c r="T4870" s="16" t="n">
        <v>382</v>
      </c>
      <c r="U4870" s="16" t="n">
        <v>50</v>
      </c>
      <c r="V4870" s="16">
        <f>ROUNDUP((T4870+U4870+2*'Read Me'!$B$13)*(1+'Read Me'!$B$12),-1)</f>
        <v/>
      </c>
      <c r="W4870" s="16">
        <f>V4870*N4870*O4870</f>
        <v/>
      </c>
      <c r="X4870" s="12">
        <f>IF(LEFT(I4870,2)="MV",2*N4870*IF(L4870="1/C",O4870,1),0)</f>
        <v/>
      </c>
      <c r="Y4870" s="12">
        <f>IF(OR(LEFT(K4870,4)="LVAX",LEFT(K4870,6)="MV15AX",LEFT(K4870,4)="CTAX",LEFT(K4870,2)="W|"),2*N4870*O4870,0)</f>
        <v/>
      </c>
      <c r="Z4870" s="12" t="inlineStr"/>
      <c r="AA4870" s="12">
        <f>N4870*O4870</f>
        <v/>
      </c>
    </row>
    <row r="4871">
      <c r="A4871" s="12" t="inlineStr">
        <is>
          <t>I-I-0513</t>
        </is>
      </c>
      <c r="B4871" s="12" t="inlineStr">
        <is>
          <t>I</t>
        </is>
      </c>
      <c r="C4871" s="12" t="inlineStr">
        <is>
          <t>Modular / portable power</t>
        </is>
      </c>
      <c r="D4871" s="12" t="inlineStr">
        <is>
          <t>Analog instrument to JB JB-TM-1-AI04: 20 x 1 pr (field cables)</t>
        </is>
      </c>
      <c r="E4871" s="12" t="inlineStr">
        <is>
          <t>TM-1</t>
        </is>
      </c>
      <c r="F4871" s="12" t="inlineStr">
        <is>
          <t>TM-1: trailer-mounted aeroderivative GT (TM2500 class, ~35 MW)</t>
        </is>
      </c>
      <c r="G4871" s="12" t="inlineStr">
        <is>
          <t>JB-TM-1-AI04</t>
        </is>
      </c>
      <c r="H4871" s="12" t="inlineStr">
        <is>
          <t>TM-1: trailer-mounted aeroderivative GT (TM2500 class, ~35 MW)</t>
        </is>
      </c>
      <c r="I4871" s="12" t="inlineStr">
        <is>
          <t>Instrumentation</t>
        </is>
      </c>
      <c r="J4871" s="12" t="inlineStr">
        <is>
          <t>Instrumentation PLTC / TC-ER 300 V, #18 twisted shielded pairs, overall shield</t>
        </is>
      </c>
      <c r="K4871" s="12" t="inlineStr">
        <is>
          <t>PLTC|1 pr|16</t>
        </is>
      </c>
      <c r="L4871" s="12" t="inlineStr">
        <is>
          <t>1 pr</t>
        </is>
      </c>
      <c r="M4871" s="12" t="inlineStr">
        <is>
          <t>16</t>
        </is>
      </c>
      <c r="N4871" s="12" t="n">
        <v>20</v>
      </c>
      <c r="O4871" s="12" t="n">
        <v>1</v>
      </c>
      <c r="P4871" s="12" t="n"/>
      <c r="Q4871" s="12" t="n"/>
      <c r="R4871" s="12" t="n"/>
      <c r="S4871" s="12" t="inlineStr">
        <is>
          <t>Tray / conduit</t>
        </is>
      </c>
      <c r="T4871" s="16" t="n">
        <v>108</v>
      </c>
      <c r="U4871" s="16" t="n">
        <v>10</v>
      </c>
      <c r="V4871" s="16">
        <f>ROUNDUP((T4871+U4871+2*'Read Me'!$B$13)*(1+'Read Me'!$B$12),-1)</f>
        <v/>
      </c>
      <c r="W4871" s="16">
        <f>V4871*N4871*O4871</f>
        <v/>
      </c>
      <c r="X4871" s="12">
        <f>IF(LEFT(I4871,2)="MV",2*N4871*IF(L4871="1/C",O4871,1),0)</f>
        <v/>
      </c>
      <c r="Y4871" s="12">
        <f>IF(OR(LEFT(K4871,4)="LVAX",LEFT(K4871,6)="MV15AX",LEFT(K4871,4)="CTAX",LEFT(K4871,2)="W|"),2*N4871*O4871,0)</f>
        <v/>
      </c>
      <c r="Z4871" s="12" t="inlineStr">
        <is>
          <t>device-to-JB field wiring, one cable per device</t>
        </is>
      </c>
      <c r="AA4871" s="12">
        <f>N4871*O4871</f>
        <v/>
      </c>
    </row>
    <row r="4872">
      <c r="A4872" s="12" t="inlineStr">
        <is>
          <t>I-I-0514</t>
        </is>
      </c>
      <c r="B4872" s="12" t="inlineStr">
        <is>
          <t>I</t>
        </is>
      </c>
      <c r="C4872" s="12" t="inlineStr">
        <is>
          <t>Modular / portable power</t>
        </is>
      </c>
      <c r="D4872" s="12" t="inlineStr">
        <is>
          <t>Home run JB-TM-1-AI04 to the control / marshalling room</t>
        </is>
      </c>
      <c r="E4872" s="12" t="inlineStr">
        <is>
          <t>PAD-EH</t>
        </is>
      </c>
      <c r="F4872" s="12" t="inlineStr">
        <is>
          <t>PAD-EH 13.8 kV switchgear e-house</t>
        </is>
      </c>
      <c r="G4872" s="12" t="inlineStr">
        <is>
          <t>JB-TM-1-AI04</t>
        </is>
      </c>
      <c r="H4872" s="12" t="inlineStr">
        <is>
          <t>TM-1: trailer-mounted aeroderivative GT (TM2500 class, ~35 MW)</t>
        </is>
      </c>
      <c r="I4872" s="12" t="inlineStr">
        <is>
          <t>Instrumentation</t>
        </is>
      </c>
      <c r="J4872" s="12" t="inlineStr">
        <is>
          <t>Instrumentation PLTC / TC-ER 300 V, #18 twisted shielded pairs, overall shield</t>
        </is>
      </c>
      <c r="K4872" s="12" t="inlineStr">
        <is>
          <t>PLTC|24 pr|18</t>
        </is>
      </c>
      <c r="L4872" s="12" t="inlineStr">
        <is>
          <t>24 pr</t>
        </is>
      </c>
      <c r="M4872" s="12" t="inlineStr">
        <is>
          <t>18</t>
        </is>
      </c>
      <c r="N4872" s="12" t="n">
        <v>1</v>
      </c>
      <c r="O4872" s="12" t="n">
        <v>1</v>
      </c>
      <c r="P4872" s="12" t="n"/>
      <c r="Q4872" s="12" t="n"/>
      <c r="R4872" s="12" t="n"/>
      <c r="S4872" s="12" t="inlineStr">
        <is>
          <t>Surface</t>
        </is>
      </c>
      <c r="T4872" s="16" t="n">
        <v>382</v>
      </c>
      <c r="U4872" s="16" t="n">
        <v>50</v>
      </c>
      <c r="V4872" s="16">
        <f>ROUNDUP((T4872+U4872+2*'Read Me'!$B$13)*(1+'Read Me'!$B$12),-1)</f>
        <v/>
      </c>
      <c r="W4872" s="16">
        <f>V4872*N4872*O4872</f>
        <v/>
      </c>
      <c r="X4872" s="12">
        <f>IF(LEFT(I4872,2)="MV",2*N4872*IF(L4872="1/C",O4872,1),0)</f>
        <v/>
      </c>
      <c r="Y4872" s="12">
        <f>IF(OR(LEFT(K4872,4)="LVAX",LEFT(K4872,6)="MV15AX",LEFT(K4872,4)="CTAX",LEFT(K4872,2)="W|"),2*N4872*O4872,0)</f>
        <v/>
      </c>
      <c r="Z4872" s="12" t="inlineStr"/>
      <c r="AA4872" s="12">
        <f>N4872*O4872</f>
        <v/>
      </c>
    </row>
    <row r="4873">
      <c r="A4873" s="12" t="inlineStr">
        <is>
          <t>I-I-0515</t>
        </is>
      </c>
      <c r="B4873" s="12" t="inlineStr">
        <is>
          <t>I</t>
        </is>
      </c>
      <c r="C4873" s="12" t="inlineStr">
        <is>
          <t>Modular / portable power</t>
        </is>
      </c>
      <c r="D4873" s="12" t="inlineStr">
        <is>
          <t>Analog instrument to JB JB-TM-1-AI05: 20 x 1 pr (field cables)</t>
        </is>
      </c>
      <c r="E4873" s="12" t="inlineStr">
        <is>
          <t>TM-1</t>
        </is>
      </c>
      <c r="F4873" s="12" t="inlineStr">
        <is>
          <t>TM-1: trailer-mounted aeroderivative GT (TM2500 class, ~35 MW)</t>
        </is>
      </c>
      <c r="G4873" s="12" t="inlineStr">
        <is>
          <t>JB-TM-1-AI05</t>
        </is>
      </c>
      <c r="H4873" s="12" t="inlineStr">
        <is>
          <t>TM-1: trailer-mounted aeroderivative GT (TM2500 class, ~35 MW)</t>
        </is>
      </c>
      <c r="I4873" s="12" t="inlineStr">
        <is>
          <t>Instrumentation</t>
        </is>
      </c>
      <c r="J4873" s="12" t="inlineStr">
        <is>
          <t>Instrumentation PLTC / TC-ER 300 V, #18 twisted shielded pairs, overall shield</t>
        </is>
      </c>
      <c r="K4873" s="12" t="inlineStr">
        <is>
          <t>PLTC|1 pr|16</t>
        </is>
      </c>
      <c r="L4873" s="12" t="inlineStr">
        <is>
          <t>1 pr</t>
        </is>
      </c>
      <c r="M4873" s="12" t="inlineStr">
        <is>
          <t>16</t>
        </is>
      </c>
      <c r="N4873" s="12" t="n">
        <v>20</v>
      </c>
      <c r="O4873" s="12" t="n">
        <v>1</v>
      </c>
      <c r="P4873" s="12" t="n"/>
      <c r="Q4873" s="12" t="n"/>
      <c r="R4873" s="12" t="n"/>
      <c r="S4873" s="12" t="inlineStr">
        <is>
          <t>Tray / conduit</t>
        </is>
      </c>
      <c r="T4873" s="16" t="n">
        <v>108</v>
      </c>
      <c r="U4873" s="16" t="n">
        <v>10</v>
      </c>
      <c r="V4873" s="16">
        <f>ROUNDUP((T4873+U4873+2*'Read Me'!$B$13)*(1+'Read Me'!$B$12),-1)</f>
        <v/>
      </c>
      <c r="W4873" s="16">
        <f>V4873*N4873*O4873</f>
        <v/>
      </c>
      <c r="X4873" s="12">
        <f>IF(LEFT(I4873,2)="MV",2*N4873*IF(L4873="1/C",O4873,1),0)</f>
        <v/>
      </c>
      <c r="Y4873" s="12">
        <f>IF(OR(LEFT(K4873,4)="LVAX",LEFT(K4873,6)="MV15AX",LEFT(K4873,4)="CTAX",LEFT(K4873,2)="W|"),2*N4873*O4873,0)</f>
        <v/>
      </c>
      <c r="Z4873" s="12" t="inlineStr">
        <is>
          <t>device-to-JB field wiring, one cable per device</t>
        </is>
      </c>
      <c r="AA4873" s="12">
        <f>N4873*O4873</f>
        <v/>
      </c>
    </row>
    <row r="4874">
      <c r="A4874" s="12" t="inlineStr">
        <is>
          <t>I-I-0516</t>
        </is>
      </c>
      <c r="B4874" s="12" t="inlineStr">
        <is>
          <t>I</t>
        </is>
      </c>
      <c r="C4874" s="12" t="inlineStr">
        <is>
          <t>Modular / portable power</t>
        </is>
      </c>
      <c r="D4874" s="12" t="inlineStr">
        <is>
          <t>Home run JB-TM-1-AI05 to the control / marshalling room</t>
        </is>
      </c>
      <c r="E4874" s="12" t="inlineStr">
        <is>
          <t>PAD-EH</t>
        </is>
      </c>
      <c r="F4874" s="12" t="inlineStr">
        <is>
          <t>PAD-EH 13.8 kV switchgear e-house</t>
        </is>
      </c>
      <c r="G4874" s="12" t="inlineStr">
        <is>
          <t>JB-TM-1-AI05</t>
        </is>
      </c>
      <c r="H4874" s="12" t="inlineStr">
        <is>
          <t>TM-1: trailer-mounted aeroderivative GT (TM2500 class, ~35 MW)</t>
        </is>
      </c>
      <c r="I4874" s="12" t="inlineStr">
        <is>
          <t>Instrumentation</t>
        </is>
      </c>
      <c r="J4874" s="12" t="inlineStr">
        <is>
          <t>Instrumentation PLTC / TC-ER 300 V, #18 twisted shielded pairs, overall shield</t>
        </is>
      </c>
      <c r="K4874" s="12" t="inlineStr">
        <is>
          <t>PLTC|24 pr|18</t>
        </is>
      </c>
      <c r="L4874" s="12" t="inlineStr">
        <is>
          <t>24 pr</t>
        </is>
      </c>
      <c r="M4874" s="12" t="inlineStr">
        <is>
          <t>18</t>
        </is>
      </c>
      <c r="N4874" s="12" t="n">
        <v>1</v>
      </c>
      <c r="O4874" s="12" t="n">
        <v>1</v>
      </c>
      <c r="P4874" s="12" t="n"/>
      <c r="Q4874" s="12" t="n"/>
      <c r="R4874" s="12" t="n"/>
      <c r="S4874" s="12" t="inlineStr">
        <is>
          <t>Surface</t>
        </is>
      </c>
      <c r="T4874" s="16" t="n">
        <v>382</v>
      </c>
      <c r="U4874" s="16" t="n">
        <v>50</v>
      </c>
      <c r="V4874" s="16">
        <f>ROUNDUP((T4874+U4874+2*'Read Me'!$B$13)*(1+'Read Me'!$B$12),-1)</f>
        <v/>
      </c>
      <c r="W4874" s="16">
        <f>V4874*N4874*O4874</f>
        <v/>
      </c>
      <c r="X4874" s="12">
        <f>IF(LEFT(I4874,2)="MV",2*N4874*IF(L4874="1/C",O4874,1),0)</f>
        <v/>
      </c>
      <c r="Y4874" s="12">
        <f>IF(OR(LEFT(K4874,4)="LVAX",LEFT(K4874,6)="MV15AX",LEFT(K4874,4)="CTAX",LEFT(K4874,2)="W|"),2*N4874*O4874,0)</f>
        <v/>
      </c>
      <c r="Z4874" s="12" t="inlineStr"/>
      <c r="AA4874" s="12">
        <f>N4874*O4874</f>
        <v/>
      </c>
    </row>
    <row r="4875">
      <c r="A4875" s="12" t="inlineStr">
        <is>
          <t>I-I-0517</t>
        </is>
      </c>
      <c r="B4875" s="12" t="inlineStr">
        <is>
          <t>I</t>
        </is>
      </c>
      <c r="C4875" s="12" t="inlineStr">
        <is>
          <t>Modular / portable power</t>
        </is>
      </c>
      <c r="D4875" s="12" t="inlineStr">
        <is>
          <t>Discrete device to JB JB-TM-1-DI01: 20 x 1 pr (field cables)</t>
        </is>
      </c>
      <c r="E4875" s="12" t="inlineStr">
        <is>
          <t>TM-1</t>
        </is>
      </c>
      <c r="F4875" s="12" t="inlineStr">
        <is>
          <t>TM-1: trailer-mounted aeroderivative GT (TM2500 class, ~35 MW)</t>
        </is>
      </c>
      <c r="G4875" s="12" t="inlineStr">
        <is>
          <t>JB-TM-1-DI01</t>
        </is>
      </c>
      <c r="H4875" s="12" t="inlineStr">
        <is>
          <t>TM-1: trailer-mounted aeroderivative GT (TM2500 class, ~35 MW)</t>
        </is>
      </c>
      <c r="I4875" s="12" t="inlineStr">
        <is>
          <t>Instrumentation</t>
        </is>
      </c>
      <c r="J4875" s="12" t="inlineStr">
        <is>
          <t>Instrumentation PLTC / TC-ER 300 V, #18 twisted shielded pairs, overall shield</t>
        </is>
      </c>
      <c r="K4875" s="12" t="inlineStr">
        <is>
          <t>PLTC|1 pr|16</t>
        </is>
      </c>
      <c r="L4875" s="12" t="inlineStr">
        <is>
          <t>1 pr</t>
        </is>
      </c>
      <c r="M4875" s="12" t="inlineStr">
        <is>
          <t>16</t>
        </is>
      </c>
      <c r="N4875" s="12" t="n">
        <v>20</v>
      </c>
      <c r="O4875" s="12" t="n">
        <v>1</v>
      </c>
      <c r="P4875" s="12" t="n"/>
      <c r="Q4875" s="12" t="n"/>
      <c r="R4875" s="12" t="n"/>
      <c r="S4875" s="12" t="inlineStr">
        <is>
          <t>Tray / conduit</t>
        </is>
      </c>
      <c r="T4875" s="16" t="n">
        <v>108</v>
      </c>
      <c r="U4875" s="16" t="n">
        <v>10</v>
      </c>
      <c r="V4875" s="16">
        <f>ROUNDUP((T4875+U4875+2*'Read Me'!$B$13)*(1+'Read Me'!$B$12),-1)</f>
        <v/>
      </c>
      <c r="W4875" s="16">
        <f>V4875*N4875*O4875</f>
        <v/>
      </c>
      <c r="X4875" s="12">
        <f>IF(LEFT(I4875,2)="MV",2*N4875*IF(L4875="1/C",O4875,1),0)</f>
        <v/>
      </c>
      <c r="Y4875" s="12">
        <f>IF(OR(LEFT(K4875,4)="LVAX",LEFT(K4875,6)="MV15AX",LEFT(K4875,4)="CTAX",LEFT(K4875,2)="W|"),2*N4875*O4875,0)</f>
        <v/>
      </c>
      <c r="Z4875" s="12" t="inlineStr">
        <is>
          <t>device-to-JB field wiring, one cable per device</t>
        </is>
      </c>
      <c r="AA4875" s="12">
        <f>N4875*O4875</f>
        <v/>
      </c>
    </row>
    <row r="4876">
      <c r="A4876" s="12" t="inlineStr">
        <is>
          <t>I-I-0518</t>
        </is>
      </c>
      <c r="B4876" s="12" t="inlineStr">
        <is>
          <t>I</t>
        </is>
      </c>
      <c r="C4876" s="12" t="inlineStr">
        <is>
          <t>Modular / portable power</t>
        </is>
      </c>
      <c r="D4876" s="12" t="inlineStr">
        <is>
          <t>Home run JB-TM-1-DI01 to the control / marshalling room</t>
        </is>
      </c>
      <c r="E4876" s="12" t="inlineStr">
        <is>
          <t>PAD-EH</t>
        </is>
      </c>
      <c r="F4876" s="12" t="inlineStr">
        <is>
          <t>PAD-EH 13.8 kV switchgear e-house</t>
        </is>
      </c>
      <c r="G4876" s="12" t="inlineStr">
        <is>
          <t>JB-TM-1-DI01</t>
        </is>
      </c>
      <c r="H4876" s="12" t="inlineStr">
        <is>
          <t>TM-1: trailer-mounted aeroderivative GT (TM2500 class, ~35 MW)</t>
        </is>
      </c>
      <c r="I4876" s="12" t="inlineStr">
        <is>
          <t>Instrumentation</t>
        </is>
      </c>
      <c r="J4876" s="12" t="inlineStr">
        <is>
          <t>Instrumentation PLTC / TC-ER 300 V, #18 twisted shielded pairs, overall shield</t>
        </is>
      </c>
      <c r="K4876" s="12" t="inlineStr">
        <is>
          <t>PLTC|24 pr|18</t>
        </is>
      </c>
      <c r="L4876" s="12" t="inlineStr">
        <is>
          <t>24 pr</t>
        </is>
      </c>
      <c r="M4876" s="12" t="inlineStr">
        <is>
          <t>18</t>
        </is>
      </c>
      <c r="N4876" s="12" t="n">
        <v>1</v>
      </c>
      <c r="O4876" s="12" t="n">
        <v>1</v>
      </c>
      <c r="P4876" s="12" t="n"/>
      <c r="Q4876" s="12" t="n"/>
      <c r="R4876" s="12" t="n"/>
      <c r="S4876" s="12" t="inlineStr">
        <is>
          <t>Surface</t>
        </is>
      </c>
      <c r="T4876" s="16" t="n">
        <v>382</v>
      </c>
      <c r="U4876" s="16" t="n">
        <v>50</v>
      </c>
      <c r="V4876" s="16">
        <f>ROUNDUP((T4876+U4876+2*'Read Me'!$B$13)*(1+'Read Me'!$B$12),-1)</f>
        <v/>
      </c>
      <c r="W4876" s="16">
        <f>V4876*N4876*O4876</f>
        <v/>
      </c>
      <c r="X4876" s="12">
        <f>IF(LEFT(I4876,2)="MV",2*N4876*IF(L4876="1/C",O4876,1),0)</f>
        <v/>
      </c>
      <c r="Y4876" s="12">
        <f>IF(OR(LEFT(K4876,4)="LVAX",LEFT(K4876,6)="MV15AX",LEFT(K4876,4)="CTAX",LEFT(K4876,2)="W|"),2*N4876*O4876,0)</f>
        <v/>
      </c>
      <c r="Z4876" s="12" t="inlineStr"/>
      <c r="AA4876" s="12">
        <f>N4876*O4876</f>
        <v/>
      </c>
    </row>
    <row r="4877">
      <c r="A4877" s="12" t="inlineStr">
        <is>
          <t>I-I-0519</t>
        </is>
      </c>
      <c r="B4877" s="12" t="inlineStr">
        <is>
          <t>I</t>
        </is>
      </c>
      <c r="C4877" s="12" t="inlineStr">
        <is>
          <t>Modular / portable power</t>
        </is>
      </c>
      <c r="D4877" s="12" t="inlineStr">
        <is>
          <t>Discrete device to JB JB-TM-1-DI02: 20 x 1 pr (field cables)</t>
        </is>
      </c>
      <c r="E4877" s="12" t="inlineStr">
        <is>
          <t>TM-1</t>
        </is>
      </c>
      <c r="F4877" s="12" t="inlineStr">
        <is>
          <t>TM-1: trailer-mounted aeroderivative GT (TM2500 class, ~35 MW)</t>
        </is>
      </c>
      <c r="G4877" s="12" t="inlineStr">
        <is>
          <t>JB-TM-1-DI02</t>
        </is>
      </c>
      <c r="H4877" s="12" t="inlineStr">
        <is>
          <t>TM-1: trailer-mounted aeroderivative GT (TM2500 class, ~35 MW)</t>
        </is>
      </c>
      <c r="I4877" s="12" t="inlineStr">
        <is>
          <t>Instrumentation</t>
        </is>
      </c>
      <c r="J4877" s="12" t="inlineStr">
        <is>
          <t>Instrumentation PLTC / TC-ER 300 V, #18 twisted shielded pairs, overall shield</t>
        </is>
      </c>
      <c r="K4877" s="12" t="inlineStr">
        <is>
          <t>PLTC|1 pr|16</t>
        </is>
      </c>
      <c r="L4877" s="12" t="inlineStr">
        <is>
          <t>1 pr</t>
        </is>
      </c>
      <c r="M4877" s="12" t="inlineStr">
        <is>
          <t>16</t>
        </is>
      </c>
      <c r="N4877" s="12" t="n">
        <v>20</v>
      </c>
      <c r="O4877" s="12" t="n">
        <v>1</v>
      </c>
      <c r="P4877" s="12" t="n"/>
      <c r="Q4877" s="12" t="n"/>
      <c r="R4877" s="12" t="n"/>
      <c r="S4877" s="12" t="inlineStr">
        <is>
          <t>Tray / conduit</t>
        </is>
      </c>
      <c r="T4877" s="16" t="n">
        <v>108</v>
      </c>
      <c r="U4877" s="16" t="n">
        <v>10</v>
      </c>
      <c r="V4877" s="16">
        <f>ROUNDUP((T4877+U4877+2*'Read Me'!$B$13)*(1+'Read Me'!$B$12),-1)</f>
        <v/>
      </c>
      <c r="W4877" s="16">
        <f>V4877*N4877*O4877</f>
        <v/>
      </c>
      <c r="X4877" s="12">
        <f>IF(LEFT(I4877,2)="MV",2*N4877*IF(L4877="1/C",O4877,1),0)</f>
        <v/>
      </c>
      <c r="Y4877" s="12">
        <f>IF(OR(LEFT(K4877,4)="LVAX",LEFT(K4877,6)="MV15AX",LEFT(K4877,4)="CTAX",LEFT(K4877,2)="W|"),2*N4877*O4877,0)</f>
        <v/>
      </c>
      <c r="Z4877" s="12" t="inlineStr">
        <is>
          <t>device-to-JB field wiring, one cable per device</t>
        </is>
      </c>
      <c r="AA4877" s="12">
        <f>N4877*O4877</f>
        <v/>
      </c>
    </row>
    <row r="4878">
      <c r="A4878" s="12" t="inlineStr">
        <is>
          <t>I-I-0520</t>
        </is>
      </c>
      <c r="B4878" s="12" t="inlineStr">
        <is>
          <t>I</t>
        </is>
      </c>
      <c r="C4878" s="12" t="inlineStr">
        <is>
          <t>Modular / portable power</t>
        </is>
      </c>
      <c r="D4878" s="12" t="inlineStr">
        <is>
          <t>Home run JB-TM-1-DI02 to the control / marshalling room</t>
        </is>
      </c>
      <c r="E4878" s="12" t="inlineStr">
        <is>
          <t>PAD-EH</t>
        </is>
      </c>
      <c r="F4878" s="12" t="inlineStr">
        <is>
          <t>PAD-EH 13.8 kV switchgear e-house</t>
        </is>
      </c>
      <c r="G4878" s="12" t="inlineStr">
        <is>
          <t>JB-TM-1-DI02</t>
        </is>
      </c>
      <c r="H4878" s="12" t="inlineStr">
        <is>
          <t>TM-1: trailer-mounted aeroderivative GT (TM2500 class, ~35 MW)</t>
        </is>
      </c>
      <c r="I4878" s="12" t="inlineStr">
        <is>
          <t>Instrumentation</t>
        </is>
      </c>
      <c r="J4878" s="12" t="inlineStr">
        <is>
          <t>Instrumentation PLTC / TC-ER 300 V, #18 twisted shielded pairs, overall shield</t>
        </is>
      </c>
      <c r="K4878" s="12" t="inlineStr">
        <is>
          <t>PLTC|24 pr|18</t>
        </is>
      </c>
      <c r="L4878" s="12" t="inlineStr">
        <is>
          <t>24 pr</t>
        </is>
      </c>
      <c r="M4878" s="12" t="inlineStr">
        <is>
          <t>18</t>
        </is>
      </c>
      <c r="N4878" s="12" t="n">
        <v>1</v>
      </c>
      <c r="O4878" s="12" t="n">
        <v>1</v>
      </c>
      <c r="P4878" s="12" t="n"/>
      <c r="Q4878" s="12" t="n"/>
      <c r="R4878" s="12" t="n"/>
      <c r="S4878" s="12" t="inlineStr">
        <is>
          <t>Surface</t>
        </is>
      </c>
      <c r="T4878" s="16" t="n">
        <v>382</v>
      </c>
      <c r="U4878" s="16" t="n">
        <v>50</v>
      </c>
      <c r="V4878" s="16">
        <f>ROUNDUP((T4878+U4878+2*'Read Me'!$B$13)*(1+'Read Me'!$B$12),-1)</f>
        <v/>
      </c>
      <c r="W4878" s="16">
        <f>V4878*N4878*O4878</f>
        <v/>
      </c>
      <c r="X4878" s="12">
        <f>IF(LEFT(I4878,2)="MV",2*N4878*IF(L4878="1/C",O4878,1),0)</f>
        <v/>
      </c>
      <c r="Y4878" s="12">
        <f>IF(OR(LEFT(K4878,4)="LVAX",LEFT(K4878,6)="MV15AX",LEFT(K4878,4)="CTAX",LEFT(K4878,2)="W|"),2*N4878*O4878,0)</f>
        <v/>
      </c>
      <c r="Z4878" s="12" t="inlineStr"/>
      <c r="AA4878" s="12">
        <f>N4878*O4878</f>
        <v/>
      </c>
    </row>
    <row r="4879">
      <c r="A4879" s="12" t="inlineStr">
        <is>
          <t>I-I-0521</t>
        </is>
      </c>
      <c r="B4879" s="12" t="inlineStr">
        <is>
          <t>I</t>
        </is>
      </c>
      <c r="C4879" s="12" t="inlineStr">
        <is>
          <t>Modular / portable power</t>
        </is>
      </c>
      <c r="D4879" s="12" t="inlineStr">
        <is>
          <t>Discrete device to JB JB-TM-1-DI03: 20 x 1 pr (field cables)</t>
        </is>
      </c>
      <c r="E4879" s="12" t="inlineStr">
        <is>
          <t>TM-1</t>
        </is>
      </c>
      <c r="F4879" s="12" t="inlineStr">
        <is>
          <t>TM-1: trailer-mounted aeroderivative GT (TM2500 class, ~35 MW)</t>
        </is>
      </c>
      <c r="G4879" s="12" t="inlineStr">
        <is>
          <t>JB-TM-1-DI03</t>
        </is>
      </c>
      <c r="H4879" s="12" t="inlineStr">
        <is>
          <t>TM-1: trailer-mounted aeroderivative GT (TM2500 class, ~35 MW)</t>
        </is>
      </c>
      <c r="I4879" s="12" t="inlineStr">
        <is>
          <t>Instrumentation</t>
        </is>
      </c>
      <c r="J4879" s="12" t="inlineStr">
        <is>
          <t>Instrumentation PLTC / TC-ER 300 V, #18 twisted shielded pairs, overall shield</t>
        </is>
      </c>
      <c r="K4879" s="12" t="inlineStr">
        <is>
          <t>PLTC|1 pr|16</t>
        </is>
      </c>
      <c r="L4879" s="12" t="inlineStr">
        <is>
          <t>1 pr</t>
        </is>
      </c>
      <c r="M4879" s="12" t="inlineStr">
        <is>
          <t>16</t>
        </is>
      </c>
      <c r="N4879" s="12" t="n">
        <v>20</v>
      </c>
      <c r="O4879" s="12" t="n">
        <v>1</v>
      </c>
      <c r="P4879" s="12" t="n"/>
      <c r="Q4879" s="12" t="n"/>
      <c r="R4879" s="12" t="n"/>
      <c r="S4879" s="12" t="inlineStr">
        <is>
          <t>Tray / conduit</t>
        </is>
      </c>
      <c r="T4879" s="16" t="n">
        <v>108</v>
      </c>
      <c r="U4879" s="16" t="n">
        <v>10</v>
      </c>
      <c r="V4879" s="16">
        <f>ROUNDUP((T4879+U4879+2*'Read Me'!$B$13)*(1+'Read Me'!$B$12),-1)</f>
        <v/>
      </c>
      <c r="W4879" s="16">
        <f>V4879*N4879*O4879</f>
        <v/>
      </c>
      <c r="X4879" s="12">
        <f>IF(LEFT(I4879,2)="MV",2*N4879*IF(L4879="1/C",O4879,1),0)</f>
        <v/>
      </c>
      <c r="Y4879" s="12">
        <f>IF(OR(LEFT(K4879,4)="LVAX",LEFT(K4879,6)="MV15AX",LEFT(K4879,4)="CTAX",LEFT(K4879,2)="W|"),2*N4879*O4879,0)</f>
        <v/>
      </c>
      <c r="Z4879" s="12" t="inlineStr">
        <is>
          <t>device-to-JB field wiring, one cable per device</t>
        </is>
      </c>
      <c r="AA4879" s="12">
        <f>N4879*O4879</f>
        <v/>
      </c>
    </row>
    <row r="4880">
      <c r="A4880" s="12" t="inlineStr">
        <is>
          <t>I-I-0522</t>
        </is>
      </c>
      <c r="B4880" s="12" t="inlineStr">
        <is>
          <t>I</t>
        </is>
      </c>
      <c r="C4880" s="12" t="inlineStr">
        <is>
          <t>Modular / portable power</t>
        </is>
      </c>
      <c r="D4880" s="12" t="inlineStr">
        <is>
          <t>Home run JB-TM-1-DI03 to the control / marshalling room</t>
        </is>
      </c>
      <c r="E4880" s="12" t="inlineStr">
        <is>
          <t>PAD-EH</t>
        </is>
      </c>
      <c r="F4880" s="12" t="inlineStr">
        <is>
          <t>PAD-EH 13.8 kV switchgear e-house</t>
        </is>
      </c>
      <c r="G4880" s="12" t="inlineStr">
        <is>
          <t>JB-TM-1-DI03</t>
        </is>
      </c>
      <c r="H4880" s="12" t="inlineStr">
        <is>
          <t>TM-1: trailer-mounted aeroderivative GT (TM2500 class, ~35 MW)</t>
        </is>
      </c>
      <c r="I4880" s="12" t="inlineStr">
        <is>
          <t>Instrumentation</t>
        </is>
      </c>
      <c r="J4880" s="12" t="inlineStr">
        <is>
          <t>Instrumentation PLTC / TC-ER 300 V, #18 twisted shielded pairs, overall shield</t>
        </is>
      </c>
      <c r="K4880" s="12" t="inlineStr">
        <is>
          <t>PLTC|24 pr|18</t>
        </is>
      </c>
      <c r="L4880" s="12" t="inlineStr">
        <is>
          <t>24 pr</t>
        </is>
      </c>
      <c r="M4880" s="12" t="inlineStr">
        <is>
          <t>18</t>
        </is>
      </c>
      <c r="N4880" s="12" t="n">
        <v>1</v>
      </c>
      <c r="O4880" s="12" t="n">
        <v>1</v>
      </c>
      <c r="P4880" s="12" t="n"/>
      <c r="Q4880" s="12" t="n"/>
      <c r="R4880" s="12" t="n"/>
      <c r="S4880" s="12" t="inlineStr">
        <is>
          <t>Surface</t>
        </is>
      </c>
      <c r="T4880" s="16" t="n">
        <v>382</v>
      </c>
      <c r="U4880" s="16" t="n">
        <v>50</v>
      </c>
      <c r="V4880" s="16">
        <f>ROUNDUP((T4880+U4880+2*'Read Me'!$B$13)*(1+'Read Me'!$B$12),-1)</f>
        <v/>
      </c>
      <c r="W4880" s="16">
        <f>V4880*N4880*O4880</f>
        <v/>
      </c>
      <c r="X4880" s="12">
        <f>IF(LEFT(I4880,2)="MV",2*N4880*IF(L4880="1/C",O4880,1),0)</f>
        <v/>
      </c>
      <c r="Y4880" s="12">
        <f>IF(OR(LEFT(K4880,4)="LVAX",LEFT(K4880,6)="MV15AX",LEFT(K4880,4)="CTAX",LEFT(K4880,2)="W|"),2*N4880*O4880,0)</f>
        <v/>
      </c>
      <c r="Z4880" s="12" t="inlineStr"/>
      <c r="AA4880" s="12">
        <f>N4880*O4880</f>
        <v/>
      </c>
    </row>
    <row r="4881">
      <c r="A4881" s="12" t="inlineStr">
        <is>
          <t>I-I-0523</t>
        </is>
      </c>
      <c r="B4881" s="12" t="inlineStr">
        <is>
          <t>I</t>
        </is>
      </c>
      <c r="C4881" s="12" t="inlineStr">
        <is>
          <t>Modular / portable power</t>
        </is>
      </c>
      <c r="D4881" s="12" t="inlineStr">
        <is>
          <t>Thermocouple to TC JB JB-TM-1-TC01: 20 x 1 pr (field cables)</t>
        </is>
      </c>
      <c r="E4881" s="12" t="inlineStr">
        <is>
          <t>TM-1</t>
        </is>
      </c>
      <c r="F4881" s="12" t="inlineStr">
        <is>
          <t>TM-1: trailer-mounted aeroderivative GT (TM2500 class, ~35 MW)</t>
        </is>
      </c>
      <c r="G4881" s="12" t="inlineStr">
        <is>
          <t>JB-TM-1-TC01</t>
        </is>
      </c>
      <c r="H4881" s="12" t="inlineStr">
        <is>
          <t>TM-1: trailer-mounted aeroderivative GT (TM2500 class, ~35 MW)</t>
        </is>
      </c>
      <c r="I4881" s="12" t="inlineStr">
        <is>
          <t>Instrumentation</t>
        </is>
      </c>
      <c r="J4881" s="12" t="inlineStr">
        <is>
          <t>Thermocouple extension KX, #16 shielded pairs, PLTC</t>
        </is>
      </c>
      <c r="K4881" s="12" t="inlineStr">
        <is>
          <t>TCX|1 pr|16</t>
        </is>
      </c>
      <c r="L4881" s="12" t="inlineStr">
        <is>
          <t>1 pr</t>
        </is>
      </c>
      <c r="M4881" s="12" t="inlineStr">
        <is>
          <t>16</t>
        </is>
      </c>
      <c r="N4881" s="12" t="n">
        <v>20</v>
      </c>
      <c r="O4881" s="12" t="n">
        <v>1</v>
      </c>
      <c r="P4881" s="12" t="n"/>
      <c r="Q4881" s="12" t="n"/>
      <c r="R4881" s="12" t="n"/>
      <c r="S4881" s="12" t="inlineStr">
        <is>
          <t>Tray / conduit</t>
        </is>
      </c>
      <c r="T4881" s="16" t="n">
        <v>108</v>
      </c>
      <c r="U4881" s="16" t="n">
        <v>10</v>
      </c>
      <c r="V4881" s="16">
        <f>ROUNDUP((T4881+U4881+2*'Read Me'!$B$13)*(1+'Read Me'!$B$12),-1)</f>
        <v/>
      </c>
      <c r="W4881" s="16">
        <f>V4881*N4881*O4881</f>
        <v/>
      </c>
      <c r="X4881" s="12">
        <f>IF(LEFT(I4881,2)="MV",2*N4881*IF(L4881="1/C",O4881,1),0)</f>
        <v/>
      </c>
      <c r="Y4881" s="12">
        <f>IF(OR(LEFT(K4881,4)="LVAX",LEFT(K4881,6)="MV15AX",LEFT(K4881,4)="CTAX",LEFT(K4881,2)="W|"),2*N4881*O4881,0)</f>
        <v/>
      </c>
      <c r="Z4881" s="12" t="inlineStr">
        <is>
          <t>device-to-JB field wiring, one cable per device</t>
        </is>
      </c>
      <c r="AA4881" s="12">
        <f>N4881*O4881</f>
        <v/>
      </c>
    </row>
    <row r="4882">
      <c r="A4882" s="12" t="inlineStr">
        <is>
          <t>I-I-0524</t>
        </is>
      </c>
      <c r="B4882" s="12" t="inlineStr">
        <is>
          <t>I</t>
        </is>
      </c>
      <c r="C4882" s="12" t="inlineStr">
        <is>
          <t>Modular / portable power</t>
        </is>
      </c>
      <c r="D4882" s="12" t="inlineStr">
        <is>
          <t>Home run JB-TM-1-TC01 to the control / marshalling room</t>
        </is>
      </c>
      <c r="E4882" s="12" t="inlineStr">
        <is>
          <t>PAD-EH</t>
        </is>
      </c>
      <c r="F4882" s="12" t="inlineStr">
        <is>
          <t>PAD-EH 13.8 kV switchgear e-house</t>
        </is>
      </c>
      <c r="G4882" s="12" t="inlineStr">
        <is>
          <t>JB-TM-1-TC01</t>
        </is>
      </c>
      <c r="H4882" s="12" t="inlineStr">
        <is>
          <t>TM-1: trailer-mounted aeroderivative GT (TM2500 class, ~35 MW)</t>
        </is>
      </c>
      <c r="I4882" s="12" t="inlineStr">
        <is>
          <t>Instrumentation</t>
        </is>
      </c>
      <c r="J4882" s="12" t="inlineStr">
        <is>
          <t>Thermocouple extension KX, #16 shielded pairs, PLTC</t>
        </is>
      </c>
      <c r="K4882" s="12" t="inlineStr">
        <is>
          <t>TCX|24 pr|16</t>
        </is>
      </c>
      <c r="L4882" s="12" t="inlineStr">
        <is>
          <t>24 pr</t>
        </is>
      </c>
      <c r="M4882" s="12" t="inlineStr">
        <is>
          <t>16</t>
        </is>
      </c>
      <c r="N4882" s="12" t="n">
        <v>1</v>
      </c>
      <c r="O4882" s="12" t="n">
        <v>1</v>
      </c>
      <c r="P4882" s="12" t="n"/>
      <c r="Q4882" s="12" t="n"/>
      <c r="R4882" s="12" t="n"/>
      <c r="S4882" s="12" t="inlineStr">
        <is>
          <t>Surface</t>
        </is>
      </c>
      <c r="T4882" s="16" t="n">
        <v>382</v>
      </c>
      <c r="U4882" s="16" t="n">
        <v>50</v>
      </c>
      <c r="V4882" s="16">
        <f>ROUNDUP((T4882+U4882+2*'Read Me'!$B$13)*(1+'Read Me'!$B$12),-1)</f>
        <v/>
      </c>
      <c r="W4882" s="16">
        <f>V4882*N4882*O4882</f>
        <v/>
      </c>
      <c r="X4882" s="12">
        <f>IF(LEFT(I4882,2)="MV",2*N4882*IF(L4882="1/C",O4882,1),0)</f>
        <v/>
      </c>
      <c r="Y4882" s="12">
        <f>IF(OR(LEFT(K4882,4)="LVAX",LEFT(K4882,6)="MV15AX",LEFT(K4882,4)="CTAX",LEFT(K4882,2)="W|"),2*N4882*O4882,0)</f>
        <v/>
      </c>
      <c r="Z4882" s="12" t="inlineStr"/>
      <c r="AA4882" s="12">
        <f>N4882*O4882</f>
        <v/>
      </c>
    </row>
    <row r="4883">
      <c r="A4883" s="12" t="inlineStr">
        <is>
          <t>I-I-0525</t>
        </is>
      </c>
      <c r="B4883" s="12" t="inlineStr">
        <is>
          <t>I</t>
        </is>
      </c>
      <c r="C4883" s="12" t="inlineStr">
        <is>
          <t>Modular / portable power</t>
        </is>
      </c>
      <c r="D4883" s="12" t="inlineStr">
        <is>
          <t>Analog instrument to JB JB-TM-2-AI01: 20 x 1 pr (field cables)</t>
        </is>
      </c>
      <c r="E4883" s="12" t="inlineStr">
        <is>
          <t>TM-2</t>
        </is>
      </c>
      <c r="F4883" s="12" t="inlineStr">
        <is>
          <t>TM-2: trailer-mounted aeroderivative GT (TM2500 class, ~35 MW)</t>
        </is>
      </c>
      <c r="G4883" s="12" t="inlineStr">
        <is>
          <t>JB-TM-2-AI01</t>
        </is>
      </c>
      <c r="H4883" s="12" t="inlineStr">
        <is>
          <t>TM-2: trailer-mounted aeroderivative GT (TM2500 class, ~35 MW)</t>
        </is>
      </c>
      <c r="I4883" s="12" t="inlineStr">
        <is>
          <t>Instrumentation</t>
        </is>
      </c>
      <c r="J4883" s="12" t="inlineStr">
        <is>
          <t>Instrumentation PLTC / TC-ER 300 V, #18 twisted shielded pairs, overall shield</t>
        </is>
      </c>
      <c r="K4883" s="12" t="inlineStr">
        <is>
          <t>PLTC|1 pr|16</t>
        </is>
      </c>
      <c r="L4883" s="12" t="inlineStr">
        <is>
          <t>1 pr</t>
        </is>
      </c>
      <c r="M4883" s="12" t="inlineStr">
        <is>
          <t>16</t>
        </is>
      </c>
      <c r="N4883" s="12" t="n">
        <v>20</v>
      </c>
      <c r="O4883" s="12" t="n">
        <v>1</v>
      </c>
      <c r="P4883" s="12" t="n"/>
      <c r="Q4883" s="12" t="n"/>
      <c r="R4883" s="12" t="n"/>
      <c r="S4883" s="12" t="inlineStr">
        <is>
          <t>Tray / conduit</t>
        </is>
      </c>
      <c r="T4883" s="16" t="n">
        <v>108</v>
      </c>
      <c r="U4883" s="16" t="n">
        <v>10</v>
      </c>
      <c r="V4883" s="16">
        <f>ROUNDUP((T4883+U4883+2*'Read Me'!$B$13)*(1+'Read Me'!$B$12),-1)</f>
        <v/>
      </c>
      <c r="W4883" s="16">
        <f>V4883*N4883*O4883</f>
        <v/>
      </c>
      <c r="X4883" s="12">
        <f>IF(LEFT(I4883,2)="MV",2*N4883*IF(L4883="1/C",O4883,1),0)</f>
        <v/>
      </c>
      <c r="Y4883" s="12">
        <f>IF(OR(LEFT(K4883,4)="LVAX",LEFT(K4883,6)="MV15AX",LEFT(K4883,4)="CTAX",LEFT(K4883,2)="W|"),2*N4883*O4883,0)</f>
        <v/>
      </c>
      <c r="Z4883" s="12" t="inlineStr">
        <is>
          <t>device-to-JB field wiring, one cable per device</t>
        </is>
      </c>
      <c r="AA4883" s="12">
        <f>N4883*O4883</f>
        <v/>
      </c>
    </row>
    <row r="4884">
      <c r="A4884" s="12" t="inlineStr">
        <is>
          <t>I-I-0526</t>
        </is>
      </c>
      <c r="B4884" s="12" t="inlineStr">
        <is>
          <t>I</t>
        </is>
      </c>
      <c r="C4884" s="12" t="inlineStr">
        <is>
          <t>Modular / portable power</t>
        </is>
      </c>
      <c r="D4884" s="12" t="inlineStr">
        <is>
          <t>Home run JB-TM-2-AI01 to the control / marshalling room</t>
        </is>
      </c>
      <c r="E4884" s="12" t="inlineStr">
        <is>
          <t>PAD-EH</t>
        </is>
      </c>
      <c r="F4884" s="12" t="inlineStr">
        <is>
          <t>PAD-EH 13.8 kV switchgear e-house</t>
        </is>
      </c>
      <c r="G4884" s="12" t="inlineStr">
        <is>
          <t>JB-TM-2-AI01</t>
        </is>
      </c>
      <c r="H4884" s="12" t="inlineStr">
        <is>
          <t>TM-2: trailer-mounted aeroderivative GT (TM2500 class, ~35 MW)</t>
        </is>
      </c>
      <c r="I4884" s="12" t="inlineStr">
        <is>
          <t>Instrumentation</t>
        </is>
      </c>
      <c r="J4884" s="12" t="inlineStr">
        <is>
          <t>Instrumentation PLTC / TC-ER 300 V, #18 twisted shielded pairs, overall shield</t>
        </is>
      </c>
      <c r="K4884" s="12" t="inlineStr">
        <is>
          <t>PLTC|24 pr|18</t>
        </is>
      </c>
      <c r="L4884" s="12" t="inlineStr">
        <is>
          <t>24 pr</t>
        </is>
      </c>
      <c r="M4884" s="12" t="inlineStr">
        <is>
          <t>18</t>
        </is>
      </c>
      <c r="N4884" s="12" t="n">
        <v>1</v>
      </c>
      <c r="O4884" s="12" t="n">
        <v>1</v>
      </c>
      <c r="P4884" s="12" t="n"/>
      <c r="Q4884" s="12" t="n"/>
      <c r="R4884" s="12" t="n"/>
      <c r="S4884" s="12" t="inlineStr">
        <is>
          <t>Surface</t>
        </is>
      </c>
      <c r="T4884" s="16" t="n">
        <v>386</v>
      </c>
      <c r="U4884" s="16" t="n">
        <v>52</v>
      </c>
      <c r="V4884" s="16">
        <f>ROUNDUP((T4884+U4884+2*'Read Me'!$B$13)*(1+'Read Me'!$B$12),-1)</f>
        <v/>
      </c>
      <c r="W4884" s="16">
        <f>V4884*N4884*O4884</f>
        <v/>
      </c>
      <c r="X4884" s="12">
        <f>IF(LEFT(I4884,2)="MV",2*N4884*IF(L4884="1/C",O4884,1),0)</f>
        <v/>
      </c>
      <c r="Y4884" s="12">
        <f>IF(OR(LEFT(K4884,4)="LVAX",LEFT(K4884,6)="MV15AX",LEFT(K4884,4)="CTAX",LEFT(K4884,2)="W|"),2*N4884*O4884,0)</f>
        <v/>
      </c>
      <c r="Z4884" s="12" t="inlineStr"/>
      <c r="AA4884" s="12">
        <f>N4884*O4884</f>
        <v/>
      </c>
    </row>
    <row r="4885">
      <c r="A4885" s="12" t="inlineStr">
        <is>
          <t>I-I-0527</t>
        </is>
      </c>
      <c r="B4885" s="12" t="inlineStr">
        <is>
          <t>I</t>
        </is>
      </c>
      <c r="C4885" s="12" t="inlineStr">
        <is>
          <t>Modular / portable power</t>
        </is>
      </c>
      <c r="D4885" s="12" t="inlineStr">
        <is>
          <t>Analog instrument to JB JB-TM-2-AI02: 20 x 1 pr (field cables)</t>
        </is>
      </c>
      <c r="E4885" s="12" t="inlineStr">
        <is>
          <t>TM-2</t>
        </is>
      </c>
      <c r="F4885" s="12" t="inlineStr">
        <is>
          <t>TM-2: trailer-mounted aeroderivative GT (TM2500 class, ~35 MW)</t>
        </is>
      </c>
      <c r="G4885" s="12" t="inlineStr">
        <is>
          <t>JB-TM-2-AI02</t>
        </is>
      </c>
      <c r="H4885" s="12" t="inlineStr">
        <is>
          <t>TM-2: trailer-mounted aeroderivative GT (TM2500 class, ~35 MW)</t>
        </is>
      </c>
      <c r="I4885" s="12" t="inlineStr">
        <is>
          <t>Instrumentation</t>
        </is>
      </c>
      <c r="J4885" s="12" t="inlineStr">
        <is>
          <t>Instrumentation PLTC / TC-ER 300 V, #18 twisted shielded pairs, overall shield</t>
        </is>
      </c>
      <c r="K4885" s="12" t="inlineStr">
        <is>
          <t>PLTC|1 pr|16</t>
        </is>
      </c>
      <c r="L4885" s="12" t="inlineStr">
        <is>
          <t>1 pr</t>
        </is>
      </c>
      <c r="M4885" s="12" t="inlineStr">
        <is>
          <t>16</t>
        </is>
      </c>
      <c r="N4885" s="12" t="n">
        <v>20</v>
      </c>
      <c r="O4885" s="12" t="n">
        <v>1</v>
      </c>
      <c r="P4885" s="12" t="n"/>
      <c r="Q4885" s="12" t="n"/>
      <c r="R4885" s="12" t="n"/>
      <c r="S4885" s="12" t="inlineStr">
        <is>
          <t>Tray / conduit</t>
        </is>
      </c>
      <c r="T4885" s="16" t="n">
        <v>108</v>
      </c>
      <c r="U4885" s="16" t="n">
        <v>10</v>
      </c>
      <c r="V4885" s="16">
        <f>ROUNDUP((T4885+U4885+2*'Read Me'!$B$13)*(1+'Read Me'!$B$12),-1)</f>
        <v/>
      </c>
      <c r="W4885" s="16">
        <f>V4885*N4885*O4885</f>
        <v/>
      </c>
      <c r="X4885" s="12">
        <f>IF(LEFT(I4885,2)="MV",2*N4885*IF(L4885="1/C",O4885,1),0)</f>
        <v/>
      </c>
      <c r="Y4885" s="12">
        <f>IF(OR(LEFT(K4885,4)="LVAX",LEFT(K4885,6)="MV15AX",LEFT(K4885,4)="CTAX",LEFT(K4885,2)="W|"),2*N4885*O4885,0)</f>
        <v/>
      </c>
      <c r="Z4885" s="12" t="inlineStr">
        <is>
          <t>device-to-JB field wiring, one cable per device</t>
        </is>
      </c>
      <c r="AA4885" s="12">
        <f>N4885*O4885</f>
        <v/>
      </c>
    </row>
    <row r="4886">
      <c r="A4886" s="12" t="inlineStr">
        <is>
          <t>I-I-0528</t>
        </is>
      </c>
      <c r="B4886" s="12" t="inlineStr">
        <is>
          <t>I</t>
        </is>
      </c>
      <c r="C4886" s="12" t="inlineStr">
        <is>
          <t>Modular / portable power</t>
        </is>
      </c>
      <c r="D4886" s="12" t="inlineStr">
        <is>
          <t>Home run JB-TM-2-AI02 to the control / marshalling room</t>
        </is>
      </c>
      <c r="E4886" s="12" t="inlineStr">
        <is>
          <t>PAD-EH</t>
        </is>
      </c>
      <c r="F4886" s="12" t="inlineStr">
        <is>
          <t>PAD-EH 13.8 kV switchgear e-house</t>
        </is>
      </c>
      <c r="G4886" s="12" t="inlineStr">
        <is>
          <t>JB-TM-2-AI02</t>
        </is>
      </c>
      <c r="H4886" s="12" t="inlineStr">
        <is>
          <t>TM-2: trailer-mounted aeroderivative GT (TM2500 class, ~35 MW)</t>
        </is>
      </c>
      <c r="I4886" s="12" t="inlineStr">
        <is>
          <t>Instrumentation</t>
        </is>
      </c>
      <c r="J4886" s="12" t="inlineStr">
        <is>
          <t>Instrumentation PLTC / TC-ER 300 V, #18 twisted shielded pairs, overall shield</t>
        </is>
      </c>
      <c r="K4886" s="12" t="inlineStr">
        <is>
          <t>PLTC|24 pr|18</t>
        </is>
      </c>
      <c r="L4886" s="12" t="inlineStr">
        <is>
          <t>24 pr</t>
        </is>
      </c>
      <c r="M4886" s="12" t="inlineStr">
        <is>
          <t>18</t>
        </is>
      </c>
      <c r="N4886" s="12" t="n">
        <v>1</v>
      </c>
      <c r="O4886" s="12" t="n">
        <v>1</v>
      </c>
      <c r="P4886" s="12" t="n"/>
      <c r="Q4886" s="12" t="n"/>
      <c r="R4886" s="12" t="n"/>
      <c r="S4886" s="12" t="inlineStr">
        <is>
          <t>Surface</t>
        </is>
      </c>
      <c r="T4886" s="16" t="n">
        <v>386</v>
      </c>
      <c r="U4886" s="16" t="n">
        <v>52</v>
      </c>
      <c r="V4886" s="16">
        <f>ROUNDUP((T4886+U4886+2*'Read Me'!$B$13)*(1+'Read Me'!$B$12),-1)</f>
        <v/>
      </c>
      <c r="W4886" s="16">
        <f>V4886*N4886*O4886</f>
        <v/>
      </c>
      <c r="X4886" s="12">
        <f>IF(LEFT(I4886,2)="MV",2*N4886*IF(L4886="1/C",O4886,1),0)</f>
        <v/>
      </c>
      <c r="Y4886" s="12">
        <f>IF(OR(LEFT(K4886,4)="LVAX",LEFT(K4886,6)="MV15AX",LEFT(K4886,4)="CTAX",LEFT(K4886,2)="W|"),2*N4886*O4886,0)</f>
        <v/>
      </c>
      <c r="Z4886" s="12" t="inlineStr"/>
      <c r="AA4886" s="12">
        <f>N4886*O4886</f>
        <v/>
      </c>
    </row>
    <row r="4887">
      <c r="A4887" s="12" t="inlineStr">
        <is>
          <t>I-I-0529</t>
        </is>
      </c>
      <c r="B4887" s="12" t="inlineStr">
        <is>
          <t>I</t>
        </is>
      </c>
      <c r="C4887" s="12" t="inlineStr">
        <is>
          <t>Modular / portable power</t>
        </is>
      </c>
      <c r="D4887" s="12" t="inlineStr">
        <is>
          <t>Analog instrument to JB JB-TM-2-AI03: 20 x 1 pr (field cables)</t>
        </is>
      </c>
      <c r="E4887" s="12" t="inlineStr">
        <is>
          <t>TM-2</t>
        </is>
      </c>
      <c r="F4887" s="12" t="inlineStr">
        <is>
          <t>TM-2: trailer-mounted aeroderivative GT (TM2500 class, ~35 MW)</t>
        </is>
      </c>
      <c r="G4887" s="12" t="inlineStr">
        <is>
          <t>JB-TM-2-AI03</t>
        </is>
      </c>
      <c r="H4887" s="12" t="inlineStr">
        <is>
          <t>TM-2: trailer-mounted aeroderivative GT (TM2500 class, ~35 MW)</t>
        </is>
      </c>
      <c r="I4887" s="12" t="inlineStr">
        <is>
          <t>Instrumentation</t>
        </is>
      </c>
      <c r="J4887" s="12" t="inlineStr">
        <is>
          <t>Instrumentation PLTC / TC-ER 300 V, #18 twisted shielded pairs, overall shield</t>
        </is>
      </c>
      <c r="K4887" s="12" t="inlineStr">
        <is>
          <t>PLTC|1 pr|16</t>
        </is>
      </c>
      <c r="L4887" s="12" t="inlineStr">
        <is>
          <t>1 pr</t>
        </is>
      </c>
      <c r="M4887" s="12" t="inlineStr">
        <is>
          <t>16</t>
        </is>
      </c>
      <c r="N4887" s="12" t="n">
        <v>20</v>
      </c>
      <c r="O4887" s="12" t="n">
        <v>1</v>
      </c>
      <c r="P4887" s="12" t="n"/>
      <c r="Q4887" s="12" t="n"/>
      <c r="R4887" s="12" t="n"/>
      <c r="S4887" s="12" t="inlineStr">
        <is>
          <t>Tray / conduit</t>
        </is>
      </c>
      <c r="T4887" s="16" t="n">
        <v>108</v>
      </c>
      <c r="U4887" s="16" t="n">
        <v>10</v>
      </c>
      <c r="V4887" s="16">
        <f>ROUNDUP((T4887+U4887+2*'Read Me'!$B$13)*(1+'Read Me'!$B$12),-1)</f>
        <v/>
      </c>
      <c r="W4887" s="16">
        <f>V4887*N4887*O4887</f>
        <v/>
      </c>
      <c r="X4887" s="12">
        <f>IF(LEFT(I4887,2)="MV",2*N4887*IF(L4887="1/C",O4887,1),0)</f>
        <v/>
      </c>
      <c r="Y4887" s="12">
        <f>IF(OR(LEFT(K4887,4)="LVAX",LEFT(K4887,6)="MV15AX",LEFT(K4887,4)="CTAX",LEFT(K4887,2)="W|"),2*N4887*O4887,0)</f>
        <v/>
      </c>
      <c r="Z4887" s="12" t="inlineStr">
        <is>
          <t>device-to-JB field wiring, one cable per device</t>
        </is>
      </c>
      <c r="AA4887" s="12">
        <f>N4887*O4887</f>
        <v/>
      </c>
    </row>
    <row r="4888">
      <c r="A4888" s="12" t="inlineStr">
        <is>
          <t>I-I-0530</t>
        </is>
      </c>
      <c r="B4888" s="12" t="inlineStr">
        <is>
          <t>I</t>
        </is>
      </c>
      <c r="C4888" s="12" t="inlineStr">
        <is>
          <t>Modular / portable power</t>
        </is>
      </c>
      <c r="D4888" s="12" t="inlineStr">
        <is>
          <t>Home run JB-TM-2-AI03 to the control / marshalling room</t>
        </is>
      </c>
      <c r="E4888" s="12" t="inlineStr">
        <is>
          <t>PAD-EH</t>
        </is>
      </c>
      <c r="F4888" s="12" t="inlineStr">
        <is>
          <t>PAD-EH 13.8 kV switchgear e-house</t>
        </is>
      </c>
      <c r="G4888" s="12" t="inlineStr">
        <is>
          <t>JB-TM-2-AI03</t>
        </is>
      </c>
      <c r="H4888" s="12" t="inlineStr">
        <is>
          <t>TM-2: trailer-mounted aeroderivative GT (TM2500 class, ~35 MW)</t>
        </is>
      </c>
      <c r="I4888" s="12" t="inlineStr">
        <is>
          <t>Instrumentation</t>
        </is>
      </c>
      <c r="J4888" s="12" t="inlineStr">
        <is>
          <t>Instrumentation PLTC / TC-ER 300 V, #18 twisted shielded pairs, overall shield</t>
        </is>
      </c>
      <c r="K4888" s="12" t="inlineStr">
        <is>
          <t>PLTC|24 pr|18</t>
        </is>
      </c>
      <c r="L4888" s="12" t="inlineStr">
        <is>
          <t>24 pr</t>
        </is>
      </c>
      <c r="M4888" s="12" t="inlineStr">
        <is>
          <t>18</t>
        </is>
      </c>
      <c r="N4888" s="12" t="n">
        <v>1</v>
      </c>
      <c r="O4888" s="12" t="n">
        <v>1</v>
      </c>
      <c r="P4888" s="12" t="n"/>
      <c r="Q4888" s="12" t="n"/>
      <c r="R4888" s="12" t="n"/>
      <c r="S4888" s="12" t="inlineStr">
        <is>
          <t>Surface</t>
        </is>
      </c>
      <c r="T4888" s="16" t="n">
        <v>386</v>
      </c>
      <c r="U4888" s="16" t="n">
        <v>52</v>
      </c>
      <c r="V4888" s="16">
        <f>ROUNDUP((T4888+U4888+2*'Read Me'!$B$13)*(1+'Read Me'!$B$12),-1)</f>
        <v/>
      </c>
      <c r="W4888" s="16">
        <f>V4888*N4888*O4888</f>
        <v/>
      </c>
      <c r="X4888" s="12">
        <f>IF(LEFT(I4888,2)="MV",2*N4888*IF(L4888="1/C",O4888,1),0)</f>
        <v/>
      </c>
      <c r="Y4888" s="12">
        <f>IF(OR(LEFT(K4888,4)="LVAX",LEFT(K4888,6)="MV15AX",LEFT(K4888,4)="CTAX",LEFT(K4888,2)="W|"),2*N4888*O4888,0)</f>
        <v/>
      </c>
      <c r="Z4888" s="12" t="inlineStr"/>
      <c r="AA4888" s="12">
        <f>N4888*O4888</f>
        <v/>
      </c>
    </row>
    <row r="4889">
      <c r="A4889" s="12" t="inlineStr">
        <is>
          <t>I-I-0531</t>
        </is>
      </c>
      <c r="B4889" s="12" t="inlineStr">
        <is>
          <t>I</t>
        </is>
      </c>
      <c r="C4889" s="12" t="inlineStr">
        <is>
          <t>Modular / portable power</t>
        </is>
      </c>
      <c r="D4889" s="12" t="inlineStr">
        <is>
          <t>Analog instrument to JB JB-TM-2-AI04: 20 x 1 pr (field cables)</t>
        </is>
      </c>
      <c r="E4889" s="12" t="inlineStr">
        <is>
          <t>TM-2</t>
        </is>
      </c>
      <c r="F4889" s="12" t="inlineStr">
        <is>
          <t>TM-2: trailer-mounted aeroderivative GT (TM2500 class, ~35 MW)</t>
        </is>
      </c>
      <c r="G4889" s="12" t="inlineStr">
        <is>
          <t>JB-TM-2-AI04</t>
        </is>
      </c>
      <c r="H4889" s="12" t="inlineStr">
        <is>
          <t>TM-2: trailer-mounted aeroderivative GT (TM2500 class, ~35 MW)</t>
        </is>
      </c>
      <c r="I4889" s="12" t="inlineStr">
        <is>
          <t>Instrumentation</t>
        </is>
      </c>
      <c r="J4889" s="12" t="inlineStr">
        <is>
          <t>Instrumentation PLTC / TC-ER 300 V, #18 twisted shielded pairs, overall shield</t>
        </is>
      </c>
      <c r="K4889" s="12" t="inlineStr">
        <is>
          <t>PLTC|1 pr|16</t>
        </is>
      </c>
      <c r="L4889" s="12" t="inlineStr">
        <is>
          <t>1 pr</t>
        </is>
      </c>
      <c r="M4889" s="12" t="inlineStr">
        <is>
          <t>16</t>
        </is>
      </c>
      <c r="N4889" s="12" t="n">
        <v>20</v>
      </c>
      <c r="O4889" s="12" t="n">
        <v>1</v>
      </c>
      <c r="P4889" s="12" t="n"/>
      <c r="Q4889" s="12" t="n"/>
      <c r="R4889" s="12" t="n"/>
      <c r="S4889" s="12" t="inlineStr">
        <is>
          <t>Tray / conduit</t>
        </is>
      </c>
      <c r="T4889" s="16" t="n">
        <v>108</v>
      </c>
      <c r="U4889" s="16" t="n">
        <v>10</v>
      </c>
      <c r="V4889" s="16">
        <f>ROUNDUP((T4889+U4889+2*'Read Me'!$B$13)*(1+'Read Me'!$B$12),-1)</f>
        <v/>
      </c>
      <c r="W4889" s="16">
        <f>V4889*N4889*O4889</f>
        <v/>
      </c>
      <c r="X4889" s="12">
        <f>IF(LEFT(I4889,2)="MV",2*N4889*IF(L4889="1/C",O4889,1),0)</f>
        <v/>
      </c>
      <c r="Y4889" s="12">
        <f>IF(OR(LEFT(K4889,4)="LVAX",LEFT(K4889,6)="MV15AX",LEFT(K4889,4)="CTAX",LEFT(K4889,2)="W|"),2*N4889*O4889,0)</f>
        <v/>
      </c>
      <c r="Z4889" s="12" t="inlineStr">
        <is>
          <t>device-to-JB field wiring, one cable per device</t>
        </is>
      </c>
      <c r="AA4889" s="12">
        <f>N4889*O4889</f>
        <v/>
      </c>
    </row>
    <row r="4890">
      <c r="A4890" s="12" t="inlineStr">
        <is>
          <t>I-I-0532</t>
        </is>
      </c>
      <c r="B4890" s="12" t="inlineStr">
        <is>
          <t>I</t>
        </is>
      </c>
      <c r="C4890" s="12" t="inlineStr">
        <is>
          <t>Modular / portable power</t>
        </is>
      </c>
      <c r="D4890" s="12" t="inlineStr">
        <is>
          <t>Home run JB-TM-2-AI04 to the control / marshalling room</t>
        </is>
      </c>
      <c r="E4890" s="12" t="inlineStr">
        <is>
          <t>PAD-EH</t>
        </is>
      </c>
      <c r="F4890" s="12" t="inlineStr">
        <is>
          <t>PAD-EH 13.8 kV switchgear e-house</t>
        </is>
      </c>
      <c r="G4890" s="12" t="inlineStr">
        <is>
          <t>JB-TM-2-AI04</t>
        </is>
      </c>
      <c r="H4890" s="12" t="inlineStr">
        <is>
          <t>TM-2: trailer-mounted aeroderivative GT (TM2500 class, ~35 MW)</t>
        </is>
      </c>
      <c r="I4890" s="12" t="inlineStr">
        <is>
          <t>Instrumentation</t>
        </is>
      </c>
      <c r="J4890" s="12" t="inlineStr">
        <is>
          <t>Instrumentation PLTC / TC-ER 300 V, #18 twisted shielded pairs, overall shield</t>
        </is>
      </c>
      <c r="K4890" s="12" t="inlineStr">
        <is>
          <t>PLTC|24 pr|18</t>
        </is>
      </c>
      <c r="L4890" s="12" t="inlineStr">
        <is>
          <t>24 pr</t>
        </is>
      </c>
      <c r="M4890" s="12" t="inlineStr">
        <is>
          <t>18</t>
        </is>
      </c>
      <c r="N4890" s="12" t="n">
        <v>1</v>
      </c>
      <c r="O4890" s="12" t="n">
        <v>1</v>
      </c>
      <c r="P4890" s="12" t="n"/>
      <c r="Q4890" s="12" t="n"/>
      <c r="R4890" s="12" t="n"/>
      <c r="S4890" s="12" t="inlineStr">
        <is>
          <t>Surface</t>
        </is>
      </c>
      <c r="T4890" s="16" t="n">
        <v>386</v>
      </c>
      <c r="U4890" s="16" t="n">
        <v>52</v>
      </c>
      <c r="V4890" s="16">
        <f>ROUNDUP((T4890+U4890+2*'Read Me'!$B$13)*(1+'Read Me'!$B$12),-1)</f>
        <v/>
      </c>
      <c r="W4890" s="16">
        <f>V4890*N4890*O4890</f>
        <v/>
      </c>
      <c r="X4890" s="12">
        <f>IF(LEFT(I4890,2)="MV",2*N4890*IF(L4890="1/C",O4890,1),0)</f>
        <v/>
      </c>
      <c r="Y4890" s="12">
        <f>IF(OR(LEFT(K4890,4)="LVAX",LEFT(K4890,6)="MV15AX",LEFT(K4890,4)="CTAX",LEFT(K4890,2)="W|"),2*N4890*O4890,0)</f>
        <v/>
      </c>
      <c r="Z4890" s="12" t="inlineStr"/>
      <c r="AA4890" s="12">
        <f>N4890*O4890</f>
        <v/>
      </c>
    </row>
    <row r="4891">
      <c r="A4891" s="12" t="inlineStr">
        <is>
          <t>I-I-0533</t>
        </is>
      </c>
      <c r="B4891" s="12" t="inlineStr">
        <is>
          <t>I</t>
        </is>
      </c>
      <c r="C4891" s="12" t="inlineStr">
        <is>
          <t>Modular / portable power</t>
        </is>
      </c>
      <c r="D4891" s="12" t="inlineStr">
        <is>
          <t>Analog instrument to JB JB-TM-2-AI05: 20 x 1 pr (field cables)</t>
        </is>
      </c>
      <c r="E4891" s="12" t="inlineStr">
        <is>
          <t>TM-2</t>
        </is>
      </c>
      <c r="F4891" s="12" t="inlineStr">
        <is>
          <t>TM-2: trailer-mounted aeroderivative GT (TM2500 class, ~35 MW)</t>
        </is>
      </c>
      <c r="G4891" s="12" t="inlineStr">
        <is>
          <t>JB-TM-2-AI05</t>
        </is>
      </c>
      <c r="H4891" s="12" t="inlineStr">
        <is>
          <t>TM-2: trailer-mounted aeroderivative GT (TM2500 class, ~35 MW)</t>
        </is>
      </c>
      <c r="I4891" s="12" t="inlineStr">
        <is>
          <t>Instrumentation</t>
        </is>
      </c>
      <c r="J4891" s="12" t="inlineStr">
        <is>
          <t>Instrumentation PLTC / TC-ER 300 V, #18 twisted shielded pairs, overall shield</t>
        </is>
      </c>
      <c r="K4891" s="12" t="inlineStr">
        <is>
          <t>PLTC|1 pr|16</t>
        </is>
      </c>
      <c r="L4891" s="12" t="inlineStr">
        <is>
          <t>1 pr</t>
        </is>
      </c>
      <c r="M4891" s="12" t="inlineStr">
        <is>
          <t>16</t>
        </is>
      </c>
      <c r="N4891" s="12" t="n">
        <v>20</v>
      </c>
      <c r="O4891" s="12" t="n">
        <v>1</v>
      </c>
      <c r="P4891" s="12" t="n"/>
      <c r="Q4891" s="12" t="n"/>
      <c r="R4891" s="12" t="n"/>
      <c r="S4891" s="12" t="inlineStr">
        <is>
          <t>Tray / conduit</t>
        </is>
      </c>
      <c r="T4891" s="16" t="n">
        <v>108</v>
      </c>
      <c r="U4891" s="16" t="n">
        <v>10</v>
      </c>
      <c r="V4891" s="16">
        <f>ROUNDUP((T4891+U4891+2*'Read Me'!$B$13)*(1+'Read Me'!$B$12),-1)</f>
        <v/>
      </c>
      <c r="W4891" s="16">
        <f>V4891*N4891*O4891</f>
        <v/>
      </c>
      <c r="X4891" s="12">
        <f>IF(LEFT(I4891,2)="MV",2*N4891*IF(L4891="1/C",O4891,1),0)</f>
        <v/>
      </c>
      <c r="Y4891" s="12">
        <f>IF(OR(LEFT(K4891,4)="LVAX",LEFT(K4891,6)="MV15AX",LEFT(K4891,4)="CTAX",LEFT(K4891,2)="W|"),2*N4891*O4891,0)</f>
        <v/>
      </c>
      <c r="Z4891" s="12" t="inlineStr">
        <is>
          <t>device-to-JB field wiring, one cable per device</t>
        </is>
      </c>
      <c r="AA4891" s="12">
        <f>N4891*O4891</f>
        <v/>
      </c>
    </row>
    <row r="4892">
      <c r="A4892" s="12" t="inlineStr">
        <is>
          <t>I-I-0534</t>
        </is>
      </c>
      <c r="B4892" s="12" t="inlineStr">
        <is>
          <t>I</t>
        </is>
      </c>
      <c r="C4892" s="12" t="inlineStr">
        <is>
          <t>Modular / portable power</t>
        </is>
      </c>
      <c r="D4892" s="12" t="inlineStr">
        <is>
          <t>Home run JB-TM-2-AI05 to the control / marshalling room</t>
        </is>
      </c>
      <c r="E4892" s="12" t="inlineStr">
        <is>
          <t>PAD-EH</t>
        </is>
      </c>
      <c r="F4892" s="12" t="inlineStr">
        <is>
          <t>PAD-EH 13.8 kV switchgear e-house</t>
        </is>
      </c>
      <c r="G4892" s="12" t="inlineStr">
        <is>
          <t>JB-TM-2-AI05</t>
        </is>
      </c>
      <c r="H4892" s="12" t="inlineStr">
        <is>
          <t>TM-2: trailer-mounted aeroderivative GT (TM2500 class, ~35 MW)</t>
        </is>
      </c>
      <c r="I4892" s="12" t="inlineStr">
        <is>
          <t>Instrumentation</t>
        </is>
      </c>
      <c r="J4892" s="12" t="inlineStr">
        <is>
          <t>Instrumentation PLTC / TC-ER 300 V, #18 twisted shielded pairs, overall shield</t>
        </is>
      </c>
      <c r="K4892" s="12" t="inlineStr">
        <is>
          <t>PLTC|24 pr|18</t>
        </is>
      </c>
      <c r="L4892" s="12" t="inlineStr">
        <is>
          <t>24 pr</t>
        </is>
      </c>
      <c r="M4892" s="12" t="inlineStr">
        <is>
          <t>18</t>
        </is>
      </c>
      <c r="N4892" s="12" t="n">
        <v>1</v>
      </c>
      <c r="O4892" s="12" t="n">
        <v>1</v>
      </c>
      <c r="P4892" s="12" t="n"/>
      <c r="Q4892" s="12" t="n"/>
      <c r="R4892" s="12" t="n"/>
      <c r="S4892" s="12" t="inlineStr">
        <is>
          <t>Surface</t>
        </is>
      </c>
      <c r="T4892" s="16" t="n">
        <v>386</v>
      </c>
      <c r="U4892" s="16" t="n">
        <v>52</v>
      </c>
      <c r="V4892" s="16">
        <f>ROUNDUP((T4892+U4892+2*'Read Me'!$B$13)*(1+'Read Me'!$B$12),-1)</f>
        <v/>
      </c>
      <c r="W4892" s="16">
        <f>V4892*N4892*O4892</f>
        <v/>
      </c>
      <c r="X4892" s="12">
        <f>IF(LEFT(I4892,2)="MV",2*N4892*IF(L4892="1/C",O4892,1),0)</f>
        <v/>
      </c>
      <c r="Y4892" s="12">
        <f>IF(OR(LEFT(K4892,4)="LVAX",LEFT(K4892,6)="MV15AX",LEFT(K4892,4)="CTAX",LEFT(K4892,2)="W|"),2*N4892*O4892,0)</f>
        <v/>
      </c>
      <c r="Z4892" s="12" t="inlineStr"/>
      <c r="AA4892" s="12">
        <f>N4892*O4892</f>
        <v/>
      </c>
    </row>
    <row r="4893">
      <c r="A4893" s="12" t="inlineStr">
        <is>
          <t>I-I-0535</t>
        </is>
      </c>
      <c r="B4893" s="12" t="inlineStr">
        <is>
          <t>I</t>
        </is>
      </c>
      <c r="C4893" s="12" t="inlineStr">
        <is>
          <t>Modular / portable power</t>
        </is>
      </c>
      <c r="D4893" s="12" t="inlineStr">
        <is>
          <t>Discrete device to JB JB-TM-2-DI01: 20 x 1 pr (field cables)</t>
        </is>
      </c>
      <c r="E4893" s="12" t="inlineStr">
        <is>
          <t>TM-2</t>
        </is>
      </c>
      <c r="F4893" s="12" t="inlineStr">
        <is>
          <t>TM-2: trailer-mounted aeroderivative GT (TM2500 class, ~35 MW)</t>
        </is>
      </c>
      <c r="G4893" s="12" t="inlineStr">
        <is>
          <t>JB-TM-2-DI01</t>
        </is>
      </c>
      <c r="H4893" s="12" t="inlineStr">
        <is>
          <t>TM-2: trailer-mounted aeroderivative GT (TM2500 class, ~35 MW)</t>
        </is>
      </c>
      <c r="I4893" s="12" t="inlineStr">
        <is>
          <t>Instrumentation</t>
        </is>
      </c>
      <c r="J4893" s="12" t="inlineStr">
        <is>
          <t>Instrumentation PLTC / TC-ER 300 V, #18 twisted shielded pairs, overall shield</t>
        </is>
      </c>
      <c r="K4893" s="12" t="inlineStr">
        <is>
          <t>PLTC|1 pr|16</t>
        </is>
      </c>
      <c r="L4893" s="12" t="inlineStr">
        <is>
          <t>1 pr</t>
        </is>
      </c>
      <c r="M4893" s="12" t="inlineStr">
        <is>
          <t>16</t>
        </is>
      </c>
      <c r="N4893" s="12" t="n">
        <v>20</v>
      </c>
      <c r="O4893" s="12" t="n">
        <v>1</v>
      </c>
      <c r="P4893" s="12" t="n"/>
      <c r="Q4893" s="12" t="n"/>
      <c r="R4893" s="12" t="n"/>
      <c r="S4893" s="12" t="inlineStr">
        <is>
          <t>Tray / conduit</t>
        </is>
      </c>
      <c r="T4893" s="16" t="n">
        <v>108</v>
      </c>
      <c r="U4893" s="16" t="n">
        <v>10</v>
      </c>
      <c r="V4893" s="16">
        <f>ROUNDUP((T4893+U4893+2*'Read Me'!$B$13)*(1+'Read Me'!$B$12),-1)</f>
        <v/>
      </c>
      <c r="W4893" s="16">
        <f>V4893*N4893*O4893</f>
        <v/>
      </c>
      <c r="X4893" s="12">
        <f>IF(LEFT(I4893,2)="MV",2*N4893*IF(L4893="1/C",O4893,1),0)</f>
        <v/>
      </c>
      <c r="Y4893" s="12">
        <f>IF(OR(LEFT(K4893,4)="LVAX",LEFT(K4893,6)="MV15AX",LEFT(K4893,4)="CTAX",LEFT(K4893,2)="W|"),2*N4893*O4893,0)</f>
        <v/>
      </c>
      <c r="Z4893" s="12" t="inlineStr">
        <is>
          <t>device-to-JB field wiring, one cable per device</t>
        </is>
      </c>
      <c r="AA4893" s="12">
        <f>N4893*O4893</f>
        <v/>
      </c>
    </row>
    <row r="4894">
      <c r="A4894" s="12" t="inlineStr">
        <is>
          <t>I-I-0536</t>
        </is>
      </c>
      <c r="B4894" s="12" t="inlineStr">
        <is>
          <t>I</t>
        </is>
      </c>
      <c r="C4894" s="12" t="inlineStr">
        <is>
          <t>Modular / portable power</t>
        </is>
      </c>
      <c r="D4894" s="12" t="inlineStr">
        <is>
          <t>Home run JB-TM-2-DI01 to the control / marshalling room</t>
        </is>
      </c>
      <c r="E4894" s="12" t="inlineStr">
        <is>
          <t>PAD-EH</t>
        </is>
      </c>
      <c r="F4894" s="12" t="inlineStr">
        <is>
          <t>PAD-EH 13.8 kV switchgear e-house</t>
        </is>
      </c>
      <c r="G4894" s="12" t="inlineStr">
        <is>
          <t>JB-TM-2-DI01</t>
        </is>
      </c>
      <c r="H4894" s="12" t="inlineStr">
        <is>
          <t>TM-2: trailer-mounted aeroderivative GT (TM2500 class, ~35 MW)</t>
        </is>
      </c>
      <c r="I4894" s="12" t="inlineStr">
        <is>
          <t>Instrumentation</t>
        </is>
      </c>
      <c r="J4894" s="12" t="inlineStr">
        <is>
          <t>Instrumentation PLTC / TC-ER 300 V, #18 twisted shielded pairs, overall shield</t>
        </is>
      </c>
      <c r="K4894" s="12" t="inlineStr">
        <is>
          <t>PLTC|24 pr|18</t>
        </is>
      </c>
      <c r="L4894" s="12" t="inlineStr">
        <is>
          <t>24 pr</t>
        </is>
      </c>
      <c r="M4894" s="12" t="inlineStr">
        <is>
          <t>18</t>
        </is>
      </c>
      <c r="N4894" s="12" t="n">
        <v>1</v>
      </c>
      <c r="O4894" s="12" t="n">
        <v>1</v>
      </c>
      <c r="P4894" s="12" t="n"/>
      <c r="Q4894" s="12" t="n"/>
      <c r="R4894" s="12" t="n"/>
      <c r="S4894" s="12" t="inlineStr">
        <is>
          <t>Surface</t>
        </is>
      </c>
      <c r="T4894" s="16" t="n">
        <v>386</v>
      </c>
      <c r="U4894" s="16" t="n">
        <v>52</v>
      </c>
      <c r="V4894" s="16">
        <f>ROUNDUP((T4894+U4894+2*'Read Me'!$B$13)*(1+'Read Me'!$B$12),-1)</f>
        <v/>
      </c>
      <c r="W4894" s="16">
        <f>V4894*N4894*O4894</f>
        <v/>
      </c>
      <c r="X4894" s="12">
        <f>IF(LEFT(I4894,2)="MV",2*N4894*IF(L4894="1/C",O4894,1),0)</f>
        <v/>
      </c>
      <c r="Y4894" s="12">
        <f>IF(OR(LEFT(K4894,4)="LVAX",LEFT(K4894,6)="MV15AX",LEFT(K4894,4)="CTAX",LEFT(K4894,2)="W|"),2*N4894*O4894,0)</f>
        <v/>
      </c>
      <c r="Z4894" s="12" t="inlineStr"/>
      <c r="AA4894" s="12">
        <f>N4894*O4894</f>
        <v/>
      </c>
    </row>
    <row r="4895">
      <c r="A4895" s="12" t="inlineStr">
        <is>
          <t>I-I-0537</t>
        </is>
      </c>
      <c r="B4895" s="12" t="inlineStr">
        <is>
          <t>I</t>
        </is>
      </c>
      <c r="C4895" s="12" t="inlineStr">
        <is>
          <t>Modular / portable power</t>
        </is>
      </c>
      <c r="D4895" s="12" t="inlineStr">
        <is>
          <t>Discrete device to JB JB-TM-2-DI02: 20 x 1 pr (field cables)</t>
        </is>
      </c>
      <c r="E4895" s="12" t="inlineStr">
        <is>
          <t>TM-2</t>
        </is>
      </c>
      <c r="F4895" s="12" t="inlineStr">
        <is>
          <t>TM-2: trailer-mounted aeroderivative GT (TM2500 class, ~35 MW)</t>
        </is>
      </c>
      <c r="G4895" s="12" t="inlineStr">
        <is>
          <t>JB-TM-2-DI02</t>
        </is>
      </c>
      <c r="H4895" s="12" t="inlineStr">
        <is>
          <t>TM-2: trailer-mounted aeroderivative GT (TM2500 class, ~35 MW)</t>
        </is>
      </c>
      <c r="I4895" s="12" t="inlineStr">
        <is>
          <t>Instrumentation</t>
        </is>
      </c>
      <c r="J4895" s="12" t="inlineStr">
        <is>
          <t>Instrumentation PLTC / TC-ER 300 V, #18 twisted shielded pairs, overall shield</t>
        </is>
      </c>
      <c r="K4895" s="12" t="inlineStr">
        <is>
          <t>PLTC|1 pr|16</t>
        </is>
      </c>
      <c r="L4895" s="12" t="inlineStr">
        <is>
          <t>1 pr</t>
        </is>
      </c>
      <c r="M4895" s="12" t="inlineStr">
        <is>
          <t>16</t>
        </is>
      </c>
      <c r="N4895" s="12" t="n">
        <v>20</v>
      </c>
      <c r="O4895" s="12" t="n">
        <v>1</v>
      </c>
      <c r="P4895" s="12" t="n"/>
      <c r="Q4895" s="12" t="n"/>
      <c r="R4895" s="12" t="n"/>
      <c r="S4895" s="12" t="inlineStr">
        <is>
          <t>Tray / conduit</t>
        </is>
      </c>
      <c r="T4895" s="16" t="n">
        <v>108</v>
      </c>
      <c r="U4895" s="16" t="n">
        <v>10</v>
      </c>
      <c r="V4895" s="16">
        <f>ROUNDUP((T4895+U4895+2*'Read Me'!$B$13)*(1+'Read Me'!$B$12),-1)</f>
        <v/>
      </c>
      <c r="W4895" s="16">
        <f>V4895*N4895*O4895</f>
        <v/>
      </c>
      <c r="X4895" s="12">
        <f>IF(LEFT(I4895,2)="MV",2*N4895*IF(L4895="1/C",O4895,1),0)</f>
        <v/>
      </c>
      <c r="Y4895" s="12">
        <f>IF(OR(LEFT(K4895,4)="LVAX",LEFT(K4895,6)="MV15AX",LEFT(K4895,4)="CTAX",LEFT(K4895,2)="W|"),2*N4895*O4895,0)</f>
        <v/>
      </c>
      <c r="Z4895" s="12" t="inlineStr">
        <is>
          <t>device-to-JB field wiring, one cable per device</t>
        </is>
      </c>
      <c r="AA4895" s="12">
        <f>N4895*O4895</f>
        <v/>
      </c>
    </row>
    <row r="4896">
      <c r="A4896" s="12" t="inlineStr">
        <is>
          <t>I-I-0538</t>
        </is>
      </c>
      <c r="B4896" s="12" t="inlineStr">
        <is>
          <t>I</t>
        </is>
      </c>
      <c r="C4896" s="12" t="inlineStr">
        <is>
          <t>Modular / portable power</t>
        </is>
      </c>
      <c r="D4896" s="12" t="inlineStr">
        <is>
          <t>Home run JB-TM-2-DI02 to the control / marshalling room</t>
        </is>
      </c>
      <c r="E4896" s="12" t="inlineStr">
        <is>
          <t>PAD-EH</t>
        </is>
      </c>
      <c r="F4896" s="12" t="inlineStr">
        <is>
          <t>PAD-EH 13.8 kV switchgear e-house</t>
        </is>
      </c>
      <c r="G4896" s="12" t="inlineStr">
        <is>
          <t>JB-TM-2-DI02</t>
        </is>
      </c>
      <c r="H4896" s="12" t="inlineStr">
        <is>
          <t>TM-2: trailer-mounted aeroderivative GT (TM2500 class, ~35 MW)</t>
        </is>
      </c>
      <c r="I4896" s="12" t="inlineStr">
        <is>
          <t>Instrumentation</t>
        </is>
      </c>
      <c r="J4896" s="12" t="inlineStr">
        <is>
          <t>Instrumentation PLTC / TC-ER 300 V, #18 twisted shielded pairs, overall shield</t>
        </is>
      </c>
      <c r="K4896" s="12" t="inlineStr">
        <is>
          <t>PLTC|24 pr|18</t>
        </is>
      </c>
      <c r="L4896" s="12" t="inlineStr">
        <is>
          <t>24 pr</t>
        </is>
      </c>
      <c r="M4896" s="12" t="inlineStr">
        <is>
          <t>18</t>
        </is>
      </c>
      <c r="N4896" s="12" t="n">
        <v>1</v>
      </c>
      <c r="O4896" s="12" t="n">
        <v>1</v>
      </c>
      <c r="P4896" s="12" t="n"/>
      <c r="Q4896" s="12" t="n"/>
      <c r="R4896" s="12" t="n"/>
      <c r="S4896" s="12" t="inlineStr">
        <is>
          <t>Surface</t>
        </is>
      </c>
      <c r="T4896" s="16" t="n">
        <v>386</v>
      </c>
      <c r="U4896" s="16" t="n">
        <v>52</v>
      </c>
      <c r="V4896" s="16">
        <f>ROUNDUP((T4896+U4896+2*'Read Me'!$B$13)*(1+'Read Me'!$B$12),-1)</f>
        <v/>
      </c>
      <c r="W4896" s="16">
        <f>V4896*N4896*O4896</f>
        <v/>
      </c>
      <c r="X4896" s="12">
        <f>IF(LEFT(I4896,2)="MV",2*N4896*IF(L4896="1/C",O4896,1),0)</f>
        <v/>
      </c>
      <c r="Y4896" s="12">
        <f>IF(OR(LEFT(K4896,4)="LVAX",LEFT(K4896,6)="MV15AX",LEFT(K4896,4)="CTAX",LEFT(K4896,2)="W|"),2*N4896*O4896,0)</f>
        <v/>
      </c>
      <c r="Z4896" s="12" t="inlineStr"/>
      <c r="AA4896" s="12">
        <f>N4896*O4896</f>
        <v/>
      </c>
    </row>
    <row r="4897">
      <c r="A4897" s="12" t="inlineStr">
        <is>
          <t>I-I-0539</t>
        </is>
      </c>
      <c r="B4897" s="12" t="inlineStr">
        <is>
          <t>I</t>
        </is>
      </c>
      <c r="C4897" s="12" t="inlineStr">
        <is>
          <t>Modular / portable power</t>
        </is>
      </c>
      <c r="D4897" s="12" t="inlineStr">
        <is>
          <t>Discrete device to JB JB-TM-2-DI03: 20 x 1 pr (field cables)</t>
        </is>
      </c>
      <c r="E4897" s="12" t="inlineStr">
        <is>
          <t>TM-2</t>
        </is>
      </c>
      <c r="F4897" s="12" t="inlineStr">
        <is>
          <t>TM-2: trailer-mounted aeroderivative GT (TM2500 class, ~35 MW)</t>
        </is>
      </c>
      <c r="G4897" s="12" t="inlineStr">
        <is>
          <t>JB-TM-2-DI03</t>
        </is>
      </c>
      <c r="H4897" s="12" t="inlineStr">
        <is>
          <t>TM-2: trailer-mounted aeroderivative GT (TM2500 class, ~35 MW)</t>
        </is>
      </c>
      <c r="I4897" s="12" t="inlineStr">
        <is>
          <t>Instrumentation</t>
        </is>
      </c>
      <c r="J4897" s="12" t="inlineStr">
        <is>
          <t>Instrumentation PLTC / TC-ER 300 V, #18 twisted shielded pairs, overall shield</t>
        </is>
      </c>
      <c r="K4897" s="12" t="inlineStr">
        <is>
          <t>PLTC|1 pr|16</t>
        </is>
      </c>
      <c r="L4897" s="12" t="inlineStr">
        <is>
          <t>1 pr</t>
        </is>
      </c>
      <c r="M4897" s="12" t="inlineStr">
        <is>
          <t>16</t>
        </is>
      </c>
      <c r="N4897" s="12" t="n">
        <v>20</v>
      </c>
      <c r="O4897" s="12" t="n">
        <v>1</v>
      </c>
      <c r="P4897" s="12" t="n"/>
      <c r="Q4897" s="12" t="n"/>
      <c r="R4897" s="12" t="n"/>
      <c r="S4897" s="12" t="inlineStr">
        <is>
          <t>Tray / conduit</t>
        </is>
      </c>
      <c r="T4897" s="16" t="n">
        <v>108</v>
      </c>
      <c r="U4897" s="16" t="n">
        <v>10</v>
      </c>
      <c r="V4897" s="16">
        <f>ROUNDUP((T4897+U4897+2*'Read Me'!$B$13)*(1+'Read Me'!$B$12),-1)</f>
        <v/>
      </c>
      <c r="W4897" s="16">
        <f>V4897*N4897*O4897</f>
        <v/>
      </c>
      <c r="X4897" s="12">
        <f>IF(LEFT(I4897,2)="MV",2*N4897*IF(L4897="1/C",O4897,1),0)</f>
        <v/>
      </c>
      <c r="Y4897" s="12">
        <f>IF(OR(LEFT(K4897,4)="LVAX",LEFT(K4897,6)="MV15AX",LEFT(K4897,4)="CTAX",LEFT(K4897,2)="W|"),2*N4897*O4897,0)</f>
        <v/>
      </c>
      <c r="Z4897" s="12" t="inlineStr">
        <is>
          <t>device-to-JB field wiring, one cable per device</t>
        </is>
      </c>
      <c r="AA4897" s="12">
        <f>N4897*O4897</f>
        <v/>
      </c>
    </row>
    <row r="4898">
      <c r="A4898" s="12" t="inlineStr">
        <is>
          <t>I-I-0540</t>
        </is>
      </c>
      <c r="B4898" s="12" t="inlineStr">
        <is>
          <t>I</t>
        </is>
      </c>
      <c r="C4898" s="12" t="inlineStr">
        <is>
          <t>Modular / portable power</t>
        </is>
      </c>
      <c r="D4898" s="12" t="inlineStr">
        <is>
          <t>Home run JB-TM-2-DI03 to the control / marshalling room</t>
        </is>
      </c>
      <c r="E4898" s="12" t="inlineStr">
        <is>
          <t>PAD-EH</t>
        </is>
      </c>
      <c r="F4898" s="12" t="inlineStr">
        <is>
          <t>PAD-EH 13.8 kV switchgear e-house</t>
        </is>
      </c>
      <c r="G4898" s="12" t="inlineStr">
        <is>
          <t>JB-TM-2-DI03</t>
        </is>
      </c>
      <c r="H4898" s="12" t="inlineStr">
        <is>
          <t>TM-2: trailer-mounted aeroderivative GT (TM2500 class, ~35 MW)</t>
        </is>
      </c>
      <c r="I4898" s="12" t="inlineStr">
        <is>
          <t>Instrumentation</t>
        </is>
      </c>
      <c r="J4898" s="12" t="inlineStr">
        <is>
          <t>Instrumentation PLTC / TC-ER 300 V, #18 twisted shielded pairs, overall shield</t>
        </is>
      </c>
      <c r="K4898" s="12" t="inlineStr">
        <is>
          <t>PLTC|24 pr|18</t>
        </is>
      </c>
      <c r="L4898" s="12" t="inlineStr">
        <is>
          <t>24 pr</t>
        </is>
      </c>
      <c r="M4898" s="12" t="inlineStr">
        <is>
          <t>18</t>
        </is>
      </c>
      <c r="N4898" s="12" t="n">
        <v>1</v>
      </c>
      <c r="O4898" s="12" t="n">
        <v>1</v>
      </c>
      <c r="P4898" s="12" t="n"/>
      <c r="Q4898" s="12" t="n"/>
      <c r="R4898" s="12" t="n"/>
      <c r="S4898" s="12" t="inlineStr">
        <is>
          <t>Surface</t>
        </is>
      </c>
      <c r="T4898" s="16" t="n">
        <v>386</v>
      </c>
      <c r="U4898" s="16" t="n">
        <v>52</v>
      </c>
      <c r="V4898" s="16">
        <f>ROUNDUP((T4898+U4898+2*'Read Me'!$B$13)*(1+'Read Me'!$B$12),-1)</f>
        <v/>
      </c>
      <c r="W4898" s="16">
        <f>V4898*N4898*O4898</f>
        <v/>
      </c>
      <c r="X4898" s="12">
        <f>IF(LEFT(I4898,2)="MV",2*N4898*IF(L4898="1/C",O4898,1),0)</f>
        <v/>
      </c>
      <c r="Y4898" s="12">
        <f>IF(OR(LEFT(K4898,4)="LVAX",LEFT(K4898,6)="MV15AX",LEFT(K4898,4)="CTAX",LEFT(K4898,2)="W|"),2*N4898*O4898,0)</f>
        <v/>
      </c>
      <c r="Z4898" s="12" t="inlineStr"/>
      <c r="AA4898" s="12">
        <f>N4898*O4898</f>
        <v/>
      </c>
    </row>
    <row r="4899">
      <c r="A4899" s="12" t="inlineStr">
        <is>
          <t>I-I-0541</t>
        </is>
      </c>
      <c r="B4899" s="12" t="inlineStr">
        <is>
          <t>I</t>
        </is>
      </c>
      <c r="C4899" s="12" t="inlineStr">
        <is>
          <t>Modular / portable power</t>
        </is>
      </c>
      <c r="D4899" s="12" t="inlineStr">
        <is>
          <t>Thermocouple to TC JB JB-TM-2-TC01: 20 x 1 pr (field cables)</t>
        </is>
      </c>
      <c r="E4899" s="12" t="inlineStr">
        <is>
          <t>TM-2</t>
        </is>
      </c>
      <c r="F4899" s="12" t="inlineStr">
        <is>
          <t>TM-2: trailer-mounted aeroderivative GT (TM2500 class, ~35 MW)</t>
        </is>
      </c>
      <c r="G4899" s="12" t="inlineStr">
        <is>
          <t>JB-TM-2-TC01</t>
        </is>
      </c>
      <c r="H4899" s="12" t="inlineStr">
        <is>
          <t>TM-2: trailer-mounted aeroderivative GT (TM2500 class, ~35 MW)</t>
        </is>
      </c>
      <c r="I4899" s="12" t="inlineStr">
        <is>
          <t>Instrumentation</t>
        </is>
      </c>
      <c r="J4899" s="12" t="inlineStr">
        <is>
          <t>Thermocouple extension KX, #16 shielded pairs, PLTC</t>
        </is>
      </c>
      <c r="K4899" s="12" t="inlineStr">
        <is>
          <t>TCX|1 pr|16</t>
        </is>
      </c>
      <c r="L4899" s="12" t="inlineStr">
        <is>
          <t>1 pr</t>
        </is>
      </c>
      <c r="M4899" s="12" t="inlineStr">
        <is>
          <t>16</t>
        </is>
      </c>
      <c r="N4899" s="12" t="n">
        <v>20</v>
      </c>
      <c r="O4899" s="12" t="n">
        <v>1</v>
      </c>
      <c r="P4899" s="12" t="n"/>
      <c r="Q4899" s="12" t="n"/>
      <c r="R4899" s="12" t="n"/>
      <c r="S4899" s="12" t="inlineStr">
        <is>
          <t>Tray / conduit</t>
        </is>
      </c>
      <c r="T4899" s="16" t="n">
        <v>108</v>
      </c>
      <c r="U4899" s="16" t="n">
        <v>10</v>
      </c>
      <c r="V4899" s="16">
        <f>ROUNDUP((T4899+U4899+2*'Read Me'!$B$13)*(1+'Read Me'!$B$12),-1)</f>
        <v/>
      </c>
      <c r="W4899" s="16">
        <f>V4899*N4899*O4899</f>
        <v/>
      </c>
      <c r="X4899" s="12">
        <f>IF(LEFT(I4899,2)="MV",2*N4899*IF(L4899="1/C",O4899,1),0)</f>
        <v/>
      </c>
      <c r="Y4899" s="12">
        <f>IF(OR(LEFT(K4899,4)="LVAX",LEFT(K4899,6)="MV15AX",LEFT(K4899,4)="CTAX",LEFT(K4899,2)="W|"),2*N4899*O4899,0)</f>
        <v/>
      </c>
      <c r="Z4899" s="12" t="inlineStr">
        <is>
          <t>device-to-JB field wiring, one cable per device</t>
        </is>
      </c>
      <c r="AA4899" s="12">
        <f>N4899*O4899</f>
        <v/>
      </c>
    </row>
    <row r="4900">
      <c r="A4900" s="12" t="inlineStr">
        <is>
          <t>I-I-0542</t>
        </is>
      </c>
      <c r="B4900" s="12" t="inlineStr">
        <is>
          <t>I</t>
        </is>
      </c>
      <c r="C4900" s="12" t="inlineStr">
        <is>
          <t>Modular / portable power</t>
        </is>
      </c>
      <c r="D4900" s="12" t="inlineStr">
        <is>
          <t>Home run JB-TM-2-TC01 to the control / marshalling room</t>
        </is>
      </c>
      <c r="E4900" s="12" t="inlineStr">
        <is>
          <t>PAD-EH</t>
        </is>
      </c>
      <c r="F4900" s="12" t="inlineStr">
        <is>
          <t>PAD-EH 13.8 kV switchgear e-house</t>
        </is>
      </c>
      <c r="G4900" s="12" t="inlineStr">
        <is>
          <t>JB-TM-2-TC01</t>
        </is>
      </c>
      <c r="H4900" s="12" t="inlineStr">
        <is>
          <t>TM-2: trailer-mounted aeroderivative GT (TM2500 class, ~35 MW)</t>
        </is>
      </c>
      <c r="I4900" s="12" t="inlineStr">
        <is>
          <t>Instrumentation</t>
        </is>
      </c>
      <c r="J4900" s="12" t="inlineStr">
        <is>
          <t>Thermocouple extension KX, #16 shielded pairs, PLTC</t>
        </is>
      </c>
      <c r="K4900" s="12" t="inlineStr">
        <is>
          <t>TCX|24 pr|16</t>
        </is>
      </c>
      <c r="L4900" s="12" t="inlineStr">
        <is>
          <t>24 pr</t>
        </is>
      </c>
      <c r="M4900" s="12" t="inlineStr">
        <is>
          <t>16</t>
        </is>
      </c>
      <c r="N4900" s="12" t="n">
        <v>1</v>
      </c>
      <c r="O4900" s="12" t="n">
        <v>1</v>
      </c>
      <c r="P4900" s="12" t="n"/>
      <c r="Q4900" s="12" t="n"/>
      <c r="R4900" s="12" t="n"/>
      <c r="S4900" s="12" t="inlineStr">
        <is>
          <t>Surface</t>
        </is>
      </c>
      <c r="T4900" s="16" t="n">
        <v>386</v>
      </c>
      <c r="U4900" s="16" t="n">
        <v>52</v>
      </c>
      <c r="V4900" s="16">
        <f>ROUNDUP((T4900+U4900+2*'Read Me'!$B$13)*(1+'Read Me'!$B$12),-1)</f>
        <v/>
      </c>
      <c r="W4900" s="16">
        <f>V4900*N4900*O4900</f>
        <v/>
      </c>
      <c r="X4900" s="12">
        <f>IF(LEFT(I4900,2)="MV",2*N4900*IF(L4900="1/C",O4900,1),0)</f>
        <v/>
      </c>
      <c r="Y4900" s="12">
        <f>IF(OR(LEFT(K4900,4)="LVAX",LEFT(K4900,6)="MV15AX",LEFT(K4900,4)="CTAX",LEFT(K4900,2)="W|"),2*N4900*O4900,0)</f>
        <v/>
      </c>
      <c r="Z4900" s="12" t="inlineStr"/>
      <c r="AA4900" s="12">
        <f>N4900*O4900</f>
        <v/>
      </c>
    </row>
    <row r="4901">
      <c r="A4901" s="12" t="inlineStr">
        <is>
          <t>I-I-0543</t>
        </is>
      </c>
      <c r="B4901" s="12" t="inlineStr">
        <is>
          <t>I</t>
        </is>
      </c>
      <c r="C4901" s="12" t="inlineStr">
        <is>
          <t>Modular / portable power</t>
        </is>
      </c>
      <c r="D4901" s="12" t="inlineStr">
        <is>
          <t>Instrumentation</t>
        </is>
      </c>
      <c r="E4901" s="12" t="inlineStr"/>
      <c r="F4901" s="12" t="inlineStr">
        <is>
          <t>PCM: power control module</t>
        </is>
      </c>
      <c r="G4901" s="12" t="inlineStr"/>
      <c r="H4901" s="12" t="inlineStr">
        <is>
          <t>Water-injection skid</t>
        </is>
      </c>
      <c r="I4901" s="12" t="inlineStr">
        <is>
          <t>Instrumentation</t>
        </is>
      </c>
      <c r="J4901" s="12" t="inlineStr">
        <is>
          <t>Instrumentation PLTC / TC-ER 300 V, #18 twisted shielded pairs, overall shield</t>
        </is>
      </c>
      <c r="K4901" s="12" t="inlineStr">
        <is>
          <t>PLTC|4 pr|18</t>
        </is>
      </c>
      <c r="L4901" s="12" t="inlineStr">
        <is>
          <t>4 pr</t>
        </is>
      </c>
      <c r="M4901" s="12" t="inlineStr">
        <is>
          <t>18</t>
        </is>
      </c>
      <c r="N4901" s="12" t="n">
        <v>1</v>
      </c>
      <c r="O4901" s="12" t="n">
        <v>1</v>
      </c>
      <c r="P4901" s="12" t="n"/>
      <c r="Q4901" s="12" t="n"/>
      <c r="R4901" s="12" t="n"/>
      <c r="S4901" s="12" t="inlineStr">
        <is>
          <t>HV duct bank</t>
        </is>
      </c>
      <c r="T4901" s="16" t="n">
        <v>4299</v>
      </c>
      <c r="U4901" s="16" t="n">
        <v>87</v>
      </c>
      <c r="V4901" s="16">
        <f>ROUNDUP((T4901+U4901+2*'Read Me'!$B$13)*(1+'Read Me'!$B$12),-1)</f>
        <v/>
      </c>
      <c r="W4901" s="16">
        <f>V4901*N4901*O4901</f>
        <v/>
      </c>
      <c r="X4901" s="12">
        <f>IF(LEFT(I4901,2)="MV",2*N4901*IF(L4901="1/C",O4901,1),0)</f>
        <v/>
      </c>
      <c r="Y4901" s="12">
        <f>IF(OR(LEFT(K4901,4)="LVAX",LEFT(K4901,6)="MV15AX",LEFT(K4901,4)="CTAX",LEFT(K4901,2)="W|"),2*N4901*O4901,0)</f>
        <v/>
      </c>
      <c r="Z4901" s="12" t="inlineStr"/>
      <c r="AA4901" s="12">
        <f>N4901*O4901</f>
        <v/>
      </c>
    </row>
    <row r="4902">
      <c r="A4902" s="12" t="inlineStr">
        <is>
          <t>I-I-0544</t>
        </is>
      </c>
      <c r="B4902" s="12" t="inlineStr">
        <is>
          <t>I</t>
        </is>
      </c>
      <c r="C4902" s="12" t="inlineStr">
        <is>
          <t>Modular / portable power</t>
        </is>
      </c>
      <c r="D4902" s="12" t="inlineStr">
        <is>
          <t>Instrumentation</t>
        </is>
      </c>
      <c r="E4902" s="12" t="inlineStr"/>
      <c r="F4902" s="12" t="inlineStr">
        <is>
          <t>PCM: power control module</t>
        </is>
      </c>
      <c r="G4902" s="12" t="inlineStr"/>
      <c r="H4902" s="12" t="inlineStr">
        <is>
          <t>Water-injection skid</t>
        </is>
      </c>
      <c r="I4902" s="12" t="inlineStr">
        <is>
          <t>Instrumentation</t>
        </is>
      </c>
      <c r="J4902" s="12" t="inlineStr">
        <is>
          <t>Instrumentation PLTC / TC-ER 300 V, #18 twisted shielded pairs, overall shield</t>
        </is>
      </c>
      <c r="K4902" s="12" t="inlineStr">
        <is>
          <t>PLTC|12 pr|18</t>
        </is>
      </c>
      <c r="L4902" s="12" t="inlineStr">
        <is>
          <t>12 pr</t>
        </is>
      </c>
      <c r="M4902" s="12" t="inlineStr">
        <is>
          <t>18</t>
        </is>
      </c>
      <c r="N4902" s="12" t="n">
        <v>1</v>
      </c>
      <c r="O4902" s="12" t="n">
        <v>1</v>
      </c>
      <c r="P4902" s="12" t="n"/>
      <c r="Q4902" s="12" t="n"/>
      <c r="R4902" s="12" t="n"/>
      <c r="S4902" s="12" t="inlineStr">
        <is>
          <t>HV duct bank</t>
        </is>
      </c>
      <c r="T4902" s="16" t="n">
        <v>4299</v>
      </c>
      <c r="U4902" s="16" t="n">
        <v>87</v>
      </c>
      <c r="V4902" s="16">
        <f>ROUNDUP((T4902+U4902+2*'Read Me'!$B$13)*(1+'Read Me'!$B$12),-1)</f>
        <v/>
      </c>
      <c r="W4902" s="16">
        <f>V4902*N4902*O4902</f>
        <v/>
      </c>
      <c r="X4902" s="12">
        <f>IF(LEFT(I4902,2)="MV",2*N4902*IF(L4902="1/C",O4902,1),0)</f>
        <v/>
      </c>
      <c r="Y4902" s="12">
        <f>IF(OR(LEFT(K4902,4)="LVAX",LEFT(K4902,6)="MV15AX",LEFT(K4902,4)="CTAX",LEFT(K4902,2)="W|"),2*N4902*O4902,0)</f>
        <v/>
      </c>
      <c r="Z4902" s="12" t="inlineStr"/>
      <c r="AA4902" s="12">
        <f>N4902*O4902</f>
        <v/>
      </c>
    </row>
    <row r="4903">
      <c r="A4903" s="12" t="inlineStr">
        <is>
          <t>I-P-0001</t>
        </is>
      </c>
      <c r="B4903" s="12" t="inlineStr">
        <is>
          <t>I</t>
        </is>
      </c>
      <c r="C4903" s="12" t="inlineStr">
        <is>
          <t>Modular / portable power</t>
        </is>
      </c>
      <c r="D4903" s="12" t="inlineStr">
        <is>
          <t>LV power feeder</t>
        </is>
      </c>
      <c r="E4903" s="12" t="inlineStr"/>
      <c r="F4903" s="12" t="inlineStr">
        <is>
          <t>MOD-LV 480 V board + 480 V : 13.8 kV step-up</t>
        </is>
      </c>
      <c r="G4903" s="12" t="inlineStr"/>
      <c r="H4903" s="12" t="inlineStr">
        <is>
          <t>Aqueous ammonia (SC units)</t>
        </is>
      </c>
      <c r="I4903" s="12" t="inlineStr">
        <is>
          <t>LV 600 V</t>
        </is>
      </c>
      <c r="J4903" s="12" t="inlineStr">
        <is>
          <t>Type TC-ER 600 V 3/C Cu XHHW-2 + ground, PVC jacket</t>
        </is>
      </c>
      <c r="K4903" s="12" t="inlineStr">
        <is>
          <t>LV|3/C+G|1/0</t>
        </is>
      </c>
      <c r="L4903" s="12" t="inlineStr">
        <is>
          <t>3/C+G</t>
        </is>
      </c>
      <c r="M4903" s="12" t="inlineStr">
        <is>
          <t>1/0</t>
        </is>
      </c>
      <c r="N4903" s="12" t="n">
        <v>1</v>
      </c>
      <c r="O4903" s="12" t="n">
        <v>1</v>
      </c>
      <c r="P4903" s="12" t="n">
        <v>480</v>
      </c>
      <c r="Q4903" s="12" t="n">
        <v>10</v>
      </c>
      <c r="R4903" s="12" t="n">
        <v>14.2</v>
      </c>
      <c r="S4903" s="12" t="inlineStr">
        <is>
          <t>HV duct bank</t>
        </is>
      </c>
      <c r="T4903" s="16" t="n">
        <v>4262</v>
      </c>
      <c r="U4903" s="16" t="n">
        <v>40</v>
      </c>
      <c r="V4903" s="16">
        <f>ROUNDUP((T4903+U4903+2*'Read Me'!$B$13)*(1+'Read Me'!$B$12),-1)</f>
        <v/>
      </c>
      <c r="W4903" s="16">
        <f>V4903*N4903*O4903</f>
        <v/>
      </c>
      <c r="X4903" s="12">
        <f>IF(LEFT(I4903,2)="MV",2*N4903*IF(L4903="1/C",O4903,1),0)</f>
        <v/>
      </c>
      <c r="Y4903" s="12">
        <f>IF(OR(LEFT(K4903,4)="LVAX",LEFT(K4903,6)="MV15AX",LEFT(K4903,4)="CTAX",LEFT(K4903,2)="W|"),2*N4903*O4903,0)</f>
        <v/>
      </c>
      <c r="Z4903" s="12" t="inlineStr">
        <is>
          <t>VD 2.9 %</t>
        </is>
      </c>
      <c r="AA4903" s="12">
        <f>N4903*O4903</f>
        <v/>
      </c>
    </row>
    <row r="4904">
      <c r="A4904" s="12" t="inlineStr">
        <is>
          <t>I-P-0002</t>
        </is>
      </c>
      <c r="B4904" s="12" t="inlineStr">
        <is>
          <t>I</t>
        </is>
      </c>
      <c r="C4904" s="12" t="inlineStr">
        <is>
          <t>Modular / portable power</t>
        </is>
      </c>
      <c r="D4904" s="12" t="inlineStr">
        <is>
          <t>Black-start genset output</t>
        </is>
      </c>
      <c r="E4904" s="12" t="inlineStr"/>
      <c r="F4904" s="12" t="inlineStr">
        <is>
          <t>Black-start genset (proposed; requires study)</t>
        </is>
      </c>
      <c r="G4904" s="12" t="inlineStr"/>
      <c r="H4904" s="12" t="inlineStr">
        <is>
          <t>BS black-start switchgear</t>
        </is>
      </c>
      <c r="I4904" s="12" t="inlineStr">
        <is>
          <t>LV 600 V</t>
        </is>
      </c>
      <c r="J4904" s="12" t="inlineStr">
        <is>
          <t>Type TC-ER 600 V 3/C Cu XHHW-2 + ground, PVC jacket</t>
        </is>
      </c>
      <c r="K4904" s="12" t="inlineStr">
        <is>
          <t>LV|3/C+G|500</t>
        </is>
      </c>
      <c r="L4904" s="12" t="inlineStr">
        <is>
          <t>3/C+G</t>
        </is>
      </c>
      <c r="M4904" s="12" t="inlineStr">
        <is>
          <t>500 kcmil</t>
        </is>
      </c>
      <c r="N4904" s="12" t="n">
        <v>10</v>
      </c>
      <c r="O4904" s="12" t="n">
        <v>1</v>
      </c>
      <c r="P4904" s="12" t="n">
        <v>480</v>
      </c>
      <c r="Q4904" s="12" t="n">
        <v>2000</v>
      </c>
      <c r="R4904" s="12" t="n">
        <v>2532.3</v>
      </c>
      <c r="S4904" s="12" t="inlineStr">
        <is>
          <t>Tray</t>
        </is>
      </c>
      <c r="T4904" s="16" t="n">
        <v>0</v>
      </c>
      <c r="U4904" s="16" t="n">
        <v>41</v>
      </c>
      <c r="V4904" s="16">
        <f>ROUNDUP((T4904+U4904+2*'Read Me'!$B$13)*(1+'Read Me'!$B$12),-1)</f>
        <v/>
      </c>
      <c r="W4904" s="16">
        <f>V4904*N4904*O4904</f>
        <v/>
      </c>
      <c r="X4904" s="12">
        <f>IF(LEFT(I4904,2)="MV",2*N4904*IF(L4904="1/C",O4904,1),0)</f>
        <v/>
      </c>
      <c r="Y4904" s="12">
        <f>IF(OR(LEFT(K4904,4)="LVAX",LEFT(K4904,6)="MV15AX",LEFT(K4904,4)="CTAX",LEFT(K4904,2)="W|"),2*N4904*O4904,0)</f>
        <v/>
      </c>
      <c r="Z4904" s="12" t="inlineStr">
        <is>
          <t>VD 0.1 %</t>
        </is>
      </c>
      <c r="AA4904" s="12">
        <f>N4904*O4904</f>
        <v/>
      </c>
    </row>
    <row r="4905">
      <c r="A4905" s="12" t="inlineStr">
        <is>
          <t>I-P-0003</t>
        </is>
      </c>
      <c r="B4905" s="12" t="inlineStr">
        <is>
          <t>I</t>
        </is>
      </c>
      <c r="C4905" s="12" t="inlineStr">
        <is>
          <t>Modular / portable power</t>
        </is>
      </c>
      <c r="D4905" s="12" t="inlineStr">
        <is>
          <t>Black-start genset output</t>
        </is>
      </c>
      <c r="E4905" s="12" t="inlineStr"/>
      <c r="F4905" s="12" t="inlineStr">
        <is>
          <t>Black-start genset (proposed; requires study)</t>
        </is>
      </c>
      <c r="G4905" s="12" t="inlineStr"/>
      <c r="H4905" s="12" t="inlineStr">
        <is>
          <t>BS black-start switchgear</t>
        </is>
      </c>
      <c r="I4905" s="12" t="inlineStr">
        <is>
          <t>LV 600 V</t>
        </is>
      </c>
      <c r="J4905" s="12" t="inlineStr">
        <is>
          <t>Type TC-ER 600 V 3/C Cu XHHW-2 + ground, PVC jacket</t>
        </is>
      </c>
      <c r="K4905" s="12" t="inlineStr">
        <is>
          <t>LV|3/C+G|500</t>
        </is>
      </c>
      <c r="L4905" s="12" t="inlineStr">
        <is>
          <t>3/C+G</t>
        </is>
      </c>
      <c r="M4905" s="12" t="inlineStr">
        <is>
          <t>500 kcmil</t>
        </is>
      </c>
      <c r="N4905" s="12" t="n">
        <v>10</v>
      </c>
      <c r="O4905" s="12" t="n">
        <v>1</v>
      </c>
      <c r="P4905" s="12" t="n">
        <v>480</v>
      </c>
      <c r="Q4905" s="12" t="n">
        <v>2000</v>
      </c>
      <c r="R4905" s="12" t="n">
        <v>2532.3</v>
      </c>
      <c r="S4905" s="12" t="inlineStr">
        <is>
          <t>Tray</t>
        </is>
      </c>
      <c r="T4905" s="16" t="n">
        <v>0</v>
      </c>
      <c r="U4905" s="16" t="n">
        <v>49</v>
      </c>
      <c r="V4905" s="16">
        <f>ROUNDUP((T4905+U4905+2*'Read Me'!$B$13)*(1+'Read Me'!$B$12),-1)</f>
        <v/>
      </c>
      <c r="W4905" s="16">
        <f>V4905*N4905*O4905</f>
        <v/>
      </c>
      <c r="X4905" s="12">
        <f>IF(LEFT(I4905,2)="MV",2*N4905*IF(L4905="1/C",O4905,1),0)</f>
        <v/>
      </c>
      <c r="Y4905" s="12">
        <f>IF(OR(LEFT(K4905,4)="LVAX",LEFT(K4905,6)="MV15AX",LEFT(K4905,4)="CTAX",LEFT(K4905,2)="W|"),2*N4905*O4905,0)</f>
        <v/>
      </c>
      <c r="Z4905" s="12" t="inlineStr">
        <is>
          <t>VD 0.1 %</t>
        </is>
      </c>
      <c r="AA4905" s="12">
        <f>N4905*O4905</f>
        <v/>
      </c>
    </row>
    <row r="4906">
      <c r="A4906" s="12" t="inlineStr">
        <is>
          <t>I-P-0004</t>
        </is>
      </c>
      <c r="B4906" s="12" t="inlineStr">
        <is>
          <t>I</t>
        </is>
      </c>
      <c r="C4906" s="12" t="inlineStr">
        <is>
          <t>Modular / portable power</t>
        </is>
      </c>
      <c r="D4906" s="12" t="inlineStr">
        <is>
          <t>LV power feeder</t>
        </is>
      </c>
      <c r="E4906" s="12" t="inlineStr"/>
      <c r="F4906" s="12" t="inlineStr">
        <is>
          <t>PCM: power control module</t>
        </is>
      </c>
      <c r="G4906" s="12" t="inlineStr"/>
      <c r="H4906" s="12" t="inlineStr">
        <is>
          <t>BS black-start switchgear</t>
        </is>
      </c>
      <c r="I4906" s="12" t="inlineStr">
        <is>
          <t>LV 600 V</t>
        </is>
      </c>
      <c r="J4906" s="12" t="inlineStr">
        <is>
          <t>Type TC-ER 600 V 3/C Cu XHHW-2 + ground, PVC jacket</t>
        </is>
      </c>
      <c r="K4906" s="12" t="inlineStr">
        <is>
          <t>LV|3/C+G|6</t>
        </is>
      </c>
      <c r="L4906" s="12" t="inlineStr">
        <is>
          <t>3/C+G</t>
        </is>
      </c>
      <c r="M4906" s="12" t="inlineStr">
        <is>
          <t>6</t>
        </is>
      </c>
      <c r="N4906" s="12" t="n">
        <v>1</v>
      </c>
      <c r="O4906" s="12" t="n">
        <v>1</v>
      </c>
      <c r="P4906" s="12" t="n">
        <v>480</v>
      </c>
      <c r="Q4906" s="12" t="n">
        <v>15</v>
      </c>
      <c r="R4906" s="12" t="n">
        <v>21.2</v>
      </c>
      <c r="S4906" s="12" t="inlineStr">
        <is>
          <t>Duct bank</t>
        </is>
      </c>
      <c r="T4906" s="16" t="n">
        <v>562</v>
      </c>
      <c r="U4906" s="16" t="n">
        <v>64</v>
      </c>
      <c r="V4906" s="16">
        <f>ROUNDUP((T4906+U4906+2*'Read Me'!$B$13)*(1+'Read Me'!$B$12),-1)</f>
        <v/>
      </c>
      <c r="W4906" s="16">
        <f>V4906*N4906*O4906</f>
        <v/>
      </c>
      <c r="X4906" s="12">
        <f>IF(LEFT(I4906,2)="MV",2*N4906*IF(L4906="1/C",O4906,1),0)</f>
        <v/>
      </c>
      <c r="Y4906" s="12">
        <f>IF(OR(LEFT(K4906,4)="LVAX",LEFT(K4906,6)="MV15AX",LEFT(K4906,4)="CTAX",LEFT(K4906,2)="W|"),2*N4906*O4906,0)</f>
        <v/>
      </c>
      <c r="Z4906" s="12" t="inlineStr">
        <is>
          <t>VD 2.6 %</t>
        </is>
      </c>
      <c r="AA4906" s="12">
        <f>N4906*O4906</f>
        <v/>
      </c>
    </row>
    <row r="4907">
      <c r="A4907" s="12" t="inlineStr">
        <is>
          <t>I-P-0005</t>
        </is>
      </c>
      <c r="B4907" s="12" t="inlineStr">
        <is>
          <t>I</t>
        </is>
      </c>
      <c r="C4907" s="12" t="inlineStr">
        <is>
          <t>Modular / portable power</t>
        </is>
      </c>
      <c r="D4907" s="12" t="inlineStr">
        <is>
          <t>LV power feeder</t>
        </is>
      </c>
      <c r="E4907" s="12" t="inlineStr"/>
      <c r="F4907" s="12" t="inlineStr">
        <is>
          <t>PCM: power control module</t>
        </is>
      </c>
      <c r="G4907" s="12" t="inlineStr"/>
      <c r="H4907" s="12" t="inlineStr">
        <is>
          <t>CONDITIONAL: BESS black-start alternative</t>
        </is>
      </c>
      <c r="I4907" s="12" t="inlineStr">
        <is>
          <t>LV 600 V</t>
        </is>
      </c>
      <c r="J4907" s="12" t="inlineStr">
        <is>
          <t>Type TC-ER 600 V 3/C Cu XHHW-2 + ground, PVC jacket</t>
        </is>
      </c>
      <c r="K4907" s="12" t="inlineStr">
        <is>
          <t>LV|3/C+G|6</t>
        </is>
      </c>
      <c r="L4907" s="12" t="inlineStr">
        <is>
          <t>3/C+G</t>
        </is>
      </c>
      <c r="M4907" s="12" t="inlineStr">
        <is>
          <t>6</t>
        </is>
      </c>
      <c r="N4907" s="12" t="n">
        <v>1</v>
      </c>
      <c r="O4907" s="12" t="n">
        <v>1</v>
      </c>
      <c r="P4907" s="12" t="n">
        <v>480</v>
      </c>
      <c r="Q4907" s="12" t="n">
        <v>15</v>
      </c>
      <c r="R4907" s="12" t="n">
        <v>21.2</v>
      </c>
      <c r="S4907" s="12" t="inlineStr">
        <is>
          <t>Duct bank</t>
        </is>
      </c>
      <c r="T4907" s="16" t="n">
        <v>550</v>
      </c>
      <c r="U4907" s="16" t="n">
        <v>32</v>
      </c>
      <c r="V4907" s="16">
        <f>ROUNDUP((T4907+U4907+2*'Read Me'!$B$13)*(1+'Read Me'!$B$12),-1)</f>
        <v/>
      </c>
      <c r="W4907" s="16">
        <f>V4907*N4907*O4907</f>
        <v/>
      </c>
      <c r="X4907" s="12">
        <f>IF(LEFT(I4907,2)="MV",2*N4907*IF(L4907="1/C",O4907,1),0)</f>
        <v/>
      </c>
      <c r="Y4907" s="12">
        <f>IF(OR(LEFT(K4907,4)="LVAX",LEFT(K4907,6)="MV15AX",LEFT(K4907,4)="CTAX",LEFT(K4907,2)="W|"),2*N4907*O4907,0)</f>
        <v/>
      </c>
      <c r="Z4907" s="12" t="inlineStr">
        <is>
          <t>VD 2.4 %</t>
        </is>
      </c>
      <c r="AA4907" s="12">
        <f>N4907*O4907</f>
        <v/>
      </c>
    </row>
    <row r="4908">
      <c r="A4908" s="12" t="inlineStr">
        <is>
          <t>I-P-0006</t>
        </is>
      </c>
      <c r="B4908" s="12" t="inlineStr">
        <is>
          <t>I</t>
        </is>
      </c>
      <c r="C4908" s="12" t="inlineStr">
        <is>
          <t>Modular / portable power</t>
        </is>
      </c>
      <c r="D4908" s="12" t="inlineStr">
        <is>
          <t>LV power feeder</t>
        </is>
      </c>
      <c r="E4908" s="12" t="inlineStr"/>
      <c r="F4908" s="12" t="inlineStr">
        <is>
          <t>PCM: power control module</t>
        </is>
      </c>
      <c r="G4908" s="12" t="inlineStr"/>
      <c r="H4908" s="12" t="inlineStr">
        <is>
          <t>CONDITIONAL: SC-1 inlet chiller / evaporative cooler</t>
        </is>
      </c>
      <c r="I4908" s="12" t="inlineStr">
        <is>
          <t>LV 600 V</t>
        </is>
      </c>
      <c r="J4908" s="12" t="inlineStr">
        <is>
          <t>Type TC-ER 600 V 3/C Cu XHHW-2 + ground, PVC jacket</t>
        </is>
      </c>
      <c r="K4908" s="12" t="inlineStr">
        <is>
          <t>LV|3/C+G|350</t>
        </is>
      </c>
      <c r="L4908" s="12" t="inlineStr">
        <is>
          <t>3/C+G</t>
        </is>
      </c>
      <c r="M4908" s="12" t="inlineStr">
        <is>
          <t>350 kcmil</t>
        </is>
      </c>
      <c r="N4908" s="12" t="n">
        <v>3</v>
      </c>
      <c r="O4908" s="12" t="n">
        <v>1</v>
      </c>
      <c r="P4908" s="12" t="n">
        <v>480</v>
      </c>
      <c r="Q4908" s="12" t="n">
        <v>500</v>
      </c>
      <c r="R4908" s="12" t="n">
        <v>707.6</v>
      </c>
      <c r="S4908" s="12" t="inlineStr">
        <is>
          <t>Duct bank</t>
        </is>
      </c>
      <c r="T4908" s="16" t="n">
        <v>40</v>
      </c>
      <c r="U4908" s="16" t="n">
        <v>52</v>
      </c>
      <c r="V4908" s="16">
        <f>ROUNDUP((T4908+U4908+2*'Read Me'!$B$13)*(1+'Read Me'!$B$12),-1)</f>
        <v/>
      </c>
      <c r="W4908" s="16">
        <f>V4908*N4908*O4908</f>
        <v/>
      </c>
      <c r="X4908" s="12">
        <f>IF(LEFT(I4908,2)="MV",2*N4908*IF(L4908="1/C",O4908,1),0)</f>
        <v/>
      </c>
      <c r="Y4908" s="12">
        <f>IF(OR(LEFT(K4908,4)="LVAX",LEFT(K4908,6)="MV15AX",LEFT(K4908,4)="CTAX",LEFT(K4908,2)="W|"),2*N4908*O4908,0)</f>
        <v/>
      </c>
      <c r="Z4908" s="12" t="inlineStr">
        <is>
          <t>VD 0.3 %</t>
        </is>
      </c>
      <c r="AA4908" s="12">
        <f>N4908*O4908</f>
        <v/>
      </c>
    </row>
    <row r="4909">
      <c r="A4909" s="12" t="inlineStr">
        <is>
          <t>I-P-0007</t>
        </is>
      </c>
      <c r="B4909" s="12" t="inlineStr">
        <is>
          <t>I</t>
        </is>
      </c>
      <c r="C4909" s="12" t="inlineStr">
        <is>
          <t>Modular / portable power</t>
        </is>
      </c>
      <c r="D4909" s="12" t="inlineStr">
        <is>
          <t>LV power feeder</t>
        </is>
      </c>
      <c r="E4909" s="12" t="inlineStr"/>
      <c r="F4909" s="12" t="inlineStr">
        <is>
          <t>MOD-LV 480 V board + 480 V : 13.8 kV step-up</t>
        </is>
      </c>
      <c r="G4909" s="12" t="inlineStr"/>
      <c r="H4909" s="12" t="inlineStr">
        <is>
          <t>CONDITIONAL: SC-2 inlet chiller / evaporative cooler</t>
        </is>
      </c>
      <c r="I4909" s="12" t="inlineStr">
        <is>
          <t>LV 600 V</t>
        </is>
      </c>
      <c r="J4909" s="12" t="inlineStr">
        <is>
          <t>Type TC-ER 600 V 3/C Cu XHHW-2 + ground, PVC jacket</t>
        </is>
      </c>
      <c r="K4909" s="12" t="inlineStr">
        <is>
          <t>LV|3/C+G|500</t>
        </is>
      </c>
      <c r="L4909" s="12" t="inlineStr">
        <is>
          <t>3/C+G</t>
        </is>
      </c>
      <c r="M4909" s="12" t="inlineStr">
        <is>
          <t>500 kcmil</t>
        </is>
      </c>
      <c r="N4909" s="12" t="n">
        <v>12</v>
      </c>
      <c r="O4909" s="12" t="n">
        <v>1</v>
      </c>
      <c r="P4909" s="12" t="n">
        <v>480</v>
      </c>
      <c r="Q4909" s="12" t="n">
        <v>500</v>
      </c>
      <c r="R4909" s="12" t="n">
        <v>707.6</v>
      </c>
      <c r="S4909" s="12" t="inlineStr">
        <is>
          <t>HV duct bank</t>
        </is>
      </c>
      <c r="T4909" s="16" t="n">
        <v>4491</v>
      </c>
      <c r="U4909" s="16" t="n">
        <v>40</v>
      </c>
      <c r="V4909" s="16">
        <f>ROUNDUP((T4909+U4909+2*'Read Me'!$B$13)*(1+'Read Me'!$B$12),-1)</f>
        <v/>
      </c>
      <c r="W4909" s="16">
        <f>V4909*N4909*O4909</f>
        <v/>
      </c>
      <c r="X4909" s="12">
        <f>IF(LEFT(I4909,2)="MV",2*N4909*IF(L4909="1/C",O4909,1),0)</f>
        <v/>
      </c>
      <c r="Y4909" s="12">
        <f>IF(OR(LEFT(K4909,4)="LVAX",LEFT(K4909,6)="MV15AX",LEFT(K4909,4)="CTAX",LEFT(K4909,2)="W|"),2*N4909*O4909,0)</f>
        <v/>
      </c>
      <c r="Z4909" s="12" t="inlineStr">
        <is>
          <t>VD 2.7 %</t>
        </is>
      </c>
      <c r="AA4909" s="12">
        <f>N4909*O4909</f>
        <v/>
      </c>
    </row>
    <row r="4910">
      <c r="A4910" s="12" t="inlineStr">
        <is>
          <t>I-P-0008</t>
        </is>
      </c>
      <c r="B4910" s="12" t="inlineStr">
        <is>
          <t>I</t>
        </is>
      </c>
      <c r="C4910" s="12" t="inlineStr">
        <is>
          <t>Modular / portable power</t>
        </is>
      </c>
      <c r="D4910" s="12" t="inlineStr">
        <is>
          <t>FC-5 SOFC output to inverter / AC cabinet</t>
        </is>
      </c>
      <c r="E4910" s="12" t="inlineStr">
        <is>
          <t>FC-5</t>
        </is>
      </c>
      <c r="F4910" s="12" t="inlineStr">
        <is>
          <t>FC-5: SOFC module (Bloom ES5 class, 200-300 kW)</t>
        </is>
      </c>
      <c r="G4910" s="12" t="inlineStr"/>
      <c r="H4910" s="12" t="inlineStr">
        <is>
          <t>FC-5..12 inverter / AC cabinet / desulfurizer</t>
        </is>
      </c>
      <c r="I4910" s="12" t="inlineStr">
        <is>
          <t>LV 600 V</t>
        </is>
      </c>
      <c r="J4910" s="12" t="inlineStr">
        <is>
          <t>Type TC-ER 600 V 3/C Cu XHHW-2 + ground, PVC jacket</t>
        </is>
      </c>
      <c r="K4910" s="12" t="inlineStr">
        <is>
          <t>LV|3/C+G|3/0</t>
        </is>
      </c>
      <c r="L4910" s="12" t="inlineStr">
        <is>
          <t>3/C+G</t>
        </is>
      </c>
      <c r="M4910" s="12" t="inlineStr">
        <is>
          <t>3/0</t>
        </is>
      </c>
      <c r="N4910" s="12" t="n">
        <v>2</v>
      </c>
      <c r="O4910" s="12" t="n">
        <v>1</v>
      </c>
      <c r="P4910" s="12" t="n">
        <v>480</v>
      </c>
      <c r="Q4910" s="12" t="n">
        <v>250</v>
      </c>
      <c r="R4910" s="12" t="n">
        <v>316.5</v>
      </c>
      <c r="S4910" s="12" t="inlineStr">
        <is>
          <t>Duct bank</t>
        </is>
      </c>
      <c r="T4910" s="16" t="n">
        <v>139</v>
      </c>
      <c r="U4910" s="16" t="n">
        <v>32</v>
      </c>
      <c r="V4910" s="16">
        <f>ROUNDUP((T4910+U4910+2*'Read Me'!$B$13)*(1+'Read Me'!$B$12),-1)</f>
        <v/>
      </c>
      <c r="W4910" s="16">
        <f>V4910*N4910*O4910</f>
        <v/>
      </c>
      <c r="X4910" s="12">
        <f>IF(LEFT(I4910,2)="MV",2*N4910*IF(L4910="1/C",O4910,1),0)</f>
        <v/>
      </c>
      <c r="Y4910" s="12">
        <f>IF(OR(LEFT(K4910,4)="LVAX",LEFT(K4910,6)="MV15AX",LEFT(K4910,4)="CTAX",LEFT(K4910,2)="W|"),2*N4910*O4910,0)</f>
        <v/>
      </c>
      <c r="Z4910" s="12" t="inlineStr">
        <is>
          <t>VD 0.8 %</t>
        </is>
      </c>
      <c r="AA4910" s="12">
        <f>N4910*O4910</f>
        <v/>
      </c>
    </row>
    <row r="4911">
      <c r="A4911" s="12" t="inlineStr">
        <is>
          <t>I-P-0009</t>
        </is>
      </c>
      <c r="B4911" s="12" t="inlineStr">
        <is>
          <t>I</t>
        </is>
      </c>
      <c r="C4911" s="12" t="inlineStr">
        <is>
          <t>Modular / portable power</t>
        </is>
      </c>
      <c r="D4911" s="12" t="inlineStr">
        <is>
          <t>FC-6 SOFC output to inverter / AC cabinet</t>
        </is>
      </c>
      <c r="E4911" s="12" t="inlineStr">
        <is>
          <t>FC-6</t>
        </is>
      </c>
      <c r="F4911" s="12" t="inlineStr">
        <is>
          <t>FC-6: SOFC module (Bloom ES5 class, 200-300 kW)</t>
        </is>
      </c>
      <c r="G4911" s="12" t="inlineStr"/>
      <c r="H4911" s="12" t="inlineStr">
        <is>
          <t>FC-5..12 inverter / AC cabinet / desulfurizer</t>
        </is>
      </c>
      <c r="I4911" s="12" t="inlineStr">
        <is>
          <t>LV 600 V</t>
        </is>
      </c>
      <c r="J4911" s="12" t="inlineStr">
        <is>
          <t>Type TC-ER 600 V 3/C Cu XHHW-2 + ground, PVC jacket</t>
        </is>
      </c>
      <c r="K4911" s="12" t="inlineStr">
        <is>
          <t>LV|3/C+G|3/0</t>
        </is>
      </c>
      <c r="L4911" s="12" t="inlineStr">
        <is>
          <t>3/C+G</t>
        </is>
      </c>
      <c r="M4911" s="12" t="inlineStr">
        <is>
          <t>3/0</t>
        </is>
      </c>
      <c r="N4911" s="12" t="n">
        <v>2</v>
      </c>
      <c r="O4911" s="12" t="n">
        <v>1</v>
      </c>
      <c r="P4911" s="12" t="n">
        <v>480</v>
      </c>
      <c r="Q4911" s="12" t="n">
        <v>250</v>
      </c>
      <c r="R4911" s="12" t="n">
        <v>316.5</v>
      </c>
      <c r="S4911" s="12" t="inlineStr">
        <is>
          <t>Duct bank</t>
        </is>
      </c>
      <c r="T4911" s="16" t="n">
        <v>125</v>
      </c>
      <c r="U4911" s="16" t="n">
        <v>32</v>
      </c>
      <c r="V4911" s="16">
        <f>ROUNDUP((T4911+U4911+2*'Read Me'!$B$13)*(1+'Read Me'!$B$12),-1)</f>
        <v/>
      </c>
      <c r="W4911" s="16">
        <f>V4911*N4911*O4911</f>
        <v/>
      </c>
      <c r="X4911" s="12">
        <f>IF(LEFT(I4911,2)="MV",2*N4911*IF(L4911="1/C",O4911,1),0)</f>
        <v/>
      </c>
      <c r="Y4911" s="12">
        <f>IF(OR(LEFT(K4911,4)="LVAX",LEFT(K4911,6)="MV15AX",LEFT(K4911,4)="CTAX",LEFT(K4911,2)="W|"),2*N4911*O4911,0)</f>
        <v/>
      </c>
      <c r="Z4911" s="12" t="inlineStr">
        <is>
          <t>VD 0.8 %</t>
        </is>
      </c>
      <c r="AA4911" s="12">
        <f>N4911*O4911</f>
        <v/>
      </c>
    </row>
    <row r="4912">
      <c r="A4912" s="12" t="inlineStr">
        <is>
          <t>I-P-0010</t>
        </is>
      </c>
      <c r="B4912" s="12" t="inlineStr">
        <is>
          <t>I</t>
        </is>
      </c>
      <c r="C4912" s="12" t="inlineStr">
        <is>
          <t>Modular / portable power</t>
        </is>
      </c>
      <c r="D4912" s="12" t="inlineStr">
        <is>
          <t>FC-7 SOFC output to inverter / AC cabinet</t>
        </is>
      </c>
      <c r="E4912" s="12" t="inlineStr">
        <is>
          <t>FC-7</t>
        </is>
      </c>
      <c r="F4912" s="12" t="inlineStr">
        <is>
          <t>FC-7: SOFC module (Bloom ES5 class, 200-300 kW)</t>
        </is>
      </c>
      <c r="G4912" s="12" t="inlineStr"/>
      <c r="H4912" s="12" t="inlineStr">
        <is>
          <t>FC-5..12 inverter / AC cabinet / desulfurizer</t>
        </is>
      </c>
      <c r="I4912" s="12" t="inlineStr">
        <is>
          <t>LV 600 V</t>
        </is>
      </c>
      <c r="J4912" s="12" t="inlineStr">
        <is>
          <t>Type TC-ER 600 V 3/C Cu XHHW-2 + ground, PVC jacket</t>
        </is>
      </c>
      <c r="K4912" s="12" t="inlineStr">
        <is>
          <t>LV|3/C+G|3/0</t>
        </is>
      </c>
      <c r="L4912" s="12" t="inlineStr">
        <is>
          <t>3/C+G</t>
        </is>
      </c>
      <c r="M4912" s="12" t="inlineStr">
        <is>
          <t>3/0</t>
        </is>
      </c>
      <c r="N4912" s="12" t="n">
        <v>2</v>
      </c>
      <c r="O4912" s="12" t="n">
        <v>1</v>
      </c>
      <c r="P4912" s="12" t="n">
        <v>480</v>
      </c>
      <c r="Q4912" s="12" t="n">
        <v>250</v>
      </c>
      <c r="R4912" s="12" t="n">
        <v>316.5</v>
      </c>
      <c r="S4912" s="12" t="inlineStr">
        <is>
          <t>Duct bank</t>
        </is>
      </c>
      <c r="T4912" s="16" t="n">
        <v>111</v>
      </c>
      <c r="U4912" s="16" t="n">
        <v>32</v>
      </c>
      <c r="V4912" s="16">
        <f>ROUNDUP((T4912+U4912+2*'Read Me'!$B$13)*(1+'Read Me'!$B$12),-1)</f>
        <v/>
      </c>
      <c r="W4912" s="16">
        <f>V4912*N4912*O4912</f>
        <v/>
      </c>
      <c r="X4912" s="12">
        <f>IF(LEFT(I4912,2)="MV",2*N4912*IF(L4912="1/C",O4912,1),0)</f>
        <v/>
      </c>
      <c r="Y4912" s="12">
        <f>IF(OR(LEFT(K4912,4)="LVAX",LEFT(K4912,6)="MV15AX",LEFT(K4912,4)="CTAX",LEFT(K4912,2)="W|"),2*N4912*O4912,0)</f>
        <v/>
      </c>
      <c r="Z4912" s="12" t="inlineStr">
        <is>
          <t>VD 0.7 %</t>
        </is>
      </c>
      <c r="AA4912" s="12">
        <f>N4912*O4912</f>
        <v/>
      </c>
    </row>
    <row r="4913">
      <c r="A4913" s="12" t="inlineStr">
        <is>
          <t>I-P-0011</t>
        </is>
      </c>
      <c r="B4913" s="12" t="inlineStr">
        <is>
          <t>I</t>
        </is>
      </c>
      <c r="C4913" s="12" t="inlineStr">
        <is>
          <t>Modular / portable power</t>
        </is>
      </c>
      <c r="D4913" s="12" t="inlineStr">
        <is>
          <t>FC-8 SOFC output to inverter / AC cabinet</t>
        </is>
      </c>
      <c r="E4913" s="12" t="inlineStr">
        <is>
          <t>FC-8</t>
        </is>
      </c>
      <c r="F4913" s="12" t="inlineStr">
        <is>
          <t>FC-8: SOFC module (Bloom ES5 class, 200-300 kW)</t>
        </is>
      </c>
      <c r="G4913" s="12" t="inlineStr"/>
      <c r="H4913" s="12" t="inlineStr">
        <is>
          <t>FC-5..12 inverter / AC cabinet / desulfurizer</t>
        </is>
      </c>
      <c r="I4913" s="12" t="inlineStr">
        <is>
          <t>LV 600 V</t>
        </is>
      </c>
      <c r="J4913" s="12" t="inlineStr">
        <is>
          <t>Type TC-ER 600 V 3/C Cu XHHW-2 + ground, PVC jacket</t>
        </is>
      </c>
      <c r="K4913" s="12" t="inlineStr">
        <is>
          <t>LV|3/C+G|3/0</t>
        </is>
      </c>
      <c r="L4913" s="12" t="inlineStr">
        <is>
          <t>3/C+G</t>
        </is>
      </c>
      <c r="M4913" s="12" t="inlineStr">
        <is>
          <t>3/0</t>
        </is>
      </c>
      <c r="N4913" s="12" t="n">
        <v>2</v>
      </c>
      <c r="O4913" s="12" t="n">
        <v>1</v>
      </c>
      <c r="P4913" s="12" t="n">
        <v>480</v>
      </c>
      <c r="Q4913" s="12" t="n">
        <v>250</v>
      </c>
      <c r="R4913" s="12" t="n">
        <v>316.5</v>
      </c>
      <c r="S4913" s="12" t="inlineStr">
        <is>
          <t>Duct bank</t>
        </is>
      </c>
      <c r="T4913" s="16" t="n">
        <v>97</v>
      </c>
      <c r="U4913" s="16" t="n">
        <v>32</v>
      </c>
      <c r="V4913" s="16">
        <f>ROUNDUP((T4913+U4913+2*'Read Me'!$B$13)*(1+'Read Me'!$B$12),-1)</f>
        <v/>
      </c>
      <c r="W4913" s="16">
        <f>V4913*N4913*O4913</f>
        <v/>
      </c>
      <c r="X4913" s="12">
        <f>IF(LEFT(I4913,2)="MV",2*N4913*IF(L4913="1/C",O4913,1),0)</f>
        <v/>
      </c>
      <c r="Y4913" s="12">
        <f>IF(OR(LEFT(K4913,4)="LVAX",LEFT(K4913,6)="MV15AX",LEFT(K4913,4)="CTAX",LEFT(K4913,2)="W|"),2*N4913*O4913,0)</f>
        <v/>
      </c>
      <c r="Z4913" s="12" t="inlineStr">
        <is>
          <t>VD 0.6 %</t>
        </is>
      </c>
      <c r="AA4913" s="12">
        <f>N4913*O4913</f>
        <v/>
      </c>
    </row>
    <row r="4914">
      <c r="A4914" s="12" t="inlineStr">
        <is>
          <t>I-P-0012</t>
        </is>
      </c>
      <c r="B4914" s="12" t="inlineStr">
        <is>
          <t>I</t>
        </is>
      </c>
      <c r="C4914" s="12" t="inlineStr">
        <is>
          <t>Modular / portable power</t>
        </is>
      </c>
      <c r="D4914" s="12" t="inlineStr">
        <is>
          <t>FC-9 SOFC output to inverter / AC cabinet</t>
        </is>
      </c>
      <c r="E4914" s="12" t="inlineStr">
        <is>
          <t>FC-9</t>
        </is>
      </c>
      <c r="F4914" s="12" t="inlineStr">
        <is>
          <t>FC-9: SOFC module (Bloom ES5 class, 200-300 kW)</t>
        </is>
      </c>
      <c r="G4914" s="12" t="inlineStr"/>
      <c r="H4914" s="12" t="inlineStr">
        <is>
          <t>FC-5..12 inverter / AC cabinet / desulfurizer</t>
        </is>
      </c>
      <c r="I4914" s="12" t="inlineStr">
        <is>
          <t>LV 600 V</t>
        </is>
      </c>
      <c r="J4914" s="12" t="inlineStr">
        <is>
          <t>Type TC-ER 600 V 3/C Cu XHHW-2 + ground, PVC jacket</t>
        </is>
      </c>
      <c r="K4914" s="12" t="inlineStr">
        <is>
          <t>LV|3/C+G|3/0</t>
        </is>
      </c>
      <c r="L4914" s="12" t="inlineStr">
        <is>
          <t>3/C+G</t>
        </is>
      </c>
      <c r="M4914" s="12" t="inlineStr">
        <is>
          <t>3/0</t>
        </is>
      </c>
      <c r="N4914" s="12" t="n">
        <v>2</v>
      </c>
      <c r="O4914" s="12" t="n">
        <v>1</v>
      </c>
      <c r="P4914" s="12" t="n">
        <v>480</v>
      </c>
      <c r="Q4914" s="12" t="n">
        <v>250</v>
      </c>
      <c r="R4914" s="12" t="n">
        <v>316.5</v>
      </c>
      <c r="S4914" s="12" t="inlineStr">
        <is>
          <t>Duct bank</t>
        </is>
      </c>
      <c r="T4914" s="16" t="n">
        <v>83</v>
      </c>
      <c r="U4914" s="16" t="n">
        <v>32</v>
      </c>
      <c r="V4914" s="16">
        <f>ROUNDUP((T4914+U4914+2*'Read Me'!$B$13)*(1+'Read Me'!$B$12),-1)</f>
        <v/>
      </c>
      <c r="W4914" s="16">
        <f>V4914*N4914*O4914</f>
        <v/>
      </c>
      <c r="X4914" s="12">
        <f>IF(LEFT(I4914,2)="MV",2*N4914*IF(L4914="1/C",O4914,1),0)</f>
        <v/>
      </c>
      <c r="Y4914" s="12">
        <f>IF(OR(LEFT(K4914,4)="LVAX",LEFT(K4914,6)="MV15AX",LEFT(K4914,4)="CTAX",LEFT(K4914,2)="W|"),2*N4914*O4914,0)</f>
        <v/>
      </c>
      <c r="Z4914" s="12" t="inlineStr">
        <is>
          <t>VD 0.6 %</t>
        </is>
      </c>
      <c r="AA4914" s="12">
        <f>N4914*O4914</f>
        <v/>
      </c>
    </row>
    <row r="4915">
      <c r="A4915" s="12" t="inlineStr">
        <is>
          <t>I-P-0013</t>
        </is>
      </c>
      <c r="B4915" s="12" t="inlineStr">
        <is>
          <t>I</t>
        </is>
      </c>
      <c r="C4915" s="12" t="inlineStr">
        <is>
          <t>Modular / portable power</t>
        </is>
      </c>
      <c r="D4915" s="12" t="inlineStr">
        <is>
          <t>FC-10 SOFC output to inverter / AC cabinet</t>
        </is>
      </c>
      <c r="E4915" s="12" t="inlineStr">
        <is>
          <t>FC-10</t>
        </is>
      </c>
      <c r="F4915" s="12" t="inlineStr">
        <is>
          <t>FC-10: SOFC module (Bloom ES5 class, 200-300 kW)</t>
        </is>
      </c>
      <c r="G4915" s="12" t="inlineStr"/>
      <c r="H4915" s="12" t="inlineStr">
        <is>
          <t>FC-5..12 inverter / AC cabinet / desulfurizer</t>
        </is>
      </c>
      <c r="I4915" s="12" t="inlineStr">
        <is>
          <t>LV 600 V</t>
        </is>
      </c>
      <c r="J4915" s="12" t="inlineStr">
        <is>
          <t>Type TC-ER 600 V 3/C Cu XHHW-2 + ground, PVC jacket</t>
        </is>
      </c>
      <c r="K4915" s="12" t="inlineStr">
        <is>
          <t>LV|3/C+G|3/0</t>
        </is>
      </c>
      <c r="L4915" s="12" t="inlineStr">
        <is>
          <t>3/C+G</t>
        </is>
      </c>
      <c r="M4915" s="12" t="inlineStr">
        <is>
          <t>3/0</t>
        </is>
      </c>
      <c r="N4915" s="12" t="n">
        <v>2</v>
      </c>
      <c r="O4915" s="12" t="n">
        <v>1</v>
      </c>
      <c r="P4915" s="12" t="n">
        <v>480</v>
      </c>
      <c r="Q4915" s="12" t="n">
        <v>250</v>
      </c>
      <c r="R4915" s="12" t="n">
        <v>316.5</v>
      </c>
      <c r="S4915" s="12" t="inlineStr">
        <is>
          <t>Duct bank</t>
        </is>
      </c>
      <c r="T4915" s="16" t="n">
        <v>69</v>
      </c>
      <c r="U4915" s="16" t="n">
        <v>32</v>
      </c>
      <c r="V4915" s="16">
        <f>ROUNDUP((T4915+U4915+2*'Read Me'!$B$13)*(1+'Read Me'!$B$12),-1)</f>
        <v/>
      </c>
      <c r="W4915" s="16">
        <f>V4915*N4915*O4915</f>
        <v/>
      </c>
      <c r="X4915" s="12">
        <f>IF(LEFT(I4915,2)="MV",2*N4915*IF(L4915="1/C",O4915,1),0)</f>
        <v/>
      </c>
      <c r="Y4915" s="12">
        <f>IF(OR(LEFT(K4915,4)="LVAX",LEFT(K4915,6)="MV15AX",LEFT(K4915,4)="CTAX",LEFT(K4915,2)="W|"),2*N4915*O4915,0)</f>
        <v/>
      </c>
      <c r="Z4915" s="12" t="inlineStr">
        <is>
          <t>VD 0.5 %</t>
        </is>
      </c>
      <c r="AA4915" s="12">
        <f>N4915*O4915</f>
        <v/>
      </c>
    </row>
    <row r="4916">
      <c r="A4916" s="12" t="inlineStr">
        <is>
          <t>I-P-0014</t>
        </is>
      </c>
      <c r="B4916" s="12" t="inlineStr">
        <is>
          <t>I</t>
        </is>
      </c>
      <c r="C4916" s="12" t="inlineStr">
        <is>
          <t>Modular / portable power</t>
        </is>
      </c>
      <c r="D4916" s="12" t="inlineStr">
        <is>
          <t>FC-11 SOFC output to inverter / AC cabinet</t>
        </is>
      </c>
      <c r="E4916" s="12" t="inlineStr">
        <is>
          <t>FC-11</t>
        </is>
      </c>
      <c r="F4916" s="12" t="inlineStr">
        <is>
          <t>FC-11: SOFC module (Bloom ES5 class, 200-300 kW)</t>
        </is>
      </c>
      <c r="G4916" s="12" t="inlineStr"/>
      <c r="H4916" s="12" t="inlineStr">
        <is>
          <t>FC-5..12 inverter / AC cabinet / desulfurizer</t>
        </is>
      </c>
      <c r="I4916" s="12" t="inlineStr">
        <is>
          <t>LV 600 V</t>
        </is>
      </c>
      <c r="J4916" s="12" t="inlineStr">
        <is>
          <t>Type TC-ER 600 V 3/C Cu XHHW-2 + ground, PVC jacket</t>
        </is>
      </c>
      <c r="K4916" s="12" t="inlineStr">
        <is>
          <t>LV|3/C+G|3/0</t>
        </is>
      </c>
      <c r="L4916" s="12" t="inlineStr">
        <is>
          <t>3/C+G</t>
        </is>
      </c>
      <c r="M4916" s="12" t="inlineStr">
        <is>
          <t>3/0</t>
        </is>
      </c>
      <c r="N4916" s="12" t="n">
        <v>2</v>
      </c>
      <c r="O4916" s="12" t="n">
        <v>1</v>
      </c>
      <c r="P4916" s="12" t="n">
        <v>480</v>
      </c>
      <c r="Q4916" s="12" t="n">
        <v>250</v>
      </c>
      <c r="R4916" s="12" t="n">
        <v>316.5</v>
      </c>
      <c r="S4916" s="12" t="inlineStr">
        <is>
          <t>Duct bank</t>
        </is>
      </c>
      <c r="T4916" s="16" t="n">
        <v>55</v>
      </c>
      <c r="U4916" s="16" t="n">
        <v>32</v>
      </c>
      <c r="V4916" s="16">
        <f>ROUNDUP((T4916+U4916+2*'Read Me'!$B$13)*(1+'Read Me'!$B$12),-1)</f>
        <v/>
      </c>
      <c r="W4916" s="16">
        <f>V4916*N4916*O4916</f>
        <v/>
      </c>
      <c r="X4916" s="12">
        <f>IF(LEFT(I4916,2)="MV",2*N4916*IF(L4916="1/C",O4916,1),0)</f>
        <v/>
      </c>
      <c r="Y4916" s="12">
        <f>IF(OR(LEFT(K4916,4)="LVAX",LEFT(K4916,6)="MV15AX",LEFT(K4916,4)="CTAX",LEFT(K4916,2)="W|"),2*N4916*O4916,0)</f>
        <v/>
      </c>
      <c r="Z4916" s="12" t="inlineStr">
        <is>
          <t>VD 0.4 %</t>
        </is>
      </c>
      <c r="AA4916" s="12">
        <f>N4916*O4916</f>
        <v/>
      </c>
    </row>
    <row r="4917">
      <c r="A4917" s="12" t="inlineStr">
        <is>
          <t>I-P-0015</t>
        </is>
      </c>
      <c r="B4917" s="12" t="inlineStr">
        <is>
          <t>I</t>
        </is>
      </c>
      <c r="C4917" s="12" t="inlineStr">
        <is>
          <t>Modular / portable power</t>
        </is>
      </c>
      <c r="D4917" s="12" t="inlineStr">
        <is>
          <t>FC-12 SOFC output to inverter / AC cabinet</t>
        </is>
      </c>
      <c r="E4917" s="12" t="inlineStr">
        <is>
          <t>FC-12</t>
        </is>
      </c>
      <c r="F4917" s="12" t="inlineStr">
        <is>
          <t>FC-12: SOFC module (Bloom ES5 class, 200-300 kW)</t>
        </is>
      </c>
      <c r="G4917" s="12" t="inlineStr"/>
      <c r="H4917" s="12" t="inlineStr">
        <is>
          <t>FC-5..12 inverter / AC cabinet / desulfurizer</t>
        </is>
      </c>
      <c r="I4917" s="12" t="inlineStr">
        <is>
          <t>LV 600 V</t>
        </is>
      </c>
      <c r="J4917" s="12" t="inlineStr">
        <is>
          <t>Type TC-ER 600 V 3/C Cu XHHW-2 + ground, PVC jacket</t>
        </is>
      </c>
      <c r="K4917" s="12" t="inlineStr">
        <is>
          <t>LV|3/C+G|3/0</t>
        </is>
      </c>
      <c r="L4917" s="12" t="inlineStr">
        <is>
          <t>3/C+G</t>
        </is>
      </c>
      <c r="M4917" s="12" t="inlineStr">
        <is>
          <t>3/0</t>
        </is>
      </c>
      <c r="N4917" s="12" t="n">
        <v>2</v>
      </c>
      <c r="O4917" s="12" t="n">
        <v>1</v>
      </c>
      <c r="P4917" s="12" t="n">
        <v>480</v>
      </c>
      <c r="Q4917" s="12" t="n">
        <v>250</v>
      </c>
      <c r="R4917" s="12" t="n">
        <v>316.5</v>
      </c>
      <c r="S4917" s="12" t="inlineStr">
        <is>
          <t>Duct bank</t>
        </is>
      </c>
      <c r="T4917" s="16" t="n">
        <v>46</v>
      </c>
      <c r="U4917" s="16" t="n">
        <v>32</v>
      </c>
      <c r="V4917" s="16">
        <f>ROUNDUP((T4917+U4917+2*'Read Me'!$B$13)*(1+'Read Me'!$B$12),-1)</f>
        <v/>
      </c>
      <c r="W4917" s="16">
        <f>V4917*N4917*O4917</f>
        <v/>
      </c>
      <c r="X4917" s="12">
        <f>IF(LEFT(I4917,2)="MV",2*N4917*IF(L4917="1/C",O4917,1),0)</f>
        <v/>
      </c>
      <c r="Y4917" s="12">
        <f>IF(OR(LEFT(K4917,4)="LVAX",LEFT(K4917,6)="MV15AX",LEFT(K4917,4)="CTAX",LEFT(K4917,2)="W|"),2*N4917*O4917,0)</f>
        <v/>
      </c>
      <c r="Z4917" s="12" t="inlineStr">
        <is>
          <t>VD 0.4 %</t>
        </is>
      </c>
      <c r="AA4917" s="12">
        <f>N4917*O4917</f>
        <v/>
      </c>
    </row>
    <row r="4918">
      <c r="A4918" s="12" t="inlineStr">
        <is>
          <t>I-P-0016</t>
        </is>
      </c>
      <c r="B4918" s="12" t="inlineStr">
        <is>
          <t>I</t>
        </is>
      </c>
      <c r="C4918" s="12" t="inlineStr">
        <is>
          <t>Modular / portable power</t>
        </is>
      </c>
      <c r="D4918" s="12" t="inlineStr">
        <is>
          <t>FC-1 SOFC output to inverter / AC cabinet</t>
        </is>
      </c>
      <c r="E4918" s="12" t="inlineStr"/>
      <c r="F4918" s="12" t="inlineStr">
        <is>
          <t>FC-1: SOFC module (Bloom ES5 class, 200-300 kW)</t>
        </is>
      </c>
      <c r="G4918" s="12" t="inlineStr"/>
      <c r="H4918" s="12" t="inlineStr">
        <is>
          <t>Fuel-cell inverter / AC cabinet / desulfurizer</t>
        </is>
      </c>
      <c r="I4918" s="12" t="inlineStr">
        <is>
          <t>LV 600 V</t>
        </is>
      </c>
      <c r="J4918" s="12" t="inlineStr">
        <is>
          <t>ARMOR-X MC-HL 600 V 3/C Cu XHHW-2 + ground, CWA, black PVC (Class I Div 2)</t>
        </is>
      </c>
      <c r="K4918" s="12" t="inlineStr">
        <is>
          <t>LVAX|3/C+G|3/0</t>
        </is>
      </c>
      <c r="L4918" s="12" t="inlineStr">
        <is>
          <t>3/C+G</t>
        </is>
      </c>
      <c r="M4918" s="12" t="inlineStr">
        <is>
          <t>3/0</t>
        </is>
      </c>
      <c r="N4918" s="12" t="n">
        <v>2</v>
      </c>
      <c r="O4918" s="12" t="n">
        <v>1</v>
      </c>
      <c r="P4918" s="12" t="n">
        <v>480</v>
      </c>
      <c r="Q4918" s="12" t="n">
        <v>250</v>
      </c>
      <c r="R4918" s="12" t="n">
        <v>316.5</v>
      </c>
      <c r="S4918" s="12" t="inlineStr">
        <is>
          <t>Tray</t>
        </is>
      </c>
      <c r="T4918" s="16" t="n">
        <v>62</v>
      </c>
      <c r="U4918" s="16" t="n">
        <v>32</v>
      </c>
      <c r="V4918" s="16">
        <f>ROUNDUP((T4918+U4918+2*'Read Me'!$B$13)*(1+'Read Me'!$B$12),-1)</f>
        <v/>
      </c>
      <c r="W4918" s="16">
        <f>V4918*N4918*O4918</f>
        <v/>
      </c>
      <c r="X4918" s="12">
        <f>IF(LEFT(I4918,2)="MV",2*N4918*IF(L4918="1/C",O4918,1),0)</f>
        <v/>
      </c>
      <c r="Y4918" s="12">
        <f>IF(OR(LEFT(K4918,4)="LVAX",LEFT(K4918,6)="MV15AX",LEFT(K4918,4)="CTAX",LEFT(K4918,2)="W|"),2*N4918*O4918,0)</f>
        <v/>
      </c>
      <c r="Z4918" s="12" t="inlineStr">
        <is>
          <t>VD 0.5 %</t>
        </is>
      </c>
      <c r="AA4918" s="12">
        <f>N4918*O4918</f>
        <v/>
      </c>
    </row>
    <row r="4919">
      <c r="A4919" s="12" t="inlineStr">
        <is>
          <t>I-P-0017</t>
        </is>
      </c>
      <c r="B4919" s="12" t="inlineStr">
        <is>
          <t>I</t>
        </is>
      </c>
      <c r="C4919" s="12" t="inlineStr">
        <is>
          <t>Modular / portable power</t>
        </is>
      </c>
      <c r="D4919" s="12" t="inlineStr">
        <is>
          <t>FC-2 SOFC output to inverter / AC cabinet</t>
        </is>
      </c>
      <c r="E4919" s="12" t="inlineStr"/>
      <c r="F4919" s="12" t="inlineStr">
        <is>
          <t>FC-2: SOFC module (Bloom ES5 class, 200-300 kW)</t>
        </is>
      </c>
      <c r="G4919" s="12" t="inlineStr"/>
      <c r="H4919" s="12" t="inlineStr">
        <is>
          <t>Fuel-cell inverter / AC cabinet / desulfurizer</t>
        </is>
      </c>
      <c r="I4919" s="12" t="inlineStr">
        <is>
          <t>LV 600 V</t>
        </is>
      </c>
      <c r="J4919" s="12" t="inlineStr">
        <is>
          <t>ARMOR-X MC-HL 600 V 3/C Cu XHHW-2 + ground, CWA, black PVC (Class I Div 2)</t>
        </is>
      </c>
      <c r="K4919" s="12" t="inlineStr">
        <is>
          <t>LVAX|3/C+G|3/0</t>
        </is>
      </c>
      <c r="L4919" s="12" t="inlineStr">
        <is>
          <t>3/C+G</t>
        </is>
      </c>
      <c r="M4919" s="12" t="inlineStr">
        <is>
          <t>3/0</t>
        </is>
      </c>
      <c r="N4919" s="12" t="n">
        <v>2</v>
      </c>
      <c r="O4919" s="12" t="n">
        <v>1</v>
      </c>
      <c r="P4919" s="12" t="n">
        <v>480</v>
      </c>
      <c r="Q4919" s="12" t="n">
        <v>250</v>
      </c>
      <c r="R4919" s="12" t="n">
        <v>316.5</v>
      </c>
      <c r="S4919" s="12" t="inlineStr">
        <is>
          <t>Tray</t>
        </is>
      </c>
      <c r="T4919" s="16" t="n">
        <v>39</v>
      </c>
      <c r="U4919" s="16" t="n">
        <v>41</v>
      </c>
      <c r="V4919" s="16">
        <f>ROUNDUP((T4919+U4919+2*'Read Me'!$B$13)*(1+'Read Me'!$B$12),-1)</f>
        <v/>
      </c>
      <c r="W4919" s="16">
        <f>V4919*N4919*O4919</f>
        <v/>
      </c>
      <c r="X4919" s="12">
        <f>IF(LEFT(I4919,2)="MV",2*N4919*IF(L4919="1/C",O4919,1),0)</f>
        <v/>
      </c>
      <c r="Y4919" s="12">
        <f>IF(OR(LEFT(K4919,4)="LVAX",LEFT(K4919,6)="MV15AX",LEFT(K4919,4)="CTAX",LEFT(K4919,2)="W|"),2*N4919*O4919,0)</f>
        <v/>
      </c>
      <c r="Z4919" s="12" t="inlineStr">
        <is>
          <t>VD 0.4 %</t>
        </is>
      </c>
      <c r="AA4919" s="12">
        <f>N4919*O4919</f>
        <v/>
      </c>
    </row>
    <row r="4920">
      <c r="A4920" s="12" t="inlineStr">
        <is>
          <t>I-P-0018</t>
        </is>
      </c>
      <c r="B4920" s="12" t="inlineStr">
        <is>
          <t>I</t>
        </is>
      </c>
      <c r="C4920" s="12" t="inlineStr">
        <is>
          <t>Modular / portable power</t>
        </is>
      </c>
      <c r="D4920" s="12" t="inlineStr">
        <is>
          <t>FC-3 SOFC output to inverter / AC cabinet</t>
        </is>
      </c>
      <c r="E4920" s="12" t="inlineStr"/>
      <c r="F4920" s="12" t="inlineStr">
        <is>
          <t>FC-3: SOFC module (Bloom ES5 class, 200-300 kW)</t>
        </is>
      </c>
      <c r="G4920" s="12" t="inlineStr"/>
      <c r="H4920" s="12" t="inlineStr">
        <is>
          <t>Fuel-cell inverter / AC cabinet / desulfurizer</t>
        </is>
      </c>
      <c r="I4920" s="12" t="inlineStr">
        <is>
          <t>LV 600 V</t>
        </is>
      </c>
      <c r="J4920" s="12" t="inlineStr">
        <is>
          <t>ARMOR-X MC-HL 600 V 3/C Cu XHHW-2 + ground, CWA, black PVC (Class I Div 2)</t>
        </is>
      </c>
      <c r="K4920" s="12" t="inlineStr">
        <is>
          <t>LVAX|3/C+G|3/0</t>
        </is>
      </c>
      <c r="L4920" s="12" t="inlineStr">
        <is>
          <t>3/C+G</t>
        </is>
      </c>
      <c r="M4920" s="12" t="inlineStr">
        <is>
          <t>3/0</t>
        </is>
      </c>
      <c r="N4920" s="12" t="n">
        <v>2</v>
      </c>
      <c r="O4920" s="12" t="n">
        <v>1</v>
      </c>
      <c r="P4920" s="12" t="n">
        <v>480</v>
      </c>
      <c r="Q4920" s="12" t="n">
        <v>250</v>
      </c>
      <c r="R4920" s="12" t="n">
        <v>316.5</v>
      </c>
      <c r="S4920" s="12" t="inlineStr">
        <is>
          <t>Tray</t>
        </is>
      </c>
      <c r="T4920" s="16" t="n">
        <v>11</v>
      </c>
      <c r="U4920" s="16" t="n">
        <v>55</v>
      </c>
      <c r="V4920" s="16">
        <f>ROUNDUP((T4920+U4920+2*'Read Me'!$B$13)*(1+'Read Me'!$B$12),-1)</f>
        <v/>
      </c>
      <c r="W4920" s="16">
        <f>V4920*N4920*O4920</f>
        <v/>
      </c>
      <c r="X4920" s="12">
        <f>IF(LEFT(I4920,2)="MV",2*N4920*IF(L4920="1/C",O4920,1),0)</f>
        <v/>
      </c>
      <c r="Y4920" s="12">
        <f>IF(OR(LEFT(K4920,4)="LVAX",LEFT(K4920,6)="MV15AX",LEFT(K4920,4)="CTAX",LEFT(K4920,2)="W|"),2*N4920*O4920,0)</f>
        <v/>
      </c>
      <c r="Z4920" s="12" t="inlineStr">
        <is>
          <t>VD 0.3 %</t>
        </is>
      </c>
      <c r="AA4920" s="12">
        <f>N4920*O4920</f>
        <v/>
      </c>
    </row>
    <row r="4921">
      <c r="A4921" s="12" t="inlineStr">
        <is>
          <t>I-P-0019</t>
        </is>
      </c>
      <c r="B4921" s="12" t="inlineStr">
        <is>
          <t>I</t>
        </is>
      </c>
      <c r="C4921" s="12" t="inlineStr">
        <is>
          <t>Modular / portable power</t>
        </is>
      </c>
      <c r="D4921" s="12" t="inlineStr">
        <is>
          <t>FC-4 SOFC output to inverter / AC cabinet</t>
        </is>
      </c>
      <c r="E4921" s="12" t="inlineStr"/>
      <c r="F4921" s="12" t="inlineStr">
        <is>
          <t>FC-4: SOFC module (Bloom ES5 class, 200-300 kW)</t>
        </is>
      </c>
      <c r="G4921" s="12" t="inlineStr"/>
      <c r="H4921" s="12" t="inlineStr">
        <is>
          <t>Fuel-cell inverter / AC cabinet / desulfurizer</t>
        </is>
      </c>
      <c r="I4921" s="12" t="inlineStr">
        <is>
          <t>LV 600 V</t>
        </is>
      </c>
      <c r="J4921" s="12" t="inlineStr">
        <is>
          <t>ARMOR-X MC-HL 600 V 3/C Cu XHHW-2 + ground, CWA, black PVC (Class I Div 2)</t>
        </is>
      </c>
      <c r="K4921" s="12" t="inlineStr">
        <is>
          <t>LVAX|3/C+G|3/0</t>
        </is>
      </c>
      <c r="L4921" s="12" t="inlineStr">
        <is>
          <t>3/C+G</t>
        </is>
      </c>
      <c r="M4921" s="12" t="inlineStr">
        <is>
          <t>3/0</t>
        </is>
      </c>
      <c r="N4921" s="12" t="n">
        <v>2</v>
      </c>
      <c r="O4921" s="12" t="n">
        <v>1</v>
      </c>
      <c r="P4921" s="12" t="n">
        <v>480</v>
      </c>
      <c r="Q4921" s="12" t="n">
        <v>250</v>
      </c>
      <c r="R4921" s="12" t="n">
        <v>316.5</v>
      </c>
      <c r="S4921" s="12" t="inlineStr">
        <is>
          <t>Tray</t>
        </is>
      </c>
      <c r="T4921" s="16" t="n">
        <v>0</v>
      </c>
      <c r="U4921" s="16" t="n">
        <v>52</v>
      </c>
      <c r="V4921" s="16">
        <f>ROUNDUP((T4921+U4921+2*'Read Me'!$B$13)*(1+'Read Me'!$B$12),-1)</f>
        <v/>
      </c>
      <c r="W4921" s="16">
        <f>V4921*N4921*O4921</f>
        <v/>
      </c>
      <c r="X4921" s="12">
        <f>IF(LEFT(I4921,2)="MV",2*N4921*IF(L4921="1/C",O4921,1),0)</f>
        <v/>
      </c>
      <c r="Y4921" s="12">
        <f>IF(OR(LEFT(K4921,4)="LVAX",LEFT(K4921,6)="MV15AX",LEFT(K4921,4)="CTAX",LEFT(K4921,2)="W|"),2*N4921*O4921,0)</f>
        <v/>
      </c>
      <c r="Z4921" s="12" t="inlineStr">
        <is>
          <t>VD 0.3 %</t>
        </is>
      </c>
      <c r="AA4921" s="12">
        <f>N4921*O4921</f>
        <v/>
      </c>
    </row>
    <row r="4922">
      <c r="A4922" s="12" t="inlineStr">
        <is>
          <t>I-P-0020</t>
        </is>
      </c>
      <c r="B4922" s="12" t="inlineStr">
        <is>
          <t>I</t>
        </is>
      </c>
      <c r="C4922" s="12" t="inlineStr">
        <is>
          <t>Modular / portable power</t>
        </is>
      </c>
      <c r="D4922" s="12" t="inlineStr">
        <is>
          <t>Motor 1 of 6, 15 kW</t>
        </is>
      </c>
      <c r="E4922" s="12" t="inlineStr"/>
      <c r="F4922" s="12" t="inlineStr">
        <is>
          <t>MOD-LV 480 V board + 480 V : 13.8 kV step-up</t>
        </is>
      </c>
      <c r="G4922" s="12" t="inlineStr"/>
      <c r="H4922" s="12" t="inlineStr">
        <is>
          <t>Fuel-gas compressors 3 x 100% electric</t>
        </is>
      </c>
      <c r="I4922" s="12" t="inlineStr">
        <is>
          <t>LV 600 V</t>
        </is>
      </c>
      <c r="J4922" s="12" t="inlineStr">
        <is>
          <t>ARMOR-X MC-HL 600 V 3/C Cu XHHW-2 + ground, CWA, black PVC (Class I Div 2)</t>
        </is>
      </c>
      <c r="K4922" s="12" t="inlineStr">
        <is>
          <t>LVAX|3/C+G|3/0</t>
        </is>
      </c>
      <c r="L4922" s="12" t="inlineStr">
        <is>
          <t>3/C+G</t>
        </is>
      </c>
      <c r="M4922" s="12" t="inlineStr">
        <is>
          <t>3/0</t>
        </is>
      </c>
      <c r="N4922" s="12" t="n">
        <v>1</v>
      </c>
      <c r="O4922" s="12" t="n">
        <v>1</v>
      </c>
      <c r="P4922" s="12" t="n">
        <v>480</v>
      </c>
      <c r="Q4922" s="12" t="n">
        <v>15</v>
      </c>
      <c r="R4922" s="12" t="n">
        <v>21.2</v>
      </c>
      <c r="S4922" s="12" t="inlineStr">
        <is>
          <t>HV duct bank</t>
        </is>
      </c>
      <c r="T4922" s="16" t="n">
        <v>4396</v>
      </c>
      <c r="U4922" s="16" t="n">
        <v>40</v>
      </c>
      <c r="V4922" s="16">
        <f>ROUNDUP((T4922+U4922+2*'Read Me'!$B$13)*(1+'Read Me'!$B$12),-1)</f>
        <v/>
      </c>
      <c r="W4922" s="16">
        <f>V4922*N4922*O4922</f>
        <v/>
      </c>
      <c r="X4922" s="12">
        <f>IF(LEFT(I4922,2)="MV",2*N4922*IF(L4922="1/C",O4922,1),0)</f>
        <v/>
      </c>
      <c r="Y4922" s="12">
        <f>IF(OR(LEFT(K4922,4)="LVAX",LEFT(K4922,6)="MV15AX",LEFT(K4922,4)="CTAX",LEFT(K4922,2)="W|"),2*N4922*O4922,0)</f>
        <v/>
      </c>
      <c r="Z4922" s="12" t="inlineStr">
        <is>
          <t>VD 2.9 %</t>
        </is>
      </c>
      <c r="AA4922" s="12">
        <f>N4922*O4922</f>
        <v/>
      </c>
    </row>
    <row r="4923">
      <c r="A4923" s="12" t="inlineStr">
        <is>
          <t>I-P-0021</t>
        </is>
      </c>
      <c r="B4923" s="12" t="inlineStr">
        <is>
          <t>I</t>
        </is>
      </c>
      <c r="C4923" s="12" t="inlineStr">
        <is>
          <t>Modular / portable power</t>
        </is>
      </c>
      <c r="D4923" s="12" t="inlineStr">
        <is>
          <t>Motor 2 of 6, 15 kW</t>
        </is>
      </c>
      <c r="E4923" s="12" t="inlineStr"/>
      <c r="F4923" s="12" t="inlineStr">
        <is>
          <t>MOD-LV 480 V board + 480 V : 13.8 kV step-up</t>
        </is>
      </c>
      <c r="G4923" s="12" t="inlineStr"/>
      <c r="H4923" s="12" t="inlineStr">
        <is>
          <t>Fuel-gas compressors 3 x 100% electric</t>
        </is>
      </c>
      <c r="I4923" s="12" t="inlineStr">
        <is>
          <t>LV 600 V</t>
        </is>
      </c>
      <c r="J4923" s="12" t="inlineStr">
        <is>
          <t>ARMOR-X MC-HL 600 V 3/C Cu XHHW-2 + ground, CWA, black PVC (Class I Div 2)</t>
        </is>
      </c>
      <c r="K4923" s="12" t="inlineStr">
        <is>
          <t>LVAX|3/C+G|3/0</t>
        </is>
      </c>
      <c r="L4923" s="12" t="inlineStr">
        <is>
          <t>3/C+G</t>
        </is>
      </c>
      <c r="M4923" s="12" t="inlineStr">
        <is>
          <t>3/0</t>
        </is>
      </c>
      <c r="N4923" s="12" t="n">
        <v>1</v>
      </c>
      <c r="O4923" s="12" t="n">
        <v>1</v>
      </c>
      <c r="P4923" s="12" t="n">
        <v>480</v>
      </c>
      <c r="Q4923" s="12" t="n">
        <v>15</v>
      </c>
      <c r="R4923" s="12" t="n">
        <v>21.2</v>
      </c>
      <c r="S4923" s="12" t="inlineStr">
        <is>
          <t>HV duct bank</t>
        </is>
      </c>
      <c r="T4923" s="16" t="n">
        <v>4396</v>
      </c>
      <c r="U4923" s="16" t="n">
        <v>40</v>
      </c>
      <c r="V4923" s="16">
        <f>ROUNDUP((T4923+U4923+2*'Read Me'!$B$13)*(1+'Read Me'!$B$12),-1)</f>
        <v/>
      </c>
      <c r="W4923" s="16">
        <f>V4923*N4923*O4923</f>
        <v/>
      </c>
      <c r="X4923" s="12">
        <f>IF(LEFT(I4923,2)="MV",2*N4923*IF(L4923="1/C",O4923,1),0)</f>
        <v/>
      </c>
      <c r="Y4923" s="12">
        <f>IF(OR(LEFT(K4923,4)="LVAX",LEFT(K4923,6)="MV15AX",LEFT(K4923,4)="CTAX",LEFT(K4923,2)="W|"),2*N4923*O4923,0)</f>
        <v/>
      </c>
      <c r="Z4923" s="12" t="inlineStr">
        <is>
          <t>VD 2.9 %</t>
        </is>
      </c>
      <c r="AA4923" s="12">
        <f>N4923*O4923</f>
        <v/>
      </c>
    </row>
    <row r="4924">
      <c r="A4924" s="12" t="inlineStr">
        <is>
          <t>I-P-0022</t>
        </is>
      </c>
      <c r="B4924" s="12" t="inlineStr">
        <is>
          <t>I</t>
        </is>
      </c>
      <c r="C4924" s="12" t="inlineStr">
        <is>
          <t>Modular / portable power</t>
        </is>
      </c>
      <c r="D4924" s="12" t="inlineStr">
        <is>
          <t>Motor 3 of 6, 15 kW</t>
        </is>
      </c>
      <c r="E4924" s="12" t="inlineStr"/>
      <c r="F4924" s="12" t="inlineStr">
        <is>
          <t>MOD-LV 480 V board + 480 V : 13.8 kV step-up</t>
        </is>
      </c>
      <c r="G4924" s="12" t="inlineStr"/>
      <c r="H4924" s="12" t="inlineStr">
        <is>
          <t>Fuel-gas compressors 3 x 100% electric</t>
        </is>
      </c>
      <c r="I4924" s="12" t="inlineStr">
        <is>
          <t>LV 600 V</t>
        </is>
      </c>
      <c r="J4924" s="12" t="inlineStr">
        <is>
          <t>ARMOR-X MC-HL 600 V 3/C Cu XHHW-2 + ground, CWA, black PVC (Class I Div 2)</t>
        </is>
      </c>
      <c r="K4924" s="12" t="inlineStr">
        <is>
          <t>LVAX|3/C+G|3/0</t>
        </is>
      </c>
      <c r="L4924" s="12" t="inlineStr">
        <is>
          <t>3/C+G</t>
        </is>
      </c>
      <c r="M4924" s="12" t="inlineStr">
        <is>
          <t>3/0</t>
        </is>
      </c>
      <c r="N4924" s="12" t="n">
        <v>1</v>
      </c>
      <c r="O4924" s="12" t="n">
        <v>1</v>
      </c>
      <c r="P4924" s="12" t="n">
        <v>480</v>
      </c>
      <c r="Q4924" s="12" t="n">
        <v>15</v>
      </c>
      <c r="R4924" s="12" t="n">
        <v>21.2</v>
      </c>
      <c r="S4924" s="12" t="inlineStr">
        <is>
          <t>HV duct bank</t>
        </is>
      </c>
      <c r="T4924" s="16" t="n">
        <v>4396</v>
      </c>
      <c r="U4924" s="16" t="n">
        <v>40</v>
      </c>
      <c r="V4924" s="16">
        <f>ROUNDUP((T4924+U4924+2*'Read Me'!$B$13)*(1+'Read Me'!$B$12),-1)</f>
        <v/>
      </c>
      <c r="W4924" s="16">
        <f>V4924*N4924*O4924</f>
        <v/>
      </c>
      <c r="X4924" s="12">
        <f>IF(LEFT(I4924,2)="MV",2*N4924*IF(L4924="1/C",O4924,1),0)</f>
        <v/>
      </c>
      <c r="Y4924" s="12">
        <f>IF(OR(LEFT(K4924,4)="LVAX",LEFT(K4924,6)="MV15AX",LEFT(K4924,4)="CTAX",LEFT(K4924,2)="W|"),2*N4924*O4924,0)</f>
        <v/>
      </c>
      <c r="Z4924" s="12" t="inlineStr">
        <is>
          <t>VD 2.9 %</t>
        </is>
      </c>
      <c r="AA4924" s="12">
        <f>N4924*O4924</f>
        <v/>
      </c>
    </row>
    <row r="4925">
      <c r="A4925" s="12" t="inlineStr">
        <is>
          <t>I-P-0023</t>
        </is>
      </c>
      <c r="B4925" s="12" t="inlineStr">
        <is>
          <t>I</t>
        </is>
      </c>
      <c r="C4925" s="12" t="inlineStr">
        <is>
          <t>Modular / portable power</t>
        </is>
      </c>
      <c r="D4925" s="12" t="inlineStr">
        <is>
          <t>Motor 4 of 6, 15 kW</t>
        </is>
      </c>
      <c r="E4925" s="12" t="inlineStr"/>
      <c r="F4925" s="12" t="inlineStr">
        <is>
          <t>MOD-LV 480 V board + 480 V : 13.8 kV step-up</t>
        </is>
      </c>
      <c r="G4925" s="12" t="inlineStr"/>
      <c r="H4925" s="12" t="inlineStr">
        <is>
          <t>Fuel-gas compressors 3 x 100% electric</t>
        </is>
      </c>
      <c r="I4925" s="12" t="inlineStr">
        <is>
          <t>LV 600 V</t>
        </is>
      </c>
      <c r="J4925" s="12" t="inlineStr">
        <is>
          <t>ARMOR-X MC-HL 600 V 3/C Cu XHHW-2 + ground, CWA, black PVC (Class I Div 2)</t>
        </is>
      </c>
      <c r="K4925" s="12" t="inlineStr">
        <is>
          <t>LVAX|3/C+G|3/0</t>
        </is>
      </c>
      <c r="L4925" s="12" t="inlineStr">
        <is>
          <t>3/C+G</t>
        </is>
      </c>
      <c r="M4925" s="12" t="inlineStr">
        <is>
          <t>3/0</t>
        </is>
      </c>
      <c r="N4925" s="12" t="n">
        <v>1</v>
      </c>
      <c r="O4925" s="12" t="n">
        <v>1</v>
      </c>
      <c r="P4925" s="12" t="n">
        <v>480</v>
      </c>
      <c r="Q4925" s="12" t="n">
        <v>15</v>
      </c>
      <c r="R4925" s="12" t="n">
        <v>21.2</v>
      </c>
      <c r="S4925" s="12" t="inlineStr">
        <is>
          <t>HV duct bank</t>
        </is>
      </c>
      <c r="T4925" s="16" t="n">
        <v>4396</v>
      </c>
      <c r="U4925" s="16" t="n">
        <v>40</v>
      </c>
      <c r="V4925" s="16">
        <f>ROUNDUP((T4925+U4925+2*'Read Me'!$B$13)*(1+'Read Me'!$B$12),-1)</f>
        <v/>
      </c>
      <c r="W4925" s="16">
        <f>V4925*N4925*O4925</f>
        <v/>
      </c>
      <c r="X4925" s="12">
        <f>IF(LEFT(I4925,2)="MV",2*N4925*IF(L4925="1/C",O4925,1),0)</f>
        <v/>
      </c>
      <c r="Y4925" s="12">
        <f>IF(OR(LEFT(K4925,4)="LVAX",LEFT(K4925,6)="MV15AX",LEFT(K4925,4)="CTAX",LEFT(K4925,2)="W|"),2*N4925*O4925,0)</f>
        <v/>
      </c>
      <c r="Z4925" s="12" t="inlineStr">
        <is>
          <t>VD 2.9 %</t>
        </is>
      </c>
      <c r="AA4925" s="12">
        <f>N4925*O4925</f>
        <v/>
      </c>
    </row>
    <row r="4926">
      <c r="A4926" s="12" t="inlineStr">
        <is>
          <t>I-P-0024</t>
        </is>
      </c>
      <c r="B4926" s="12" t="inlineStr">
        <is>
          <t>I</t>
        </is>
      </c>
      <c r="C4926" s="12" t="inlineStr">
        <is>
          <t>Modular / portable power</t>
        </is>
      </c>
      <c r="D4926" s="12" t="inlineStr">
        <is>
          <t>Motor 5 of 6, 15 kW</t>
        </is>
      </c>
      <c r="E4926" s="12" t="inlineStr"/>
      <c r="F4926" s="12" t="inlineStr">
        <is>
          <t>MOD-LV 480 V board + 480 V : 13.8 kV step-up</t>
        </is>
      </c>
      <c r="G4926" s="12" t="inlineStr"/>
      <c r="H4926" s="12" t="inlineStr">
        <is>
          <t>Fuel-gas compressors 3 x 100% electric</t>
        </is>
      </c>
      <c r="I4926" s="12" t="inlineStr">
        <is>
          <t>LV 600 V</t>
        </is>
      </c>
      <c r="J4926" s="12" t="inlineStr">
        <is>
          <t>ARMOR-X MC-HL 600 V 3/C Cu XHHW-2 + ground, CWA, black PVC (Class I Div 2)</t>
        </is>
      </c>
      <c r="K4926" s="12" t="inlineStr">
        <is>
          <t>LVAX|3/C+G|3/0</t>
        </is>
      </c>
      <c r="L4926" s="12" t="inlineStr">
        <is>
          <t>3/C+G</t>
        </is>
      </c>
      <c r="M4926" s="12" t="inlineStr">
        <is>
          <t>3/0</t>
        </is>
      </c>
      <c r="N4926" s="12" t="n">
        <v>1</v>
      </c>
      <c r="O4926" s="12" t="n">
        <v>1</v>
      </c>
      <c r="P4926" s="12" t="n">
        <v>480</v>
      </c>
      <c r="Q4926" s="12" t="n">
        <v>15</v>
      </c>
      <c r="R4926" s="12" t="n">
        <v>21.2</v>
      </c>
      <c r="S4926" s="12" t="inlineStr">
        <is>
          <t>HV duct bank</t>
        </is>
      </c>
      <c r="T4926" s="16" t="n">
        <v>4396</v>
      </c>
      <c r="U4926" s="16" t="n">
        <v>40</v>
      </c>
      <c r="V4926" s="16">
        <f>ROUNDUP((T4926+U4926+2*'Read Me'!$B$13)*(1+'Read Me'!$B$12),-1)</f>
        <v/>
      </c>
      <c r="W4926" s="16">
        <f>V4926*N4926*O4926</f>
        <v/>
      </c>
      <c r="X4926" s="12">
        <f>IF(LEFT(I4926,2)="MV",2*N4926*IF(L4926="1/C",O4926,1),0)</f>
        <v/>
      </c>
      <c r="Y4926" s="12">
        <f>IF(OR(LEFT(K4926,4)="LVAX",LEFT(K4926,6)="MV15AX",LEFT(K4926,4)="CTAX",LEFT(K4926,2)="W|"),2*N4926*O4926,0)</f>
        <v/>
      </c>
      <c r="Z4926" s="12" t="inlineStr">
        <is>
          <t>VD 2.9 %</t>
        </is>
      </c>
      <c r="AA4926" s="12">
        <f>N4926*O4926</f>
        <v/>
      </c>
    </row>
    <row r="4927">
      <c r="A4927" s="12" t="inlineStr">
        <is>
          <t>I-P-0025</t>
        </is>
      </c>
      <c r="B4927" s="12" t="inlineStr">
        <is>
          <t>I</t>
        </is>
      </c>
      <c r="C4927" s="12" t="inlineStr">
        <is>
          <t>Modular / portable power</t>
        </is>
      </c>
      <c r="D4927" s="12" t="inlineStr">
        <is>
          <t>Motor 6 of 6, 15 kW</t>
        </is>
      </c>
      <c r="E4927" s="12" t="inlineStr"/>
      <c r="F4927" s="12" t="inlineStr">
        <is>
          <t>MOD-LV 480 V board + 480 V : 13.8 kV step-up</t>
        </is>
      </c>
      <c r="G4927" s="12" t="inlineStr"/>
      <c r="H4927" s="12" t="inlineStr">
        <is>
          <t>Fuel-gas compressors 3 x 100% electric</t>
        </is>
      </c>
      <c r="I4927" s="12" t="inlineStr">
        <is>
          <t>LV 600 V</t>
        </is>
      </c>
      <c r="J4927" s="12" t="inlineStr">
        <is>
          <t>ARMOR-X MC-HL 600 V 3/C Cu XHHW-2 + ground, CWA, black PVC (Class I Div 2)</t>
        </is>
      </c>
      <c r="K4927" s="12" t="inlineStr">
        <is>
          <t>LVAX|3/C+G|3/0</t>
        </is>
      </c>
      <c r="L4927" s="12" t="inlineStr">
        <is>
          <t>3/C+G</t>
        </is>
      </c>
      <c r="M4927" s="12" t="inlineStr">
        <is>
          <t>3/0</t>
        </is>
      </c>
      <c r="N4927" s="12" t="n">
        <v>1</v>
      </c>
      <c r="O4927" s="12" t="n">
        <v>1</v>
      </c>
      <c r="P4927" s="12" t="n">
        <v>480</v>
      </c>
      <c r="Q4927" s="12" t="n">
        <v>15</v>
      </c>
      <c r="R4927" s="12" t="n">
        <v>21.2</v>
      </c>
      <c r="S4927" s="12" t="inlineStr">
        <is>
          <t>HV duct bank</t>
        </is>
      </c>
      <c r="T4927" s="16" t="n">
        <v>4396</v>
      </c>
      <c r="U4927" s="16" t="n">
        <v>40</v>
      </c>
      <c r="V4927" s="16">
        <f>ROUNDUP((T4927+U4927+2*'Read Me'!$B$13)*(1+'Read Me'!$B$12),-1)</f>
        <v/>
      </c>
      <c r="W4927" s="16">
        <f>V4927*N4927*O4927</f>
        <v/>
      </c>
      <c r="X4927" s="12">
        <f>IF(LEFT(I4927,2)="MV",2*N4927*IF(L4927="1/C",O4927,1),0)</f>
        <v/>
      </c>
      <c r="Y4927" s="12">
        <f>IF(OR(LEFT(K4927,4)="LVAX",LEFT(K4927,6)="MV15AX",LEFT(K4927,4)="CTAX",LEFT(K4927,2)="W|"),2*N4927*O4927,0)</f>
        <v/>
      </c>
      <c r="Z4927" s="12" t="inlineStr">
        <is>
          <t>VD 2.9 %</t>
        </is>
      </c>
      <c r="AA4927" s="12">
        <f>N4927*O4927</f>
        <v/>
      </c>
    </row>
    <row r="4928">
      <c r="A4928" s="12" t="inlineStr">
        <is>
          <t>I-P-0026</t>
        </is>
      </c>
      <c r="B4928" s="12" t="inlineStr">
        <is>
          <t>I</t>
        </is>
      </c>
      <c r="C4928" s="12" t="inlineStr">
        <is>
          <t>Modular / portable power</t>
        </is>
      </c>
      <c r="D4928" s="12" t="inlineStr">
        <is>
          <t>LV power feeder</t>
        </is>
      </c>
      <c r="E4928" s="12" t="inlineStr"/>
      <c r="F4928" s="12" t="inlineStr">
        <is>
          <t>PCM: power control module</t>
        </is>
      </c>
      <c r="G4928" s="12" t="inlineStr"/>
      <c r="H4928" s="12" t="inlineStr">
        <is>
          <t>Gas conditioning skid</t>
        </is>
      </c>
      <c r="I4928" s="12" t="inlineStr">
        <is>
          <t>LV 600 V</t>
        </is>
      </c>
      <c r="J4928" s="12" t="inlineStr">
        <is>
          <t>ARMOR-X MC-HL 600 V 3/C Cu XHHW-2 + ground, CWA, black PVC (Class I Div 2)</t>
        </is>
      </c>
      <c r="K4928" s="12" t="inlineStr">
        <is>
          <t>LVAX|3/C+G|6</t>
        </is>
      </c>
      <c r="L4928" s="12" t="inlineStr">
        <is>
          <t>3/C+G</t>
        </is>
      </c>
      <c r="M4928" s="12" t="inlineStr">
        <is>
          <t>6</t>
        </is>
      </c>
      <c r="N4928" s="12" t="n">
        <v>1</v>
      </c>
      <c r="O4928" s="12" t="n">
        <v>1</v>
      </c>
      <c r="P4928" s="12" t="n">
        <v>480</v>
      </c>
      <c r="Q4928" s="12" t="n">
        <v>30</v>
      </c>
      <c r="R4928" s="12" t="n">
        <v>42.5</v>
      </c>
      <c r="S4928" s="12" t="inlineStr">
        <is>
          <t>Tray</t>
        </is>
      </c>
      <c r="T4928" s="16" t="n">
        <v>32</v>
      </c>
      <c r="U4928" s="16" t="n">
        <v>94</v>
      </c>
      <c r="V4928" s="16">
        <f>ROUNDUP((T4928+U4928+2*'Read Me'!$B$13)*(1+'Read Me'!$B$12),-1)</f>
        <v/>
      </c>
      <c r="W4928" s="16">
        <f>V4928*N4928*O4928</f>
        <v/>
      </c>
      <c r="X4928" s="12">
        <f>IF(LEFT(I4928,2)="MV",2*N4928*IF(L4928="1/C",O4928,1),0)</f>
        <v/>
      </c>
      <c r="Y4928" s="12">
        <f>IF(OR(LEFT(K4928,4)="LVAX",LEFT(K4928,6)="MV15AX",LEFT(K4928,4)="CTAX",LEFT(K4928,2)="W|"),2*N4928*O4928,0)</f>
        <v/>
      </c>
      <c r="Z4928" s="12" t="inlineStr">
        <is>
          <t>VD 1.0 %</t>
        </is>
      </c>
      <c r="AA4928" s="12">
        <f>N4928*O4928</f>
        <v/>
      </c>
    </row>
    <row r="4929">
      <c r="A4929" s="12" t="inlineStr">
        <is>
          <t>I-P-0027</t>
        </is>
      </c>
      <c r="B4929" s="12" t="inlineStr">
        <is>
          <t>I</t>
        </is>
      </c>
      <c r="C4929" s="12" t="inlineStr">
        <is>
          <t>Modular / portable power</t>
        </is>
      </c>
      <c r="D4929" s="12" t="inlineStr">
        <is>
          <t>LV panel / distribution feeder</t>
        </is>
      </c>
      <c r="E4929" s="12" t="inlineStr"/>
      <c r="F4929" s="12" t="inlineStr">
        <is>
          <t>PCM: power control module</t>
        </is>
      </c>
      <c r="G4929" s="12" t="inlineStr"/>
      <c r="H4929" s="12" t="inlineStr">
        <is>
          <t>Lube oil / starting air / oily water building</t>
        </is>
      </c>
      <c r="I4929" s="12" t="inlineStr">
        <is>
          <t>LV 600 V</t>
        </is>
      </c>
      <c r="J4929" s="12" t="inlineStr">
        <is>
          <t>Type TC-ER 600 V 3/C Cu XHHW-2 + ground, PVC jacket</t>
        </is>
      </c>
      <c r="K4929" s="12" t="inlineStr">
        <is>
          <t>LV|3/C+G|1/0</t>
        </is>
      </c>
      <c r="L4929" s="12" t="inlineStr">
        <is>
          <t>3/C+G</t>
        </is>
      </c>
      <c r="M4929" s="12" t="inlineStr">
        <is>
          <t>1/0</t>
        </is>
      </c>
      <c r="N4929" s="12" t="n">
        <v>1</v>
      </c>
      <c r="O4929" s="12" t="n">
        <v>1</v>
      </c>
      <c r="P4929" s="12" t="n">
        <v>480</v>
      </c>
      <c r="Q4929" s="12" t="n">
        <v>79</v>
      </c>
      <c r="R4929" s="12" t="n">
        <v>111.8</v>
      </c>
      <c r="S4929" s="12" t="inlineStr">
        <is>
          <t>Tray</t>
        </is>
      </c>
      <c r="T4929" s="16" t="n">
        <v>32</v>
      </c>
      <c r="U4929" s="16" t="n">
        <v>164</v>
      </c>
      <c r="V4929" s="16">
        <f>ROUNDUP((T4929+U4929+2*'Read Me'!$B$13)*(1+'Read Me'!$B$12),-1)</f>
        <v/>
      </c>
      <c r="W4929" s="16">
        <f>V4929*N4929*O4929</f>
        <v/>
      </c>
      <c r="X4929" s="12">
        <f>IF(LEFT(I4929,2)="MV",2*N4929*IF(L4929="1/C",O4929,1),0)</f>
        <v/>
      </c>
      <c r="Y4929" s="12">
        <f>IF(OR(LEFT(K4929,4)="LVAX",LEFT(K4929,6)="MV15AX",LEFT(K4929,4)="CTAX",LEFT(K4929,2)="W|"),2*N4929*O4929,0)</f>
        <v/>
      </c>
      <c r="Z4929" s="12" t="inlineStr">
        <is>
          <t>VD 1.1 %</t>
        </is>
      </c>
      <c r="AA4929" s="12">
        <f>N4929*O4929</f>
        <v/>
      </c>
    </row>
    <row r="4930">
      <c r="A4930" s="12" t="inlineStr">
        <is>
          <t>I-P-0028</t>
        </is>
      </c>
      <c r="B4930" s="12" t="inlineStr">
        <is>
          <t>I</t>
        </is>
      </c>
      <c r="C4930" s="12" t="inlineStr">
        <is>
          <t>Modular / portable power</t>
        </is>
      </c>
      <c r="D4930" s="12" t="inlineStr">
        <is>
          <t>LV panel / distribution feeder</t>
        </is>
      </c>
      <c r="E4930" s="12" t="inlineStr"/>
      <c r="F4930" s="12" t="inlineStr">
        <is>
          <t>MOD-LV 480 V board + 480 V : 13.8 kV step-up</t>
        </is>
      </c>
      <c r="G4930" s="12" t="inlineStr">
        <is>
          <t>MOD-EH</t>
        </is>
      </c>
      <c r="H4930" s="12" t="inlineStr">
        <is>
          <t>MOD-EH: 13.8 kV modular collector e-house</t>
        </is>
      </c>
      <c r="I4930" s="12" t="inlineStr">
        <is>
          <t>LV 600 V</t>
        </is>
      </c>
      <c r="J4930" s="12" t="inlineStr">
        <is>
          <t>Type TC-ER 600 V 3/C Cu XHHW-2 + ground, PVC jacket</t>
        </is>
      </c>
      <c r="K4930" s="12" t="inlineStr">
        <is>
          <t>LV|3/C+G|4</t>
        </is>
      </c>
      <c r="L4930" s="12" t="inlineStr">
        <is>
          <t>3/C+G</t>
        </is>
      </c>
      <c r="M4930" s="12" t="inlineStr">
        <is>
          <t>4</t>
        </is>
      </c>
      <c r="N4930" s="12" t="n">
        <v>1</v>
      </c>
      <c r="O4930" s="12" t="n">
        <v>1</v>
      </c>
      <c r="P4930" s="12" t="n">
        <v>480</v>
      </c>
      <c r="Q4930" s="12" t="n">
        <v>30</v>
      </c>
      <c r="R4930" s="12" t="n">
        <v>42.5</v>
      </c>
      <c r="S4930" s="12" t="inlineStr">
        <is>
          <t>Duct bank</t>
        </is>
      </c>
      <c r="T4930" s="16" t="n">
        <v>368</v>
      </c>
      <c r="U4930" s="16" t="n">
        <v>34</v>
      </c>
      <c r="V4930" s="16">
        <f>ROUNDUP((T4930+U4930+2*'Read Me'!$B$13)*(1+'Read Me'!$B$12),-1)</f>
        <v/>
      </c>
      <c r="W4930" s="16">
        <f>V4930*N4930*O4930</f>
        <v/>
      </c>
      <c r="X4930" s="12">
        <f>IF(LEFT(I4930,2)="MV",2*N4930*IF(L4930="1/C",O4930,1),0)</f>
        <v/>
      </c>
      <c r="Y4930" s="12">
        <f>IF(OR(LEFT(K4930,4)="LVAX",LEFT(K4930,6)="MV15AX",LEFT(K4930,4)="CTAX",LEFT(K4930,2)="W|"),2*N4930*O4930,0)</f>
        <v/>
      </c>
      <c r="Z4930" s="12" t="inlineStr">
        <is>
          <t>VD 2.1 %</t>
        </is>
      </c>
      <c r="AA4930" s="12">
        <f>N4930*O4930</f>
        <v/>
      </c>
    </row>
    <row r="4931">
      <c r="A4931" s="12" t="inlineStr">
        <is>
          <t>I-P-0029</t>
        </is>
      </c>
      <c r="B4931" s="12" t="inlineStr">
        <is>
          <t>I</t>
        </is>
      </c>
      <c r="C4931" s="12" t="inlineStr">
        <is>
          <t>Modular / portable power</t>
        </is>
      </c>
      <c r="D4931" s="12" t="inlineStr">
        <is>
          <t>Fuel-cell AC cabinet to MOD-LV</t>
        </is>
      </c>
      <c r="E4931" s="12" t="inlineStr"/>
      <c r="F4931" s="12" t="inlineStr">
        <is>
          <t>Fuel-cell inverter / AC cabinet / desulfurizer</t>
        </is>
      </c>
      <c r="G4931" s="12" t="inlineStr"/>
      <c r="H4931" s="12" t="inlineStr">
        <is>
          <t>MOD-LV 480 V board + 480 V : 13.8 kV step-up</t>
        </is>
      </c>
      <c r="I4931" s="12" t="inlineStr">
        <is>
          <t>LV 600 V</t>
        </is>
      </c>
      <c r="J4931" s="12" t="inlineStr">
        <is>
          <t>Type TC-ER 600 V 3/C Cu XHHW-2 + ground, PVC jacket</t>
        </is>
      </c>
      <c r="K4931" s="12" t="inlineStr">
        <is>
          <t>LV|3/C+G|350</t>
        </is>
      </c>
      <c r="L4931" s="12" t="inlineStr">
        <is>
          <t>3/C+G</t>
        </is>
      </c>
      <c r="M4931" s="12" t="inlineStr">
        <is>
          <t>350 kcmil</t>
        </is>
      </c>
      <c r="N4931" s="12" t="n">
        <v>6</v>
      </c>
      <c r="O4931" s="12" t="n">
        <v>1</v>
      </c>
      <c r="P4931" s="12" t="n">
        <v>480</v>
      </c>
      <c r="Q4931" s="12" t="n">
        <v>1000</v>
      </c>
      <c r="R4931" s="12" t="n">
        <v>1266.2</v>
      </c>
      <c r="S4931" s="12" t="inlineStr">
        <is>
          <t>Duct bank</t>
        </is>
      </c>
      <c r="T4931" s="16" t="n">
        <v>233</v>
      </c>
      <c r="U4931" s="16" t="n">
        <v>32</v>
      </c>
      <c r="V4931" s="16">
        <f>ROUNDUP((T4931+U4931+2*'Read Me'!$B$13)*(1+'Read Me'!$B$12),-1)</f>
        <v/>
      </c>
      <c r="W4931" s="16">
        <f>V4931*N4931*O4931</f>
        <v/>
      </c>
      <c r="X4931" s="12">
        <f>IF(LEFT(I4931,2)="MV",2*N4931*IF(L4931="1/C",O4931,1),0)</f>
        <v/>
      </c>
      <c r="Y4931" s="12">
        <f>IF(OR(LEFT(K4931,4)="LVAX",LEFT(K4931,6)="MV15AX",LEFT(K4931,4)="CTAX",LEFT(K4931,2)="W|"),2*N4931*O4931,0)</f>
        <v/>
      </c>
      <c r="Z4931" s="12" t="inlineStr">
        <is>
          <t>VD 0.8 %</t>
        </is>
      </c>
      <c r="AA4931" s="12">
        <f>N4931*O4931</f>
        <v/>
      </c>
    </row>
    <row r="4932">
      <c r="A4932" s="12" t="inlineStr">
        <is>
          <t>I-P-0030</t>
        </is>
      </c>
      <c r="B4932" s="12" t="inlineStr">
        <is>
          <t>I</t>
        </is>
      </c>
      <c r="C4932" s="12" t="inlineStr">
        <is>
          <t>Modular / portable power</t>
        </is>
      </c>
      <c r="D4932" s="12" t="inlineStr">
        <is>
          <t>Fuel-cell AC cabinet to MOD-LV</t>
        </is>
      </c>
      <c r="E4932" s="12" t="inlineStr"/>
      <c r="F4932" s="12" t="inlineStr">
        <is>
          <t>FC-5..12 inverter / AC cabinet / desulfurizer</t>
        </is>
      </c>
      <c r="G4932" s="12" t="inlineStr"/>
      <c r="H4932" s="12" t="inlineStr">
        <is>
          <t>MOD-LV 480 V board + 480 V : 13.8 kV step-up</t>
        </is>
      </c>
      <c r="I4932" s="12" t="inlineStr">
        <is>
          <t>LV 600 V</t>
        </is>
      </c>
      <c r="J4932" s="12" t="inlineStr">
        <is>
          <t>Type TC-ER 600 V 3/C Cu XHHW-2 + ground, PVC jacket</t>
        </is>
      </c>
      <c r="K4932" s="12" t="inlineStr">
        <is>
          <t>LV|3/C+G|500</t>
        </is>
      </c>
      <c r="L4932" s="12" t="inlineStr">
        <is>
          <t>3/C+G</t>
        </is>
      </c>
      <c r="M4932" s="12" t="inlineStr">
        <is>
          <t>500 kcmil</t>
        </is>
      </c>
      <c r="N4932" s="12" t="n">
        <v>12</v>
      </c>
      <c r="O4932" s="12" t="n">
        <v>1</v>
      </c>
      <c r="P4932" s="12" t="n">
        <v>480</v>
      </c>
      <c r="Q4932" s="12" t="n">
        <v>2000</v>
      </c>
      <c r="R4932" s="12" t="n">
        <v>2532.3</v>
      </c>
      <c r="S4932" s="12" t="inlineStr">
        <is>
          <t>Duct bank</t>
        </is>
      </c>
      <c r="T4932" s="16" t="n">
        <v>2588</v>
      </c>
      <c r="U4932" s="16" t="n">
        <v>36</v>
      </c>
      <c r="V4932" s="16">
        <f>ROUNDUP((T4932+U4932+2*'Read Me'!$B$13)*(1+'Read Me'!$B$12),-1)</f>
        <v/>
      </c>
      <c r="W4932" s="16">
        <f>V4932*N4932*O4932</f>
        <v/>
      </c>
      <c r="X4932" s="12">
        <f>IF(LEFT(I4932,2)="MV",2*N4932*IF(L4932="1/C",O4932,1),0)</f>
        <v/>
      </c>
      <c r="Y4932" s="12">
        <f>IF(OR(LEFT(K4932,4)="LVAX",LEFT(K4932,6)="MV15AX",LEFT(K4932,4)="CTAX",LEFT(K4932,2)="W|"),2*N4932*O4932,0)</f>
        <v/>
      </c>
      <c r="Z4932" s="12" t="inlineStr"/>
      <c r="AA4932" s="12">
        <f>N4932*O4932</f>
        <v/>
      </c>
    </row>
    <row r="4933">
      <c r="A4933" s="12" t="inlineStr">
        <is>
          <t>I-P-0031</t>
        </is>
      </c>
      <c r="B4933" s="12" t="inlineStr">
        <is>
          <t>I</t>
        </is>
      </c>
      <c r="C4933" s="12" t="inlineStr">
        <is>
          <t>Modular / portable power</t>
        </is>
      </c>
      <c r="D4933" s="12" t="inlineStr">
        <is>
          <t>MT-1 microturbine output</t>
        </is>
      </c>
      <c r="E4933" s="12" t="inlineStr"/>
      <c r="F4933" s="12" t="inlineStr">
        <is>
          <t>MT-1: microturbine 1 MW (Capstone C1000 class)</t>
        </is>
      </c>
      <c r="G4933" s="12" t="inlineStr"/>
      <c r="H4933" s="12" t="inlineStr">
        <is>
          <t>MOD-LV 480 V board + 480 V : 13.8 kV step-up</t>
        </is>
      </c>
      <c r="I4933" s="12" t="inlineStr">
        <is>
          <t>LV 600 V</t>
        </is>
      </c>
      <c r="J4933" s="12" t="inlineStr">
        <is>
          <t>Type TC-ER 600 V 3/C Cu XHHW-2 + ground, PVC jacket</t>
        </is>
      </c>
      <c r="K4933" s="12" t="inlineStr">
        <is>
          <t>LV|3/C+G|350</t>
        </is>
      </c>
      <c r="L4933" s="12" t="inlineStr">
        <is>
          <t>3/C+G</t>
        </is>
      </c>
      <c r="M4933" s="12" t="inlineStr">
        <is>
          <t>350 kcmil</t>
        </is>
      </c>
      <c r="N4933" s="12" t="n">
        <v>6</v>
      </c>
      <c r="O4933" s="12" t="n">
        <v>1</v>
      </c>
      <c r="P4933" s="12" t="n">
        <v>480</v>
      </c>
      <c r="Q4933" s="12" t="n">
        <v>1000</v>
      </c>
      <c r="R4933" s="12" t="n">
        <v>1266.2</v>
      </c>
      <c r="S4933" s="12" t="inlineStr">
        <is>
          <t>Duct bank</t>
        </is>
      </c>
      <c r="T4933" s="16" t="n">
        <v>106</v>
      </c>
      <c r="U4933" s="16" t="n">
        <v>32</v>
      </c>
      <c r="V4933" s="16">
        <f>ROUNDUP((T4933+U4933+2*'Read Me'!$B$13)*(1+'Read Me'!$B$12),-1)</f>
        <v/>
      </c>
      <c r="W4933" s="16">
        <f>V4933*N4933*O4933</f>
        <v/>
      </c>
      <c r="X4933" s="12">
        <f>IF(LEFT(I4933,2)="MV",2*N4933*IF(L4933="1/C",O4933,1),0)</f>
        <v/>
      </c>
      <c r="Y4933" s="12">
        <f>IF(OR(LEFT(K4933,4)="LVAX",LEFT(K4933,6)="MV15AX",LEFT(K4933,4)="CTAX",LEFT(K4933,2)="W|"),2*N4933*O4933,0)</f>
        <v/>
      </c>
      <c r="Z4933" s="12" t="inlineStr">
        <is>
          <t>VD 0.4 %</t>
        </is>
      </c>
      <c r="AA4933" s="12">
        <f>N4933*O4933</f>
        <v/>
      </c>
    </row>
    <row r="4934">
      <c r="A4934" s="12" t="inlineStr">
        <is>
          <t>I-P-0032</t>
        </is>
      </c>
      <c r="B4934" s="12" t="inlineStr">
        <is>
          <t>I</t>
        </is>
      </c>
      <c r="C4934" s="12" t="inlineStr">
        <is>
          <t>Modular / portable power</t>
        </is>
      </c>
      <c r="D4934" s="12" t="inlineStr">
        <is>
          <t>MT-2 microturbine output</t>
        </is>
      </c>
      <c r="E4934" s="12" t="inlineStr"/>
      <c r="F4934" s="12" t="inlineStr">
        <is>
          <t>MT-2: microturbine 1 MW (Capstone C1000 class)</t>
        </is>
      </c>
      <c r="G4934" s="12" t="inlineStr"/>
      <c r="H4934" s="12" t="inlineStr">
        <is>
          <t>MOD-LV 480 V board + 480 V : 13.8 kV step-up</t>
        </is>
      </c>
      <c r="I4934" s="12" t="inlineStr">
        <is>
          <t>LV 600 V</t>
        </is>
      </c>
      <c r="J4934" s="12" t="inlineStr">
        <is>
          <t>Type TC-ER 600 V 3/C Cu XHHW-2 + ground, PVC jacket</t>
        </is>
      </c>
      <c r="K4934" s="12" t="inlineStr">
        <is>
          <t>LV|3/C+G|350</t>
        </is>
      </c>
      <c r="L4934" s="12" t="inlineStr">
        <is>
          <t>3/C+G</t>
        </is>
      </c>
      <c r="M4934" s="12" t="inlineStr">
        <is>
          <t>350 kcmil</t>
        </is>
      </c>
      <c r="N4934" s="12" t="n">
        <v>6</v>
      </c>
      <c r="O4934" s="12" t="n">
        <v>1</v>
      </c>
      <c r="P4934" s="12" t="n">
        <v>480</v>
      </c>
      <c r="Q4934" s="12" t="n">
        <v>1000</v>
      </c>
      <c r="R4934" s="12" t="n">
        <v>1266.2</v>
      </c>
      <c r="S4934" s="12" t="inlineStr">
        <is>
          <t>Duct bank</t>
        </is>
      </c>
      <c r="T4934" s="16" t="n">
        <v>114</v>
      </c>
      <c r="U4934" s="16" t="n">
        <v>38</v>
      </c>
      <c r="V4934" s="16">
        <f>ROUNDUP((T4934+U4934+2*'Read Me'!$B$13)*(1+'Read Me'!$B$12),-1)</f>
        <v/>
      </c>
      <c r="W4934" s="16">
        <f>V4934*N4934*O4934</f>
        <v/>
      </c>
      <c r="X4934" s="12">
        <f>IF(LEFT(I4934,2)="MV",2*N4934*IF(L4934="1/C",O4934,1),0)</f>
        <v/>
      </c>
      <c r="Y4934" s="12">
        <f>IF(OR(LEFT(K4934,4)="LVAX",LEFT(K4934,6)="MV15AX",LEFT(K4934,4)="CTAX",LEFT(K4934,2)="W|"),2*N4934*O4934,0)</f>
        <v/>
      </c>
      <c r="Z4934" s="12" t="inlineStr">
        <is>
          <t>VD 0.5 %</t>
        </is>
      </c>
      <c r="AA4934" s="12">
        <f>N4934*O4934</f>
        <v/>
      </c>
    </row>
    <row r="4935">
      <c r="A4935" s="12" t="inlineStr">
        <is>
          <t>I-P-0033</t>
        </is>
      </c>
      <c r="B4935" s="12" t="inlineStr">
        <is>
          <t>I</t>
        </is>
      </c>
      <c r="C4935" s="12" t="inlineStr">
        <is>
          <t>Modular / portable power</t>
        </is>
      </c>
      <c r="D4935" s="12" t="inlineStr">
        <is>
          <t>MT-3 microturbine output</t>
        </is>
      </c>
      <c r="E4935" s="12" t="inlineStr"/>
      <c r="F4935" s="12" t="inlineStr">
        <is>
          <t>MT-3: microturbine 1 MW (Capstone C1000 class)</t>
        </is>
      </c>
      <c r="G4935" s="12" t="inlineStr"/>
      <c r="H4935" s="12" t="inlineStr">
        <is>
          <t>MOD-LV 480 V board + 480 V : 13.8 kV step-up</t>
        </is>
      </c>
      <c r="I4935" s="12" t="inlineStr">
        <is>
          <t>LV 600 V</t>
        </is>
      </c>
      <c r="J4935" s="12" t="inlineStr">
        <is>
          <t>Type TC-ER 600 V 3/C Cu XHHW-2 + ground, PVC jacket</t>
        </is>
      </c>
      <c r="K4935" s="12" t="inlineStr">
        <is>
          <t>LV|3/C+G|350</t>
        </is>
      </c>
      <c r="L4935" s="12" t="inlineStr">
        <is>
          <t>3/C+G</t>
        </is>
      </c>
      <c r="M4935" s="12" t="inlineStr">
        <is>
          <t>350 kcmil</t>
        </is>
      </c>
      <c r="N4935" s="12" t="n">
        <v>6</v>
      </c>
      <c r="O4935" s="12" t="n">
        <v>1</v>
      </c>
      <c r="P4935" s="12" t="n">
        <v>480</v>
      </c>
      <c r="Q4935" s="12" t="n">
        <v>1000</v>
      </c>
      <c r="R4935" s="12" t="n">
        <v>1266.2</v>
      </c>
      <c r="S4935" s="12" t="inlineStr">
        <is>
          <t>Duct bank</t>
        </is>
      </c>
      <c r="T4935" s="16" t="n">
        <v>121</v>
      </c>
      <c r="U4935" s="16" t="n">
        <v>45</v>
      </c>
      <c r="V4935" s="16">
        <f>ROUNDUP((T4935+U4935+2*'Read Me'!$B$13)*(1+'Read Me'!$B$12),-1)</f>
        <v/>
      </c>
      <c r="W4935" s="16">
        <f>V4935*N4935*O4935</f>
        <v/>
      </c>
      <c r="X4935" s="12">
        <f>IF(LEFT(I4935,2)="MV",2*N4935*IF(L4935="1/C",O4935,1),0)</f>
        <v/>
      </c>
      <c r="Y4935" s="12">
        <f>IF(OR(LEFT(K4935,4)="LVAX",LEFT(K4935,6)="MV15AX",LEFT(K4935,4)="CTAX",LEFT(K4935,2)="W|"),2*N4935*O4935,0)</f>
        <v/>
      </c>
      <c r="Z4935" s="12" t="inlineStr">
        <is>
          <t>VD 0.5 %</t>
        </is>
      </c>
      <c r="AA4935" s="12">
        <f>N4935*O4935</f>
        <v/>
      </c>
    </row>
    <row r="4936">
      <c r="A4936" s="12" t="inlineStr">
        <is>
          <t>I-P-0034</t>
        </is>
      </c>
      <c r="B4936" s="12" t="inlineStr">
        <is>
          <t>I</t>
        </is>
      </c>
      <c r="C4936" s="12" t="inlineStr">
        <is>
          <t>Modular / portable power</t>
        </is>
      </c>
      <c r="D4936" s="12" t="inlineStr">
        <is>
          <t>MT-4 microturbine output</t>
        </is>
      </c>
      <c r="E4936" s="12" t="inlineStr">
        <is>
          <t>MT-4</t>
        </is>
      </c>
      <c r="F4936" s="12" t="inlineStr">
        <is>
          <t>MT-4: microturbine 1 MW (Capstone C1000 class)</t>
        </is>
      </c>
      <c r="G4936" s="12" t="inlineStr"/>
      <c r="H4936" s="12" t="inlineStr">
        <is>
          <t>MOD-LV 480 V board + 480 V : 13.8 kV step-up</t>
        </is>
      </c>
      <c r="I4936" s="12" t="inlineStr">
        <is>
          <t>LV 600 V</t>
        </is>
      </c>
      <c r="J4936" s="12" t="inlineStr">
        <is>
          <t>Type TC-ER 600 V 3/C Cu XHHW-2 + ground, PVC jacket</t>
        </is>
      </c>
      <c r="K4936" s="12" t="inlineStr">
        <is>
          <t>LV|3/C+G|500</t>
        </is>
      </c>
      <c r="L4936" s="12" t="inlineStr">
        <is>
          <t>3/C+G</t>
        </is>
      </c>
      <c r="M4936" s="12" t="inlineStr">
        <is>
          <t>500 kcmil</t>
        </is>
      </c>
      <c r="N4936" s="12" t="n">
        <v>12</v>
      </c>
      <c r="O4936" s="12" t="n">
        <v>1</v>
      </c>
      <c r="P4936" s="12" t="n">
        <v>480</v>
      </c>
      <c r="Q4936" s="12" t="n">
        <v>1000</v>
      </c>
      <c r="R4936" s="12" t="n">
        <v>1266.2</v>
      </c>
      <c r="S4936" s="12" t="inlineStr">
        <is>
          <t>Duct bank</t>
        </is>
      </c>
      <c r="T4936" s="16" t="n">
        <v>2612</v>
      </c>
      <c r="U4936" s="16" t="n">
        <v>46</v>
      </c>
      <c r="V4936" s="16">
        <f>ROUNDUP((T4936+U4936+2*'Read Me'!$B$13)*(1+'Read Me'!$B$12),-1)</f>
        <v/>
      </c>
      <c r="W4936" s="16">
        <f>V4936*N4936*O4936</f>
        <v/>
      </c>
      <c r="X4936" s="12">
        <f>IF(LEFT(I4936,2)="MV",2*N4936*IF(L4936="1/C",O4936,1),0)</f>
        <v/>
      </c>
      <c r="Y4936" s="12">
        <f>IF(OR(LEFT(K4936,4)="LVAX",LEFT(K4936,6)="MV15AX",LEFT(K4936,4)="CTAX",LEFT(K4936,2)="W|"),2*N4936*O4936,0)</f>
        <v/>
      </c>
      <c r="Z4936" s="12" t="inlineStr">
        <is>
          <t>VD 2.9 %</t>
        </is>
      </c>
      <c r="AA4936" s="12">
        <f>N4936*O4936</f>
        <v/>
      </c>
    </row>
    <row r="4937">
      <c r="A4937" s="12" t="inlineStr">
        <is>
          <t>I-P-0035</t>
        </is>
      </c>
      <c r="B4937" s="12" t="inlineStr">
        <is>
          <t>I</t>
        </is>
      </c>
      <c r="C4937" s="12" t="inlineStr">
        <is>
          <t>Modular / portable power</t>
        </is>
      </c>
      <c r="D4937" s="12" t="inlineStr">
        <is>
          <t>MT-5 microturbine output</t>
        </is>
      </c>
      <c r="E4937" s="12" t="inlineStr">
        <is>
          <t>MT-5</t>
        </is>
      </c>
      <c r="F4937" s="12" t="inlineStr">
        <is>
          <t>MT-5: microturbine 1 MW (Capstone C1000 class)</t>
        </is>
      </c>
      <c r="G4937" s="12" t="inlineStr"/>
      <c r="H4937" s="12" t="inlineStr">
        <is>
          <t>MOD-LV 480 V board + 480 V : 13.8 kV step-up</t>
        </is>
      </c>
      <c r="I4937" s="12" t="inlineStr">
        <is>
          <t>LV 600 V</t>
        </is>
      </c>
      <c r="J4937" s="12" t="inlineStr">
        <is>
          <t>Type TC-ER 600 V 3/C Cu XHHW-2 + ground, PVC jacket</t>
        </is>
      </c>
      <c r="K4937" s="12" t="inlineStr">
        <is>
          <t>LV|3/C+G|500</t>
        </is>
      </c>
      <c r="L4937" s="12" t="inlineStr">
        <is>
          <t>3/C+G</t>
        </is>
      </c>
      <c r="M4937" s="12" t="inlineStr">
        <is>
          <t>500 kcmil</t>
        </is>
      </c>
      <c r="N4937" s="12" t="n">
        <v>12</v>
      </c>
      <c r="O4937" s="12" t="n">
        <v>1</v>
      </c>
      <c r="P4937" s="12" t="n">
        <v>480</v>
      </c>
      <c r="Q4937" s="12" t="n">
        <v>1000</v>
      </c>
      <c r="R4937" s="12" t="n">
        <v>1266.2</v>
      </c>
      <c r="S4937" s="12" t="inlineStr">
        <is>
          <t>Duct bank</t>
        </is>
      </c>
      <c r="T4937" s="16" t="n">
        <v>2636</v>
      </c>
      <c r="U4937" s="16" t="n">
        <v>36</v>
      </c>
      <c r="V4937" s="16">
        <f>ROUNDUP((T4937+U4937+2*'Read Me'!$B$13)*(1+'Read Me'!$B$12),-1)</f>
        <v/>
      </c>
      <c r="W4937" s="16">
        <f>V4937*N4937*O4937</f>
        <v/>
      </c>
      <c r="X4937" s="12">
        <f>IF(LEFT(I4937,2)="MV",2*N4937*IF(L4937="1/C",O4937,1),0)</f>
        <v/>
      </c>
      <c r="Y4937" s="12">
        <f>IF(OR(LEFT(K4937,4)="LVAX",LEFT(K4937,6)="MV15AX",LEFT(K4937,4)="CTAX",LEFT(K4937,2)="W|"),2*N4937*O4937,0)</f>
        <v/>
      </c>
      <c r="Z4937" s="12" t="inlineStr">
        <is>
          <t>VD 2.9 %</t>
        </is>
      </c>
      <c r="AA4937" s="12">
        <f>N4937*O4937</f>
        <v/>
      </c>
    </row>
    <row r="4938">
      <c r="A4938" s="12" t="inlineStr">
        <is>
          <t>I-P-0036</t>
        </is>
      </c>
      <c r="B4938" s="12" t="inlineStr">
        <is>
          <t>I</t>
        </is>
      </c>
      <c r="C4938" s="12" t="inlineStr">
        <is>
          <t>Modular / portable power</t>
        </is>
      </c>
      <c r="D4938" s="12" t="inlineStr">
        <is>
          <t>MT-6 microturbine output</t>
        </is>
      </c>
      <c r="E4938" s="12" t="inlineStr">
        <is>
          <t>MT-6</t>
        </is>
      </c>
      <c r="F4938" s="12" t="inlineStr">
        <is>
          <t>MT-6: microturbine 1 MW (Capstone C1000 class)</t>
        </is>
      </c>
      <c r="G4938" s="12" t="inlineStr"/>
      <c r="H4938" s="12" t="inlineStr">
        <is>
          <t>MOD-LV 480 V board + 480 V : 13.8 kV step-up</t>
        </is>
      </c>
      <c r="I4938" s="12" t="inlineStr">
        <is>
          <t>LV 600 V</t>
        </is>
      </c>
      <c r="J4938" s="12" t="inlineStr">
        <is>
          <t>Type TC-ER 600 V 3/C Cu XHHW-2 + ground, PVC jacket</t>
        </is>
      </c>
      <c r="K4938" s="12" t="inlineStr">
        <is>
          <t>LV|3/C+G|500</t>
        </is>
      </c>
      <c r="L4938" s="12" t="inlineStr">
        <is>
          <t>3/C+G</t>
        </is>
      </c>
      <c r="M4938" s="12" t="inlineStr">
        <is>
          <t>500 kcmil</t>
        </is>
      </c>
      <c r="N4938" s="12" t="n">
        <v>12</v>
      </c>
      <c r="O4938" s="12" t="n">
        <v>1</v>
      </c>
      <c r="P4938" s="12" t="n">
        <v>480</v>
      </c>
      <c r="Q4938" s="12" t="n">
        <v>1000</v>
      </c>
      <c r="R4938" s="12" t="n">
        <v>1266.2</v>
      </c>
      <c r="S4938" s="12" t="inlineStr">
        <is>
          <t>Duct bank</t>
        </is>
      </c>
      <c r="T4938" s="16" t="n">
        <v>2769</v>
      </c>
      <c r="U4938" s="16" t="n">
        <v>53</v>
      </c>
      <c r="V4938" s="16">
        <f>ROUNDUP((T4938+U4938+2*'Read Me'!$B$13)*(1+'Read Me'!$B$12),-1)</f>
        <v/>
      </c>
      <c r="W4938" s="16">
        <f>V4938*N4938*O4938</f>
        <v/>
      </c>
      <c r="X4938" s="12">
        <f>IF(LEFT(I4938,2)="MV",2*N4938*IF(L4938="1/C",O4938,1),0)</f>
        <v/>
      </c>
      <c r="Y4938" s="12">
        <f>IF(OR(LEFT(K4938,4)="LVAX",LEFT(K4938,6)="MV15AX",LEFT(K4938,4)="CTAX",LEFT(K4938,2)="W|"),2*N4938*O4938,0)</f>
        <v/>
      </c>
      <c r="Z4938" s="12" t="inlineStr"/>
      <c r="AA4938" s="12">
        <f>N4938*O4938</f>
        <v/>
      </c>
    </row>
    <row r="4939">
      <c r="A4939" s="12" t="inlineStr">
        <is>
          <t>I-P-0037</t>
        </is>
      </c>
      <c r="B4939" s="12" t="inlineStr">
        <is>
          <t>I</t>
        </is>
      </c>
      <c r="C4939" s="12" t="inlineStr">
        <is>
          <t>Modular / portable power</t>
        </is>
      </c>
      <c r="D4939" s="12" t="inlineStr">
        <is>
          <t>PAD-LV to PAD-TX</t>
        </is>
      </c>
      <c r="E4939" s="12" t="inlineStr">
        <is>
          <t>PAD-LV</t>
        </is>
      </c>
      <c r="F4939" s="12" t="inlineStr">
        <is>
          <t>PAD-LV 480 V paralleling switchboard</t>
        </is>
      </c>
      <c r="G4939" s="12" t="inlineStr">
        <is>
          <t>PAD-TX</t>
        </is>
      </c>
      <c r="H4939" s="12" t="inlineStr">
        <is>
          <t>PAD-TX 480 V : 13.8 kV</t>
        </is>
      </c>
      <c r="I4939" s="12" t="inlineStr">
        <is>
          <t>LV 600 V</t>
        </is>
      </c>
      <c r="J4939" s="12" t="inlineStr">
        <is>
          <t>XHHW-2 600 V 1/C Cu (feeder sets in tray / duct)</t>
        </is>
      </c>
      <c r="K4939" s="12" t="inlineStr">
        <is>
          <t>LV1C|1/C|500</t>
        </is>
      </c>
      <c r="L4939" s="12" t="inlineStr">
        <is>
          <t>1/C</t>
        </is>
      </c>
      <c r="M4939" s="12" t="inlineStr">
        <is>
          <t>500 kcmil</t>
        </is>
      </c>
      <c r="N4939" s="12" t="n">
        <v>12</v>
      </c>
      <c r="O4939" s="12" t="n">
        <v>4</v>
      </c>
      <c r="P4939" s="12" t="n">
        <v>480</v>
      </c>
      <c r="Q4939" s="12" t="n">
        <v>3000</v>
      </c>
      <c r="R4939" s="12" t="n">
        <v>3600</v>
      </c>
      <c r="S4939" s="12" t="inlineStr">
        <is>
          <t>Duct bank</t>
        </is>
      </c>
      <c r="T4939" s="16" t="n">
        <v>55</v>
      </c>
      <c r="U4939" s="16" t="n">
        <v>32</v>
      </c>
      <c r="V4939" s="16">
        <f>ROUNDUP((T4939+U4939+2*'Read Me'!$B$13)*(1+'Read Me'!$B$12),-1)</f>
        <v/>
      </c>
      <c r="W4939" s="16">
        <f>V4939*N4939*O4939</f>
        <v/>
      </c>
      <c r="X4939" s="12">
        <f>IF(LEFT(I4939,2)="MV",2*N4939*IF(L4939="1/C",O4939,1),0)</f>
        <v/>
      </c>
      <c r="Y4939" s="12">
        <f>IF(OR(LEFT(K4939,4)="LVAX",LEFT(K4939,6)="MV15AX",LEFT(K4939,4)="CTAX",LEFT(K4939,2)="W|"),2*N4939*O4939,0)</f>
        <v/>
      </c>
      <c r="Z4939" s="12" t="inlineStr">
        <is>
          <t>12 sets of 4 x 1/C (or bus duct)</t>
        </is>
      </c>
      <c r="AA4939" s="12">
        <f>N4939*O4939</f>
        <v/>
      </c>
    </row>
    <row r="4940">
      <c r="A4940" s="12" t="inlineStr">
        <is>
          <t>I-P-0038</t>
        </is>
      </c>
      <c r="B4940" s="12" t="inlineStr">
        <is>
          <t>I</t>
        </is>
      </c>
      <c r="C4940" s="12" t="inlineStr">
        <is>
          <t>Modular / portable power</t>
        </is>
      </c>
      <c r="D4940" s="12" t="inlineStr">
        <is>
          <t>LV panel / distribution feeder</t>
        </is>
      </c>
      <c r="E4940" s="12" t="inlineStr"/>
      <c r="F4940" s="12" t="inlineStr">
        <is>
          <t>PCM: power control module</t>
        </is>
      </c>
      <c r="G4940" s="12" t="inlineStr"/>
      <c r="H4940" s="12" t="inlineStr">
        <is>
          <t>PCM: power control module</t>
        </is>
      </c>
      <c r="I4940" s="12" t="inlineStr">
        <is>
          <t>LV 600 V</t>
        </is>
      </c>
      <c r="J4940" s="12" t="inlineStr">
        <is>
          <t>Type TC-ER 600 V 3/C Cu XHHW-2 + ground, PVC jacket</t>
        </is>
      </c>
      <c r="K4940" s="12" t="inlineStr">
        <is>
          <t>LV|3/C+G|4</t>
        </is>
      </c>
      <c r="L4940" s="12" t="inlineStr">
        <is>
          <t>3/C+G</t>
        </is>
      </c>
      <c r="M4940" s="12" t="inlineStr">
        <is>
          <t>4</t>
        </is>
      </c>
      <c r="N4940" s="12" t="n">
        <v>1</v>
      </c>
      <c r="O4940" s="12" t="n">
        <v>1</v>
      </c>
      <c r="P4940" s="12" t="n">
        <v>480</v>
      </c>
      <c r="Q4940" s="12" t="n">
        <v>38</v>
      </c>
      <c r="R4940" s="12" t="n">
        <v>53.8</v>
      </c>
      <c r="S4940" s="12" t="inlineStr">
        <is>
          <t>Tray</t>
        </is>
      </c>
      <c r="T4940" s="16" t="n">
        <v>0</v>
      </c>
      <c r="U4940" s="16" t="n">
        <v>32</v>
      </c>
      <c r="V4940" s="16">
        <f>ROUNDUP((T4940+U4940+2*'Read Me'!$B$13)*(1+'Read Me'!$B$12),-1)</f>
        <v/>
      </c>
      <c r="W4940" s="16">
        <f>V4940*N4940*O4940</f>
        <v/>
      </c>
      <c r="X4940" s="12">
        <f>IF(LEFT(I4940,2)="MV",2*N4940*IF(L4940="1/C",O4940,1),0)</f>
        <v/>
      </c>
      <c r="Y4940" s="12">
        <f>IF(OR(LEFT(K4940,4)="LVAX",LEFT(K4940,6)="MV15AX",LEFT(K4940,4)="CTAX",LEFT(K4940,2)="W|"),2*N4940*O4940,0)</f>
        <v/>
      </c>
      <c r="Z4940" s="12" t="inlineStr">
        <is>
          <t>VD 0.2 %</t>
        </is>
      </c>
      <c r="AA4940" s="12">
        <f>N4940*O4940</f>
        <v/>
      </c>
    </row>
    <row r="4941">
      <c r="A4941" s="12" t="inlineStr">
        <is>
          <t>I-P-0039</t>
        </is>
      </c>
      <c r="B4941" s="12" t="inlineStr">
        <is>
          <t>I</t>
        </is>
      </c>
      <c r="C4941" s="12" t="inlineStr">
        <is>
          <t>Modular / portable power</t>
        </is>
      </c>
      <c r="D4941" s="12" t="inlineStr">
        <is>
          <t>Motor 1 of 1, 15 kW</t>
        </is>
      </c>
      <c r="E4941" s="12" t="inlineStr"/>
      <c r="F4941" s="12" t="inlineStr">
        <is>
          <t>PCM: power control module</t>
        </is>
      </c>
      <c r="G4941" s="12" t="inlineStr"/>
      <c r="H4941" s="12" t="inlineStr">
        <is>
          <t>RICE 1 SCR + oxidation catalyst and stack</t>
        </is>
      </c>
      <c r="I4941" s="12" t="inlineStr">
        <is>
          <t>LV 600 V</t>
        </is>
      </c>
      <c r="J4941" s="12" t="inlineStr">
        <is>
          <t>Type TC-ER 600 V 3/C Cu XHHW-2 + ground, PVC jacket</t>
        </is>
      </c>
      <c r="K4941" s="12" t="inlineStr">
        <is>
          <t>LV|3/C+G|6</t>
        </is>
      </c>
      <c r="L4941" s="12" t="inlineStr">
        <is>
          <t>3/C+G</t>
        </is>
      </c>
      <c r="M4941" s="12" t="inlineStr">
        <is>
          <t>6</t>
        </is>
      </c>
      <c r="N4941" s="12" t="n">
        <v>1</v>
      </c>
      <c r="O4941" s="12" t="n">
        <v>1</v>
      </c>
      <c r="P4941" s="12" t="n">
        <v>480</v>
      </c>
      <c r="Q4941" s="12" t="n">
        <v>15</v>
      </c>
      <c r="R4941" s="12" t="n">
        <v>21.2</v>
      </c>
      <c r="S4941" s="12" t="inlineStr">
        <is>
          <t>Duct bank</t>
        </is>
      </c>
      <c r="T4941" s="16" t="n">
        <v>470</v>
      </c>
      <c r="U4941" s="16" t="n">
        <v>160</v>
      </c>
      <c r="V4941" s="16">
        <f>ROUNDUP((T4941+U4941+2*'Read Me'!$B$13)*(1+'Read Me'!$B$12),-1)</f>
        <v/>
      </c>
      <c r="W4941" s="16">
        <f>V4941*N4941*O4941</f>
        <v/>
      </c>
      <c r="X4941" s="12">
        <f>IF(LEFT(I4941,2)="MV",2*N4941*IF(L4941="1/C",O4941,1),0)</f>
        <v/>
      </c>
      <c r="Y4941" s="12">
        <f>IF(OR(LEFT(K4941,4)="LVAX",LEFT(K4941,6)="MV15AX",LEFT(K4941,4)="CTAX",LEFT(K4941,2)="W|"),2*N4941*O4941,0)</f>
        <v/>
      </c>
      <c r="Z4941" s="12" t="inlineStr">
        <is>
          <t>VD 2.6 %</t>
        </is>
      </c>
      <c r="AA4941" s="12">
        <f>N4941*O4941</f>
        <v/>
      </c>
    </row>
    <row r="4942">
      <c r="A4942" s="12" t="inlineStr">
        <is>
          <t>I-P-0040</t>
        </is>
      </c>
      <c r="B4942" s="12" t="inlineStr">
        <is>
          <t>I</t>
        </is>
      </c>
      <c r="C4942" s="12" t="inlineStr">
        <is>
          <t>Modular / portable power</t>
        </is>
      </c>
      <c r="D4942" s="12" t="inlineStr">
        <is>
          <t>Area / platform lighting circuit 1 (6 fixtures)</t>
        </is>
      </c>
      <c r="E4942" s="12" t="inlineStr"/>
      <c r="F4942" s="12" t="inlineStr">
        <is>
          <t>PCM: power control module</t>
        </is>
      </c>
      <c r="G4942" s="12" t="inlineStr"/>
      <c r="H4942" s="12" t="inlineStr">
        <is>
          <t>RICE 1 SCR + oxidation catalyst and stack</t>
        </is>
      </c>
      <c r="I4942" s="12" t="inlineStr">
        <is>
          <t>LV 600 V</t>
        </is>
      </c>
      <c r="J4942" s="12" t="inlineStr">
        <is>
          <t>Type TC-ER 600 V 3/C Cu XHHW-2 + ground, PVC jacket</t>
        </is>
      </c>
      <c r="K4942" s="12" t="inlineStr">
        <is>
          <t>LV|3/C+G|10</t>
        </is>
      </c>
      <c r="L4942" s="12" t="inlineStr">
        <is>
          <t>3/C+G</t>
        </is>
      </c>
      <c r="M4942" s="12" t="inlineStr">
        <is>
          <t>10</t>
        </is>
      </c>
      <c r="N4942" s="12" t="n">
        <v>1</v>
      </c>
      <c r="O4942" s="12" t="n">
        <v>1</v>
      </c>
      <c r="P4942" s="12" t="n">
        <v>480</v>
      </c>
      <c r="Q4942" s="12" t="n">
        <v>3</v>
      </c>
      <c r="R4942" s="12" t="n">
        <v>5</v>
      </c>
      <c r="S4942" s="12" t="inlineStr">
        <is>
          <t>Duct bank</t>
        </is>
      </c>
      <c r="T4942" s="16" t="n">
        <v>770</v>
      </c>
      <c r="U4942" s="16" t="n">
        <v>160</v>
      </c>
      <c r="V4942" s="16">
        <f>ROUNDUP((T4942+U4942+2*'Read Me'!$B$13)*(1+'Read Me'!$B$12),-1)</f>
        <v/>
      </c>
      <c r="W4942" s="16">
        <f>V4942*N4942*O4942</f>
        <v/>
      </c>
      <c r="X4942" s="12">
        <f>IF(LEFT(I4942,2)="MV",2*N4942*IF(L4942="1/C",O4942,1),0)</f>
        <v/>
      </c>
      <c r="Y4942" s="12">
        <f>IF(OR(LEFT(K4942,4)="LVAX",LEFT(K4942,6)="MV15AX",LEFT(K4942,4)="CTAX",LEFT(K4942,2)="W|"),2*N4942*O4942,0)</f>
        <v/>
      </c>
      <c r="Z4942" s="12" t="inlineStr">
        <is>
          <t>fixture-to-fixture run included</t>
        </is>
      </c>
      <c r="AA4942" s="12">
        <f>N4942*O4942</f>
        <v/>
      </c>
    </row>
    <row r="4943">
      <c r="A4943" s="12" t="inlineStr">
        <is>
          <t>I-P-0041</t>
        </is>
      </c>
      <c r="B4943" s="12" t="inlineStr">
        <is>
          <t>I</t>
        </is>
      </c>
      <c r="C4943" s="12" t="inlineStr">
        <is>
          <t>Modular / portable power</t>
        </is>
      </c>
      <c r="D4943" s="12" t="inlineStr">
        <is>
          <t>Motor 1 of 5, 30 kW (VFD output)</t>
        </is>
      </c>
      <c r="E4943" s="12" t="inlineStr"/>
      <c r="F4943" s="12" t="inlineStr">
        <is>
          <t>PCM: power control module</t>
        </is>
      </c>
      <c r="G4943" s="12" t="inlineStr"/>
      <c r="H4943" s="12" t="inlineStr">
        <is>
          <t>RICE 1 radiators (5)</t>
        </is>
      </c>
      <c r="I4943" s="12" t="inlineStr">
        <is>
          <t>LV 600 V</t>
        </is>
      </c>
      <c r="J4943" s="12" t="inlineStr">
        <is>
          <t>VFD cable 600 V 3/C Cu XHHW-2, 3 symmetrical grounds, overall Cu tape shield, TC-ER</t>
        </is>
      </c>
      <c r="K4943" s="12" t="inlineStr">
        <is>
          <t>VFD|3/C+3G|1</t>
        </is>
      </c>
      <c r="L4943" s="12" t="inlineStr">
        <is>
          <t>3/C+3G</t>
        </is>
      </c>
      <c r="M4943" s="12" t="inlineStr">
        <is>
          <t>1</t>
        </is>
      </c>
      <c r="N4943" s="12" t="n">
        <v>1</v>
      </c>
      <c r="O4943" s="12" t="n">
        <v>1</v>
      </c>
      <c r="P4943" s="12" t="n">
        <v>480</v>
      </c>
      <c r="Q4943" s="12" t="n">
        <v>30</v>
      </c>
      <c r="R4943" s="12" t="n">
        <v>42</v>
      </c>
      <c r="S4943" s="12" t="inlineStr">
        <is>
          <t>Duct bank</t>
        </is>
      </c>
      <c r="T4943" s="16" t="n">
        <v>825</v>
      </c>
      <c r="U4943" s="16" t="n">
        <v>139</v>
      </c>
      <c r="V4943" s="16">
        <f>ROUNDUP((T4943+U4943+2*'Read Me'!$B$13)*(1+'Read Me'!$B$12),-1)</f>
        <v/>
      </c>
      <c r="W4943" s="16">
        <f>V4943*N4943*O4943</f>
        <v/>
      </c>
      <c r="X4943" s="12">
        <f>IF(LEFT(I4943,2)="MV",2*N4943*IF(L4943="1/C",O4943,1),0)</f>
        <v/>
      </c>
      <c r="Y4943" s="12">
        <f>IF(OR(LEFT(K4943,4)="LVAX",LEFT(K4943,6)="MV15AX",LEFT(K4943,4)="CTAX",LEFT(K4943,2)="W|"),2*N4943*O4943,0)</f>
        <v/>
      </c>
      <c r="Z4943" s="12" t="inlineStr">
        <is>
          <t>VD 2.5 %</t>
        </is>
      </c>
      <c r="AA4943" s="12">
        <f>N4943*O4943</f>
        <v/>
      </c>
    </row>
    <row r="4944">
      <c r="A4944" s="12" t="inlineStr">
        <is>
          <t>I-P-0042</t>
        </is>
      </c>
      <c r="B4944" s="12" t="inlineStr">
        <is>
          <t>I</t>
        </is>
      </c>
      <c r="C4944" s="12" t="inlineStr">
        <is>
          <t>Modular / portable power</t>
        </is>
      </c>
      <c r="D4944" s="12" t="inlineStr">
        <is>
          <t>Motor 2 of 5, 30 kW (VFD output)</t>
        </is>
      </c>
      <c r="E4944" s="12" t="inlineStr"/>
      <c r="F4944" s="12" t="inlineStr">
        <is>
          <t>PCM: power control module</t>
        </is>
      </c>
      <c r="G4944" s="12" t="inlineStr"/>
      <c r="H4944" s="12" t="inlineStr">
        <is>
          <t>RICE 1 radiators (5)</t>
        </is>
      </c>
      <c r="I4944" s="12" t="inlineStr">
        <is>
          <t>LV 600 V</t>
        </is>
      </c>
      <c r="J4944" s="12" t="inlineStr">
        <is>
          <t>VFD cable 600 V 3/C Cu XHHW-2, 3 symmetrical grounds, overall Cu tape shield, TC-ER</t>
        </is>
      </c>
      <c r="K4944" s="12" t="inlineStr">
        <is>
          <t>VFD|3/C+3G|1</t>
        </is>
      </c>
      <c r="L4944" s="12" t="inlineStr">
        <is>
          <t>3/C+3G</t>
        </is>
      </c>
      <c r="M4944" s="12" t="inlineStr">
        <is>
          <t>1</t>
        </is>
      </c>
      <c r="N4944" s="12" t="n">
        <v>1</v>
      </c>
      <c r="O4944" s="12" t="n">
        <v>1</v>
      </c>
      <c r="P4944" s="12" t="n">
        <v>480</v>
      </c>
      <c r="Q4944" s="12" t="n">
        <v>30</v>
      </c>
      <c r="R4944" s="12" t="n">
        <v>42</v>
      </c>
      <c r="S4944" s="12" t="inlineStr">
        <is>
          <t>Duct bank</t>
        </is>
      </c>
      <c r="T4944" s="16" t="n">
        <v>825</v>
      </c>
      <c r="U4944" s="16" t="n">
        <v>139</v>
      </c>
      <c r="V4944" s="16">
        <f>ROUNDUP((T4944+U4944+2*'Read Me'!$B$13)*(1+'Read Me'!$B$12),-1)</f>
        <v/>
      </c>
      <c r="W4944" s="16">
        <f>V4944*N4944*O4944</f>
        <v/>
      </c>
      <c r="X4944" s="12">
        <f>IF(LEFT(I4944,2)="MV",2*N4944*IF(L4944="1/C",O4944,1),0)</f>
        <v/>
      </c>
      <c r="Y4944" s="12">
        <f>IF(OR(LEFT(K4944,4)="LVAX",LEFT(K4944,6)="MV15AX",LEFT(K4944,4)="CTAX",LEFT(K4944,2)="W|"),2*N4944*O4944,0)</f>
        <v/>
      </c>
      <c r="Z4944" s="12" t="inlineStr">
        <is>
          <t>VD 2.5 %</t>
        </is>
      </c>
      <c r="AA4944" s="12">
        <f>N4944*O4944</f>
        <v/>
      </c>
    </row>
    <row r="4945">
      <c r="A4945" s="12" t="inlineStr">
        <is>
          <t>I-P-0043</t>
        </is>
      </c>
      <c r="B4945" s="12" t="inlineStr">
        <is>
          <t>I</t>
        </is>
      </c>
      <c r="C4945" s="12" t="inlineStr">
        <is>
          <t>Modular / portable power</t>
        </is>
      </c>
      <c r="D4945" s="12" t="inlineStr">
        <is>
          <t>Motor 3 of 5, 30 kW (VFD output)</t>
        </is>
      </c>
      <c r="E4945" s="12" t="inlineStr"/>
      <c r="F4945" s="12" t="inlineStr">
        <is>
          <t>PCM: power control module</t>
        </is>
      </c>
      <c r="G4945" s="12" t="inlineStr"/>
      <c r="H4945" s="12" t="inlineStr">
        <is>
          <t>RICE 1 radiators (5)</t>
        </is>
      </c>
      <c r="I4945" s="12" t="inlineStr">
        <is>
          <t>LV 600 V</t>
        </is>
      </c>
      <c r="J4945" s="12" t="inlineStr">
        <is>
          <t>VFD cable 600 V 3/C Cu XHHW-2, 3 symmetrical grounds, overall Cu tape shield, TC-ER</t>
        </is>
      </c>
      <c r="K4945" s="12" t="inlineStr">
        <is>
          <t>VFD|3/C+3G|1</t>
        </is>
      </c>
      <c r="L4945" s="12" t="inlineStr">
        <is>
          <t>3/C+3G</t>
        </is>
      </c>
      <c r="M4945" s="12" t="inlineStr">
        <is>
          <t>1</t>
        </is>
      </c>
      <c r="N4945" s="12" t="n">
        <v>1</v>
      </c>
      <c r="O4945" s="12" t="n">
        <v>1</v>
      </c>
      <c r="P4945" s="12" t="n">
        <v>480</v>
      </c>
      <c r="Q4945" s="12" t="n">
        <v>30</v>
      </c>
      <c r="R4945" s="12" t="n">
        <v>42</v>
      </c>
      <c r="S4945" s="12" t="inlineStr">
        <is>
          <t>Duct bank</t>
        </is>
      </c>
      <c r="T4945" s="16" t="n">
        <v>825</v>
      </c>
      <c r="U4945" s="16" t="n">
        <v>139</v>
      </c>
      <c r="V4945" s="16">
        <f>ROUNDUP((T4945+U4945+2*'Read Me'!$B$13)*(1+'Read Me'!$B$12),-1)</f>
        <v/>
      </c>
      <c r="W4945" s="16">
        <f>V4945*N4945*O4945</f>
        <v/>
      </c>
      <c r="X4945" s="12">
        <f>IF(LEFT(I4945,2)="MV",2*N4945*IF(L4945="1/C",O4945,1),0)</f>
        <v/>
      </c>
      <c r="Y4945" s="12">
        <f>IF(OR(LEFT(K4945,4)="LVAX",LEFT(K4945,6)="MV15AX",LEFT(K4945,4)="CTAX",LEFT(K4945,2)="W|"),2*N4945*O4945,0)</f>
        <v/>
      </c>
      <c r="Z4945" s="12" t="inlineStr">
        <is>
          <t>VD 2.5 %</t>
        </is>
      </c>
      <c r="AA4945" s="12">
        <f>N4945*O4945</f>
        <v/>
      </c>
    </row>
    <row r="4946">
      <c r="A4946" s="12" t="inlineStr">
        <is>
          <t>I-P-0044</t>
        </is>
      </c>
      <c r="B4946" s="12" t="inlineStr">
        <is>
          <t>I</t>
        </is>
      </c>
      <c r="C4946" s="12" t="inlineStr">
        <is>
          <t>Modular / portable power</t>
        </is>
      </c>
      <c r="D4946" s="12" t="inlineStr">
        <is>
          <t>Motor 4 of 5, 30 kW (VFD output)</t>
        </is>
      </c>
      <c r="E4946" s="12" t="inlineStr"/>
      <c r="F4946" s="12" t="inlineStr">
        <is>
          <t>PCM: power control module</t>
        </is>
      </c>
      <c r="G4946" s="12" t="inlineStr"/>
      <c r="H4946" s="12" t="inlineStr">
        <is>
          <t>RICE 1 radiators (5)</t>
        </is>
      </c>
      <c r="I4946" s="12" t="inlineStr">
        <is>
          <t>LV 600 V</t>
        </is>
      </c>
      <c r="J4946" s="12" t="inlineStr">
        <is>
          <t>VFD cable 600 V 3/C Cu XHHW-2, 3 symmetrical grounds, overall Cu tape shield, TC-ER</t>
        </is>
      </c>
      <c r="K4946" s="12" t="inlineStr">
        <is>
          <t>VFD|3/C+3G|1</t>
        </is>
      </c>
      <c r="L4946" s="12" t="inlineStr">
        <is>
          <t>3/C+3G</t>
        </is>
      </c>
      <c r="M4946" s="12" t="inlineStr">
        <is>
          <t>1</t>
        </is>
      </c>
      <c r="N4946" s="12" t="n">
        <v>1</v>
      </c>
      <c r="O4946" s="12" t="n">
        <v>1</v>
      </c>
      <c r="P4946" s="12" t="n">
        <v>480</v>
      </c>
      <c r="Q4946" s="12" t="n">
        <v>30</v>
      </c>
      <c r="R4946" s="12" t="n">
        <v>42</v>
      </c>
      <c r="S4946" s="12" t="inlineStr">
        <is>
          <t>Duct bank</t>
        </is>
      </c>
      <c r="T4946" s="16" t="n">
        <v>825</v>
      </c>
      <c r="U4946" s="16" t="n">
        <v>139</v>
      </c>
      <c r="V4946" s="16">
        <f>ROUNDUP((T4946+U4946+2*'Read Me'!$B$13)*(1+'Read Me'!$B$12),-1)</f>
        <v/>
      </c>
      <c r="W4946" s="16">
        <f>V4946*N4946*O4946</f>
        <v/>
      </c>
      <c r="X4946" s="12">
        <f>IF(LEFT(I4946,2)="MV",2*N4946*IF(L4946="1/C",O4946,1),0)</f>
        <v/>
      </c>
      <c r="Y4946" s="12">
        <f>IF(OR(LEFT(K4946,4)="LVAX",LEFT(K4946,6)="MV15AX",LEFT(K4946,4)="CTAX",LEFT(K4946,2)="W|"),2*N4946*O4946,0)</f>
        <v/>
      </c>
      <c r="Z4946" s="12" t="inlineStr">
        <is>
          <t>VD 2.5 %</t>
        </is>
      </c>
      <c r="AA4946" s="12">
        <f>N4946*O4946</f>
        <v/>
      </c>
    </row>
    <row r="4947">
      <c r="A4947" s="12" t="inlineStr">
        <is>
          <t>I-P-0045</t>
        </is>
      </c>
      <c r="B4947" s="12" t="inlineStr">
        <is>
          <t>I</t>
        </is>
      </c>
      <c r="C4947" s="12" t="inlineStr">
        <is>
          <t>Modular / portable power</t>
        </is>
      </c>
      <c r="D4947" s="12" t="inlineStr">
        <is>
          <t>Motor 5 of 5, 30 kW (VFD output)</t>
        </is>
      </c>
      <c r="E4947" s="12" t="inlineStr"/>
      <c r="F4947" s="12" t="inlineStr">
        <is>
          <t>PCM: power control module</t>
        </is>
      </c>
      <c r="G4947" s="12" t="inlineStr"/>
      <c r="H4947" s="12" t="inlineStr">
        <is>
          <t>RICE 1 radiators (5)</t>
        </is>
      </c>
      <c r="I4947" s="12" t="inlineStr">
        <is>
          <t>LV 600 V</t>
        </is>
      </c>
      <c r="J4947" s="12" t="inlineStr">
        <is>
          <t>VFD cable 600 V 3/C Cu XHHW-2, 3 symmetrical grounds, overall Cu tape shield, TC-ER</t>
        </is>
      </c>
      <c r="K4947" s="12" t="inlineStr">
        <is>
          <t>VFD|3/C+3G|1</t>
        </is>
      </c>
      <c r="L4947" s="12" t="inlineStr">
        <is>
          <t>3/C+3G</t>
        </is>
      </c>
      <c r="M4947" s="12" t="inlineStr">
        <is>
          <t>1</t>
        </is>
      </c>
      <c r="N4947" s="12" t="n">
        <v>1</v>
      </c>
      <c r="O4947" s="12" t="n">
        <v>1</v>
      </c>
      <c r="P4947" s="12" t="n">
        <v>480</v>
      </c>
      <c r="Q4947" s="12" t="n">
        <v>30</v>
      </c>
      <c r="R4947" s="12" t="n">
        <v>42</v>
      </c>
      <c r="S4947" s="12" t="inlineStr">
        <is>
          <t>Duct bank</t>
        </is>
      </c>
      <c r="T4947" s="16" t="n">
        <v>825</v>
      </c>
      <c r="U4947" s="16" t="n">
        <v>139</v>
      </c>
      <c r="V4947" s="16">
        <f>ROUNDUP((T4947+U4947+2*'Read Me'!$B$13)*(1+'Read Me'!$B$12),-1)</f>
        <v/>
      </c>
      <c r="W4947" s="16">
        <f>V4947*N4947*O4947</f>
        <v/>
      </c>
      <c r="X4947" s="12">
        <f>IF(LEFT(I4947,2)="MV",2*N4947*IF(L4947="1/C",O4947,1),0)</f>
        <v/>
      </c>
      <c r="Y4947" s="12">
        <f>IF(OR(LEFT(K4947,4)="LVAX",LEFT(K4947,6)="MV15AX",LEFT(K4947,4)="CTAX",LEFT(K4947,2)="W|"),2*N4947*O4947,0)</f>
        <v/>
      </c>
      <c r="Z4947" s="12" t="inlineStr">
        <is>
          <t>VD 2.5 %</t>
        </is>
      </c>
      <c r="AA4947" s="12">
        <f>N4947*O4947</f>
        <v/>
      </c>
    </row>
    <row r="4948">
      <c r="A4948" s="12" t="inlineStr">
        <is>
          <t>I-P-0046</t>
        </is>
      </c>
      <c r="B4948" s="12" t="inlineStr">
        <is>
          <t>I</t>
        </is>
      </c>
      <c r="C4948" s="12" t="inlineStr">
        <is>
          <t>Modular / portable power</t>
        </is>
      </c>
      <c r="D4948" s="12" t="inlineStr">
        <is>
          <t>Motor 1 of 1, 15 kW</t>
        </is>
      </c>
      <c r="E4948" s="12" t="inlineStr"/>
      <c r="F4948" s="12" t="inlineStr">
        <is>
          <t>PCM: power control module</t>
        </is>
      </c>
      <c r="G4948" s="12" t="inlineStr"/>
      <c r="H4948" s="12" t="inlineStr">
        <is>
          <t>RICE 2 SCR + oxidation catalyst and stack</t>
        </is>
      </c>
      <c r="I4948" s="12" t="inlineStr">
        <is>
          <t>LV 600 V</t>
        </is>
      </c>
      <c r="J4948" s="12" t="inlineStr">
        <is>
          <t>Type TC-ER 600 V 3/C Cu XHHW-2 + ground, PVC jacket</t>
        </is>
      </c>
      <c r="K4948" s="12" t="inlineStr">
        <is>
          <t>LV|3/C+G|6</t>
        </is>
      </c>
      <c r="L4948" s="12" t="inlineStr">
        <is>
          <t>3/C+G</t>
        </is>
      </c>
      <c r="M4948" s="12" t="inlineStr">
        <is>
          <t>6</t>
        </is>
      </c>
      <c r="N4948" s="12" t="n">
        <v>1</v>
      </c>
      <c r="O4948" s="12" t="n">
        <v>1</v>
      </c>
      <c r="P4948" s="12" t="n">
        <v>480</v>
      </c>
      <c r="Q4948" s="12" t="n">
        <v>15</v>
      </c>
      <c r="R4948" s="12" t="n">
        <v>21.2</v>
      </c>
      <c r="S4948" s="12" t="inlineStr">
        <is>
          <t>Duct bank</t>
        </is>
      </c>
      <c r="T4948" s="16" t="n">
        <v>470</v>
      </c>
      <c r="U4948" s="16" t="n">
        <v>132</v>
      </c>
      <c r="V4948" s="16">
        <f>ROUNDUP((T4948+U4948+2*'Read Me'!$B$13)*(1+'Read Me'!$B$12),-1)</f>
        <v/>
      </c>
      <c r="W4948" s="16">
        <f>V4948*N4948*O4948</f>
        <v/>
      </c>
      <c r="X4948" s="12">
        <f>IF(LEFT(I4948,2)="MV",2*N4948*IF(L4948="1/C",O4948,1),0)</f>
        <v/>
      </c>
      <c r="Y4948" s="12">
        <f>IF(OR(LEFT(K4948,4)="LVAX",LEFT(K4948,6)="MV15AX",LEFT(K4948,4)="CTAX",LEFT(K4948,2)="W|"),2*N4948*O4948,0)</f>
        <v/>
      </c>
      <c r="Z4948" s="12" t="inlineStr">
        <is>
          <t>VD 2.5 %</t>
        </is>
      </c>
      <c r="AA4948" s="12">
        <f>N4948*O4948</f>
        <v/>
      </c>
    </row>
    <row r="4949">
      <c r="A4949" s="12" t="inlineStr">
        <is>
          <t>I-P-0047</t>
        </is>
      </c>
      <c r="B4949" s="12" t="inlineStr">
        <is>
          <t>I</t>
        </is>
      </c>
      <c r="C4949" s="12" t="inlineStr">
        <is>
          <t>Modular / portable power</t>
        </is>
      </c>
      <c r="D4949" s="12" t="inlineStr">
        <is>
          <t>Area / platform lighting circuit 1 (6 fixtures)</t>
        </is>
      </c>
      <c r="E4949" s="12" t="inlineStr"/>
      <c r="F4949" s="12" t="inlineStr">
        <is>
          <t>PCM: power control module</t>
        </is>
      </c>
      <c r="G4949" s="12" t="inlineStr"/>
      <c r="H4949" s="12" t="inlineStr">
        <is>
          <t>RICE 2 SCR + oxidation catalyst and stack</t>
        </is>
      </c>
      <c r="I4949" s="12" t="inlineStr">
        <is>
          <t>LV 600 V</t>
        </is>
      </c>
      <c r="J4949" s="12" t="inlineStr">
        <is>
          <t>Type TC-ER 600 V 3/C Cu XHHW-2 + ground, PVC jacket</t>
        </is>
      </c>
      <c r="K4949" s="12" t="inlineStr">
        <is>
          <t>LV|3/C+G|10</t>
        </is>
      </c>
      <c r="L4949" s="12" t="inlineStr">
        <is>
          <t>3/C+G</t>
        </is>
      </c>
      <c r="M4949" s="12" t="inlineStr">
        <is>
          <t>10</t>
        </is>
      </c>
      <c r="N4949" s="12" t="n">
        <v>1</v>
      </c>
      <c r="O4949" s="12" t="n">
        <v>1</v>
      </c>
      <c r="P4949" s="12" t="n">
        <v>480</v>
      </c>
      <c r="Q4949" s="12" t="n">
        <v>3</v>
      </c>
      <c r="R4949" s="12" t="n">
        <v>5</v>
      </c>
      <c r="S4949" s="12" t="inlineStr">
        <is>
          <t>Duct bank</t>
        </is>
      </c>
      <c r="T4949" s="16" t="n">
        <v>770</v>
      </c>
      <c r="U4949" s="16" t="n">
        <v>132</v>
      </c>
      <c r="V4949" s="16">
        <f>ROUNDUP((T4949+U4949+2*'Read Me'!$B$13)*(1+'Read Me'!$B$12),-1)</f>
        <v/>
      </c>
      <c r="W4949" s="16">
        <f>V4949*N4949*O4949</f>
        <v/>
      </c>
      <c r="X4949" s="12">
        <f>IF(LEFT(I4949,2)="MV",2*N4949*IF(L4949="1/C",O4949,1),0)</f>
        <v/>
      </c>
      <c r="Y4949" s="12">
        <f>IF(OR(LEFT(K4949,4)="LVAX",LEFT(K4949,6)="MV15AX",LEFT(K4949,4)="CTAX",LEFT(K4949,2)="W|"),2*N4949*O4949,0)</f>
        <v/>
      </c>
      <c r="Z4949" s="12" t="inlineStr">
        <is>
          <t>fixture-to-fixture run included</t>
        </is>
      </c>
      <c r="AA4949" s="12">
        <f>N4949*O4949</f>
        <v/>
      </c>
    </row>
    <row r="4950">
      <c r="A4950" s="12" t="inlineStr">
        <is>
          <t>I-P-0048</t>
        </is>
      </c>
      <c r="B4950" s="12" t="inlineStr">
        <is>
          <t>I</t>
        </is>
      </c>
      <c r="C4950" s="12" t="inlineStr">
        <is>
          <t>Modular / portable power</t>
        </is>
      </c>
      <c r="D4950" s="12" t="inlineStr">
        <is>
          <t>Motor 1 of 5, 30 kW (VFD output)</t>
        </is>
      </c>
      <c r="E4950" s="12" t="inlineStr"/>
      <c r="F4950" s="12" t="inlineStr">
        <is>
          <t>PCM: power control module</t>
        </is>
      </c>
      <c r="G4950" s="12" t="inlineStr"/>
      <c r="H4950" s="12" t="inlineStr">
        <is>
          <t>RICE 2 radiators (5)</t>
        </is>
      </c>
      <c r="I4950" s="12" t="inlineStr">
        <is>
          <t>LV 600 V</t>
        </is>
      </c>
      <c r="J4950" s="12" t="inlineStr">
        <is>
          <t>VFD cable 600 V 3/C Cu XHHW-2, 3 symmetrical grounds, overall Cu tape shield, TC-ER</t>
        </is>
      </c>
      <c r="K4950" s="12" t="inlineStr">
        <is>
          <t>VFD|3/C+3G|2</t>
        </is>
      </c>
      <c r="L4950" s="12" t="inlineStr">
        <is>
          <t>3/C+3G</t>
        </is>
      </c>
      <c r="M4950" s="12" t="inlineStr">
        <is>
          <t>2</t>
        </is>
      </c>
      <c r="N4950" s="12" t="n">
        <v>1</v>
      </c>
      <c r="O4950" s="12" t="n">
        <v>1</v>
      </c>
      <c r="P4950" s="12" t="n">
        <v>480</v>
      </c>
      <c r="Q4950" s="12" t="n">
        <v>30</v>
      </c>
      <c r="R4950" s="12" t="n">
        <v>42</v>
      </c>
      <c r="S4950" s="12" t="inlineStr">
        <is>
          <t>Duct bank</t>
        </is>
      </c>
      <c r="T4950" s="16" t="n">
        <v>630</v>
      </c>
      <c r="U4950" s="16" t="n">
        <v>192</v>
      </c>
      <c r="V4950" s="16">
        <f>ROUNDUP((T4950+U4950+2*'Read Me'!$B$13)*(1+'Read Me'!$B$12),-1)</f>
        <v/>
      </c>
      <c r="W4950" s="16">
        <f>V4950*N4950*O4950</f>
        <v/>
      </c>
      <c r="X4950" s="12">
        <f>IF(LEFT(I4950,2)="MV",2*N4950*IF(L4950="1/C",O4950,1),0)</f>
        <v/>
      </c>
      <c r="Y4950" s="12">
        <f>IF(OR(LEFT(K4950,4)="LVAX",LEFT(K4950,6)="MV15AX",LEFT(K4950,4)="CTAX",LEFT(K4950,2)="W|"),2*N4950*O4950,0)</f>
        <v/>
      </c>
      <c r="Z4950" s="12" t="inlineStr">
        <is>
          <t>VD 2.7 %</t>
        </is>
      </c>
      <c r="AA4950" s="12">
        <f>N4950*O4950</f>
        <v/>
      </c>
    </row>
    <row r="4951">
      <c r="A4951" s="12" t="inlineStr">
        <is>
          <t>I-P-0049</t>
        </is>
      </c>
      <c r="B4951" s="12" t="inlineStr">
        <is>
          <t>I</t>
        </is>
      </c>
      <c r="C4951" s="12" t="inlineStr">
        <is>
          <t>Modular / portable power</t>
        </is>
      </c>
      <c r="D4951" s="12" t="inlineStr">
        <is>
          <t>Motor 2 of 5, 30 kW (VFD output)</t>
        </is>
      </c>
      <c r="E4951" s="12" t="inlineStr"/>
      <c r="F4951" s="12" t="inlineStr">
        <is>
          <t>PCM: power control module</t>
        </is>
      </c>
      <c r="G4951" s="12" t="inlineStr"/>
      <c r="H4951" s="12" t="inlineStr">
        <is>
          <t>RICE 2 radiators (5)</t>
        </is>
      </c>
      <c r="I4951" s="12" t="inlineStr">
        <is>
          <t>LV 600 V</t>
        </is>
      </c>
      <c r="J4951" s="12" t="inlineStr">
        <is>
          <t>VFD cable 600 V 3/C Cu XHHW-2, 3 symmetrical grounds, overall Cu tape shield, TC-ER</t>
        </is>
      </c>
      <c r="K4951" s="12" t="inlineStr">
        <is>
          <t>VFD|3/C+3G|2</t>
        </is>
      </c>
      <c r="L4951" s="12" t="inlineStr">
        <is>
          <t>3/C+3G</t>
        </is>
      </c>
      <c r="M4951" s="12" t="inlineStr">
        <is>
          <t>2</t>
        </is>
      </c>
      <c r="N4951" s="12" t="n">
        <v>1</v>
      </c>
      <c r="O4951" s="12" t="n">
        <v>1</v>
      </c>
      <c r="P4951" s="12" t="n">
        <v>480</v>
      </c>
      <c r="Q4951" s="12" t="n">
        <v>30</v>
      </c>
      <c r="R4951" s="12" t="n">
        <v>42</v>
      </c>
      <c r="S4951" s="12" t="inlineStr">
        <is>
          <t>Duct bank</t>
        </is>
      </c>
      <c r="T4951" s="16" t="n">
        <v>630</v>
      </c>
      <c r="U4951" s="16" t="n">
        <v>192</v>
      </c>
      <c r="V4951" s="16">
        <f>ROUNDUP((T4951+U4951+2*'Read Me'!$B$13)*(1+'Read Me'!$B$12),-1)</f>
        <v/>
      </c>
      <c r="W4951" s="16">
        <f>V4951*N4951*O4951</f>
        <v/>
      </c>
      <c r="X4951" s="12">
        <f>IF(LEFT(I4951,2)="MV",2*N4951*IF(L4951="1/C",O4951,1),0)</f>
        <v/>
      </c>
      <c r="Y4951" s="12">
        <f>IF(OR(LEFT(K4951,4)="LVAX",LEFT(K4951,6)="MV15AX",LEFT(K4951,4)="CTAX",LEFT(K4951,2)="W|"),2*N4951*O4951,0)</f>
        <v/>
      </c>
      <c r="Z4951" s="12" t="inlineStr">
        <is>
          <t>VD 2.7 %</t>
        </is>
      </c>
      <c r="AA4951" s="12">
        <f>N4951*O4951</f>
        <v/>
      </c>
    </row>
    <row r="4952">
      <c r="A4952" s="12" t="inlineStr">
        <is>
          <t>I-P-0050</t>
        </is>
      </c>
      <c r="B4952" s="12" t="inlineStr">
        <is>
          <t>I</t>
        </is>
      </c>
      <c r="C4952" s="12" t="inlineStr">
        <is>
          <t>Modular / portable power</t>
        </is>
      </c>
      <c r="D4952" s="12" t="inlineStr">
        <is>
          <t>Motor 3 of 5, 30 kW (VFD output)</t>
        </is>
      </c>
      <c r="E4952" s="12" t="inlineStr"/>
      <c r="F4952" s="12" t="inlineStr">
        <is>
          <t>PCM: power control module</t>
        </is>
      </c>
      <c r="G4952" s="12" t="inlineStr"/>
      <c r="H4952" s="12" t="inlineStr">
        <is>
          <t>RICE 2 radiators (5)</t>
        </is>
      </c>
      <c r="I4952" s="12" t="inlineStr">
        <is>
          <t>LV 600 V</t>
        </is>
      </c>
      <c r="J4952" s="12" t="inlineStr">
        <is>
          <t>VFD cable 600 V 3/C Cu XHHW-2, 3 symmetrical grounds, overall Cu tape shield, TC-ER</t>
        </is>
      </c>
      <c r="K4952" s="12" t="inlineStr">
        <is>
          <t>VFD|3/C+3G|2</t>
        </is>
      </c>
      <c r="L4952" s="12" t="inlineStr">
        <is>
          <t>3/C+3G</t>
        </is>
      </c>
      <c r="M4952" s="12" t="inlineStr">
        <is>
          <t>2</t>
        </is>
      </c>
      <c r="N4952" s="12" t="n">
        <v>1</v>
      </c>
      <c r="O4952" s="12" t="n">
        <v>1</v>
      </c>
      <c r="P4952" s="12" t="n">
        <v>480</v>
      </c>
      <c r="Q4952" s="12" t="n">
        <v>30</v>
      </c>
      <c r="R4952" s="12" t="n">
        <v>42</v>
      </c>
      <c r="S4952" s="12" t="inlineStr">
        <is>
          <t>Duct bank</t>
        </is>
      </c>
      <c r="T4952" s="16" t="n">
        <v>630</v>
      </c>
      <c r="U4952" s="16" t="n">
        <v>192</v>
      </c>
      <c r="V4952" s="16">
        <f>ROUNDUP((T4952+U4952+2*'Read Me'!$B$13)*(1+'Read Me'!$B$12),-1)</f>
        <v/>
      </c>
      <c r="W4952" s="16">
        <f>V4952*N4952*O4952</f>
        <v/>
      </c>
      <c r="X4952" s="12">
        <f>IF(LEFT(I4952,2)="MV",2*N4952*IF(L4952="1/C",O4952,1),0)</f>
        <v/>
      </c>
      <c r="Y4952" s="12">
        <f>IF(OR(LEFT(K4952,4)="LVAX",LEFT(K4952,6)="MV15AX",LEFT(K4952,4)="CTAX",LEFT(K4952,2)="W|"),2*N4952*O4952,0)</f>
        <v/>
      </c>
      <c r="Z4952" s="12" t="inlineStr">
        <is>
          <t>VD 2.7 %</t>
        </is>
      </c>
      <c r="AA4952" s="12">
        <f>N4952*O4952</f>
        <v/>
      </c>
    </row>
    <row r="4953">
      <c r="A4953" s="12" t="inlineStr">
        <is>
          <t>I-P-0051</t>
        </is>
      </c>
      <c r="B4953" s="12" t="inlineStr">
        <is>
          <t>I</t>
        </is>
      </c>
      <c r="C4953" s="12" t="inlineStr">
        <is>
          <t>Modular / portable power</t>
        </is>
      </c>
      <c r="D4953" s="12" t="inlineStr">
        <is>
          <t>Motor 4 of 5, 30 kW (VFD output)</t>
        </is>
      </c>
      <c r="E4953" s="12" t="inlineStr"/>
      <c r="F4953" s="12" t="inlineStr">
        <is>
          <t>PCM: power control module</t>
        </is>
      </c>
      <c r="G4953" s="12" t="inlineStr"/>
      <c r="H4953" s="12" t="inlineStr">
        <is>
          <t>RICE 2 radiators (5)</t>
        </is>
      </c>
      <c r="I4953" s="12" t="inlineStr">
        <is>
          <t>LV 600 V</t>
        </is>
      </c>
      <c r="J4953" s="12" t="inlineStr">
        <is>
          <t>VFD cable 600 V 3/C Cu XHHW-2, 3 symmetrical grounds, overall Cu tape shield, TC-ER</t>
        </is>
      </c>
      <c r="K4953" s="12" t="inlineStr">
        <is>
          <t>VFD|3/C+3G|2</t>
        </is>
      </c>
      <c r="L4953" s="12" t="inlineStr">
        <is>
          <t>3/C+3G</t>
        </is>
      </c>
      <c r="M4953" s="12" t="inlineStr">
        <is>
          <t>2</t>
        </is>
      </c>
      <c r="N4953" s="12" t="n">
        <v>1</v>
      </c>
      <c r="O4953" s="12" t="n">
        <v>1</v>
      </c>
      <c r="P4953" s="12" t="n">
        <v>480</v>
      </c>
      <c r="Q4953" s="12" t="n">
        <v>30</v>
      </c>
      <c r="R4953" s="12" t="n">
        <v>42</v>
      </c>
      <c r="S4953" s="12" t="inlineStr">
        <is>
          <t>Duct bank</t>
        </is>
      </c>
      <c r="T4953" s="16" t="n">
        <v>630</v>
      </c>
      <c r="U4953" s="16" t="n">
        <v>192</v>
      </c>
      <c r="V4953" s="16">
        <f>ROUNDUP((T4953+U4953+2*'Read Me'!$B$13)*(1+'Read Me'!$B$12),-1)</f>
        <v/>
      </c>
      <c r="W4953" s="16">
        <f>V4953*N4953*O4953</f>
        <v/>
      </c>
      <c r="X4953" s="12">
        <f>IF(LEFT(I4953,2)="MV",2*N4953*IF(L4953="1/C",O4953,1),0)</f>
        <v/>
      </c>
      <c r="Y4953" s="12">
        <f>IF(OR(LEFT(K4953,4)="LVAX",LEFT(K4953,6)="MV15AX",LEFT(K4953,4)="CTAX",LEFT(K4953,2)="W|"),2*N4953*O4953,0)</f>
        <v/>
      </c>
      <c r="Z4953" s="12" t="inlineStr">
        <is>
          <t>VD 2.7 %</t>
        </is>
      </c>
      <c r="AA4953" s="12">
        <f>N4953*O4953</f>
        <v/>
      </c>
    </row>
    <row r="4954">
      <c r="A4954" s="12" t="inlineStr">
        <is>
          <t>I-P-0052</t>
        </is>
      </c>
      <c r="B4954" s="12" t="inlineStr">
        <is>
          <t>I</t>
        </is>
      </c>
      <c r="C4954" s="12" t="inlineStr">
        <is>
          <t>Modular / portable power</t>
        </is>
      </c>
      <c r="D4954" s="12" t="inlineStr">
        <is>
          <t>Motor 5 of 5, 30 kW (VFD output)</t>
        </is>
      </c>
      <c r="E4954" s="12" t="inlineStr"/>
      <c r="F4954" s="12" t="inlineStr">
        <is>
          <t>PCM: power control module</t>
        </is>
      </c>
      <c r="G4954" s="12" t="inlineStr"/>
      <c r="H4954" s="12" t="inlineStr">
        <is>
          <t>RICE 2 radiators (5)</t>
        </is>
      </c>
      <c r="I4954" s="12" t="inlineStr">
        <is>
          <t>LV 600 V</t>
        </is>
      </c>
      <c r="J4954" s="12" t="inlineStr">
        <is>
          <t>VFD cable 600 V 3/C Cu XHHW-2, 3 symmetrical grounds, overall Cu tape shield, TC-ER</t>
        </is>
      </c>
      <c r="K4954" s="12" t="inlineStr">
        <is>
          <t>VFD|3/C+3G|2</t>
        </is>
      </c>
      <c r="L4954" s="12" t="inlineStr">
        <is>
          <t>3/C+3G</t>
        </is>
      </c>
      <c r="M4954" s="12" t="inlineStr">
        <is>
          <t>2</t>
        </is>
      </c>
      <c r="N4954" s="12" t="n">
        <v>1</v>
      </c>
      <c r="O4954" s="12" t="n">
        <v>1</v>
      </c>
      <c r="P4954" s="12" t="n">
        <v>480</v>
      </c>
      <c r="Q4954" s="12" t="n">
        <v>30</v>
      </c>
      <c r="R4954" s="12" t="n">
        <v>42</v>
      </c>
      <c r="S4954" s="12" t="inlineStr">
        <is>
          <t>Duct bank</t>
        </is>
      </c>
      <c r="T4954" s="16" t="n">
        <v>630</v>
      </c>
      <c r="U4954" s="16" t="n">
        <v>192</v>
      </c>
      <c r="V4954" s="16">
        <f>ROUNDUP((T4954+U4954+2*'Read Me'!$B$13)*(1+'Read Me'!$B$12),-1)</f>
        <v/>
      </c>
      <c r="W4954" s="16">
        <f>V4954*N4954*O4954</f>
        <v/>
      </c>
      <c r="X4954" s="12">
        <f>IF(LEFT(I4954,2)="MV",2*N4954*IF(L4954="1/C",O4954,1),0)</f>
        <v/>
      </c>
      <c r="Y4954" s="12">
        <f>IF(OR(LEFT(K4954,4)="LVAX",LEFT(K4954,6)="MV15AX",LEFT(K4954,4)="CTAX",LEFT(K4954,2)="W|"),2*N4954*O4954,0)</f>
        <v/>
      </c>
      <c r="Z4954" s="12" t="inlineStr">
        <is>
          <t>VD 2.7 %</t>
        </is>
      </c>
      <c r="AA4954" s="12">
        <f>N4954*O4954</f>
        <v/>
      </c>
    </row>
    <row r="4955">
      <c r="A4955" s="12" t="inlineStr">
        <is>
          <t>I-P-0053</t>
        </is>
      </c>
      <c r="B4955" s="12" t="inlineStr">
        <is>
          <t>I</t>
        </is>
      </c>
      <c r="C4955" s="12" t="inlineStr">
        <is>
          <t>Modular / portable power</t>
        </is>
      </c>
      <c r="D4955" s="12" t="inlineStr">
        <is>
          <t>Motor 1 of 1, 15 kW</t>
        </is>
      </c>
      <c r="E4955" s="12" t="inlineStr"/>
      <c r="F4955" s="12" t="inlineStr">
        <is>
          <t>PCM: power control module</t>
        </is>
      </c>
      <c r="G4955" s="12" t="inlineStr"/>
      <c r="H4955" s="12" t="inlineStr">
        <is>
          <t>RICE 3 SCR + oxidation catalyst and stack</t>
        </is>
      </c>
      <c r="I4955" s="12" t="inlineStr">
        <is>
          <t>LV 600 V</t>
        </is>
      </c>
      <c r="J4955" s="12" t="inlineStr">
        <is>
          <t>Type TC-ER 600 V 3/C Cu XHHW-2 + ground, PVC jacket</t>
        </is>
      </c>
      <c r="K4955" s="12" t="inlineStr">
        <is>
          <t>LV|3/C+G|6</t>
        </is>
      </c>
      <c r="L4955" s="12" t="inlineStr">
        <is>
          <t>3/C+G</t>
        </is>
      </c>
      <c r="M4955" s="12" t="inlineStr">
        <is>
          <t>6</t>
        </is>
      </c>
      <c r="N4955" s="12" t="n">
        <v>1</v>
      </c>
      <c r="O4955" s="12" t="n">
        <v>1</v>
      </c>
      <c r="P4955" s="12" t="n">
        <v>480</v>
      </c>
      <c r="Q4955" s="12" t="n">
        <v>15</v>
      </c>
      <c r="R4955" s="12" t="n">
        <v>21.2</v>
      </c>
      <c r="S4955" s="12" t="inlineStr">
        <is>
          <t>Duct bank</t>
        </is>
      </c>
      <c r="T4955" s="16" t="n">
        <v>470</v>
      </c>
      <c r="U4955" s="16" t="n">
        <v>104</v>
      </c>
      <c r="V4955" s="16">
        <f>ROUNDUP((T4955+U4955+2*'Read Me'!$B$13)*(1+'Read Me'!$B$12),-1)</f>
        <v/>
      </c>
      <c r="W4955" s="16">
        <f>V4955*N4955*O4955</f>
        <v/>
      </c>
      <c r="X4955" s="12">
        <f>IF(LEFT(I4955,2)="MV",2*N4955*IF(L4955="1/C",O4955,1),0)</f>
        <v/>
      </c>
      <c r="Y4955" s="12">
        <f>IF(OR(LEFT(K4955,4)="LVAX",LEFT(K4955,6)="MV15AX",LEFT(K4955,4)="CTAX",LEFT(K4955,2)="W|"),2*N4955*O4955,0)</f>
        <v/>
      </c>
      <c r="Z4955" s="12" t="inlineStr">
        <is>
          <t>VD 2.4 %</t>
        </is>
      </c>
      <c r="AA4955" s="12">
        <f>N4955*O4955</f>
        <v/>
      </c>
    </row>
    <row r="4956">
      <c r="A4956" s="12" t="inlineStr">
        <is>
          <t>I-P-0054</t>
        </is>
      </c>
      <c r="B4956" s="12" t="inlineStr">
        <is>
          <t>I</t>
        </is>
      </c>
      <c r="C4956" s="12" t="inlineStr">
        <is>
          <t>Modular / portable power</t>
        </is>
      </c>
      <c r="D4956" s="12" t="inlineStr">
        <is>
          <t>Area / platform lighting circuit 1 (6 fixtures)</t>
        </is>
      </c>
      <c r="E4956" s="12" t="inlineStr"/>
      <c r="F4956" s="12" t="inlineStr">
        <is>
          <t>PCM: power control module</t>
        </is>
      </c>
      <c r="G4956" s="12" t="inlineStr"/>
      <c r="H4956" s="12" t="inlineStr">
        <is>
          <t>RICE 3 SCR + oxidation catalyst and stack</t>
        </is>
      </c>
      <c r="I4956" s="12" t="inlineStr">
        <is>
          <t>LV 600 V</t>
        </is>
      </c>
      <c r="J4956" s="12" t="inlineStr">
        <is>
          <t>Type TC-ER 600 V 3/C Cu XHHW-2 + ground, PVC jacket</t>
        </is>
      </c>
      <c r="K4956" s="12" t="inlineStr">
        <is>
          <t>LV|3/C+G|10</t>
        </is>
      </c>
      <c r="L4956" s="12" t="inlineStr">
        <is>
          <t>3/C+G</t>
        </is>
      </c>
      <c r="M4956" s="12" t="inlineStr">
        <is>
          <t>10</t>
        </is>
      </c>
      <c r="N4956" s="12" t="n">
        <v>1</v>
      </c>
      <c r="O4956" s="12" t="n">
        <v>1</v>
      </c>
      <c r="P4956" s="12" t="n">
        <v>480</v>
      </c>
      <c r="Q4956" s="12" t="n">
        <v>3</v>
      </c>
      <c r="R4956" s="12" t="n">
        <v>5</v>
      </c>
      <c r="S4956" s="12" t="inlineStr">
        <is>
          <t>Duct bank</t>
        </is>
      </c>
      <c r="T4956" s="16" t="n">
        <v>770</v>
      </c>
      <c r="U4956" s="16" t="n">
        <v>104</v>
      </c>
      <c r="V4956" s="16">
        <f>ROUNDUP((T4956+U4956+2*'Read Me'!$B$13)*(1+'Read Me'!$B$12),-1)</f>
        <v/>
      </c>
      <c r="W4956" s="16">
        <f>V4956*N4956*O4956</f>
        <v/>
      </c>
      <c r="X4956" s="12">
        <f>IF(LEFT(I4956,2)="MV",2*N4956*IF(L4956="1/C",O4956,1),0)</f>
        <v/>
      </c>
      <c r="Y4956" s="12">
        <f>IF(OR(LEFT(K4956,4)="LVAX",LEFT(K4956,6)="MV15AX",LEFT(K4956,4)="CTAX",LEFT(K4956,2)="W|"),2*N4956*O4956,0)</f>
        <v/>
      </c>
      <c r="Z4956" s="12" t="inlineStr">
        <is>
          <t>fixture-to-fixture run included</t>
        </is>
      </c>
      <c r="AA4956" s="12">
        <f>N4956*O4956</f>
        <v/>
      </c>
    </row>
    <row r="4957">
      <c r="A4957" s="12" t="inlineStr">
        <is>
          <t>I-P-0055</t>
        </is>
      </c>
      <c r="B4957" s="12" t="inlineStr">
        <is>
          <t>I</t>
        </is>
      </c>
      <c r="C4957" s="12" t="inlineStr">
        <is>
          <t>Modular / portable power</t>
        </is>
      </c>
      <c r="D4957" s="12" t="inlineStr">
        <is>
          <t>Motor 1 of 5, 30 kW (VFD output)</t>
        </is>
      </c>
      <c r="E4957" s="12" t="inlineStr"/>
      <c r="F4957" s="12" t="inlineStr">
        <is>
          <t>PCM: power control module</t>
        </is>
      </c>
      <c r="G4957" s="12" t="inlineStr"/>
      <c r="H4957" s="12" t="inlineStr">
        <is>
          <t>RICE 3 radiators (5)</t>
        </is>
      </c>
      <c r="I4957" s="12" t="inlineStr">
        <is>
          <t>LV 600 V</t>
        </is>
      </c>
      <c r="J4957" s="12" t="inlineStr">
        <is>
          <t>VFD cable 600 V 3/C Cu XHHW-2, 3 symmetrical grounds, overall Cu tape shield, TC-ER</t>
        </is>
      </c>
      <c r="K4957" s="12" t="inlineStr">
        <is>
          <t>VFD|3/C+3G|6</t>
        </is>
      </c>
      <c r="L4957" s="12" t="inlineStr">
        <is>
          <t>3/C+3G</t>
        </is>
      </c>
      <c r="M4957" s="12" t="inlineStr">
        <is>
          <t>6</t>
        </is>
      </c>
      <c r="N4957" s="12" t="n">
        <v>1</v>
      </c>
      <c r="O4957" s="12" t="n">
        <v>1</v>
      </c>
      <c r="P4957" s="12" t="n">
        <v>480</v>
      </c>
      <c r="Q4957" s="12" t="n">
        <v>30</v>
      </c>
      <c r="R4957" s="12" t="n">
        <v>42</v>
      </c>
      <c r="S4957" s="12" t="inlineStr">
        <is>
          <t>Tray</t>
        </is>
      </c>
      <c r="T4957" s="16" t="n">
        <v>112</v>
      </c>
      <c r="U4957" s="16" t="n">
        <v>232</v>
      </c>
      <c r="V4957" s="16">
        <f>ROUNDUP((T4957+U4957+2*'Read Me'!$B$13)*(1+'Read Me'!$B$12),-1)</f>
        <v/>
      </c>
      <c r="W4957" s="16">
        <f>V4957*N4957*O4957</f>
        <v/>
      </c>
      <c r="X4957" s="12">
        <f>IF(LEFT(I4957,2)="MV",2*N4957*IF(L4957="1/C",O4957,1),0)</f>
        <v/>
      </c>
      <c r="Y4957" s="12">
        <f>IF(OR(LEFT(K4957,4)="LVAX",LEFT(K4957,6)="MV15AX",LEFT(K4957,4)="CTAX",LEFT(K4957,2)="W|"),2*N4957*O4957,0)</f>
        <v/>
      </c>
      <c r="Z4957" s="12" t="inlineStr">
        <is>
          <t>VD 2.8 %</t>
        </is>
      </c>
      <c r="AA4957" s="12">
        <f>N4957*O4957</f>
        <v/>
      </c>
    </row>
    <row r="4958">
      <c r="A4958" s="12" t="inlineStr">
        <is>
          <t>I-P-0056</t>
        </is>
      </c>
      <c r="B4958" s="12" t="inlineStr">
        <is>
          <t>I</t>
        </is>
      </c>
      <c r="C4958" s="12" t="inlineStr">
        <is>
          <t>Modular / portable power</t>
        </is>
      </c>
      <c r="D4958" s="12" t="inlineStr">
        <is>
          <t>Motor 2 of 5, 30 kW (VFD output)</t>
        </is>
      </c>
      <c r="E4958" s="12" t="inlineStr"/>
      <c r="F4958" s="12" t="inlineStr">
        <is>
          <t>PCM: power control module</t>
        </is>
      </c>
      <c r="G4958" s="12" t="inlineStr"/>
      <c r="H4958" s="12" t="inlineStr">
        <is>
          <t>RICE 3 radiators (5)</t>
        </is>
      </c>
      <c r="I4958" s="12" t="inlineStr">
        <is>
          <t>LV 600 V</t>
        </is>
      </c>
      <c r="J4958" s="12" t="inlineStr">
        <is>
          <t>VFD cable 600 V 3/C Cu XHHW-2, 3 symmetrical grounds, overall Cu tape shield, TC-ER</t>
        </is>
      </c>
      <c r="K4958" s="12" t="inlineStr">
        <is>
          <t>VFD|3/C+3G|6</t>
        </is>
      </c>
      <c r="L4958" s="12" t="inlineStr">
        <is>
          <t>3/C+3G</t>
        </is>
      </c>
      <c r="M4958" s="12" t="inlineStr">
        <is>
          <t>6</t>
        </is>
      </c>
      <c r="N4958" s="12" t="n">
        <v>1</v>
      </c>
      <c r="O4958" s="12" t="n">
        <v>1</v>
      </c>
      <c r="P4958" s="12" t="n">
        <v>480</v>
      </c>
      <c r="Q4958" s="12" t="n">
        <v>30</v>
      </c>
      <c r="R4958" s="12" t="n">
        <v>42</v>
      </c>
      <c r="S4958" s="12" t="inlineStr">
        <is>
          <t>Tray</t>
        </is>
      </c>
      <c r="T4958" s="16" t="n">
        <v>112</v>
      </c>
      <c r="U4958" s="16" t="n">
        <v>232</v>
      </c>
      <c r="V4958" s="16">
        <f>ROUNDUP((T4958+U4958+2*'Read Me'!$B$13)*(1+'Read Me'!$B$12),-1)</f>
        <v/>
      </c>
      <c r="W4958" s="16">
        <f>V4958*N4958*O4958</f>
        <v/>
      </c>
      <c r="X4958" s="12">
        <f>IF(LEFT(I4958,2)="MV",2*N4958*IF(L4958="1/C",O4958,1),0)</f>
        <v/>
      </c>
      <c r="Y4958" s="12">
        <f>IF(OR(LEFT(K4958,4)="LVAX",LEFT(K4958,6)="MV15AX",LEFT(K4958,4)="CTAX",LEFT(K4958,2)="W|"),2*N4958*O4958,0)</f>
        <v/>
      </c>
      <c r="Z4958" s="12" t="inlineStr">
        <is>
          <t>VD 2.8 %</t>
        </is>
      </c>
      <c r="AA4958" s="12">
        <f>N4958*O4958</f>
        <v/>
      </c>
    </row>
    <row r="4959">
      <c r="A4959" s="12" t="inlineStr">
        <is>
          <t>I-P-0057</t>
        </is>
      </c>
      <c r="B4959" s="12" t="inlineStr">
        <is>
          <t>I</t>
        </is>
      </c>
      <c r="C4959" s="12" t="inlineStr">
        <is>
          <t>Modular / portable power</t>
        </is>
      </c>
      <c r="D4959" s="12" t="inlineStr">
        <is>
          <t>Motor 3 of 5, 30 kW (VFD output)</t>
        </is>
      </c>
      <c r="E4959" s="12" t="inlineStr"/>
      <c r="F4959" s="12" t="inlineStr">
        <is>
          <t>PCM: power control module</t>
        </is>
      </c>
      <c r="G4959" s="12" t="inlineStr"/>
      <c r="H4959" s="12" t="inlineStr">
        <is>
          <t>RICE 3 radiators (5)</t>
        </is>
      </c>
      <c r="I4959" s="12" t="inlineStr">
        <is>
          <t>LV 600 V</t>
        </is>
      </c>
      <c r="J4959" s="12" t="inlineStr">
        <is>
          <t>VFD cable 600 V 3/C Cu XHHW-2, 3 symmetrical grounds, overall Cu tape shield, TC-ER</t>
        </is>
      </c>
      <c r="K4959" s="12" t="inlineStr">
        <is>
          <t>VFD|3/C+3G|6</t>
        </is>
      </c>
      <c r="L4959" s="12" t="inlineStr">
        <is>
          <t>3/C+3G</t>
        </is>
      </c>
      <c r="M4959" s="12" t="inlineStr">
        <is>
          <t>6</t>
        </is>
      </c>
      <c r="N4959" s="12" t="n">
        <v>1</v>
      </c>
      <c r="O4959" s="12" t="n">
        <v>1</v>
      </c>
      <c r="P4959" s="12" t="n">
        <v>480</v>
      </c>
      <c r="Q4959" s="12" t="n">
        <v>30</v>
      </c>
      <c r="R4959" s="12" t="n">
        <v>42</v>
      </c>
      <c r="S4959" s="12" t="inlineStr">
        <is>
          <t>Tray</t>
        </is>
      </c>
      <c r="T4959" s="16" t="n">
        <v>112</v>
      </c>
      <c r="U4959" s="16" t="n">
        <v>232</v>
      </c>
      <c r="V4959" s="16">
        <f>ROUNDUP((T4959+U4959+2*'Read Me'!$B$13)*(1+'Read Me'!$B$12),-1)</f>
        <v/>
      </c>
      <c r="W4959" s="16">
        <f>V4959*N4959*O4959</f>
        <v/>
      </c>
      <c r="X4959" s="12">
        <f>IF(LEFT(I4959,2)="MV",2*N4959*IF(L4959="1/C",O4959,1),0)</f>
        <v/>
      </c>
      <c r="Y4959" s="12">
        <f>IF(OR(LEFT(K4959,4)="LVAX",LEFT(K4959,6)="MV15AX",LEFT(K4959,4)="CTAX",LEFT(K4959,2)="W|"),2*N4959*O4959,0)</f>
        <v/>
      </c>
      <c r="Z4959" s="12" t="inlineStr">
        <is>
          <t>VD 2.8 %</t>
        </is>
      </c>
      <c r="AA4959" s="12">
        <f>N4959*O4959</f>
        <v/>
      </c>
    </row>
    <row r="4960">
      <c r="A4960" s="12" t="inlineStr">
        <is>
          <t>I-P-0058</t>
        </is>
      </c>
      <c r="B4960" s="12" t="inlineStr">
        <is>
          <t>I</t>
        </is>
      </c>
      <c r="C4960" s="12" t="inlineStr">
        <is>
          <t>Modular / portable power</t>
        </is>
      </c>
      <c r="D4960" s="12" t="inlineStr">
        <is>
          <t>Motor 4 of 5, 30 kW (VFD output)</t>
        </is>
      </c>
      <c r="E4960" s="12" t="inlineStr"/>
      <c r="F4960" s="12" t="inlineStr">
        <is>
          <t>PCM: power control module</t>
        </is>
      </c>
      <c r="G4960" s="12" t="inlineStr"/>
      <c r="H4960" s="12" t="inlineStr">
        <is>
          <t>RICE 3 radiators (5)</t>
        </is>
      </c>
      <c r="I4960" s="12" t="inlineStr">
        <is>
          <t>LV 600 V</t>
        </is>
      </c>
      <c r="J4960" s="12" t="inlineStr">
        <is>
          <t>VFD cable 600 V 3/C Cu XHHW-2, 3 symmetrical grounds, overall Cu tape shield, TC-ER</t>
        </is>
      </c>
      <c r="K4960" s="12" t="inlineStr">
        <is>
          <t>VFD|3/C+3G|6</t>
        </is>
      </c>
      <c r="L4960" s="12" t="inlineStr">
        <is>
          <t>3/C+3G</t>
        </is>
      </c>
      <c r="M4960" s="12" t="inlineStr">
        <is>
          <t>6</t>
        </is>
      </c>
      <c r="N4960" s="12" t="n">
        <v>1</v>
      </c>
      <c r="O4960" s="12" t="n">
        <v>1</v>
      </c>
      <c r="P4960" s="12" t="n">
        <v>480</v>
      </c>
      <c r="Q4960" s="12" t="n">
        <v>30</v>
      </c>
      <c r="R4960" s="12" t="n">
        <v>42</v>
      </c>
      <c r="S4960" s="12" t="inlineStr">
        <is>
          <t>Tray</t>
        </is>
      </c>
      <c r="T4960" s="16" t="n">
        <v>112</v>
      </c>
      <c r="U4960" s="16" t="n">
        <v>232</v>
      </c>
      <c r="V4960" s="16">
        <f>ROUNDUP((T4960+U4960+2*'Read Me'!$B$13)*(1+'Read Me'!$B$12),-1)</f>
        <v/>
      </c>
      <c r="W4960" s="16">
        <f>V4960*N4960*O4960</f>
        <v/>
      </c>
      <c r="X4960" s="12">
        <f>IF(LEFT(I4960,2)="MV",2*N4960*IF(L4960="1/C",O4960,1),0)</f>
        <v/>
      </c>
      <c r="Y4960" s="12">
        <f>IF(OR(LEFT(K4960,4)="LVAX",LEFT(K4960,6)="MV15AX",LEFT(K4960,4)="CTAX",LEFT(K4960,2)="W|"),2*N4960*O4960,0)</f>
        <v/>
      </c>
      <c r="Z4960" s="12" t="inlineStr">
        <is>
          <t>VD 2.8 %</t>
        </is>
      </c>
      <c r="AA4960" s="12">
        <f>N4960*O4960</f>
        <v/>
      </c>
    </row>
    <row r="4961">
      <c r="A4961" s="12" t="inlineStr">
        <is>
          <t>I-P-0059</t>
        </is>
      </c>
      <c r="B4961" s="12" t="inlineStr">
        <is>
          <t>I</t>
        </is>
      </c>
      <c r="C4961" s="12" t="inlineStr">
        <is>
          <t>Modular / portable power</t>
        </is>
      </c>
      <c r="D4961" s="12" t="inlineStr">
        <is>
          <t>Motor 5 of 5, 30 kW (VFD output)</t>
        </is>
      </c>
      <c r="E4961" s="12" t="inlineStr"/>
      <c r="F4961" s="12" t="inlineStr">
        <is>
          <t>PCM: power control module</t>
        </is>
      </c>
      <c r="G4961" s="12" t="inlineStr"/>
      <c r="H4961" s="12" t="inlineStr">
        <is>
          <t>RICE 3 radiators (5)</t>
        </is>
      </c>
      <c r="I4961" s="12" t="inlineStr">
        <is>
          <t>LV 600 V</t>
        </is>
      </c>
      <c r="J4961" s="12" t="inlineStr">
        <is>
          <t>VFD cable 600 V 3/C Cu XHHW-2, 3 symmetrical grounds, overall Cu tape shield, TC-ER</t>
        </is>
      </c>
      <c r="K4961" s="12" t="inlineStr">
        <is>
          <t>VFD|3/C+3G|6</t>
        </is>
      </c>
      <c r="L4961" s="12" t="inlineStr">
        <is>
          <t>3/C+3G</t>
        </is>
      </c>
      <c r="M4961" s="12" t="inlineStr">
        <is>
          <t>6</t>
        </is>
      </c>
      <c r="N4961" s="12" t="n">
        <v>1</v>
      </c>
      <c r="O4961" s="12" t="n">
        <v>1</v>
      </c>
      <c r="P4961" s="12" t="n">
        <v>480</v>
      </c>
      <c r="Q4961" s="12" t="n">
        <v>30</v>
      </c>
      <c r="R4961" s="12" t="n">
        <v>42</v>
      </c>
      <c r="S4961" s="12" t="inlineStr">
        <is>
          <t>Tray</t>
        </is>
      </c>
      <c r="T4961" s="16" t="n">
        <v>112</v>
      </c>
      <c r="U4961" s="16" t="n">
        <v>232</v>
      </c>
      <c r="V4961" s="16">
        <f>ROUNDUP((T4961+U4961+2*'Read Me'!$B$13)*(1+'Read Me'!$B$12),-1)</f>
        <v/>
      </c>
      <c r="W4961" s="16">
        <f>V4961*N4961*O4961</f>
        <v/>
      </c>
      <c r="X4961" s="12">
        <f>IF(LEFT(I4961,2)="MV",2*N4961*IF(L4961="1/C",O4961,1),0)</f>
        <v/>
      </c>
      <c r="Y4961" s="12">
        <f>IF(OR(LEFT(K4961,4)="LVAX",LEFT(K4961,6)="MV15AX",LEFT(K4961,4)="CTAX",LEFT(K4961,2)="W|"),2*N4961*O4961,0)</f>
        <v/>
      </c>
      <c r="Z4961" s="12" t="inlineStr">
        <is>
          <t>VD 2.8 %</t>
        </is>
      </c>
      <c r="AA4961" s="12">
        <f>N4961*O4961</f>
        <v/>
      </c>
    </row>
    <row r="4962">
      <c r="A4962" s="12" t="inlineStr">
        <is>
          <t>I-P-0060</t>
        </is>
      </c>
      <c r="B4962" s="12" t="inlineStr">
        <is>
          <t>I</t>
        </is>
      </c>
      <c r="C4962" s="12" t="inlineStr">
        <is>
          <t>Modular / portable power</t>
        </is>
      </c>
      <c r="D4962" s="12" t="inlineStr">
        <is>
          <t>Motor 1 of 1, 15 kW</t>
        </is>
      </c>
      <c r="E4962" s="12" t="inlineStr"/>
      <c r="F4962" s="12" t="inlineStr">
        <is>
          <t>PCM: power control module</t>
        </is>
      </c>
      <c r="G4962" s="12" t="inlineStr"/>
      <c r="H4962" s="12" t="inlineStr">
        <is>
          <t>RICE 4 SCR + oxidation catalyst and stack</t>
        </is>
      </c>
      <c r="I4962" s="12" t="inlineStr">
        <is>
          <t>LV 600 V</t>
        </is>
      </c>
      <c r="J4962" s="12" t="inlineStr">
        <is>
          <t>Type TC-ER 600 V 3/C Cu XHHW-2 + ground, PVC jacket</t>
        </is>
      </c>
      <c r="K4962" s="12" t="inlineStr">
        <is>
          <t>LV|3/C+G|6</t>
        </is>
      </c>
      <c r="L4962" s="12" t="inlineStr">
        <is>
          <t>3/C+G</t>
        </is>
      </c>
      <c r="M4962" s="12" t="inlineStr">
        <is>
          <t>6</t>
        </is>
      </c>
      <c r="N4962" s="12" t="n">
        <v>1</v>
      </c>
      <c r="O4962" s="12" t="n">
        <v>1</v>
      </c>
      <c r="P4962" s="12" t="n">
        <v>480</v>
      </c>
      <c r="Q4962" s="12" t="n">
        <v>15</v>
      </c>
      <c r="R4962" s="12" t="n">
        <v>21.2</v>
      </c>
      <c r="S4962" s="12" t="inlineStr">
        <is>
          <t>Duct bank</t>
        </is>
      </c>
      <c r="T4962" s="16" t="n">
        <v>470</v>
      </c>
      <c r="U4962" s="16" t="n">
        <v>76</v>
      </c>
      <c r="V4962" s="16">
        <f>ROUNDUP((T4962+U4962+2*'Read Me'!$B$13)*(1+'Read Me'!$B$12),-1)</f>
        <v/>
      </c>
      <c r="W4962" s="16">
        <f>V4962*N4962*O4962</f>
        <v/>
      </c>
      <c r="X4962" s="12">
        <f>IF(LEFT(I4962,2)="MV",2*N4962*IF(L4962="1/C",O4962,1),0)</f>
        <v/>
      </c>
      <c r="Y4962" s="12">
        <f>IF(OR(LEFT(K4962,4)="LVAX",LEFT(K4962,6)="MV15AX",LEFT(K4962,4)="CTAX",LEFT(K4962,2)="W|"),2*N4962*O4962,0)</f>
        <v/>
      </c>
      <c r="Z4962" s="12" t="inlineStr">
        <is>
          <t>VD 2.3 %</t>
        </is>
      </c>
      <c r="AA4962" s="12">
        <f>N4962*O4962</f>
        <v/>
      </c>
    </row>
    <row r="4963">
      <c r="A4963" s="12" t="inlineStr">
        <is>
          <t>I-P-0061</t>
        </is>
      </c>
      <c r="B4963" s="12" t="inlineStr">
        <is>
          <t>I</t>
        </is>
      </c>
      <c r="C4963" s="12" t="inlineStr">
        <is>
          <t>Modular / portable power</t>
        </is>
      </c>
      <c r="D4963" s="12" t="inlineStr">
        <is>
          <t>Area / platform lighting circuit 1 (6 fixtures)</t>
        </is>
      </c>
      <c r="E4963" s="12" t="inlineStr"/>
      <c r="F4963" s="12" t="inlineStr">
        <is>
          <t>PCM: power control module</t>
        </is>
      </c>
      <c r="G4963" s="12" t="inlineStr"/>
      <c r="H4963" s="12" t="inlineStr">
        <is>
          <t>RICE 4 SCR + oxidation catalyst and stack</t>
        </is>
      </c>
      <c r="I4963" s="12" t="inlineStr">
        <is>
          <t>LV 600 V</t>
        </is>
      </c>
      <c r="J4963" s="12" t="inlineStr">
        <is>
          <t>Type TC-ER 600 V 3/C Cu XHHW-2 + ground, PVC jacket</t>
        </is>
      </c>
      <c r="K4963" s="12" t="inlineStr">
        <is>
          <t>LV|3/C+G|10</t>
        </is>
      </c>
      <c r="L4963" s="12" t="inlineStr">
        <is>
          <t>3/C+G</t>
        </is>
      </c>
      <c r="M4963" s="12" t="inlineStr">
        <is>
          <t>10</t>
        </is>
      </c>
      <c r="N4963" s="12" t="n">
        <v>1</v>
      </c>
      <c r="O4963" s="12" t="n">
        <v>1</v>
      </c>
      <c r="P4963" s="12" t="n">
        <v>480</v>
      </c>
      <c r="Q4963" s="12" t="n">
        <v>3</v>
      </c>
      <c r="R4963" s="12" t="n">
        <v>5</v>
      </c>
      <c r="S4963" s="12" t="inlineStr">
        <is>
          <t>Duct bank</t>
        </is>
      </c>
      <c r="T4963" s="16" t="n">
        <v>770</v>
      </c>
      <c r="U4963" s="16" t="n">
        <v>76</v>
      </c>
      <c r="V4963" s="16">
        <f>ROUNDUP((T4963+U4963+2*'Read Me'!$B$13)*(1+'Read Me'!$B$12),-1)</f>
        <v/>
      </c>
      <c r="W4963" s="16">
        <f>V4963*N4963*O4963</f>
        <v/>
      </c>
      <c r="X4963" s="12">
        <f>IF(LEFT(I4963,2)="MV",2*N4963*IF(L4963="1/C",O4963,1),0)</f>
        <v/>
      </c>
      <c r="Y4963" s="12">
        <f>IF(OR(LEFT(K4963,4)="LVAX",LEFT(K4963,6)="MV15AX",LEFT(K4963,4)="CTAX",LEFT(K4963,2)="W|"),2*N4963*O4963,0)</f>
        <v/>
      </c>
      <c r="Z4963" s="12" t="inlineStr">
        <is>
          <t>fixture-to-fixture run included</t>
        </is>
      </c>
      <c r="AA4963" s="12">
        <f>N4963*O4963</f>
        <v/>
      </c>
    </row>
    <row r="4964">
      <c r="A4964" s="12" t="inlineStr">
        <is>
          <t>I-P-0062</t>
        </is>
      </c>
      <c r="B4964" s="12" t="inlineStr">
        <is>
          <t>I</t>
        </is>
      </c>
      <c r="C4964" s="12" t="inlineStr">
        <is>
          <t>Modular / portable power</t>
        </is>
      </c>
      <c r="D4964" s="12" t="inlineStr">
        <is>
          <t>Motor 1 of 5, 30 kW (VFD output)</t>
        </is>
      </c>
      <c r="E4964" s="12" t="inlineStr"/>
      <c r="F4964" s="12" t="inlineStr">
        <is>
          <t>PCM: power control module</t>
        </is>
      </c>
      <c r="G4964" s="12" t="inlineStr"/>
      <c r="H4964" s="12" t="inlineStr">
        <is>
          <t>RICE 4 radiators (5)</t>
        </is>
      </c>
      <c r="I4964" s="12" t="inlineStr">
        <is>
          <t>LV 600 V</t>
        </is>
      </c>
      <c r="J4964" s="12" t="inlineStr">
        <is>
          <t>VFD cable 600 V 3/C Cu XHHW-2, 3 symmetrical grounds, overall Cu tape shield, TC-ER</t>
        </is>
      </c>
      <c r="K4964" s="12" t="inlineStr">
        <is>
          <t>VFD|3/C+3G|6</t>
        </is>
      </c>
      <c r="L4964" s="12" t="inlineStr">
        <is>
          <t>3/C+3G</t>
        </is>
      </c>
      <c r="M4964" s="12" t="inlineStr">
        <is>
          <t>6</t>
        </is>
      </c>
      <c r="N4964" s="12" t="n">
        <v>1</v>
      </c>
      <c r="O4964" s="12" t="n">
        <v>1</v>
      </c>
      <c r="P4964" s="12" t="n">
        <v>480</v>
      </c>
      <c r="Q4964" s="12" t="n">
        <v>30</v>
      </c>
      <c r="R4964" s="12" t="n">
        <v>42</v>
      </c>
      <c r="S4964" s="12" t="inlineStr">
        <is>
          <t>Tray</t>
        </is>
      </c>
      <c r="T4964" s="16" t="n">
        <v>80</v>
      </c>
      <c r="U4964" s="16" t="n">
        <v>206</v>
      </c>
      <c r="V4964" s="16">
        <f>ROUNDUP((T4964+U4964+2*'Read Me'!$B$13)*(1+'Read Me'!$B$12),-1)</f>
        <v/>
      </c>
      <c r="W4964" s="16">
        <f>V4964*N4964*O4964</f>
        <v/>
      </c>
      <c r="X4964" s="12">
        <f>IF(LEFT(I4964,2)="MV",2*N4964*IF(L4964="1/C",O4964,1),0)</f>
        <v/>
      </c>
      <c r="Y4964" s="12">
        <f>IF(OR(LEFT(K4964,4)="LVAX",LEFT(K4964,6)="MV15AX",LEFT(K4964,4)="CTAX",LEFT(K4964,2)="W|"),2*N4964*O4964,0)</f>
        <v/>
      </c>
      <c r="Z4964" s="12" t="inlineStr">
        <is>
          <t>VD 2.4 %</t>
        </is>
      </c>
      <c r="AA4964" s="12">
        <f>N4964*O4964</f>
        <v/>
      </c>
    </row>
    <row r="4965">
      <c r="A4965" s="12" t="inlineStr">
        <is>
          <t>I-P-0063</t>
        </is>
      </c>
      <c r="B4965" s="12" t="inlineStr">
        <is>
          <t>I</t>
        </is>
      </c>
      <c r="C4965" s="12" t="inlineStr">
        <is>
          <t>Modular / portable power</t>
        </is>
      </c>
      <c r="D4965" s="12" t="inlineStr">
        <is>
          <t>Motor 2 of 5, 30 kW (VFD output)</t>
        </is>
      </c>
      <c r="E4965" s="12" t="inlineStr"/>
      <c r="F4965" s="12" t="inlineStr">
        <is>
          <t>PCM: power control module</t>
        </is>
      </c>
      <c r="G4965" s="12" t="inlineStr"/>
      <c r="H4965" s="12" t="inlineStr">
        <is>
          <t>RICE 4 radiators (5)</t>
        </is>
      </c>
      <c r="I4965" s="12" t="inlineStr">
        <is>
          <t>LV 600 V</t>
        </is>
      </c>
      <c r="J4965" s="12" t="inlineStr">
        <is>
          <t>VFD cable 600 V 3/C Cu XHHW-2, 3 symmetrical grounds, overall Cu tape shield, TC-ER</t>
        </is>
      </c>
      <c r="K4965" s="12" t="inlineStr">
        <is>
          <t>VFD|3/C+3G|6</t>
        </is>
      </c>
      <c r="L4965" s="12" t="inlineStr">
        <is>
          <t>3/C+3G</t>
        </is>
      </c>
      <c r="M4965" s="12" t="inlineStr">
        <is>
          <t>6</t>
        </is>
      </c>
      <c r="N4965" s="12" t="n">
        <v>1</v>
      </c>
      <c r="O4965" s="12" t="n">
        <v>1</v>
      </c>
      <c r="P4965" s="12" t="n">
        <v>480</v>
      </c>
      <c r="Q4965" s="12" t="n">
        <v>30</v>
      </c>
      <c r="R4965" s="12" t="n">
        <v>42</v>
      </c>
      <c r="S4965" s="12" t="inlineStr">
        <is>
          <t>Tray</t>
        </is>
      </c>
      <c r="T4965" s="16" t="n">
        <v>80</v>
      </c>
      <c r="U4965" s="16" t="n">
        <v>206</v>
      </c>
      <c r="V4965" s="16">
        <f>ROUNDUP((T4965+U4965+2*'Read Me'!$B$13)*(1+'Read Me'!$B$12),-1)</f>
        <v/>
      </c>
      <c r="W4965" s="16">
        <f>V4965*N4965*O4965</f>
        <v/>
      </c>
      <c r="X4965" s="12">
        <f>IF(LEFT(I4965,2)="MV",2*N4965*IF(L4965="1/C",O4965,1),0)</f>
        <v/>
      </c>
      <c r="Y4965" s="12">
        <f>IF(OR(LEFT(K4965,4)="LVAX",LEFT(K4965,6)="MV15AX",LEFT(K4965,4)="CTAX",LEFT(K4965,2)="W|"),2*N4965*O4965,0)</f>
        <v/>
      </c>
      <c r="Z4965" s="12" t="inlineStr">
        <is>
          <t>VD 2.4 %</t>
        </is>
      </c>
      <c r="AA4965" s="12">
        <f>N4965*O4965</f>
        <v/>
      </c>
    </row>
    <row r="4966">
      <c r="A4966" s="12" t="inlineStr">
        <is>
          <t>I-P-0064</t>
        </is>
      </c>
      <c r="B4966" s="12" t="inlineStr">
        <is>
          <t>I</t>
        </is>
      </c>
      <c r="C4966" s="12" t="inlineStr">
        <is>
          <t>Modular / portable power</t>
        </is>
      </c>
      <c r="D4966" s="12" t="inlineStr">
        <is>
          <t>Motor 3 of 5, 30 kW (VFD output)</t>
        </is>
      </c>
      <c r="E4966" s="12" t="inlineStr"/>
      <c r="F4966" s="12" t="inlineStr">
        <is>
          <t>PCM: power control module</t>
        </is>
      </c>
      <c r="G4966" s="12" t="inlineStr"/>
      <c r="H4966" s="12" t="inlineStr">
        <is>
          <t>RICE 4 radiators (5)</t>
        </is>
      </c>
      <c r="I4966" s="12" t="inlineStr">
        <is>
          <t>LV 600 V</t>
        </is>
      </c>
      <c r="J4966" s="12" t="inlineStr">
        <is>
          <t>VFD cable 600 V 3/C Cu XHHW-2, 3 symmetrical grounds, overall Cu tape shield, TC-ER</t>
        </is>
      </c>
      <c r="K4966" s="12" t="inlineStr">
        <is>
          <t>VFD|3/C+3G|6</t>
        </is>
      </c>
      <c r="L4966" s="12" t="inlineStr">
        <is>
          <t>3/C+3G</t>
        </is>
      </c>
      <c r="M4966" s="12" t="inlineStr">
        <is>
          <t>6</t>
        </is>
      </c>
      <c r="N4966" s="12" t="n">
        <v>1</v>
      </c>
      <c r="O4966" s="12" t="n">
        <v>1</v>
      </c>
      <c r="P4966" s="12" t="n">
        <v>480</v>
      </c>
      <c r="Q4966" s="12" t="n">
        <v>30</v>
      </c>
      <c r="R4966" s="12" t="n">
        <v>42</v>
      </c>
      <c r="S4966" s="12" t="inlineStr">
        <is>
          <t>Tray</t>
        </is>
      </c>
      <c r="T4966" s="16" t="n">
        <v>80</v>
      </c>
      <c r="U4966" s="16" t="n">
        <v>206</v>
      </c>
      <c r="V4966" s="16">
        <f>ROUNDUP((T4966+U4966+2*'Read Me'!$B$13)*(1+'Read Me'!$B$12),-1)</f>
        <v/>
      </c>
      <c r="W4966" s="16">
        <f>V4966*N4966*O4966</f>
        <v/>
      </c>
      <c r="X4966" s="12">
        <f>IF(LEFT(I4966,2)="MV",2*N4966*IF(L4966="1/C",O4966,1),0)</f>
        <v/>
      </c>
      <c r="Y4966" s="12">
        <f>IF(OR(LEFT(K4966,4)="LVAX",LEFT(K4966,6)="MV15AX",LEFT(K4966,4)="CTAX",LEFT(K4966,2)="W|"),2*N4966*O4966,0)</f>
        <v/>
      </c>
      <c r="Z4966" s="12" t="inlineStr">
        <is>
          <t>VD 2.4 %</t>
        </is>
      </c>
      <c r="AA4966" s="12">
        <f>N4966*O4966</f>
        <v/>
      </c>
    </row>
    <row r="4967">
      <c r="A4967" s="12" t="inlineStr">
        <is>
          <t>I-P-0065</t>
        </is>
      </c>
      <c r="B4967" s="12" t="inlineStr">
        <is>
          <t>I</t>
        </is>
      </c>
      <c r="C4967" s="12" t="inlineStr">
        <is>
          <t>Modular / portable power</t>
        </is>
      </c>
      <c r="D4967" s="12" t="inlineStr">
        <is>
          <t>Motor 4 of 5, 30 kW (VFD output)</t>
        </is>
      </c>
      <c r="E4967" s="12" t="inlineStr"/>
      <c r="F4967" s="12" t="inlineStr">
        <is>
          <t>PCM: power control module</t>
        </is>
      </c>
      <c r="G4967" s="12" t="inlineStr"/>
      <c r="H4967" s="12" t="inlineStr">
        <is>
          <t>RICE 4 radiators (5)</t>
        </is>
      </c>
      <c r="I4967" s="12" t="inlineStr">
        <is>
          <t>LV 600 V</t>
        </is>
      </c>
      <c r="J4967" s="12" t="inlineStr">
        <is>
          <t>VFD cable 600 V 3/C Cu XHHW-2, 3 symmetrical grounds, overall Cu tape shield, TC-ER</t>
        </is>
      </c>
      <c r="K4967" s="12" t="inlineStr">
        <is>
          <t>VFD|3/C+3G|6</t>
        </is>
      </c>
      <c r="L4967" s="12" t="inlineStr">
        <is>
          <t>3/C+3G</t>
        </is>
      </c>
      <c r="M4967" s="12" t="inlineStr">
        <is>
          <t>6</t>
        </is>
      </c>
      <c r="N4967" s="12" t="n">
        <v>1</v>
      </c>
      <c r="O4967" s="12" t="n">
        <v>1</v>
      </c>
      <c r="P4967" s="12" t="n">
        <v>480</v>
      </c>
      <c r="Q4967" s="12" t="n">
        <v>30</v>
      </c>
      <c r="R4967" s="12" t="n">
        <v>42</v>
      </c>
      <c r="S4967" s="12" t="inlineStr">
        <is>
          <t>Tray</t>
        </is>
      </c>
      <c r="T4967" s="16" t="n">
        <v>80</v>
      </c>
      <c r="U4967" s="16" t="n">
        <v>206</v>
      </c>
      <c r="V4967" s="16">
        <f>ROUNDUP((T4967+U4967+2*'Read Me'!$B$13)*(1+'Read Me'!$B$12),-1)</f>
        <v/>
      </c>
      <c r="W4967" s="16">
        <f>V4967*N4967*O4967</f>
        <v/>
      </c>
      <c r="X4967" s="12">
        <f>IF(LEFT(I4967,2)="MV",2*N4967*IF(L4967="1/C",O4967,1),0)</f>
        <v/>
      </c>
      <c r="Y4967" s="12">
        <f>IF(OR(LEFT(K4967,4)="LVAX",LEFT(K4967,6)="MV15AX",LEFT(K4967,4)="CTAX",LEFT(K4967,2)="W|"),2*N4967*O4967,0)</f>
        <v/>
      </c>
      <c r="Z4967" s="12" t="inlineStr">
        <is>
          <t>VD 2.4 %</t>
        </is>
      </c>
      <c r="AA4967" s="12">
        <f>N4967*O4967</f>
        <v/>
      </c>
    </row>
    <row r="4968">
      <c r="A4968" s="12" t="inlineStr">
        <is>
          <t>I-P-0066</t>
        </is>
      </c>
      <c r="B4968" s="12" t="inlineStr">
        <is>
          <t>I</t>
        </is>
      </c>
      <c r="C4968" s="12" t="inlineStr">
        <is>
          <t>Modular / portable power</t>
        </is>
      </c>
      <c r="D4968" s="12" t="inlineStr">
        <is>
          <t>Motor 5 of 5, 30 kW (VFD output)</t>
        </is>
      </c>
      <c r="E4968" s="12" t="inlineStr"/>
      <c r="F4968" s="12" t="inlineStr">
        <is>
          <t>PCM: power control module</t>
        </is>
      </c>
      <c r="G4968" s="12" t="inlineStr"/>
      <c r="H4968" s="12" t="inlineStr">
        <is>
          <t>RICE 4 radiators (5)</t>
        </is>
      </c>
      <c r="I4968" s="12" t="inlineStr">
        <is>
          <t>LV 600 V</t>
        </is>
      </c>
      <c r="J4968" s="12" t="inlineStr">
        <is>
          <t>VFD cable 600 V 3/C Cu XHHW-2, 3 symmetrical grounds, overall Cu tape shield, TC-ER</t>
        </is>
      </c>
      <c r="K4968" s="12" t="inlineStr">
        <is>
          <t>VFD|3/C+3G|6</t>
        </is>
      </c>
      <c r="L4968" s="12" t="inlineStr">
        <is>
          <t>3/C+3G</t>
        </is>
      </c>
      <c r="M4968" s="12" t="inlineStr">
        <is>
          <t>6</t>
        </is>
      </c>
      <c r="N4968" s="12" t="n">
        <v>1</v>
      </c>
      <c r="O4968" s="12" t="n">
        <v>1</v>
      </c>
      <c r="P4968" s="12" t="n">
        <v>480</v>
      </c>
      <c r="Q4968" s="12" t="n">
        <v>30</v>
      </c>
      <c r="R4968" s="12" t="n">
        <v>42</v>
      </c>
      <c r="S4968" s="12" t="inlineStr">
        <is>
          <t>Tray</t>
        </is>
      </c>
      <c r="T4968" s="16" t="n">
        <v>80</v>
      </c>
      <c r="U4968" s="16" t="n">
        <v>206</v>
      </c>
      <c r="V4968" s="16">
        <f>ROUNDUP((T4968+U4968+2*'Read Me'!$B$13)*(1+'Read Me'!$B$12),-1)</f>
        <v/>
      </c>
      <c r="W4968" s="16">
        <f>V4968*N4968*O4968</f>
        <v/>
      </c>
      <c r="X4968" s="12">
        <f>IF(LEFT(I4968,2)="MV",2*N4968*IF(L4968="1/C",O4968,1),0)</f>
        <v/>
      </c>
      <c r="Y4968" s="12">
        <f>IF(OR(LEFT(K4968,4)="LVAX",LEFT(K4968,6)="MV15AX",LEFT(K4968,4)="CTAX",LEFT(K4968,2)="W|"),2*N4968*O4968,0)</f>
        <v/>
      </c>
      <c r="Z4968" s="12" t="inlineStr">
        <is>
          <t>VD 2.4 %</t>
        </is>
      </c>
      <c r="AA4968" s="12">
        <f>N4968*O4968</f>
        <v/>
      </c>
    </row>
    <row r="4969">
      <c r="A4969" s="12" t="inlineStr">
        <is>
          <t>I-P-0067</t>
        </is>
      </c>
      <c r="B4969" s="12" t="inlineStr">
        <is>
          <t>I</t>
        </is>
      </c>
      <c r="C4969" s="12" t="inlineStr">
        <is>
          <t>Modular / portable power</t>
        </is>
      </c>
      <c r="D4969" s="12" t="inlineStr">
        <is>
          <t>Motor 1 of 1, 15 kW</t>
        </is>
      </c>
      <c r="E4969" s="12" t="inlineStr"/>
      <c r="F4969" s="12" t="inlineStr">
        <is>
          <t>PCM: power control module</t>
        </is>
      </c>
      <c r="G4969" s="12" t="inlineStr"/>
      <c r="H4969" s="12" t="inlineStr">
        <is>
          <t>RICE 5 SCR + oxidation catalyst and stack</t>
        </is>
      </c>
      <c r="I4969" s="12" t="inlineStr">
        <is>
          <t>LV 600 V</t>
        </is>
      </c>
      <c r="J4969" s="12" t="inlineStr">
        <is>
          <t>Type TC-ER 600 V 3/C Cu XHHW-2 + ground, PVC jacket</t>
        </is>
      </c>
      <c r="K4969" s="12" t="inlineStr">
        <is>
          <t>LV|3/C+G|6</t>
        </is>
      </c>
      <c r="L4969" s="12" t="inlineStr">
        <is>
          <t>3/C+G</t>
        </is>
      </c>
      <c r="M4969" s="12" t="inlineStr">
        <is>
          <t>6</t>
        </is>
      </c>
      <c r="N4969" s="12" t="n">
        <v>1</v>
      </c>
      <c r="O4969" s="12" t="n">
        <v>1</v>
      </c>
      <c r="P4969" s="12" t="n">
        <v>480</v>
      </c>
      <c r="Q4969" s="12" t="n">
        <v>15</v>
      </c>
      <c r="R4969" s="12" t="n">
        <v>21.2</v>
      </c>
      <c r="S4969" s="12" t="inlineStr">
        <is>
          <t>Duct bank</t>
        </is>
      </c>
      <c r="T4969" s="16" t="n">
        <v>322</v>
      </c>
      <c r="U4969" s="16" t="n">
        <v>196</v>
      </c>
      <c r="V4969" s="16">
        <f>ROUNDUP((T4969+U4969+2*'Read Me'!$B$13)*(1+'Read Me'!$B$12),-1)</f>
        <v/>
      </c>
      <c r="W4969" s="16">
        <f>V4969*N4969*O4969</f>
        <v/>
      </c>
      <c r="X4969" s="12">
        <f>IF(LEFT(I4969,2)="MV",2*N4969*IF(L4969="1/C",O4969,1),0)</f>
        <v/>
      </c>
      <c r="Y4969" s="12">
        <f>IF(OR(LEFT(K4969,4)="LVAX",LEFT(K4969,6)="MV15AX",LEFT(K4969,4)="CTAX",LEFT(K4969,2)="W|"),2*N4969*O4969,0)</f>
        <v/>
      </c>
      <c r="Z4969" s="12" t="inlineStr">
        <is>
          <t>VD 2.1 %</t>
        </is>
      </c>
      <c r="AA4969" s="12">
        <f>N4969*O4969</f>
        <v/>
      </c>
    </row>
    <row r="4970">
      <c r="A4970" s="12" t="inlineStr">
        <is>
          <t>I-P-0068</t>
        </is>
      </c>
      <c r="B4970" s="12" t="inlineStr">
        <is>
          <t>I</t>
        </is>
      </c>
      <c r="C4970" s="12" t="inlineStr">
        <is>
          <t>Modular / portable power</t>
        </is>
      </c>
      <c r="D4970" s="12" t="inlineStr">
        <is>
          <t>Area / platform lighting circuit 1 (6 fixtures)</t>
        </is>
      </c>
      <c r="E4970" s="12" t="inlineStr"/>
      <c r="F4970" s="12" t="inlineStr">
        <is>
          <t>PCM: power control module</t>
        </is>
      </c>
      <c r="G4970" s="12" t="inlineStr"/>
      <c r="H4970" s="12" t="inlineStr">
        <is>
          <t>RICE 5 SCR + oxidation catalyst and stack</t>
        </is>
      </c>
      <c r="I4970" s="12" t="inlineStr">
        <is>
          <t>LV 600 V</t>
        </is>
      </c>
      <c r="J4970" s="12" t="inlineStr">
        <is>
          <t>Type TC-ER 600 V 3/C Cu XHHW-2 + ground, PVC jacket</t>
        </is>
      </c>
      <c r="K4970" s="12" t="inlineStr">
        <is>
          <t>LV|3/C+G|10</t>
        </is>
      </c>
      <c r="L4970" s="12" t="inlineStr">
        <is>
          <t>3/C+G</t>
        </is>
      </c>
      <c r="M4970" s="12" t="inlineStr">
        <is>
          <t>10</t>
        </is>
      </c>
      <c r="N4970" s="12" t="n">
        <v>1</v>
      </c>
      <c r="O4970" s="12" t="n">
        <v>1</v>
      </c>
      <c r="P4970" s="12" t="n">
        <v>480</v>
      </c>
      <c r="Q4970" s="12" t="n">
        <v>3</v>
      </c>
      <c r="R4970" s="12" t="n">
        <v>5</v>
      </c>
      <c r="S4970" s="12" t="inlineStr">
        <is>
          <t>Duct bank</t>
        </is>
      </c>
      <c r="T4970" s="16" t="n">
        <v>622</v>
      </c>
      <c r="U4970" s="16" t="n">
        <v>196</v>
      </c>
      <c r="V4970" s="16">
        <f>ROUNDUP((T4970+U4970+2*'Read Me'!$B$13)*(1+'Read Me'!$B$12),-1)</f>
        <v/>
      </c>
      <c r="W4970" s="16">
        <f>V4970*N4970*O4970</f>
        <v/>
      </c>
      <c r="X4970" s="12">
        <f>IF(LEFT(I4970,2)="MV",2*N4970*IF(L4970="1/C",O4970,1),0)</f>
        <v/>
      </c>
      <c r="Y4970" s="12">
        <f>IF(OR(LEFT(K4970,4)="LVAX",LEFT(K4970,6)="MV15AX",LEFT(K4970,4)="CTAX",LEFT(K4970,2)="W|"),2*N4970*O4970,0)</f>
        <v/>
      </c>
      <c r="Z4970" s="12" t="inlineStr">
        <is>
          <t>fixture-to-fixture run included</t>
        </is>
      </c>
      <c r="AA4970" s="12">
        <f>N4970*O4970</f>
        <v/>
      </c>
    </row>
    <row r="4971">
      <c r="A4971" s="12" t="inlineStr">
        <is>
          <t>I-P-0069</t>
        </is>
      </c>
      <c r="B4971" s="12" t="inlineStr">
        <is>
          <t>I</t>
        </is>
      </c>
      <c r="C4971" s="12" t="inlineStr">
        <is>
          <t>Modular / portable power</t>
        </is>
      </c>
      <c r="D4971" s="12" t="inlineStr">
        <is>
          <t>Motor 1 of 5, 30 kW (VFD output)</t>
        </is>
      </c>
      <c r="E4971" s="12" t="inlineStr"/>
      <c r="F4971" s="12" t="inlineStr">
        <is>
          <t>PCM: power control module</t>
        </is>
      </c>
      <c r="G4971" s="12" t="inlineStr"/>
      <c r="H4971" s="12" t="inlineStr">
        <is>
          <t>RICE 5 radiators (5)</t>
        </is>
      </c>
      <c r="I4971" s="12" t="inlineStr">
        <is>
          <t>LV 600 V</t>
        </is>
      </c>
      <c r="J4971" s="12" t="inlineStr">
        <is>
          <t>VFD cable 600 V 3/C Cu XHHW-2, 3 symmetrical grounds, overall Cu tape shield, TC-ER</t>
        </is>
      </c>
      <c r="K4971" s="12" t="inlineStr">
        <is>
          <t>VFD|3/C+3G|6</t>
        </is>
      </c>
      <c r="L4971" s="12" t="inlineStr">
        <is>
          <t>3/C+3G</t>
        </is>
      </c>
      <c r="M4971" s="12" t="inlineStr">
        <is>
          <t>6</t>
        </is>
      </c>
      <c r="N4971" s="12" t="n">
        <v>1</v>
      </c>
      <c r="O4971" s="12" t="n">
        <v>1</v>
      </c>
      <c r="P4971" s="12" t="n">
        <v>480</v>
      </c>
      <c r="Q4971" s="12" t="n">
        <v>30</v>
      </c>
      <c r="R4971" s="12" t="n">
        <v>42</v>
      </c>
      <c r="S4971" s="12" t="inlineStr">
        <is>
          <t>Tray</t>
        </is>
      </c>
      <c r="T4971" s="16" t="n">
        <v>80</v>
      </c>
      <c r="U4971" s="16" t="n">
        <v>178</v>
      </c>
      <c r="V4971" s="16">
        <f>ROUNDUP((T4971+U4971+2*'Read Me'!$B$13)*(1+'Read Me'!$B$12),-1)</f>
        <v/>
      </c>
      <c r="W4971" s="16">
        <f>V4971*N4971*O4971</f>
        <v/>
      </c>
      <c r="X4971" s="12">
        <f>IF(LEFT(I4971,2)="MV",2*N4971*IF(L4971="1/C",O4971,1),0)</f>
        <v/>
      </c>
      <c r="Y4971" s="12">
        <f>IF(OR(LEFT(K4971,4)="LVAX",LEFT(K4971,6)="MV15AX",LEFT(K4971,4)="CTAX",LEFT(K4971,2)="W|"),2*N4971*O4971,0)</f>
        <v/>
      </c>
      <c r="Z4971" s="12" t="inlineStr">
        <is>
          <t>VD 2.1 %</t>
        </is>
      </c>
      <c r="AA4971" s="12">
        <f>N4971*O4971</f>
        <v/>
      </c>
    </row>
    <row r="4972">
      <c r="A4972" s="12" t="inlineStr">
        <is>
          <t>I-P-0070</t>
        </is>
      </c>
      <c r="B4972" s="12" t="inlineStr">
        <is>
          <t>I</t>
        </is>
      </c>
      <c r="C4972" s="12" t="inlineStr">
        <is>
          <t>Modular / portable power</t>
        </is>
      </c>
      <c r="D4972" s="12" t="inlineStr">
        <is>
          <t>Motor 2 of 5, 30 kW (VFD output)</t>
        </is>
      </c>
      <c r="E4972" s="12" t="inlineStr"/>
      <c r="F4972" s="12" t="inlineStr">
        <is>
          <t>PCM: power control module</t>
        </is>
      </c>
      <c r="G4972" s="12" t="inlineStr"/>
      <c r="H4972" s="12" t="inlineStr">
        <is>
          <t>RICE 5 radiators (5)</t>
        </is>
      </c>
      <c r="I4972" s="12" t="inlineStr">
        <is>
          <t>LV 600 V</t>
        </is>
      </c>
      <c r="J4972" s="12" t="inlineStr">
        <is>
          <t>VFD cable 600 V 3/C Cu XHHW-2, 3 symmetrical grounds, overall Cu tape shield, TC-ER</t>
        </is>
      </c>
      <c r="K4972" s="12" t="inlineStr">
        <is>
          <t>VFD|3/C+3G|6</t>
        </is>
      </c>
      <c r="L4972" s="12" t="inlineStr">
        <is>
          <t>3/C+3G</t>
        </is>
      </c>
      <c r="M4972" s="12" t="inlineStr">
        <is>
          <t>6</t>
        </is>
      </c>
      <c r="N4972" s="12" t="n">
        <v>1</v>
      </c>
      <c r="O4972" s="12" t="n">
        <v>1</v>
      </c>
      <c r="P4972" s="12" t="n">
        <v>480</v>
      </c>
      <c r="Q4972" s="12" t="n">
        <v>30</v>
      </c>
      <c r="R4972" s="12" t="n">
        <v>42</v>
      </c>
      <c r="S4972" s="12" t="inlineStr">
        <is>
          <t>Tray</t>
        </is>
      </c>
      <c r="T4972" s="16" t="n">
        <v>80</v>
      </c>
      <c r="U4972" s="16" t="n">
        <v>178</v>
      </c>
      <c r="V4972" s="16">
        <f>ROUNDUP((T4972+U4972+2*'Read Me'!$B$13)*(1+'Read Me'!$B$12),-1)</f>
        <v/>
      </c>
      <c r="W4972" s="16">
        <f>V4972*N4972*O4972</f>
        <v/>
      </c>
      <c r="X4972" s="12">
        <f>IF(LEFT(I4972,2)="MV",2*N4972*IF(L4972="1/C",O4972,1),0)</f>
        <v/>
      </c>
      <c r="Y4972" s="12">
        <f>IF(OR(LEFT(K4972,4)="LVAX",LEFT(K4972,6)="MV15AX",LEFT(K4972,4)="CTAX",LEFT(K4972,2)="W|"),2*N4972*O4972,0)</f>
        <v/>
      </c>
      <c r="Z4972" s="12" t="inlineStr">
        <is>
          <t>VD 2.1 %</t>
        </is>
      </c>
      <c r="AA4972" s="12">
        <f>N4972*O4972</f>
        <v/>
      </c>
    </row>
    <row r="4973">
      <c r="A4973" s="12" t="inlineStr">
        <is>
          <t>I-P-0071</t>
        </is>
      </c>
      <c r="B4973" s="12" t="inlineStr">
        <is>
          <t>I</t>
        </is>
      </c>
      <c r="C4973" s="12" t="inlineStr">
        <is>
          <t>Modular / portable power</t>
        </is>
      </c>
      <c r="D4973" s="12" t="inlineStr">
        <is>
          <t>Motor 3 of 5, 30 kW (VFD output)</t>
        </is>
      </c>
      <c r="E4973" s="12" t="inlineStr"/>
      <c r="F4973" s="12" t="inlineStr">
        <is>
          <t>PCM: power control module</t>
        </is>
      </c>
      <c r="G4973" s="12" t="inlineStr"/>
      <c r="H4973" s="12" t="inlineStr">
        <is>
          <t>RICE 5 radiators (5)</t>
        </is>
      </c>
      <c r="I4973" s="12" t="inlineStr">
        <is>
          <t>LV 600 V</t>
        </is>
      </c>
      <c r="J4973" s="12" t="inlineStr">
        <is>
          <t>VFD cable 600 V 3/C Cu XHHW-2, 3 symmetrical grounds, overall Cu tape shield, TC-ER</t>
        </is>
      </c>
      <c r="K4973" s="12" t="inlineStr">
        <is>
          <t>VFD|3/C+3G|6</t>
        </is>
      </c>
      <c r="L4973" s="12" t="inlineStr">
        <is>
          <t>3/C+3G</t>
        </is>
      </c>
      <c r="M4973" s="12" t="inlineStr">
        <is>
          <t>6</t>
        </is>
      </c>
      <c r="N4973" s="12" t="n">
        <v>1</v>
      </c>
      <c r="O4973" s="12" t="n">
        <v>1</v>
      </c>
      <c r="P4973" s="12" t="n">
        <v>480</v>
      </c>
      <c r="Q4973" s="12" t="n">
        <v>30</v>
      </c>
      <c r="R4973" s="12" t="n">
        <v>42</v>
      </c>
      <c r="S4973" s="12" t="inlineStr">
        <is>
          <t>Tray</t>
        </is>
      </c>
      <c r="T4973" s="16" t="n">
        <v>80</v>
      </c>
      <c r="U4973" s="16" t="n">
        <v>178</v>
      </c>
      <c r="V4973" s="16">
        <f>ROUNDUP((T4973+U4973+2*'Read Me'!$B$13)*(1+'Read Me'!$B$12),-1)</f>
        <v/>
      </c>
      <c r="W4973" s="16">
        <f>V4973*N4973*O4973</f>
        <v/>
      </c>
      <c r="X4973" s="12">
        <f>IF(LEFT(I4973,2)="MV",2*N4973*IF(L4973="1/C",O4973,1),0)</f>
        <v/>
      </c>
      <c r="Y4973" s="12">
        <f>IF(OR(LEFT(K4973,4)="LVAX",LEFT(K4973,6)="MV15AX",LEFT(K4973,4)="CTAX",LEFT(K4973,2)="W|"),2*N4973*O4973,0)</f>
        <v/>
      </c>
      <c r="Z4973" s="12" t="inlineStr">
        <is>
          <t>VD 2.1 %</t>
        </is>
      </c>
      <c r="AA4973" s="12">
        <f>N4973*O4973</f>
        <v/>
      </c>
    </row>
    <row r="4974">
      <c r="A4974" s="12" t="inlineStr">
        <is>
          <t>I-P-0072</t>
        </is>
      </c>
      <c r="B4974" s="12" t="inlineStr">
        <is>
          <t>I</t>
        </is>
      </c>
      <c r="C4974" s="12" t="inlineStr">
        <is>
          <t>Modular / portable power</t>
        </is>
      </c>
      <c r="D4974" s="12" t="inlineStr">
        <is>
          <t>Motor 4 of 5, 30 kW (VFD output)</t>
        </is>
      </c>
      <c r="E4974" s="12" t="inlineStr"/>
      <c r="F4974" s="12" t="inlineStr">
        <is>
          <t>PCM: power control module</t>
        </is>
      </c>
      <c r="G4974" s="12" t="inlineStr"/>
      <c r="H4974" s="12" t="inlineStr">
        <is>
          <t>RICE 5 radiators (5)</t>
        </is>
      </c>
      <c r="I4974" s="12" t="inlineStr">
        <is>
          <t>LV 600 V</t>
        </is>
      </c>
      <c r="J4974" s="12" t="inlineStr">
        <is>
          <t>VFD cable 600 V 3/C Cu XHHW-2, 3 symmetrical grounds, overall Cu tape shield, TC-ER</t>
        </is>
      </c>
      <c r="K4974" s="12" t="inlineStr">
        <is>
          <t>VFD|3/C+3G|6</t>
        </is>
      </c>
      <c r="L4974" s="12" t="inlineStr">
        <is>
          <t>3/C+3G</t>
        </is>
      </c>
      <c r="M4974" s="12" t="inlineStr">
        <is>
          <t>6</t>
        </is>
      </c>
      <c r="N4974" s="12" t="n">
        <v>1</v>
      </c>
      <c r="O4974" s="12" t="n">
        <v>1</v>
      </c>
      <c r="P4974" s="12" t="n">
        <v>480</v>
      </c>
      <c r="Q4974" s="12" t="n">
        <v>30</v>
      </c>
      <c r="R4974" s="12" t="n">
        <v>42</v>
      </c>
      <c r="S4974" s="12" t="inlineStr">
        <is>
          <t>Tray</t>
        </is>
      </c>
      <c r="T4974" s="16" t="n">
        <v>80</v>
      </c>
      <c r="U4974" s="16" t="n">
        <v>178</v>
      </c>
      <c r="V4974" s="16">
        <f>ROUNDUP((T4974+U4974+2*'Read Me'!$B$13)*(1+'Read Me'!$B$12),-1)</f>
        <v/>
      </c>
      <c r="W4974" s="16">
        <f>V4974*N4974*O4974</f>
        <v/>
      </c>
      <c r="X4974" s="12">
        <f>IF(LEFT(I4974,2)="MV",2*N4974*IF(L4974="1/C",O4974,1),0)</f>
        <v/>
      </c>
      <c r="Y4974" s="12">
        <f>IF(OR(LEFT(K4974,4)="LVAX",LEFT(K4974,6)="MV15AX",LEFT(K4974,4)="CTAX",LEFT(K4974,2)="W|"),2*N4974*O4974,0)</f>
        <v/>
      </c>
      <c r="Z4974" s="12" t="inlineStr">
        <is>
          <t>VD 2.1 %</t>
        </is>
      </c>
      <c r="AA4974" s="12">
        <f>N4974*O4974</f>
        <v/>
      </c>
    </row>
    <row r="4975">
      <c r="A4975" s="12" t="inlineStr">
        <is>
          <t>I-P-0073</t>
        </is>
      </c>
      <c r="B4975" s="12" t="inlineStr">
        <is>
          <t>I</t>
        </is>
      </c>
      <c r="C4975" s="12" t="inlineStr">
        <is>
          <t>Modular / portable power</t>
        </is>
      </c>
      <c r="D4975" s="12" t="inlineStr">
        <is>
          <t>Motor 5 of 5, 30 kW (VFD output)</t>
        </is>
      </c>
      <c r="E4975" s="12" t="inlineStr"/>
      <c r="F4975" s="12" t="inlineStr">
        <is>
          <t>PCM: power control module</t>
        </is>
      </c>
      <c r="G4975" s="12" t="inlineStr"/>
      <c r="H4975" s="12" t="inlineStr">
        <is>
          <t>RICE 5 radiators (5)</t>
        </is>
      </c>
      <c r="I4975" s="12" t="inlineStr">
        <is>
          <t>LV 600 V</t>
        </is>
      </c>
      <c r="J4975" s="12" t="inlineStr">
        <is>
          <t>VFD cable 600 V 3/C Cu XHHW-2, 3 symmetrical grounds, overall Cu tape shield, TC-ER</t>
        </is>
      </c>
      <c r="K4975" s="12" t="inlineStr">
        <is>
          <t>VFD|3/C+3G|6</t>
        </is>
      </c>
      <c r="L4975" s="12" t="inlineStr">
        <is>
          <t>3/C+3G</t>
        </is>
      </c>
      <c r="M4975" s="12" t="inlineStr">
        <is>
          <t>6</t>
        </is>
      </c>
      <c r="N4975" s="12" t="n">
        <v>1</v>
      </c>
      <c r="O4975" s="12" t="n">
        <v>1</v>
      </c>
      <c r="P4975" s="12" t="n">
        <v>480</v>
      </c>
      <c r="Q4975" s="12" t="n">
        <v>30</v>
      </c>
      <c r="R4975" s="12" t="n">
        <v>42</v>
      </c>
      <c r="S4975" s="12" t="inlineStr">
        <is>
          <t>Tray</t>
        </is>
      </c>
      <c r="T4975" s="16" t="n">
        <v>80</v>
      </c>
      <c r="U4975" s="16" t="n">
        <v>178</v>
      </c>
      <c r="V4975" s="16">
        <f>ROUNDUP((T4975+U4975+2*'Read Me'!$B$13)*(1+'Read Me'!$B$12),-1)</f>
        <v/>
      </c>
      <c r="W4975" s="16">
        <f>V4975*N4975*O4975</f>
        <v/>
      </c>
      <c r="X4975" s="12">
        <f>IF(LEFT(I4975,2)="MV",2*N4975*IF(L4975="1/C",O4975,1),0)</f>
        <v/>
      </c>
      <c r="Y4975" s="12">
        <f>IF(OR(LEFT(K4975,4)="LVAX",LEFT(K4975,6)="MV15AX",LEFT(K4975,4)="CTAX",LEFT(K4975,2)="W|"),2*N4975*O4975,0)</f>
        <v/>
      </c>
      <c r="Z4975" s="12" t="inlineStr">
        <is>
          <t>VD 2.1 %</t>
        </is>
      </c>
      <c r="AA4975" s="12">
        <f>N4975*O4975</f>
        <v/>
      </c>
    </row>
    <row r="4976">
      <c r="A4976" s="12" t="inlineStr">
        <is>
          <t>I-P-0074</t>
        </is>
      </c>
      <c r="B4976" s="12" t="inlineStr">
        <is>
          <t>I</t>
        </is>
      </c>
      <c r="C4976" s="12" t="inlineStr">
        <is>
          <t>Modular / portable power</t>
        </is>
      </c>
      <c r="D4976" s="12" t="inlineStr">
        <is>
          <t>Motor 1 of 1, 15 kW</t>
        </is>
      </c>
      <c r="E4976" s="12" t="inlineStr"/>
      <c r="F4976" s="12" t="inlineStr">
        <is>
          <t>PCM: power control module</t>
        </is>
      </c>
      <c r="G4976" s="12" t="inlineStr"/>
      <c r="H4976" s="12" t="inlineStr">
        <is>
          <t>RICE 6 SCR + oxidation catalyst and stack</t>
        </is>
      </c>
      <c r="I4976" s="12" t="inlineStr">
        <is>
          <t>LV 600 V</t>
        </is>
      </c>
      <c r="J4976" s="12" t="inlineStr">
        <is>
          <t>Type TC-ER 600 V 3/C Cu XHHW-2 + ground, PVC jacket</t>
        </is>
      </c>
      <c r="K4976" s="12" t="inlineStr">
        <is>
          <t>LV|3/C+G|6</t>
        </is>
      </c>
      <c r="L4976" s="12" t="inlineStr">
        <is>
          <t>3/C+G</t>
        </is>
      </c>
      <c r="M4976" s="12" t="inlineStr">
        <is>
          <t>6</t>
        </is>
      </c>
      <c r="N4976" s="12" t="n">
        <v>1</v>
      </c>
      <c r="O4976" s="12" t="n">
        <v>1</v>
      </c>
      <c r="P4976" s="12" t="n">
        <v>480</v>
      </c>
      <c r="Q4976" s="12" t="n">
        <v>15</v>
      </c>
      <c r="R4976" s="12" t="n">
        <v>21.2</v>
      </c>
      <c r="S4976" s="12" t="inlineStr">
        <is>
          <t>Duct bank</t>
        </is>
      </c>
      <c r="T4976" s="16" t="n">
        <v>322</v>
      </c>
      <c r="U4976" s="16" t="n">
        <v>168</v>
      </c>
      <c r="V4976" s="16">
        <f>ROUNDUP((T4976+U4976+2*'Read Me'!$B$13)*(1+'Read Me'!$B$12),-1)</f>
        <v/>
      </c>
      <c r="W4976" s="16">
        <f>V4976*N4976*O4976</f>
        <v/>
      </c>
      <c r="X4976" s="12">
        <f>IF(LEFT(I4976,2)="MV",2*N4976*IF(L4976="1/C",O4976,1),0)</f>
        <v/>
      </c>
      <c r="Y4976" s="12">
        <f>IF(OR(LEFT(K4976,4)="LVAX",LEFT(K4976,6)="MV15AX",LEFT(K4976,4)="CTAX",LEFT(K4976,2)="W|"),2*N4976*O4976,0)</f>
        <v/>
      </c>
      <c r="Z4976" s="12" t="inlineStr">
        <is>
          <t>VD 2.0 %</t>
        </is>
      </c>
      <c r="AA4976" s="12">
        <f>N4976*O4976</f>
        <v/>
      </c>
    </row>
    <row r="4977">
      <c r="A4977" s="12" t="inlineStr">
        <is>
          <t>I-P-0075</t>
        </is>
      </c>
      <c r="B4977" s="12" t="inlineStr">
        <is>
          <t>I</t>
        </is>
      </c>
      <c r="C4977" s="12" t="inlineStr">
        <is>
          <t>Modular / portable power</t>
        </is>
      </c>
      <c r="D4977" s="12" t="inlineStr">
        <is>
          <t>Area / platform lighting circuit 1 (6 fixtures)</t>
        </is>
      </c>
      <c r="E4977" s="12" t="inlineStr"/>
      <c r="F4977" s="12" t="inlineStr">
        <is>
          <t>PCM: power control module</t>
        </is>
      </c>
      <c r="G4977" s="12" t="inlineStr"/>
      <c r="H4977" s="12" t="inlineStr">
        <is>
          <t>RICE 6 SCR + oxidation catalyst and stack</t>
        </is>
      </c>
      <c r="I4977" s="12" t="inlineStr">
        <is>
          <t>LV 600 V</t>
        </is>
      </c>
      <c r="J4977" s="12" t="inlineStr">
        <is>
          <t>Type TC-ER 600 V 3/C Cu XHHW-2 + ground, PVC jacket</t>
        </is>
      </c>
      <c r="K4977" s="12" t="inlineStr">
        <is>
          <t>LV|3/C+G|10</t>
        </is>
      </c>
      <c r="L4977" s="12" t="inlineStr">
        <is>
          <t>3/C+G</t>
        </is>
      </c>
      <c r="M4977" s="12" t="inlineStr">
        <is>
          <t>10</t>
        </is>
      </c>
      <c r="N4977" s="12" t="n">
        <v>1</v>
      </c>
      <c r="O4977" s="12" t="n">
        <v>1</v>
      </c>
      <c r="P4977" s="12" t="n">
        <v>480</v>
      </c>
      <c r="Q4977" s="12" t="n">
        <v>3</v>
      </c>
      <c r="R4977" s="12" t="n">
        <v>5</v>
      </c>
      <c r="S4977" s="12" t="inlineStr">
        <is>
          <t>Duct bank</t>
        </is>
      </c>
      <c r="T4977" s="16" t="n">
        <v>622</v>
      </c>
      <c r="U4977" s="16" t="n">
        <v>168</v>
      </c>
      <c r="V4977" s="16">
        <f>ROUNDUP((T4977+U4977+2*'Read Me'!$B$13)*(1+'Read Me'!$B$12),-1)</f>
        <v/>
      </c>
      <c r="W4977" s="16">
        <f>V4977*N4977*O4977</f>
        <v/>
      </c>
      <c r="X4977" s="12">
        <f>IF(LEFT(I4977,2)="MV",2*N4977*IF(L4977="1/C",O4977,1),0)</f>
        <v/>
      </c>
      <c r="Y4977" s="12">
        <f>IF(OR(LEFT(K4977,4)="LVAX",LEFT(K4977,6)="MV15AX",LEFT(K4977,4)="CTAX",LEFT(K4977,2)="W|"),2*N4977*O4977,0)</f>
        <v/>
      </c>
      <c r="Z4977" s="12" t="inlineStr">
        <is>
          <t>fixture-to-fixture run included</t>
        </is>
      </c>
      <c r="AA4977" s="12">
        <f>N4977*O4977</f>
        <v/>
      </c>
    </row>
    <row r="4978">
      <c r="A4978" s="12" t="inlineStr">
        <is>
          <t>I-P-0076</t>
        </is>
      </c>
      <c r="B4978" s="12" t="inlineStr">
        <is>
          <t>I</t>
        </is>
      </c>
      <c r="C4978" s="12" t="inlineStr">
        <is>
          <t>Modular / portable power</t>
        </is>
      </c>
      <c r="D4978" s="12" t="inlineStr">
        <is>
          <t>Motor 1 of 5, 30 kW (VFD output)</t>
        </is>
      </c>
      <c r="E4978" s="12" t="inlineStr"/>
      <c r="F4978" s="12" t="inlineStr">
        <is>
          <t>PCM: power control module</t>
        </is>
      </c>
      <c r="G4978" s="12" t="inlineStr"/>
      <c r="H4978" s="12" t="inlineStr">
        <is>
          <t>RICE 6 radiators (5)</t>
        </is>
      </c>
      <c r="I4978" s="12" t="inlineStr">
        <is>
          <t>LV 600 V</t>
        </is>
      </c>
      <c r="J4978" s="12" t="inlineStr">
        <is>
          <t>VFD cable 600 V 3/C Cu XHHW-2, 3 symmetrical grounds, overall Cu tape shield, TC-ER</t>
        </is>
      </c>
      <c r="K4978" s="12" t="inlineStr">
        <is>
          <t>VFD|3/C+3G|6</t>
        </is>
      </c>
      <c r="L4978" s="12" t="inlineStr">
        <is>
          <t>3/C+3G</t>
        </is>
      </c>
      <c r="M4978" s="12" t="inlineStr">
        <is>
          <t>6</t>
        </is>
      </c>
      <c r="N4978" s="12" t="n">
        <v>1</v>
      </c>
      <c r="O4978" s="12" t="n">
        <v>1</v>
      </c>
      <c r="P4978" s="12" t="n">
        <v>480</v>
      </c>
      <c r="Q4978" s="12" t="n">
        <v>30</v>
      </c>
      <c r="R4978" s="12" t="n">
        <v>42</v>
      </c>
      <c r="S4978" s="12" t="inlineStr">
        <is>
          <t>Tray</t>
        </is>
      </c>
      <c r="T4978" s="16" t="n">
        <v>80</v>
      </c>
      <c r="U4978" s="16" t="n">
        <v>150</v>
      </c>
      <c r="V4978" s="16">
        <f>ROUNDUP((T4978+U4978+2*'Read Me'!$B$13)*(1+'Read Me'!$B$12),-1)</f>
        <v/>
      </c>
      <c r="W4978" s="16">
        <f>V4978*N4978*O4978</f>
        <v/>
      </c>
      <c r="X4978" s="12">
        <f>IF(LEFT(I4978,2)="MV",2*N4978*IF(L4978="1/C",O4978,1),0)</f>
        <v/>
      </c>
      <c r="Y4978" s="12">
        <f>IF(OR(LEFT(K4978,4)="LVAX",LEFT(K4978,6)="MV15AX",LEFT(K4978,4)="CTAX",LEFT(K4978,2)="W|"),2*N4978*O4978,0)</f>
        <v/>
      </c>
      <c r="Z4978" s="12" t="inlineStr">
        <is>
          <t>VD 1.9 %</t>
        </is>
      </c>
      <c r="AA4978" s="12">
        <f>N4978*O4978</f>
        <v/>
      </c>
    </row>
    <row r="4979">
      <c r="A4979" s="12" t="inlineStr">
        <is>
          <t>I-P-0077</t>
        </is>
      </c>
      <c r="B4979" s="12" t="inlineStr">
        <is>
          <t>I</t>
        </is>
      </c>
      <c r="C4979" s="12" t="inlineStr">
        <is>
          <t>Modular / portable power</t>
        </is>
      </c>
      <c r="D4979" s="12" t="inlineStr">
        <is>
          <t>Motor 2 of 5, 30 kW (VFD output)</t>
        </is>
      </c>
      <c r="E4979" s="12" t="inlineStr"/>
      <c r="F4979" s="12" t="inlineStr">
        <is>
          <t>PCM: power control module</t>
        </is>
      </c>
      <c r="G4979" s="12" t="inlineStr"/>
      <c r="H4979" s="12" t="inlineStr">
        <is>
          <t>RICE 6 radiators (5)</t>
        </is>
      </c>
      <c r="I4979" s="12" t="inlineStr">
        <is>
          <t>LV 600 V</t>
        </is>
      </c>
      <c r="J4979" s="12" t="inlineStr">
        <is>
          <t>VFD cable 600 V 3/C Cu XHHW-2, 3 symmetrical grounds, overall Cu tape shield, TC-ER</t>
        </is>
      </c>
      <c r="K4979" s="12" t="inlineStr">
        <is>
          <t>VFD|3/C+3G|6</t>
        </is>
      </c>
      <c r="L4979" s="12" t="inlineStr">
        <is>
          <t>3/C+3G</t>
        </is>
      </c>
      <c r="M4979" s="12" t="inlineStr">
        <is>
          <t>6</t>
        </is>
      </c>
      <c r="N4979" s="12" t="n">
        <v>1</v>
      </c>
      <c r="O4979" s="12" t="n">
        <v>1</v>
      </c>
      <c r="P4979" s="12" t="n">
        <v>480</v>
      </c>
      <c r="Q4979" s="12" t="n">
        <v>30</v>
      </c>
      <c r="R4979" s="12" t="n">
        <v>42</v>
      </c>
      <c r="S4979" s="12" t="inlineStr">
        <is>
          <t>Tray</t>
        </is>
      </c>
      <c r="T4979" s="16" t="n">
        <v>80</v>
      </c>
      <c r="U4979" s="16" t="n">
        <v>150</v>
      </c>
      <c r="V4979" s="16">
        <f>ROUNDUP((T4979+U4979+2*'Read Me'!$B$13)*(1+'Read Me'!$B$12),-1)</f>
        <v/>
      </c>
      <c r="W4979" s="16">
        <f>V4979*N4979*O4979</f>
        <v/>
      </c>
      <c r="X4979" s="12">
        <f>IF(LEFT(I4979,2)="MV",2*N4979*IF(L4979="1/C",O4979,1),0)</f>
        <v/>
      </c>
      <c r="Y4979" s="12">
        <f>IF(OR(LEFT(K4979,4)="LVAX",LEFT(K4979,6)="MV15AX",LEFT(K4979,4)="CTAX",LEFT(K4979,2)="W|"),2*N4979*O4979,0)</f>
        <v/>
      </c>
      <c r="Z4979" s="12" t="inlineStr">
        <is>
          <t>VD 1.9 %</t>
        </is>
      </c>
      <c r="AA4979" s="12">
        <f>N4979*O4979</f>
        <v/>
      </c>
    </row>
    <row r="4980">
      <c r="A4980" s="12" t="inlineStr">
        <is>
          <t>I-P-0078</t>
        </is>
      </c>
      <c r="B4980" s="12" t="inlineStr">
        <is>
          <t>I</t>
        </is>
      </c>
      <c r="C4980" s="12" t="inlineStr">
        <is>
          <t>Modular / portable power</t>
        </is>
      </c>
      <c r="D4980" s="12" t="inlineStr">
        <is>
          <t>Motor 3 of 5, 30 kW (VFD output)</t>
        </is>
      </c>
      <c r="E4980" s="12" t="inlineStr"/>
      <c r="F4980" s="12" t="inlineStr">
        <is>
          <t>PCM: power control module</t>
        </is>
      </c>
      <c r="G4980" s="12" t="inlineStr"/>
      <c r="H4980" s="12" t="inlineStr">
        <is>
          <t>RICE 6 radiators (5)</t>
        </is>
      </c>
      <c r="I4980" s="12" t="inlineStr">
        <is>
          <t>LV 600 V</t>
        </is>
      </c>
      <c r="J4980" s="12" t="inlineStr">
        <is>
          <t>VFD cable 600 V 3/C Cu XHHW-2, 3 symmetrical grounds, overall Cu tape shield, TC-ER</t>
        </is>
      </c>
      <c r="K4980" s="12" t="inlineStr">
        <is>
          <t>VFD|3/C+3G|6</t>
        </is>
      </c>
      <c r="L4980" s="12" t="inlineStr">
        <is>
          <t>3/C+3G</t>
        </is>
      </c>
      <c r="M4980" s="12" t="inlineStr">
        <is>
          <t>6</t>
        </is>
      </c>
      <c r="N4980" s="12" t="n">
        <v>1</v>
      </c>
      <c r="O4980" s="12" t="n">
        <v>1</v>
      </c>
      <c r="P4980" s="12" t="n">
        <v>480</v>
      </c>
      <c r="Q4980" s="12" t="n">
        <v>30</v>
      </c>
      <c r="R4980" s="12" t="n">
        <v>42</v>
      </c>
      <c r="S4980" s="12" t="inlineStr">
        <is>
          <t>Tray</t>
        </is>
      </c>
      <c r="T4980" s="16" t="n">
        <v>80</v>
      </c>
      <c r="U4980" s="16" t="n">
        <v>150</v>
      </c>
      <c r="V4980" s="16">
        <f>ROUNDUP((T4980+U4980+2*'Read Me'!$B$13)*(1+'Read Me'!$B$12),-1)</f>
        <v/>
      </c>
      <c r="W4980" s="16">
        <f>V4980*N4980*O4980</f>
        <v/>
      </c>
      <c r="X4980" s="12">
        <f>IF(LEFT(I4980,2)="MV",2*N4980*IF(L4980="1/C",O4980,1),0)</f>
        <v/>
      </c>
      <c r="Y4980" s="12">
        <f>IF(OR(LEFT(K4980,4)="LVAX",LEFT(K4980,6)="MV15AX",LEFT(K4980,4)="CTAX",LEFT(K4980,2)="W|"),2*N4980*O4980,0)</f>
        <v/>
      </c>
      <c r="Z4980" s="12" t="inlineStr">
        <is>
          <t>VD 1.9 %</t>
        </is>
      </c>
      <c r="AA4980" s="12">
        <f>N4980*O4980</f>
        <v/>
      </c>
    </row>
    <row r="4981">
      <c r="A4981" s="12" t="inlineStr">
        <is>
          <t>I-P-0079</t>
        </is>
      </c>
      <c r="B4981" s="12" t="inlineStr">
        <is>
          <t>I</t>
        </is>
      </c>
      <c r="C4981" s="12" t="inlineStr">
        <is>
          <t>Modular / portable power</t>
        </is>
      </c>
      <c r="D4981" s="12" t="inlineStr">
        <is>
          <t>Motor 4 of 5, 30 kW (VFD output)</t>
        </is>
      </c>
      <c r="E4981" s="12" t="inlineStr"/>
      <c r="F4981" s="12" t="inlineStr">
        <is>
          <t>PCM: power control module</t>
        </is>
      </c>
      <c r="G4981" s="12" t="inlineStr"/>
      <c r="H4981" s="12" t="inlineStr">
        <is>
          <t>RICE 6 radiators (5)</t>
        </is>
      </c>
      <c r="I4981" s="12" t="inlineStr">
        <is>
          <t>LV 600 V</t>
        </is>
      </c>
      <c r="J4981" s="12" t="inlineStr">
        <is>
          <t>VFD cable 600 V 3/C Cu XHHW-2, 3 symmetrical grounds, overall Cu tape shield, TC-ER</t>
        </is>
      </c>
      <c r="K4981" s="12" t="inlineStr">
        <is>
          <t>VFD|3/C+3G|6</t>
        </is>
      </c>
      <c r="L4981" s="12" t="inlineStr">
        <is>
          <t>3/C+3G</t>
        </is>
      </c>
      <c r="M4981" s="12" t="inlineStr">
        <is>
          <t>6</t>
        </is>
      </c>
      <c r="N4981" s="12" t="n">
        <v>1</v>
      </c>
      <c r="O4981" s="12" t="n">
        <v>1</v>
      </c>
      <c r="P4981" s="12" t="n">
        <v>480</v>
      </c>
      <c r="Q4981" s="12" t="n">
        <v>30</v>
      </c>
      <c r="R4981" s="12" t="n">
        <v>42</v>
      </c>
      <c r="S4981" s="12" t="inlineStr">
        <is>
          <t>Tray</t>
        </is>
      </c>
      <c r="T4981" s="16" t="n">
        <v>80</v>
      </c>
      <c r="U4981" s="16" t="n">
        <v>150</v>
      </c>
      <c r="V4981" s="16">
        <f>ROUNDUP((T4981+U4981+2*'Read Me'!$B$13)*(1+'Read Me'!$B$12),-1)</f>
        <v/>
      </c>
      <c r="W4981" s="16">
        <f>V4981*N4981*O4981</f>
        <v/>
      </c>
      <c r="X4981" s="12">
        <f>IF(LEFT(I4981,2)="MV",2*N4981*IF(L4981="1/C",O4981,1),0)</f>
        <v/>
      </c>
      <c r="Y4981" s="12">
        <f>IF(OR(LEFT(K4981,4)="LVAX",LEFT(K4981,6)="MV15AX",LEFT(K4981,4)="CTAX",LEFT(K4981,2)="W|"),2*N4981*O4981,0)</f>
        <v/>
      </c>
      <c r="Z4981" s="12" t="inlineStr">
        <is>
          <t>VD 1.9 %</t>
        </is>
      </c>
      <c r="AA4981" s="12">
        <f>N4981*O4981</f>
        <v/>
      </c>
    </row>
    <row r="4982">
      <c r="A4982" s="12" t="inlineStr">
        <is>
          <t>I-P-0080</t>
        </is>
      </c>
      <c r="B4982" s="12" t="inlineStr">
        <is>
          <t>I</t>
        </is>
      </c>
      <c r="C4982" s="12" t="inlineStr">
        <is>
          <t>Modular / portable power</t>
        </is>
      </c>
      <c r="D4982" s="12" t="inlineStr">
        <is>
          <t>Motor 5 of 5, 30 kW (VFD output)</t>
        </is>
      </c>
      <c r="E4982" s="12" t="inlineStr"/>
      <c r="F4982" s="12" t="inlineStr">
        <is>
          <t>PCM: power control module</t>
        </is>
      </c>
      <c r="G4982" s="12" t="inlineStr"/>
      <c r="H4982" s="12" t="inlineStr">
        <is>
          <t>RICE 6 radiators (5)</t>
        </is>
      </c>
      <c r="I4982" s="12" t="inlineStr">
        <is>
          <t>LV 600 V</t>
        </is>
      </c>
      <c r="J4982" s="12" t="inlineStr">
        <is>
          <t>VFD cable 600 V 3/C Cu XHHW-2, 3 symmetrical grounds, overall Cu tape shield, TC-ER</t>
        </is>
      </c>
      <c r="K4982" s="12" t="inlineStr">
        <is>
          <t>VFD|3/C+3G|6</t>
        </is>
      </c>
      <c r="L4982" s="12" t="inlineStr">
        <is>
          <t>3/C+3G</t>
        </is>
      </c>
      <c r="M4982" s="12" t="inlineStr">
        <is>
          <t>6</t>
        </is>
      </c>
      <c r="N4982" s="12" t="n">
        <v>1</v>
      </c>
      <c r="O4982" s="12" t="n">
        <v>1</v>
      </c>
      <c r="P4982" s="12" t="n">
        <v>480</v>
      </c>
      <c r="Q4982" s="12" t="n">
        <v>30</v>
      </c>
      <c r="R4982" s="12" t="n">
        <v>42</v>
      </c>
      <c r="S4982" s="12" t="inlineStr">
        <is>
          <t>Tray</t>
        </is>
      </c>
      <c r="T4982" s="16" t="n">
        <v>80</v>
      </c>
      <c r="U4982" s="16" t="n">
        <v>150</v>
      </c>
      <c r="V4982" s="16">
        <f>ROUNDUP((T4982+U4982+2*'Read Me'!$B$13)*(1+'Read Me'!$B$12),-1)</f>
        <v/>
      </c>
      <c r="W4982" s="16">
        <f>V4982*N4982*O4982</f>
        <v/>
      </c>
      <c r="X4982" s="12">
        <f>IF(LEFT(I4982,2)="MV",2*N4982*IF(L4982="1/C",O4982,1),0)</f>
        <v/>
      </c>
      <c r="Y4982" s="12">
        <f>IF(OR(LEFT(K4982,4)="LVAX",LEFT(K4982,6)="MV15AX",LEFT(K4982,4)="CTAX",LEFT(K4982,2)="W|"),2*N4982*O4982,0)</f>
        <v/>
      </c>
      <c r="Z4982" s="12" t="inlineStr">
        <is>
          <t>VD 1.9 %</t>
        </is>
      </c>
      <c r="AA4982" s="12">
        <f>N4982*O4982</f>
        <v/>
      </c>
    </row>
    <row r="4983">
      <c r="A4983" s="12" t="inlineStr">
        <is>
          <t>I-P-0081</t>
        </is>
      </c>
      <c r="B4983" s="12" t="inlineStr">
        <is>
          <t>I</t>
        </is>
      </c>
      <c r="C4983" s="12" t="inlineStr">
        <is>
          <t>Modular / portable power</t>
        </is>
      </c>
      <c r="D4983" s="12" t="inlineStr">
        <is>
          <t>Motor 1 of 1, 15 kW</t>
        </is>
      </c>
      <c r="E4983" s="12" t="inlineStr"/>
      <c r="F4983" s="12" t="inlineStr">
        <is>
          <t>PCM: power control module</t>
        </is>
      </c>
      <c r="G4983" s="12" t="inlineStr"/>
      <c r="H4983" s="12" t="inlineStr">
        <is>
          <t>RICE 7 SCR + oxidation catalyst and stack</t>
        </is>
      </c>
      <c r="I4983" s="12" t="inlineStr">
        <is>
          <t>LV 600 V</t>
        </is>
      </c>
      <c r="J4983" s="12" t="inlineStr">
        <is>
          <t>Type TC-ER 600 V 3/C Cu XHHW-2 + ground, PVC jacket</t>
        </is>
      </c>
      <c r="K4983" s="12" t="inlineStr">
        <is>
          <t>LV|3/C+G|8</t>
        </is>
      </c>
      <c r="L4983" s="12" t="inlineStr">
        <is>
          <t>3/C+G</t>
        </is>
      </c>
      <c r="M4983" s="12" t="inlineStr">
        <is>
          <t>8</t>
        </is>
      </c>
      <c r="N4983" s="12" t="n">
        <v>1</v>
      </c>
      <c r="O4983" s="12" t="n">
        <v>1</v>
      </c>
      <c r="P4983" s="12" t="n">
        <v>480</v>
      </c>
      <c r="Q4983" s="12" t="n">
        <v>15</v>
      </c>
      <c r="R4983" s="12" t="n">
        <v>21.2</v>
      </c>
      <c r="S4983" s="12" t="inlineStr">
        <is>
          <t>Duct bank</t>
        </is>
      </c>
      <c r="T4983" s="16" t="n">
        <v>322</v>
      </c>
      <c r="U4983" s="16" t="n">
        <v>140</v>
      </c>
      <c r="V4983" s="16">
        <f>ROUNDUP((T4983+U4983+2*'Read Me'!$B$13)*(1+'Read Me'!$B$12),-1)</f>
        <v/>
      </c>
      <c r="W4983" s="16">
        <f>V4983*N4983*O4983</f>
        <v/>
      </c>
      <c r="X4983" s="12">
        <f>IF(LEFT(I4983,2)="MV",2*N4983*IF(L4983="1/C",O4983,1),0)</f>
        <v/>
      </c>
      <c r="Y4983" s="12">
        <f>IF(OR(LEFT(K4983,4)="LVAX",LEFT(K4983,6)="MV15AX",LEFT(K4983,4)="CTAX",LEFT(K4983,2)="W|"),2*N4983*O4983,0)</f>
        <v/>
      </c>
      <c r="Z4983" s="12" t="inlineStr">
        <is>
          <t>VD 3.0 %</t>
        </is>
      </c>
      <c r="AA4983" s="12">
        <f>N4983*O4983</f>
        <v/>
      </c>
    </row>
    <row r="4984">
      <c r="A4984" s="12" t="inlineStr">
        <is>
          <t>I-P-0082</t>
        </is>
      </c>
      <c r="B4984" s="12" t="inlineStr">
        <is>
          <t>I</t>
        </is>
      </c>
      <c r="C4984" s="12" t="inlineStr">
        <is>
          <t>Modular / portable power</t>
        </is>
      </c>
      <c r="D4984" s="12" t="inlineStr">
        <is>
          <t>Area / platform lighting circuit 1 (6 fixtures)</t>
        </is>
      </c>
      <c r="E4984" s="12" t="inlineStr"/>
      <c r="F4984" s="12" t="inlineStr">
        <is>
          <t>PCM: power control module</t>
        </is>
      </c>
      <c r="G4984" s="12" t="inlineStr"/>
      <c r="H4984" s="12" t="inlineStr">
        <is>
          <t>RICE 7 SCR + oxidation catalyst and stack</t>
        </is>
      </c>
      <c r="I4984" s="12" t="inlineStr">
        <is>
          <t>LV 600 V</t>
        </is>
      </c>
      <c r="J4984" s="12" t="inlineStr">
        <is>
          <t>Type TC-ER 600 V 3/C Cu XHHW-2 + ground, PVC jacket</t>
        </is>
      </c>
      <c r="K4984" s="12" t="inlineStr">
        <is>
          <t>LV|3/C+G|10</t>
        </is>
      </c>
      <c r="L4984" s="12" t="inlineStr">
        <is>
          <t>3/C+G</t>
        </is>
      </c>
      <c r="M4984" s="12" t="inlineStr">
        <is>
          <t>10</t>
        </is>
      </c>
      <c r="N4984" s="12" t="n">
        <v>1</v>
      </c>
      <c r="O4984" s="12" t="n">
        <v>1</v>
      </c>
      <c r="P4984" s="12" t="n">
        <v>480</v>
      </c>
      <c r="Q4984" s="12" t="n">
        <v>3</v>
      </c>
      <c r="R4984" s="12" t="n">
        <v>5</v>
      </c>
      <c r="S4984" s="12" t="inlineStr">
        <is>
          <t>Duct bank</t>
        </is>
      </c>
      <c r="T4984" s="16" t="n">
        <v>622</v>
      </c>
      <c r="U4984" s="16" t="n">
        <v>140</v>
      </c>
      <c r="V4984" s="16">
        <f>ROUNDUP((T4984+U4984+2*'Read Me'!$B$13)*(1+'Read Me'!$B$12),-1)</f>
        <v/>
      </c>
      <c r="W4984" s="16">
        <f>V4984*N4984*O4984</f>
        <v/>
      </c>
      <c r="X4984" s="12">
        <f>IF(LEFT(I4984,2)="MV",2*N4984*IF(L4984="1/C",O4984,1),0)</f>
        <v/>
      </c>
      <c r="Y4984" s="12">
        <f>IF(OR(LEFT(K4984,4)="LVAX",LEFT(K4984,6)="MV15AX",LEFT(K4984,4)="CTAX",LEFT(K4984,2)="W|"),2*N4984*O4984,0)</f>
        <v/>
      </c>
      <c r="Z4984" s="12" t="inlineStr">
        <is>
          <t>fixture-to-fixture run included</t>
        </is>
      </c>
      <c r="AA4984" s="12">
        <f>N4984*O4984</f>
        <v/>
      </c>
    </row>
    <row r="4985">
      <c r="A4985" s="12" t="inlineStr">
        <is>
          <t>I-P-0083</t>
        </is>
      </c>
      <c r="B4985" s="12" t="inlineStr">
        <is>
          <t>I</t>
        </is>
      </c>
      <c r="C4985" s="12" t="inlineStr">
        <is>
          <t>Modular / portable power</t>
        </is>
      </c>
      <c r="D4985" s="12" t="inlineStr">
        <is>
          <t>Motor 1 of 5, 30 kW (VFD output)</t>
        </is>
      </c>
      <c r="E4985" s="12" t="inlineStr"/>
      <c r="F4985" s="12" t="inlineStr">
        <is>
          <t>PCM: power control module</t>
        </is>
      </c>
      <c r="G4985" s="12" t="inlineStr"/>
      <c r="H4985" s="12" t="inlineStr">
        <is>
          <t>RICE 7 radiators (5)</t>
        </is>
      </c>
      <c r="I4985" s="12" t="inlineStr">
        <is>
          <t>LV 600 V</t>
        </is>
      </c>
      <c r="J4985" s="12" t="inlineStr">
        <is>
          <t>VFD cable 600 V 3/C Cu XHHW-2, 3 symmetrical grounds, overall Cu tape shield, TC-ER</t>
        </is>
      </c>
      <c r="K4985" s="12" t="inlineStr">
        <is>
          <t>VFD|3/C+3G|6</t>
        </is>
      </c>
      <c r="L4985" s="12" t="inlineStr">
        <is>
          <t>3/C+3G</t>
        </is>
      </c>
      <c r="M4985" s="12" t="inlineStr">
        <is>
          <t>6</t>
        </is>
      </c>
      <c r="N4985" s="12" t="n">
        <v>1</v>
      </c>
      <c r="O4985" s="12" t="n">
        <v>1</v>
      </c>
      <c r="P4985" s="12" t="n">
        <v>480</v>
      </c>
      <c r="Q4985" s="12" t="n">
        <v>30</v>
      </c>
      <c r="R4985" s="12" t="n">
        <v>42</v>
      </c>
      <c r="S4985" s="12" t="inlineStr">
        <is>
          <t>Tray</t>
        </is>
      </c>
      <c r="T4985" s="16" t="n">
        <v>80</v>
      </c>
      <c r="U4985" s="16" t="n">
        <v>122</v>
      </c>
      <c r="V4985" s="16">
        <f>ROUNDUP((T4985+U4985+2*'Read Me'!$B$13)*(1+'Read Me'!$B$12),-1)</f>
        <v/>
      </c>
      <c r="W4985" s="16">
        <f>V4985*N4985*O4985</f>
        <v/>
      </c>
      <c r="X4985" s="12">
        <f>IF(LEFT(I4985,2)="MV",2*N4985*IF(L4985="1/C",O4985,1),0)</f>
        <v/>
      </c>
      <c r="Y4985" s="12">
        <f>IF(OR(LEFT(K4985,4)="LVAX",LEFT(K4985,6)="MV15AX",LEFT(K4985,4)="CTAX",LEFT(K4985,2)="W|"),2*N4985*O4985,0)</f>
        <v/>
      </c>
      <c r="Z4985" s="12" t="inlineStr">
        <is>
          <t>VD 1.7 %</t>
        </is>
      </c>
      <c r="AA4985" s="12">
        <f>N4985*O4985</f>
        <v/>
      </c>
    </row>
    <row r="4986">
      <c r="A4986" s="12" t="inlineStr">
        <is>
          <t>I-P-0084</t>
        </is>
      </c>
      <c r="B4986" s="12" t="inlineStr">
        <is>
          <t>I</t>
        </is>
      </c>
      <c r="C4986" s="12" t="inlineStr">
        <is>
          <t>Modular / portable power</t>
        </is>
      </c>
      <c r="D4986" s="12" t="inlineStr">
        <is>
          <t>Motor 2 of 5, 30 kW (VFD output)</t>
        </is>
      </c>
      <c r="E4986" s="12" t="inlineStr"/>
      <c r="F4986" s="12" t="inlineStr">
        <is>
          <t>PCM: power control module</t>
        </is>
      </c>
      <c r="G4986" s="12" t="inlineStr"/>
      <c r="H4986" s="12" t="inlineStr">
        <is>
          <t>RICE 7 radiators (5)</t>
        </is>
      </c>
      <c r="I4986" s="12" t="inlineStr">
        <is>
          <t>LV 600 V</t>
        </is>
      </c>
      <c r="J4986" s="12" t="inlineStr">
        <is>
          <t>VFD cable 600 V 3/C Cu XHHW-2, 3 symmetrical grounds, overall Cu tape shield, TC-ER</t>
        </is>
      </c>
      <c r="K4986" s="12" t="inlineStr">
        <is>
          <t>VFD|3/C+3G|6</t>
        </is>
      </c>
      <c r="L4986" s="12" t="inlineStr">
        <is>
          <t>3/C+3G</t>
        </is>
      </c>
      <c r="M4986" s="12" t="inlineStr">
        <is>
          <t>6</t>
        </is>
      </c>
      <c r="N4986" s="12" t="n">
        <v>1</v>
      </c>
      <c r="O4986" s="12" t="n">
        <v>1</v>
      </c>
      <c r="P4986" s="12" t="n">
        <v>480</v>
      </c>
      <c r="Q4986" s="12" t="n">
        <v>30</v>
      </c>
      <c r="R4986" s="12" t="n">
        <v>42</v>
      </c>
      <c r="S4986" s="12" t="inlineStr">
        <is>
          <t>Tray</t>
        </is>
      </c>
      <c r="T4986" s="16" t="n">
        <v>80</v>
      </c>
      <c r="U4986" s="16" t="n">
        <v>122</v>
      </c>
      <c r="V4986" s="16">
        <f>ROUNDUP((T4986+U4986+2*'Read Me'!$B$13)*(1+'Read Me'!$B$12),-1)</f>
        <v/>
      </c>
      <c r="W4986" s="16">
        <f>V4986*N4986*O4986</f>
        <v/>
      </c>
      <c r="X4986" s="12">
        <f>IF(LEFT(I4986,2)="MV",2*N4986*IF(L4986="1/C",O4986,1),0)</f>
        <v/>
      </c>
      <c r="Y4986" s="12">
        <f>IF(OR(LEFT(K4986,4)="LVAX",LEFT(K4986,6)="MV15AX",LEFT(K4986,4)="CTAX",LEFT(K4986,2)="W|"),2*N4986*O4986,0)</f>
        <v/>
      </c>
      <c r="Z4986" s="12" t="inlineStr">
        <is>
          <t>VD 1.7 %</t>
        </is>
      </c>
      <c r="AA4986" s="12">
        <f>N4986*O4986</f>
        <v/>
      </c>
    </row>
    <row r="4987">
      <c r="A4987" s="12" t="inlineStr">
        <is>
          <t>I-P-0085</t>
        </is>
      </c>
      <c r="B4987" s="12" t="inlineStr">
        <is>
          <t>I</t>
        </is>
      </c>
      <c r="C4987" s="12" t="inlineStr">
        <is>
          <t>Modular / portable power</t>
        </is>
      </c>
      <c r="D4987" s="12" t="inlineStr">
        <is>
          <t>Motor 3 of 5, 30 kW (VFD output)</t>
        </is>
      </c>
      <c r="E4987" s="12" t="inlineStr"/>
      <c r="F4987" s="12" t="inlineStr">
        <is>
          <t>PCM: power control module</t>
        </is>
      </c>
      <c r="G4987" s="12" t="inlineStr"/>
      <c r="H4987" s="12" t="inlineStr">
        <is>
          <t>RICE 7 radiators (5)</t>
        </is>
      </c>
      <c r="I4987" s="12" t="inlineStr">
        <is>
          <t>LV 600 V</t>
        </is>
      </c>
      <c r="J4987" s="12" t="inlineStr">
        <is>
          <t>VFD cable 600 V 3/C Cu XHHW-2, 3 symmetrical grounds, overall Cu tape shield, TC-ER</t>
        </is>
      </c>
      <c r="K4987" s="12" t="inlineStr">
        <is>
          <t>VFD|3/C+3G|6</t>
        </is>
      </c>
      <c r="L4987" s="12" t="inlineStr">
        <is>
          <t>3/C+3G</t>
        </is>
      </c>
      <c r="M4987" s="12" t="inlineStr">
        <is>
          <t>6</t>
        </is>
      </c>
      <c r="N4987" s="12" t="n">
        <v>1</v>
      </c>
      <c r="O4987" s="12" t="n">
        <v>1</v>
      </c>
      <c r="P4987" s="12" t="n">
        <v>480</v>
      </c>
      <c r="Q4987" s="12" t="n">
        <v>30</v>
      </c>
      <c r="R4987" s="12" t="n">
        <v>42</v>
      </c>
      <c r="S4987" s="12" t="inlineStr">
        <is>
          <t>Tray</t>
        </is>
      </c>
      <c r="T4987" s="16" t="n">
        <v>80</v>
      </c>
      <c r="U4987" s="16" t="n">
        <v>122</v>
      </c>
      <c r="V4987" s="16">
        <f>ROUNDUP((T4987+U4987+2*'Read Me'!$B$13)*(1+'Read Me'!$B$12),-1)</f>
        <v/>
      </c>
      <c r="W4987" s="16">
        <f>V4987*N4987*O4987</f>
        <v/>
      </c>
      <c r="X4987" s="12">
        <f>IF(LEFT(I4987,2)="MV",2*N4987*IF(L4987="1/C",O4987,1),0)</f>
        <v/>
      </c>
      <c r="Y4987" s="12">
        <f>IF(OR(LEFT(K4987,4)="LVAX",LEFT(K4987,6)="MV15AX",LEFT(K4987,4)="CTAX",LEFT(K4987,2)="W|"),2*N4987*O4987,0)</f>
        <v/>
      </c>
      <c r="Z4987" s="12" t="inlineStr">
        <is>
          <t>VD 1.7 %</t>
        </is>
      </c>
      <c r="AA4987" s="12">
        <f>N4987*O4987</f>
        <v/>
      </c>
    </row>
    <row r="4988">
      <c r="A4988" s="12" t="inlineStr">
        <is>
          <t>I-P-0086</t>
        </is>
      </c>
      <c r="B4988" s="12" t="inlineStr">
        <is>
          <t>I</t>
        </is>
      </c>
      <c r="C4988" s="12" t="inlineStr">
        <is>
          <t>Modular / portable power</t>
        </is>
      </c>
      <c r="D4988" s="12" t="inlineStr">
        <is>
          <t>Motor 4 of 5, 30 kW (VFD output)</t>
        </is>
      </c>
      <c r="E4988" s="12" t="inlineStr"/>
      <c r="F4988" s="12" t="inlineStr">
        <is>
          <t>PCM: power control module</t>
        </is>
      </c>
      <c r="G4988" s="12" t="inlineStr"/>
      <c r="H4988" s="12" t="inlineStr">
        <is>
          <t>RICE 7 radiators (5)</t>
        </is>
      </c>
      <c r="I4988" s="12" t="inlineStr">
        <is>
          <t>LV 600 V</t>
        </is>
      </c>
      <c r="J4988" s="12" t="inlineStr">
        <is>
          <t>VFD cable 600 V 3/C Cu XHHW-2, 3 symmetrical grounds, overall Cu tape shield, TC-ER</t>
        </is>
      </c>
      <c r="K4988" s="12" t="inlineStr">
        <is>
          <t>VFD|3/C+3G|6</t>
        </is>
      </c>
      <c r="L4988" s="12" t="inlineStr">
        <is>
          <t>3/C+3G</t>
        </is>
      </c>
      <c r="M4988" s="12" t="inlineStr">
        <is>
          <t>6</t>
        </is>
      </c>
      <c r="N4988" s="12" t="n">
        <v>1</v>
      </c>
      <c r="O4988" s="12" t="n">
        <v>1</v>
      </c>
      <c r="P4988" s="12" t="n">
        <v>480</v>
      </c>
      <c r="Q4988" s="12" t="n">
        <v>30</v>
      </c>
      <c r="R4988" s="12" t="n">
        <v>42</v>
      </c>
      <c r="S4988" s="12" t="inlineStr">
        <is>
          <t>Tray</t>
        </is>
      </c>
      <c r="T4988" s="16" t="n">
        <v>80</v>
      </c>
      <c r="U4988" s="16" t="n">
        <v>122</v>
      </c>
      <c r="V4988" s="16">
        <f>ROUNDUP((T4988+U4988+2*'Read Me'!$B$13)*(1+'Read Me'!$B$12),-1)</f>
        <v/>
      </c>
      <c r="W4988" s="16">
        <f>V4988*N4988*O4988</f>
        <v/>
      </c>
      <c r="X4988" s="12">
        <f>IF(LEFT(I4988,2)="MV",2*N4988*IF(L4988="1/C",O4988,1),0)</f>
        <v/>
      </c>
      <c r="Y4988" s="12">
        <f>IF(OR(LEFT(K4988,4)="LVAX",LEFT(K4988,6)="MV15AX",LEFT(K4988,4)="CTAX",LEFT(K4988,2)="W|"),2*N4988*O4988,0)</f>
        <v/>
      </c>
      <c r="Z4988" s="12" t="inlineStr">
        <is>
          <t>VD 1.7 %</t>
        </is>
      </c>
      <c r="AA4988" s="12">
        <f>N4988*O4988</f>
        <v/>
      </c>
    </row>
    <row r="4989">
      <c r="A4989" s="12" t="inlineStr">
        <is>
          <t>I-P-0087</t>
        </is>
      </c>
      <c r="B4989" s="12" t="inlineStr">
        <is>
          <t>I</t>
        </is>
      </c>
      <c r="C4989" s="12" t="inlineStr">
        <is>
          <t>Modular / portable power</t>
        </is>
      </c>
      <c r="D4989" s="12" t="inlineStr">
        <is>
          <t>Motor 5 of 5, 30 kW (VFD output)</t>
        </is>
      </c>
      <c r="E4989" s="12" t="inlineStr"/>
      <c r="F4989" s="12" t="inlineStr">
        <is>
          <t>PCM: power control module</t>
        </is>
      </c>
      <c r="G4989" s="12" t="inlineStr"/>
      <c r="H4989" s="12" t="inlineStr">
        <is>
          <t>RICE 7 radiators (5)</t>
        </is>
      </c>
      <c r="I4989" s="12" t="inlineStr">
        <is>
          <t>LV 600 V</t>
        </is>
      </c>
      <c r="J4989" s="12" t="inlineStr">
        <is>
          <t>VFD cable 600 V 3/C Cu XHHW-2, 3 symmetrical grounds, overall Cu tape shield, TC-ER</t>
        </is>
      </c>
      <c r="K4989" s="12" t="inlineStr">
        <is>
          <t>VFD|3/C+3G|6</t>
        </is>
      </c>
      <c r="L4989" s="12" t="inlineStr">
        <is>
          <t>3/C+3G</t>
        </is>
      </c>
      <c r="M4989" s="12" t="inlineStr">
        <is>
          <t>6</t>
        </is>
      </c>
      <c r="N4989" s="12" t="n">
        <v>1</v>
      </c>
      <c r="O4989" s="12" t="n">
        <v>1</v>
      </c>
      <c r="P4989" s="12" t="n">
        <v>480</v>
      </c>
      <c r="Q4989" s="12" t="n">
        <v>30</v>
      </c>
      <c r="R4989" s="12" t="n">
        <v>42</v>
      </c>
      <c r="S4989" s="12" t="inlineStr">
        <is>
          <t>Tray</t>
        </is>
      </c>
      <c r="T4989" s="16" t="n">
        <v>80</v>
      </c>
      <c r="U4989" s="16" t="n">
        <v>122</v>
      </c>
      <c r="V4989" s="16">
        <f>ROUNDUP((T4989+U4989+2*'Read Me'!$B$13)*(1+'Read Me'!$B$12),-1)</f>
        <v/>
      </c>
      <c r="W4989" s="16">
        <f>V4989*N4989*O4989</f>
        <v/>
      </c>
      <c r="X4989" s="12">
        <f>IF(LEFT(I4989,2)="MV",2*N4989*IF(L4989="1/C",O4989,1),0)</f>
        <v/>
      </c>
      <c r="Y4989" s="12">
        <f>IF(OR(LEFT(K4989,4)="LVAX",LEFT(K4989,6)="MV15AX",LEFT(K4989,4)="CTAX",LEFT(K4989,2)="W|"),2*N4989*O4989,0)</f>
        <v/>
      </c>
      <c r="Z4989" s="12" t="inlineStr">
        <is>
          <t>VD 1.7 %</t>
        </is>
      </c>
      <c r="AA4989" s="12">
        <f>N4989*O4989</f>
        <v/>
      </c>
    </row>
    <row r="4990">
      <c r="A4990" s="12" t="inlineStr">
        <is>
          <t>I-P-0088</t>
        </is>
      </c>
      <c r="B4990" s="12" t="inlineStr">
        <is>
          <t>I</t>
        </is>
      </c>
      <c r="C4990" s="12" t="inlineStr">
        <is>
          <t>Modular / portable power</t>
        </is>
      </c>
      <c r="D4990" s="12" t="inlineStr">
        <is>
          <t>Motor 1 of 1, 15 kW</t>
        </is>
      </c>
      <c r="E4990" s="12" t="inlineStr"/>
      <c r="F4990" s="12" t="inlineStr">
        <is>
          <t>PCM: power control module</t>
        </is>
      </c>
      <c r="G4990" s="12" t="inlineStr"/>
      <c r="H4990" s="12" t="inlineStr">
        <is>
          <t>RICE 8 SCR + oxidation catalyst and stack</t>
        </is>
      </c>
      <c r="I4990" s="12" t="inlineStr">
        <is>
          <t>LV 600 V</t>
        </is>
      </c>
      <c r="J4990" s="12" t="inlineStr">
        <is>
          <t>Type TC-ER 600 V 3/C Cu XHHW-2 + ground, PVC jacket</t>
        </is>
      </c>
      <c r="K4990" s="12" t="inlineStr">
        <is>
          <t>LV|3/C+G|8</t>
        </is>
      </c>
      <c r="L4990" s="12" t="inlineStr">
        <is>
          <t>3/C+G</t>
        </is>
      </c>
      <c r="M4990" s="12" t="inlineStr">
        <is>
          <t>8</t>
        </is>
      </c>
      <c r="N4990" s="12" t="n">
        <v>1</v>
      </c>
      <c r="O4990" s="12" t="n">
        <v>1</v>
      </c>
      <c r="P4990" s="12" t="n">
        <v>480</v>
      </c>
      <c r="Q4990" s="12" t="n">
        <v>15</v>
      </c>
      <c r="R4990" s="12" t="n">
        <v>21.2</v>
      </c>
      <c r="S4990" s="12" t="inlineStr">
        <is>
          <t>Duct bank</t>
        </is>
      </c>
      <c r="T4990" s="16" t="n">
        <v>322</v>
      </c>
      <c r="U4990" s="16" t="n">
        <v>112</v>
      </c>
      <c r="V4990" s="16">
        <f>ROUNDUP((T4990+U4990+2*'Read Me'!$B$13)*(1+'Read Me'!$B$12),-1)</f>
        <v/>
      </c>
      <c r="W4990" s="16">
        <f>V4990*N4990*O4990</f>
        <v/>
      </c>
      <c r="X4990" s="12">
        <f>IF(LEFT(I4990,2)="MV",2*N4990*IF(L4990="1/C",O4990,1),0)</f>
        <v/>
      </c>
      <c r="Y4990" s="12">
        <f>IF(OR(LEFT(K4990,4)="LVAX",LEFT(K4990,6)="MV15AX",LEFT(K4990,4)="CTAX",LEFT(K4990,2)="W|"),2*N4990*O4990,0)</f>
        <v/>
      </c>
      <c r="Z4990" s="12" t="inlineStr">
        <is>
          <t>VD 2.8 %</t>
        </is>
      </c>
      <c r="AA4990" s="12">
        <f>N4990*O4990</f>
        <v/>
      </c>
    </row>
    <row r="4991">
      <c r="A4991" s="12" t="inlineStr">
        <is>
          <t>I-P-0089</t>
        </is>
      </c>
      <c r="B4991" s="12" t="inlineStr">
        <is>
          <t>I</t>
        </is>
      </c>
      <c r="C4991" s="12" t="inlineStr">
        <is>
          <t>Modular / portable power</t>
        </is>
      </c>
      <c r="D4991" s="12" t="inlineStr">
        <is>
          <t>Area / platform lighting circuit 1 (6 fixtures)</t>
        </is>
      </c>
      <c r="E4991" s="12" t="inlineStr"/>
      <c r="F4991" s="12" t="inlineStr">
        <is>
          <t>PCM: power control module</t>
        </is>
      </c>
      <c r="G4991" s="12" t="inlineStr"/>
      <c r="H4991" s="12" t="inlineStr">
        <is>
          <t>RICE 8 SCR + oxidation catalyst and stack</t>
        </is>
      </c>
      <c r="I4991" s="12" t="inlineStr">
        <is>
          <t>LV 600 V</t>
        </is>
      </c>
      <c r="J4991" s="12" t="inlineStr">
        <is>
          <t>Type TC-ER 600 V 3/C Cu XHHW-2 + ground, PVC jacket</t>
        </is>
      </c>
      <c r="K4991" s="12" t="inlineStr">
        <is>
          <t>LV|3/C+G|10</t>
        </is>
      </c>
      <c r="L4991" s="12" t="inlineStr">
        <is>
          <t>3/C+G</t>
        </is>
      </c>
      <c r="M4991" s="12" t="inlineStr">
        <is>
          <t>10</t>
        </is>
      </c>
      <c r="N4991" s="12" t="n">
        <v>1</v>
      </c>
      <c r="O4991" s="12" t="n">
        <v>1</v>
      </c>
      <c r="P4991" s="12" t="n">
        <v>480</v>
      </c>
      <c r="Q4991" s="12" t="n">
        <v>3</v>
      </c>
      <c r="R4991" s="12" t="n">
        <v>5</v>
      </c>
      <c r="S4991" s="12" t="inlineStr">
        <is>
          <t>Duct bank</t>
        </is>
      </c>
      <c r="T4991" s="16" t="n">
        <v>622</v>
      </c>
      <c r="U4991" s="16" t="n">
        <v>112</v>
      </c>
      <c r="V4991" s="16">
        <f>ROUNDUP((T4991+U4991+2*'Read Me'!$B$13)*(1+'Read Me'!$B$12),-1)</f>
        <v/>
      </c>
      <c r="W4991" s="16">
        <f>V4991*N4991*O4991</f>
        <v/>
      </c>
      <c r="X4991" s="12">
        <f>IF(LEFT(I4991,2)="MV",2*N4991*IF(L4991="1/C",O4991,1),0)</f>
        <v/>
      </c>
      <c r="Y4991" s="12">
        <f>IF(OR(LEFT(K4991,4)="LVAX",LEFT(K4991,6)="MV15AX",LEFT(K4991,4)="CTAX",LEFT(K4991,2)="W|"),2*N4991*O4991,0)</f>
        <v/>
      </c>
      <c r="Z4991" s="12" t="inlineStr">
        <is>
          <t>fixture-to-fixture run included</t>
        </is>
      </c>
      <c r="AA4991" s="12">
        <f>N4991*O4991</f>
        <v/>
      </c>
    </row>
    <row r="4992">
      <c r="A4992" s="12" t="inlineStr">
        <is>
          <t>I-P-0090</t>
        </is>
      </c>
      <c r="B4992" s="12" t="inlineStr">
        <is>
          <t>I</t>
        </is>
      </c>
      <c r="C4992" s="12" t="inlineStr">
        <is>
          <t>Modular / portable power</t>
        </is>
      </c>
      <c r="D4992" s="12" t="inlineStr">
        <is>
          <t>Motor 1 of 5, 30 kW (VFD output)</t>
        </is>
      </c>
      <c r="E4992" s="12" t="inlineStr"/>
      <c r="F4992" s="12" t="inlineStr">
        <is>
          <t>PCM: power control module</t>
        </is>
      </c>
      <c r="G4992" s="12" t="inlineStr"/>
      <c r="H4992" s="12" t="inlineStr">
        <is>
          <t>RICE 8 radiators (5)</t>
        </is>
      </c>
      <c r="I4992" s="12" t="inlineStr">
        <is>
          <t>LV 600 V</t>
        </is>
      </c>
      <c r="J4992" s="12" t="inlineStr">
        <is>
          <t>VFD cable 600 V 3/C Cu XHHW-2, 3 symmetrical grounds, overall Cu tape shield, TC-ER</t>
        </is>
      </c>
      <c r="K4992" s="12" t="inlineStr">
        <is>
          <t>VFD|3/C+3G|6</t>
        </is>
      </c>
      <c r="L4992" s="12" t="inlineStr">
        <is>
          <t>3/C+3G</t>
        </is>
      </c>
      <c r="M4992" s="12" t="inlineStr">
        <is>
          <t>6</t>
        </is>
      </c>
      <c r="N4992" s="12" t="n">
        <v>1</v>
      </c>
      <c r="O4992" s="12" t="n">
        <v>1</v>
      </c>
      <c r="P4992" s="12" t="n">
        <v>480</v>
      </c>
      <c r="Q4992" s="12" t="n">
        <v>30</v>
      </c>
      <c r="R4992" s="12" t="n">
        <v>42</v>
      </c>
      <c r="S4992" s="12" t="inlineStr">
        <is>
          <t>Tray</t>
        </is>
      </c>
      <c r="T4992" s="16" t="n">
        <v>80</v>
      </c>
      <c r="U4992" s="16" t="n">
        <v>94</v>
      </c>
      <c r="V4992" s="16">
        <f>ROUNDUP((T4992+U4992+2*'Read Me'!$B$13)*(1+'Read Me'!$B$12),-1)</f>
        <v/>
      </c>
      <c r="W4992" s="16">
        <f>V4992*N4992*O4992</f>
        <v/>
      </c>
      <c r="X4992" s="12">
        <f>IF(LEFT(I4992,2)="MV",2*N4992*IF(L4992="1/C",O4992,1),0)</f>
        <v/>
      </c>
      <c r="Y4992" s="12">
        <f>IF(OR(LEFT(K4992,4)="LVAX",LEFT(K4992,6)="MV15AX",LEFT(K4992,4)="CTAX",LEFT(K4992,2)="W|"),2*N4992*O4992,0)</f>
        <v/>
      </c>
      <c r="Z4992" s="12" t="inlineStr">
        <is>
          <t>VD 1.4 %</t>
        </is>
      </c>
      <c r="AA4992" s="12">
        <f>N4992*O4992</f>
        <v/>
      </c>
    </row>
    <row r="4993">
      <c r="A4993" s="12" t="inlineStr">
        <is>
          <t>I-P-0091</t>
        </is>
      </c>
      <c r="B4993" s="12" t="inlineStr">
        <is>
          <t>I</t>
        </is>
      </c>
      <c r="C4993" s="12" t="inlineStr">
        <is>
          <t>Modular / portable power</t>
        </is>
      </c>
      <c r="D4993" s="12" t="inlineStr">
        <is>
          <t>Motor 2 of 5, 30 kW (VFD output)</t>
        </is>
      </c>
      <c r="E4993" s="12" t="inlineStr"/>
      <c r="F4993" s="12" t="inlineStr">
        <is>
          <t>PCM: power control module</t>
        </is>
      </c>
      <c r="G4993" s="12" t="inlineStr"/>
      <c r="H4993" s="12" t="inlineStr">
        <is>
          <t>RICE 8 radiators (5)</t>
        </is>
      </c>
      <c r="I4993" s="12" t="inlineStr">
        <is>
          <t>LV 600 V</t>
        </is>
      </c>
      <c r="J4993" s="12" t="inlineStr">
        <is>
          <t>VFD cable 600 V 3/C Cu XHHW-2, 3 symmetrical grounds, overall Cu tape shield, TC-ER</t>
        </is>
      </c>
      <c r="K4993" s="12" t="inlineStr">
        <is>
          <t>VFD|3/C+3G|6</t>
        </is>
      </c>
      <c r="L4993" s="12" t="inlineStr">
        <is>
          <t>3/C+3G</t>
        </is>
      </c>
      <c r="M4993" s="12" t="inlineStr">
        <is>
          <t>6</t>
        </is>
      </c>
      <c r="N4993" s="12" t="n">
        <v>1</v>
      </c>
      <c r="O4993" s="12" t="n">
        <v>1</v>
      </c>
      <c r="P4993" s="12" t="n">
        <v>480</v>
      </c>
      <c r="Q4993" s="12" t="n">
        <v>30</v>
      </c>
      <c r="R4993" s="12" t="n">
        <v>42</v>
      </c>
      <c r="S4993" s="12" t="inlineStr">
        <is>
          <t>Tray</t>
        </is>
      </c>
      <c r="T4993" s="16" t="n">
        <v>80</v>
      </c>
      <c r="U4993" s="16" t="n">
        <v>94</v>
      </c>
      <c r="V4993" s="16">
        <f>ROUNDUP((T4993+U4993+2*'Read Me'!$B$13)*(1+'Read Me'!$B$12),-1)</f>
        <v/>
      </c>
      <c r="W4993" s="16">
        <f>V4993*N4993*O4993</f>
        <v/>
      </c>
      <c r="X4993" s="12">
        <f>IF(LEFT(I4993,2)="MV",2*N4993*IF(L4993="1/C",O4993,1),0)</f>
        <v/>
      </c>
      <c r="Y4993" s="12">
        <f>IF(OR(LEFT(K4993,4)="LVAX",LEFT(K4993,6)="MV15AX",LEFT(K4993,4)="CTAX",LEFT(K4993,2)="W|"),2*N4993*O4993,0)</f>
        <v/>
      </c>
      <c r="Z4993" s="12" t="inlineStr">
        <is>
          <t>VD 1.4 %</t>
        </is>
      </c>
      <c r="AA4993" s="12">
        <f>N4993*O4993</f>
        <v/>
      </c>
    </row>
    <row r="4994">
      <c r="A4994" s="12" t="inlineStr">
        <is>
          <t>I-P-0092</t>
        </is>
      </c>
      <c r="B4994" s="12" t="inlineStr">
        <is>
          <t>I</t>
        </is>
      </c>
      <c r="C4994" s="12" t="inlineStr">
        <is>
          <t>Modular / portable power</t>
        </is>
      </c>
      <c r="D4994" s="12" t="inlineStr">
        <is>
          <t>Motor 3 of 5, 30 kW (VFD output)</t>
        </is>
      </c>
      <c r="E4994" s="12" t="inlineStr"/>
      <c r="F4994" s="12" t="inlineStr">
        <is>
          <t>PCM: power control module</t>
        </is>
      </c>
      <c r="G4994" s="12" t="inlineStr"/>
      <c r="H4994" s="12" t="inlineStr">
        <is>
          <t>RICE 8 radiators (5)</t>
        </is>
      </c>
      <c r="I4994" s="12" t="inlineStr">
        <is>
          <t>LV 600 V</t>
        </is>
      </c>
      <c r="J4994" s="12" t="inlineStr">
        <is>
          <t>VFD cable 600 V 3/C Cu XHHW-2, 3 symmetrical grounds, overall Cu tape shield, TC-ER</t>
        </is>
      </c>
      <c r="K4994" s="12" t="inlineStr">
        <is>
          <t>VFD|3/C+3G|6</t>
        </is>
      </c>
      <c r="L4994" s="12" t="inlineStr">
        <is>
          <t>3/C+3G</t>
        </is>
      </c>
      <c r="M4994" s="12" t="inlineStr">
        <is>
          <t>6</t>
        </is>
      </c>
      <c r="N4994" s="12" t="n">
        <v>1</v>
      </c>
      <c r="O4994" s="12" t="n">
        <v>1</v>
      </c>
      <c r="P4994" s="12" t="n">
        <v>480</v>
      </c>
      <c r="Q4994" s="12" t="n">
        <v>30</v>
      </c>
      <c r="R4994" s="12" t="n">
        <v>42</v>
      </c>
      <c r="S4994" s="12" t="inlineStr">
        <is>
          <t>Tray</t>
        </is>
      </c>
      <c r="T4994" s="16" t="n">
        <v>80</v>
      </c>
      <c r="U4994" s="16" t="n">
        <v>94</v>
      </c>
      <c r="V4994" s="16">
        <f>ROUNDUP((T4994+U4994+2*'Read Me'!$B$13)*(1+'Read Me'!$B$12),-1)</f>
        <v/>
      </c>
      <c r="W4994" s="16">
        <f>V4994*N4994*O4994</f>
        <v/>
      </c>
      <c r="X4994" s="12">
        <f>IF(LEFT(I4994,2)="MV",2*N4994*IF(L4994="1/C",O4994,1),0)</f>
        <v/>
      </c>
      <c r="Y4994" s="12">
        <f>IF(OR(LEFT(K4994,4)="LVAX",LEFT(K4994,6)="MV15AX",LEFT(K4994,4)="CTAX",LEFT(K4994,2)="W|"),2*N4994*O4994,0)</f>
        <v/>
      </c>
      <c r="Z4994" s="12" t="inlineStr">
        <is>
          <t>VD 1.4 %</t>
        </is>
      </c>
      <c r="AA4994" s="12">
        <f>N4994*O4994</f>
        <v/>
      </c>
    </row>
    <row r="4995">
      <c r="A4995" s="12" t="inlineStr">
        <is>
          <t>I-P-0093</t>
        </is>
      </c>
      <c r="B4995" s="12" t="inlineStr">
        <is>
          <t>I</t>
        </is>
      </c>
      <c r="C4995" s="12" t="inlineStr">
        <is>
          <t>Modular / portable power</t>
        </is>
      </c>
      <c r="D4995" s="12" t="inlineStr">
        <is>
          <t>Motor 4 of 5, 30 kW (VFD output)</t>
        </is>
      </c>
      <c r="E4995" s="12" t="inlineStr"/>
      <c r="F4995" s="12" t="inlineStr">
        <is>
          <t>PCM: power control module</t>
        </is>
      </c>
      <c r="G4995" s="12" t="inlineStr"/>
      <c r="H4995" s="12" t="inlineStr">
        <is>
          <t>RICE 8 radiators (5)</t>
        </is>
      </c>
      <c r="I4995" s="12" t="inlineStr">
        <is>
          <t>LV 600 V</t>
        </is>
      </c>
      <c r="J4995" s="12" t="inlineStr">
        <is>
          <t>VFD cable 600 V 3/C Cu XHHW-2, 3 symmetrical grounds, overall Cu tape shield, TC-ER</t>
        </is>
      </c>
      <c r="K4995" s="12" t="inlineStr">
        <is>
          <t>VFD|3/C+3G|6</t>
        </is>
      </c>
      <c r="L4995" s="12" t="inlineStr">
        <is>
          <t>3/C+3G</t>
        </is>
      </c>
      <c r="M4995" s="12" t="inlineStr">
        <is>
          <t>6</t>
        </is>
      </c>
      <c r="N4995" s="12" t="n">
        <v>1</v>
      </c>
      <c r="O4995" s="12" t="n">
        <v>1</v>
      </c>
      <c r="P4995" s="12" t="n">
        <v>480</v>
      </c>
      <c r="Q4995" s="12" t="n">
        <v>30</v>
      </c>
      <c r="R4995" s="12" t="n">
        <v>42</v>
      </c>
      <c r="S4995" s="12" t="inlineStr">
        <is>
          <t>Tray</t>
        </is>
      </c>
      <c r="T4995" s="16" t="n">
        <v>80</v>
      </c>
      <c r="U4995" s="16" t="n">
        <v>94</v>
      </c>
      <c r="V4995" s="16">
        <f>ROUNDUP((T4995+U4995+2*'Read Me'!$B$13)*(1+'Read Me'!$B$12),-1)</f>
        <v/>
      </c>
      <c r="W4995" s="16">
        <f>V4995*N4995*O4995</f>
        <v/>
      </c>
      <c r="X4995" s="12">
        <f>IF(LEFT(I4995,2)="MV",2*N4995*IF(L4995="1/C",O4995,1),0)</f>
        <v/>
      </c>
      <c r="Y4995" s="12">
        <f>IF(OR(LEFT(K4995,4)="LVAX",LEFT(K4995,6)="MV15AX",LEFT(K4995,4)="CTAX",LEFT(K4995,2)="W|"),2*N4995*O4995,0)</f>
        <v/>
      </c>
      <c r="Z4995" s="12" t="inlineStr">
        <is>
          <t>VD 1.4 %</t>
        </is>
      </c>
      <c r="AA4995" s="12">
        <f>N4995*O4995</f>
        <v/>
      </c>
    </row>
    <row r="4996">
      <c r="A4996" s="12" t="inlineStr">
        <is>
          <t>I-P-0094</t>
        </is>
      </c>
      <c r="B4996" s="12" t="inlineStr">
        <is>
          <t>I</t>
        </is>
      </c>
      <c r="C4996" s="12" t="inlineStr">
        <is>
          <t>Modular / portable power</t>
        </is>
      </c>
      <c r="D4996" s="12" t="inlineStr">
        <is>
          <t>Motor 5 of 5, 30 kW (VFD output)</t>
        </is>
      </c>
      <c r="E4996" s="12" t="inlineStr"/>
      <c r="F4996" s="12" t="inlineStr">
        <is>
          <t>PCM: power control module</t>
        </is>
      </c>
      <c r="G4996" s="12" t="inlineStr"/>
      <c r="H4996" s="12" t="inlineStr">
        <is>
          <t>RICE 8 radiators (5)</t>
        </is>
      </c>
      <c r="I4996" s="12" t="inlineStr">
        <is>
          <t>LV 600 V</t>
        </is>
      </c>
      <c r="J4996" s="12" t="inlineStr">
        <is>
          <t>VFD cable 600 V 3/C Cu XHHW-2, 3 symmetrical grounds, overall Cu tape shield, TC-ER</t>
        </is>
      </c>
      <c r="K4996" s="12" t="inlineStr">
        <is>
          <t>VFD|3/C+3G|6</t>
        </is>
      </c>
      <c r="L4996" s="12" t="inlineStr">
        <is>
          <t>3/C+3G</t>
        </is>
      </c>
      <c r="M4996" s="12" t="inlineStr">
        <is>
          <t>6</t>
        </is>
      </c>
      <c r="N4996" s="12" t="n">
        <v>1</v>
      </c>
      <c r="O4996" s="12" t="n">
        <v>1</v>
      </c>
      <c r="P4996" s="12" t="n">
        <v>480</v>
      </c>
      <c r="Q4996" s="12" t="n">
        <v>30</v>
      </c>
      <c r="R4996" s="12" t="n">
        <v>42</v>
      </c>
      <c r="S4996" s="12" t="inlineStr">
        <is>
          <t>Tray</t>
        </is>
      </c>
      <c r="T4996" s="16" t="n">
        <v>80</v>
      </c>
      <c r="U4996" s="16" t="n">
        <v>94</v>
      </c>
      <c r="V4996" s="16">
        <f>ROUNDUP((T4996+U4996+2*'Read Me'!$B$13)*(1+'Read Me'!$B$12),-1)</f>
        <v/>
      </c>
      <c r="W4996" s="16">
        <f>V4996*N4996*O4996</f>
        <v/>
      </c>
      <c r="X4996" s="12">
        <f>IF(LEFT(I4996,2)="MV",2*N4996*IF(L4996="1/C",O4996,1),0)</f>
        <v/>
      </c>
      <c r="Y4996" s="12">
        <f>IF(OR(LEFT(K4996,4)="LVAX",LEFT(K4996,6)="MV15AX",LEFT(K4996,4)="CTAX",LEFT(K4996,2)="W|"),2*N4996*O4996,0)</f>
        <v/>
      </c>
      <c r="Z4996" s="12" t="inlineStr">
        <is>
          <t>VD 1.4 %</t>
        </is>
      </c>
      <c r="AA4996" s="12">
        <f>N4996*O4996</f>
        <v/>
      </c>
    </row>
    <row r="4997">
      <c r="A4997" s="12" t="inlineStr">
        <is>
          <t>I-P-0095</t>
        </is>
      </c>
      <c r="B4997" s="12" t="inlineStr">
        <is>
          <t>I</t>
        </is>
      </c>
      <c r="C4997" s="12" t="inlineStr">
        <is>
          <t>Modular / portable power</t>
        </is>
      </c>
      <c r="D4997" s="12" t="inlineStr">
        <is>
          <t>LV panel / distribution feeder</t>
        </is>
      </c>
      <c r="E4997" s="12" t="inlineStr"/>
      <c r="F4997" s="12" t="inlineStr">
        <is>
          <t>PCM: power control module</t>
        </is>
      </c>
      <c r="G4997" s="12" t="inlineStr"/>
      <c r="H4997" s="12" t="inlineStr">
        <is>
          <t>RICE CEMS</t>
        </is>
      </c>
      <c r="I4997" s="12" t="inlineStr">
        <is>
          <t>LV 600 V</t>
        </is>
      </c>
      <c r="J4997" s="12" t="inlineStr">
        <is>
          <t>Type TC-ER 600 V 3/C Cu XHHW-2 + ground, PVC jacket</t>
        </is>
      </c>
      <c r="K4997" s="12" t="inlineStr">
        <is>
          <t>LV|3/C+G|4</t>
        </is>
      </c>
      <c r="L4997" s="12" t="inlineStr">
        <is>
          <t>3/C+G</t>
        </is>
      </c>
      <c r="M4997" s="12" t="inlineStr">
        <is>
          <t>4</t>
        </is>
      </c>
      <c r="N4997" s="12" t="n">
        <v>1</v>
      </c>
      <c r="O4997" s="12" t="n">
        <v>1</v>
      </c>
      <c r="P4997" s="12" t="n">
        <v>480</v>
      </c>
      <c r="Q4997" s="12" t="n">
        <v>30</v>
      </c>
      <c r="R4997" s="12" t="n">
        <v>42.5</v>
      </c>
      <c r="S4997" s="12" t="inlineStr">
        <is>
          <t>Duct bank</t>
        </is>
      </c>
      <c r="T4997" s="16" t="n">
        <v>260</v>
      </c>
      <c r="U4997" s="16" t="n">
        <v>131</v>
      </c>
      <c r="V4997" s="16">
        <f>ROUNDUP((T4997+U4997+2*'Read Me'!$B$13)*(1+'Read Me'!$B$12),-1)</f>
        <v/>
      </c>
      <c r="W4997" s="16">
        <f>V4997*N4997*O4997</f>
        <v/>
      </c>
      <c r="X4997" s="12">
        <f>IF(LEFT(I4997,2)="MV",2*N4997*IF(L4997="1/C",O4997,1),0)</f>
        <v/>
      </c>
      <c r="Y4997" s="12">
        <f>IF(OR(LEFT(K4997,4)="LVAX",LEFT(K4997,6)="MV15AX",LEFT(K4997,4)="CTAX",LEFT(K4997,2)="W|"),2*N4997*O4997,0)</f>
        <v/>
      </c>
      <c r="Z4997" s="12" t="inlineStr">
        <is>
          <t>VD 2.0 %</t>
        </is>
      </c>
      <c r="AA4997" s="12">
        <f>N4997*O4997</f>
        <v/>
      </c>
    </row>
    <row r="4998">
      <c r="A4998" s="12" t="inlineStr">
        <is>
          <t>I-P-0096</t>
        </is>
      </c>
      <c r="B4998" s="12" t="inlineStr">
        <is>
          <t>I</t>
        </is>
      </c>
      <c r="C4998" s="12" t="inlineStr">
        <is>
          <t>Modular / portable power</t>
        </is>
      </c>
      <c r="D4998" s="12" t="inlineStr">
        <is>
          <t>LV power feeder</t>
        </is>
      </c>
      <c r="E4998" s="12" t="inlineStr"/>
      <c r="F4998" s="12" t="inlineStr">
        <is>
          <t>PCM: power control module</t>
        </is>
      </c>
      <c r="G4998" s="12" t="inlineStr">
        <is>
          <t>RICE</t>
        </is>
      </c>
      <c r="H4998" s="12" t="inlineStr">
        <is>
          <t>RICE engine hall (8 engines)</t>
        </is>
      </c>
      <c r="I4998" s="12" t="inlineStr">
        <is>
          <t>LV 600 V</t>
        </is>
      </c>
      <c r="J4998" s="12" t="inlineStr">
        <is>
          <t>Type TC-ER 600 V 3/C Cu XHHW-2 + ground, PVC jacket</t>
        </is>
      </c>
      <c r="K4998" s="12" t="inlineStr">
        <is>
          <t>LV|3/C+G|8</t>
        </is>
      </c>
      <c r="L4998" s="12" t="inlineStr">
        <is>
          <t>3/C+G</t>
        </is>
      </c>
      <c r="M4998" s="12" t="inlineStr">
        <is>
          <t>8</t>
        </is>
      </c>
      <c r="N4998" s="12" t="n">
        <v>1</v>
      </c>
      <c r="O4998" s="12" t="n">
        <v>1</v>
      </c>
      <c r="P4998" s="12" t="n">
        <v>480</v>
      </c>
      <c r="Q4998" s="12" t="n">
        <v>15</v>
      </c>
      <c r="R4998" s="12" t="n">
        <v>21.2</v>
      </c>
      <c r="S4998" s="12" t="inlineStr">
        <is>
          <t>Duct bank</t>
        </is>
      </c>
      <c r="T4998" s="16" t="n">
        <v>367</v>
      </c>
      <c r="U4998" s="16" t="n">
        <v>95</v>
      </c>
      <c r="V4998" s="16">
        <f>ROUNDUP((T4998+U4998+2*'Read Me'!$B$13)*(1+'Read Me'!$B$12),-1)</f>
        <v/>
      </c>
      <c r="W4998" s="16">
        <f>V4998*N4998*O4998</f>
        <v/>
      </c>
      <c r="X4998" s="12">
        <f>IF(LEFT(I4998,2)="MV",2*N4998*IF(L4998="1/C",O4998,1),0)</f>
        <v/>
      </c>
      <c r="Y4998" s="12">
        <f>IF(OR(LEFT(K4998,4)="LVAX",LEFT(K4998,6)="MV15AX",LEFT(K4998,4)="CTAX",LEFT(K4998,2)="W|"),2*N4998*O4998,0)</f>
        <v/>
      </c>
      <c r="Z4998" s="12" t="inlineStr">
        <is>
          <t>VD 3.0 %</t>
        </is>
      </c>
      <c r="AA4998" s="12">
        <f>N4998*O4998</f>
        <v/>
      </c>
    </row>
    <row r="4999">
      <c r="A4999" s="12" t="inlineStr">
        <is>
          <t>I-P-0097</t>
        </is>
      </c>
      <c r="B4999" s="12" t="inlineStr">
        <is>
          <t>I</t>
        </is>
      </c>
      <c r="C4999" s="12" t="inlineStr">
        <is>
          <t>Modular / portable power</t>
        </is>
      </c>
      <c r="D4999" s="12" t="inlineStr">
        <is>
          <t>Motor 1 of 6, 22 kW</t>
        </is>
      </c>
      <c r="E4999" s="12" t="inlineStr"/>
      <c r="F4999" s="12" t="inlineStr">
        <is>
          <t>PCM: power control module</t>
        </is>
      </c>
      <c r="G4999" s="12" t="inlineStr">
        <is>
          <t>RICE-1</t>
        </is>
      </c>
      <c r="H4999" s="12" t="inlineStr">
        <is>
          <t>RICE engine-generator 1</t>
        </is>
      </c>
      <c r="I4999" s="12" t="inlineStr">
        <is>
          <t>LV 600 V</t>
        </is>
      </c>
      <c r="J4999" s="12" t="inlineStr">
        <is>
          <t>Type TC-ER 600 V 3/C Cu XHHW-2 + ground, PVC jacket</t>
        </is>
      </c>
      <c r="K4999" s="12" t="inlineStr">
        <is>
          <t>LV|3/C+G|4</t>
        </is>
      </c>
      <c r="L4999" s="12" t="inlineStr">
        <is>
          <t>3/C+G</t>
        </is>
      </c>
      <c r="M4999" s="12" t="inlineStr">
        <is>
          <t>4</t>
        </is>
      </c>
      <c r="N4999" s="12" t="n">
        <v>1</v>
      </c>
      <c r="O4999" s="12" t="n">
        <v>1</v>
      </c>
      <c r="P4999" s="12" t="n">
        <v>480</v>
      </c>
      <c r="Q4999" s="12" t="n">
        <v>22</v>
      </c>
      <c r="R4999" s="12" t="n">
        <v>31.1</v>
      </c>
      <c r="S4999" s="12" t="inlineStr">
        <is>
          <t>Duct bank</t>
        </is>
      </c>
      <c r="T4999" s="16" t="n">
        <v>550</v>
      </c>
      <c r="U4999" s="16" t="n">
        <v>137</v>
      </c>
      <c r="V4999" s="16">
        <f>ROUNDUP((T4999+U4999+2*'Read Me'!$B$13)*(1+'Read Me'!$B$12),-1)</f>
        <v/>
      </c>
      <c r="W4999" s="16">
        <f>V4999*N4999*O4999</f>
        <v/>
      </c>
      <c r="X4999" s="12">
        <f>IF(LEFT(I4999,2)="MV",2*N4999*IF(L4999="1/C",O4999,1),0)</f>
        <v/>
      </c>
      <c r="Y4999" s="12">
        <f>IF(OR(LEFT(K4999,4)="LVAX",LEFT(K4999,6)="MV15AX",LEFT(K4999,4)="CTAX",LEFT(K4999,2)="W|"),2*N4999*O4999,0)</f>
        <v/>
      </c>
      <c r="Z4999" s="12" t="inlineStr">
        <is>
          <t>VD 2.6 %</t>
        </is>
      </c>
      <c r="AA4999" s="12">
        <f>N4999*O4999</f>
        <v/>
      </c>
    </row>
    <row r="5000">
      <c r="A5000" s="12" t="inlineStr">
        <is>
          <t>I-P-0098</t>
        </is>
      </c>
      <c r="B5000" s="12" t="inlineStr">
        <is>
          <t>I</t>
        </is>
      </c>
      <c r="C5000" s="12" t="inlineStr">
        <is>
          <t>Modular / portable power</t>
        </is>
      </c>
      <c r="D5000" s="12" t="inlineStr">
        <is>
          <t>Motor 2 of 6, 22 kW</t>
        </is>
      </c>
      <c r="E5000" s="12" t="inlineStr"/>
      <c r="F5000" s="12" t="inlineStr">
        <is>
          <t>PCM: power control module</t>
        </is>
      </c>
      <c r="G5000" s="12" t="inlineStr">
        <is>
          <t>RICE-1</t>
        </is>
      </c>
      <c r="H5000" s="12" t="inlineStr">
        <is>
          <t>RICE engine-generator 1</t>
        </is>
      </c>
      <c r="I5000" s="12" t="inlineStr">
        <is>
          <t>LV 600 V</t>
        </is>
      </c>
      <c r="J5000" s="12" t="inlineStr">
        <is>
          <t>Type TC-ER 600 V 3/C Cu XHHW-2 + ground, PVC jacket</t>
        </is>
      </c>
      <c r="K5000" s="12" t="inlineStr">
        <is>
          <t>LV|3/C+G|4</t>
        </is>
      </c>
      <c r="L5000" s="12" t="inlineStr">
        <is>
          <t>3/C+G</t>
        </is>
      </c>
      <c r="M5000" s="12" t="inlineStr">
        <is>
          <t>4</t>
        </is>
      </c>
      <c r="N5000" s="12" t="n">
        <v>1</v>
      </c>
      <c r="O5000" s="12" t="n">
        <v>1</v>
      </c>
      <c r="P5000" s="12" t="n">
        <v>480</v>
      </c>
      <c r="Q5000" s="12" t="n">
        <v>22</v>
      </c>
      <c r="R5000" s="12" t="n">
        <v>31.1</v>
      </c>
      <c r="S5000" s="12" t="inlineStr">
        <is>
          <t>Duct bank</t>
        </is>
      </c>
      <c r="T5000" s="16" t="n">
        <v>550</v>
      </c>
      <c r="U5000" s="16" t="n">
        <v>137</v>
      </c>
      <c r="V5000" s="16">
        <f>ROUNDUP((T5000+U5000+2*'Read Me'!$B$13)*(1+'Read Me'!$B$12),-1)</f>
        <v/>
      </c>
      <c r="W5000" s="16">
        <f>V5000*N5000*O5000</f>
        <v/>
      </c>
      <c r="X5000" s="12">
        <f>IF(LEFT(I5000,2)="MV",2*N5000*IF(L5000="1/C",O5000,1),0)</f>
        <v/>
      </c>
      <c r="Y5000" s="12">
        <f>IF(OR(LEFT(K5000,4)="LVAX",LEFT(K5000,6)="MV15AX",LEFT(K5000,4)="CTAX",LEFT(K5000,2)="W|"),2*N5000*O5000,0)</f>
        <v/>
      </c>
      <c r="Z5000" s="12" t="inlineStr">
        <is>
          <t>VD 2.6 %</t>
        </is>
      </c>
      <c r="AA5000" s="12">
        <f>N5000*O5000</f>
        <v/>
      </c>
    </row>
    <row r="5001">
      <c r="A5001" s="12" t="inlineStr">
        <is>
          <t>I-P-0099</t>
        </is>
      </c>
      <c r="B5001" s="12" t="inlineStr">
        <is>
          <t>I</t>
        </is>
      </c>
      <c r="C5001" s="12" t="inlineStr">
        <is>
          <t>Modular / portable power</t>
        </is>
      </c>
      <c r="D5001" s="12" t="inlineStr">
        <is>
          <t>Motor 3 of 6, 22 kW</t>
        </is>
      </c>
      <c r="E5001" s="12" t="inlineStr"/>
      <c r="F5001" s="12" t="inlineStr">
        <is>
          <t>PCM: power control module</t>
        </is>
      </c>
      <c r="G5001" s="12" t="inlineStr">
        <is>
          <t>RICE-1</t>
        </is>
      </c>
      <c r="H5001" s="12" t="inlineStr">
        <is>
          <t>RICE engine-generator 1</t>
        </is>
      </c>
      <c r="I5001" s="12" t="inlineStr">
        <is>
          <t>LV 600 V</t>
        </is>
      </c>
      <c r="J5001" s="12" t="inlineStr">
        <is>
          <t>Type TC-ER 600 V 3/C Cu XHHW-2 + ground, PVC jacket</t>
        </is>
      </c>
      <c r="K5001" s="12" t="inlineStr">
        <is>
          <t>LV|3/C+G|4</t>
        </is>
      </c>
      <c r="L5001" s="12" t="inlineStr">
        <is>
          <t>3/C+G</t>
        </is>
      </c>
      <c r="M5001" s="12" t="inlineStr">
        <is>
          <t>4</t>
        </is>
      </c>
      <c r="N5001" s="12" t="n">
        <v>1</v>
      </c>
      <c r="O5001" s="12" t="n">
        <v>1</v>
      </c>
      <c r="P5001" s="12" t="n">
        <v>480</v>
      </c>
      <c r="Q5001" s="12" t="n">
        <v>22</v>
      </c>
      <c r="R5001" s="12" t="n">
        <v>31.1</v>
      </c>
      <c r="S5001" s="12" t="inlineStr">
        <is>
          <t>Duct bank</t>
        </is>
      </c>
      <c r="T5001" s="16" t="n">
        <v>550</v>
      </c>
      <c r="U5001" s="16" t="n">
        <v>137</v>
      </c>
      <c r="V5001" s="16">
        <f>ROUNDUP((T5001+U5001+2*'Read Me'!$B$13)*(1+'Read Me'!$B$12),-1)</f>
        <v/>
      </c>
      <c r="W5001" s="16">
        <f>V5001*N5001*O5001</f>
        <v/>
      </c>
      <c r="X5001" s="12">
        <f>IF(LEFT(I5001,2)="MV",2*N5001*IF(L5001="1/C",O5001,1),0)</f>
        <v/>
      </c>
      <c r="Y5001" s="12">
        <f>IF(OR(LEFT(K5001,4)="LVAX",LEFT(K5001,6)="MV15AX",LEFT(K5001,4)="CTAX",LEFT(K5001,2)="W|"),2*N5001*O5001,0)</f>
        <v/>
      </c>
      <c r="Z5001" s="12" t="inlineStr">
        <is>
          <t>VD 2.6 %</t>
        </is>
      </c>
      <c r="AA5001" s="12">
        <f>N5001*O5001</f>
        <v/>
      </c>
    </row>
    <row r="5002">
      <c r="A5002" s="12" t="inlineStr">
        <is>
          <t>I-P-0100</t>
        </is>
      </c>
      <c r="B5002" s="12" t="inlineStr">
        <is>
          <t>I</t>
        </is>
      </c>
      <c r="C5002" s="12" t="inlineStr">
        <is>
          <t>Modular / portable power</t>
        </is>
      </c>
      <c r="D5002" s="12" t="inlineStr">
        <is>
          <t>Motor 4 of 6, 22 kW</t>
        </is>
      </c>
      <c r="E5002" s="12" t="inlineStr"/>
      <c r="F5002" s="12" t="inlineStr">
        <is>
          <t>PCM: power control module</t>
        </is>
      </c>
      <c r="G5002" s="12" t="inlineStr">
        <is>
          <t>RICE-1</t>
        </is>
      </c>
      <c r="H5002" s="12" t="inlineStr">
        <is>
          <t>RICE engine-generator 1</t>
        </is>
      </c>
      <c r="I5002" s="12" t="inlineStr">
        <is>
          <t>LV 600 V</t>
        </is>
      </c>
      <c r="J5002" s="12" t="inlineStr">
        <is>
          <t>Type TC-ER 600 V 3/C Cu XHHW-2 + ground, PVC jacket</t>
        </is>
      </c>
      <c r="K5002" s="12" t="inlineStr">
        <is>
          <t>LV|3/C+G|4</t>
        </is>
      </c>
      <c r="L5002" s="12" t="inlineStr">
        <is>
          <t>3/C+G</t>
        </is>
      </c>
      <c r="M5002" s="12" t="inlineStr">
        <is>
          <t>4</t>
        </is>
      </c>
      <c r="N5002" s="12" t="n">
        <v>1</v>
      </c>
      <c r="O5002" s="12" t="n">
        <v>1</v>
      </c>
      <c r="P5002" s="12" t="n">
        <v>480</v>
      </c>
      <c r="Q5002" s="12" t="n">
        <v>22</v>
      </c>
      <c r="R5002" s="12" t="n">
        <v>31.1</v>
      </c>
      <c r="S5002" s="12" t="inlineStr">
        <is>
          <t>Duct bank</t>
        </is>
      </c>
      <c r="T5002" s="16" t="n">
        <v>550</v>
      </c>
      <c r="U5002" s="16" t="n">
        <v>137</v>
      </c>
      <c r="V5002" s="16">
        <f>ROUNDUP((T5002+U5002+2*'Read Me'!$B$13)*(1+'Read Me'!$B$12),-1)</f>
        <v/>
      </c>
      <c r="W5002" s="16">
        <f>V5002*N5002*O5002</f>
        <v/>
      </c>
      <c r="X5002" s="12">
        <f>IF(LEFT(I5002,2)="MV",2*N5002*IF(L5002="1/C",O5002,1),0)</f>
        <v/>
      </c>
      <c r="Y5002" s="12">
        <f>IF(OR(LEFT(K5002,4)="LVAX",LEFT(K5002,6)="MV15AX",LEFT(K5002,4)="CTAX",LEFT(K5002,2)="W|"),2*N5002*O5002,0)</f>
        <v/>
      </c>
      <c r="Z5002" s="12" t="inlineStr">
        <is>
          <t>VD 2.6 %</t>
        </is>
      </c>
      <c r="AA5002" s="12">
        <f>N5002*O5002</f>
        <v/>
      </c>
    </row>
    <row r="5003">
      <c r="A5003" s="12" t="inlineStr">
        <is>
          <t>I-P-0101</t>
        </is>
      </c>
      <c r="B5003" s="12" t="inlineStr">
        <is>
          <t>I</t>
        </is>
      </c>
      <c r="C5003" s="12" t="inlineStr">
        <is>
          <t>Modular / portable power</t>
        </is>
      </c>
      <c r="D5003" s="12" t="inlineStr">
        <is>
          <t>Motor 5 of 6, 22 kW</t>
        </is>
      </c>
      <c r="E5003" s="12" t="inlineStr"/>
      <c r="F5003" s="12" t="inlineStr">
        <is>
          <t>PCM: power control module</t>
        </is>
      </c>
      <c r="G5003" s="12" t="inlineStr">
        <is>
          <t>RICE-1</t>
        </is>
      </c>
      <c r="H5003" s="12" t="inlineStr">
        <is>
          <t>RICE engine-generator 1</t>
        </is>
      </c>
      <c r="I5003" s="12" t="inlineStr">
        <is>
          <t>LV 600 V</t>
        </is>
      </c>
      <c r="J5003" s="12" t="inlineStr">
        <is>
          <t>Type TC-ER 600 V 3/C Cu XHHW-2 + ground, PVC jacket</t>
        </is>
      </c>
      <c r="K5003" s="12" t="inlineStr">
        <is>
          <t>LV|3/C+G|4</t>
        </is>
      </c>
      <c r="L5003" s="12" t="inlineStr">
        <is>
          <t>3/C+G</t>
        </is>
      </c>
      <c r="M5003" s="12" t="inlineStr">
        <is>
          <t>4</t>
        </is>
      </c>
      <c r="N5003" s="12" t="n">
        <v>1</v>
      </c>
      <c r="O5003" s="12" t="n">
        <v>1</v>
      </c>
      <c r="P5003" s="12" t="n">
        <v>480</v>
      </c>
      <c r="Q5003" s="12" t="n">
        <v>22</v>
      </c>
      <c r="R5003" s="12" t="n">
        <v>31.1</v>
      </c>
      <c r="S5003" s="12" t="inlineStr">
        <is>
          <t>Duct bank</t>
        </is>
      </c>
      <c r="T5003" s="16" t="n">
        <v>550</v>
      </c>
      <c r="U5003" s="16" t="n">
        <v>137</v>
      </c>
      <c r="V5003" s="16">
        <f>ROUNDUP((T5003+U5003+2*'Read Me'!$B$13)*(1+'Read Me'!$B$12),-1)</f>
        <v/>
      </c>
      <c r="W5003" s="16">
        <f>V5003*N5003*O5003</f>
        <v/>
      </c>
      <c r="X5003" s="12">
        <f>IF(LEFT(I5003,2)="MV",2*N5003*IF(L5003="1/C",O5003,1),0)</f>
        <v/>
      </c>
      <c r="Y5003" s="12">
        <f>IF(OR(LEFT(K5003,4)="LVAX",LEFT(K5003,6)="MV15AX",LEFT(K5003,4)="CTAX",LEFT(K5003,2)="W|"),2*N5003*O5003,0)</f>
        <v/>
      </c>
      <c r="Z5003" s="12" t="inlineStr">
        <is>
          <t>VD 2.6 %</t>
        </is>
      </c>
      <c r="AA5003" s="12">
        <f>N5003*O5003</f>
        <v/>
      </c>
    </row>
    <row r="5004">
      <c r="A5004" s="12" t="inlineStr">
        <is>
          <t>I-P-0102</t>
        </is>
      </c>
      <c r="B5004" s="12" t="inlineStr">
        <is>
          <t>I</t>
        </is>
      </c>
      <c r="C5004" s="12" t="inlineStr">
        <is>
          <t>Modular / portable power</t>
        </is>
      </c>
      <c r="D5004" s="12" t="inlineStr">
        <is>
          <t>Motor 6 of 6, 22 kW</t>
        </is>
      </c>
      <c r="E5004" s="12" t="inlineStr"/>
      <c r="F5004" s="12" t="inlineStr">
        <is>
          <t>PCM: power control module</t>
        </is>
      </c>
      <c r="G5004" s="12" t="inlineStr">
        <is>
          <t>RICE-1</t>
        </is>
      </c>
      <c r="H5004" s="12" t="inlineStr">
        <is>
          <t>RICE engine-generator 1</t>
        </is>
      </c>
      <c r="I5004" s="12" t="inlineStr">
        <is>
          <t>LV 600 V</t>
        </is>
      </c>
      <c r="J5004" s="12" t="inlineStr">
        <is>
          <t>Type TC-ER 600 V 3/C Cu XHHW-2 + ground, PVC jacket</t>
        </is>
      </c>
      <c r="K5004" s="12" t="inlineStr">
        <is>
          <t>LV|3/C+G|4</t>
        </is>
      </c>
      <c r="L5004" s="12" t="inlineStr">
        <is>
          <t>3/C+G</t>
        </is>
      </c>
      <c r="M5004" s="12" t="inlineStr">
        <is>
          <t>4</t>
        </is>
      </c>
      <c r="N5004" s="12" t="n">
        <v>1</v>
      </c>
      <c r="O5004" s="12" t="n">
        <v>1</v>
      </c>
      <c r="P5004" s="12" t="n">
        <v>480</v>
      </c>
      <c r="Q5004" s="12" t="n">
        <v>22</v>
      </c>
      <c r="R5004" s="12" t="n">
        <v>31.1</v>
      </c>
      <c r="S5004" s="12" t="inlineStr">
        <is>
          <t>Duct bank</t>
        </is>
      </c>
      <c r="T5004" s="16" t="n">
        <v>550</v>
      </c>
      <c r="U5004" s="16" t="n">
        <v>137</v>
      </c>
      <c r="V5004" s="16">
        <f>ROUNDUP((T5004+U5004+2*'Read Me'!$B$13)*(1+'Read Me'!$B$12),-1)</f>
        <v/>
      </c>
      <c r="W5004" s="16">
        <f>V5004*N5004*O5004</f>
        <v/>
      </c>
      <c r="X5004" s="12">
        <f>IF(LEFT(I5004,2)="MV",2*N5004*IF(L5004="1/C",O5004,1),0)</f>
        <v/>
      </c>
      <c r="Y5004" s="12">
        <f>IF(OR(LEFT(K5004,4)="LVAX",LEFT(K5004,6)="MV15AX",LEFT(K5004,4)="CTAX",LEFT(K5004,2)="W|"),2*N5004*O5004,0)</f>
        <v/>
      </c>
      <c r="Z5004" s="12" t="inlineStr">
        <is>
          <t>VD 2.6 %</t>
        </is>
      </c>
      <c r="AA5004" s="12">
        <f>N5004*O5004</f>
        <v/>
      </c>
    </row>
    <row r="5005">
      <c r="A5005" s="12" t="inlineStr">
        <is>
          <t>I-P-0103</t>
        </is>
      </c>
      <c r="B5005" s="12" t="inlineStr">
        <is>
          <t>I</t>
        </is>
      </c>
      <c r="C5005" s="12" t="inlineStr">
        <is>
          <t>Modular / portable power</t>
        </is>
      </c>
      <c r="D5005" s="12" t="inlineStr">
        <is>
          <t>480 V welding receptacle 1</t>
        </is>
      </c>
      <c r="E5005" s="12" t="inlineStr"/>
      <c r="F5005" s="12" t="inlineStr">
        <is>
          <t>PCM: power control module</t>
        </is>
      </c>
      <c r="G5005" s="12" t="inlineStr">
        <is>
          <t>RICE-1</t>
        </is>
      </c>
      <c r="H5005" s="12" t="inlineStr">
        <is>
          <t>RICE engine-generator 1</t>
        </is>
      </c>
      <c r="I5005" s="12" t="inlineStr">
        <is>
          <t>LV 600 V</t>
        </is>
      </c>
      <c r="J5005" s="12" t="inlineStr">
        <is>
          <t>Type TC-ER 600 V 3/C Cu XHHW-2 + ground, PVC jacket</t>
        </is>
      </c>
      <c r="K5005" s="12" t="inlineStr">
        <is>
          <t>LV|3/C+G|1/0</t>
        </is>
      </c>
      <c r="L5005" s="12" t="inlineStr">
        <is>
          <t>3/C+G</t>
        </is>
      </c>
      <c r="M5005" s="12" t="inlineStr">
        <is>
          <t>1/0</t>
        </is>
      </c>
      <c r="N5005" s="12" t="n">
        <v>1</v>
      </c>
      <c r="O5005" s="12" t="n">
        <v>1</v>
      </c>
      <c r="P5005" s="12" t="n">
        <v>480</v>
      </c>
      <c r="Q5005" s="12" t="n">
        <v>60</v>
      </c>
      <c r="R5005" s="12" t="n">
        <v>76</v>
      </c>
      <c r="S5005" s="12" t="inlineStr">
        <is>
          <t>Duct bank</t>
        </is>
      </c>
      <c r="T5005" s="16" t="n">
        <v>550</v>
      </c>
      <c r="U5005" s="16" t="n">
        <v>137</v>
      </c>
      <c r="V5005" s="16">
        <f>ROUNDUP((T5005+U5005+2*'Read Me'!$B$13)*(1+'Read Me'!$B$12),-1)</f>
        <v/>
      </c>
      <c r="W5005" s="16">
        <f>V5005*N5005*O5005</f>
        <v/>
      </c>
      <c r="X5005" s="12">
        <f>IF(LEFT(I5005,2)="MV",2*N5005*IF(L5005="1/C",O5005,1),0)</f>
        <v/>
      </c>
      <c r="Y5005" s="12">
        <f>IF(OR(LEFT(K5005,4)="LVAX",LEFT(K5005,6)="MV15AX",LEFT(K5005,4)="CTAX",LEFT(K5005,2)="W|"),2*N5005*O5005,0)</f>
        <v/>
      </c>
      <c r="Z5005" s="12" t="inlineStr">
        <is>
          <t>VD 2.5 %</t>
        </is>
      </c>
      <c r="AA5005" s="12">
        <f>N5005*O5005</f>
        <v/>
      </c>
    </row>
    <row r="5006">
      <c r="A5006" s="12" t="inlineStr">
        <is>
          <t>I-P-0104</t>
        </is>
      </c>
      <c r="B5006" s="12" t="inlineStr">
        <is>
          <t>I</t>
        </is>
      </c>
      <c r="C5006" s="12" t="inlineStr">
        <is>
          <t>Modular / portable power</t>
        </is>
      </c>
      <c r="D5006" s="12" t="inlineStr">
        <is>
          <t>480 V welding receptacle 2</t>
        </is>
      </c>
      <c r="E5006" s="12" t="inlineStr"/>
      <c r="F5006" s="12" t="inlineStr">
        <is>
          <t>PCM: power control module</t>
        </is>
      </c>
      <c r="G5006" s="12" t="inlineStr">
        <is>
          <t>RICE-1</t>
        </is>
      </c>
      <c r="H5006" s="12" t="inlineStr">
        <is>
          <t>RICE engine-generator 1</t>
        </is>
      </c>
      <c r="I5006" s="12" t="inlineStr">
        <is>
          <t>LV 600 V</t>
        </is>
      </c>
      <c r="J5006" s="12" t="inlineStr">
        <is>
          <t>Type TC-ER 600 V 3/C Cu XHHW-2 + ground, PVC jacket</t>
        </is>
      </c>
      <c r="K5006" s="12" t="inlineStr">
        <is>
          <t>LV|3/C+G|1/0</t>
        </is>
      </c>
      <c r="L5006" s="12" t="inlineStr">
        <is>
          <t>3/C+G</t>
        </is>
      </c>
      <c r="M5006" s="12" t="inlineStr">
        <is>
          <t>1/0</t>
        </is>
      </c>
      <c r="N5006" s="12" t="n">
        <v>1</v>
      </c>
      <c r="O5006" s="12" t="n">
        <v>1</v>
      </c>
      <c r="P5006" s="12" t="n">
        <v>480</v>
      </c>
      <c r="Q5006" s="12" t="n">
        <v>60</v>
      </c>
      <c r="R5006" s="12" t="n">
        <v>76</v>
      </c>
      <c r="S5006" s="12" t="inlineStr">
        <is>
          <t>Duct bank</t>
        </is>
      </c>
      <c r="T5006" s="16" t="n">
        <v>550</v>
      </c>
      <c r="U5006" s="16" t="n">
        <v>137</v>
      </c>
      <c r="V5006" s="16">
        <f>ROUNDUP((T5006+U5006+2*'Read Me'!$B$13)*(1+'Read Me'!$B$12),-1)</f>
        <v/>
      </c>
      <c r="W5006" s="16">
        <f>V5006*N5006*O5006</f>
        <v/>
      </c>
      <c r="X5006" s="12">
        <f>IF(LEFT(I5006,2)="MV",2*N5006*IF(L5006="1/C",O5006,1),0)</f>
        <v/>
      </c>
      <c r="Y5006" s="12">
        <f>IF(OR(LEFT(K5006,4)="LVAX",LEFT(K5006,6)="MV15AX",LEFT(K5006,4)="CTAX",LEFT(K5006,2)="W|"),2*N5006*O5006,0)</f>
        <v/>
      </c>
      <c r="Z5006" s="12" t="inlineStr">
        <is>
          <t>VD 2.5 %</t>
        </is>
      </c>
      <c r="AA5006" s="12">
        <f>N5006*O5006</f>
        <v/>
      </c>
    </row>
    <row r="5007">
      <c r="A5007" s="12" t="inlineStr">
        <is>
          <t>I-P-0105</t>
        </is>
      </c>
      <c r="B5007" s="12" t="inlineStr">
        <is>
          <t>I</t>
        </is>
      </c>
      <c r="C5007" s="12" t="inlineStr">
        <is>
          <t>Modular / portable power</t>
        </is>
      </c>
      <c r="D5007" s="12" t="inlineStr">
        <is>
          <t>480 V welding receptacle 3</t>
        </is>
      </c>
      <c r="E5007" s="12" t="inlineStr"/>
      <c r="F5007" s="12" t="inlineStr">
        <is>
          <t>PCM: power control module</t>
        </is>
      </c>
      <c r="G5007" s="12" t="inlineStr">
        <is>
          <t>RICE-1</t>
        </is>
      </c>
      <c r="H5007" s="12" t="inlineStr">
        <is>
          <t>RICE engine-generator 1</t>
        </is>
      </c>
      <c r="I5007" s="12" t="inlineStr">
        <is>
          <t>LV 600 V</t>
        </is>
      </c>
      <c r="J5007" s="12" t="inlineStr">
        <is>
          <t>Type TC-ER 600 V 3/C Cu XHHW-2 + ground, PVC jacket</t>
        </is>
      </c>
      <c r="K5007" s="12" t="inlineStr">
        <is>
          <t>LV|3/C+G|1/0</t>
        </is>
      </c>
      <c r="L5007" s="12" t="inlineStr">
        <is>
          <t>3/C+G</t>
        </is>
      </c>
      <c r="M5007" s="12" t="inlineStr">
        <is>
          <t>1/0</t>
        </is>
      </c>
      <c r="N5007" s="12" t="n">
        <v>1</v>
      </c>
      <c r="O5007" s="12" t="n">
        <v>1</v>
      </c>
      <c r="P5007" s="12" t="n">
        <v>480</v>
      </c>
      <c r="Q5007" s="12" t="n">
        <v>60</v>
      </c>
      <c r="R5007" s="12" t="n">
        <v>76</v>
      </c>
      <c r="S5007" s="12" t="inlineStr">
        <is>
          <t>Duct bank</t>
        </is>
      </c>
      <c r="T5007" s="16" t="n">
        <v>550</v>
      </c>
      <c r="U5007" s="16" t="n">
        <v>137</v>
      </c>
      <c r="V5007" s="16">
        <f>ROUNDUP((T5007+U5007+2*'Read Me'!$B$13)*(1+'Read Me'!$B$12),-1)</f>
        <v/>
      </c>
      <c r="W5007" s="16">
        <f>V5007*N5007*O5007</f>
        <v/>
      </c>
      <c r="X5007" s="12">
        <f>IF(LEFT(I5007,2)="MV",2*N5007*IF(L5007="1/C",O5007,1),0)</f>
        <v/>
      </c>
      <c r="Y5007" s="12">
        <f>IF(OR(LEFT(K5007,4)="LVAX",LEFT(K5007,6)="MV15AX",LEFT(K5007,4)="CTAX",LEFT(K5007,2)="W|"),2*N5007*O5007,0)</f>
        <v/>
      </c>
      <c r="Z5007" s="12" t="inlineStr">
        <is>
          <t>VD 2.5 %</t>
        </is>
      </c>
      <c r="AA5007" s="12">
        <f>N5007*O5007</f>
        <v/>
      </c>
    </row>
    <row r="5008">
      <c r="A5008" s="12" t="inlineStr">
        <is>
          <t>I-P-0106</t>
        </is>
      </c>
      <c r="B5008" s="12" t="inlineStr">
        <is>
          <t>I</t>
        </is>
      </c>
      <c r="C5008" s="12" t="inlineStr">
        <is>
          <t>Modular / portable power</t>
        </is>
      </c>
      <c r="D5008" s="12" t="inlineStr">
        <is>
          <t>480 V welding receptacle 4</t>
        </is>
      </c>
      <c r="E5008" s="12" t="inlineStr"/>
      <c r="F5008" s="12" t="inlineStr">
        <is>
          <t>PCM: power control module</t>
        </is>
      </c>
      <c r="G5008" s="12" t="inlineStr">
        <is>
          <t>RICE-1</t>
        </is>
      </c>
      <c r="H5008" s="12" t="inlineStr">
        <is>
          <t>RICE engine-generator 1</t>
        </is>
      </c>
      <c r="I5008" s="12" t="inlineStr">
        <is>
          <t>LV 600 V</t>
        </is>
      </c>
      <c r="J5008" s="12" t="inlineStr">
        <is>
          <t>Type TC-ER 600 V 3/C Cu XHHW-2 + ground, PVC jacket</t>
        </is>
      </c>
      <c r="K5008" s="12" t="inlineStr">
        <is>
          <t>LV|3/C+G|1/0</t>
        </is>
      </c>
      <c r="L5008" s="12" t="inlineStr">
        <is>
          <t>3/C+G</t>
        </is>
      </c>
      <c r="M5008" s="12" t="inlineStr">
        <is>
          <t>1/0</t>
        </is>
      </c>
      <c r="N5008" s="12" t="n">
        <v>1</v>
      </c>
      <c r="O5008" s="12" t="n">
        <v>1</v>
      </c>
      <c r="P5008" s="12" t="n">
        <v>480</v>
      </c>
      <c r="Q5008" s="12" t="n">
        <v>60</v>
      </c>
      <c r="R5008" s="12" t="n">
        <v>76</v>
      </c>
      <c r="S5008" s="12" t="inlineStr">
        <is>
          <t>Duct bank</t>
        </is>
      </c>
      <c r="T5008" s="16" t="n">
        <v>550</v>
      </c>
      <c r="U5008" s="16" t="n">
        <v>137</v>
      </c>
      <c r="V5008" s="16">
        <f>ROUNDUP((T5008+U5008+2*'Read Me'!$B$13)*(1+'Read Me'!$B$12),-1)</f>
        <v/>
      </c>
      <c r="W5008" s="16">
        <f>V5008*N5008*O5008</f>
        <v/>
      </c>
      <c r="X5008" s="12">
        <f>IF(LEFT(I5008,2)="MV",2*N5008*IF(L5008="1/C",O5008,1),0)</f>
        <v/>
      </c>
      <c r="Y5008" s="12">
        <f>IF(OR(LEFT(K5008,4)="LVAX",LEFT(K5008,6)="MV15AX",LEFT(K5008,4)="CTAX",LEFT(K5008,2)="W|"),2*N5008*O5008,0)</f>
        <v/>
      </c>
      <c r="Z5008" s="12" t="inlineStr">
        <is>
          <t>VD 2.5 %</t>
        </is>
      </c>
      <c r="AA5008" s="12">
        <f>N5008*O5008</f>
        <v/>
      </c>
    </row>
    <row r="5009">
      <c r="A5009" s="12" t="inlineStr">
        <is>
          <t>I-P-0107</t>
        </is>
      </c>
      <c r="B5009" s="12" t="inlineStr">
        <is>
          <t>I</t>
        </is>
      </c>
      <c r="C5009" s="12" t="inlineStr">
        <is>
          <t>Modular / portable power</t>
        </is>
      </c>
      <c r="D5009" s="12" t="inlineStr">
        <is>
          <t>Motor 1 of 6, 22 kW</t>
        </is>
      </c>
      <c r="E5009" s="12" t="inlineStr"/>
      <c r="F5009" s="12" t="inlineStr">
        <is>
          <t>PCM: power control module</t>
        </is>
      </c>
      <c r="G5009" s="12" t="inlineStr">
        <is>
          <t>RICE-2</t>
        </is>
      </c>
      <c r="H5009" s="12" t="inlineStr">
        <is>
          <t>RICE engine-generator 2</t>
        </is>
      </c>
      <c r="I5009" s="12" t="inlineStr">
        <is>
          <t>LV 600 V</t>
        </is>
      </c>
      <c r="J5009" s="12" t="inlineStr">
        <is>
          <t>Type TC-ER 600 V 3/C Cu XHHW-2 + ground, PVC jacket</t>
        </is>
      </c>
      <c r="K5009" s="12" t="inlineStr">
        <is>
          <t>LV|3/C+G|4</t>
        </is>
      </c>
      <c r="L5009" s="12" t="inlineStr">
        <is>
          <t>3/C+G</t>
        </is>
      </c>
      <c r="M5009" s="12" t="inlineStr">
        <is>
          <t>4</t>
        </is>
      </c>
      <c r="N5009" s="12" t="n">
        <v>1</v>
      </c>
      <c r="O5009" s="12" t="n">
        <v>1</v>
      </c>
      <c r="P5009" s="12" t="n">
        <v>480</v>
      </c>
      <c r="Q5009" s="12" t="n">
        <v>22</v>
      </c>
      <c r="R5009" s="12" t="n">
        <v>31.1</v>
      </c>
      <c r="S5009" s="12" t="inlineStr">
        <is>
          <t>Duct bank</t>
        </is>
      </c>
      <c r="T5009" s="16" t="n">
        <v>550</v>
      </c>
      <c r="U5009" s="16" t="n">
        <v>109</v>
      </c>
      <c r="V5009" s="16">
        <f>ROUNDUP((T5009+U5009+2*'Read Me'!$B$13)*(1+'Read Me'!$B$12),-1)</f>
        <v/>
      </c>
      <c r="W5009" s="16">
        <f>V5009*N5009*O5009</f>
        <v/>
      </c>
      <c r="X5009" s="12">
        <f>IF(LEFT(I5009,2)="MV",2*N5009*IF(L5009="1/C",O5009,1),0)</f>
        <v/>
      </c>
      <c r="Y5009" s="12">
        <f>IF(OR(LEFT(K5009,4)="LVAX",LEFT(K5009,6)="MV15AX",LEFT(K5009,4)="CTAX",LEFT(K5009,2)="W|"),2*N5009*O5009,0)</f>
        <v/>
      </c>
      <c r="Z5009" s="12" t="inlineStr">
        <is>
          <t>VD 2.5 %</t>
        </is>
      </c>
      <c r="AA5009" s="12">
        <f>N5009*O5009</f>
        <v/>
      </c>
    </row>
    <row r="5010">
      <c r="A5010" s="12" t="inlineStr">
        <is>
          <t>I-P-0108</t>
        </is>
      </c>
      <c r="B5010" s="12" t="inlineStr">
        <is>
          <t>I</t>
        </is>
      </c>
      <c r="C5010" s="12" t="inlineStr">
        <is>
          <t>Modular / portable power</t>
        </is>
      </c>
      <c r="D5010" s="12" t="inlineStr">
        <is>
          <t>Motor 2 of 6, 22 kW</t>
        </is>
      </c>
      <c r="E5010" s="12" t="inlineStr"/>
      <c r="F5010" s="12" t="inlineStr">
        <is>
          <t>PCM: power control module</t>
        </is>
      </c>
      <c r="G5010" s="12" t="inlineStr">
        <is>
          <t>RICE-2</t>
        </is>
      </c>
      <c r="H5010" s="12" t="inlineStr">
        <is>
          <t>RICE engine-generator 2</t>
        </is>
      </c>
      <c r="I5010" s="12" t="inlineStr">
        <is>
          <t>LV 600 V</t>
        </is>
      </c>
      <c r="J5010" s="12" t="inlineStr">
        <is>
          <t>Type TC-ER 600 V 3/C Cu XHHW-2 + ground, PVC jacket</t>
        </is>
      </c>
      <c r="K5010" s="12" t="inlineStr">
        <is>
          <t>LV|3/C+G|4</t>
        </is>
      </c>
      <c r="L5010" s="12" t="inlineStr">
        <is>
          <t>3/C+G</t>
        </is>
      </c>
      <c r="M5010" s="12" t="inlineStr">
        <is>
          <t>4</t>
        </is>
      </c>
      <c r="N5010" s="12" t="n">
        <v>1</v>
      </c>
      <c r="O5010" s="12" t="n">
        <v>1</v>
      </c>
      <c r="P5010" s="12" t="n">
        <v>480</v>
      </c>
      <c r="Q5010" s="12" t="n">
        <v>22</v>
      </c>
      <c r="R5010" s="12" t="n">
        <v>31.1</v>
      </c>
      <c r="S5010" s="12" t="inlineStr">
        <is>
          <t>Duct bank</t>
        </is>
      </c>
      <c r="T5010" s="16" t="n">
        <v>550</v>
      </c>
      <c r="U5010" s="16" t="n">
        <v>109</v>
      </c>
      <c r="V5010" s="16">
        <f>ROUNDUP((T5010+U5010+2*'Read Me'!$B$13)*(1+'Read Me'!$B$12),-1)</f>
        <v/>
      </c>
      <c r="W5010" s="16">
        <f>V5010*N5010*O5010</f>
        <v/>
      </c>
      <c r="X5010" s="12">
        <f>IF(LEFT(I5010,2)="MV",2*N5010*IF(L5010="1/C",O5010,1),0)</f>
        <v/>
      </c>
      <c r="Y5010" s="12">
        <f>IF(OR(LEFT(K5010,4)="LVAX",LEFT(K5010,6)="MV15AX",LEFT(K5010,4)="CTAX",LEFT(K5010,2)="W|"),2*N5010*O5010,0)</f>
        <v/>
      </c>
      <c r="Z5010" s="12" t="inlineStr">
        <is>
          <t>VD 2.5 %</t>
        </is>
      </c>
      <c r="AA5010" s="12">
        <f>N5010*O5010</f>
        <v/>
      </c>
    </row>
    <row r="5011">
      <c r="A5011" s="12" t="inlineStr">
        <is>
          <t>I-P-0109</t>
        </is>
      </c>
      <c r="B5011" s="12" t="inlineStr">
        <is>
          <t>I</t>
        </is>
      </c>
      <c r="C5011" s="12" t="inlineStr">
        <is>
          <t>Modular / portable power</t>
        </is>
      </c>
      <c r="D5011" s="12" t="inlineStr">
        <is>
          <t>Motor 3 of 6, 22 kW</t>
        </is>
      </c>
      <c r="E5011" s="12" t="inlineStr"/>
      <c r="F5011" s="12" t="inlineStr">
        <is>
          <t>PCM: power control module</t>
        </is>
      </c>
      <c r="G5011" s="12" t="inlineStr">
        <is>
          <t>RICE-2</t>
        </is>
      </c>
      <c r="H5011" s="12" t="inlineStr">
        <is>
          <t>RICE engine-generator 2</t>
        </is>
      </c>
      <c r="I5011" s="12" t="inlineStr">
        <is>
          <t>LV 600 V</t>
        </is>
      </c>
      <c r="J5011" s="12" t="inlineStr">
        <is>
          <t>Type TC-ER 600 V 3/C Cu XHHW-2 + ground, PVC jacket</t>
        </is>
      </c>
      <c r="K5011" s="12" t="inlineStr">
        <is>
          <t>LV|3/C+G|4</t>
        </is>
      </c>
      <c r="L5011" s="12" t="inlineStr">
        <is>
          <t>3/C+G</t>
        </is>
      </c>
      <c r="M5011" s="12" t="inlineStr">
        <is>
          <t>4</t>
        </is>
      </c>
      <c r="N5011" s="12" t="n">
        <v>1</v>
      </c>
      <c r="O5011" s="12" t="n">
        <v>1</v>
      </c>
      <c r="P5011" s="12" t="n">
        <v>480</v>
      </c>
      <c r="Q5011" s="12" t="n">
        <v>22</v>
      </c>
      <c r="R5011" s="12" t="n">
        <v>31.1</v>
      </c>
      <c r="S5011" s="12" t="inlineStr">
        <is>
          <t>Duct bank</t>
        </is>
      </c>
      <c r="T5011" s="16" t="n">
        <v>550</v>
      </c>
      <c r="U5011" s="16" t="n">
        <v>109</v>
      </c>
      <c r="V5011" s="16">
        <f>ROUNDUP((T5011+U5011+2*'Read Me'!$B$13)*(1+'Read Me'!$B$12),-1)</f>
        <v/>
      </c>
      <c r="W5011" s="16">
        <f>V5011*N5011*O5011</f>
        <v/>
      </c>
      <c r="X5011" s="12">
        <f>IF(LEFT(I5011,2)="MV",2*N5011*IF(L5011="1/C",O5011,1),0)</f>
        <v/>
      </c>
      <c r="Y5011" s="12">
        <f>IF(OR(LEFT(K5011,4)="LVAX",LEFT(K5011,6)="MV15AX",LEFT(K5011,4)="CTAX",LEFT(K5011,2)="W|"),2*N5011*O5011,0)</f>
        <v/>
      </c>
      <c r="Z5011" s="12" t="inlineStr">
        <is>
          <t>VD 2.5 %</t>
        </is>
      </c>
      <c r="AA5011" s="12">
        <f>N5011*O5011</f>
        <v/>
      </c>
    </row>
    <row r="5012">
      <c r="A5012" s="12" t="inlineStr">
        <is>
          <t>I-P-0110</t>
        </is>
      </c>
      <c r="B5012" s="12" t="inlineStr">
        <is>
          <t>I</t>
        </is>
      </c>
      <c r="C5012" s="12" t="inlineStr">
        <is>
          <t>Modular / portable power</t>
        </is>
      </c>
      <c r="D5012" s="12" t="inlineStr">
        <is>
          <t>Motor 4 of 6, 22 kW</t>
        </is>
      </c>
      <c r="E5012" s="12" t="inlineStr"/>
      <c r="F5012" s="12" t="inlineStr">
        <is>
          <t>PCM: power control module</t>
        </is>
      </c>
      <c r="G5012" s="12" t="inlineStr">
        <is>
          <t>RICE-2</t>
        </is>
      </c>
      <c r="H5012" s="12" t="inlineStr">
        <is>
          <t>RICE engine-generator 2</t>
        </is>
      </c>
      <c r="I5012" s="12" t="inlineStr">
        <is>
          <t>LV 600 V</t>
        </is>
      </c>
      <c r="J5012" s="12" t="inlineStr">
        <is>
          <t>Type TC-ER 600 V 3/C Cu XHHW-2 + ground, PVC jacket</t>
        </is>
      </c>
      <c r="K5012" s="12" t="inlineStr">
        <is>
          <t>LV|3/C+G|4</t>
        </is>
      </c>
      <c r="L5012" s="12" t="inlineStr">
        <is>
          <t>3/C+G</t>
        </is>
      </c>
      <c r="M5012" s="12" t="inlineStr">
        <is>
          <t>4</t>
        </is>
      </c>
      <c r="N5012" s="12" t="n">
        <v>1</v>
      </c>
      <c r="O5012" s="12" t="n">
        <v>1</v>
      </c>
      <c r="P5012" s="12" t="n">
        <v>480</v>
      </c>
      <c r="Q5012" s="12" t="n">
        <v>22</v>
      </c>
      <c r="R5012" s="12" t="n">
        <v>31.1</v>
      </c>
      <c r="S5012" s="12" t="inlineStr">
        <is>
          <t>Duct bank</t>
        </is>
      </c>
      <c r="T5012" s="16" t="n">
        <v>550</v>
      </c>
      <c r="U5012" s="16" t="n">
        <v>109</v>
      </c>
      <c r="V5012" s="16">
        <f>ROUNDUP((T5012+U5012+2*'Read Me'!$B$13)*(1+'Read Me'!$B$12),-1)</f>
        <v/>
      </c>
      <c r="W5012" s="16">
        <f>V5012*N5012*O5012</f>
        <v/>
      </c>
      <c r="X5012" s="12">
        <f>IF(LEFT(I5012,2)="MV",2*N5012*IF(L5012="1/C",O5012,1),0)</f>
        <v/>
      </c>
      <c r="Y5012" s="12">
        <f>IF(OR(LEFT(K5012,4)="LVAX",LEFT(K5012,6)="MV15AX",LEFT(K5012,4)="CTAX",LEFT(K5012,2)="W|"),2*N5012*O5012,0)</f>
        <v/>
      </c>
      <c r="Z5012" s="12" t="inlineStr">
        <is>
          <t>VD 2.5 %</t>
        </is>
      </c>
      <c r="AA5012" s="12">
        <f>N5012*O5012</f>
        <v/>
      </c>
    </row>
    <row r="5013">
      <c r="A5013" s="12" t="inlineStr">
        <is>
          <t>I-P-0111</t>
        </is>
      </c>
      <c r="B5013" s="12" t="inlineStr">
        <is>
          <t>I</t>
        </is>
      </c>
      <c r="C5013" s="12" t="inlineStr">
        <is>
          <t>Modular / portable power</t>
        </is>
      </c>
      <c r="D5013" s="12" t="inlineStr">
        <is>
          <t>Motor 5 of 6, 22 kW</t>
        </is>
      </c>
      <c r="E5013" s="12" t="inlineStr"/>
      <c r="F5013" s="12" t="inlineStr">
        <is>
          <t>PCM: power control module</t>
        </is>
      </c>
      <c r="G5013" s="12" t="inlineStr">
        <is>
          <t>RICE-2</t>
        </is>
      </c>
      <c r="H5013" s="12" t="inlineStr">
        <is>
          <t>RICE engine-generator 2</t>
        </is>
      </c>
      <c r="I5013" s="12" t="inlineStr">
        <is>
          <t>LV 600 V</t>
        </is>
      </c>
      <c r="J5013" s="12" t="inlineStr">
        <is>
          <t>Type TC-ER 600 V 3/C Cu XHHW-2 + ground, PVC jacket</t>
        </is>
      </c>
      <c r="K5013" s="12" t="inlineStr">
        <is>
          <t>LV|3/C+G|4</t>
        </is>
      </c>
      <c r="L5013" s="12" t="inlineStr">
        <is>
          <t>3/C+G</t>
        </is>
      </c>
      <c r="M5013" s="12" t="inlineStr">
        <is>
          <t>4</t>
        </is>
      </c>
      <c r="N5013" s="12" t="n">
        <v>1</v>
      </c>
      <c r="O5013" s="12" t="n">
        <v>1</v>
      </c>
      <c r="P5013" s="12" t="n">
        <v>480</v>
      </c>
      <c r="Q5013" s="12" t="n">
        <v>22</v>
      </c>
      <c r="R5013" s="12" t="n">
        <v>31.1</v>
      </c>
      <c r="S5013" s="12" t="inlineStr">
        <is>
          <t>Duct bank</t>
        </is>
      </c>
      <c r="T5013" s="16" t="n">
        <v>550</v>
      </c>
      <c r="U5013" s="16" t="n">
        <v>109</v>
      </c>
      <c r="V5013" s="16">
        <f>ROUNDUP((T5013+U5013+2*'Read Me'!$B$13)*(1+'Read Me'!$B$12),-1)</f>
        <v/>
      </c>
      <c r="W5013" s="16">
        <f>V5013*N5013*O5013</f>
        <v/>
      </c>
      <c r="X5013" s="12">
        <f>IF(LEFT(I5013,2)="MV",2*N5013*IF(L5013="1/C",O5013,1),0)</f>
        <v/>
      </c>
      <c r="Y5013" s="12">
        <f>IF(OR(LEFT(K5013,4)="LVAX",LEFT(K5013,6)="MV15AX",LEFT(K5013,4)="CTAX",LEFT(K5013,2)="W|"),2*N5013*O5013,0)</f>
        <v/>
      </c>
      <c r="Z5013" s="12" t="inlineStr">
        <is>
          <t>VD 2.5 %</t>
        </is>
      </c>
      <c r="AA5013" s="12">
        <f>N5013*O5013</f>
        <v/>
      </c>
    </row>
    <row r="5014">
      <c r="A5014" s="12" t="inlineStr">
        <is>
          <t>I-P-0112</t>
        </is>
      </c>
      <c r="B5014" s="12" t="inlineStr">
        <is>
          <t>I</t>
        </is>
      </c>
      <c r="C5014" s="12" t="inlineStr">
        <is>
          <t>Modular / portable power</t>
        </is>
      </c>
      <c r="D5014" s="12" t="inlineStr">
        <is>
          <t>Motor 6 of 6, 22 kW</t>
        </is>
      </c>
      <c r="E5014" s="12" t="inlineStr"/>
      <c r="F5014" s="12" t="inlineStr">
        <is>
          <t>PCM: power control module</t>
        </is>
      </c>
      <c r="G5014" s="12" t="inlineStr">
        <is>
          <t>RICE-2</t>
        </is>
      </c>
      <c r="H5014" s="12" t="inlineStr">
        <is>
          <t>RICE engine-generator 2</t>
        </is>
      </c>
      <c r="I5014" s="12" t="inlineStr">
        <is>
          <t>LV 600 V</t>
        </is>
      </c>
      <c r="J5014" s="12" t="inlineStr">
        <is>
          <t>Type TC-ER 600 V 3/C Cu XHHW-2 + ground, PVC jacket</t>
        </is>
      </c>
      <c r="K5014" s="12" t="inlineStr">
        <is>
          <t>LV|3/C+G|4</t>
        </is>
      </c>
      <c r="L5014" s="12" t="inlineStr">
        <is>
          <t>3/C+G</t>
        </is>
      </c>
      <c r="M5014" s="12" t="inlineStr">
        <is>
          <t>4</t>
        </is>
      </c>
      <c r="N5014" s="12" t="n">
        <v>1</v>
      </c>
      <c r="O5014" s="12" t="n">
        <v>1</v>
      </c>
      <c r="P5014" s="12" t="n">
        <v>480</v>
      </c>
      <c r="Q5014" s="12" t="n">
        <v>22</v>
      </c>
      <c r="R5014" s="12" t="n">
        <v>31.1</v>
      </c>
      <c r="S5014" s="12" t="inlineStr">
        <is>
          <t>Duct bank</t>
        </is>
      </c>
      <c r="T5014" s="16" t="n">
        <v>550</v>
      </c>
      <c r="U5014" s="16" t="n">
        <v>109</v>
      </c>
      <c r="V5014" s="16">
        <f>ROUNDUP((T5014+U5014+2*'Read Me'!$B$13)*(1+'Read Me'!$B$12),-1)</f>
        <v/>
      </c>
      <c r="W5014" s="16">
        <f>V5014*N5014*O5014</f>
        <v/>
      </c>
      <c r="X5014" s="12">
        <f>IF(LEFT(I5014,2)="MV",2*N5014*IF(L5014="1/C",O5014,1),0)</f>
        <v/>
      </c>
      <c r="Y5014" s="12">
        <f>IF(OR(LEFT(K5014,4)="LVAX",LEFT(K5014,6)="MV15AX",LEFT(K5014,4)="CTAX",LEFT(K5014,2)="W|"),2*N5014*O5014,0)</f>
        <v/>
      </c>
      <c r="Z5014" s="12" t="inlineStr">
        <is>
          <t>VD 2.5 %</t>
        </is>
      </c>
      <c r="AA5014" s="12">
        <f>N5014*O5014</f>
        <v/>
      </c>
    </row>
    <row r="5015">
      <c r="A5015" s="12" t="inlineStr">
        <is>
          <t>I-P-0113</t>
        </is>
      </c>
      <c r="B5015" s="12" t="inlineStr">
        <is>
          <t>I</t>
        </is>
      </c>
      <c r="C5015" s="12" t="inlineStr">
        <is>
          <t>Modular / portable power</t>
        </is>
      </c>
      <c r="D5015" s="12" t="inlineStr">
        <is>
          <t>480 V welding receptacle 1</t>
        </is>
      </c>
      <c r="E5015" s="12" t="inlineStr"/>
      <c r="F5015" s="12" t="inlineStr">
        <is>
          <t>PCM: power control module</t>
        </is>
      </c>
      <c r="G5015" s="12" t="inlineStr">
        <is>
          <t>RICE-2</t>
        </is>
      </c>
      <c r="H5015" s="12" t="inlineStr">
        <is>
          <t>RICE engine-generator 2</t>
        </is>
      </c>
      <c r="I5015" s="12" t="inlineStr">
        <is>
          <t>LV 600 V</t>
        </is>
      </c>
      <c r="J5015" s="12" t="inlineStr">
        <is>
          <t>Type TC-ER 600 V 3/C Cu XHHW-2 + ground, PVC jacket</t>
        </is>
      </c>
      <c r="K5015" s="12" t="inlineStr">
        <is>
          <t>LV|3/C+G|1/0</t>
        </is>
      </c>
      <c r="L5015" s="12" t="inlineStr">
        <is>
          <t>3/C+G</t>
        </is>
      </c>
      <c r="M5015" s="12" t="inlineStr">
        <is>
          <t>1/0</t>
        </is>
      </c>
      <c r="N5015" s="12" t="n">
        <v>1</v>
      </c>
      <c r="O5015" s="12" t="n">
        <v>1</v>
      </c>
      <c r="P5015" s="12" t="n">
        <v>480</v>
      </c>
      <c r="Q5015" s="12" t="n">
        <v>60</v>
      </c>
      <c r="R5015" s="12" t="n">
        <v>76</v>
      </c>
      <c r="S5015" s="12" t="inlineStr">
        <is>
          <t>Duct bank</t>
        </is>
      </c>
      <c r="T5015" s="16" t="n">
        <v>550</v>
      </c>
      <c r="U5015" s="16" t="n">
        <v>109</v>
      </c>
      <c r="V5015" s="16">
        <f>ROUNDUP((T5015+U5015+2*'Read Me'!$B$13)*(1+'Read Me'!$B$12),-1)</f>
        <v/>
      </c>
      <c r="W5015" s="16">
        <f>V5015*N5015*O5015</f>
        <v/>
      </c>
      <c r="X5015" s="12">
        <f>IF(LEFT(I5015,2)="MV",2*N5015*IF(L5015="1/C",O5015,1),0)</f>
        <v/>
      </c>
      <c r="Y5015" s="12">
        <f>IF(OR(LEFT(K5015,4)="LVAX",LEFT(K5015,6)="MV15AX",LEFT(K5015,4)="CTAX",LEFT(K5015,2)="W|"),2*N5015*O5015,0)</f>
        <v/>
      </c>
      <c r="Z5015" s="12" t="inlineStr">
        <is>
          <t>VD 2.4 %</t>
        </is>
      </c>
      <c r="AA5015" s="12">
        <f>N5015*O5015</f>
        <v/>
      </c>
    </row>
    <row r="5016">
      <c r="A5016" s="12" t="inlineStr">
        <is>
          <t>I-P-0114</t>
        </is>
      </c>
      <c r="B5016" s="12" t="inlineStr">
        <is>
          <t>I</t>
        </is>
      </c>
      <c r="C5016" s="12" t="inlineStr">
        <is>
          <t>Modular / portable power</t>
        </is>
      </c>
      <c r="D5016" s="12" t="inlineStr">
        <is>
          <t>480 V welding receptacle 2</t>
        </is>
      </c>
      <c r="E5016" s="12" t="inlineStr"/>
      <c r="F5016" s="12" t="inlineStr">
        <is>
          <t>PCM: power control module</t>
        </is>
      </c>
      <c r="G5016" s="12" t="inlineStr">
        <is>
          <t>RICE-2</t>
        </is>
      </c>
      <c r="H5016" s="12" t="inlineStr">
        <is>
          <t>RICE engine-generator 2</t>
        </is>
      </c>
      <c r="I5016" s="12" t="inlineStr">
        <is>
          <t>LV 600 V</t>
        </is>
      </c>
      <c r="J5016" s="12" t="inlineStr">
        <is>
          <t>Type TC-ER 600 V 3/C Cu XHHW-2 + ground, PVC jacket</t>
        </is>
      </c>
      <c r="K5016" s="12" t="inlineStr">
        <is>
          <t>LV|3/C+G|1/0</t>
        </is>
      </c>
      <c r="L5016" s="12" t="inlineStr">
        <is>
          <t>3/C+G</t>
        </is>
      </c>
      <c r="M5016" s="12" t="inlineStr">
        <is>
          <t>1/0</t>
        </is>
      </c>
      <c r="N5016" s="12" t="n">
        <v>1</v>
      </c>
      <c r="O5016" s="12" t="n">
        <v>1</v>
      </c>
      <c r="P5016" s="12" t="n">
        <v>480</v>
      </c>
      <c r="Q5016" s="12" t="n">
        <v>60</v>
      </c>
      <c r="R5016" s="12" t="n">
        <v>76</v>
      </c>
      <c r="S5016" s="12" t="inlineStr">
        <is>
          <t>Duct bank</t>
        </is>
      </c>
      <c r="T5016" s="16" t="n">
        <v>550</v>
      </c>
      <c r="U5016" s="16" t="n">
        <v>109</v>
      </c>
      <c r="V5016" s="16">
        <f>ROUNDUP((T5016+U5016+2*'Read Me'!$B$13)*(1+'Read Me'!$B$12),-1)</f>
        <v/>
      </c>
      <c r="W5016" s="16">
        <f>V5016*N5016*O5016</f>
        <v/>
      </c>
      <c r="X5016" s="12">
        <f>IF(LEFT(I5016,2)="MV",2*N5016*IF(L5016="1/C",O5016,1),0)</f>
        <v/>
      </c>
      <c r="Y5016" s="12">
        <f>IF(OR(LEFT(K5016,4)="LVAX",LEFT(K5016,6)="MV15AX",LEFT(K5016,4)="CTAX",LEFT(K5016,2)="W|"),2*N5016*O5016,0)</f>
        <v/>
      </c>
      <c r="Z5016" s="12" t="inlineStr">
        <is>
          <t>VD 2.4 %</t>
        </is>
      </c>
      <c r="AA5016" s="12">
        <f>N5016*O5016</f>
        <v/>
      </c>
    </row>
    <row r="5017">
      <c r="A5017" s="12" t="inlineStr">
        <is>
          <t>I-P-0115</t>
        </is>
      </c>
      <c r="B5017" s="12" t="inlineStr">
        <is>
          <t>I</t>
        </is>
      </c>
      <c r="C5017" s="12" t="inlineStr">
        <is>
          <t>Modular / portable power</t>
        </is>
      </c>
      <c r="D5017" s="12" t="inlineStr">
        <is>
          <t>480 V welding receptacle 3</t>
        </is>
      </c>
      <c r="E5017" s="12" t="inlineStr"/>
      <c r="F5017" s="12" t="inlineStr">
        <is>
          <t>PCM: power control module</t>
        </is>
      </c>
      <c r="G5017" s="12" t="inlineStr">
        <is>
          <t>RICE-2</t>
        </is>
      </c>
      <c r="H5017" s="12" t="inlineStr">
        <is>
          <t>RICE engine-generator 2</t>
        </is>
      </c>
      <c r="I5017" s="12" t="inlineStr">
        <is>
          <t>LV 600 V</t>
        </is>
      </c>
      <c r="J5017" s="12" t="inlineStr">
        <is>
          <t>Type TC-ER 600 V 3/C Cu XHHW-2 + ground, PVC jacket</t>
        </is>
      </c>
      <c r="K5017" s="12" t="inlineStr">
        <is>
          <t>LV|3/C+G|1/0</t>
        </is>
      </c>
      <c r="L5017" s="12" t="inlineStr">
        <is>
          <t>3/C+G</t>
        </is>
      </c>
      <c r="M5017" s="12" t="inlineStr">
        <is>
          <t>1/0</t>
        </is>
      </c>
      <c r="N5017" s="12" t="n">
        <v>1</v>
      </c>
      <c r="O5017" s="12" t="n">
        <v>1</v>
      </c>
      <c r="P5017" s="12" t="n">
        <v>480</v>
      </c>
      <c r="Q5017" s="12" t="n">
        <v>60</v>
      </c>
      <c r="R5017" s="12" t="n">
        <v>76</v>
      </c>
      <c r="S5017" s="12" t="inlineStr">
        <is>
          <t>Duct bank</t>
        </is>
      </c>
      <c r="T5017" s="16" t="n">
        <v>550</v>
      </c>
      <c r="U5017" s="16" t="n">
        <v>109</v>
      </c>
      <c r="V5017" s="16">
        <f>ROUNDUP((T5017+U5017+2*'Read Me'!$B$13)*(1+'Read Me'!$B$12),-1)</f>
        <v/>
      </c>
      <c r="W5017" s="16">
        <f>V5017*N5017*O5017</f>
        <v/>
      </c>
      <c r="X5017" s="12">
        <f>IF(LEFT(I5017,2)="MV",2*N5017*IF(L5017="1/C",O5017,1),0)</f>
        <v/>
      </c>
      <c r="Y5017" s="12">
        <f>IF(OR(LEFT(K5017,4)="LVAX",LEFT(K5017,6)="MV15AX",LEFT(K5017,4)="CTAX",LEFT(K5017,2)="W|"),2*N5017*O5017,0)</f>
        <v/>
      </c>
      <c r="Z5017" s="12" t="inlineStr">
        <is>
          <t>VD 2.4 %</t>
        </is>
      </c>
      <c r="AA5017" s="12">
        <f>N5017*O5017</f>
        <v/>
      </c>
    </row>
    <row r="5018">
      <c r="A5018" s="12" t="inlineStr">
        <is>
          <t>I-P-0116</t>
        </is>
      </c>
      <c r="B5018" s="12" t="inlineStr">
        <is>
          <t>I</t>
        </is>
      </c>
      <c r="C5018" s="12" t="inlineStr">
        <is>
          <t>Modular / portable power</t>
        </is>
      </c>
      <c r="D5018" s="12" t="inlineStr">
        <is>
          <t>480 V welding receptacle 4</t>
        </is>
      </c>
      <c r="E5018" s="12" t="inlineStr"/>
      <c r="F5018" s="12" t="inlineStr">
        <is>
          <t>PCM: power control module</t>
        </is>
      </c>
      <c r="G5018" s="12" t="inlineStr">
        <is>
          <t>RICE-2</t>
        </is>
      </c>
      <c r="H5018" s="12" t="inlineStr">
        <is>
          <t>RICE engine-generator 2</t>
        </is>
      </c>
      <c r="I5018" s="12" t="inlineStr">
        <is>
          <t>LV 600 V</t>
        </is>
      </c>
      <c r="J5018" s="12" t="inlineStr">
        <is>
          <t>Type TC-ER 600 V 3/C Cu XHHW-2 + ground, PVC jacket</t>
        </is>
      </c>
      <c r="K5018" s="12" t="inlineStr">
        <is>
          <t>LV|3/C+G|1/0</t>
        </is>
      </c>
      <c r="L5018" s="12" t="inlineStr">
        <is>
          <t>3/C+G</t>
        </is>
      </c>
      <c r="M5018" s="12" t="inlineStr">
        <is>
          <t>1/0</t>
        </is>
      </c>
      <c r="N5018" s="12" t="n">
        <v>1</v>
      </c>
      <c r="O5018" s="12" t="n">
        <v>1</v>
      </c>
      <c r="P5018" s="12" t="n">
        <v>480</v>
      </c>
      <c r="Q5018" s="12" t="n">
        <v>60</v>
      </c>
      <c r="R5018" s="12" t="n">
        <v>76</v>
      </c>
      <c r="S5018" s="12" t="inlineStr">
        <is>
          <t>Duct bank</t>
        </is>
      </c>
      <c r="T5018" s="16" t="n">
        <v>550</v>
      </c>
      <c r="U5018" s="16" t="n">
        <v>109</v>
      </c>
      <c r="V5018" s="16">
        <f>ROUNDUP((T5018+U5018+2*'Read Me'!$B$13)*(1+'Read Me'!$B$12),-1)</f>
        <v/>
      </c>
      <c r="W5018" s="16">
        <f>V5018*N5018*O5018</f>
        <v/>
      </c>
      <c r="X5018" s="12">
        <f>IF(LEFT(I5018,2)="MV",2*N5018*IF(L5018="1/C",O5018,1),0)</f>
        <v/>
      </c>
      <c r="Y5018" s="12">
        <f>IF(OR(LEFT(K5018,4)="LVAX",LEFT(K5018,6)="MV15AX",LEFT(K5018,4)="CTAX",LEFT(K5018,2)="W|"),2*N5018*O5018,0)</f>
        <v/>
      </c>
      <c r="Z5018" s="12" t="inlineStr">
        <is>
          <t>VD 2.4 %</t>
        </is>
      </c>
      <c r="AA5018" s="12">
        <f>N5018*O5018</f>
        <v/>
      </c>
    </row>
    <row r="5019">
      <c r="A5019" s="12" t="inlineStr">
        <is>
          <t>I-P-0117</t>
        </is>
      </c>
      <c r="B5019" s="12" t="inlineStr">
        <is>
          <t>I</t>
        </is>
      </c>
      <c r="C5019" s="12" t="inlineStr">
        <is>
          <t>Modular / portable power</t>
        </is>
      </c>
      <c r="D5019" s="12" t="inlineStr">
        <is>
          <t>Motor 1 of 6, 22 kW</t>
        </is>
      </c>
      <c r="E5019" s="12" t="inlineStr"/>
      <c r="F5019" s="12" t="inlineStr">
        <is>
          <t>PCM: power control module</t>
        </is>
      </c>
      <c r="G5019" s="12" t="inlineStr">
        <is>
          <t>RICE-3</t>
        </is>
      </c>
      <c r="H5019" s="12" t="inlineStr">
        <is>
          <t>RICE engine-generator 3</t>
        </is>
      </c>
      <c r="I5019" s="12" t="inlineStr">
        <is>
          <t>LV 600 V</t>
        </is>
      </c>
      <c r="J5019" s="12" t="inlineStr">
        <is>
          <t>Type TC-ER 600 V 3/C Cu XHHW-2 + ground, PVC jacket</t>
        </is>
      </c>
      <c r="K5019" s="12" t="inlineStr">
        <is>
          <t>LV|3/C+G|4</t>
        </is>
      </c>
      <c r="L5019" s="12" t="inlineStr">
        <is>
          <t>3/C+G</t>
        </is>
      </c>
      <c r="M5019" s="12" t="inlineStr">
        <is>
          <t>4</t>
        </is>
      </c>
      <c r="N5019" s="12" t="n">
        <v>1</v>
      </c>
      <c r="O5019" s="12" t="n">
        <v>1</v>
      </c>
      <c r="P5019" s="12" t="n">
        <v>480</v>
      </c>
      <c r="Q5019" s="12" t="n">
        <v>22</v>
      </c>
      <c r="R5019" s="12" t="n">
        <v>31.1</v>
      </c>
      <c r="S5019" s="12" t="inlineStr">
        <is>
          <t>Duct bank</t>
        </is>
      </c>
      <c r="T5019" s="16" t="n">
        <v>550</v>
      </c>
      <c r="U5019" s="16" t="n">
        <v>81</v>
      </c>
      <c r="V5019" s="16">
        <f>ROUNDUP((T5019+U5019+2*'Read Me'!$B$13)*(1+'Read Me'!$B$12),-1)</f>
        <v/>
      </c>
      <c r="W5019" s="16">
        <f>V5019*N5019*O5019</f>
        <v/>
      </c>
      <c r="X5019" s="12">
        <f>IF(LEFT(I5019,2)="MV",2*N5019*IF(L5019="1/C",O5019,1),0)</f>
        <v/>
      </c>
      <c r="Y5019" s="12">
        <f>IF(OR(LEFT(K5019,4)="LVAX",LEFT(K5019,6)="MV15AX",LEFT(K5019,4)="CTAX",LEFT(K5019,2)="W|"),2*N5019*O5019,0)</f>
        <v/>
      </c>
      <c r="Z5019" s="12" t="inlineStr">
        <is>
          <t>VD 2.4 %</t>
        </is>
      </c>
      <c r="AA5019" s="12">
        <f>N5019*O5019</f>
        <v/>
      </c>
    </row>
    <row r="5020">
      <c r="A5020" s="12" t="inlineStr">
        <is>
          <t>I-P-0118</t>
        </is>
      </c>
      <c r="B5020" s="12" t="inlineStr">
        <is>
          <t>I</t>
        </is>
      </c>
      <c r="C5020" s="12" t="inlineStr">
        <is>
          <t>Modular / portable power</t>
        </is>
      </c>
      <c r="D5020" s="12" t="inlineStr">
        <is>
          <t>Motor 2 of 6, 22 kW</t>
        </is>
      </c>
      <c r="E5020" s="12" t="inlineStr"/>
      <c r="F5020" s="12" t="inlineStr">
        <is>
          <t>PCM: power control module</t>
        </is>
      </c>
      <c r="G5020" s="12" t="inlineStr">
        <is>
          <t>RICE-3</t>
        </is>
      </c>
      <c r="H5020" s="12" t="inlineStr">
        <is>
          <t>RICE engine-generator 3</t>
        </is>
      </c>
      <c r="I5020" s="12" t="inlineStr">
        <is>
          <t>LV 600 V</t>
        </is>
      </c>
      <c r="J5020" s="12" t="inlineStr">
        <is>
          <t>Type TC-ER 600 V 3/C Cu XHHW-2 + ground, PVC jacket</t>
        </is>
      </c>
      <c r="K5020" s="12" t="inlineStr">
        <is>
          <t>LV|3/C+G|4</t>
        </is>
      </c>
      <c r="L5020" s="12" t="inlineStr">
        <is>
          <t>3/C+G</t>
        </is>
      </c>
      <c r="M5020" s="12" t="inlineStr">
        <is>
          <t>4</t>
        </is>
      </c>
      <c r="N5020" s="12" t="n">
        <v>1</v>
      </c>
      <c r="O5020" s="12" t="n">
        <v>1</v>
      </c>
      <c r="P5020" s="12" t="n">
        <v>480</v>
      </c>
      <c r="Q5020" s="12" t="n">
        <v>22</v>
      </c>
      <c r="R5020" s="12" t="n">
        <v>31.1</v>
      </c>
      <c r="S5020" s="12" t="inlineStr">
        <is>
          <t>Duct bank</t>
        </is>
      </c>
      <c r="T5020" s="16" t="n">
        <v>550</v>
      </c>
      <c r="U5020" s="16" t="n">
        <v>81</v>
      </c>
      <c r="V5020" s="16">
        <f>ROUNDUP((T5020+U5020+2*'Read Me'!$B$13)*(1+'Read Me'!$B$12),-1)</f>
        <v/>
      </c>
      <c r="W5020" s="16">
        <f>V5020*N5020*O5020</f>
        <v/>
      </c>
      <c r="X5020" s="12">
        <f>IF(LEFT(I5020,2)="MV",2*N5020*IF(L5020="1/C",O5020,1),0)</f>
        <v/>
      </c>
      <c r="Y5020" s="12">
        <f>IF(OR(LEFT(K5020,4)="LVAX",LEFT(K5020,6)="MV15AX",LEFT(K5020,4)="CTAX",LEFT(K5020,2)="W|"),2*N5020*O5020,0)</f>
        <v/>
      </c>
      <c r="Z5020" s="12" t="inlineStr">
        <is>
          <t>VD 2.4 %</t>
        </is>
      </c>
      <c r="AA5020" s="12">
        <f>N5020*O5020</f>
        <v/>
      </c>
    </row>
    <row r="5021">
      <c r="A5021" s="12" t="inlineStr">
        <is>
          <t>I-P-0119</t>
        </is>
      </c>
      <c r="B5021" s="12" t="inlineStr">
        <is>
          <t>I</t>
        </is>
      </c>
      <c r="C5021" s="12" t="inlineStr">
        <is>
          <t>Modular / portable power</t>
        </is>
      </c>
      <c r="D5021" s="12" t="inlineStr">
        <is>
          <t>Motor 3 of 6, 22 kW</t>
        </is>
      </c>
      <c r="E5021" s="12" t="inlineStr"/>
      <c r="F5021" s="12" t="inlineStr">
        <is>
          <t>PCM: power control module</t>
        </is>
      </c>
      <c r="G5021" s="12" t="inlineStr">
        <is>
          <t>RICE-3</t>
        </is>
      </c>
      <c r="H5021" s="12" t="inlineStr">
        <is>
          <t>RICE engine-generator 3</t>
        </is>
      </c>
      <c r="I5021" s="12" t="inlineStr">
        <is>
          <t>LV 600 V</t>
        </is>
      </c>
      <c r="J5021" s="12" t="inlineStr">
        <is>
          <t>Type TC-ER 600 V 3/C Cu XHHW-2 + ground, PVC jacket</t>
        </is>
      </c>
      <c r="K5021" s="12" t="inlineStr">
        <is>
          <t>LV|3/C+G|4</t>
        </is>
      </c>
      <c r="L5021" s="12" t="inlineStr">
        <is>
          <t>3/C+G</t>
        </is>
      </c>
      <c r="M5021" s="12" t="inlineStr">
        <is>
          <t>4</t>
        </is>
      </c>
      <c r="N5021" s="12" t="n">
        <v>1</v>
      </c>
      <c r="O5021" s="12" t="n">
        <v>1</v>
      </c>
      <c r="P5021" s="12" t="n">
        <v>480</v>
      </c>
      <c r="Q5021" s="12" t="n">
        <v>22</v>
      </c>
      <c r="R5021" s="12" t="n">
        <v>31.1</v>
      </c>
      <c r="S5021" s="12" t="inlineStr">
        <is>
          <t>Duct bank</t>
        </is>
      </c>
      <c r="T5021" s="16" t="n">
        <v>550</v>
      </c>
      <c r="U5021" s="16" t="n">
        <v>81</v>
      </c>
      <c r="V5021" s="16">
        <f>ROUNDUP((T5021+U5021+2*'Read Me'!$B$13)*(1+'Read Me'!$B$12),-1)</f>
        <v/>
      </c>
      <c r="W5021" s="16">
        <f>V5021*N5021*O5021</f>
        <v/>
      </c>
      <c r="X5021" s="12">
        <f>IF(LEFT(I5021,2)="MV",2*N5021*IF(L5021="1/C",O5021,1),0)</f>
        <v/>
      </c>
      <c r="Y5021" s="12">
        <f>IF(OR(LEFT(K5021,4)="LVAX",LEFT(K5021,6)="MV15AX",LEFT(K5021,4)="CTAX",LEFT(K5021,2)="W|"),2*N5021*O5021,0)</f>
        <v/>
      </c>
      <c r="Z5021" s="12" t="inlineStr">
        <is>
          <t>VD 2.4 %</t>
        </is>
      </c>
      <c r="AA5021" s="12">
        <f>N5021*O5021</f>
        <v/>
      </c>
    </row>
    <row r="5022">
      <c r="A5022" s="12" t="inlineStr">
        <is>
          <t>I-P-0120</t>
        </is>
      </c>
      <c r="B5022" s="12" t="inlineStr">
        <is>
          <t>I</t>
        </is>
      </c>
      <c r="C5022" s="12" t="inlineStr">
        <is>
          <t>Modular / portable power</t>
        </is>
      </c>
      <c r="D5022" s="12" t="inlineStr">
        <is>
          <t>Motor 4 of 6, 22 kW</t>
        </is>
      </c>
      <c r="E5022" s="12" t="inlineStr"/>
      <c r="F5022" s="12" t="inlineStr">
        <is>
          <t>PCM: power control module</t>
        </is>
      </c>
      <c r="G5022" s="12" t="inlineStr">
        <is>
          <t>RICE-3</t>
        </is>
      </c>
      <c r="H5022" s="12" t="inlineStr">
        <is>
          <t>RICE engine-generator 3</t>
        </is>
      </c>
      <c r="I5022" s="12" t="inlineStr">
        <is>
          <t>LV 600 V</t>
        </is>
      </c>
      <c r="J5022" s="12" t="inlineStr">
        <is>
          <t>Type TC-ER 600 V 3/C Cu XHHW-2 + ground, PVC jacket</t>
        </is>
      </c>
      <c r="K5022" s="12" t="inlineStr">
        <is>
          <t>LV|3/C+G|4</t>
        </is>
      </c>
      <c r="L5022" s="12" t="inlineStr">
        <is>
          <t>3/C+G</t>
        </is>
      </c>
      <c r="M5022" s="12" t="inlineStr">
        <is>
          <t>4</t>
        </is>
      </c>
      <c r="N5022" s="12" t="n">
        <v>1</v>
      </c>
      <c r="O5022" s="12" t="n">
        <v>1</v>
      </c>
      <c r="P5022" s="12" t="n">
        <v>480</v>
      </c>
      <c r="Q5022" s="12" t="n">
        <v>22</v>
      </c>
      <c r="R5022" s="12" t="n">
        <v>31.1</v>
      </c>
      <c r="S5022" s="12" t="inlineStr">
        <is>
          <t>Duct bank</t>
        </is>
      </c>
      <c r="T5022" s="16" t="n">
        <v>550</v>
      </c>
      <c r="U5022" s="16" t="n">
        <v>81</v>
      </c>
      <c r="V5022" s="16">
        <f>ROUNDUP((T5022+U5022+2*'Read Me'!$B$13)*(1+'Read Me'!$B$12),-1)</f>
        <v/>
      </c>
      <c r="W5022" s="16">
        <f>V5022*N5022*O5022</f>
        <v/>
      </c>
      <c r="X5022" s="12">
        <f>IF(LEFT(I5022,2)="MV",2*N5022*IF(L5022="1/C",O5022,1),0)</f>
        <v/>
      </c>
      <c r="Y5022" s="12">
        <f>IF(OR(LEFT(K5022,4)="LVAX",LEFT(K5022,6)="MV15AX",LEFT(K5022,4)="CTAX",LEFT(K5022,2)="W|"),2*N5022*O5022,0)</f>
        <v/>
      </c>
      <c r="Z5022" s="12" t="inlineStr">
        <is>
          <t>VD 2.4 %</t>
        </is>
      </c>
      <c r="AA5022" s="12">
        <f>N5022*O5022</f>
        <v/>
      </c>
    </row>
    <row r="5023">
      <c r="A5023" s="12" t="inlineStr">
        <is>
          <t>I-P-0121</t>
        </is>
      </c>
      <c r="B5023" s="12" t="inlineStr">
        <is>
          <t>I</t>
        </is>
      </c>
      <c r="C5023" s="12" t="inlineStr">
        <is>
          <t>Modular / portable power</t>
        </is>
      </c>
      <c r="D5023" s="12" t="inlineStr">
        <is>
          <t>Motor 5 of 6, 22 kW</t>
        </is>
      </c>
      <c r="E5023" s="12" t="inlineStr"/>
      <c r="F5023" s="12" t="inlineStr">
        <is>
          <t>PCM: power control module</t>
        </is>
      </c>
      <c r="G5023" s="12" t="inlineStr">
        <is>
          <t>RICE-3</t>
        </is>
      </c>
      <c r="H5023" s="12" t="inlineStr">
        <is>
          <t>RICE engine-generator 3</t>
        </is>
      </c>
      <c r="I5023" s="12" t="inlineStr">
        <is>
          <t>LV 600 V</t>
        </is>
      </c>
      <c r="J5023" s="12" t="inlineStr">
        <is>
          <t>Type TC-ER 600 V 3/C Cu XHHW-2 + ground, PVC jacket</t>
        </is>
      </c>
      <c r="K5023" s="12" t="inlineStr">
        <is>
          <t>LV|3/C+G|4</t>
        </is>
      </c>
      <c r="L5023" s="12" t="inlineStr">
        <is>
          <t>3/C+G</t>
        </is>
      </c>
      <c r="M5023" s="12" t="inlineStr">
        <is>
          <t>4</t>
        </is>
      </c>
      <c r="N5023" s="12" t="n">
        <v>1</v>
      </c>
      <c r="O5023" s="12" t="n">
        <v>1</v>
      </c>
      <c r="P5023" s="12" t="n">
        <v>480</v>
      </c>
      <c r="Q5023" s="12" t="n">
        <v>22</v>
      </c>
      <c r="R5023" s="12" t="n">
        <v>31.1</v>
      </c>
      <c r="S5023" s="12" t="inlineStr">
        <is>
          <t>Duct bank</t>
        </is>
      </c>
      <c r="T5023" s="16" t="n">
        <v>550</v>
      </c>
      <c r="U5023" s="16" t="n">
        <v>81</v>
      </c>
      <c r="V5023" s="16">
        <f>ROUNDUP((T5023+U5023+2*'Read Me'!$B$13)*(1+'Read Me'!$B$12),-1)</f>
        <v/>
      </c>
      <c r="W5023" s="16">
        <f>V5023*N5023*O5023</f>
        <v/>
      </c>
      <c r="X5023" s="12">
        <f>IF(LEFT(I5023,2)="MV",2*N5023*IF(L5023="1/C",O5023,1),0)</f>
        <v/>
      </c>
      <c r="Y5023" s="12">
        <f>IF(OR(LEFT(K5023,4)="LVAX",LEFT(K5023,6)="MV15AX",LEFT(K5023,4)="CTAX",LEFT(K5023,2)="W|"),2*N5023*O5023,0)</f>
        <v/>
      </c>
      <c r="Z5023" s="12" t="inlineStr">
        <is>
          <t>VD 2.4 %</t>
        </is>
      </c>
      <c r="AA5023" s="12">
        <f>N5023*O5023</f>
        <v/>
      </c>
    </row>
    <row r="5024">
      <c r="A5024" s="12" t="inlineStr">
        <is>
          <t>I-P-0122</t>
        </is>
      </c>
      <c r="B5024" s="12" t="inlineStr">
        <is>
          <t>I</t>
        </is>
      </c>
      <c r="C5024" s="12" t="inlineStr">
        <is>
          <t>Modular / portable power</t>
        </is>
      </c>
      <c r="D5024" s="12" t="inlineStr">
        <is>
          <t>Motor 6 of 6, 22 kW</t>
        </is>
      </c>
      <c r="E5024" s="12" t="inlineStr"/>
      <c r="F5024" s="12" t="inlineStr">
        <is>
          <t>PCM: power control module</t>
        </is>
      </c>
      <c r="G5024" s="12" t="inlineStr">
        <is>
          <t>RICE-3</t>
        </is>
      </c>
      <c r="H5024" s="12" t="inlineStr">
        <is>
          <t>RICE engine-generator 3</t>
        </is>
      </c>
      <c r="I5024" s="12" t="inlineStr">
        <is>
          <t>LV 600 V</t>
        </is>
      </c>
      <c r="J5024" s="12" t="inlineStr">
        <is>
          <t>Type TC-ER 600 V 3/C Cu XHHW-2 + ground, PVC jacket</t>
        </is>
      </c>
      <c r="K5024" s="12" t="inlineStr">
        <is>
          <t>LV|3/C+G|4</t>
        </is>
      </c>
      <c r="L5024" s="12" t="inlineStr">
        <is>
          <t>3/C+G</t>
        </is>
      </c>
      <c r="M5024" s="12" t="inlineStr">
        <is>
          <t>4</t>
        </is>
      </c>
      <c r="N5024" s="12" t="n">
        <v>1</v>
      </c>
      <c r="O5024" s="12" t="n">
        <v>1</v>
      </c>
      <c r="P5024" s="12" t="n">
        <v>480</v>
      </c>
      <c r="Q5024" s="12" t="n">
        <v>22</v>
      </c>
      <c r="R5024" s="12" t="n">
        <v>31.1</v>
      </c>
      <c r="S5024" s="12" t="inlineStr">
        <is>
          <t>Duct bank</t>
        </is>
      </c>
      <c r="T5024" s="16" t="n">
        <v>550</v>
      </c>
      <c r="U5024" s="16" t="n">
        <v>81</v>
      </c>
      <c r="V5024" s="16">
        <f>ROUNDUP((T5024+U5024+2*'Read Me'!$B$13)*(1+'Read Me'!$B$12),-1)</f>
        <v/>
      </c>
      <c r="W5024" s="16">
        <f>V5024*N5024*O5024</f>
        <v/>
      </c>
      <c r="X5024" s="12">
        <f>IF(LEFT(I5024,2)="MV",2*N5024*IF(L5024="1/C",O5024,1),0)</f>
        <v/>
      </c>
      <c r="Y5024" s="12">
        <f>IF(OR(LEFT(K5024,4)="LVAX",LEFT(K5024,6)="MV15AX",LEFT(K5024,4)="CTAX",LEFT(K5024,2)="W|"),2*N5024*O5024,0)</f>
        <v/>
      </c>
      <c r="Z5024" s="12" t="inlineStr">
        <is>
          <t>VD 2.4 %</t>
        </is>
      </c>
      <c r="AA5024" s="12">
        <f>N5024*O5024</f>
        <v/>
      </c>
    </row>
    <row r="5025">
      <c r="A5025" s="12" t="inlineStr">
        <is>
          <t>I-P-0123</t>
        </is>
      </c>
      <c r="B5025" s="12" t="inlineStr">
        <is>
          <t>I</t>
        </is>
      </c>
      <c r="C5025" s="12" t="inlineStr">
        <is>
          <t>Modular / portable power</t>
        </is>
      </c>
      <c r="D5025" s="12" t="inlineStr">
        <is>
          <t>480 V welding receptacle 1</t>
        </is>
      </c>
      <c r="E5025" s="12" t="inlineStr"/>
      <c r="F5025" s="12" t="inlineStr">
        <is>
          <t>PCM: power control module</t>
        </is>
      </c>
      <c r="G5025" s="12" t="inlineStr">
        <is>
          <t>RICE-3</t>
        </is>
      </c>
      <c r="H5025" s="12" t="inlineStr">
        <is>
          <t>RICE engine-generator 3</t>
        </is>
      </c>
      <c r="I5025" s="12" t="inlineStr">
        <is>
          <t>LV 600 V</t>
        </is>
      </c>
      <c r="J5025" s="12" t="inlineStr">
        <is>
          <t>Type TC-ER 600 V 3/C Cu XHHW-2 + ground, PVC jacket</t>
        </is>
      </c>
      <c r="K5025" s="12" t="inlineStr">
        <is>
          <t>LV|3/C+G|1</t>
        </is>
      </c>
      <c r="L5025" s="12" t="inlineStr">
        <is>
          <t>3/C+G</t>
        </is>
      </c>
      <c r="M5025" s="12" t="inlineStr">
        <is>
          <t>1</t>
        </is>
      </c>
      <c r="N5025" s="12" t="n">
        <v>1</v>
      </c>
      <c r="O5025" s="12" t="n">
        <v>1</v>
      </c>
      <c r="P5025" s="12" t="n">
        <v>480</v>
      </c>
      <c r="Q5025" s="12" t="n">
        <v>60</v>
      </c>
      <c r="R5025" s="12" t="n">
        <v>76</v>
      </c>
      <c r="S5025" s="12" t="inlineStr">
        <is>
          <t>Duct bank</t>
        </is>
      </c>
      <c r="T5025" s="16" t="n">
        <v>550</v>
      </c>
      <c r="U5025" s="16" t="n">
        <v>81</v>
      </c>
      <c r="V5025" s="16">
        <f>ROUNDUP((T5025+U5025+2*'Read Me'!$B$13)*(1+'Read Me'!$B$12),-1)</f>
        <v/>
      </c>
      <c r="W5025" s="16">
        <f>V5025*N5025*O5025</f>
        <v/>
      </c>
      <c r="X5025" s="12">
        <f>IF(LEFT(I5025,2)="MV",2*N5025*IF(L5025="1/C",O5025,1),0)</f>
        <v/>
      </c>
      <c r="Y5025" s="12">
        <f>IF(OR(LEFT(K5025,4)="LVAX",LEFT(K5025,6)="MV15AX",LEFT(K5025,4)="CTAX",LEFT(K5025,2)="W|"),2*N5025*O5025,0)</f>
        <v/>
      </c>
      <c r="Z5025" s="12" t="inlineStr">
        <is>
          <t>VD 2.9 %</t>
        </is>
      </c>
      <c r="AA5025" s="12">
        <f>N5025*O5025</f>
        <v/>
      </c>
    </row>
    <row r="5026">
      <c r="A5026" s="12" t="inlineStr">
        <is>
          <t>I-P-0124</t>
        </is>
      </c>
      <c r="B5026" s="12" t="inlineStr">
        <is>
          <t>I</t>
        </is>
      </c>
      <c r="C5026" s="12" t="inlineStr">
        <is>
          <t>Modular / portable power</t>
        </is>
      </c>
      <c r="D5026" s="12" t="inlineStr">
        <is>
          <t>480 V welding receptacle 2</t>
        </is>
      </c>
      <c r="E5026" s="12" t="inlineStr"/>
      <c r="F5026" s="12" t="inlineStr">
        <is>
          <t>PCM: power control module</t>
        </is>
      </c>
      <c r="G5026" s="12" t="inlineStr">
        <is>
          <t>RICE-3</t>
        </is>
      </c>
      <c r="H5026" s="12" t="inlineStr">
        <is>
          <t>RICE engine-generator 3</t>
        </is>
      </c>
      <c r="I5026" s="12" t="inlineStr">
        <is>
          <t>LV 600 V</t>
        </is>
      </c>
      <c r="J5026" s="12" t="inlineStr">
        <is>
          <t>Type TC-ER 600 V 3/C Cu XHHW-2 + ground, PVC jacket</t>
        </is>
      </c>
      <c r="K5026" s="12" t="inlineStr">
        <is>
          <t>LV|3/C+G|1</t>
        </is>
      </c>
      <c r="L5026" s="12" t="inlineStr">
        <is>
          <t>3/C+G</t>
        </is>
      </c>
      <c r="M5026" s="12" t="inlineStr">
        <is>
          <t>1</t>
        </is>
      </c>
      <c r="N5026" s="12" t="n">
        <v>1</v>
      </c>
      <c r="O5026" s="12" t="n">
        <v>1</v>
      </c>
      <c r="P5026" s="12" t="n">
        <v>480</v>
      </c>
      <c r="Q5026" s="12" t="n">
        <v>60</v>
      </c>
      <c r="R5026" s="12" t="n">
        <v>76</v>
      </c>
      <c r="S5026" s="12" t="inlineStr">
        <is>
          <t>Duct bank</t>
        </is>
      </c>
      <c r="T5026" s="16" t="n">
        <v>550</v>
      </c>
      <c r="U5026" s="16" t="n">
        <v>81</v>
      </c>
      <c r="V5026" s="16">
        <f>ROUNDUP((T5026+U5026+2*'Read Me'!$B$13)*(1+'Read Me'!$B$12),-1)</f>
        <v/>
      </c>
      <c r="W5026" s="16">
        <f>V5026*N5026*O5026</f>
        <v/>
      </c>
      <c r="X5026" s="12">
        <f>IF(LEFT(I5026,2)="MV",2*N5026*IF(L5026="1/C",O5026,1),0)</f>
        <v/>
      </c>
      <c r="Y5026" s="12">
        <f>IF(OR(LEFT(K5026,4)="LVAX",LEFT(K5026,6)="MV15AX",LEFT(K5026,4)="CTAX",LEFT(K5026,2)="W|"),2*N5026*O5026,0)</f>
        <v/>
      </c>
      <c r="Z5026" s="12" t="inlineStr">
        <is>
          <t>VD 2.9 %</t>
        </is>
      </c>
      <c r="AA5026" s="12">
        <f>N5026*O5026</f>
        <v/>
      </c>
    </row>
    <row r="5027">
      <c r="A5027" s="12" t="inlineStr">
        <is>
          <t>I-P-0125</t>
        </is>
      </c>
      <c r="B5027" s="12" t="inlineStr">
        <is>
          <t>I</t>
        </is>
      </c>
      <c r="C5027" s="12" t="inlineStr">
        <is>
          <t>Modular / portable power</t>
        </is>
      </c>
      <c r="D5027" s="12" t="inlineStr">
        <is>
          <t>480 V welding receptacle 3</t>
        </is>
      </c>
      <c r="E5027" s="12" t="inlineStr"/>
      <c r="F5027" s="12" t="inlineStr">
        <is>
          <t>PCM: power control module</t>
        </is>
      </c>
      <c r="G5027" s="12" t="inlineStr">
        <is>
          <t>RICE-3</t>
        </is>
      </c>
      <c r="H5027" s="12" t="inlineStr">
        <is>
          <t>RICE engine-generator 3</t>
        </is>
      </c>
      <c r="I5027" s="12" t="inlineStr">
        <is>
          <t>LV 600 V</t>
        </is>
      </c>
      <c r="J5027" s="12" t="inlineStr">
        <is>
          <t>Type TC-ER 600 V 3/C Cu XHHW-2 + ground, PVC jacket</t>
        </is>
      </c>
      <c r="K5027" s="12" t="inlineStr">
        <is>
          <t>LV|3/C+G|1</t>
        </is>
      </c>
      <c r="L5027" s="12" t="inlineStr">
        <is>
          <t>3/C+G</t>
        </is>
      </c>
      <c r="M5027" s="12" t="inlineStr">
        <is>
          <t>1</t>
        </is>
      </c>
      <c r="N5027" s="12" t="n">
        <v>1</v>
      </c>
      <c r="O5027" s="12" t="n">
        <v>1</v>
      </c>
      <c r="P5027" s="12" t="n">
        <v>480</v>
      </c>
      <c r="Q5027" s="12" t="n">
        <v>60</v>
      </c>
      <c r="R5027" s="12" t="n">
        <v>76</v>
      </c>
      <c r="S5027" s="12" t="inlineStr">
        <is>
          <t>Duct bank</t>
        </is>
      </c>
      <c r="T5027" s="16" t="n">
        <v>550</v>
      </c>
      <c r="U5027" s="16" t="n">
        <v>81</v>
      </c>
      <c r="V5027" s="16">
        <f>ROUNDUP((T5027+U5027+2*'Read Me'!$B$13)*(1+'Read Me'!$B$12),-1)</f>
        <v/>
      </c>
      <c r="W5027" s="16">
        <f>V5027*N5027*O5027</f>
        <v/>
      </c>
      <c r="X5027" s="12">
        <f>IF(LEFT(I5027,2)="MV",2*N5027*IF(L5027="1/C",O5027,1),0)</f>
        <v/>
      </c>
      <c r="Y5027" s="12">
        <f>IF(OR(LEFT(K5027,4)="LVAX",LEFT(K5027,6)="MV15AX",LEFT(K5027,4)="CTAX",LEFT(K5027,2)="W|"),2*N5027*O5027,0)</f>
        <v/>
      </c>
      <c r="Z5027" s="12" t="inlineStr">
        <is>
          <t>VD 2.9 %</t>
        </is>
      </c>
      <c r="AA5027" s="12">
        <f>N5027*O5027</f>
        <v/>
      </c>
    </row>
    <row r="5028">
      <c r="A5028" s="12" t="inlineStr">
        <is>
          <t>I-P-0126</t>
        </is>
      </c>
      <c r="B5028" s="12" t="inlineStr">
        <is>
          <t>I</t>
        </is>
      </c>
      <c r="C5028" s="12" t="inlineStr">
        <is>
          <t>Modular / portable power</t>
        </is>
      </c>
      <c r="D5028" s="12" t="inlineStr">
        <is>
          <t>480 V welding receptacle 4</t>
        </is>
      </c>
      <c r="E5028" s="12" t="inlineStr"/>
      <c r="F5028" s="12" t="inlineStr">
        <is>
          <t>PCM: power control module</t>
        </is>
      </c>
      <c r="G5028" s="12" t="inlineStr">
        <is>
          <t>RICE-3</t>
        </is>
      </c>
      <c r="H5028" s="12" t="inlineStr">
        <is>
          <t>RICE engine-generator 3</t>
        </is>
      </c>
      <c r="I5028" s="12" t="inlineStr">
        <is>
          <t>LV 600 V</t>
        </is>
      </c>
      <c r="J5028" s="12" t="inlineStr">
        <is>
          <t>Type TC-ER 600 V 3/C Cu XHHW-2 + ground, PVC jacket</t>
        </is>
      </c>
      <c r="K5028" s="12" t="inlineStr">
        <is>
          <t>LV|3/C+G|1</t>
        </is>
      </c>
      <c r="L5028" s="12" t="inlineStr">
        <is>
          <t>3/C+G</t>
        </is>
      </c>
      <c r="M5028" s="12" t="inlineStr">
        <is>
          <t>1</t>
        </is>
      </c>
      <c r="N5028" s="12" t="n">
        <v>1</v>
      </c>
      <c r="O5028" s="12" t="n">
        <v>1</v>
      </c>
      <c r="P5028" s="12" t="n">
        <v>480</v>
      </c>
      <c r="Q5028" s="12" t="n">
        <v>60</v>
      </c>
      <c r="R5028" s="12" t="n">
        <v>76</v>
      </c>
      <c r="S5028" s="12" t="inlineStr">
        <is>
          <t>Duct bank</t>
        </is>
      </c>
      <c r="T5028" s="16" t="n">
        <v>550</v>
      </c>
      <c r="U5028" s="16" t="n">
        <v>81</v>
      </c>
      <c r="V5028" s="16">
        <f>ROUNDUP((T5028+U5028+2*'Read Me'!$B$13)*(1+'Read Me'!$B$12),-1)</f>
        <v/>
      </c>
      <c r="W5028" s="16">
        <f>V5028*N5028*O5028</f>
        <v/>
      </c>
      <c r="X5028" s="12">
        <f>IF(LEFT(I5028,2)="MV",2*N5028*IF(L5028="1/C",O5028,1),0)</f>
        <v/>
      </c>
      <c r="Y5028" s="12">
        <f>IF(OR(LEFT(K5028,4)="LVAX",LEFT(K5028,6)="MV15AX",LEFT(K5028,4)="CTAX",LEFT(K5028,2)="W|"),2*N5028*O5028,0)</f>
        <v/>
      </c>
      <c r="Z5028" s="12" t="inlineStr">
        <is>
          <t>VD 2.9 %</t>
        </is>
      </c>
      <c r="AA5028" s="12">
        <f>N5028*O5028</f>
        <v/>
      </c>
    </row>
    <row r="5029">
      <c r="A5029" s="12" t="inlineStr">
        <is>
          <t>I-P-0127</t>
        </is>
      </c>
      <c r="B5029" s="12" t="inlineStr">
        <is>
          <t>I</t>
        </is>
      </c>
      <c r="C5029" s="12" t="inlineStr">
        <is>
          <t>Modular / portable power</t>
        </is>
      </c>
      <c r="D5029" s="12" t="inlineStr">
        <is>
          <t>Motor 1 of 6, 22 kW</t>
        </is>
      </c>
      <c r="E5029" s="12" t="inlineStr"/>
      <c r="F5029" s="12" t="inlineStr">
        <is>
          <t>PCM: power control module</t>
        </is>
      </c>
      <c r="G5029" s="12" t="inlineStr">
        <is>
          <t>RICE-4</t>
        </is>
      </c>
      <c r="H5029" s="12" t="inlineStr">
        <is>
          <t>RICE engine-generator 4</t>
        </is>
      </c>
      <c r="I5029" s="12" t="inlineStr">
        <is>
          <t>LV 600 V</t>
        </is>
      </c>
      <c r="J5029" s="12" t="inlineStr">
        <is>
          <t>Type TC-ER 600 V 3/C Cu XHHW-2 + ground, PVC jacket</t>
        </is>
      </c>
      <c r="K5029" s="12" t="inlineStr">
        <is>
          <t>LV|3/C+G|4</t>
        </is>
      </c>
      <c r="L5029" s="12" t="inlineStr">
        <is>
          <t>3/C+G</t>
        </is>
      </c>
      <c r="M5029" s="12" t="inlineStr">
        <is>
          <t>4</t>
        </is>
      </c>
      <c r="N5029" s="12" t="n">
        <v>1</v>
      </c>
      <c r="O5029" s="12" t="n">
        <v>1</v>
      </c>
      <c r="P5029" s="12" t="n">
        <v>480</v>
      </c>
      <c r="Q5029" s="12" t="n">
        <v>22</v>
      </c>
      <c r="R5029" s="12" t="n">
        <v>31.1</v>
      </c>
      <c r="S5029" s="12" t="inlineStr">
        <is>
          <t>Duct bank</t>
        </is>
      </c>
      <c r="T5029" s="16" t="n">
        <v>550</v>
      </c>
      <c r="U5029" s="16" t="n">
        <v>53</v>
      </c>
      <c r="V5029" s="16">
        <f>ROUNDUP((T5029+U5029+2*'Read Me'!$B$13)*(1+'Read Me'!$B$12),-1)</f>
        <v/>
      </c>
      <c r="W5029" s="16">
        <f>V5029*N5029*O5029</f>
        <v/>
      </c>
      <c r="X5029" s="12">
        <f>IF(LEFT(I5029,2)="MV",2*N5029*IF(L5029="1/C",O5029,1),0)</f>
        <v/>
      </c>
      <c r="Y5029" s="12">
        <f>IF(OR(LEFT(K5029,4)="LVAX",LEFT(K5029,6)="MV15AX",LEFT(K5029,4)="CTAX",LEFT(K5029,2)="W|"),2*N5029*O5029,0)</f>
        <v/>
      </c>
      <c r="Z5029" s="12" t="inlineStr">
        <is>
          <t>VD 2.3 %</t>
        </is>
      </c>
      <c r="AA5029" s="12">
        <f>N5029*O5029</f>
        <v/>
      </c>
    </row>
    <row r="5030">
      <c r="A5030" s="12" t="inlineStr">
        <is>
          <t>I-P-0128</t>
        </is>
      </c>
      <c r="B5030" s="12" t="inlineStr">
        <is>
          <t>I</t>
        </is>
      </c>
      <c r="C5030" s="12" t="inlineStr">
        <is>
          <t>Modular / portable power</t>
        </is>
      </c>
      <c r="D5030" s="12" t="inlineStr">
        <is>
          <t>Motor 2 of 6, 22 kW</t>
        </is>
      </c>
      <c r="E5030" s="12" t="inlineStr"/>
      <c r="F5030" s="12" t="inlineStr">
        <is>
          <t>PCM: power control module</t>
        </is>
      </c>
      <c r="G5030" s="12" t="inlineStr">
        <is>
          <t>RICE-4</t>
        </is>
      </c>
      <c r="H5030" s="12" t="inlineStr">
        <is>
          <t>RICE engine-generator 4</t>
        </is>
      </c>
      <c r="I5030" s="12" t="inlineStr">
        <is>
          <t>LV 600 V</t>
        </is>
      </c>
      <c r="J5030" s="12" t="inlineStr">
        <is>
          <t>Type TC-ER 600 V 3/C Cu XHHW-2 + ground, PVC jacket</t>
        </is>
      </c>
      <c r="K5030" s="12" t="inlineStr">
        <is>
          <t>LV|3/C+G|4</t>
        </is>
      </c>
      <c r="L5030" s="12" t="inlineStr">
        <is>
          <t>3/C+G</t>
        </is>
      </c>
      <c r="M5030" s="12" t="inlineStr">
        <is>
          <t>4</t>
        </is>
      </c>
      <c r="N5030" s="12" t="n">
        <v>1</v>
      </c>
      <c r="O5030" s="12" t="n">
        <v>1</v>
      </c>
      <c r="P5030" s="12" t="n">
        <v>480</v>
      </c>
      <c r="Q5030" s="12" t="n">
        <v>22</v>
      </c>
      <c r="R5030" s="12" t="n">
        <v>31.1</v>
      </c>
      <c r="S5030" s="12" t="inlineStr">
        <is>
          <t>Duct bank</t>
        </is>
      </c>
      <c r="T5030" s="16" t="n">
        <v>550</v>
      </c>
      <c r="U5030" s="16" t="n">
        <v>53</v>
      </c>
      <c r="V5030" s="16">
        <f>ROUNDUP((T5030+U5030+2*'Read Me'!$B$13)*(1+'Read Me'!$B$12),-1)</f>
        <v/>
      </c>
      <c r="W5030" s="16">
        <f>V5030*N5030*O5030</f>
        <v/>
      </c>
      <c r="X5030" s="12">
        <f>IF(LEFT(I5030,2)="MV",2*N5030*IF(L5030="1/C",O5030,1),0)</f>
        <v/>
      </c>
      <c r="Y5030" s="12">
        <f>IF(OR(LEFT(K5030,4)="LVAX",LEFT(K5030,6)="MV15AX",LEFT(K5030,4)="CTAX",LEFT(K5030,2)="W|"),2*N5030*O5030,0)</f>
        <v/>
      </c>
      <c r="Z5030" s="12" t="inlineStr">
        <is>
          <t>VD 2.3 %</t>
        </is>
      </c>
      <c r="AA5030" s="12">
        <f>N5030*O5030</f>
        <v/>
      </c>
    </row>
    <row r="5031">
      <c r="A5031" s="12" t="inlineStr">
        <is>
          <t>I-P-0129</t>
        </is>
      </c>
      <c r="B5031" s="12" t="inlineStr">
        <is>
          <t>I</t>
        </is>
      </c>
      <c r="C5031" s="12" t="inlineStr">
        <is>
          <t>Modular / portable power</t>
        </is>
      </c>
      <c r="D5031" s="12" t="inlineStr">
        <is>
          <t>Motor 3 of 6, 22 kW</t>
        </is>
      </c>
      <c r="E5031" s="12" t="inlineStr"/>
      <c r="F5031" s="12" t="inlineStr">
        <is>
          <t>PCM: power control module</t>
        </is>
      </c>
      <c r="G5031" s="12" t="inlineStr">
        <is>
          <t>RICE-4</t>
        </is>
      </c>
      <c r="H5031" s="12" t="inlineStr">
        <is>
          <t>RICE engine-generator 4</t>
        </is>
      </c>
      <c r="I5031" s="12" t="inlineStr">
        <is>
          <t>LV 600 V</t>
        </is>
      </c>
      <c r="J5031" s="12" t="inlineStr">
        <is>
          <t>Type TC-ER 600 V 3/C Cu XHHW-2 + ground, PVC jacket</t>
        </is>
      </c>
      <c r="K5031" s="12" t="inlineStr">
        <is>
          <t>LV|3/C+G|4</t>
        </is>
      </c>
      <c r="L5031" s="12" t="inlineStr">
        <is>
          <t>3/C+G</t>
        </is>
      </c>
      <c r="M5031" s="12" t="inlineStr">
        <is>
          <t>4</t>
        </is>
      </c>
      <c r="N5031" s="12" t="n">
        <v>1</v>
      </c>
      <c r="O5031" s="12" t="n">
        <v>1</v>
      </c>
      <c r="P5031" s="12" t="n">
        <v>480</v>
      </c>
      <c r="Q5031" s="12" t="n">
        <v>22</v>
      </c>
      <c r="R5031" s="12" t="n">
        <v>31.1</v>
      </c>
      <c r="S5031" s="12" t="inlineStr">
        <is>
          <t>Duct bank</t>
        </is>
      </c>
      <c r="T5031" s="16" t="n">
        <v>550</v>
      </c>
      <c r="U5031" s="16" t="n">
        <v>53</v>
      </c>
      <c r="V5031" s="16">
        <f>ROUNDUP((T5031+U5031+2*'Read Me'!$B$13)*(1+'Read Me'!$B$12),-1)</f>
        <v/>
      </c>
      <c r="W5031" s="16">
        <f>V5031*N5031*O5031</f>
        <v/>
      </c>
      <c r="X5031" s="12">
        <f>IF(LEFT(I5031,2)="MV",2*N5031*IF(L5031="1/C",O5031,1),0)</f>
        <v/>
      </c>
      <c r="Y5031" s="12">
        <f>IF(OR(LEFT(K5031,4)="LVAX",LEFT(K5031,6)="MV15AX",LEFT(K5031,4)="CTAX",LEFT(K5031,2)="W|"),2*N5031*O5031,0)</f>
        <v/>
      </c>
      <c r="Z5031" s="12" t="inlineStr">
        <is>
          <t>VD 2.3 %</t>
        </is>
      </c>
      <c r="AA5031" s="12">
        <f>N5031*O5031</f>
        <v/>
      </c>
    </row>
    <row r="5032">
      <c r="A5032" s="12" t="inlineStr">
        <is>
          <t>I-P-0130</t>
        </is>
      </c>
      <c r="B5032" s="12" t="inlineStr">
        <is>
          <t>I</t>
        </is>
      </c>
      <c r="C5032" s="12" t="inlineStr">
        <is>
          <t>Modular / portable power</t>
        </is>
      </c>
      <c r="D5032" s="12" t="inlineStr">
        <is>
          <t>Motor 4 of 6, 22 kW</t>
        </is>
      </c>
      <c r="E5032" s="12" t="inlineStr"/>
      <c r="F5032" s="12" t="inlineStr">
        <is>
          <t>PCM: power control module</t>
        </is>
      </c>
      <c r="G5032" s="12" t="inlineStr">
        <is>
          <t>RICE-4</t>
        </is>
      </c>
      <c r="H5032" s="12" t="inlineStr">
        <is>
          <t>RICE engine-generator 4</t>
        </is>
      </c>
      <c r="I5032" s="12" t="inlineStr">
        <is>
          <t>LV 600 V</t>
        </is>
      </c>
      <c r="J5032" s="12" t="inlineStr">
        <is>
          <t>Type TC-ER 600 V 3/C Cu XHHW-2 + ground, PVC jacket</t>
        </is>
      </c>
      <c r="K5032" s="12" t="inlineStr">
        <is>
          <t>LV|3/C+G|4</t>
        </is>
      </c>
      <c r="L5032" s="12" t="inlineStr">
        <is>
          <t>3/C+G</t>
        </is>
      </c>
      <c r="M5032" s="12" t="inlineStr">
        <is>
          <t>4</t>
        </is>
      </c>
      <c r="N5032" s="12" t="n">
        <v>1</v>
      </c>
      <c r="O5032" s="12" t="n">
        <v>1</v>
      </c>
      <c r="P5032" s="12" t="n">
        <v>480</v>
      </c>
      <c r="Q5032" s="12" t="n">
        <v>22</v>
      </c>
      <c r="R5032" s="12" t="n">
        <v>31.1</v>
      </c>
      <c r="S5032" s="12" t="inlineStr">
        <is>
          <t>Duct bank</t>
        </is>
      </c>
      <c r="T5032" s="16" t="n">
        <v>550</v>
      </c>
      <c r="U5032" s="16" t="n">
        <v>53</v>
      </c>
      <c r="V5032" s="16">
        <f>ROUNDUP((T5032+U5032+2*'Read Me'!$B$13)*(1+'Read Me'!$B$12),-1)</f>
        <v/>
      </c>
      <c r="W5032" s="16">
        <f>V5032*N5032*O5032</f>
        <v/>
      </c>
      <c r="X5032" s="12">
        <f>IF(LEFT(I5032,2)="MV",2*N5032*IF(L5032="1/C",O5032,1),0)</f>
        <v/>
      </c>
      <c r="Y5032" s="12">
        <f>IF(OR(LEFT(K5032,4)="LVAX",LEFT(K5032,6)="MV15AX",LEFT(K5032,4)="CTAX",LEFT(K5032,2)="W|"),2*N5032*O5032,0)</f>
        <v/>
      </c>
      <c r="Z5032" s="12" t="inlineStr">
        <is>
          <t>VD 2.3 %</t>
        </is>
      </c>
      <c r="AA5032" s="12">
        <f>N5032*O5032</f>
        <v/>
      </c>
    </row>
    <row r="5033">
      <c r="A5033" s="12" t="inlineStr">
        <is>
          <t>I-P-0131</t>
        </is>
      </c>
      <c r="B5033" s="12" t="inlineStr">
        <is>
          <t>I</t>
        </is>
      </c>
      <c r="C5033" s="12" t="inlineStr">
        <is>
          <t>Modular / portable power</t>
        </is>
      </c>
      <c r="D5033" s="12" t="inlineStr">
        <is>
          <t>Motor 5 of 6, 22 kW</t>
        </is>
      </c>
      <c r="E5033" s="12" t="inlineStr"/>
      <c r="F5033" s="12" t="inlineStr">
        <is>
          <t>PCM: power control module</t>
        </is>
      </c>
      <c r="G5033" s="12" t="inlineStr">
        <is>
          <t>RICE-4</t>
        </is>
      </c>
      <c r="H5033" s="12" t="inlineStr">
        <is>
          <t>RICE engine-generator 4</t>
        </is>
      </c>
      <c r="I5033" s="12" t="inlineStr">
        <is>
          <t>LV 600 V</t>
        </is>
      </c>
      <c r="J5033" s="12" t="inlineStr">
        <is>
          <t>Type TC-ER 600 V 3/C Cu XHHW-2 + ground, PVC jacket</t>
        </is>
      </c>
      <c r="K5033" s="12" t="inlineStr">
        <is>
          <t>LV|3/C+G|4</t>
        </is>
      </c>
      <c r="L5033" s="12" t="inlineStr">
        <is>
          <t>3/C+G</t>
        </is>
      </c>
      <c r="M5033" s="12" t="inlineStr">
        <is>
          <t>4</t>
        </is>
      </c>
      <c r="N5033" s="12" t="n">
        <v>1</v>
      </c>
      <c r="O5033" s="12" t="n">
        <v>1</v>
      </c>
      <c r="P5033" s="12" t="n">
        <v>480</v>
      </c>
      <c r="Q5033" s="12" t="n">
        <v>22</v>
      </c>
      <c r="R5033" s="12" t="n">
        <v>31.1</v>
      </c>
      <c r="S5033" s="12" t="inlineStr">
        <is>
          <t>Duct bank</t>
        </is>
      </c>
      <c r="T5033" s="16" t="n">
        <v>550</v>
      </c>
      <c r="U5033" s="16" t="n">
        <v>53</v>
      </c>
      <c r="V5033" s="16">
        <f>ROUNDUP((T5033+U5033+2*'Read Me'!$B$13)*(1+'Read Me'!$B$12),-1)</f>
        <v/>
      </c>
      <c r="W5033" s="16">
        <f>V5033*N5033*O5033</f>
        <v/>
      </c>
      <c r="X5033" s="12">
        <f>IF(LEFT(I5033,2)="MV",2*N5033*IF(L5033="1/C",O5033,1),0)</f>
        <v/>
      </c>
      <c r="Y5033" s="12">
        <f>IF(OR(LEFT(K5033,4)="LVAX",LEFT(K5033,6)="MV15AX",LEFT(K5033,4)="CTAX",LEFT(K5033,2)="W|"),2*N5033*O5033,0)</f>
        <v/>
      </c>
      <c r="Z5033" s="12" t="inlineStr">
        <is>
          <t>VD 2.3 %</t>
        </is>
      </c>
      <c r="AA5033" s="12">
        <f>N5033*O5033</f>
        <v/>
      </c>
    </row>
    <row r="5034">
      <c r="A5034" s="12" t="inlineStr">
        <is>
          <t>I-P-0132</t>
        </is>
      </c>
      <c r="B5034" s="12" t="inlineStr">
        <is>
          <t>I</t>
        </is>
      </c>
      <c r="C5034" s="12" t="inlineStr">
        <is>
          <t>Modular / portable power</t>
        </is>
      </c>
      <c r="D5034" s="12" t="inlineStr">
        <is>
          <t>Motor 6 of 6, 22 kW</t>
        </is>
      </c>
      <c r="E5034" s="12" t="inlineStr"/>
      <c r="F5034" s="12" t="inlineStr">
        <is>
          <t>PCM: power control module</t>
        </is>
      </c>
      <c r="G5034" s="12" t="inlineStr">
        <is>
          <t>RICE-4</t>
        </is>
      </c>
      <c r="H5034" s="12" t="inlineStr">
        <is>
          <t>RICE engine-generator 4</t>
        </is>
      </c>
      <c r="I5034" s="12" t="inlineStr">
        <is>
          <t>LV 600 V</t>
        </is>
      </c>
      <c r="J5034" s="12" t="inlineStr">
        <is>
          <t>Type TC-ER 600 V 3/C Cu XHHW-2 + ground, PVC jacket</t>
        </is>
      </c>
      <c r="K5034" s="12" t="inlineStr">
        <is>
          <t>LV|3/C+G|4</t>
        </is>
      </c>
      <c r="L5034" s="12" t="inlineStr">
        <is>
          <t>3/C+G</t>
        </is>
      </c>
      <c r="M5034" s="12" t="inlineStr">
        <is>
          <t>4</t>
        </is>
      </c>
      <c r="N5034" s="12" t="n">
        <v>1</v>
      </c>
      <c r="O5034" s="12" t="n">
        <v>1</v>
      </c>
      <c r="P5034" s="12" t="n">
        <v>480</v>
      </c>
      <c r="Q5034" s="12" t="n">
        <v>22</v>
      </c>
      <c r="R5034" s="12" t="n">
        <v>31.1</v>
      </c>
      <c r="S5034" s="12" t="inlineStr">
        <is>
          <t>Duct bank</t>
        </is>
      </c>
      <c r="T5034" s="16" t="n">
        <v>550</v>
      </c>
      <c r="U5034" s="16" t="n">
        <v>53</v>
      </c>
      <c r="V5034" s="16">
        <f>ROUNDUP((T5034+U5034+2*'Read Me'!$B$13)*(1+'Read Me'!$B$12),-1)</f>
        <v/>
      </c>
      <c r="W5034" s="16">
        <f>V5034*N5034*O5034</f>
        <v/>
      </c>
      <c r="X5034" s="12">
        <f>IF(LEFT(I5034,2)="MV",2*N5034*IF(L5034="1/C",O5034,1),0)</f>
        <v/>
      </c>
      <c r="Y5034" s="12">
        <f>IF(OR(LEFT(K5034,4)="LVAX",LEFT(K5034,6)="MV15AX",LEFT(K5034,4)="CTAX",LEFT(K5034,2)="W|"),2*N5034*O5034,0)</f>
        <v/>
      </c>
      <c r="Z5034" s="12" t="inlineStr">
        <is>
          <t>VD 2.3 %</t>
        </is>
      </c>
      <c r="AA5034" s="12">
        <f>N5034*O5034</f>
        <v/>
      </c>
    </row>
    <row r="5035">
      <c r="A5035" s="12" t="inlineStr">
        <is>
          <t>I-P-0133</t>
        </is>
      </c>
      <c r="B5035" s="12" t="inlineStr">
        <is>
          <t>I</t>
        </is>
      </c>
      <c r="C5035" s="12" t="inlineStr">
        <is>
          <t>Modular / portable power</t>
        </is>
      </c>
      <c r="D5035" s="12" t="inlineStr">
        <is>
          <t>480 V welding receptacle 1</t>
        </is>
      </c>
      <c r="E5035" s="12" t="inlineStr"/>
      <c r="F5035" s="12" t="inlineStr">
        <is>
          <t>PCM: power control module</t>
        </is>
      </c>
      <c r="G5035" s="12" t="inlineStr">
        <is>
          <t>RICE-4</t>
        </is>
      </c>
      <c r="H5035" s="12" t="inlineStr">
        <is>
          <t>RICE engine-generator 4</t>
        </is>
      </c>
      <c r="I5035" s="12" t="inlineStr">
        <is>
          <t>LV 600 V</t>
        </is>
      </c>
      <c r="J5035" s="12" t="inlineStr">
        <is>
          <t>Type TC-ER 600 V 3/C Cu XHHW-2 + ground, PVC jacket</t>
        </is>
      </c>
      <c r="K5035" s="12" t="inlineStr">
        <is>
          <t>LV|3/C+G|1</t>
        </is>
      </c>
      <c r="L5035" s="12" t="inlineStr">
        <is>
          <t>3/C+G</t>
        </is>
      </c>
      <c r="M5035" s="12" t="inlineStr">
        <is>
          <t>1</t>
        </is>
      </c>
      <c r="N5035" s="12" t="n">
        <v>1</v>
      </c>
      <c r="O5035" s="12" t="n">
        <v>1</v>
      </c>
      <c r="P5035" s="12" t="n">
        <v>480</v>
      </c>
      <c r="Q5035" s="12" t="n">
        <v>60</v>
      </c>
      <c r="R5035" s="12" t="n">
        <v>76</v>
      </c>
      <c r="S5035" s="12" t="inlineStr">
        <is>
          <t>Duct bank</t>
        </is>
      </c>
      <c r="T5035" s="16" t="n">
        <v>550</v>
      </c>
      <c r="U5035" s="16" t="n">
        <v>53</v>
      </c>
      <c r="V5035" s="16">
        <f>ROUNDUP((T5035+U5035+2*'Read Me'!$B$13)*(1+'Read Me'!$B$12),-1)</f>
        <v/>
      </c>
      <c r="W5035" s="16">
        <f>V5035*N5035*O5035</f>
        <v/>
      </c>
      <c r="X5035" s="12">
        <f>IF(LEFT(I5035,2)="MV",2*N5035*IF(L5035="1/C",O5035,1),0)</f>
        <v/>
      </c>
      <c r="Y5035" s="12">
        <f>IF(OR(LEFT(K5035,4)="LVAX",LEFT(K5035,6)="MV15AX",LEFT(K5035,4)="CTAX",LEFT(K5035,2)="W|"),2*N5035*O5035,0)</f>
        <v/>
      </c>
      <c r="Z5035" s="12" t="inlineStr">
        <is>
          <t>VD 2.8 %</t>
        </is>
      </c>
      <c r="AA5035" s="12">
        <f>N5035*O5035</f>
        <v/>
      </c>
    </row>
    <row r="5036">
      <c r="A5036" s="12" t="inlineStr">
        <is>
          <t>I-P-0134</t>
        </is>
      </c>
      <c r="B5036" s="12" t="inlineStr">
        <is>
          <t>I</t>
        </is>
      </c>
      <c r="C5036" s="12" t="inlineStr">
        <is>
          <t>Modular / portable power</t>
        </is>
      </c>
      <c r="D5036" s="12" t="inlineStr">
        <is>
          <t>480 V welding receptacle 2</t>
        </is>
      </c>
      <c r="E5036" s="12" t="inlineStr"/>
      <c r="F5036" s="12" t="inlineStr">
        <is>
          <t>PCM: power control module</t>
        </is>
      </c>
      <c r="G5036" s="12" t="inlineStr">
        <is>
          <t>RICE-4</t>
        </is>
      </c>
      <c r="H5036" s="12" t="inlineStr">
        <is>
          <t>RICE engine-generator 4</t>
        </is>
      </c>
      <c r="I5036" s="12" t="inlineStr">
        <is>
          <t>LV 600 V</t>
        </is>
      </c>
      <c r="J5036" s="12" t="inlineStr">
        <is>
          <t>Type TC-ER 600 V 3/C Cu XHHW-2 + ground, PVC jacket</t>
        </is>
      </c>
      <c r="K5036" s="12" t="inlineStr">
        <is>
          <t>LV|3/C+G|1</t>
        </is>
      </c>
      <c r="L5036" s="12" t="inlineStr">
        <is>
          <t>3/C+G</t>
        </is>
      </c>
      <c r="M5036" s="12" t="inlineStr">
        <is>
          <t>1</t>
        </is>
      </c>
      <c r="N5036" s="12" t="n">
        <v>1</v>
      </c>
      <c r="O5036" s="12" t="n">
        <v>1</v>
      </c>
      <c r="P5036" s="12" t="n">
        <v>480</v>
      </c>
      <c r="Q5036" s="12" t="n">
        <v>60</v>
      </c>
      <c r="R5036" s="12" t="n">
        <v>76</v>
      </c>
      <c r="S5036" s="12" t="inlineStr">
        <is>
          <t>Duct bank</t>
        </is>
      </c>
      <c r="T5036" s="16" t="n">
        <v>550</v>
      </c>
      <c r="U5036" s="16" t="n">
        <v>53</v>
      </c>
      <c r="V5036" s="16">
        <f>ROUNDUP((T5036+U5036+2*'Read Me'!$B$13)*(1+'Read Me'!$B$12),-1)</f>
        <v/>
      </c>
      <c r="W5036" s="16">
        <f>V5036*N5036*O5036</f>
        <v/>
      </c>
      <c r="X5036" s="12">
        <f>IF(LEFT(I5036,2)="MV",2*N5036*IF(L5036="1/C",O5036,1),0)</f>
        <v/>
      </c>
      <c r="Y5036" s="12">
        <f>IF(OR(LEFT(K5036,4)="LVAX",LEFT(K5036,6)="MV15AX",LEFT(K5036,4)="CTAX",LEFT(K5036,2)="W|"),2*N5036*O5036,0)</f>
        <v/>
      </c>
      <c r="Z5036" s="12" t="inlineStr">
        <is>
          <t>VD 2.8 %</t>
        </is>
      </c>
      <c r="AA5036" s="12">
        <f>N5036*O5036</f>
        <v/>
      </c>
    </row>
    <row r="5037">
      <c r="A5037" s="12" t="inlineStr">
        <is>
          <t>I-P-0135</t>
        </is>
      </c>
      <c r="B5037" s="12" t="inlineStr">
        <is>
          <t>I</t>
        </is>
      </c>
      <c r="C5037" s="12" t="inlineStr">
        <is>
          <t>Modular / portable power</t>
        </is>
      </c>
      <c r="D5037" s="12" t="inlineStr">
        <is>
          <t>480 V welding receptacle 3</t>
        </is>
      </c>
      <c r="E5037" s="12" t="inlineStr"/>
      <c r="F5037" s="12" t="inlineStr">
        <is>
          <t>PCM: power control module</t>
        </is>
      </c>
      <c r="G5037" s="12" t="inlineStr">
        <is>
          <t>RICE-4</t>
        </is>
      </c>
      <c r="H5037" s="12" t="inlineStr">
        <is>
          <t>RICE engine-generator 4</t>
        </is>
      </c>
      <c r="I5037" s="12" t="inlineStr">
        <is>
          <t>LV 600 V</t>
        </is>
      </c>
      <c r="J5037" s="12" t="inlineStr">
        <is>
          <t>Type TC-ER 600 V 3/C Cu XHHW-2 + ground, PVC jacket</t>
        </is>
      </c>
      <c r="K5037" s="12" t="inlineStr">
        <is>
          <t>LV|3/C+G|1</t>
        </is>
      </c>
      <c r="L5037" s="12" t="inlineStr">
        <is>
          <t>3/C+G</t>
        </is>
      </c>
      <c r="M5037" s="12" t="inlineStr">
        <is>
          <t>1</t>
        </is>
      </c>
      <c r="N5037" s="12" t="n">
        <v>1</v>
      </c>
      <c r="O5037" s="12" t="n">
        <v>1</v>
      </c>
      <c r="P5037" s="12" t="n">
        <v>480</v>
      </c>
      <c r="Q5037" s="12" t="n">
        <v>60</v>
      </c>
      <c r="R5037" s="12" t="n">
        <v>76</v>
      </c>
      <c r="S5037" s="12" t="inlineStr">
        <is>
          <t>Duct bank</t>
        </is>
      </c>
      <c r="T5037" s="16" t="n">
        <v>550</v>
      </c>
      <c r="U5037" s="16" t="n">
        <v>53</v>
      </c>
      <c r="V5037" s="16">
        <f>ROUNDUP((T5037+U5037+2*'Read Me'!$B$13)*(1+'Read Me'!$B$12),-1)</f>
        <v/>
      </c>
      <c r="W5037" s="16">
        <f>V5037*N5037*O5037</f>
        <v/>
      </c>
      <c r="X5037" s="12">
        <f>IF(LEFT(I5037,2)="MV",2*N5037*IF(L5037="1/C",O5037,1),0)</f>
        <v/>
      </c>
      <c r="Y5037" s="12">
        <f>IF(OR(LEFT(K5037,4)="LVAX",LEFT(K5037,6)="MV15AX",LEFT(K5037,4)="CTAX",LEFT(K5037,2)="W|"),2*N5037*O5037,0)</f>
        <v/>
      </c>
      <c r="Z5037" s="12" t="inlineStr">
        <is>
          <t>VD 2.8 %</t>
        </is>
      </c>
      <c r="AA5037" s="12">
        <f>N5037*O5037</f>
        <v/>
      </c>
    </row>
    <row r="5038">
      <c r="A5038" s="12" t="inlineStr">
        <is>
          <t>I-P-0136</t>
        </is>
      </c>
      <c r="B5038" s="12" t="inlineStr">
        <is>
          <t>I</t>
        </is>
      </c>
      <c r="C5038" s="12" t="inlineStr">
        <is>
          <t>Modular / portable power</t>
        </is>
      </c>
      <c r="D5038" s="12" t="inlineStr">
        <is>
          <t>480 V welding receptacle 4</t>
        </is>
      </c>
      <c r="E5038" s="12" t="inlineStr"/>
      <c r="F5038" s="12" t="inlineStr">
        <is>
          <t>PCM: power control module</t>
        </is>
      </c>
      <c r="G5038" s="12" t="inlineStr">
        <is>
          <t>RICE-4</t>
        </is>
      </c>
      <c r="H5038" s="12" t="inlineStr">
        <is>
          <t>RICE engine-generator 4</t>
        </is>
      </c>
      <c r="I5038" s="12" t="inlineStr">
        <is>
          <t>LV 600 V</t>
        </is>
      </c>
      <c r="J5038" s="12" t="inlineStr">
        <is>
          <t>Type TC-ER 600 V 3/C Cu XHHW-2 + ground, PVC jacket</t>
        </is>
      </c>
      <c r="K5038" s="12" t="inlineStr">
        <is>
          <t>LV|3/C+G|1</t>
        </is>
      </c>
      <c r="L5038" s="12" t="inlineStr">
        <is>
          <t>3/C+G</t>
        </is>
      </c>
      <c r="M5038" s="12" t="inlineStr">
        <is>
          <t>1</t>
        </is>
      </c>
      <c r="N5038" s="12" t="n">
        <v>1</v>
      </c>
      <c r="O5038" s="12" t="n">
        <v>1</v>
      </c>
      <c r="P5038" s="12" t="n">
        <v>480</v>
      </c>
      <c r="Q5038" s="12" t="n">
        <v>60</v>
      </c>
      <c r="R5038" s="12" t="n">
        <v>76</v>
      </c>
      <c r="S5038" s="12" t="inlineStr">
        <is>
          <t>Duct bank</t>
        </is>
      </c>
      <c r="T5038" s="16" t="n">
        <v>550</v>
      </c>
      <c r="U5038" s="16" t="n">
        <v>53</v>
      </c>
      <c r="V5038" s="16">
        <f>ROUNDUP((T5038+U5038+2*'Read Me'!$B$13)*(1+'Read Me'!$B$12),-1)</f>
        <v/>
      </c>
      <c r="W5038" s="16">
        <f>V5038*N5038*O5038</f>
        <v/>
      </c>
      <c r="X5038" s="12">
        <f>IF(LEFT(I5038,2)="MV",2*N5038*IF(L5038="1/C",O5038,1),0)</f>
        <v/>
      </c>
      <c r="Y5038" s="12">
        <f>IF(OR(LEFT(K5038,4)="LVAX",LEFT(K5038,6)="MV15AX",LEFT(K5038,4)="CTAX",LEFT(K5038,2)="W|"),2*N5038*O5038,0)</f>
        <v/>
      </c>
      <c r="Z5038" s="12" t="inlineStr">
        <is>
          <t>VD 2.8 %</t>
        </is>
      </c>
      <c r="AA5038" s="12">
        <f>N5038*O5038</f>
        <v/>
      </c>
    </row>
    <row r="5039">
      <c r="A5039" s="12" t="inlineStr">
        <is>
          <t>I-P-0137</t>
        </is>
      </c>
      <c r="B5039" s="12" t="inlineStr">
        <is>
          <t>I</t>
        </is>
      </c>
      <c r="C5039" s="12" t="inlineStr">
        <is>
          <t>Modular / portable power</t>
        </is>
      </c>
      <c r="D5039" s="12" t="inlineStr">
        <is>
          <t>Motor 1 of 6, 22 kW</t>
        </is>
      </c>
      <c r="E5039" s="12" t="inlineStr"/>
      <c r="F5039" s="12" t="inlineStr">
        <is>
          <t>PCM: power control module</t>
        </is>
      </c>
      <c r="G5039" s="12" t="inlineStr">
        <is>
          <t>RICE-5</t>
        </is>
      </c>
      <c r="H5039" s="12" t="inlineStr">
        <is>
          <t>RICE engine-generator 5</t>
        </is>
      </c>
      <c r="I5039" s="12" t="inlineStr">
        <is>
          <t>LV 600 V</t>
        </is>
      </c>
      <c r="J5039" s="12" t="inlineStr">
        <is>
          <t>Type TC-ER 600 V 3/C Cu XHHW-2 + ground, PVC jacket</t>
        </is>
      </c>
      <c r="K5039" s="12" t="inlineStr">
        <is>
          <t>LV|3/C+G|4</t>
        </is>
      </c>
      <c r="L5039" s="12" t="inlineStr">
        <is>
          <t>3/C+G</t>
        </is>
      </c>
      <c r="M5039" s="12" t="inlineStr">
        <is>
          <t>4</t>
        </is>
      </c>
      <c r="N5039" s="12" t="n">
        <v>1</v>
      </c>
      <c r="O5039" s="12" t="n">
        <v>1</v>
      </c>
      <c r="P5039" s="12" t="n">
        <v>480</v>
      </c>
      <c r="Q5039" s="12" t="n">
        <v>22</v>
      </c>
      <c r="R5039" s="12" t="n">
        <v>31.1</v>
      </c>
      <c r="S5039" s="12" t="inlineStr">
        <is>
          <t>Duct bank</t>
        </is>
      </c>
      <c r="T5039" s="16" t="n">
        <v>367</v>
      </c>
      <c r="U5039" s="16" t="n">
        <v>208</v>
      </c>
      <c r="V5039" s="16">
        <f>ROUNDUP((T5039+U5039+2*'Read Me'!$B$13)*(1+'Read Me'!$B$12),-1)</f>
        <v/>
      </c>
      <c r="W5039" s="16">
        <f>V5039*N5039*O5039</f>
        <v/>
      </c>
      <c r="X5039" s="12">
        <f>IF(LEFT(I5039,2)="MV",2*N5039*IF(L5039="1/C",O5039,1),0)</f>
        <v/>
      </c>
      <c r="Y5039" s="12">
        <f>IF(OR(LEFT(K5039,4)="LVAX",LEFT(K5039,6)="MV15AX",LEFT(K5039,4)="CTAX",LEFT(K5039,2)="W|"),2*N5039*O5039,0)</f>
        <v/>
      </c>
      <c r="Z5039" s="12" t="inlineStr">
        <is>
          <t>VD 2.2 %</t>
        </is>
      </c>
      <c r="AA5039" s="12">
        <f>N5039*O5039</f>
        <v/>
      </c>
    </row>
    <row r="5040">
      <c r="A5040" s="12" t="inlineStr">
        <is>
          <t>I-P-0138</t>
        </is>
      </c>
      <c r="B5040" s="12" t="inlineStr">
        <is>
          <t>I</t>
        </is>
      </c>
      <c r="C5040" s="12" t="inlineStr">
        <is>
          <t>Modular / portable power</t>
        </is>
      </c>
      <c r="D5040" s="12" t="inlineStr">
        <is>
          <t>Motor 2 of 6, 22 kW</t>
        </is>
      </c>
      <c r="E5040" s="12" t="inlineStr"/>
      <c r="F5040" s="12" t="inlineStr">
        <is>
          <t>PCM: power control module</t>
        </is>
      </c>
      <c r="G5040" s="12" t="inlineStr">
        <is>
          <t>RICE-5</t>
        </is>
      </c>
      <c r="H5040" s="12" t="inlineStr">
        <is>
          <t>RICE engine-generator 5</t>
        </is>
      </c>
      <c r="I5040" s="12" t="inlineStr">
        <is>
          <t>LV 600 V</t>
        </is>
      </c>
      <c r="J5040" s="12" t="inlineStr">
        <is>
          <t>Type TC-ER 600 V 3/C Cu XHHW-2 + ground, PVC jacket</t>
        </is>
      </c>
      <c r="K5040" s="12" t="inlineStr">
        <is>
          <t>LV|3/C+G|4</t>
        </is>
      </c>
      <c r="L5040" s="12" t="inlineStr">
        <is>
          <t>3/C+G</t>
        </is>
      </c>
      <c r="M5040" s="12" t="inlineStr">
        <is>
          <t>4</t>
        </is>
      </c>
      <c r="N5040" s="12" t="n">
        <v>1</v>
      </c>
      <c r="O5040" s="12" t="n">
        <v>1</v>
      </c>
      <c r="P5040" s="12" t="n">
        <v>480</v>
      </c>
      <c r="Q5040" s="12" t="n">
        <v>22</v>
      </c>
      <c r="R5040" s="12" t="n">
        <v>31.1</v>
      </c>
      <c r="S5040" s="12" t="inlineStr">
        <is>
          <t>Duct bank</t>
        </is>
      </c>
      <c r="T5040" s="16" t="n">
        <v>367</v>
      </c>
      <c r="U5040" s="16" t="n">
        <v>208</v>
      </c>
      <c r="V5040" s="16">
        <f>ROUNDUP((T5040+U5040+2*'Read Me'!$B$13)*(1+'Read Me'!$B$12),-1)</f>
        <v/>
      </c>
      <c r="W5040" s="16">
        <f>V5040*N5040*O5040</f>
        <v/>
      </c>
      <c r="X5040" s="12">
        <f>IF(LEFT(I5040,2)="MV",2*N5040*IF(L5040="1/C",O5040,1),0)</f>
        <v/>
      </c>
      <c r="Y5040" s="12">
        <f>IF(OR(LEFT(K5040,4)="LVAX",LEFT(K5040,6)="MV15AX",LEFT(K5040,4)="CTAX",LEFT(K5040,2)="W|"),2*N5040*O5040,0)</f>
        <v/>
      </c>
      <c r="Z5040" s="12" t="inlineStr">
        <is>
          <t>VD 2.2 %</t>
        </is>
      </c>
      <c r="AA5040" s="12">
        <f>N5040*O5040</f>
        <v/>
      </c>
    </row>
    <row r="5041">
      <c r="A5041" s="12" t="inlineStr">
        <is>
          <t>I-P-0139</t>
        </is>
      </c>
      <c r="B5041" s="12" t="inlineStr">
        <is>
          <t>I</t>
        </is>
      </c>
      <c r="C5041" s="12" t="inlineStr">
        <is>
          <t>Modular / portable power</t>
        </is>
      </c>
      <c r="D5041" s="12" t="inlineStr">
        <is>
          <t>Motor 3 of 6, 22 kW</t>
        </is>
      </c>
      <c r="E5041" s="12" t="inlineStr"/>
      <c r="F5041" s="12" t="inlineStr">
        <is>
          <t>PCM: power control module</t>
        </is>
      </c>
      <c r="G5041" s="12" t="inlineStr">
        <is>
          <t>RICE-5</t>
        </is>
      </c>
      <c r="H5041" s="12" t="inlineStr">
        <is>
          <t>RICE engine-generator 5</t>
        </is>
      </c>
      <c r="I5041" s="12" t="inlineStr">
        <is>
          <t>LV 600 V</t>
        </is>
      </c>
      <c r="J5041" s="12" t="inlineStr">
        <is>
          <t>Type TC-ER 600 V 3/C Cu XHHW-2 + ground, PVC jacket</t>
        </is>
      </c>
      <c r="K5041" s="12" t="inlineStr">
        <is>
          <t>LV|3/C+G|4</t>
        </is>
      </c>
      <c r="L5041" s="12" t="inlineStr">
        <is>
          <t>3/C+G</t>
        </is>
      </c>
      <c r="M5041" s="12" t="inlineStr">
        <is>
          <t>4</t>
        </is>
      </c>
      <c r="N5041" s="12" t="n">
        <v>1</v>
      </c>
      <c r="O5041" s="12" t="n">
        <v>1</v>
      </c>
      <c r="P5041" s="12" t="n">
        <v>480</v>
      </c>
      <c r="Q5041" s="12" t="n">
        <v>22</v>
      </c>
      <c r="R5041" s="12" t="n">
        <v>31.1</v>
      </c>
      <c r="S5041" s="12" t="inlineStr">
        <is>
          <t>Duct bank</t>
        </is>
      </c>
      <c r="T5041" s="16" t="n">
        <v>367</v>
      </c>
      <c r="U5041" s="16" t="n">
        <v>208</v>
      </c>
      <c r="V5041" s="16">
        <f>ROUNDUP((T5041+U5041+2*'Read Me'!$B$13)*(1+'Read Me'!$B$12),-1)</f>
        <v/>
      </c>
      <c r="W5041" s="16">
        <f>V5041*N5041*O5041</f>
        <v/>
      </c>
      <c r="X5041" s="12">
        <f>IF(LEFT(I5041,2)="MV",2*N5041*IF(L5041="1/C",O5041,1),0)</f>
        <v/>
      </c>
      <c r="Y5041" s="12">
        <f>IF(OR(LEFT(K5041,4)="LVAX",LEFT(K5041,6)="MV15AX",LEFT(K5041,4)="CTAX",LEFT(K5041,2)="W|"),2*N5041*O5041,0)</f>
        <v/>
      </c>
      <c r="Z5041" s="12" t="inlineStr">
        <is>
          <t>VD 2.2 %</t>
        </is>
      </c>
      <c r="AA5041" s="12">
        <f>N5041*O5041</f>
        <v/>
      </c>
    </row>
    <row r="5042">
      <c r="A5042" s="12" t="inlineStr">
        <is>
          <t>I-P-0140</t>
        </is>
      </c>
      <c r="B5042" s="12" t="inlineStr">
        <is>
          <t>I</t>
        </is>
      </c>
      <c r="C5042" s="12" t="inlineStr">
        <is>
          <t>Modular / portable power</t>
        </is>
      </c>
      <c r="D5042" s="12" t="inlineStr">
        <is>
          <t>Motor 4 of 6, 22 kW</t>
        </is>
      </c>
      <c r="E5042" s="12" t="inlineStr"/>
      <c r="F5042" s="12" t="inlineStr">
        <is>
          <t>PCM: power control module</t>
        </is>
      </c>
      <c r="G5042" s="12" t="inlineStr">
        <is>
          <t>RICE-5</t>
        </is>
      </c>
      <c r="H5042" s="12" t="inlineStr">
        <is>
          <t>RICE engine-generator 5</t>
        </is>
      </c>
      <c r="I5042" s="12" t="inlineStr">
        <is>
          <t>LV 600 V</t>
        </is>
      </c>
      <c r="J5042" s="12" t="inlineStr">
        <is>
          <t>Type TC-ER 600 V 3/C Cu XHHW-2 + ground, PVC jacket</t>
        </is>
      </c>
      <c r="K5042" s="12" t="inlineStr">
        <is>
          <t>LV|3/C+G|4</t>
        </is>
      </c>
      <c r="L5042" s="12" t="inlineStr">
        <is>
          <t>3/C+G</t>
        </is>
      </c>
      <c r="M5042" s="12" t="inlineStr">
        <is>
          <t>4</t>
        </is>
      </c>
      <c r="N5042" s="12" t="n">
        <v>1</v>
      </c>
      <c r="O5042" s="12" t="n">
        <v>1</v>
      </c>
      <c r="P5042" s="12" t="n">
        <v>480</v>
      </c>
      <c r="Q5042" s="12" t="n">
        <v>22</v>
      </c>
      <c r="R5042" s="12" t="n">
        <v>31.1</v>
      </c>
      <c r="S5042" s="12" t="inlineStr">
        <is>
          <t>Duct bank</t>
        </is>
      </c>
      <c r="T5042" s="16" t="n">
        <v>367</v>
      </c>
      <c r="U5042" s="16" t="n">
        <v>208</v>
      </c>
      <c r="V5042" s="16">
        <f>ROUNDUP((T5042+U5042+2*'Read Me'!$B$13)*(1+'Read Me'!$B$12),-1)</f>
        <v/>
      </c>
      <c r="W5042" s="16">
        <f>V5042*N5042*O5042</f>
        <v/>
      </c>
      <c r="X5042" s="12">
        <f>IF(LEFT(I5042,2)="MV",2*N5042*IF(L5042="1/C",O5042,1),0)</f>
        <v/>
      </c>
      <c r="Y5042" s="12">
        <f>IF(OR(LEFT(K5042,4)="LVAX",LEFT(K5042,6)="MV15AX",LEFT(K5042,4)="CTAX",LEFT(K5042,2)="W|"),2*N5042*O5042,0)</f>
        <v/>
      </c>
      <c r="Z5042" s="12" t="inlineStr">
        <is>
          <t>VD 2.2 %</t>
        </is>
      </c>
      <c r="AA5042" s="12">
        <f>N5042*O5042</f>
        <v/>
      </c>
    </row>
    <row r="5043">
      <c r="A5043" s="12" t="inlineStr">
        <is>
          <t>I-P-0141</t>
        </is>
      </c>
      <c r="B5043" s="12" t="inlineStr">
        <is>
          <t>I</t>
        </is>
      </c>
      <c r="C5043" s="12" t="inlineStr">
        <is>
          <t>Modular / portable power</t>
        </is>
      </c>
      <c r="D5043" s="12" t="inlineStr">
        <is>
          <t>Motor 5 of 6, 22 kW</t>
        </is>
      </c>
      <c r="E5043" s="12" t="inlineStr"/>
      <c r="F5043" s="12" t="inlineStr">
        <is>
          <t>PCM: power control module</t>
        </is>
      </c>
      <c r="G5043" s="12" t="inlineStr">
        <is>
          <t>RICE-5</t>
        </is>
      </c>
      <c r="H5043" s="12" t="inlineStr">
        <is>
          <t>RICE engine-generator 5</t>
        </is>
      </c>
      <c r="I5043" s="12" t="inlineStr">
        <is>
          <t>LV 600 V</t>
        </is>
      </c>
      <c r="J5043" s="12" t="inlineStr">
        <is>
          <t>Type TC-ER 600 V 3/C Cu XHHW-2 + ground, PVC jacket</t>
        </is>
      </c>
      <c r="K5043" s="12" t="inlineStr">
        <is>
          <t>LV|3/C+G|4</t>
        </is>
      </c>
      <c r="L5043" s="12" t="inlineStr">
        <is>
          <t>3/C+G</t>
        </is>
      </c>
      <c r="M5043" s="12" t="inlineStr">
        <is>
          <t>4</t>
        </is>
      </c>
      <c r="N5043" s="12" t="n">
        <v>1</v>
      </c>
      <c r="O5043" s="12" t="n">
        <v>1</v>
      </c>
      <c r="P5043" s="12" t="n">
        <v>480</v>
      </c>
      <c r="Q5043" s="12" t="n">
        <v>22</v>
      </c>
      <c r="R5043" s="12" t="n">
        <v>31.1</v>
      </c>
      <c r="S5043" s="12" t="inlineStr">
        <is>
          <t>Duct bank</t>
        </is>
      </c>
      <c r="T5043" s="16" t="n">
        <v>367</v>
      </c>
      <c r="U5043" s="16" t="n">
        <v>208</v>
      </c>
      <c r="V5043" s="16">
        <f>ROUNDUP((T5043+U5043+2*'Read Me'!$B$13)*(1+'Read Me'!$B$12),-1)</f>
        <v/>
      </c>
      <c r="W5043" s="16">
        <f>V5043*N5043*O5043</f>
        <v/>
      </c>
      <c r="X5043" s="12">
        <f>IF(LEFT(I5043,2)="MV",2*N5043*IF(L5043="1/C",O5043,1),0)</f>
        <v/>
      </c>
      <c r="Y5043" s="12">
        <f>IF(OR(LEFT(K5043,4)="LVAX",LEFT(K5043,6)="MV15AX",LEFT(K5043,4)="CTAX",LEFT(K5043,2)="W|"),2*N5043*O5043,0)</f>
        <v/>
      </c>
      <c r="Z5043" s="12" t="inlineStr">
        <is>
          <t>VD 2.2 %</t>
        </is>
      </c>
      <c r="AA5043" s="12">
        <f>N5043*O5043</f>
        <v/>
      </c>
    </row>
    <row r="5044">
      <c r="A5044" s="12" t="inlineStr">
        <is>
          <t>I-P-0142</t>
        </is>
      </c>
      <c r="B5044" s="12" t="inlineStr">
        <is>
          <t>I</t>
        </is>
      </c>
      <c r="C5044" s="12" t="inlineStr">
        <is>
          <t>Modular / portable power</t>
        </is>
      </c>
      <c r="D5044" s="12" t="inlineStr">
        <is>
          <t>Motor 6 of 6, 22 kW</t>
        </is>
      </c>
      <c r="E5044" s="12" t="inlineStr"/>
      <c r="F5044" s="12" t="inlineStr">
        <is>
          <t>PCM: power control module</t>
        </is>
      </c>
      <c r="G5044" s="12" t="inlineStr">
        <is>
          <t>RICE-5</t>
        </is>
      </c>
      <c r="H5044" s="12" t="inlineStr">
        <is>
          <t>RICE engine-generator 5</t>
        </is>
      </c>
      <c r="I5044" s="12" t="inlineStr">
        <is>
          <t>LV 600 V</t>
        </is>
      </c>
      <c r="J5044" s="12" t="inlineStr">
        <is>
          <t>Type TC-ER 600 V 3/C Cu XHHW-2 + ground, PVC jacket</t>
        </is>
      </c>
      <c r="K5044" s="12" t="inlineStr">
        <is>
          <t>LV|3/C+G|4</t>
        </is>
      </c>
      <c r="L5044" s="12" t="inlineStr">
        <is>
          <t>3/C+G</t>
        </is>
      </c>
      <c r="M5044" s="12" t="inlineStr">
        <is>
          <t>4</t>
        </is>
      </c>
      <c r="N5044" s="12" t="n">
        <v>1</v>
      </c>
      <c r="O5044" s="12" t="n">
        <v>1</v>
      </c>
      <c r="P5044" s="12" t="n">
        <v>480</v>
      </c>
      <c r="Q5044" s="12" t="n">
        <v>22</v>
      </c>
      <c r="R5044" s="12" t="n">
        <v>31.1</v>
      </c>
      <c r="S5044" s="12" t="inlineStr">
        <is>
          <t>Duct bank</t>
        </is>
      </c>
      <c r="T5044" s="16" t="n">
        <v>367</v>
      </c>
      <c r="U5044" s="16" t="n">
        <v>208</v>
      </c>
      <c r="V5044" s="16">
        <f>ROUNDUP((T5044+U5044+2*'Read Me'!$B$13)*(1+'Read Me'!$B$12),-1)</f>
        <v/>
      </c>
      <c r="W5044" s="16">
        <f>V5044*N5044*O5044</f>
        <v/>
      </c>
      <c r="X5044" s="12">
        <f>IF(LEFT(I5044,2)="MV",2*N5044*IF(L5044="1/C",O5044,1),0)</f>
        <v/>
      </c>
      <c r="Y5044" s="12">
        <f>IF(OR(LEFT(K5044,4)="LVAX",LEFT(K5044,6)="MV15AX",LEFT(K5044,4)="CTAX",LEFT(K5044,2)="W|"),2*N5044*O5044,0)</f>
        <v/>
      </c>
      <c r="Z5044" s="12" t="inlineStr">
        <is>
          <t>VD 2.2 %</t>
        </is>
      </c>
      <c r="AA5044" s="12">
        <f>N5044*O5044</f>
        <v/>
      </c>
    </row>
    <row r="5045">
      <c r="A5045" s="12" t="inlineStr">
        <is>
          <t>I-P-0143</t>
        </is>
      </c>
      <c r="B5045" s="12" t="inlineStr">
        <is>
          <t>I</t>
        </is>
      </c>
      <c r="C5045" s="12" t="inlineStr">
        <is>
          <t>Modular / portable power</t>
        </is>
      </c>
      <c r="D5045" s="12" t="inlineStr">
        <is>
          <t>480 V welding receptacle 1</t>
        </is>
      </c>
      <c r="E5045" s="12" t="inlineStr"/>
      <c r="F5045" s="12" t="inlineStr">
        <is>
          <t>PCM: power control module</t>
        </is>
      </c>
      <c r="G5045" s="12" t="inlineStr">
        <is>
          <t>RICE-5</t>
        </is>
      </c>
      <c r="H5045" s="12" t="inlineStr">
        <is>
          <t>RICE engine-generator 5</t>
        </is>
      </c>
      <c r="I5045" s="12" t="inlineStr">
        <is>
          <t>LV 600 V</t>
        </is>
      </c>
      <c r="J5045" s="12" t="inlineStr">
        <is>
          <t>Type TC-ER 600 V 3/C Cu XHHW-2 + ground, PVC jacket</t>
        </is>
      </c>
      <c r="K5045" s="12" t="inlineStr">
        <is>
          <t>LV|3/C+G|1</t>
        </is>
      </c>
      <c r="L5045" s="12" t="inlineStr">
        <is>
          <t>3/C+G</t>
        </is>
      </c>
      <c r="M5045" s="12" t="inlineStr">
        <is>
          <t>1</t>
        </is>
      </c>
      <c r="N5045" s="12" t="n">
        <v>1</v>
      </c>
      <c r="O5045" s="12" t="n">
        <v>1</v>
      </c>
      <c r="P5045" s="12" t="n">
        <v>480</v>
      </c>
      <c r="Q5045" s="12" t="n">
        <v>60</v>
      </c>
      <c r="R5045" s="12" t="n">
        <v>76</v>
      </c>
      <c r="S5045" s="12" t="inlineStr">
        <is>
          <t>Duct bank</t>
        </is>
      </c>
      <c r="T5045" s="16" t="n">
        <v>367</v>
      </c>
      <c r="U5045" s="16" t="n">
        <v>208</v>
      </c>
      <c r="V5045" s="16">
        <f>ROUNDUP((T5045+U5045+2*'Read Me'!$B$13)*(1+'Read Me'!$B$12),-1)</f>
        <v/>
      </c>
      <c r="W5045" s="16">
        <f>V5045*N5045*O5045</f>
        <v/>
      </c>
      <c r="X5045" s="12">
        <f>IF(LEFT(I5045,2)="MV",2*N5045*IF(L5045="1/C",O5045,1),0)</f>
        <v/>
      </c>
      <c r="Y5045" s="12">
        <f>IF(OR(LEFT(K5045,4)="LVAX",LEFT(K5045,6)="MV15AX",LEFT(K5045,4)="CTAX",LEFT(K5045,2)="W|"),2*N5045*O5045,0)</f>
        <v/>
      </c>
      <c r="Z5045" s="12" t="inlineStr">
        <is>
          <t>VD 2.7 %</t>
        </is>
      </c>
      <c r="AA5045" s="12">
        <f>N5045*O5045</f>
        <v/>
      </c>
    </row>
    <row r="5046">
      <c r="A5046" s="12" t="inlineStr">
        <is>
          <t>I-P-0144</t>
        </is>
      </c>
      <c r="B5046" s="12" t="inlineStr">
        <is>
          <t>I</t>
        </is>
      </c>
      <c r="C5046" s="12" t="inlineStr">
        <is>
          <t>Modular / portable power</t>
        </is>
      </c>
      <c r="D5046" s="12" t="inlineStr">
        <is>
          <t>480 V welding receptacle 2</t>
        </is>
      </c>
      <c r="E5046" s="12" t="inlineStr"/>
      <c r="F5046" s="12" t="inlineStr">
        <is>
          <t>PCM: power control module</t>
        </is>
      </c>
      <c r="G5046" s="12" t="inlineStr">
        <is>
          <t>RICE-5</t>
        </is>
      </c>
      <c r="H5046" s="12" t="inlineStr">
        <is>
          <t>RICE engine-generator 5</t>
        </is>
      </c>
      <c r="I5046" s="12" t="inlineStr">
        <is>
          <t>LV 600 V</t>
        </is>
      </c>
      <c r="J5046" s="12" t="inlineStr">
        <is>
          <t>Type TC-ER 600 V 3/C Cu XHHW-2 + ground, PVC jacket</t>
        </is>
      </c>
      <c r="K5046" s="12" t="inlineStr">
        <is>
          <t>LV|3/C+G|1</t>
        </is>
      </c>
      <c r="L5046" s="12" t="inlineStr">
        <is>
          <t>3/C+G</t>
        </is>
      </c>
      <c r="M5046" s="12" t="inlineStr">
        <is>
          <t>1</t>
        </is>
      </c>
      <c r="N5046" s="12" t="n">
        <v>1</v>
      </c>
      <c r="O5046" s="12" t="n">
        <v>1</v>
      </c>
      <c r="P5046" s="12" t="n">
        <v>480</v>
      </c>
      <c r="Q5046" s="12" t="n">
        <v>60</v>
      </c>
      <c r="R5046" s="12" t="n">
        <v>76</v>
      </c>
      <c r="S5046" s="12" t="inlineStr">
        <is>
          <t>Duct bank</t>
        </is>
      </c>
      <c r="T5046" s="16" t="n">
        <v>367</v>
      </c>
      <c r="U5046" s="16" t="n">
        <v>208</v>
      </c>
      <c r="V5046" s="16">
        <f>ROUNDUP((T5046+U5046+2*'Read Me'!$B$13)*(1+'Read Me'!$B$12),-1)</f>
        <v/>
      </c>
      <c r="W5046" s="16">
        <f>V5046*N5046*O5046</f>
        <v/>
      </c>
      <c r="X5046" s="12">
        <f>IF(LEFT(I5046,2)="MV",2*N5046*IF(L5046="1/C",O5046,1),0)</f>
        <v/>
      </c>
      <c r="Y5046" s="12">
        <f>IF(OR(LEFT(K5046,4)="LVAX",LEFT(K5046,6)="MV15AX",LEFT(K5046,4)="CTAX",LEFT(K5046,2)="W|"),2*N5046*O5046,0)</f>
        <v/>
      </c>
      <c r="Z5046" s="12" t="inlineStr">
        <is>
          <t>VD 2.7 %</t>
        </is>
      </c>
      <c r="AA5046" s="12">
        <f>N5046*O5046</f>
        <v/>
      </c>
    </row>
    <row r="5047">
      <c r="A5047" s="12" t="inlineStr">
        <is>
          <t>I-P-0145</t>
        </is>
      </c>
      <c r="B5047" s="12" t="inlineStr">
        <is>
          <t>I</t>
        </is>
      </c>
      <c r="C5047" s="12" t="inlineStr">
        <is>
          <t>Modular / portable power</t>
        </is>
      </c>
      <c r="D5047" s="12" t="inlineStr">
        <is>
          <t>480 V welding receptacle 3</t>
        </is>
      </c>
      <c r="E5047" s="12" t="inlineStr"/>
      <c r="F5047" s="12" t="inlineStr">
        <is>
          <t>PCM: power control module</t>
        </is>
      </c>
      <c r="G5047" s="12" t="inlineStr">
        <is>
          <t>RICE-5</t>
        </is>
      </c>
      <c r="H5047" s="12" t="inlineStr">
        <is>
          <t>RICE engine-generator 5</t>
        </is>
      </c>
      <c r="I5047" s="12" t="inlineStr">
        <is>
          <t>LV 600 V</t>
        </is>
      </c>
      <c r="J5047" s="12" t="inlineStr">
        <is>
          <t>Type TC-ER 600 V 3/C Cu XHHW-2 + ground, PVC jacket</t>
        </is>
      </c>
      <c r="K5047" s="12" t="inlineStr">
        <is>
          <t>LV|3/C+G|1</t>
        </is>
      </c>
      <c r="L5047" s="12" t="inlineStr">
        <is>
          <t>3/C+G</t>
        </is>
      </c>
      <c r="M5047" s="12" t="inlineStr">
        <is>
          <t>1</t>
        </is>
      </c>
      <c r="N5047" s="12" t="n">
        <v>1</v>
      </c>
      <c r="O5047" s="12" t="n">
        <v>1</v>
      </c>
      <c r="P5047" s="12" t="n">
        <v>480</v>
      </c>
      <c r="Q5047" s="12" t="n">
        <v>60</v>
      </c>
      <c r="R5047" s="12" t="n">
        <v>76</v>
      </c>
      <c r="S5047" s="12" t="inlineStr">
        <is>
          <t>Duct bank</t>
        </is>
      </c>
      <c r="T5047" s="16" t="n">
        <v>367</v>
      </c>
      <c r="U5047" s="16" t="n">
        <v>208</v>
      </c>
      <c r="V5047" s="16">
        <f>ROUNDUP((T5047+U5047+2*'Read Me'!$B$13)*(1+'Read Me'!$B$12),-1)</f>
        <v/>
      </c>
      <c r="W5047" s="16">
        <f>V5047*N5047*O5047</f>
        <v/>
      </c>
      <c r="X5047" s="12">
        <f>IF(LEFT(I5047,2)="MV",2*N5047*IF(L5047="1/C",O5047,1),0)</f>
        <v/>
      </c>
      <c r="Y5047" s="12">
        <f>IF(OR(LEFT(K5047,4)="LVAX",LEFT(K5047,6)="MV15AX",LEFT(K5047,4)="CTAX",LEFT(K5047,2)="W|"),2*N5047*O5047,0)</f>
        <v/>
      </c>
      <c r="Z5047" s="12" t="inlineStr">
        <is>
          <t>VD 2.7 %</t>
        </is>
      </c>
      <c r="AA5047" s="12">
        <f>N5047*O5047</f>
        <v/>
      </c>
    </row>
    <row r="5048">
      <c r="A5048" s="12" t="inlineStr">
        <is>
          <t>I-P-0146</t>
        </is>
      </c>
      <c r="B5048" s="12" t="inlineStr">
        <is>
          <t>I</t>
        </is>
      </c>
      <c r="C5048" s="12" t="inlineStr">
        <is>
          <t>Modular / portable power</t>
        </is>
      </c>
      <c r="D5048" s="12" t="inlineStr">
        <is>
          <t>480 V welding receptacle 4</t>
        </is>
      </c>
      <c r="E5048" s="12" t="inlineStr"/>
      <c r="F5048" s="12" t="inlineStr">
        <is>
          <t>PCM: power control module</t>
        </is>
      </c>
      <c r="G5048" s="12" t="inlineStr">
        <is>
          <t>RICE-5</t>
        </is>
      </c>
      <c r="H5048" s="12" t="inlineStr">
        <is>
          <t>RICE engine-generator 5</t>
        </is>
      </c>
      <c r="I5048" s="12" t="inlineStr">
        <is>
          <t>LV 600 V</t>
        </is>
      </c>
      <c r="J5048" s="12" t="inlineStr">
        <is>
          <t>Type TC-ER 600 V 3/C Cu XHHW-2 + ground, PVC jacket</t>
        </is>
      </c>
      <c r="K5048" s="12" t="inlineStr">
        <is>
          <t>LV|3/C+G|1</t>
        </is>
      </c>
      <c r="L5048" s="12" t="inlineStr">
        <is>
          <t>3/C+G</t>
        </is>
      </c>
      <c r="M5048" s="12" t="inlineStr">
        <is>
          <t>1</t>
        </is>
      </c>
      <c r="N5048" s="12" t="n">
        <v>1</v>
      </c>
      <c r="O5048" s="12" t="n">
        <v>1</v>
      </c>
      <c r="P5048" s="12" t="n">
        <v>480</v>
      </c>
      <c r="Q5048" s="12" t="n">
        <v>60</v>
      </c>
      <c r="R5048" s="12" t="n">
        <v>76</v>
      </c>
      <c r="S5048" s="12" t="inlineStr">
        <is>
          <t>Duct bank</t>
        </is>
      </c>
      <c r="T5048" s="16" t="n">
        <v>367</v>
      </c>
      <c r="U5048" s="16" t="n">
        <v>208</v>
      </c>
      <c r="V5048" s="16">
        <f>ROUNDUP((T5048+U5048+2*'Read Me'!$B$13)*(1+'Read Me'!$B$12),-1)</f>
        <v/>
      </c>
      <c r="W5048" s="16">
        <f>V5048*N5048*O5048</f>
        <v/>
      </c>
      <c r="X5048" s="12">
        <f>IF(LEFT(I5048,2)="MV",2*N5048*IF(L5048="1/C",O5048,1),0)</f>
        <v/>
      </c>
      <c r="Y5048" s="12">
        <f>IF(OR(LEFT(K5048,4)="LVAX",LEFT(K5048,6)="MV15AX",LEFT(K5048,4)="CTAX",LEFT(K5048,2)="W|"),2*N5048*O5048,0)</f>
        <v/>
      </c>
      <c r="Z5048" s="12" t="inlineStr">
        <is>
          <t>VD 2.7 %</t>
        </is>
      </c>
      <c r="AA5048" s="12">
        <f>N5048*O5048</f>
        <v/>
      </c>
    </row>
    <row r="5049">
      <c r="A5049" s="12" t="inlineStr">
        <is>
          <t>I-P-0147</t>
        </is>
      </c>
      <c r="B5049" s="12" t="inlineStr">
        <is>
          <t>I</t>
        </is>
      </c>
      <c r="C5049" s="12" t="inlineStr">
        <is>
          <t>Modular / portable power</t>
        </is>
      </c>
      <c r="D5049" s="12" t="inlineStr">
        <is>
          <t>Motor 1 of 6, 22 kW</t>
        </is>
      </c>
      <c r="E5049" s="12" t="inlineStr"/>
      <c r="F5049" s="12" t="inlineStr">
        <is>
          <t>PCM: power control module</t>
        </is>
      </c>
      <c r="G5049" s="12" t="inlineStr">
        <is>
          <t>RICE-6</t>
        </is>
      </c>
      <c r="H5049" s="12" t="inlineStr">
        <is>
          <t>RICE engine-generator 6</t>
        </is>
      </c>
      <c r="I5049" s="12" t="inlineStr">
        <is>
          <t>LV 600 V</t>
        </is>
      </c>
      <c r="J5049" s="12" t="inlineStr">
        <is>
          <t>Type TC-ER 600 V 3/C Cu XHHW-2 + ground, PVC jacket</t>
        </is>
      </c>
      <c r="K5049" s="12" t="inlineStr">
        <is>
          <t>LV|3/C+G|4</t>
        </is>
      </c>
      <c r="L5049" s="12" t="inlineStr">
        <is>
          <t>3/C+G</t>
        </is>
      </c>
      <c r="M5049" s="12" t="inlineStr">
        <is>
          <t>4</t>
        </is>
      </c>
      <c r="N5049" s="12" t="n">
        <v>1</v>
      </c>
      <c r="O5049" s="12" t="n">
        <v>1</v>
      </c>
      <c r="P5049" s="12" t="n">
        <v>480</v>
      </c>
      <c r="Q5049" s="12" t="n">
        <v>22</v>
      </c>
      <c r="R5049" s="12" t="n">
        <v>31.1</v>
      </c>
      <c r="S5049" s="12" t="inlineStr">
        <is>
          <t>Duct bank</t>
        </is>
      </c>
      <c r="T5049" s="16" t="n">
        <v>367</v>
      </c>
      <c r="U5049" s="16" t="n">
        <v>180</v>
      </c>
      <c r="V5049" s="16">
        <f>ROUNDUP((T5049+U5049+2*'Read Me'!$B$13)*(1+'Read Me'!$B$12),-1)</f>
        <v/>
      </c>
      <c r="W5049" s="16">
        <f>V5049*N5049*O5049</f>
        <v/>
      </c>
      <c r="X5049" s="12">
        <f>IF(LEFT(I5049,2)="MV",2*N5049*IF(L5049="1/C",O5049,1),0)</f>
        <v/>
      </c>
      <c r="Y5049" s="12">
        <f>IF(OR(LEFT(K5049,4)="LVAX",LEFT(K5049,6)="MV15AX",LEFT(K5049,4)="CTAX",LEFT(K5049,2)="W|"),2*N5049*O5049,0)</f>
        <v/>
      </c>
      <c r="Z5049" s="12" t="inlineStr">
        <is>
          <t>VD 2.1 %</t>
        </is>
      </c>
      <c r="AA5049" s="12">
        <f>N5049*O5049</f>
        <v/>
      </c>
    </row>
    <row r="5050">
      <c r="A5050" s="12" t="inlineStr">
        <is>
          <t>I-P-0148</t>
        </is>
      </c>
      <c r="B5050" s="12" t="inlineStr">
        <is>
          <t>I</t>
        </is>
      </c>
      <c r="C5050" s="12" t="inlineStr">
        <is>
          <t>Modular / portable power</t>
        </is>
      </c>
      <c r="D5050" s="12" t="inlineStr">
        <is>
          <t>Motor 2 of 6, 22 kW</t>
        </is>
      </c>
      <c r="E5050" s="12" t="inlineStr"/>
      <c r="F5050" s="12" t="inlineStr">
        <is>
          <t>PCM: power control module</t>
        </is>
      </c>
      <c r="G5050" s="12" t="inlineStr">
        <is>
          <t>RICE-6</t>
        </is>
      </c>
      <c r="H5050" s="12" t="inlineStr">
        <is>
          <t>RICE engine-generator 6</t>
        </is>
      </c>
      <c r="I5050" s="12" t="inlineStr">
        <is>
          <t>LV 600 V</t>
        </is>
      </c>
      <c r="J5050" s="12" t="inlineStr">
        <is>
          <t>Type TC-ER 600 V 3/C Cu XHHW-2 + ground, PVC jacket</t>
        </is>
      </c>
      <c r="K5050" s="12" t="inlineStr">
        <is>
          <t>LV|3/C+G|4</t>
        </is>
      </c>
      <c r="L5050" s="12" t="inlineStr">
        <is>
          <t>3/C+G</t>
        </is>
      </c>
      <c r="M5050" s="12" t="inlineStr">
        <is>
          <t>4</t>
        </is>
      </c>
      <c r="N5050" s="12" t="n">
        <v>1</v>
      </c>
      <c r="O5050" s="12" t="n">
        <v>1</v>
      </c>
      <c r="P5050" s="12" t="n">
        <v>480</v>
      </c>
      <c r="Q5050" s="12" t="n">
        <v>22</v>
      </c>
      <c r="R5050" s="12" t="n">
        <v>31.1</v>
      </c>
      <c r="S5050" s="12" t="inlineStr">
        <is>
          <t>Duct bank</t>
        </is>
      </c>
      <c r="T5050" s="16" t="n">
        <v>367</v>
      </c>
      <c r="U5050" s="16" t="n">
        <v>180</v>
      </c>
      <c r="V5050" s="16">
        <f>ROUNDUP((T5050+U5050+2*'Read Me'!$B$13)*(1+'Read Me'!$B$12),-1)</f>
        <v/>
      </c>
      <c r="W5050" s="16">
        <f>V5050*N5050*O5050</f>
        <v/>
      </c>
      <c r="X5050" s="12">
        <f>IF(LEFT(I5050,2)="MV",2*N5050*IF(L5050="1/C",O5050,1),0)</f>
        <v/>
      </c>
      <c r="Y5050" s="12">
        <f>IF(OR(LEFT(K5050,4)="LVAX",LEFT(K5050,6)="MV15AX",LEFT(K5050,4)="CTAX",LEFT(K5050,2)="W|"),2*N5050*O5050,0)</f>
        <v/>
      </c>
      <c r="Z5050" s="12" t="inlineStr">
        <is>
          <t>VD 2.1 %</t>
        </is>
      </c>
      <c r="AA5050" s="12">
        <f>N5050*O5050</f>
        <v/>
      </c>
    </row>
    <row r="5051">
      <c r="A5051" s="12" t="inlineStr">
        <is>
          <t>I-P-0149</t>
        </is>
      </c>
      <c r="B5051" s="12" t="inlineStr">
        <is>
          <t>I</t>
        </is>
      </c>
      <c r="C5051" s="12" t="inlineStr">
        <is>
          <t>Modular / portable power</t>
        </is>
      </c>
      <c r="D5051" s="12" t="inlineStr">
        <is>
          <t>Motor 3 of 6, 22 kW</t>
        </is>
      </c>
      <c r="E5051" s="12" t="inlineStr"/>
      <c r="F5051" s="12" t="inlineStr">
        <is>
          <t>PCM: power control module</t>
        </is>
      </c>
      <c r="G5051" s="12" t="inlineStr">
        <is>
          <t>RICE-6</t>
        </is>
      </c>
      <c r="H5051" s="12" t="inlineStr">
        <is>
          <t>RICE engine-generator 6</t>
        </is>
      </c>
      <c r="I5051" s="12" t="inlineStr">
        <is>
          <t>LV 600 V</t>
        </is>
      </c>
      <c r="J5051" s="12" t="inlineStr">
        <is>
          <t>Type TC-ER 600 V 3/C Cu XHHW-2 + ground, PVC jacket</t>
        </is>
      </c>
      <c r="K5051" s="12" t="inlineStr">
        <is>
          <t>LV|3/C+G|4</t>
        </is>
      </c>
      <c r="L5051" s="12" t="inlineStr">
        <is>
          <t>3/C+G</t>
        </is>
      </c>
      <c r="M5051" s="12" t="inlineStr">
        <is>
          <t>4</t>
        </is>
      </c>
      <c r="N5051" s="12" t="n">
        <v>1</v>
      </c>
      <c r="O5051" s="12" t="n">
        <v>1</v>
      </c>
      <c r="P5051" s="12" t="n">
        <v>480</v>
      </c>
      <c r="Q5051" s="12" t="n">
        <v>22</v>
      </c>
      <c r="R5051" s="12" t="n">
        <v>31.1</v>
      </c>
      <c r="S5051" s="12" t="inlineStr">
        <is>
          <t>Duct bank</t>
        </is>
      </c>
      <c r="T5051" s="16" t="n">
        <v>367</v>
      </c>
      <c r="U5051" s="16" t="n">
        <v>180</v>
      </c>
      <c r="V5051" s="16">
        <f>ROUNDUP((T5051+U5051+2*'Read Me'!$B$13)*(1+'Read Me'!$B$12),-1)</f>
        <v/>
      </c>
      <c r="W5051" s="16">
        <f>V5051*N5051*O5051</f>
        <v/>
      </c>
      <c r="X5051" s="12">
        <f>IF(LEFT(I5051,2)="MV",2*N5051*IF(L5051="1/C",O5051,1),0)</f>
        <v/>
      </c>
      <c r="Y5051" s="12">
        <f>IF(OR(LEFT(K5051,4)="LVAX",LEFT(K5051,6)="MV15AX",LEFT(K5051,4)="CTAX",LEFT(K5051,2)="W|"),2*N5051*O5051,0)</f>
        <v/>
      </c>
      <c r="Z5051" s="12" t="inlineStr">
        <is>
          <t>VD 2.1 %</t>
        </is>
      </c>
      <c r="AA5051" s="12">
        <f>N5051*O5051</f>
        <v/>
      </c>
    </row>
    <row r="5052">
      <c r="A5052" s="12" t="inlineStr">
        <is>
          <t>I-P-0150</t>
        </is>
      </c>
      <c r="B5052" s="12" t="inlineStr">
        <is>
          <t>I</t>
        </is>
      </c>
      <c r="C5052" s="12" t="inlineStr">
        <is>
          <t>Modular / portable power</t>
        </is>
      </c>
      <c r="D5052" s="12" t="inlineStr">
        <is>
          <t>Motor 4 of 6, 22 kW</t>
        </is>
      </c>
      <c r="E5052" s="12" t="inlineStr"/>
      <c r="F5052" s="12" t="inlineStr">
        <is>
          <t>PCM: power control module</t>
        </is>
      </c>
      <c r="G5052" s="12" t="inlineStr">
        <is>
          <t>RICE-6</t>
        </is>
      </c>
      <c r="H5052" s="12" t="inlineStr">
        <is>
          <t>RICE engine-generator 6</t>
        </is>
      </c>
      <c r="I5052" s="12" t="inlineStr">
        <is>
          <t>LV 600 V</t>
        </is>
      </c>
      <c r="J5052" s="12" t="inlineStr">
        <is>
          <t>Type TC-ER 600 V 3/C Cu XHHW-2 + ground, PVC jacket</t>
        </is>
      </c>
      <c r="K5052" s="12" t="inlineStr">
        <is>
          <t>LV|3/C+G|4</t>
        </is>
      </c>
      <c r="L5052" s="12" t="inlineStr">
        <is>
          <t>3/C+G</t>
        </is>
      </c>
      <c r="M5052" s="12" t="inlineStr">
        <is>
          <t>4</t>
        </is>
      </c>
      <c r="N5052" s="12" t="n">
        <v>1</v>
      </c>
      <c r="O5052" s="12" t="n">
        <v>1</v>
      </c>
      <c r="P5052" s="12" t="n">
        <v>480</v>
      </c>
      <c r="Q5052" s="12" t="n">
        <v>22</v>
      </c>
      <c r="R5052" s="12" t="n">
        <v>31.1</v>
      </c>
      <c r="S5052" s="12" t="inlineStr">
        <is>
          <t>Duct bank</t>
        </is>
      </c>
      <c r="T5052" s="16" t="n">
        <v>367</v>
      </c>
      <c r="U5052" s="16" t="n">
        <v>180</v>
      </c>
      <c r="V5052" s="16">
        <f>ROUNDUP((T5052+U5052+2*'Read Me'!$B$13)*(1+'Read Me'!$B$12),-1)</f>
        <v/>
      </c>
      <c r="W5052" s="16">
        <f>V5052*N5052*O5052</f>
        <v/>
      </c>
      <c r="X5052" s="12">
        <f>IF(LEFT(I5052,2)="MV",2*N5052*IF(L5052="1/C",O5052,1),0)</f>
        <v/>
      </c>
      <c r="Y5052" s="12">
        <f>IF(OR(LEFT(K5052,4)="LVAX",LEFT(K5052,6)="MV15AX",LEFT(K5052,4)="CTAX",LEFT(K5052,2)="W|"),2*N5052*O5052,0)</f>
        <v/>
      </c>
      <c r="Z5052" s="12" t="inlineStr">
        <is>
          <t>VD 2.1 %</t>
        </is>
      </c>
      <c r="AA5052" s="12">
        <f>N5052*O5052</f>
        <v/>
      </c>
    </row>
    <row r="5053">
      <c r="A5053" s="12" t="inlineStr">
        <is>
          <t>I-P-0151</t>
        </is>
      </c>
      <c r="B5053" s="12" t="inlineStr">
        <is>
          <t>I</t>
        </is>
      </c>
      <c r="C5053" s="12" t="inlineStr">
        <is>
          <t>Modular / portable power</t>
        </is>
      </c>
      <c r="D5053" s="12" t="inlineStr">
        <is>
          <t>Motor 5 of 6, 22 kW</t>
        </is>
      </c>
      <c r="E5053" s="12" t="inlineStr"/>
      <c r="F5053" s="12" t="inlineStr">
        <is>
          <t>PCM: power control module</t>
        </is>
      </c>
      <c r="G5053" s="12" t="inlineStr">
        <is>
          <t>RICE-6</t>
        </is>
      </c>
      <c r="H5053" s="12" t="inlineStr">
        <is>
          <t>RICE engine-generator 6</t>
        </is>
      </c>
      <c r="I5053" s="12" t="inlineStr">
        <is>
          <t>LV 600 V</t>
        </is>
      </c>
      <c r="J5053" s="12" t="inlineStr">
        <is>
          <t>Type TC-ER 600 V 3/C Cu XHHW-2 + ground, PVC jacket</t>
        </is>
      </c>
      <c r="K5053" s="12" t="inlineStr">
        <is>
          <t>LV|3/C+G|4</t>
        </is>
      </c>
      <c r="L5053" s="12" t="inlineStr">
        <is>
          <t>3/C+G</t>
        </is>
      </c>
      <c r="M5053" s="12" t="inlineStr">
        <is>
          <t>4</t>
        </is>
      </c>
      <c r="N5053" s="12" t="n">
        <v>1</v>
      </c>
      <c r="O5053" s="12" t="n">
        <v>1</v>
      </c>
      <c r="P5053" s="12" t="n">
        <v>480</v>
      </c>
      <c r="Q5053" s="12" t="n">
        <v>22</v>
      </c>
      <c r="R5053" s="12" t="n">
        <v>31.1</v>
      </c>
      <c r="S5053" s="12" t="inlineStr">
        <is>
          <t>Duct bank</t>
        </is>
      </c>
      <c r="T5053" s="16" t="n">
        <v>367</v>
      </c>
      <c r="U5053" s="16" t="n">
        <v>180</v>
      </c>
      <c r="V5053" s="16">
        <f>ROUNDUP((T5053+U5053+2*'Read Me'!$B$13)*(1+'Read Me'!$B$12),-1)</f>
        <v/>
      </c>
      <c r="W5053" s="16">
        <f>V5053*N5053*O5053</f>
        <v/>
      </c>
      <c r="X5053" s="12">
        <f>IF(LEFT(I5053,2)="MV",2*N5053*IF(L5053="1/C",O5053,1),0)</f>
        <v/>
      </c>
      <c r="Y5053" s="12">
        <f>IF(OR(LEFT(K5053,4)="LVAX",LEFT(K5053,6)="MV15AX",LEFT(K5053,4)="CTAX",LEFT(K5053,2)="W|"),2*N5053*O5053,0)</f>
        <v/>
      </c>
      <c r="Z5053" s="12" t="inlineStr">
        <is>
          <t>VD 2.1 %</t>
        </is>
      </c>
      <c r="AA5053" s="12">
        <f>N5053*O5053</f>
        <v/>
      </c>
    </row>
    <row r="5054">
      <c r="A5054" s="12" t="inlineStr">
        <is>
          <t>I-P-0152</t>
        </is>
      </c>
      <c r="B5054" s="12" t="inlineStr">
        <is>
          <t>I</t>
        </is>
      </c>
      <c r="C5054" s="12" t="inlineStr">
        <is>
          <t>Modular / portable power</t>
        </is>
      </c>
      <c r="D5054" s="12" t="inlineStr">
        <is>
          <t>Motor 6 of 6, 22 kW</t>
        </is>
      </c>
      <c r="E5054" s="12" t="inlineStr"/>
      <c r="F5054" s="12" t="inlineStr">
        <is>
          <t>PCM: power control module</t>
        </is>
      </c>
      <c r="G5054" s="12" t="inlineStr">
        <is>
          <t>RICE-6</t>
        </is>
      </c>
      <c r="H5054" s="12" t="inlineStr">
        <is>
          <t>RICE engine-generator 6</t>
        </is>
      </c>
      <c r="I5054" s="12" t="inlineStr">
        <is>
          <t>LV 600 V</t>
        </is>
      </c>
      <c r="J5054" s="12" t="inlineStr">
        <is>
          <t>Type TC-ER 600 V 3/C Cu XHHW-2 + ground, PVC jacket</t>
        </is>
      </c>
      <c r="K5054" s="12" t="inlineStr">
        <is>
          <t>LV|3/C+G|4</t>
        </is>
      </c>
      <c r="L5054" s="12" t="inlineStr">
        <is>
          <t>3/C+G</t>
        </is>
      </c>
      <c r="M5054" s="12" t="inlineStr">
        <is>
          <t>4</t>
        </is>
      </c>
      <c r="N5054" s="12" t="n">
        <v>1</v>
      </c>
      <c r="O5054" s="12" t="n">
        <v>1</v>
      </c>
      <c r="P5054" s="12" t="n">
        <v>480</v>
      </c>
      <c r="Q5054" s="12" t="n">
        <v>22</v>
      </c>
      <c r="R5054" s="12" t="n">
        <v>31.1</v>
      </c>
      <c r="S5054" s="12" t="inlineStr">
        <is>
          <t>Duct bank</t>
        </is>
      </c>
      <c r="T5054" s="16" t="n">
        <v>367</v>
      </c>
      <c r="U5054" s="16" t="n">
        <v>180</v>
      </c>
      <c r="V5054" s="16">
        <f>ROUNDUP((T5054+U5054+2*'Read Me'!$B$13)*(1+'Read Me'!$B$12),-1)</f>
        <v/>
      </c>
      <c r="W5054" s="16">
        <f>V5054*N5054*O5054</f>
        <v/>
      </c>
      <c r="X5054" s="12">
        <f>IF(LEFT(I5054,2)="MV",2*N5054*IF(L5054="1/C",O5054,1),0)</f>
        <v/>
      </c>
      <c r="Y5054" s="12">
        <f>IF(OR(LEFT(K5054,4)="LVAX",LEFT(K5054,6)="MV15AX",LEFT(K5054,4)="CTAX",LEFT(K5054,2)="W|"),2*N5054*O5054,0)</f>
        <v/>
      </c>
      <c r="Z5054" s="12" t="inlineStr">
        <is>
          <t>VD 2.1 %</t>
        </is>
      </c>
      <c r="AA5054" s="12">
        <f>N5054*O5054</f>
        <v/>
      </c>
    </row>
    <row r="5055">
      <c r="A5055" s="12" t="inlineStr">
        <is>
          <t>I-P-0153</t>
        </is>
      </c>
      <c r="B5055" s="12" t="inlineStr">
        <is>
          <t>I</t>
        </is>
      </c>
      <c r="C5055" s="12" t="inlineStr">
        <is>
          <t>Modular / portable power</t>
        </is>
      </c>
      <c r="D5055" s="12" t="inlineStr">
        <is>
          <t>480 V welding receptacle 1</t>
        </is>
      </c>
      <c r="E5055" s="12" t="inlineStr"/>
      <c r="F5055" s="12" t="inlineStr">
        <is>
          <t>PCM: power control module</t>
        </is>
      </c>
      <c r="G5055" s="12" t="inlineStr">
        <is>
          <t>RICE-6</t>
        </is>
      </c>
      <c r="H5055" s="12" t="inlineStr">
        <is>
          <t>RICE engine-generator 6</t>
        </is>
      </c>
      <c r="I5055" s="12" t="inlineStr">
        <is>
          <t>LV 600 V</t>
        </is>
      </c>
      <c r="J5055" s="12" t="inlineStr">
        <is>
          <t>Type TC-ER 600 V 3/C Cu XHHW-2 + ground, PVC jacket</t>
        </is>
      </c>
      <c r="K5055" s="12" t="inlineStr">
        <is>
          <t>LV|3/C+G|1</t>
        </is>
      </c>
      <c r="L5055" s="12" t="inlineStr">
        <is>
          <t>3/C+G</t>
        </is>
      </c>
      <c r="M5055" s="12" t="inlineStr">
        <is>
          <t>1</t>
        </is>
      </c>
      <c r="N5055" s="12" t="n">
        <v>1</v>
      </c>
      <c r="O5055" s="12" t="n">
        <v>1</v>
      </c>
      <c r="P5055" s="12" t="n">
        <v>480</v>
      </c>
      <c r="Q5055" s="12" t="n">
        <v>60</v>
      </c>
      <c r="R5055" s="12" t="n">
        <v>76</v>
      </c>
      <c r="S5055" s="12" t="inlineStr">
        <is>
          <t>Duct bank</t>
        </is>
      </c>
      <c r="T5055" s="16" t="n">
        <v>367</v>
      </c>
      <c r="U5055" s="16" t="n">
        <v>180</v>
      </c>
      <c r="V5055" s="16">
        <f>ROUNDUP((T5055+U5055+2*'Read Me'!$B$13)*(1+'Read Me'!$B$12),-1)</f>
        <v/>
      </c>
      <c r="W5055" s="16">
        <f>V5055*N5055*O5055</f>
        <v/>
      </c>
      <c r="X5055" s="12">
        <f>IF(LEFT(I5055,2)="MV",2*N5055*IF(L5055="1/C",O5055,1),0)</f>
        <v/>
      </c>
      <c r="Y5055" s="12">
        <f>IF(OR(LEFT(K5055,4)="LVAX",LEFT(K5055,6)="MV15AX",LEFT(K5055,4)="CTAX",LEFT(K5055,2)="W|"),2*N5055*O5055,0)</f>
        <v/>
      </c>
      <c r="Z5055" s="12" t="inlineStr">
        <is>
          <t>VD 2.5 %</t>
        </is>
      </c>
      <c r="AA5055" s="12">
        <f>N5055*O5055</f>
        <v/>
      </c>
    </row>
    <row r="5056">
      <c r="A5056" s="12" t="inlineStr">
        <is>
          <t>I-P-0154</t>
        </is>
      </c>
      <c r="B5056" s="12" t="inlineStr">
        <is>
          <t>I</t>
        </is>
      </c>
      <c r="C5056" s="12" t="inlineStr">
        <is>
          <t>Modular / portable power</t>
        </is>
      </c>
      <c r="D5056" s="12" t="inlineStr">
        <is>
          <t>480 V welding receptacle 2</t>
        </is>
      </c>
      <c r="E5056" s="12" t="inlineStr"/>
      <c r="F5056" s="12" t="inlineStr">
        <is>
          <t>PCM: power control module</t>
        </is>
      </c>
      <c r="G5056" s="12" t="inlineStr">
        <is>
          <t>RICE-6</t>
        </is>
      </c>
      <c r="H5056" s="12" t="inlineStr">
        <is>
          <t>RICE engine-generator 6</t>
        </is>
      </c>
      <c r="I5056" s="12" t="inlineStr">
        <is>
          <t>LV 600 V</t>
        </is>
      </c>
      <c r="J5056" s="12" t="inlineStr">
        <is>
          <t>Type TC-ER 600 V 3/C Cu XHHW-2 + ground, PVC jacket</t>
        </is>
      </c>
      <c r="K5056" s="12" t="inlineStr">
        <is>
          <t>LV|3/C+G|1</t>
        </is>
      </c>
      <c r="L5056" s="12" t="inlineStr">
        <is>
          <t>3/C+G</t>
        </is>
      </c>
      <c r="M5056" s="12" t="inlineStr">
        <is>
          <t>1</t>
        </is>
      </c>
      <c r="N5056" s="12" t="n">
        <v>1</v>
      </c>
      <c r="O5056" s="12" t="n">
        <v>1</v>
      </c>
      <c r="P5056" s="12" t="n">
        <v>480</v>
      </c>
      <c r="Q5056" s="12" t="n">
        <v>60</v>
      </c>
      <c r="R5056" s="12" t="n">
        <v>76</v>
      </c>
      <c r="S5056" s="12" t="inlineStr">
        <is>
          <t>Duct bank</t>
        </is>
      </c>
      <c r="T5056" s="16" t="n">
        <v>367</v>
      </c>
      <c r="U5056" s="16" t="n">
        <v>180</v>
      </c>
      <c r="V5056" s="16">
        <f>ROUNDUP((T5056+U5056+2*'Read Me'!$B$13)*(1+'Read Me'!$B$12),-1)</f>
        <v/>
      </c>
      <c r="W5056" s="16">
        <f>V5056*N5056*O5056</f>
        <v/>
      </c>
      <c r="X5056" s="12">
        <f>IF(LEFT(I5056,2)="MV",2*N5056*IF(L5056="1/C",O5056,1),0)</f>
        <v/>
      </c>
      <c r="Y5056" s="12">
        <f>IF(OR(LEFT(K5056,4)="LVAX",LEFT(K5056,6)="MV15AX",LEFT(K5056,4)="CTAX",LEFT(K5056,2)="W|"),2*N5056*O5056,0)</f>
        <v/>
      </c>
      <c r="Z5056" s="12" t="inlineStr">
        <is>
          <t>VD 2.5 %</t>
        </is>
      </c>
      <c r="AA5056" s="12">
        <f>N5056*O5056</f>
        <v/>
      </c>
    </row>
    <row r="5057">
      <c r="A5057" s="12" t="inlineStr">
        <is>
          <t>I-P-0155</t>
        </is>
      </c>
      <c r="B5057" s="12" t="inlineStr">
        <is>
          <t>I</t>
        </is>
      </c>
      <c r="C5057" s="12" t="inlineStr">
        <is>
          <t>Modular / portable power</t>
        </is>
      </c>
      <c r="D5057" s="12" t="inlineStr">
        <is>
          <t>480 V welding receptacle 3</t>
        </is>
      </c>
      <c r="E5057" s="12" t="inlineStr"/>
      <c r="F5057" s="12" t="inlineStr">
        <is>
          <t>PCM: power control module</t>
        </is>
      </c>
      <c r="G5057" s="12" t="inlineStr">
        <is>
          <t>RICE-6</t>
        </is>
      </c>
      <c r="H5057" s="12" t="inlineStr">
        <is>
          <t>RICE engine-generator 6</t>
        </is>
      </c>
      <c r="I5057" s="12" t="inlineStr">
        <is>
          <t>LV 600 V</t>
        </is>
      </c>
      <c r="J5057" s="12" t="inlineStr">
        <is>
          <t>Type TC-ER 600 V 3/C Cu XHHW-2 + ground, PVC jacket</t>
        </is>
      </c>
      <c r="K5057" s="12" t="inlineStr">
        <is>
          <t>LV|3/C+G|1</t>
        </is>
      </c>
      <c r="L5057" s="12" t="inlineStr">
        <is>
          <t>3/C+G</t>
        </is>
      </c>
      <c r="M5057" s="12" t="inlineStr">
        <is>
          <t>1</t>
        </is>
      </c>
      <c r="N5057" s="12" t="n">
        <v>1</v>
      </c>
      <c r="O5057" s="12" t="n">
        <v>1</v>
      </c>
      <c r="P5057" s="12" t="n">
        <v>480</v>
      </c>
      <c r="Q5057" s="12" t="n">
        <v>60</v>
      </c>
      <c r="R5057" s="12" t="n">
        <v>76</v>
      </c>
      <c r="S5057" s="12" t="inlineStr">
        <is>
          <t>Duct bank</t>
        </is>
      </c>
      <c r="T5057" s="16" t="n">
        <v>367</v>
      </c>
      <c r="U5057" s="16" t="n">
        <v>180</v>
      </c>
      <c r="V5057" s="16">
        <f>ROUNDUP((T5057+U5057+2*'Read Me'!$B$13)*(1+'Read Me'!$B$12),-1)</f>
        <v/>
      </c>
      <c r="W5057" s="16">
        <f>V5057*N5057*O5057</f>
        <v/>
      </c>
      <c r="X5057" s="12">
        <f>IF(LEFT(I5057,2)="MV",2*N5057*IF(L5057="1/C",O5057,1),0)</f>
        <v/>
      </c>
      <c r="Y5057" s="12">
        <f>IF(OR(LEFT(K5057,4)="LVAX",LEFT(K5057,6)="MV15AX",LEFT(K5057,4)="CTAX",LEFT(K5057,2)="W|"),2*N5057*O5057,0)</f>
        <v/>
      </c>
      <c r="Z5057" s="12" t="inlineStr">
        <is>
          <t>VD 2.5 %</t>
        </is>
      </c>
      <c r="AA5057" s="12">
        <f>N5057*O5057</f>
        <v/>
      </c>
    </row>
    <row r="5058">
      <c r="A5058" s="12" t="inlineStr">
        <is>
          <t>I-P-0156</t>
        </is>
      </c>
      <c r="B5058" s="12" t="inlineStr">
        <is>
          <t>I</t>
        </is>
      </c>
      <c r="C5058" s="12" t="inlineStr">
        <is>
          <t>Modular / portable power</t>
        </is>
      </c>
      <c r="D5058" s="12" t="inlineStr">
        <is>
          <t>480 V welding receptacle 4</t>
        </is>
      </c>
      <c r="E5058" s="12" t="inlineStr"/>
      <c r="F5058" s="12" t="inlineStr">
        <is>
          <t>PCM: power control module</t>
        </is>
      </c>
      <c r="G5058" s="12" t="inlineStr">
        <is>
          <t>RICE-6</t>
        </is>
      </c>
      <c r="H5058" s="12" t="inlineStr">
        <is>
          <t>RICE engine-generator 6</t>
        </is>
      </c>
      <c r="I5058" s="12" t="inlineStr">
        <is>
          <t>LV 600 V</t>
        </is>
      </c>
      <c r="J5058" s="12" t="inlineStr">
        <is>
          <t>Type TC-ER 600 V 3/C Cu XHHW-2 + ground, PVC jacket</t>
        </is>
      </c>
      <c r="K5058" s="12" t="inlineStr">
        <is>
          <t>LV|3/C+G|1</t>
        </is>
      </c>
      <c r="L5058" s="12" t="inlineStr">
        <is>
          <t>3/C+G</t>
        </is>
      </c>
      <c r="M5058" s="12" t="inlineStr">
        <is>
          <t>1</t>
        </is>
      </c>
      <c r="N5058" s="12" t="n">
        <v>1</v>
      </c>
      <c r="O5058" s="12" t="n">
        <v>1</v>
      </c>
      <c r="P5058" s="12" t="n">
        <v>480</v>
      </c>
      <c r="Q5058" s="12" t="n">
        <v>60</v>
      </c>
      <c r="R5058" s="12" t="n">
        <v>76</v>
      </c>
      <c r="S5058" s="12" t="inlineStr">
        <is>
          <t>Duct bank</t>
        </is>
      </c>
      <c r="T5058" s="16" t="n">
        <v>367</v>
      </c>
      <c r="U5058" s="16" t="n">
        <v>180</v>
      </c>
      <c r="V5058" s="16">
        <f>ROUNDUP((T5058+U5058+2*'Read Me'!$B$13)*(1+'Read Me'!$B$12),-1)</f>
        <v/>
      </c>
      <c r="W5058" s="16">
        <f>V5058*N5058*O5058</f>
        <v/>
      </c>
      <c r="X5058" s="12">
        <f>IF(LEFT(I5058,2)="MV",2*N5058*IF(L5058="1/C",O5058,1),0)</f>
        <v/>
      </c>
      <c r="Y5058" s="12">
        <f>IF(OR(LEFT(K5058,4)="LVAX",LEFT(K5058,6)="MV15AX",LEFT(K5058,4)="CTAX",LEFT(K5058,2)="W|"),2*N5058*O5058,0)</f>
        <v/>
      </c>
      <c r="Z5058" s="12" t="inlineStr">
        <is>
          <t>VD 2.5 %</t>
        </is>
      </c>
      <c r="AA5058" s="12">
        <f>N5058*O5058</f>
        <v/>
      </c>
    </row>
    <row r="5059">
      <c r="A5059" s="12" t="inlineStr">
        <is>
          <t>I-P-0157</t>
        </is>
      </c>
      <c r="B5059" s="12" t="inlineStr">
        <is>
          <t>I</t>
        </is>
      </c>
      <c r="C5059" s="12" t="inlineStr">
        <is>
          <t>Modular / portable power</t>
        </is>
      </c>
      <c r="D5059" s="12" t="inlineStr">
        <is>
          <t>Motor 1 of 6, 22 kW</t>
        </is>
      </c>
      <c r="E5059" s="12" t="inlineStr"/>
      <c r="F5059" s="12" t="inlineStr">
        <is>
          <t>PCM: power control module</t>
        </is>
      </c>
      <c r="G5059" s="12" t="inlineStr">
        <is>
          <t>RICE-7</t>
        </is>
      </c>
      <c r="H5059" s="12" t="inlineStr">
        <is>
          <t>RICE engine-generator 7</t>
        </is>
      </c>
      <c r="I5059" s="12" t="inlineStr">
        <is>
          <t>LV 600 V</t>
        </is>
      </c>
      <c r="J5059" s="12" t="inlineStr">
        <is>
          <t>Type TC-ER 600 V 3/C Cu XHHW-2 + ground, PVC jacket</t>
        </is>
      </c>
      <c r="K5059" s="12" t="inlineStr">
        <is>
          <t>LV|3/C+G|8</t>
        </is>
      </c>
      <c r="L5059" s="12" t="inlineStr">
        <is>
          <t>3/C+G</t>
        </is>
      </c>
      <c r="M5059" s="12" t="inlineStr">
        <is>
          <t>8</t>
        </is>
      </c>
      <c r="N5059" s="12" t="n">
        <v>1</v>
      </c>
      <c r="O5059" s="12" t="n">
        <v>1</v>
      </c>
      <c r="P5059" s="12" t="n">
        <v>480</v>
      </c>
      <c r="Q5059" s="12" t="n">
        <v>22</v>
      </c>
      <c r="R5059" s="12" t="n">
        <v>31.1</v>
      </c>
      <c r="S5059" s="12" t="inlineStr">
        <is>
          <t>Tray</t>
        </is>
      </c>
      <c r="T5059" s="16" t="n">
        <v>0</v>
      </c>
      <c r="U5059" s="16" t="n">
        <v>189</v>
      </c>
      <c r="V5059" s="16">
        <f>ROUNDUP((T5059+U5059+2*'Read Me'!$B$13)*(1+'Read Me'!$B$12),-1)</f>
        <v/>
      </c>
      <c r="W5059" s="16">
        <f>V5059*N5059*O5059</f>
        <v/>
      </c>
      <c r="X5059" s="12">
        <f>IF(LEFT(I5059,2)="MV",2*N5059*IF(L5059="1/C",O5059,1),0)</f>
        <v/>
      </c>
      <c r="Y5059" s="12">
        <f>IF(OR(LEFT(K5059,4)="LVAX",LEFT(K5059,6)="MV15AX",LEFT(K5059,4)="CTAX",LEFT(K5059,2)="W|"),2*N5059*O5059,0)</f>
        <v/>
      </c>
      <c r="Z5059" s="12" t="inlineStr">
        <is>
          <t>VD 1.8 %</t>
        </is>
      </c>
      <c r="AA5059" s="12">
        <f>N5059*O5059</f>
        <v/>
      </c>
    </row>
    <row r="5060">
      <c r="A5060" s="12" t="inlineStr">
        <is>
          <t>I-P-0158</t>
        </is>
      </c>
      <c r="B5060" s="12" t="inlineStr">
        <is>
          <t>I</t>
        </is>
      </c>
      <c r="C5060" s="12" t="inlineStr">
        <is>
          <t>Modular / portable power</t>
        </is>
      </c>
      <c r="D5060" s="12" t="inlineStr">
        <is>
          <t>Motor 2 of 6, 22 kW</t>
        </is>
      </c>
      <c r="E5060" s="12" t="inlineStr"/>
      <c r="F5060" s="12" t="inlineStr">
        <is>
          <t>PCM: power control module</t>
        </is>
      </c>
      <c r="G5060" s="12" t="inlineStr">
        <is>
          <t>RICE-7</t>
        </is>
      </c>
      <c r="H5060" s="12" t="inlineStr">
        <is>
          <t>RICE engine-generator 7</t>
        </is>
      </c>
      <c r="I5060" s="12" t="inlineStr">
        <is>
          <t>LV 600 V</t>
        </is>
      </c>
      <c r="J5060" s="12" t="inlineStr">
        <is>
          <t>Type TC-ER 600 V 3/C Cu XHHW-2 + ground, PVC jacket</t>
        </is>
      </c>
      <c r="K5060" s="12" t="inlineStr">
        <is>
          <t>LV|3/C+G|8</t>
        </is>
      </c>
      <c r="L5060" s="12" t="inlineStr">
        <is>
          <t>3/C+G</t>
        </is>
      </c>
      <c r="M5060" s="12" t="inlineStr">
        <is>
          <t>8</t>
        </is>
      </c>
      <c r="N5060" s="12" t="n">
        <v>1</v>
      </c>
      <c r="O5060" s="12" t="n">
        <v>1</v>
      </c>
      <c r="P5060" s="12" t="n">
        <v>480</v>
      </c>
      <c r="Q5060" s="12" t="n">
        <v>22</v>
      </c>
      <c r="R5060" s="12" t="n">
        <v>31.1</v>
      </c>
      <c r="S5060" s="12" t="inlineStr">
        <is>
          <t>Tray</t>
        </is>
      </c>
      <c r="T5060" s="16" t="n">
        <v>0</v>
      </c>
      <c r="U5060" s="16" t="n">
        <v>189</v>
      </c>
      <c r="V5060" s="16">
        <f>ROUNDUP((T5060+U5060+2*'Read Me'!$B$13)*(1+'Read Me'!$B$12),-1)</f>
        <v/>
      </c>
      <c r="W5060" s="16">
        <f>V5060*N5060*O5060</f>
        <v/>
      </c>
      <c r="X5060" s="12">
        <f>IF(LEFT(I5060,2)="MV",2*N5060*IF(L5060="1/C",O5060,1),0)</f>
        <v/>
      </c>
      <c r="Y5060" s="12">
        <f>IF(OR(LEFT(K5060,4)="LVAX",LEFT(K5060,6)="MV15AX",LEFT(K5060,4)="CTAX",LEFT(K5060,2)="W|"),2*N5060*O5060,0)</f>
        <v/>
      </c>
      <c r="Z5060" s="12" t="inlineStr">
        <is>
          <t>VD 1.8 %</t>
        </is>
      </c>
      <c r="AA5060" s="12">
        <f>N5060*O5060</f>
        <v/>
      </c>
    </row>
    <row r="5061">
      <c r="A5061" s="12" t="inlineStr">
        <is>
          <t>I-P-0159</t>
        </is>
      </c>
      <c r="B5061" s="12" t="inlineStr">
        <is>
          <t>I</t>
        </is>
      </c>
      <c r="C5061" s="12" t="inlineStr">
        <is>
          <t>Modular / portable power</t>
        </is>
      </c>
      <c r="D5061" s="12" t="inlineStr">
        <is>
          <t>Motor 3 of 6, 22 kW</t>
        </is>
      </c>
      <c r="E5061" s="12" t="inlineStr"/>
      <c r="F5061" s="12" t="inlineStr">
        <is>
          <t>PCM: power control module</t>
        </is>
      </c>
      <c r="G5061" s="12" t="inlineStr">
        <is>
          <t>RICE-7</t>
        </is>
      </c>
      <c r="H5061" s="12" t="inlineStr">
        <is>
          <t>RICE engine-generator 7</t>
        </is>
      </c>
      <c r="I5061" s="12" t="inlineStr">
        <is>
          <t>LV 600 V</t>
        </is>
      </c>
      <c r="J5061" s="12" t="inlineStr">
        <is>
          <t>Type TC-ER 600 V 3/C Cu XHHW-2 + ground, PVC jacket</t>
        </is>
      </c>
      <c r="K5061" s="12" t="inlineStr">
        <is>
          <t>LV|3/C+G|8</t>
        </is>
      </c>
      <c r="L5061" s="12" t="inlineStr">
        <is>
          <t>3/C+G</t>
        </is>
      </c>
      <c r="M5061" s="12" t="inlineStr">
        <is>
          <t>8</t>
        </is>
      </c>
      <c r="N5061" s="12" t="n">
        <v>1</v>
      </c>
      <c r="O5061" s="12" t="n">
        <v>1</v>
      </c>
      <c r="P5061" s="12" t="n">
        <v>480</v>
      </c>
      <c r="Q5061" s="12" t="n">
        <v>22</v>
      </c>
      <c r="R5061" s="12" t="n">
        <v>31.1</v>
      </c>
      <c r="S5061" s="12" t="inlineStr">
        <is>
          <t>Tray</t>
        </is>
      </c>
      <c r="T5061" s="16" t="n">
        <v>0</v>
      </c>
      <c r="U5061" s="16" t="n">
        <v>189</v>
      </c>
      <c r="V5061" s="16">
        <f>ROUNDUP((T5061+U5061+2*'Read Me'!$B$13)*(1+'Read Me'!$B$12),-1)</f>
        <v/>
      </c>
      <c r="W5061" s="16">
        <f>V5061*N5061*O5061</f>
        <v/>
      </c>
      <c r="X5061" s="12">
        <f>IF(LEFT(I5061,2)="MV",2*N5061*IF(L5061="1/C",O5061,1),0)</f>
        <v/>
      </c>
      <c r="Y5061" s="12">
        <f>IF(OR(LEFT(K5061,4)="LVAX",LEFT(K5061,6)="MV15AX",LEFT(K5061,4)="CTAX",LEFT(K5061,2)="W|"),2*N5061*O5061,0)</f>
        <v/>
      </c>
      <c r="Z5061" s="12" t="inlineStr">
        <is>
          <t>VD 1.8 %</t>
        </is>
      </c>
      <c r="AA5061" s="12">
        <f>N5061*O5061</f>
        <v/>
      </c>
    </row>
    <row r="5062">
      <c r="A5062" s="12" t="inlineStr">
        <is>
          <t>I-P-0160</t>
        </is>
      </c>
      <c r="B5062" s="12" t="inlineStr">
        <is>
          <t>I</t>
        </is>
      </c>
      <c r="C5062" s="12" t="inlineStr">
        <is>
          <t>Modular / portable power</t>
        </is>
      </c>
      <c r="D5062" s="12" t="inlineStr">
        <is>
          <t>Motor 4 of 6, 22 kW</t>
        </is>
      </c>
      <c r="E5062" s="12" t="inlineStr"/>
      <c r="F5062" s="12" t="inlineStr">
        <is>
          <t>PCM: power control module</t>
        </is>
      </c>
      <c r="G5062" s="12" t="inlineStr">
        <is>
          <t>RICE-7</t>
        </is>
      </c>
      <c r="H5062" s="12" t="inlineStr">
        <is>
          <t>RICE engine-generator 7</t>
        </is>
      </c>
      <c r="I5062" s="12" t="inlineStr">
        <is>
          <t>LV 600 V</t>
        </is>
      </c>
      <c r="J5062" s="12" t="inlineStr">
        <is>
          <t>Type TC-ER 600 V 3/C Cu XHHW-2 + ground, PVC jacket</t>
        </is>
      </c>
      <c r="K5062" s="12" t="inlineStr">
        <is>
          <t>LV|3/C+G|8</t>
        </is>
      </c>
      <c r="L5062" s="12" t="inlineStr">
        <is>
          <t>3/C+G</t>
        </is>
      </c>
      <c r="M5062" s="12" t="inlineStr">
        <is>
          <t>8</t>
        </is>
      </c>
      <c r="N5062" s="12" t="n">
        <v>1</v>
      </c>
      <c r="O5062" s="12" t="n">
        <v>1</v>
      </c>
      <c r="P5062" s="12" t="n">
        <v>480</v>
      </c>
      <c r="Q5062" s="12" t="n">
        <v>22</v>
      </c>
      <c r="R5062" s="12" t="n">
        <v>31.1</v>
      </c>
      <c r="S5062" s="12" t="inlineStr">
        <is>
          <t>Tray</t>
        </is>
      </c>
      <c r="T5062" s="16" t="n">
        <v>0</v>
      </c>
      <c r="U5062" s="16" t="n">
        <v>189</v>
      </c>
      <c r="V5062" s="16">
        <f>ROUNDUP((T5062+U5062+2*'Read Me'!$B$13)*(1+'Read Me'!$B$12),-1)</f>
        <v/>
      </c>
      <c r="W5062" s="16">
        <f>V5062*N5062*O5062</f>
        <v/>
      </c>
      <c r="X5062" s="12">
        <f>IF(LEFT(I5062,2)="MV",2*N5062*IF(L5062="1/C",O5062,1),0)</f>
        <v/>
      </c>
      <c r="Y5062" s="12">
        <f>IF(OR(LEFT(K5062,4)="LVAX",LEFT(K5062,6)="MV15AX",LEFT(K5062,4)="CTAX",LEFT(K5062,2)="W|"),2*N5062*O5062,0)</f>
        <v/>
      </c>
      <c r="Z5062" s="12" t="inlineStr">
        <is>
          <t>VD 1.8 %</t>
        </is>
      </c>
      <c r="AA5062" s="12">
        <f>N5062*O5062</f>
        <v/>
      </c>
    </row>
    <row r="5063">
      <c r="A5063" s="12" t="inlineStr">
        <is>
          <t>I-P-0161</t>
        </is>
      </c>
      <c r="B5063" s="12" t="inlineStr">
        <is>
          <t>I</t>
        </is>
      </c>
      <c r="C5063" s="12" t="inlineStr">
        <is>
          <t>Modular / portable power</t>
        </is>
      </c>
      <c r="D5063" s="12" t="inlineStr">
        <is>
          <t>Motor 5 of 6, 22 kW</t>
        </is>
      </c>
      <c r="E5063" s="12" t="inlineStr"/>
      <c r="F5063" s="12" t="inlineStr">
        <is>
          <t>PCM: power control module</t>
        </is>
      </c>
      <c r="G5063" s="12" t="inlineStr">
        <is>
          <t>RICE-7</t>
        </is>
      </c>
      <c r="H5063" s="12" t="inlineStr">
        <is>
          <t>RICE engine-generator 7</t>
        </is>
      </c>
      <c r="I5063" s="12" t="inlineStr">
        <is>
          <t>LV 600 V</t>
        </is>
      </c>
      <c r="J5063" s="12" t="inlineStr">
        <is>
          <t>Type TC-ER 600 V 3/C Cu XHHW-2 + ground, PVC jacket</t>
        </is>
      </c>
      <c r="K5063" s="12" t="inlineStr">
        <is>
          <t>LV|3/C+G|8</t>
        </is>
      </c>
      <c r="L5063" s="12" t="inlineStr">
        <is>
          <t>3/C+G</t>
        </is>
      </c>
      <c r="M5063" s="12" t="inlineStr">
        <is>
          <t>8</t>
        </is>
      </c>
      <c r="N5063" s="12" t="n">
        <v>1</v>
      </c>
      <c r="O5063" s="12" t="n">
        <v>1</v>
      </c>
      <c r="P5063" s="12" t="n">
        <v>480</v>
      </c>
      <c r="Q5063" s="12" t="n">
        <v>22</v>
      </c>
      <c r="R5063" s="12" t="n">
        <v>31.1</v>
      </c>
      <c r="S5063" s="12" t="inlineStr">
        <is>
          <t>Tray</t>
        </is>
      </c>
      <c r="T5063" s="16" t="n">
        <v>0</v>
      </c>
      <c r="U5063" s="16" t="n">
        <v>189</v>
      </c>
      <c r="V5063" s="16">
        <f>ROUNDUP((T5063+U5063+2*'Read Me'!$B$13)*(1+'Read Me'!$B$12),-1)</f>
        <v/>
      </c>
      <c r="W5063" s="16">
        <f>V5063*N5063*O5063</f>
        <v/>
      </c>
      <c r="X5063" s="12">
        <f>IF(LEFT(I5063,2)="MV",2*N5063*IF(L5063="1/C",O5063,1),0)</f>
        <v/>
      </c>
      <c r="Y5063" s="12">
        <f>IF(OR(LEFT(K5063,4)="LVAX",LEFT(K5063,6)="MV15AX",LEFT(K5063,4)="CTAX",LEFT(K5063,2)="W|"),2*N5063*O5063,0)</f>
        <v/>
      </c>
      <c r="Z5063" s="12" t="inlineStr">
        <is>
          <t>VD 1.8 %</t>
        </is>
      </c>
      <c r="AA5063" s="12">
        <f>N5063*O5063</f>
        <v/>
      </c>
    </row>
    <row r="5064">
      <c r="A5064" s="12" t="inlineStr">
        <is>
          <t>I-P-0162</t>
        </is>
      </c>
      <c r="B5064" s="12" t="inlineStr">
        <is>
          <t>I</t>
        </is>
      </c>
      <c r="C5064" s="12" t="inlineStr">
        <is>
          <t>Modular / portable power</t>
        </is>
      </c>
      <c r="D5064" s="12" t="inlineStr">
        <is>
          <t>Motor 6 of 6, 22 kW</t>
        </is>
      </c>
      <c r="E5064" s="12" t="inlineStr"/>
      <c r="F5064" s="12" t="inlineStr">
        <is>
          <t>PCM: power control module</t>
        </is>
      </c>
      <c r="G5064" s="12" t="inlineStr">
        <is>
          <t>RICE-7</t>
        </is>
      </c>
      <c r="H5064" s="12" t="inlineStr">
        <is>
          <t>RICE engine-generator 7</t>
        </is>
      </c>
      <c r="I5064" s="12" t="inlineStr">
        <is>
          <t>LV 600 V</t>
        </is>
      </c>
      <c r="J5064" s="12" t="inlineStr">
        <is>
          <t>Type TC-ER 600 V 3/C Cu XHHW-2 + ground, PVC jacket</t>
        </is>
      </c>
      <c r="K5064" s="12" t="inlineStr">
        <is>
          <t>LV|3/C+G|8</t>
        </is>
      </c>
      <c r="L5064" s="12" t="inlineStr">
        <is>
          <t>3/C+G</t>
        </is>
      </c>
      <c r="M5064" s="12" t="inlineStr">
        <is>
          <t>8</t>
        </is>
      </c>
      <c r="N5064" s="12" t="n">
        <v>1</v>
      </c>
      <c r="O5064" s="12" t="n">
        <v>1</v>
      </c>
      <c r="P5064" s="12" t="n">
        <v>480</v>
      </c>
      <c r="Q5064" s="12" t="n">
        <v>22</v>
      </c>
      <c r="R5064" s="12" t="n">
        <v>31.1</v>
      </c>
      <c r="S5064" s="12" t="inlineStr">
        <is>
          <t>Tray</t>
        </is>
      </c>
      <c r="T5064" s="16" t="n">
        <v>0</v>
      </c>
      <c r="U5064" s="16" t="n">
        <v>189</v>
      </c>
      <c r="V5064" s="16">
        <f>ROUNDUP((T5064+U5064+2*'Read Me'!$B$13)*(1+'Read Me'!$B$12),-1)</f>
        <v/>
      </c>
      <c r="W5064" s="16">
        <f>V5064*N5064*O5064</f>
        <v/>
      </c>
      <c r="X5064" s="12">
        <f>IF(LEFT(I5064,2)="MV",2*N5064*IF(L5064="1/C",O5064,1),0)</f>
        <v/>
      </c>
      <c r="Y5064" s="12">
        <f>IF(OR(LEFT(K5064,4)="LVAX",LEFT(K5064,6)="MV15AX",LEFT(K5064,4)="CTAX",LEFT(K5064,2)="W|"),2*N5064*O5064,0)</f>
        <v/>
      </c>
      <c r="Z5064" s="12" t="inlineStr">
        <is>
          <t>VD 1.8 %</t>
        </is>
      </c>
      <c r="AA5064" s="12">
        <f>N5064*O5064</f>
        <v/>
      </c>
    </row>
    <row r="5065">
      <c r="A5065" s="12" t="inlineStr">
        <is>
          <t>I-P-0163</t>
        </is>
      </c>
      <c r="B5065" s="12" t="inlineStr">
        <is>
          <t>I</t>
        </is>
      </c>
      <c r="C5065" s="12" t="inlineStr">
        <is>
          <t>Modular / portable power</t>
        </is>
      </c>
      <c r="D5065" s="12" t="inlineStr">
        <is>
          <t>480 V welding receptacle 1</t>
        </is>
      </c>
      <c r="E5065" s="12" t="inlineStr"/>
      <c r="F5065" s="12" t="inlineStr">
        <is>
          <t>PCM: power control module</t>
        </is>
      </c>
      <c r="G5065" s="12" t="inlineStr">
        <is>
          <t>RICE-7</t>
        </is>
      </c>
      <c r="H5065" s="12" t="inlineStr">
        <is>
          <t>RICE engine-generator 7</t>
        </is>
      </c>
      <c r="I5065" s="12" t="inlineStr">
        <is>
          <t>LV 600 V</t>
        </is>
      </c>
      <c r="J5065" s="12" t="inlineStr">
        <is>
          <t>Type TC-ER 600 V 3/C Cu XHHW-2 + ground, PVC jacket</t>
        </is>
      </c>
      <c r="K5065" s="12" t="inlineStr">
        <is>
          <t>LV|3/C+G|2</t>
        </is>
      </c>
      <c r="L5065" s="12" t="inlineStr">
        <is>
          <t>3/C+G</t>
        </is>
      </c>
      <c r="M5065" s="12" t="inlineStr">
        <is>
          <t>2</t>
        </is>
      </c>
      <c r="N5065" s="12" t="n">
        <v>1</v>
      </c>
      <c r="O5065" s="12" t="n">
        <v>1</v>
      </c>
      <c r="P5065" s="12" t="n">
        <v>480</v>
      </c>
      <c r="Q5065" s="12" t="n">
        <v>60</v>
      </c>
      <c r="R5065" s="12" t="n">
        <v>76</v>
      </c>
      <c r="S5065" s="12" t="inlineStr">
        <is>
          <t>Tray</t>
        </is>
      </c>
      <c r="T5065" s="16" t="n">
        <v>0</v>
      </c>
      <c r="U5065" s="16" t="n">
        <v>189</v>
      </c>
      <c r="V5065" s="16">
        <f>ROUNDUP((T5065+U5065+2*'Read Me'!$B$13)*(1+'Read Me'!$B$12),-1)</f>
        <v/>
      </c>
      <c r="W5065" s="16">
        <f>V5065*N5065*O5065</f>
        <v/>
      </c>
      <c r="X5065" s="12">
        <f>IF(LEFT(I5065,2)="MV",2*N5065*IF(L5065="1/C",O5065,1),0)</f>
        <v/>
      </c>
      <c r="Y5065" s="12">
        <f>IF(OR(LEFT(K5065,4)="LVAX",LEFT(K5065,6)="MV15AX",LEFT(K5065,4)="CTAX",LEFT(K5065,2)="W|"),2*N5065*O5065,0)</f>
        <v/>
      </c>
      <c r="Z5065" s="12" t="inlineStr">
        <is>
          <t>VD 1.1 %</t>
        </is>
      </c>
      <c r="AA5065" s="12">
        <f>N5065*O5065</f>
        <v/>
      </c>
    </row>
    <row r="5066">
      <c r="A5066" s="12" t="inlineStr">
        <is>
          <t>I-P-0164</t>
        </is>
      </c>
      <c r="B5066" s="12" t="inlineStr">
        <is>
          <t>I</t>
        </is>
      </c>
      <c r="C5066" s="12" t="inlineStr">
        <is>
          <t>Modular / portable power</t>
        </is>
      </c>
      <c r="D5066" s="12" t="inlineStr">
        <is>
          <t>480 V welding receptacle 2</t>
        </is>
      </c>
      <c r="E5066" s="12" t="inlineStr"/>
      <c r="F5066" s="12" t="inlineStr">
        <is>
          <t>PCM: power control module</t>
        </is>
      </c>
      <c r="G5066" s="12" t="inlineStr">
        <is>
          <t>RICE-7</t>
        </is>
      </c>
      <c r="H5066" s="12" t="inlineStr">
        <is>
          <t>RICE engine-generator 7</t>
        </is>
      </c>
      <c r="I5066" s="12" t="inlineStr">
        <is>
          <t>LV 600 V</t>
        </is>
      </c>
      <c r="J5066" s="12" t="inlineStr">
        <is>
          <t>Type TC-ER 600 V 3/C Cu XHHW-2 + ground, PVC jacket</t>
        </is>
      </c>
      <c r="K5066" s="12" t="inlineStr">
        <is>
          <t>LV|3/C+G|2</t>
        </is>
      </c>
      <c r="L5066" s="12" t="inlineStr">
        <is>
          <t>3/C+G</t>
        </is>
      </c>
      <c r="M5066" s="12" t="inlineStr">
        <is>
          <t>2</t>
        </is>
      </c>
      <c r="N5066" s="12" t="n">
        <v>1</v>
      </c>
      <c r="O5066" s="12" t="n">
        <v>1</v>
      </c>
      <c r="P5066" s="12" t="n">
        <v>480</v>
      </c>
      <c r="Q5066" s="12" t="n">
        <v>60</v>
      </c>
      <c r="R5066" s="12" t="n">
        <v>76</v>
      </c>
      <c r="S5066" s="12" t="inlineStr">
        <is>
          <t>Tray</t>
        </is>
      </c>
      <c r="T5066" s="16" t="n">
        <v>0</v>
      </c>
      <c r="U5066" s="16" t="n">
        <v>189</v>
      </c>
      <c r="V5066" s="16">
        <f>ROUNDUP((T5066+U5066+2*'Read Me'!$B$13)*(1+'Read Me'!$B$12),-1)</f>
        <v/>
      </c>
      <c r="W5066" s="16">
        <f>V5066*N5066*O5066</f>
        <v/>
      </c>
      <c r="X5066" s="12">
        <f>IF(LEFT(I5066,2)="MV",2*N5066*IF(L5066="1/C",O5066,1),0)</f>
        <v/>
      </c>
      <c r="Y5066" s="12">
        <f>IF(OR(LEFT(K5066,4)="LVAX",LEFT(K5066,6)="MV15AX",LEFT(K5066,4)="CTAX",LEFT(K5066,2)="W|"),2*N5066*O5066,0)</f>
        <v/>
      </c>
      <c r="Z5066" s="12" t="inlineStr">
        <is>
          <t>VD 1.1 %</t>
        </is>
      </c>
      <c r="AA5066" s="12">
        <f>N5066*O5066</f>
        <v/>
      </c>
    </row>
    <row r="5067">
      <c r="A5067" s="12" t="inlineStr">
        <is>
          <t>I-P-0165</t>
        </is>
      </c>
      <c r="B5067" s="12" t="inlineStr">
        <is>
          <t>I</t>
        </is>
      </c>
      <c r="C5067" s="12" t="inlineStr">
        <is>
          <t>Modular / portable power</t>
        </is>
      </c>
      <c r="D5067" s="12" t="inlineStr">
        <is>
          <t>480 V welding receptacle 3</t>
        </is>
      </c>
      <c r="E5067" s="12" t="inlineStr"/>
      <c r="F5067" s="12" t="inlineStr">
        <is>
          <t>PCM: power control module</t>
        </is>
      </c>
      <c r="G5067" s="12" t="inlineStr">
        <is>
          <t>RICE-7</t>
        </is>
      </c>
      <c r="H5067" s="12" t="inlineStr">
        <is>
          <t>RICE engine-generator 7</t>
        </is>
      </c>
      <c r="I5067" s="12" t="inlineStr">
        <is>
          <t>LV 600 V</t>
        </is>
      </c>
      <c r="J5067" s="12" t="inlineStr">
        <is>
          <t>Type TC-ER 600 V 3/C Cu XHHW-2 + ground, PVC jacket</t>
        </is>
      </c>
      <c r="K5067" s="12" t="inlineStr">
        <is>
          <t>LV|3/C+G|2</t>
        </is>
      </c>
      <c r="L5067" s="12" t="inlineStr">
        <is>
          <t>3/C+G</t>
        </is>
      </c>
      <c r="M5067" s="12" t="inlineStr">
        <is>
          <t>2</t>
        </is>
      </c>
      <c r="N5067" s="12" t="n">
        <v>1</v>
      </c>
      <c r="O5067" s="12" t="n">
        <v>1</v>
      </c>
      <c r="P5067" s="12" t="n">
        <v>480</v>
      </c>
      <c r="Q5067" s="12" t="n">
        <v>60</v>
      </c>
      <c r="R5067" s="12" t="n">
        <v>76</v>
      </c>
      <c r="S5067" s="12" t="inlineStr">
        <is>
          <t>Tray</t>
        </is>
      </c>
      <c r="T5067" s="16" t="n">
        <v>0</v>
      </c>
      <c r="U5067" s="16" t="n">
        <v>189</v>
      </c>
      <c r="V5067" s="16">
        <f>ROUNDUP((T5067+U5067+2*'Read Me'!$B$13)*(1+'Read Me'!$B$12),-1)</f>
        <v/>
      </c>
      <c r="W5067" s="16">
        <f>V5067*N5067*O5067</f>
        <v/>
      </c>
      <c r="X5067" s="12">
        <f>IF(LEFT(I5067,2)="MV",2*N5067*IF(L5067="1/C",O5067,1),0)</f>
        <v/>
      </c>
      <c r="Y5067" s="12">
        <f>IF(OR(LEFT(K5067,4)="LVAX",LEFT(K5067,6)="MV15AX",LEFT(K5067,4)="CTAX",LEFT(K5067,2)="W|"),2*N5067*O5067,0)</f>
        <v/>
      </c>
      <c r="Z5067" s="12" t="inlineStr">
        <is>
          <t>VD 1.1 %</t>
        </is>
      </c>
      <c r="AA5067" s="12">
        <f>N5067*O5067</f>
        <v/>
      </c>
    </row>
    <row r="5068">
      <c r="A5068" s="12" t="inlineStr">
        <is>
          <t>I-P-0166</t>
        </is>
      </c>
      <c r="B5068" s="12" t="inlineStr">
        <is>
          <t>I</t>
        </is>
      </c>
      <c r="C5068" s="12" t="inlineStr">
        <is>
          <t>Modular / portable power</t>
        </is>
      </c>
      <c r="D5068" s="12" t="inlineStr">
        <is>
          <t>480 V welding receptacle 4</t>
        </is>
      </c>
      <c r="E5068" s="12" t="inlineStr"/>
      <c r="F5068" s="12" t="inlineStr">
        <is>
          <t>PCM: power control module</t>
        </is>
      </c>
      <c r="G5068" s="12" t="inlineStr">
        <is>
          <t>RICE-7</t>
        </is>
      </c>
      <c r="H5068" s="12" t="inlineStr">
        <is>
          <t>RICE engine-generator 7</t>
        </is>
      </c>
      <c r="I5068" s="12" t="inlineStr">
        <is>
          <t>LV 600 V</t>
        </is>
      </c>
      <c r="J5068" s="12" t="inlineStr">
        <is>
          <t>Type TC-ER 600 V 3/C Cu XHHW-2 + ground, PVC jacket</t>
        </is>
      </c>
      <c r="K5068" s="12" t="inlineStr">
        <is>
          <t>LV|3/C+G|2</t>
        </is>
      </c>
      <c r="L5068" s="12" t="inlineStr">
        <is>
          <t>3/C+G</t>
        </is>
      </c>
      <c r="M5068" s="12" t="inlineStr">
        <is>
          <t>2</t>
        </is>
      </c>
      <c r="N5068" s="12" t="n">
        <v>1</v>
      </c>
      <c r="O5068" s="12" t="n">
        <v>1</v>
      </c>
      <c r="P5068" s="12" t="n">
        <v>480</v>
      </c>
      <c r="Q5068" s="12" t="n">
        <v>60</v>
      </c>
      <c r="R5068" s="12" t="n">
        <v>76</v>
      </c>
      <c r="S5068" s="12" t="inlineStr">
        <is>
          <t>Tray</t>
        </is>
      </c>
      <c r="T5068" s="16" t="n">
        <v>0</v>
      </c>
      <c r="U5068" s="16" t="n">
        <v>189</v>
      </c>
      <c r="V5068" s="16">
        <f>ROUNDUP((T5068+U5068+2*'Read Me'!$B$13)*(1+'Read Me'!$B$12),-1)</f>
        <v/>
      </c>
      <c r="W5068" s="16">
        <f>V5068*N5068*O5068</f>
        <v/>
      </c>
      <c r="X5068" s="12">
        <f>IF(LEFT(I5068,2)="MV",2*N5068*IF(L5068="1/C",O5068,1),0)</f>
        <v/>
      </c>
      <c r="Y5068" s="12">
        <f>IF(OR(LEFT(K5068,4)="LVAX",LEFT(K5068,6)="MV15AX",LEFT(K5068,4)="CTAX",LEFT(K5068,2)="W|"),2*N5068*O5068,0)</f>
        <v/>
      </c>
      <c r="Z5068" s="12" t="inlineStr">
        <is>
          <t>VD 1.1 %</t>
        </is>
      </c>
      <c r="AA5068" s="12">
        <f>N5068*O5068</f>
        <v/>
      </c>
    </row>
    <row r="5069">
      <c r="A5069" s="12" t="inlineStr">
        <is>
          <t>I-P-0167</t>
        </is>
      </c>
      <c r="B5069" s="12" t="inlineStr">
        <is>
          <t>I</t>
        </is>
      </c>
      <c r="C5069" s="12" t="inlineStr">
        <is>
          <t>Modular / portable power</t>
        </is>
      </c>
      <c r="D5069" s="12" t="inlineStr">
        <is>
          <t>Motor 1 of 6, 22 kW</t>
        </is>
      </c>
      <c r="E5069" s="12" t="inlineStr"/>
      <c r="F5069" s="12" t="inlineStr">
        <is>
          <t>PCM: power control module</t>
        </is>
      </c>
      <c r="G5069" s="12" t="inlineStr">
        <is>
          <t>RICE-8</t>
        </is>
      </c>
      <c r="H5069" s="12" t="inlineStr">
        <is>
          <t>RICE engine-generator 8</t>
        </is>
      </c>
      <c r="I5069" s="12" t="inlineStr">
        <is>
          <t>LV 600 V</t>
        </is>
      </c>
      <c r="J5069" s="12" t="inlineStr">
        <is>
          <t>Type TC-ER 600 V 3/C Cu XHHW-2 + ground, PVC jacket</t>
        </is>
      </c>
      <c r="K5069" s="12" t="inlineStr">
        <is>
          <t>LV|3/C+G|8</t>
        </is>
      </c>
      <c r="L5069" s="12" t="inlineStr">
        <is>
          <t>3/C+G</t>
        </is>
      </c>
      <c r="M5069" s="12" t="inlineStr">
        <is>
          <t>8</t>
        </is>
      </c>
      <c r="N5069" s="12" t="n">
        <v>1</v>
      </c>
      <c r="O5069" s="12" t="n">
        <v>1</v>
      </c>
      <c r="P5069" s="12" t="n">
        <v>480</v>
      </c>
      <c r="Q5069" s="12" t="n">
        <v>22</v>
      </c>
      <c r="R5069" s="12" t="n">
        <v>31.1</v>
      </c>
      <c r="S5069" s="12" t="inlineStr">
        <is>
          <t>Tray</t>
        </is>
      </c>
      <c r="T5069" s="16" t="n">
        <v>0</v>
      </c>
      <c r="U5069" s="16" t="n">
        <v>161</v>
      </c>
      <c r="V5069" s="16">
        <f>ROUNDUP((T5069+U5069+2*'Read Me'!$B$13)*(1+'Read Me'!$B$12),-1)</f>
        <v/>
      </c>
      <c r="W5069" s="16">
        <f>V5069*N5069*O5069</f>
        <v/>
      </c>
      <c r="X5069" s="12">
        <f>IF(LEFT(I5069,2)="MV",2*N5069*IF(L5069="1/C",O5069,1),0)</f>
        <v/>
      </c>
      <c r="Y5069" s="12">
        <f>IF(OR(LEFT(K5069,4)="LVAX",LEFT(K5069,6)="MV15AX",LEFT(K5069,4)="CTAX",LEFT(K5069,2)="W|"),2*N5069*O5069,0)</f>
        <v/>
      </c>
      <c r="Z5069" s="12" t="inlineStr">
        <is>
          <t>VD 1.5 %</t>
        </is>
      </c>
      <c r="AA5069" s="12">
        <f>N5069*O5069</f>
        <v/>
      </c>
    </row>
    <row r="5070">
      <c r="A5070" s="12" t="inlineStr">
        <is>
          <t>I-P-0168</t>
        </is>
      </c>
      <c r="B5070" s="12" t="inlineStr">
        <is>
          <t>I</t>
        </is>
      </c>
      <c r="C5070" s="12" t="inlineStr">
        <is>
          <t>Modular / portable power</t>
        </is>
      </c>
      <c r="D5070" s="12" t="inlineStr">
        <is>
          <t>Motor 2 of 6, 22 kW</t>
        </is>
      </c>
      <c r="E5070" s="12" t="inlineStr"/>
      <c r="F5070" s="12" t="inlineStr">
        <is>
          <t>PCM: power control module</t>
        </is>
      </c>
      <c r="G5070" s="12" t="inlineStr">
        <is>
          <t>RICE-8</t>
        </is>
      </c>
      <c r="H5070" s="12" t="inlineStr">
        <is>
          <t>RICE engine-generator 8</t>
        </is>
      </c>
      <c r="I5070" s="12" t="inlineStr">
        <is>
          <t>LV 600 V</t>
        </is>
      </c>
      <c r="J5070" s="12" t="inlineStr">
        <is>
          <t>Type TC-ER 600 V 3/C Cu XHHW-2 + ground, PVC jacket</t>
        </is>
      </c>
      <c r="K5070" s="12" t="inlineStr">
        <is>
          <t>LV|3/C+G|8</t>
        </is>
      </c>
      <c r="L5070" s="12" t="inlineStr">
        <is>
          <t>3/C+G</t>
        </is>
      </c>
      <c r="M5070" s="12" t="inlineStr">
        <is>
          <t>8</t>
        </is>
      </c>
      <c r="N5070" s="12" t="n">
        <v>1</v>
      </c>
      <c r="O5070" s="12" t="n">
        <v>1</v>
      </c>
      <c r="P5070" s="12" t="n">
        <v>480</v>
      </c>
      <c r="Q5070" s="12" t="n">
        <v>22</v>
      </c>
      <c r="R5070" s="12" t="n">
        <v>31.1</v>
      </c>
      <c r="S5070" s="12" t="inlineStr">
        <is>
          <t>Tray</t>
        </is>
      </c>
      <c r="T5070" s="16" t="n">
        <v>0</v>
      </c>
      <c r="U5070" s="16" t="n">
        <v>161</v>
      </c>
      <c r="V5070" s="16">
        <f>ROUNDUP((T5070+U5070+2*'Read Me'!$B$13)*(1+'Read Me'!$B$12),-1)</f>
        <v/>
      </c>
      <c r="W5070" s="16">
        <f>V5070*N5070*O5070</f>
        <v/>
      </c>
      <c r="X5070" s="12">
        <f>IF(LEFT(I5070,2)="MV",2*N5070*IF(L5070="1/C",O5070,1),0)</f>
        <v/>
      </c>
      <c r="Y5070" s="12">
        <f>IF(OR(LEFT(K5070,4)="LVAX",LEFT(K5070,6)="MV15AX",LEFT(K5070,4)="CTAX",LEFT(K5070,2)="W|"),2*N5070*O5070,0)</f>
        <v/>
      </c>
      <c r="Z5070" s="12" t="inlineStr">
        <is>
          <t>VD 1.5 %</t>
        </is>
      </c>
      <c r="AA5070" s="12">
        <f>N5070*O5070</f>
        <v/>
      </c>
    </row>
    <row r="5071">
      <c r="A5071" s="12" t="inlineStr">
        <is>
          <t>I-P-0169</t>
        </is>
      </c>
      <c r="B5071" s="12" t="inlineStr">
        <is>
          <t>I</t>
        </is>
      </c>
      <c r="C5071" s="12" t="inlineStr">
        <is>
          <t>Modular / portable power</t>
        </is>
      </c>
      <c r="D5071" s="12" t="inlineStr">
        <is>
          <t>Motor 3 of 6, 22 kW</t>
        </is>
      </c>
      <c r="E5071" s="12" t="inlineStr"/>
      <c r="F5071" s="12" t="inlineStr">
        <is>
          <t>PCM: power control module</t>
        </is>
      </c>
      <c r="G5071" s="12" t="inlineStr">
        <is>
          <t>RICE-8</t>
        </is>
      </c>
      <c r="H5071" s="12" t="inlineStr">
        <is>
          <t>RICE engine-generator 8</t>
        </is>
      </c>
      <c r="I5071" s="12" t="inlineStr">
        <is>
          <t>LV 600 V</t>
        </is>
      </c>
      <c r="J5071" s="12" t="inlineStr">
        <is>
          <t>Type TC-ER 600 V 3/C Cu XHHW-2 + ground, PVC jacket</t>
        </is>
      </c>
      <c r="K5071" s="12" t="inlineStr">
        <is>
          <t>LV|3/C+G|8</t>
        </is>
      </c>
      <c r="L5071" s="12" t="inlineStr">
        <is>
          <t>3/C+G</t>
        </is>
      </c>
      <c r="M5071" s="12" t="inlineStr">
        <is>
          <t>8</t>
        </is>
      </c>
      <c r="N5071" s="12" t="n">
        <v>1</v>
      </c>
      <c r="O5071" s="12" t="n">
        <v>1</v>
      </c>
      <c r="P5071" s="12" t="n">
        <v>480</v>
      </c>
      <c r="Q5071" s="12" t="n">
        <v>22</v>
      </c>
      <c r="R5071" s="12" t="n">
        <v>31.1</v>
      </c>
      <c r="S5071" s="12" t="inlineStr">
        <is>
          <t>Tray</t>
        </is>
      </c>
      <c r="T5071" s="16" t="n">
        <v>0</v>
      </c>
      <c r="U5071" s="16" t="n">
        <v>161</v>
      </c>
      <c r="V5071" s="16">
        <f>ROUNDUP((T5071+U5071+2*'Read Me'!$B$13)*(1+'Read Me'!$B$12),-1)</f>
        <v/>
      </c>
      <c r="W5071" s="16">
        <f>V5071*N5071*O5071</f>
        <v/>
      </c>
      <c r="X5071" s="12">
        <f>IF(LEFT(I5071,2)="MV",2*N5071*IF(L5071="1/C",O5071,1),0)</f>
        <v/>
      </c>
      <c r="Y5071" s="12">
        <f>IF(OR(LEFT(K5071,4)="LVAX",LEFT(K5071,6)="MV15AX",LEFT(K5071,4)="CTAX",LEFT(K5071,2)="W|"),2*N5071*O5071,0)</f>
        <v/>
      </c>
      <c r="Z5071" s="12" t="inlineStr">
        <is>
          <t>VD 1.5 %</t>
        </is>
      </c>
      <c r="AA5071" s="12">
        <f>N5071*O5071</f>
        <v/>
      </c>
    </row>
    <row r="5072">
      <c r="A5072" s="12" t="inlineStr">
        <is>
          <t>I-P-0170</t>
        </is>
      </c>
      <c r="B5072" s="12" t="inlineStr">
        <is>
          <t>I</t>
        </is>
      </c>
      <c r="C5072" s="12" t="inlineStr">
        <is>
          <t>Modular / portable power</t>
        </is>
      </c>
      <c r="D5072" s="12" t="inlineStr">
        <is>
          <t>Motor 4 of 6, 22 kW</t>
        </is>
      </c>
      <c r="E5072" s="12" t="inlineStr"/>
      <c r="F5072" s="12" t="inlineStr">
        <is>
          <t>PCM: power control module</t>
        </is>
      </c>
      <c r="G5072" s="12" t="inlineStr">
        <is>
          <t>RICE-8</t>
        </is>
      </c>
      <c r="H5072" s="12" t="inlineStr">
        <is>
          <t>RICE engine-generator 8</t>
        </is>
      </c>
      <c r="I5072" s="12" t="inlineStr">
        <is>
          <t>LV 600 V</t>
        </is>
      </c>
      <c r="J5072" s="12" t="inlineStr">
        <is>
          <t>Type TC-ER 600 V 3/C Cu XHHW-2 + ground, PVC jacket</t>
        </is>
      </c>
      <c r="K5072" s="12" t="inlineStr">
        <is>
          <t>LV|3/C+G|8</t>
        </is>
      </c>
      <c r="L5072" s="12" t="inlineStr">
        <is>
          <t>3/C+G</t>
        </is>
      </c>
      <c r="M5072" s="12" t="inlineStr">
        <is>
          <t>8</t>
        </is>
      </c>
      <c r="N5072" s="12" t="n">
        <v>1</v>
      </c>
      <c r="O5072" s="12" t="n">
        <v>1</v>
      </c>
      <c r="P5072" s="12" t="n">
        <v>480</v>
      </c>
      <c r="Q5072" s="12" t="n">
        <v>22</v>
      </c>
      <c r="R5072" s="12" t="n">
        <v>31.1</v>
      </c>
      <c r="S5072" s="12" t="inlineStr">
        <is>
          <t>Tray</t>
        </is>
      </c>
      <c r="T5072" s="16" t="n">
        <v>0</v>
      </c>
      <c r="U5072" s="16" t="n">
        <v>161</v>
      </c>
      <c r="V5072" s="16">
        <f>ROUNDUP((T5072+U5072+2*'Read Me'!$B$13)*(1+'Read Me'!$B$12),-1)</f>
        <v/>
      </c>
      <c r="W5072" s="16">
        <f>V5072*N5072*O5072</f>
        <v/>
      </c>
      <c r="X5072" s="12">
        <f>IF(LEFT(I5072,2)="MV",2*N5072*IF(L5072="1/C",O5072,1),0)</f>
        <v/>
      </c>
      <c r="Y5072" s="12">
        <f>IF(OR(LEFT(K5072,4)="LVAX",LEFT(K5072,6)="MV15AX",LEFT(K5072,4)="CTAX",LEFT(K5072,2)="W|"),2*N5072*O5072,0)</f>
        <v/>
      </c>
      <c r="Z5072" s="12" t="inlineStr">
        <is>
          <t>VD 1.5 %</t>
        </is>
      </c>
      <c r="AA5072" s="12">
        <f>N5072*O5072</f>
        <v/>
      </c>
    </row>
    <row r="5073">
      <c r="A5073" s="12" t="inlineStr">
        <is>
          <t>I-P-0171</t>
        </is>
      </c>
      <c r="B5073" s="12" t="inlineStr">
        <is>
          <t>I</t>
        </is>
      </c>
      <c r="C5073" s="12" t="inlineStr">
        <is>
          <t>Modular / portable power</t>
        </is>
      </c>
      <c r="D5073" s="12" t="inlineStr">
        <is>
          <t>Motor 5 of 6, 22 kW</t>
        </is>
      </c>
      <c r="E5073" s="12" t="inlineStr"/>
      <c r="F5073" s="12" t="inlineStr">
        <is>
          <t>PCM: power control module</t>
        </is>
      </c>
      <c r="G5073" s="12" t="inlineStr">
        <is>
          <t>RICE-8</t>
        </is>
      </c>
      <c r="H5073" s="12" t="inlineStr">
        <is>
          <t>RICE engine-generator 8</t>
        </is>
      </c>
      <c r="I5073" s="12" t="inlineStr">
        <is>
          <t>LV 600 V</t>
        </is>
      </c>
      <c r="J5073" s="12" t="inlineStr">
        <is>
          <t>Type TC-ER 600 V 3/C Cu XHHW-2 + ground, PVC jacket</t>
        </is>
      </c>
      <c r="K5073" s="12" t="inlineStr">
        <is>
          <t>LV|3/C+G|8</t>
        </is>
      </c>
      <c r="L5073" s="12" t="inlineStr">
        <is>
          <t>3/C+G</t>
        </is>
      </c>
      <c r="M5073" s="12" t="inlineStr">
        <is>
          <t>8</t>
        </is>
      </c>
      <c r="N5073" s="12" t="n">
        <v>1</v>
      </c>
      <c r="O5073" s="12" t="n">
        <v>1</v>
      </c>
      <c r="P5073" s="12" t="n">
        <v>480</v>
      </c>
      <c r="Q5073" s="12" t="n">
        <v>22</v>
      </c>
      <c r="R5073" s="12" t="n">
        <v>31.1</v>
      </c>
      <c r="S5073" s="12" t="inlineStr">
        <is>
          <t>Tray</t>
        </is>
      </c>
      <c r="T5073" s="16" t="n">
        <v>0</v>
      </c>
      <c r="U5073" s="16" t="n">
        <v>161</v>
      </c>
      <c r="V5073" s="16">
        <f>ROUNDUP((T5073+U5073+2*'Read Me'!$B$13)*(1+'Read Me'!$B$12),-1)</f>
        <v/>
      </c>
      <c r="W5073" s="16">
        <f>V5073*N5073*O5073</f>
        <v/>
      </c>
      <c r="X5073" s="12">
        <f>IF(LEFT(I5073,2)="MV",2*N5073*IF(L5073="1/C",O5073,1),0)</f>
        <v/>
      </c>
      <c r="Y5073" s="12">
        <f>IF(OR(LEFT(K5073,4)="LVAX",LEFT(K5073,6)="MV15AX",LEFT(K5073,4)="CTAX",LEFT(K5073,2)="W|"),2*N5073*O5073,0)</f>
        <v/>
      </c>
      <c r="Z5073" s="12" t="inlineStr">
        <is>
          <t>VD 1.5 %</t>
        </is>
      </c>
      <c r="AA5073" s="12">
        <f>N5073*O5073</f>
        <v/>
      </c>
    </row>
    <row r="5074">
      <c r="A5074" s="12" t="inlineStr">
        <is>
          <t>I-P-0172</t>
        </is>
      </c>
      <c r="B5074" s="12" t="inlineStr">
        <is>
          <t>I</t>
        </is>
      </c>
      <c r="C5074" s="12" t="inlineStr">
        <is>
          <t>Modular / portable power</t>
        </is>
      </c>
      <c r="D5074" s="12" t="inlineStr">
        <is>
          <t>Motor 6 of 6, 22 kW</t>
        </is>
      </c>
      <c r="E5074" s="12" t="inlineStr"/>
      <c r="F5074" s="12" t="inlineStr">
        <is>
          <t>PCM: power control module</t>
        </is>
      </c>
      <c r="G5074" s="12" t="inlineStr">
        <is>
          <t>RICE-8</t>
        </is>
      </c>
      <c r="H5074" s="12" t="inlineStr">
        <is>
          <t>RICE engine-generator 8</t>
        </is>
      </c>
      <c r="I5074" s="12" t="inlineStr">
        <is>
          <t>LV 600 V</t>
        </is>
      </c>
      <c r="J5074" s="12" t="inlineStr">
        <is>
          <t>Type TC-ER 600 V 3/C Cu XHHW-2 + ground, PVC jacket</t>
        </is>
      </c>
      <c r="K5074" s="12" t="inlineStr">
        <is>
          <t>LV|3/C+G|8</t>
        </is>
      </c>
      <c r="L5074" s="12" t="inlineStr">
        <is>
          <t>3/C+G</t>
        </is>
      </c>
      <c r="M5074" s="12" t="inlineStr">
        <is>
          <t>8</t>
        </is>
      </c>
      <c r="N5074" s="12" t="n">
        <v>1</v>
      </c>
      <c r="O5074" s="12" t="n">
        <v>1</v>
      </c>
      <c r="P5074" s="12" t="n">
        <v>480</v>
      </c>
      <c r="Q5074" s="12" t="n">
        <v>22</v>
      </c>
      <c r="R5074" s="12" t="n">
        <v>31.1</v>
      </c>
      <c r="S5074" s="12" t="inlineStr">
        <is>
          <t>Tray</t>
        </is>
      </c>
      <c r="T5074" s="16" t="n">
        <v>0</v>
      </c>
      <c r="U5074" s="16" t="n">
        <v>161</v>
      </c>
      <c r="V5074" s="16">
        <f>ROUNDUP((T5074+U5074+2*'Read Me'!$B$13)*(1+'Read Me'!$B$12),-1)</f>
        <v/>
      </c>
      <c r="W5074" s="16">
        <f>V5074*N5074*O5074</f>
        <v/>
      </c>
      <c r="X5074" s="12">
        <f>IF(LEFT(I5074,2)="MV",2*N5074*IF(L5074="1/C",O5074,1),0)</f>
        <v/>
      </c>
      <c r="Y5074" s="12">
        <f>IF(OR(LEFT(K5074,4)="LVAX",LEFT(K5074,6)="MV15AX",LEFT(K5074,4)="CTAX",LEFT(K5074,2)="W|"),2*N5074*O5074,0)</f>
        <v/>
      </c>
      <c r="Z5074" s="12" t="inlineStr">
        <is>
          <t>VD 1.5 %</t>
        </is>
      </c>
      <c r="AA5074" s="12">
        <f>N5074*O5074</f>
        <v/>
      </c>
    </row>
    <row r="5075">
      <c r="A5075" s="12" t="inlineStr">
        <is>
          <t>I-P-0173</t>
        </is>
      </c>
      <c r="B5075" s="12" t="inlineStr">
        <is>
          <t>I</t>
        </is>
      </c>
      <c r="C5075" s="12" t="inlineStr">
        <is>
          <t>Modular / portable power</t>
        </is>
      </c>
      <c r="D5075" s="12" t="inlineStr">
        <is>
          <t>480 V welding receptacle 1</t>
        </is>
      </c>
      <c r="E5075" s="12" t="inlineStr"/>
      <c r="F5075" s="12" t="inlineStr">
        <is>
          <t>PCM: power control module</t>
        </is>
      </c>
      <c r="G5075" s="12" t="inlineStr">
        <is>
          <t>RICE-8</t>
        </is>
      </c>
      <c r="H5075" s="12" t="inlineStr">
        <is>
          <t>RICE engine-generator 8</t>
        </is>
      </c>
      <c r="I5075" s="12" t="inlineStr">
        <is>
          <t>LV 600 V</t>
        </is>
      </c>
      <c r="J5075" s="12" t="inlineStr">
        <is>
          <t>Type TC-ER 600 V 3/C Cu XHHW-2 + ground, PVC jacket</t>
        </is>
      </c>
      <c r="K5075" s="12" t="inlineStr">
        <is>
          <t>LV|3/C+G|2</t>
        </is>
      </c>
      <c r="L5075" s="12" t="inlineStr">
        <is>
          <t>3/C+G</t>
        </is>
      </c>
      <c r="M5075" s="12" t="inlineStr">
        <is>
          <t>2</t>
        </is>
      </c>
      <c r="N5075" s="12" t="n">
        <v>1</v>
      </c>
      <c r="O5075" s="12" t="n">
        <v>1</v>
      </c>
      <c r="P5075" s="12" t="n">
        <v>480</v>
      </c>
      <c r="Q5075" s="12" t="n">
        <v>60</v>
      </c>
      <c r="R5075" s="12" t="n">
        <v>76</v>
      </c>
      <c r="S5075" s="12" t="inlineStr">
        <is>
          <t>Tray</t>
        </is>
      </c>
      <c r="T5075" s="16" t="n">
        <v>0</v>
      </c>
      <c r="U5075" s="16" t="n">
        <v>161</v>
      </c>
      <c r="V5075" s="16">
        <f>ROUNDUP((T5075+U5075+2*'Read Me'!$B$13)*(1+'Read Me'!$B$12),-1)</f>
        <v/>
      </c>
      <c r="W5075" s="16">
        <f>V5075*N5075*O5075</f>
        <v/>
      </c>
      <c r="X5075" s="12">
        <f>IF(LEFT(I5075,2)="MV",2*N5075*IF(L5075="1/C",O5075,1),0)</f>
        <v/>
      </c>
      <c r="Y5075" s="12">
        <f>IF(OR(LEFT(K5075,4)="LVAX",LEFT(K5075,6)="MV15AX",LEFT(K5075,4)="CTAX",LEFT(K5075,2)="W|"),2*N5075*O5075,0)</f>
        <v/>
      </c>
      <c r="Z5075" s="12" t="inlineStr">
        <is>
          <t>VD 0.9 %</t>
        </is>
      </c>
      <c r="AA5075" s="12">
        <f>N5075*O5075</f>
        <v/>
      </c>
    </row>
    <row r="5076">
      <c r="A5076" s="12" t="inlineStr">
        <is>
          <t>I-P-0174</t>
        </is>
      </c>
      <c r="B5076" s="12" t="inlineStr">
        <is>
          <t>I</t>
        </is>
      </c>
      <c r="C5076" s="12" t="inlineStr">
        <is>
          <t>Modular / portable power</t>
        </is>
      </c>
      <c r="D5076" s="12" t="inlineStr">
        <is>
          <t>480 V welding receptacle 2</t>
        </is>
      </c>
      <c r="E5076" s="12" t="inlineStr"/>
      <c r="F5076" s="12" t="inlineStr">
        <is>
          <t>PCM: power control module</t>
        </is>
      </c>
      <c r="G5076" s="12" t="inlineStr">
        <is>
          <t>RICE-8</t>
        </is>
      </c>
      <c r="H5076" s="12" t="inlineStr">
        <is>
          <t>RICE engine-generator 8</t>
        </is>
      </c>
      <c r="I5076" s="12" t="inlineStr">
        <is>
          <t>LV 600 V</t>
        </is>
      </c>
      <c r="J5076" s="12" t="inlineStr">
        <is>
          <t>Type TC-ER 600 V 3/C Cu XHHW-2 + ground, PVC jacket</t>
        </is>
      </c>
      <c r="K5076" s="12" t="inlineStr">
        <is>
          <t>LV|3/C+G|2</t>
        </is>
      </c>
      <c r="L5076" s="12" t="inlineStr">
        <is>
          <t>3/C+G</t>
        </is>
      </c>
      <c r="M5076" s="12" t="inlineStr">
        <is>
          <t>2</t>
        </is>
      </c>
      <c r="N5076" s="12" t="n">
        <v>1</v>
      </c>
      <c r="O5076" s="12" t="n">
        <v>1</v>
      </c>
      <c r="P5076" s="12" t="n">
        <v>480</v>
      </c>
      <c r="Q5076" s="12" t="n">
        <v>60</v>
      </c>
      <c r="R5076" s="12" t="n">
        <v>76</v>
      </c>
      <c r="S5076" s="12" t="inlineStr">
        <is>
          <t>Tray</t>
        </is>
      </c>
      <c r="T5076" s="16" t="n">
        <v>0</v>
      </c>
      <c r="U5076" s="16" t="n">
        <v>161</v>
      </c>
      <c r="V5076" s="16">
        <f>ROUNDUP((T5076+U5076+2*'Read Me'!$B$13)*(1+'Read Me'!$B$12),-1)</f>
        <v/>
      </c>
      <c r="W5076" s="16">
        <f>V5076*N5076*O5076</f>
        <v/>
      </c>
      <c r="X5076" s="12">
        <f>IF(LEFT(I5076,2)="MV",2*N5076*IF(L5076="1/C",O5076,1),0)</f>
        <v/>
      </c>
      <c r="Y5076" s="12">
        <f>IF(OR(LEFT(K5076,4)="LVAX",LEFT(K5076,6)="MV15AX",LEFT(K5076,4)="CTAX",LEFT(K5076,2)="W|"),2*N5076*O5076,0)</f>
        <v/>
      </c>
      <c r="Z5076" s="12" t="inlineStr">
        <is>
          <t>VD 0.9 %</t>
        </is>
      </c>
      <c r="AA5076" s="12">
        <f>N5076*O5076</f>
        <v/>
      </c>
    </row>
    <row r="5077">
      <c r="A5077" s="12" t="inlineStr">
        <is>
          <t>I-P-0175</t>
        </is>
      </c>
      <c r="B5077" s="12" t="inlineStr">
        <is>
          <t>I</t>
        </is>
      </c>
      <c r="C5077" s="12" t="inlineStr">
        <is>
          <t>Modular / portable power</t>
        </is>
      </c>
      <c r="D5077" s="12" t="inlineStr">
        <is>
          <t>480 V welding receptacle 3</t>
        </is>
      </c>
      <c r="E5077" s="12" t="inlineStr"/>
      <c r="F5077" s="12" t="inlineStr">
        <is>
          <t>PCM: power control module</t>
        </is>
      </c>
      <c r="G5077" s="12" t="inlineStr">
        <is>
          <t>RICE-8</t>
        </is>
      </c>
      <c r="H5077" s="12" t="inlineStr">
        <is>
          <t>RICE engine-generator 8</t>
        </is>
      </c>
      <c r="I5077" s="12" t="inlineStr">
        <is>
          <t>LV 600 V</t>
        </is>
      </c>
      <c r="J5077" s="12" t="inlineStr">
        <is>
          <t>Type TC-ER 600 V 3/C Cu XHHW-2 + ground, PVC jacket</t>
        </is>
      </c>
      <c r="K5077" s="12" t="inlineStr">
        <is>
          <t>LV|3/C+G|2</t>
        </is>
      </c>
      <c r="L5077" s="12" t="inlineStr">
        <is>
          <t>3/C+G</t>
        </is>
      </c>
      <c r="M5077" s="12" t="inlineStr">
        <is>
          <t>2</t>
        </is>
      </c>
      <c r="N5077" s="12" t="n">
        <v>1</v>
      </c>
      <c r="O5077" s="12" t="n">
        <v>1</v>
      </c>
      <c r="P5077" s="12" t="n">
        <v>480</v>
      </c>
      <c r="Q5077" s="12" t="n">
        <v>60</v>
      </c>
      <c r="R5077" s="12" t="n">
        <v>76</v>
      </c>
      <c r="S5077" s="12" t="inlineStr">
        <is>
          <t>Tray</t>
        </is>
      </c>
      <c r="T5077" s="16" t="n">
        <v>0</v>
      </c>
      <c r="U5077" s="16" t="n">
        <v>161</v>
      </c>
      <c r="V5077" s="16">
        <f>ROUNDUP((T5077+U5077+2*'Read Me'!$B$13)*(1+'Read Me'!$B$12),-1)</f>
        <v/>
      </c>
      <c r="W5077" s="16">
        <f>V5077*N5077*O5077</f>
        <v/>
      </c>
      <c r="X5077" s="12">
        <f>IF(LEFT(I5077,2)="MV",2*N5077*IF(L5077="1/C",O5077,1),0)</f>
        <v/>
      </c>
      <c r="Y5077" s="12">
        <f>IF(OR(LEFT(K5077,4)="LVAX",LEFT(K5077,6)="MV15AX",LEFT(K5077,4)="CTAX",LEFT(K5077,2)="W|"),2*N5077*O5077,0)</f>
        <v/>
      </c>
      <c r="Z5077" s="12" t="inlineStr">
        <is>
          <t>VD 0.9 %</t>
        </is>
      </c>
      <c r="AA5077" s="12">
        <f>N5077*O5077</f>
        <v/>
      </c>
    </row>
    <row r="5078">
      <c r="A5078" s="12" t="inlineStr">
        <is>
          <t>I-P-0176</t>
        </is>
      </c>
      <c r="B5078" s="12" t="inlineStr">
        <is>
          <t>I</t>
        </is>
      </c>
      <c r="C5078" s="12" t="inlineStr">
        <is>
          <t>Modular / portable power</t>
        </is>
      </c>
      <c r="D5078" s="12" t="inlineStr">
        <is>
          <t>480 V welding receptacle 4</t>
        </is>
      </c>
      <c r="E5078" s="12" t="inlineStr"/>
      <c r="F5078" s="12" t="inlineStr">
        <is>
          <t>PCM: power control module</t>
        </is>
      </c>
      <c r="G5078" s="12" t="inlineStr">
        <is>
          <t>RICE-8</t>
        </is>
      </c>
      <c r="H5078" s="12" t="inlineStr">
        <is>
          <t>RICE engine-generator 8</t>
        </is>
      </c>
      <c r="I5078" s="12" t="inlineStr">
        <is>
          <t>LV 600 V</t>
        </is>
      </c>
      <c r="J5078" s="12" t="inlineStr">
        <is>
          <t>Type TC-ER 600 V 3/C Cu XHHW-2 + ground, PVC jacket</t>
        </is>
      </c>
      <c r="K5078" s="12" t="inlineStr">
        <is>
          <t>LV|3/C+G|2</t>
        </is>
      </c>
      <c r="L5078" s="12" t="inlineStr">
        <is>
          <t>3/C+G</t>
        </is>
      </c>
      <c r="M5078" s="12" t="inlineStr">
        <is>
          <t>2</t>
        </is>
      </c>
      <c r="N5078" s="12" t="n">
        <v>1</v>
      </c>
      <c r="O5078" s="12" t="n">
        <v>1</v>
      </c>
      <c r="P5078" s="12" t="n">
        <v>480</v>
      </c>
      <c r="Q5078" s="12" t="n">
        <v>60</v>
      </c>
      <c r="R5078" s="12" t="n">
        <v>76</v>
      </c>
      <c r="S5078" s="12" t="inlineStr">
        <is>
          <t>Tray</t>
        </is>
      </c>
      <c r="T5078" s="16" t="n">
        <v>0</v>
      </c>
      <c r="U5078" s="16" t="n">
        <v>161</v>
      </c>
      <c r="V5078" s="16">
        <f>ROUNDUP((T5078+U5078+2*'Read Me'!$B$13)*(1+'Read Me'!$B$12),-1)</f>
        <v/>
      </c>
      <c r="W5078" s="16">
        <f>V5078*N5078*O5078</f>
        <v/>
      </c>
      <c r="X5078" s="12">
        <f>IF(LEFT(I5078,2)="MV",2*N5078*IF(L5078="1/C",O5078,1),0)</f>
        <v/>
      </c>
      <c r="Y5078" s="12">
        <f>IF(OR(LEFT(K5078,4)="LVAX",LEFT(K5078,6)="MV15AX",LEFT(K5078,4)="CTAX",LEFT(K5078,2)="W|"),2*N5078*O5078,0)</f>
        <v/>
      </c>
      <c r="Z5078" s="12" t="inlineStr">
        <is>
          <t>VD 0.9 %</t>
        </is>
      </c>
      <c r="AA5078" s="12">
        <f>N5078*O5078</f>
        <v/>
      </c>
    </row>
    <row r="5079">
      <c r="A5079" s="12" t="inlineStr">
        <is>
          <t>I-P-0177</t>
        </is>
      </c>
      <c r="B5079" s="12" t="inlineStr">
        <is>
          <t>I</t>
        </is>
      </c>
      <c r="C5079" s="12" t="inlineStr">
        <is>
          <t>Modular / portable power</t>
        </is>
      </c>
      <c r="D5079" s="12" t="inlineStr">
        <is>
          <t>LV power feeder</t>
        </is>
      </c>
      <c r="E5079" s="12" t="inlineStr"/>
      <c r="F5079" s="12" t="inlineStr">
        <is>
          <t>PCM: power control module</t>
        </is>
      </c>
      <c r="G5079" s="12" t="inlineStr"/>
      <c r="H5079" s="12" t="inlineStr">
        <is>
          <t>Reagent storage</t>
        </is>
      </c>
      <c r="I5079" s="12" t="inlineStr">
        <is>
          <t>LV 600 V</t>
        </is>
      </c>
      <c r="J5079" s="12" t="inlineStr">
        <is>
          <t>Type TC-ER 600 V 3/C Cu XHHW-2 + ground, PVC jacket</t>
        </is>
      </c>
      <c r="K5079" s="12" t="inlineStr">
        <is>
          <t>LV|3/C+G|10</t>
        </is>
      </c>
      <c r="L5079" s="12" t="inlineStr">
        <is>
          <t>3/C+G</t>
        </is>
      </c>
      <c r="M5079" s="12" t="inlineStr">
        <is>
          <t>10</t>
        </is>
      </c>
      <c r="N5079" s="12" t="n">
        <v>1</v>
      </c>
      <c r="O5079" s="12" t="n">
        <v>1</v>
      </c>
      <c r="P5079" s="12" t="n">
        <v>480</v>
      </c>
      <c r="Q5079" s="12" t="n">
        <v>15</v>
      </c>
      <c r="R5079" s="12" t="n">
        <v>21.2</v>
      </c>
      <c r="S5079" s="12" t="inlineStr">
        <is>
          <t>Tray</t>
        </is>
      </c>
      <c r="T5079" s="16" t="n">
        <v>32</v>
      </c>
      <c r="U5079" s="16" t="n">
        <v>32</v>
      </c>
      <c r="V5079" s="16">
        <f>ROUNDUP((T5079+U5079+2*'Read Me'!$B$13)*(1+'Read Me'!$B$12),-1)</f>
        <v/>
      </c>
      <c r="W5079" s="16">
        <f>V5079*N5079*O5079</f>
        <v/>
      </c>
      <c r="X5079" s="12">
        <f>IF(LEFT(I5079,2)="MV",2*N5079*IF(L5079="1/C",O5079,1),0)</f>
        <v/>
      </c>
      <c r="Y5079" s="12">
        <f>IF(OR(LEFT(K5079,4)="LVAX",LEFT(K5079,6)="MV15AX",LEFT(K5079,4)="CTAX",LEFT(K5079,2)="W|"),2*N5079*O5079,0)</f>
        <v/>
      </c>
      <c r="Z5079" s="12" t="inlineStr">
        <is>
          <t>VD 0.7 %</t>
        </is>
      </c>
      <c r="AA5079" s="12">
        <f>N5079*O5079</f>
        <v/>
      </c>
    </row>
    <row r="5080">
      <c r="A5080" s="12" t="inlineStr">
        <is>
          <t>I-P-0178</t>
        </is>
      </c>
      <c r="B5080" s="12" t="inlineStr">
        <is>
          <t>I</t>
        </is>
      </c>
      <c r="C5080" s="12" t="inlineStr">
        <is>
          <t>Modular / portable power</t>
        </is>
      </c>
      <c r="D5080" s="12" t="inlineStr">
        <is>
          <t>Motor 1 of 2, 30 kW</t>
        </is>
      </c>
      <c r="E5080" s="12" t="inlineStr"/>
      <c r="F5080" s="12" t="inlineStr">
        <is>
          <t>PCM: power control module</t>
        </is>
      </c>
      <c r="G5080" s="12" t="inlineStr"/>
      <c r="H5080" s="12" t="inlineStr">
        <is>
          <t>SC-1 SCR / CO catalyst</t>
        </is>
      </c>
      <c r="I5080" s="12" t="inlineStr">
        <is>
          <t>LV 600 V</t>
        </is>
      </c>
      <c r="J5080" s="12" t="inlineStr">
        <is>
          <t>Type TC-ER 600 V 3/C Cu XHHW-2 + ground, PVC jacket</t>
        </is>
      </c>
      <c r="K5080" s="12" t="inlineStr">
        <is>
          <t>LV|3/C+G|6</t>
        </is>
      </c>
      <c r="L5080" s="12" t="inlineStr">
        <is>
          <t>3/C+G</t>
        </is>
      </c>
      <c r="M5080" s="12" t="inlineStr">
        <is>
          <t>6</t>
        </is>
      </c>
      <c r="N5080" s="12" t="n">
        <v>1</v>
      </c>
      <c r="O5080" s="12" t="n">
        <v>1</v>
      </c>
      <c r="P5080" s="12" t="n">
        <v>480</v>
      </c>
      <c r="Q5080" s="12" t="n">
        <v>30</v>
      </c>
      <c r="R5080" s="12" t="n">
        <v>42.5</v>
      </c>
      <c r="S5080" s="12" t="inlineStr">
        <is>
          <t>Duct bank</t>
        </is>
      </c>
      <c r="T5080" s="16" t="n">
        <v>40</v>
      </c>
      <c r="U5080" s="16" t="n">
        <v>142</v>
      </c>
      <c r="V5080" s="16">
        <f>ROUNDUP((T5080+U5080+2*'Read Me'!$B$13)*(1+'Read Me'!$B$12),-1)</f>
        <v/>
      </c>
      <c r="W5080" s="16">
        <f>V5080*N5080*O5080</f>
        <v/>
      </c>
      <c r="X5080" s="12">
        <f>IF(LEFT(I5080,2)="MV",2*N5080*IF(L5080="1/C",O5080,1),0)</f>
        <v/>
      </c>
      <c r="Y5080" s="12">
        <f>IF(OR(LEFT(K5080,4)="LVAX",LEFT(K5080,6)="MV15AX",LEFT(K5080,4)="CTAX",LEFT(K5080,2)="W|"),2*N5080*O5080,0)</f>
        <v/>
      </c>
      <c r="Z5080" s="12" t="inlineStr">
        <is>
          <t>VD 1.5 %</t>
        </is>
      </c>
      <c r="AA5080" s="12">
        <f>N5080*O5080</f>
        <v/>
      </c>
    </row>
    <row r="5081">
      <c r="A5081" s="12" t="inlineStr">
        <is>
          <t>I-P-0179</t>
        </is>
      </c>
      <c r="B5081" s="12" t="inlineStr">
        <is>
          <t>I</t>
        </is>
      </c>
      <c r="C5081" s="12" t="inlineStr">
        <is>
          <t>Modular / portable power</t>
        </is>
      </c>
      <c r="D5081" s="12" t="inlineStr">
        <is>
          <t>Motor 2 of 2, 30 kW</t>
        </is>
      </c>
      <c r="E5081" s="12" t="inlineStr"/>
      <c r="F5081" s="12" t="inlineStr">
        <is>
          <t>PCM: power control module</t>
        </is>
      </c>
      <c r="G5081" s="12" t="inlineStr"/>
      <c r="H5081" s="12" t="inlineStr">
        <is>
          <t>SC-1 SCR / CO catalyst</t>
        </is>
      </c>
      <c r="I5081" s="12" t="inlineStr">
        <is>
          <t>LV 600 V</t>
        </is>
      </c>
      <c r="J5081" s="12" t="inlineStr">
        <is>
          <t>Type TC-ER 600 V 3/C Cu XHHW-2 + ground, PVC jacket</t>
        </is>
      </c>
      <c r="K5081" s="12" t="inlineStr">
        <is>
          <t>LV|3/C+G|6</t>
        </is>
      </c>
      <c r="L5081" s="12" t="inlineStr">
        <is>
          <t>3/C+G</t>
        </is>
      </c>
      <c r="M5081" s="12" t="inlineStr">
        <is>
          <t>6</t>
        </is>
      </c>
      <c r="N5081" s="12" t="n">
        <v>1</v>
      </c>
      <c r="O5081" s="12" t="n">
        <v>1</v>
      </c>
      <c r="P5081" s="12" t="n">
        <v>480</v>
      </c>
      <c r="Q5081" s="12" t="n">
        <v>30</v>
      </c>
      <c r="R5081" s="12" t="n">
        <v>42.5</v>
      </c>
      <c r="S5081" s="12" t="inlineStr">
        <is>
          <t>Duct bank</t>
        </is>
      </c>
      <c r="T5081" s="16" t="n">
        <v>40</v>
      </c>
      <c r="U5081" s="16" t="n">
        <v>142</v>
      </c>
      <c r="V5081" s="16">
        <f>ROUNDUP((T5081+U5081+2*'Read Me'!$B$13)*(1+'Read Me'!$B$12),-1)</f>
        <v/>
      </c>
      <c r="W5081" s="16">
        <f>V5081*N5081*O5081</f>
        <v/>
      </c>
      <c r="X5081" s="12">
        <f>IF(LEFT(I5081,2)="MV",2*N5081*IF(L5081="1/C",O5081,1),0)</f>
        <v/>
      </c>
      <c r="Y5081" s="12">
        <f>IF(OR(LEFT(K5081,4)="LVAX",LEFT(K5081,6)="MV15AX",LEFT(K5081,4)="CTAX",LEFT(K5081,2)="W|"),2*N5081*O5081,0)</f>
        <v/>
      </c>
      <c r="Z5081" s="12" t="inlineStr">
        <is>
          <t>VD 1.5 %</t>
        </is>
      </c>
      <c r="AA5081" s="12">
        <f>N5081*O5081</f>
        <v/>
      </c>
    </row>
    <row r="5082">
      <c r="A5082" s="12" t="inlineStr">
        <is>
          <t>I-P-0180</t>
        </is>
      </c>
      <c r="B5082" s="12" t="inlineStr">
        <is>
          <t>I</t>
        </is>
      </c>
      <c r="C5082" s="12" t="inlineStr">
        <is>
          <t>Modular / portable power</t>
        </is>
      </c>
      <c r="D5082" s="12" t="inlineStr">
        <is>
          <t>Motor 1 of 4, 15 kW</t>
        </is>
      </c>
      <c r="E5082" s="12" t="inlineStr"/>
      <c r="F5082" s="12" t="inlineStr">
        <is>
          <t>PCM: power control module</t>
        </is>
      </c>
      <c r="G5082" s="12" t="inlineStr"/>
      <c r="H5082" s="12" t="inlineStr">
        <is>
          <t>SC-1 lube-oil fin-fan cooler</t>
        </is>
      </c>
      <c r="I5082" s="12" t="inlineStr">
        <is>
          <t>LV 600 V</t>
        </is>
      </c>
      <c r="J5082" s="12" t="inlineStr">
        <is>
          <t>Type TC-ER 600 V 3/C Cu XHHW-2 + ground, PVC jacket</t>
        </is>
      </c>
      <c r="K5082" s="12" t="inlineStr">
        <is>
          <t>LV|3/C+G|10</t>
        </is>
      </c>
      <c r="L5082" s="12" t="inlineStr">
        <is>
          <t>3/C+G</t>
        </is>
      </c>
      <c r="M5082" s="12" t="inlineStr">
        <is>
          <t>10</t>
        </is>
      </c>
      <c r="N5082" s="12" t="n">
        <v>1</v>
      </c>
      <c r="O5082" s="12" t="n">
        <v>1</v>
      </c>
      <c r="P5082" s="12" t="n">
        <v>480</v>
      </c>
      <c r="Q5082" s="12" t="n">
        <v>15</v>
      </c>
      <c r="R5082" s="12" t="n">
        <v>21.2</v>
      </c>
      <c r="S5082" s="12" t="inlineStr">
        <is>
          <t>Duct bank</t>
        </is>
      </c>
      <c r="T5082" s="16" t="n">
        <v>82</v>
      </c>
      <c r="U5082" s="16" t="n">
        <v>82</v>
      </c>
      <c r="V5082" s="16">
        <f>ROUNDUP((T5082+U5082+2*'Read Me'!$B$13)*(1+'Read Me'!$B$12),-1)</f>
        <v/>
      </c>
      <c r="W5082" s="16">
        <f>V5082*N5082*O5082</f>
        <v/>
      </c>
      <c r="X5082" s="12">
        <f>IF(LEFT(I5082,2)="MV",2*N5082*IF(L5082="1/C",O5082,1),0)</f>
        <v/>
      </c>
      <c r="Y5082" s="12">
        <f>IF(OR(LEFT(K5082,4)="LVAX",LEFT(K5082,6)="MV15AX",LEFT(K5082,4)="CTAX",LEFT(K5082,2)="W|"),2*N5082*O5082,0)</f>
        <v/>
      </c>
      <c r="Z5082" s="12" t="inlineStr">
        <is>
          <t>VD 1.7 %</t>
        </is>
      </c>
      <c r="AA5082" s="12">
        <f>N5082*O5082</f>
        <v/>
      </c>
    </row>
    <row r="5083">
      <c r="A5083" s="12" t="inlineStr">
        <is>
          <t>I-P-0181</t>
        </is>
      </c>
      <c r="B5083" s="12" t="inlineStr">
        <is>
          <t>I</t>
        </is>
      </c>
      <c r="C5083" s="12" t="inlineStr">
        <is>
          <t>Modular / portable power</t>
        </is>
      </c>
      <c r="D5083" s="12" t="inlineStr">
        <is>
          <t>Motor 2 of 4, 15 kW</t>
        </is>
      </c>
      <c r="E5083" s="12" t="inlineStr"/>
      <c r="F5083" s="12" t="inlineStr">
        <is>
          <t>PCM: power control module</t>
        </is>
      </c>
      <c r="G5083" s="12" t="inlineStr"/>
      <c r="H5083" s="12" t="inlineStr">
        <is>
          <t>SC-1 lube-oil fin-fan cooler</t>
        </is>
      </c>
      <c r="I5083" s="12" t="inlineStr">
        <is>
          <t>LV 600 V</t>
        </is>
      </c>
      <c r="J5083" s="12" t="inlineStr">
        <is>
          <t>Type TC-ER 600 V 3/C Cu XHHW-2 + ground, PVC jacket</t>
        </is>
      </c>
      <c r="K5083" s="12" t="inlineStr">
        <is>
          <t>LV|3/C+G|10</t>
        </is>
      </c>
      <c r="L5083" s="12" t="inlineStr">
        <is>
          <t>3/C+G</t>
        </is>
      </c>
      <c r="M5083" s="12" t="inlineStr">
        <is>
          <t>10</t>
        </is>
      </c>
      <c r="N5083" s="12" t="n">
        <v>1</v>
      </c>
      <c r="O5083" s="12" t="n">
        <v>1</v>
      </c>
      <c r="P5083" s="12" t="n">
        <v>480</v>
      </c>
      <c r="Q5083" s="12" t="n">
        <v>15</v>
      </c>
      <c r="R5083" s="12" t="n">
        <v>21.2</v>
      </c>
      <c r="S5083" s="12" t="inlineStr">
        <is>
          <t>Duct bank</t>
        </is>
      </c>
      <c r="T5083" s="16" t="n">
        <v>82</v>
      </c>
      <c r="U5083" s="16" t="n">
        <v>82</v>
      </c>
      <c r="V5083" s="16">
        <f>ROUNDUP((T5083+U5083+2*'Read Me'!$B$13)*(1+'Read Me'!$B$12),-1)</f>
        <v/>
      </c>
      <c r="W5083" s="16">
        <f>V5083*N5083*O5083</f>
        <v/>
      </c>
      <c r="X5083" s="12">
        <f>IF(LEFT(I5083,2)="MV",2*N5083*IF(L5083="1/C",O5083,1),0)</f>
        <v/>
      </c>
      <c r="Y5083" s="12">
        <f>IF(OR(LEFT(K5083,4)="LVAX",LEFT(K5083,6)="MV15AX",LEFT(K5083,4)="CTAX",LEFT(K5083,2)="W|"),2*N5083*O5083,0)</f>
        <v/>
      </c>
      <c r="Z5083" s="12" t="inlineStr">
        <is>
          <t>VD 1.7 %</t>
        </is>
      </c>
      <c r="AA5083" s="12">
        <f>N5083*O5083</f>
        <v/>
      </c>
    </row>
    <row r="5084">
      <c r="A5084" s="12" t="inlineStr">
        <is>
          <t>I-P-0182</t>
        </is>
      </c>
      <c r="B5084" s="12" t="inlineStr">
        <is>
          <t>I</t>
        </is>
      </c>
      <c r="C5084" s="12" t="inlineStr">
        <is>
          <t>Modular / portable power</t>
        </is>
      </c>
      <c r="D5084" s="12" t="inlineStr">
        <is>
          <t>Motor 3 of 4, 15 kW</t>
        </is>
      </c>
      <c r="E5084" s="12" t="inlineStr"/>
      <c r="F5084" s="12" t="inlineStr">
        <is>
          <t>PCM: power control module</t>
        </is>
      </c>
      <c r="G5084" s="12" t="inlineStr"/>
      <c r="H5084" s="12" t="inlineStr">
        <is>
          <t>SC-1 lube-oil fin-fan cooler</t>
        </is>
      </c>
      <c r="I5084" s="12" t="inlineStr">
        <is>
          <t>LV 600 V</t>
        </is>
      </c>
      <c r="J5084" s="12" t="inlineStr">
        <is>
          <t>Type TC-ER 600 V 3/C Cu XHHW-2 + ground, PVC jacket</t>
        </is>
      </c>
      <c r="K5084" s="12" t="inlineStr">
        <is>
          <t>LV|3/C+G|10</t>
        </is>
      </c>
      <c r="L5084" s="12" t="inlineStr">
        <is>
          <t>3/C+G</t>
        </is>
      </c>
      <c r="M5084" s="12" t="inlineStr">
        <is>
          <t>10</t>
        </is>
      </c>
      <c r="N5084" s="12" t="n">
        <v>1</v>
      </c>
      <c r="O5084" s="12" t="n">
        <v>1</v>
      </c>
      <c r="P5084" s="12" t="n">
        <v>480</v>
      </c>
      <c r="Q5084" s="12" t="n">
        <v>15</v>
      </c>
      <c r="R5084" s="12" t="n">
        <v>21.2</v>
      </c>
      <c r="S5084" s="12" t="inlineStr">
        <is>
          <t>Duct bank</t>
        </is>
      </c>
      <c r="T5084" s="16" t="n">
        <v>82</v>
      </c>
      <c r="U5084" s="16" t="n">
        <v>82</v>
      </c>
      <c r="V5084" s="16">
        <f>ROUNDUP((T5084+U5084+2*'Read Me'!$B$13)*(1+'Read Me'!$B$12),-1)</f>
        <v/>
      </c>
      <c r="W5084" s="16">
        <f>V5084*N5084*O5084</f>
        <v/>
      </c>
      <c r="X5084" s="12">
        <f>IF(LEFT(I5084,2)="MV",2*N5084*IF(L5084="1/C",O5084,1),0)</f>
        <v/>
      </c>
      <c r="Y5084" s="12">
        <f>IF(OR(LEFT(K5084,4)="LVAX",LEFT(K5084,6)="MV15AX",LEFT(K5084,4)="CTAX",LEFT(K5084,2)="W|"),2*N5084*O5084,0)</f>
        <v/>
      </c>
      <c r="Z5084" s="12" t="inlineStr">
        <is>
          <t>VD 1.7 %</t>
        </is>
      </c>
      <c r="AA5084" s="12">
        <f>N5084*O5084</f>
        <v/>
      </c>
    </row>
    <row r="5085">
      <c r="A5085" s="12" t="inlineStr">
        <is>
          <t>I-P-0183</t>
        </is>
      </c>
      <c r="B5085" s="12" t="inlineStr">
        <is>
          <t>I</t>
        </is>
      </c>
      <c r="C5085" s="12" t="inlineStr">
        <is>
          <t>Modular / portable power</t>
        </is>
      </c>
      <c r="D5085" s="12" t="inlineStr">
        <is>
          <t>Motor 4 of 4, 15 kW</t>
        </is>
      </c>
      <c r="E5085" s="12" t="inlineStr"/>
      <c r="F5085" s="12" t="inlineStr">
        <is>
          <t>PCM: power control module</t>
        </is>
      </c>
      <c r="G5085" s="12" t="inlineStr"/>
      <c r="H5085" s="12" t="inlineStr">
        <is>
          <t>SC-1 lube-oil fin-fan cooler</t>
        </is>
      </c>
      <c r="I5085" s="12" t="inlineStr">
        <is>
          <t>LV 600 V</t>
        </is>
      </c>
      <c r="J5085" s="12" t="inlineStr">
        <is>
          <t>Type TC-ER 600 V 3/C Cu XHHW-2 + ground, PVC jacket</t>
        </is>
      </c>
      <c r="K5085" s="12" t="inlineStr">
        <is>
          <t>LV|3/C+G|10</t>
        </is>
      </c>
      <c r="L5085" s="12" t="inlineStr">
        <is>
          <t>3/C+G</t>
        </is>
      </c>
      <c r="M5085" s="12" t="inlineStr">
        <is>
          <t>10</t>
        </is>
      </c>
      <c r="N5085" s="12" t="n">
        <v>1</v>
      </c>
      <c r="O5085" s="12" t="n">
        <v>1</v>
      </c>
      <c r="P5085" s="12" t="n">
        <v>480</v>
      </c>
      <c r="Q5085" s="12" t="n">
        <v>15</v>
      </c>
      <c r="R5085" s="12" t="n">
        <v>21.2</v>
      </c>
      <c r="S5085" s="12" t="inlineStr">
        <is>
          <t>Duct bank</t>
        </is>
      </c>
      <c r="T5085" s="16" t="n">
        <v>82</v>
      </c>
      <c r="U5085" s="16" t="n">
        <v>82</v>
      </c>
      <c r="V5085" s="16">
        <f>ROUNDUP((T5085+U5085+2*'Read Me'!$B$13)*(1+'Read Me'!$B$12),-1)</f>
        <v/>
      </c>
      <c r="W5085" s="16">
        <f>V5085*N5085*O5085</f>
        <v/>
      </c>
      <c r="X5085" s="12">
        <f>IF(LEFT(I5085,2)="MV",2*N5085*IF(L5085="1/C",O5085,1),0)</f>
        <v/>
      </c>
      <c r="Y5085" s="12">
        <f>IF(OR(LEFT(K5085,4)="LVAX",LEFT(K5085,6)="MV15AX",LEFT(K5085,4)="CTAX",LEFT(K5085,2)="W|"),2*N5085*O5085,0)</f>
        <v/>
      </c>
      <c r="Z5085" s="12" t="inlineStr">
        <is>
          <t>VD 1.7 %</t>
        </is>
      </c>
      <c r="AA5085" s="12">
        <f>N5085*O5085</f>
        <v/>
      </c>
    </row>
    <row r="5086">
      <c r="A5086" s="12" t="inlineStr">
        <is>
          <t>I-P-0184</t>
        </is>
      </c>
      <c r="B5086" s="12" t="inlineStr">
        <is>
          <t>I</t>
        </is>
      </c>
      <c r="C5086" s="12" t="inlineStr">
        <is>
          <t>Modular / portable power</t>
        </is>
      </c>
      <c r="D5086" s="12" t="inlineStr">
        <is>
          <t>Area / platform lighting circuit 1 (4 fixtures)</t>
        </is>
      </c>
      <c r="E5086" s="12" t="inlineStr"/>
      <c r="F5086" s="12" t="inlineStr">
        <is>
          <t>PCM: power control module</t>
        </is>
      </c>
      <c r="G5086" s="12" t="inlineStr"/>
      <c r="H5086" s="12" t="inlineStr">
        <is>
          <t>SC-1 stack (80 ft)</t>
        </is>
      </c>
      <c r="I5086" s="12" t="inlineStr">
        <is>
          <t>LV 600 V</t>
        </is>
      </c>
      <c r="J5086" s="12" t="inlineStr">
        <is>
          <t>Type TC-ER 600 V 3/C Cu XHHW-2 + ground, PVC jacket</t>
        </is>
      </c>
      <c r="K5086" s="12" t="inlineStr">
        <is>
          <t>LV|3/C+G|2</t>
        </is>
      </c>
      <c r="L5086" s="12" t="inlineStr">
        <is>
          <t>3/C+G</t>
        </is>
      </c>
      <c r="M5086" s="12" t="inlineStr">
        <is>
          <t>2</t>
        </is>
      </c>
      <c r="N5086" s="12" t="n">
        <v>1</v>
      </c>
      <c r="O5086" s="12" t="n">
        <v>1</v>
      </c>
      <c r="P5086" s="12" t="n">
        <v>480</v>
      </c>
      <c r="Q5086" s="12" t="n">
        <v>3</v>
      </c>
      <c r="R5086" s="12" t="n">
        <v>5</v>
      </c>
      <c r="S5086" s="12" t="inlineStr">
        <is>
          <t>HV duct bank</t>
        </is>
      </c>
      <c r="T5086" s="16" t="n">
        <v>4778</v>
      </c>
      <c r="U5086" s="16" t="n">
        <v>144</v>
      </c>
      <c r="V5086" s="16">
        <f>ROUNDUP((T5086+U5086+2*'Read Me'!$B$13)*(1+'Read Me'!$B$12),-1)</f>
        <v/>
      </c>
      <c r="W5086" s="16">
        <f>V5086*N5086*O5086</f>
        <v/>
      </c>
      <c r="X5086" s="12">
        <f>IF(LEFT(I5086,2)="MV",2*N5086*IF(L5086="1/C",O5086,1),0)</f>
        <v/>
      </c>
      <c r="Y5086" s="12">
        <f>IF(OR(LEFT(K5086,4)="LVAX",LEFT(K5086,6)="MV15AX",LEFT(K5086,4)="CTAX",LEFT(K5086,2)="W|"),2*N5086*O5086,0)</f>
        <v/>
      </c>
      <c r="Z5086" s="12" t="inlineStr">
        <is>
          <t>fixture-to-fixture run included</t>
        </is>
      </c>
      <c r="AA5086" s="12">
        <f>N5086*O5086</f>
        <v/>
      </c>
    </row>
    <row r="5087">
      <c r="A5087" s="12" t="inlineStr">
        <is>
          <t>I-P-0185</t>
        </is>
      </c>
      <c r="B5087" s="12" t="inlineStr">
        <is>
          <t>I</t>
        </is>
      </c>
      <c r="C5087" s="12" t="inlineStr">
        <is>
          <t>Modular / portable power</t>
        </is>
      </c>
      <c r="D5087" s="12" t="inlineStr">
        <is>
          <t>Motor 1 of 10, 30 kW</t>
        </is>
      </c>
      <c r="E5087" s="12" t="inlineStr"/>
      <c r="F5087" s="12" t="inlineStr">
        <is>
          <t>PCM: power control module</t>
        </is>
      </c>
      <c r="G5087" s="12" t="inlineStr">
        <is>
          <t>SC-1</t>
        </is>
      </c>
      <c r="H5087" s="12" t="inlineStr">
        <is>
          <t>SC-1: aeroderivative simple-cycle unit (LM6000 class)</t>
        </is>
      </c>
      <c r="I5087" s="12" t="inlineStr">
        <is>
          <t>LV 600 V</t>
        </is>
      </c>
      <c r="J5087" s="12" t="inlineStr">
        <is>
          <t>Type TC-ER 600 V 3/C Cu XHHW-2 + ground, PVC jacket</t>
        </is>
      </c>
      <c r="K5087" s="12" t="inlineStr">
        <is>
          <t>LV|3/C+G|6</t>
        </is>
      </c>
      <c r="L5087" s="12" t="inlineStr">
        <is>
          <t>3/C+G</t>
        </is>
      </c>
      <c r="M5087" s="12" t="inlineStr">
        <is>
          <t>6</t>
        </is>
      </c>
      <c r="N5087" s="12" t="n">
        <v>1</v>
      </c>
      <c r="O5087" s="12" t="n">
        <v>1</v>
      </c>
      <c r="P5087" s="12" t="n">
        <v>480</v>
      </c>
      <c r="Q5087" s="12" t="n">
        <v>30</v>
      </c>
      <c r="R5087" s="12" t="n">
        <v>42.5</v>
      </c>
      <c r="S5087" s="12" t="inlineStr">
        <is>
          <t>Duct bank</t>
        </is>
      </c>
      <c r="T5087" s="16" t="n">
        <v>40</v>
      </c>
      <c r="U5087" s="16" t="n">
        <v>52</v>
      </c>
      <c r="V5087" s="16">
        <f>ROUNDUP((T5087+U5087+2*'Read Me'!$B$13)*(1+'Read Me'!$B$12),-1)</f>
        <v/>
      </c>
      <c r="W5087" s="16">
        <f>V5087*N5087*O5087</f>
        <v/>
      </c>
      <c r="X5087" s="12">
        <f>IF(LEFT(I5087,2)="MV",2*N5087*IF(L5087="1/C",O5087,1),0)</f>
        <v/>
      </c>
      <c r="Y5087" s="12">
        <f>IF(OR(LEFT(K5087,4)="LVAX",LEFT(K5087,6)="MV15AX",LEFT(K5087,4)="CTAX",LEFT(K5087,2)="W|"),2*N5087*O5087,0)</f>
        <v/>
      </c>
      <c r="Z5087" s="12" t="inlineStr">
        <is>
          <t>VD 0.8 %</t>
        </is>
      </c>
      <c r="AA5087" s="12">
        <f>N5087*O5087</f>
        <v/>
      </c>
    </row>
    <row r="5088">
      <c r="A5088" s="12" t="inlineStr">
        <is>
          <t>I-P-0186</t>
        </is>
      </c>
      <c r="B5088" s="12" t="inlineStr">
        <is>
          <t>I</t>
        </is>
      </c>
      <c r="C5088" s="12" t="inlineStr">
        <is>
          <t>Modular / portable power</t>
        </is>
      </c>
      <c r="D5088" s="12" t="inlineStr">
        <is>
          <t>Motor 2 of 10, 30 kW</t>
        </is>
      </c>
      <c r="E5088" s="12" t="inlineStr"/>
      <c r="F5088" s="12" t="inlineStr">
        <is>
          <t>PCM: power control module</t>
        </is>
      </c>
      <c r="G5088" s="12" t="inlineStr">
        <is>
          <t>SC-1</t>
        </is>
      </c>
      <c r="H5088" s="12" t="inlineStr">
        <is>
          <t>SC-1: aeroderivative simple-cycle unit (LM6000 class)</t>
        </is>
      </c>
      <c r="I5088" s="12" t="inlineStr">
        <is>
          <t>LV 600 V</t>
        </is>
      </c>
      <c r="J5088" s="12" t="inlineStr">
        <is>
          <t>Type TC-ER 600 V 3/C Cu XHHW-2 + ground, PVC jacket</t>
        </is>
      </c>
      <c r="K5088" s="12" t="inlineStr">
        <is>
          <t>LV|3/C+G|6</t>
        </is>
      </c>
      <c r="L5088" s="12" t="inlineStr">
        <is>
          <t>3/C+G</t>
        </is>
      </c>
      <c r="M5088" s="12" t="inlineStr">
        <is>
          <t>6</t>
        </is>
      </c>
      <c r="N5088" s="12" t="n">
        <v>1</v>
      </c>
      <c r="O5088" s="12" t="n">
        <v>1</v>
      </c>
      <c r="P5088" s="12" t="n">
        <v>480</v>
      </c>
      <c r="Q5088" s="12" t="n">
        <v>30</v>
      </c>
      <c r="R5088" s="12" t="n">
        <v>42.5</v>
      </c>
      <c r="S5088" s="12" t="inlineStr">
        <is>
          <t>Duct bank</t>
        </is>
      </c>
      <c r="T5088" s="16" t="n">
        <v>40</v>
      </c>
      <c r="U5088" s="16" t="n">
        <v>52</v>
      </c>
      <c r="V5088" s="16">
        <f>ROUNDUP((T5088+U5088+2*'Read Me'!$B$13)*(1+'Read Me'!$B$12),-1)</f>
        <v/>
      </c>
      <c r="W5088" s="16">
        <f>V5088*N5088*O5088</f>
        <v/>
      </c>
      <c r="X5088" s="12">
        <f>IF(LEFT(I5088,2)="MV",2*N5088*IF(L5088="1/C",O5088,1),0)</f>
        <v/>
      </c>
      <c r="Y5088" s="12">
        <f>IF(OR(LEFT(K5088,4)="LVAX",LEFT(K5088,6)="MV15AX",LEFT(K5088,4)="CTAX",LEFT(K5088,2)="W|"),2*N5088*O5088,0)</f>
        <v/>
      </c>
      <c r="Z5088" s="12" t="inlineStr">
        <is>
          <t>VD 0.8 %</t>
        </is>
      </c>
      <c r="AA5088" s="12">
        <f>N5088*O5088</f>
        <v/>
      </c>
    </row>
    <row r="5089">
      <c r="A5089" s="12" t="inlineStr">
        <is>
          <t>I-P-0187</t>
        </is>
      </c>
      <c r="B5089" s="12" t="inlineStr">
        <is>
          <t>I</t>
        </is>
      </c>
      <c r="C5089" s="12" t="inlineStr">
        <is>
          <t>Modular / portable power</t>
        </is>
      </c>
      <c r="D5089" s="12" t="inlineStr">
        <is>
          <t>Motor 3 of 10, 30 kW</t>
        </is>
      </c>
      <c r="E5089" s="12" t="inlineStr"/>
      <c r="F5089" s="12" t="inlineStr">
        <is>
          <t>PCM: power control module</t>
        </is>
      </c>
      <c r="G5089" s="12" t="inlineStr">
        <is>
          <t>SC-1</t>
        </is>
      </c>
      <c r="H5089" s="12" t="inlineStr">
        <is>
          <t>SC-1: aeroderivative simple-cycle unit (LM6000 class)</t>
        </is>
      </c>
      <c r="I5089" s="12" t="inlineStr">
        <is>
          <t>LV 600 V</t>
        </is>
      </c>
      <c r="J5089" s="12" t="inlineStr">
        <is>
          <t>Type TC-ER 600 V 3/C Cu XHHW-2 + ground, PVC jacket</t>
        </is>
      </c>
      <c r="K5089" s="12" t="inlineStr">
        <is>
          <t>LV|3/C+G|6</t>
        </is>
      </c>
      <c r="L5089" s="12" t="inlineStr">
        <is>
          <t>3/C+G</t>
        </is>
      </c>
      <c r="M5089" s="12" t="inlineStr">
        <is>
          <t>6</t>
        </is>
      </c>
      <c r="N5089" s="12" t="n">
        <v>1</v>
      </c>
      <c r="O5089" s="12" t="n">
        <v>1</v>
      </c>
      <c r="P5089" s="12" t="n">
        <v>480</v>
      </c>
      <c r="Q5089" s="12" t="n">
        <v>30</v>
      </c>
      <c r="R5089" s="12" t="n">
        <v>42.5</v>
      </c>
      <c r="S5089" s="12" t="inlineStr">
        <is>
          <t>Duct bank</t>
        </is>
      </c>
      <c r="T5089" s="16" t="n">
        <v>40</v>
      </c>
      <c r="U5089" s="16" t="n">
        <v>52</v>
      </c>
      <c r="V5089" s="16">
        <f>ROUNDUP((T5089+U5089+2*'Read Me'!$B$13)*(1+'Read Me'!$B$12),-1)</f>
        <v/>
      </c>
      <c r="W5089" s="16">
        <f>V5089*N5089*O5089</f>
        <v/>
      </c>
      <c r="X5089" s="12">
        <f>IF(LEFT(I5089,2)="MV",2*N5089*IF(L5089="1/C",O5089,1),0)</f>
        <v/>
      </c>
      <c r="Y5089" s="12">
        <f>IF(OR(LEFT(K5089,4)="LVAX",LEFT(K5089,6)="MV15AX",LEFT(K5089,4)="CTAX",LEFT(K5089,2)="W|"),2*N5089*O5089,0)</f>
        <v/>
      </c>
      <c r="Z5089" s="12" t="inlineStr">
        <is>
          <t>VD 0.8 %</t>
        </is>
      </c>
      <c r="AA5089" s="12">
        <f>N5089*O5089</f>
        <v/>
      </c>
    </row>
    <row r="5090">
      <c r="A5090" s="12" t="inlineStr">
        <is>
          <t>I-P-0188</t>
        </is>
      </c>
      <c r="B5090" s="12" t="inlineStr">
        <is>
          <t>I</t>
        </is>
      </c>
      <c r="C5090" s="12" t="inlineStr">
        <is>
          <t>Modular / portable power</t>
        </is>
      </c>
      <c r="D5090" s="12" t="inlineStr">
        <is>
          <t>Motor 4 of 10, 30 kW</t>
        </is>
      </c>
      <c r="E5090" s="12" t="inlineStr"/>
      <c r="F5090" s="12" t="inlineStr">
        <is>
          <t>PCM: power control module</t>
        </is>
      </c>
      <c r="G5090" s="12" t="inlineStr">
        <is>
          <t>SC-1</t>
        </is>
      </c>
      <c r="H5090" s="12" t="inlineStr">
        <is>
          <t>SC-1: aeroderivative simple-cycle unit (LM6000 class)</t>
        </is>
      </c>
      <c r="I5090" s="12" t="inlineStr">
        <is>
          <t>LV 600 V</t>
        </is>
      </c>
      <c r="J5090" s="12" t="inlineStr">
        <is>
          <t>Type TC-ER 600 V 3/C Cu XHHW-2 + ground, PVC jacket</t>
        </is>
      </c>
      <c r="K5090" s="12" t="inlineStr">
        <is>
          <t>LV|3/C+G|6</t>
        </is>
      </c>
      <c r="L5090" s="12" t="inlineStr">
        <is>
          <t>3/C+G</t>
        </is>
      </c>
      <c r="M5090" s="12" t="inlineStr">
        <is>
          <t>6</t>
        </is>
      </c>
      <c r="N5090" s="12" t="n">
        <v>1</v>
      </c>
      <c r="O5090" s="12" t="n">
        <v>1</v>
      </c>
      <c r="P5090" s="12" t="n">
        <v>480</v>
      </c>
      <c r="Q5090" s="12" t="n">
        <v>30</v>
      </c>
      <c r="R5090" s="12" t="n">
        <v>42.5</v>
      </c>
      <c r="S5090" s="12" t="inlineStr">
        <is>
          <t>Duct bank</t>
        </is>
      </c>
      <c r="T5090" s="16" t="n">
        <v>40</v>
      </c>
      <c r="U5090" s="16" t="n">
        <v>52</v>
      </c>
      <c r="V5090" s="16">
        <f>ROUNDUP((T5090+U5090+2*'Read Me'!$B$13)*(1+'Read Me'!$B$12),-1)</f>
        <v/>
      </c>
      <c r="W5090" s="16">
        <f>V5090*N5090*O5090</f>
        <v/>
      </c>
      <c r="X5090" s="12">
        <f>IF(LEFT(I5090,2)="MV",2*N5090*IF(L5090="1/C",O5090,1),0)</f>
        <v/>
      </c>
      <c r="Y5090" s="12">
        <f>IF(OR(LEFT(K5090,4)="LVAX",LEFT(K5090,6)="MV15AX",LEFT(K5090,4)="CTAX",LEFT(K5090,2)="W|"),2*N5090*O5090,0)</f>
        <v/>
      </c>
      <c r="Z5090" s="12" t="inlineStr">
        <is>
          <t>VD 0.8 %</t>
        </is>
      </c>
      <c r="AA5090" s="12">
        <f>N5090*O5090</f>
        <v/>
      </c>
    </row>
    <row r="5091">
      <c r="A5091" s="12" t="inlineStr">
        <is>
          <t>I-P-0189</t>
        </is>
      </c>
      <c r="B5091" s="12" t="inlineStr">
        <is>
          <t>I</t>
        </is>
      </c>
      <c r="C5091" s="12" t="inlineStr">
        <is>
          <t>Modular / portable power</t>
        </is>
      </c>
      <c r="D5091" s="12" t="inlineStr">
        <is>
          <t>Motor 5 of 10, 30 kW</t>
        </is>
      </c>
      <c r="E5091" s="12" t="inlineStr"/>
      <c r="F5091" s="12" t="inlineStr">
        <is>
          <t>PCM: power control module</t>
        </is>
      </c>
      <c r="G5091" s="12" t="inlineStr">
        <is>
          <t>SC-1</t>
        </is>
      </c>
      <c r="H5091" s="12" t="inlineStr">
        <is>
          <t>SC-1: aeroderivative simple-cycle unit (LM6000 class)</t>
        </is>
      </c>
      <c r="I5091" s="12" t="inlineStr">
        <is>
          <t>LV 600 V</t>
        </is>
      </c>
      <c r="J5091" s="12" t="inlineStr">
        <is>
          <t>Type TC-ER 600 V 3/C Cu XHHW-2 + ground, PVC jacket</t>
        </is>
      </c>
      <c r="K5091" s="12" t="inlineStr">
        <is>
          <t>LV|3/C+G|6</t>
        </is>
      </c>
      <c r="L5091" s="12" t="inlineStr">
        <is>
          <t>3/C+G</t>
        </is>
      </c>
      <c r="M5091" s="12" t="inlineStr">
        <is>
          <t>6</t>
        </is>
      </c>
      <c r="N5091" s="12" t="n">
        <v>1</v>
      </c>
      <c r="O5091" s="12" t="n">
        <v>1</v>
      </c>
      <c r="P5091" s="12" t="n">
        <v>480</v>
      </c>
      <c r="Q5091" s="12" t="n">
        <v>30</v>
      </c>
      <c r="R5091" s="12" t="n">
        <v>42.5</v>
      </c>
      <c r="S5091" s="12" t="inlineStr">
        <is>
          <t>Duct bank</t>
        </is>
      </c>
      <c r="T5091" s="16" t="n">
        <v>40</v>
      </c>
      <c r="U5091" s="16" t="n">
        <v>52</v>
      </c>
      <c r="V5091" s="16">
        <f>ROUNDUP((T5091+U5091+2*'Read Me'!$B$13)*(1+'Read Me'!$B$12),-1)</f>
        <v/>
      </c>
      <c r="W5091" s="16">
        <f>V5091*N5091*O5091</f>
        <v/>
      </c>
      <c r="X5091" s="12">
        <f>IF(LEFT(I5091,2)="MV",2*N5091*IF(L5091="1/C",O5091,1),0)</f>
        <v/>
      </c>
      <c r="Y5091" s="12">
        <f>IF(OR(LEFT(K5091,4)="LVAX",LEFT(K5091,6)="MV15AX",LEFT(K5091,4)="CTAX",LEFT(K5091,2)="W|"),2*N5091*O5091,0)</f>
        <v/>
      </c>
      <c r="Z5091" s="12" t="inlineStr">
        <is>
          <t>VD 0.8 %</t>
        </is>
      </c>
      <c r="AA5091" s="12">
        <f>N5091*O5091</f>
        <v/>
      </c>
    </row>
    <row r="5092">
      <c r="A5092" s="12" t="inlineStr">
        <is>
          <t>I-P-0190</t>
        </is>
      </c>
      <c r="B5092" s="12" t="inlineStr">
        <is>
          <t>I</t>
        </is>
      </c>
      <c r="C5092" s="12" t="inlineStr">
        <is>
          <t>Modular / portable power</t>
        </is>
      </c>
      <c r="D5092" s="12" t="inlineStr">
        <is>
          <t>Motor 6 of 10, 30 kW</t>
        </is>
      </c>
      <c r="E5092" s="12" t="inlineStr"/>
      <c r="F5092" s="12" t="inlineStr">
        <is>
          <t>PCM: power control module</t>
        </is>
      </c>
      <c r="G5092" s="12" t="inlineStr">
        <is>
          <t>SC-1</t>
        </is>
      </c>
      <c r="H5092" s="12" t="inlineStr">
        <is>
          <t>SC-1: aeroderivative simple-cycle unit (LM6000 class)</t>
        </is>
      </c>
      <c r="I5092" s="12" t="inlineStr">
        <is>
          <t>LV 600 V</t>
        </is>
      </c>
      <c r="J5092" s="12" t="inlineStr">
        <is>
          <t>Type TC-ER 600 V 3/C Cu XHHW-2 + ground, PVC jacket</t>
        </is>
      </c>
      <c r="K5092" s="12" t="inlineStr">
        <is>
          <t>LV|3/C+G|6</t>
        </is>
      </c>
      <c r="L5092" s="12" t="inlineStr">
        <is>
          <t>3/C+G</t>
        </is>
      </c>
      <c r="M5092" s="12" t="inlineStr">
        <is>
          <t>6</t>
        </is>
      </c>
      <c r="N5092" s="12" t="n">
        <v>1</v>
      </c>
      <c r="O5092" s="12" t="n">
        <v>1</v>
      </c>
      <c r="P5092" s="12" t="n">
        <v>480</v>
      </c>
      <c r="Q5092" s="12" t="n">
        <v>30</v>
      </c>
      <c r="R5092" s="12" t="n">
        <v>42.5</v>
      </c>
      <c r="S5092" s="12" t="inlineStr">
        <is>
          <t>Duct bank</t>
        </is>
      </c>
      <c r="T5092" s="16" t="n">
        <v>40</v>
      </c>
      <c r="U5092" s="16" t="n">
        <v>52</v>
      </c>
      <c r="V5092" s="16">
        <f>ROUNDUP((T5092+U5092+2*'Read Me'!$B$13)*(1+'Read Me'!$B$12),-1)</f>
        <v/>
      </c>
      <c r="W5092" s="16">
        <f>V5092*N5092*O5092</f>
        <v/>
      </c>
      <c r="X5092" s="12">
        <f>IF(LEFT(I5092,2)="MV",2*N5092*IF(L5092="1/C",O5092,1),0)</f>
        <v/>
      </c>
      <c r="Y5092" s="12">
        <f>IF(OR(LEFT(K5092,4)="LVAX",LEFT(K5092,6)="MV15AX",LEFT(K5092,4)="CTAX",LEFT(K5092,2)="W|"),2*N5092*O5092,0)</f>
        <v/>
      </c>
      <c r="Z5092" s="12" t="inlineStr">
        <is>
          <t>VD 0.8 %</t>
        </is>
      </c>
      <c r="AA5092" s="12">
        <f>N5092*O5092</f>
        <v/>
      </c>
    </row>
    <row r="5093">
      <c r="A5093" s="12" t="inlineStr">
        <is>
          <t>I-P-0191</t>
        </is>
      </c>
      <c r="B5093" s="12" t="inlineStr">
        <is>
          <t>I</t>
        </is>
      </c>
      <c r="C5093" s="12" t="inlineStr">
        <is>
          <t>Modular / portable power</t>
        </is>
      </c>
      <c r="D5093" s="12" t="inlineStr">
        <is>
          <t>Motor 7 of 10, 30 kW</t>
        </is>
      </c>
      <c r="E5093" s="12" t="inlineStr"/>
      <c r="F5093" s="12" t="inlineStr">
        <is>
          <t>PCM: power control module</t>
        </is>
      </c>
      <c r="G5093" s="12" t="inlineStr">
        <is>
          <t>SC-1</t>
        </is>
      </c>
      <c r="H5093" s="12" t="inlineStr">
        <is>
          <t>SC-1: aeroderivative simple-cycle unit (LM6000 class)</t>
        </is>
      </c>
      <c r="I5093" s="12" t="inlineStr">
        <is>
          <t>LV 600 V</t>
        </is>
      </c>
      <c r="J5093" s="12" t="inlineStr">
        <is>
          <t>Type TC-ER 600 V 3/C Cu XHHW-2 + ground, PVC jacket</t>
        </is>
      </c>
      <c r="K5093" s="12" t="inlineStr">
        <is>
          <t>LV|3/C+G|6</t>
        </is>
      </c>
      <c r="L5093" s="12" t="inlineStr">
        <is>
          <t>3/C+G</t>
        </is>
      </c>
      <c r="M5093" s="12" t="inlineStr">
        <is>
          <t>6</t>
        </is>
      </c>
      <c r="N5093" s="12" t="n">
        <v>1</v>
      </c>
      <c r="O5093" s="12" t="n">
        <v>1</v>
      </c>
      <c r="P5093" s="12" t="n">
        <v>480</v>
      </c>
      <c r="Q5093" s="12" t="n">
        <v>30</v>
      </c>
      <c r="R5093" s="12" t="n">
        <v>42.5</v>
      </c>
      <c r="S5093" s="12" t="inlineStr">
        <is>
          <t>Duct bank</t>
        </is>
      </c>
      <c r="T5093" s="16" t="n">
        <v>40</v>
      </c>
      <c r="U5093" s="16" t="n">
        <v>52</v>
      </c>
      <c r="V5093" s="16">
        <f>ROUNDUP((T5093+U5093+2*'Read Me'!$B$13)*(1+'Read Me'!$B$12),-1)</f>
        <v/>
      </c>
      <c r="W5093" s="16">
        <f>V5093*N5093*O5093</f>
        <v/>
      </c>
      <c r="X5093" s="12">
        <f>IF(LEFT(I5093,2)="MV",2*N5093*IF(L5093="1/C",O5093,1),0)</f>
        <v/>
      </c>
      <c r="Y5093" s="12">
        <f>IF(OR(LEFT(K5093,4)="LVAX",LEFT(K5093,6)="MV15AX",LEFT(K5093,4)="CTAX",LEFT(K5093,2)="W|"),2*N5093*O5093,0)</f>
        <v/>
      </c>
      <c r="Z5093" s="12" t="inlineStr">
        <is>
          <t>VD 0.8 %</t>
        </is>
      </c>
      <c r="AA5093" s="12">
        <f>N5093*O5093</f>
        <v/>
      </c>
    </row>
    <row r="5094">
      <c r="A5094" s="12" t="inlineStr">
        <is>
          <t>I-P-0192</t>
        </is>
      </c>
      <c r="B5094" s="12" t="inlineStr">
        <is>
          <t>I</t>
        </is>
      </c>
      <c r="C5094" s="12" t="inlineStr">
        <is>
          <t>Modular / portable power</t>
        </is>
      </c>
      <c r="D5094" s="12" t="inlineStr">
        <is>
          <t>Motor 8 of 10, 30 kW</t>
        </is>
      </c>
      <c r="E5094" s="12" t="inlineStr"/>
      <c r="F5094" s="12" t="inlineStr">
        <is>
          <t>PCM: power control module</t>
        </is>
      </c>
      <c r="G5094" s="12" t="inlineStr">
        <is>
          <t>SC-1</t>
        </is>
      </c>
      <c r="H5094" s="12" t="inlineStr">
        <is>
          <t>SC-1: aeroderivative simple-cycle unit (LM6000 class)</t>
        </is>
      </c>
      <c r="I5094" s="12" t="inlineStr">
        <is>
          <t>LV 600 V</t>
        </is>
      </c>
      <c r="J5094" s="12" t="inlineStr">
        <is>
          <t>Type TC-ER 600 V 3/C Cu XHHW-2 + ground, PVC jacket</t>
        </is>
      </c>
      <c r="K5094" s="12" t="inlineStr">
        <is>
          <t>LV|3/C+G|6</t>
        </is>
      </c>
      <c r="L5094" s="12" t="inlineStr">
        <is>
          <t>3/C+G</t>
        </is>
      </c>
      <c r="M5094" s="12" t="inlineStr">
        <is>
          <t>6</t>
        </is>
      </c>
      <c r="N5094" s="12" t="n">
        <v>1</v>
      </c>
      <c r="O5094" s="12" t="n">
        <v>1</v>
      </c>
      <c r="P5094" s="12" t="n">
        <v>480</v>
      </c>
      <c r="Q5094" s="12" t="n">
        <v>30</v>
      </c>
      <c r="R5094" s="12" t="n">
        <v>42.5</v>
      </c>
      <c r="S5094" s="12" t="inlineStr">
        <is>
          <t>Duct bank</t>
        </is>
      </c>
      <c r="T5094" s="16" t="n">
        <v>40</v>
      </c>
      <c r="U5094" s="16" t="n">
        <v>52</v>
      </c>
      <c r="V5094" s="16">
        <f>ROUNDUP((T5094+U5094+2*'Read Me'!$B$13)*(1+'Read Me'!$B$12),-1)</f>
        <v/>
      </c>
      <c r="W5094" s="16">
        <f>V5094*N5094*O5094</f>
        <v/>
      </c>
      <c r="X5094" s="12">
        <f>IF(LEFT(I5094,2)="MV",2*N5094*IF(L5094="1/C",O5094,1),0)</f>
        <v/>
      </c>
      <c r="Y5094" s="12">
        <f>IF(OR(LEFT(K5094,4)="LVAX",LEFT(K5094,6)="MV15AX",LEFT(K5094,4)="CTAX",LEFT(K5094,2)="W|"),2*N5094*O5094,0)</f>
        <v/>
      </c>
      <c r="Z5094" s="12" t="inlineStr">
        <is>
          <t>VD 0.8 %</t>
        </is>
      </c>
      <c r="AA5094" s="12">
        <f>N5094*O5094</f>
        <v/>
      </c>
    </row>
    <row r="5095">
      <c r="A5095" s="12" t="inlineStr">
        <is>
          <t>I-P-0193</t>
        </is>
      </c>
      <c r="B5095" s="12" t="inlineStr">
        <is>
          <t>I</t>
        </is>
      </c>
      <c r="C5095" s="12" t="inlineStr">
        <is>
          <t>Modular / portable power</t>
        </is>
      </c>
      <c r="D5095" s="12" t="inlineStr">
        <is>
          <t>Motor 9 of 10, 30 kW</t>
        </is>
      </c>
      <c r="E5095" s="12" t="inlineStr"/>
      <c r="F5095" s="12" t="inlineStr">
        <is>
          <t>PCM: power control module</t>
        </is>
      </c>
      <c r="G5095" s="12" t="inlineStr">
        <is>
          <t>SC-1</t>
        </is>
      </c>
      <c r="H5095" s="12" t="inlineStr">
        <is>
          <t>SC-1: aeroderivative simple-cycle unit (LM6000 class)</t>
        </is>
      </c>
      <c r="I5095" s="12" t="inlineStr">
        <is>
          <t>LV 600 V</t>
        </is>
      </c>
      <c r="J5095" s="12" t="inlineStr">
        <is>
          <t>Type TC-ER 600 V 3/C Cu XHHW-2 + ground, PVC jacket</t>
        </is>
      </c>
      <c r="K5095" s="12" t="inlineStr">
        <is>
          <t>LV|3/C+G|6</t>
        </is>
      </c>
      <c r="L5095" s="12" t="inlineStr">
        <is>
          <t>3/C+G</t>
        </is>
      </c>
      <c r="M5095" s="12" t="inlineStr">
        <is>
          <t>6</t>
        </is>
      </c>
      <c r="N5095" s="12" t="n">
        <v>1</v>
      </c>
      <c r="O5095" s="12" t="n">
        <v>1</v>
      </c>
      <c r="P5095" s="12" t="n">
        <v>480</v>
      </c>
      <c r="Q5095" s="12" t="n">
        <v>30</v>
      </c>
      <c r="R5095" s="12" t="n">
        <v>42.5</v>
      </c>
      <c r="S5095" s="12" t="inlineStr">
        <is>
          <t>Duct bank</t>
        </is>
      </c>
      <c r="T5095" s="16" t="n">
        <v>40</v>
      </c>
      <c r="U5095" s="16" t="n">
        <v>52</v>
      </c>
      <c r="V5095" s="16">
        <f>ROUNDUP((T5095+U5095+2*'Read Me'!$B$13)*(1+'Read Me'!$B$12),-1)</f>
        <v/>
      </c>
      <c r="W5095" s="16">
        <f>V5095*N5095*O5095</f>
        <v/>
      </c>
      <c r="X5095" s="12">
        <f>IF(LEFT(I5095,2)="MV",2*N5095*IF(L5095="1/C",O5095,1),0)</f>
        <v/>
      </c>
      <c r="Y5095" s="12">
        <f>IF(OR(LEFT(K5095,4)="LVAX",LEFT(K5095,6)="MV15AX",LEFT(K5095,4)="CTAX",LEFT(K5095,2)="W|"),2*N5095*O5095,0)</f>
        <v/>
      </c>
      <c r="Z5095" s="12" t="inlineStr">
        <is>
          <t>VD 0.8 %</t>
        </is>
      </c>
      <c r="AA5095" s="12">
        <f>N5095*O5095</f>
        <v/>
      </c>
    </row>
    <row r="5096">
      <c r="A5096" s="12" t="inlineStr">
        <is>
          <t>I-P-0194</t>
        </is>
      </c>
      <c r="B5096" s="12" t="inlineStr">
        <is>
          <t>I</t>
        </is>
      </c>
      <c r="C5096" s="12" t="inlineStr">
        <is>
          <t>Modular / portable power</t>
        </is>
      </c>
      <c r="D5096" s="12" t="inlineStr">
        <is>
          <t>Motor 10 of 10, 30 kW</t>
        </is>
      </c>
      <c r="E5096" s="12" t="inlineStr"/>
      <c r="F5096" s="12" t="inlineStr">
        <is>
          <t>PCM: power control module</t>
        </is>
      </c>
      <c r="G5096" s="12" t="inlineStr">
        <is>
          <t>SC-1</t>
        </is>
      </c>
      <c r="H5096" s="12" t="inlineStr">
        <is>
          <t>SC-1: aeroderivative simple-cycle unit (LM6000 class)</t>
        </is>
      </c>
      <c r="I5096" s="12" t="inlineStr">
        <is>
          <t>LV 600 V</t>
        </is>
      </c>
      <c r="J5096" s="12" t="inlineStr">
        <is>
          <t>Type TC-ER 600 V 3/C Cu XHHW-2 + ground, PVC jacket</t>
        </is>
      </c>
      <c r="K5096" s="12" t="inlineStr">
        <is>
          <t>LV|3/C+G|6</t>
        </is>
      </c>
      <c r="L5096" s="12" t="inlineStr">
        <is>
          <t>3/C+G</t>
        </is>
      </c>
      <c r="M5096" s="12" t="inlineStr">
        <is>
          <t>6</t>
        </is>
      </c>
      <c r="N5096" s="12" t="n">
        <v>1</v>
      </c>
      <c r="O5096" s="12" t="n">
        <v>1</v>
      </c>
      <c r="P5096" s="12" t="n">
        <v>480</v>
      </c>
      <c r="Q5096" s="12" t="n">
        <v>30</v>
      </c>
      <c r="R5096" s="12" t="n">
        <v>42.5</v>
      </c>
      <c r="S5096" s="12" t="inlineStr">
        <is>
          <t>Duct bank</t>
        </is>
      </c>
      <c r="T5096" s="16" t="n">
        <v>40</v>
      </c>
      <c r="U5096" s="16" t="n">
        <v>52</v>
      </c>
      <c r="V5096" s="16">
        <f>ROUNDUP((T5096+U5096+2*'Read Me'!$B$13)*(1+'Read Me'!$B$12),-1)</f>
        <v/>
      </c>
      <c r="W5096" s="16">
        <f>V5096*N5096*O5096</f>
        <v/>
      </c>
      <c r="X5096" s="12">
        <f>IF(LEFT(I5096,2)="MV",2*N5096*IF(L5096="1/C",O5096,1),0)</f>
        <v/>
      </c>
      <c r="Y5096" s="12">
        <f>IF(OR(LEFT(K5096,4)="LVAX",LEFT(K5096,6)="MV15AX",LEFT(K5096,4)="CTAX",LEFT(K5096,2)="W|"),2*N5096*O5096,0)</f>
        <v/>
      </c>
      <c r="Z5096" s="12" t="inlineStr">
        <is>
          <t>VD 0.8 %</t>
        </is>
      </c>
      <c r="AA5096" s="12">
        <f>N5096*O5096</f>
        <v/>
      </c>
    </row>
    <row r="5097">
      <c r="A5097" s="12" t="inlineStr">
        <is>
          <t>I-P-0195</t>
        </is>
      </c>
      <c r="B5097" s="12" t="inlineStr">
        <is>
          <t>I</t>
        </is>
      </c>
      <c r="C5097" s="12" t="inlineStr">
        <is>
          <t>Modular / portable power</t>
        </is>
      </c>
      <c r="D5097" s="12" t="inlineStr">
        <is>
          <t>Motor 1 of 2, 30 kW</t>
        </is>
      </c>
      <c r="E5097" s="12" t="inlineStr"/>
      <c r="F5097" s="12" t="inlineStr">
        <is>
          <t>MOD-LV 480 V board + 480 V : 13.8 kV step-up</t>
        </is>
      </c>
      <c r="G5097" s="12" t="inlineStr"/>
      <c r="H5097" s="12" t="inlineStr">
        <is>
          <t>SC-2 SCR / CO catalyst</t>
        </is>
      </c>
      <c r="I5097" s="12" t="inlineStr">
        <is>
          <t>LV 600 V</t>
        </is>
      </c>
      <c r="J5097" s="12" t="inlineStr">
        <is>
          <t>Type TC-ER 600 V 3/C Cu XHHW-2 + ground, PVC jacket</t>
        </is>
      </c>
      <c r="K5097" s="12" t="inlineStr">
        <is>
          <t>LV|3/C+G|350</t>
        </is>
      </c>
      <c r="L5097" s="12" t="inlineStr">
        <is>
          <t>3/C+G</t>
        </is>
      </c>
      <c r="M5097" s="12" t="inlineStr">
        <is>
          <t>350 kcmil</t>
        </is>
      </c>
      <c r="N5097" s="12" t="n">
        <v>1</v>
      </c>
      <c r="O5097" s="12" t="n">
        <v>1</v>
      </c>
      <c r="P5097" s="12" t="n">
        <v>480</v>
      </c>
      <c r="Q5097" s="12" t="n">
        <v>30</v>
      </c>
      <c r="R5097" s="12" t="n">
        <v>42.5</v>
      </c>
      <c r="S5097" s="12" t="inlineStr">
        <is>
          <t>HV duct bank</t>
        </is>
      </c>
      <c r="T5097" s="16" t="n">
        <v>4341</v>
      </c>
      <c r="U5097" s="16" t="n">
        <v>60</v>
      </c>
      <c r="V5097" s="16">
        <f>ROUNDUP((T5097+U5097+2*'Read Me'!$B$13)*(1+'Read Me'!$B$12),-1)</f>
        <v/>
      </c>
      <c r="W5097" s="16">
        <f>V5097*N5097*O5097</f>
        <v/>
      </c>
      <c r="X5097" s="12">
        <f>IF(LEFT(I5097,2)="MV",2*N5097*IF(L5097="1/C",O5097,1),0)</f>
        <v/>
      </c>
      <c r="Y5097" s="12">
        <f>IF(OR(LEFT(K5097,4)="LVAX",LEFT(K5097,6)="MV15AX",LEFT(K5097,4)="CTAX",LEFT(K5097,2)="W|"),2*N5097*O5097,0)</f>
        <v/>
      </c>
      <c r="Z5097" s="12" t="inlineStr">
        <is>
          <t>VD 2.7 %</t>
        </is>
      </c>
      <c r="AA5097" s="12">
        <f>N5097*O5097</f>
        <v/>
      </c>
    </row>
    <row r="5098">
      <c r="A5098" s="12" t="inlineStr">
        <is>
          <t>I-P-0196</t>
        </is>
      </c>
      <c r="B5098" s="12" t="inlineStr">
        <is>
          <t>I</t>
        </is>
      </c>
      <c r="C5098" s="12" t="inlineStr">
        <is>
          <t>Modular / portable power</t>
        </is>
      </c>
      <c r="D5098" s="12" t="inlineStr">
        <is>
          <t>Motor 2 of 2, 30 kW</t>
        </is>
      </c>
      <c r="E5098" s="12" t="inlineStr"/>
      <c r="F5098" s="12" t="inlineStr">
        <is>
          <t>MOD-LV 480 V board + 480 V : 13.8 kV step-up</t>
        </is>
      </c>
      <c r="G5098" s="12" t="inlineStr"/>
      <c r="H5098" s="12" t="inlineStr">
        <is>
          <t>SC-2 SCR / CO catalyst</t>
        </is>
      </c>
      <c r="I5098" s="12" t="inlineStr">
        <is>
          <t>LV 600 V</t>
        </is>
      </c>
      <c r="J5098" s="12" t="inlineStr">
        <is>
          <t>Type TC-ER 600 V 3/C Cu XHHW-2 + ground, PVC jacket</t>
        </is>
      </c>
      <c r="K5098" s="12" t="inlineStr">
        <is>
          <t>LV|3/C+G|350</t>
        </is>
      </c>
      <c r="L5098" s="12" t="inlineStr">
        <is>
          <t>3/C+G</t>
        </is>
      </c>
      <c r="M5098" s="12" t="inlineStr">
        <is>
          <t>350 kcmil</t>
        </is>
      </c>
      <c r="N5098" s="12" t="n">
        <v>1</v>
      </c>
      <c r="O5098" s="12" t="n">
        <v>1</v>
      </c>
      <c r="P5098" s="12" t="n">
        <v>480</v>
      </c>
      <c r="Q5098" s="12" t="n">
        <v>30</v>
      </c>
      <c r="R5098" s="12" t="n">
        <v>42.5</v>
      </c>
      <c r="S5098" s="12" t="inlineStr">
        <is>
          <t>HV duct bank</t>
        </is>
      </c>
      <c r="T5098" s="16" t="n">
        <v>4341</v>
      </c>
      <c r="U5098" s="16" t="n">
        <v>60</v>
      </c>
      <c r="V5098" s="16">
        <f>ROUNDUP((T5098+U5098+2*'Read Me'!$B$13)*(1+'Read Me'!$B$12),-1)</f>
        <v/>
      </c>
      <c r="W5098" s="16">
        <f>V5098*N5098*O5098</f>
        <v/>
      </c>
      <c r="X5098" s="12">
        <f>IF(LEFT(I5098,2)="MV",2*N5098*IF(L5098="1/C",O5098,1),0)</f>
        <v/>
      </c>
      <c r="Y5098" s="12">
        <f>IF(OR(LEFT(K5098,4)="LVAX",LEFT(K5098,6)="MV15AX",LEFT(K5098,4)="CTAX",LEFT(K5098,2)="W|"),2*N5098*O5098,0)</f>
        <v/>
      </c>
      <c r="Z5098" s="12" t="inlineStr">
        <is>
          <t>VD 2.7 %</t>
        </is>
      </c>
      <c r="AA5098" s="12">
        <f>N5098*O5098</f>
        <v/>
      </c>
    </row>
    <row r="5099">
      <c r="A5099" s="12" t="inlineStr">
        <is>
          <t>I-P-0197</t>
        </is>
      </c>
      <c r="B5099" s="12" t="inlineStr">
        <is>
          <t>I</t>
        </is>
      </c>
      <c r="C5099" s="12" t="inlineStr">
        <is>
          <t>Modular / portable power</t>
        </is>
      </c>
      <c r="D5099" s="12" t="inlineStr">
        <is>
          <t>Motor 1 of 4, 15 kW</t>
        </is>
      </c>
      <c r="E5099" s="12" t="inlineStr"/>
      <c r="F5099" s="12" t="inlineStr">
        <is>
          <t>MOD-LV 480 V board + 480 V : 13.8 kV step-up</t>
        </is>
      </c>
      <c r="G5099" s="12" t="inlineStr"/>
      <c r="H5099" s="12" t="inlineStr">
        <is>
          <t>SC-2 lube-oil fin-fan cooler</t>
        </is>
      </c>
      <c r="I5099" s="12" t="inlineStr">
        <is>
          <t>LV 600 V</t>
        </is>
      </c>
      <c r="J5099" s="12" t="inlineStr">
        <is>
          <t>Type TC-ER 600 V 3/C Cu XHHW-2 + ground, PVC jacket</t>
        </is>
      </c>
      <c r="K5099" s="12" t="inlineStr">
        <is>
          <t>LV|3/C+G|3/0</t>
        </is>
      </c>
      <c r="L5099" s="12" t="inlineStr">
        <is>
          <t>3/C+G</t>
        </is>
      </c>
      <c r="M5099" s="12" t="inlineStr">
        <is>
          <t>3/0</t>
        </is>
      </c>
      <c r="N5099" s="12" t="n">
        <v>1</v>
      </c>
      <c r="O5099" s="12" t="n">
        <v>1</v>
      </c>
      <c r="P5099" s="12" t="n">
        <v>480</v>
      </c>
      <c r="Q5099" s="12" t="n">
        <v>15</v>
      </c>
      <c r="R5099" s="12" t="n">
        <v>21.2</v>
      </c>
      <c r="S5099" s="12" t="inlineStr">
        <is>
          <t>HV duct bank</t>
        </is>
      </c>
      <c r="T5099" s="16" t="n">
        <v>4329</v>
      </c>
      <c r="U5099" s="16" t="n">
        <v>95</v>
      </c>
      <c r="V5099" s="16">
        <f>ROUNDUP((T5099+U5099+2*'Read Me'!$B$13)*(1+'Read Me'!$B$12),-1)</f>
        <v/>
      </c>
      <c r="W5099" s="16">
        <f>V5099*N5099*O5099</f>
        <v/>
      </c>
      <c r="X5099" s="12">
        <f>IF(LEFT(I5099,2)="MV",2*N5099*IF(L5099="1/C",O5099,1),0)</f>
        <v/>
      </c>
      <c r="Y5099" s="12">
        <f>IF(OR(LEFT(K5099,4)="LVAX",LEFT(K5099,6)="MV15AX",LEFT(K5099,4)="CTAX",LEFT(K5099,2)="W|"),2*N5099*O5099,0)</f>
        <v/>
      </c>
      <c r="Z5099" s="12" t="inlineStr">
        <is>
          <t>VD 2.9 %</t>
        </is>
      </c>
      <c r="AA5099" s="12">
        <f>N5099*O5099</f>
        <v/>
      </c>
    </row>
    <row r="5100">
      <c r="A5100" s="12" t="inlineStr">
        <is>
          <t>I-P-0198</t>
        </is>
      </c>
      <c r="B5100" s="12" t="inlineStr">
        <is>
          <t>I</t>
        </is>
      </c>
      <c r="C5100" s="12" t="inlineStr">
        <is>
          <t>Modular / portable power</t>
        </is>
      </c>
      <c r="D5100" s="12" t="inlineStr">
        <is>
          <t>Motor 2 of 4, 15 kW</t>
        </is>
      </c>
      <c r="E5100" s="12" t="inlineStr"/>
      <c r="F5100" s="12" t="inlineStr">
        <is>
          <t>MOD-LV 480 V board + 480 V : 13.8 kV step-up</t>
        </is>
      </c>
      <c r="G5100" s="12" t="inlineStr"/>
      <c r="H5100" s="12" t="inlineStr">
        <is>
          <t>SC-2 lube-oil fin-fan cooler</t>
        </is>
      </c>
      <c r="I5100" s="12" t="inlineStr">
        <is>
          <t>LV 600 V</t>
        </is>
      </c>
      <c r="J5100" s="12" t="inlineStr">
        <is>
          <t>Type TC-ER 600 V 3/C Cu XHHW-2 + ground, PVC jacket</t>
        </is>
      </c>
      <c r="K5100" s="12" t="inlineStr">
        <is>
          <t>LV|3/C+G|3/0</t>
        </is>
      </c>
      <c r="L5100" s="12" t="inlineStr">
        <is>
          <t>3/C+G</t>
        </is>
      </c>
      <c r="M5100" s="12" t="inlineStr">
        <is>
          <t>3/0</t>
        </is>
      </c>
      <c r="N5100" s="12" t="n">
        <v>1</v>
      </c>
      <c r="O5100" s="12" t="n">
        <v>1</v>
      </c>
      <c r="P5100" s="12" t="n">
        <v>480</v>
      </c>
      <c r="Q5100" s="12" t="n">
        <v>15</v>
      </c>
      <c r="R5100" s="12" t="n">
        <v>21.2</v>
      </c>
      <c r="S5100" s="12" t="inlineStr">
        <is>
          <t>HV duct bank</t>
        </is>
      </c>
      <c r="T5100" s="16" t="n">
        <v>4329</v>
      </c>
      <c r="U5100" s="16" t="n">
        <v>95</v>
      </c>
      <c r="V5100" s="16">
        <f>ROUNDUP((T5100+U5100+2*'Read Me'!$B$13)*(1+'Read Me'!$B$12),-1)</f>
        <v/>
      </c>
      <c r="W5100" s="16">
        <f>V5100*N5100*O5100</f>
        <v/>
      </c>
      <c r="X5100" s="12">
        <f>IF(LEFT(I5100,2)="MV",2*N5100*IF(L5100="1/C",O5100,1),0)</f>
        <v/>
      </c>
      <c r="Y5100" s="12">
        <f>IF(OR(LEFT(K5100,4)="LVAX",LEFT(K5100,6)="MV15AX",LEFT(K5100,4)="CTAX",LEFT(K5100,2)="W|"),2*N5100*O5100,0)</f>
        <v/>
      </c>
      <c r="Z5100" s="12" t="inlineStr">
        <is>
          <t>VD 2.9 %</t>
        </is>
      </c>
      <c r="AA5100" s="12">
        <f>N5100*O5100</f>
        <v/>
      </c>
    </row>
    <row r="5101">
      <c r="A5101" s="12" t="inlineStr">
        <is>
          <t>I-P-0199</t>
        </is>
      </c>
      <c r="B5101" s="12" t="inlineStr">
        <is>
          <t>I</t>
        </is>
      </c>
      <c r="C5101" s="12" t="inlineStr">
        <is>
          <t>Modular / portable power</t>
        </is>
      </c>
      <c r="D5101" s="12" t="inlineStr">
        <is>
          <t>Motor 3 of 4, 15 kW</t>
        </is>
      </c>
      <c r="E5101" s="12" t="inlineStr"/>
      <c r="F5101" s="12" t="inlineStr">
        <is>
          <t>MOD-LV 480 V board + 480 V : 13.8 kV step-up</t>
        </is>
      </c>
      <c r="G5101" s="12" t="inlineStr"/>
      <c r="H5101" s="12" t="inlineStr">
        <is>
          <t>SC-2 lube-oil fin-fan cooler</t>
        </is>
      </c>
      <c r="I5101" s="12" t="inlineStr">
        <is>
          <t>LV 600 V</t>
        </is>
      </c>
      <c r="J5101" s="12" t="inlineStr">
        <is>
          <t>Type TC-ER 600 V 3/C Cu XHHW-2 + ground, PVC jacket</t>
        </is>
      </c>
      <c r="K5101" s="12" t="inlineStr">
        <is>
          <t>LV|3/C+G|3/0</t>
        </is>
      </c>
      <c r="L5101" s="12" t="inlineStr">
        <is>
          <t>3/C+G</t>
        </is>
      </c>
      <c r="M5101" s="12" t="inlineStr">
        <is>
          <t>3/0</t>
        </is>
      </c>
      <c r="N5101" s="12" t="n">
        <v>1</v>
      </c>
      <c r="O5101" s="12" t="n">
        <v>1</v>
      </c>
      <c r="P5101" s="12" t="n">
        <v>480</v>
      </c>
      <c r="Q5101" s="12" t="n">
        <v>15</v>
      </c>
      <c r="R5101" s="12" t="n">
        <v>21.2</v>
      </c>
      <c r="S5101" s="12" t="inlineStr">
        <is>
          <t>HV duct bank</t>
        </is>
      </c>
      <c r="T5101" s="16" t="n">
        <v>4329</v>
      </c>
      <c r="U5101" s="16" t="n">
        <v>95</v>
      </c>
      <c r="V5101" s="16">
        <f>ROUNDUP((T5101+U5101+2*'Read Me'!$B$13)*(1+'Read Me'!$B$12),-1)</f>
        <v/>
      </c>
      <c r="W5101" s="16">
        <f>V5101*N5101*O5101</f>
        <v/>
      </c>
      <c r="X5101" s="12">
        <f>IF(LEFT(I5101,2)="MV",2*N5101*IF(L5101="1/C",O5101,1),0)</f>
        <v/>
      </c>
      <c r="Y5101" s="12">
        <f>IF(OR(LEFT(K5101,4)="LVAX",LEFT(K5101,6)="MV15AX",LEFT(K5101,4)="CTAX",LEFT(K5101,2)="W|"),2*N5101*O5101,0)</f>
        <v/>
      </c>
      <c r="Z5101" s="12" t="inlineStr">
        <is>
          <t>VD 2.9 %</t>
        </is>
      </c>
      <c r="AA5101" s="12">
        <f>N5101*O5101</f>
        <v/>
      </c>
    </row>
    <row r="5102">
      <c r="A5102" s="12" t="inlineStr">
        <is>
          <t>I-P-0200</t>
        </is>
      </c>
      <c r="B5102" s="12" t="inlineStr">
        <is>
          <t>I</t>
        </is>
      </c>
      <c r="C5102" s="12" t="inlineStr">
        <is>
          <t>Modular / portable power</t>
        </is>
      </c>
      <c r="D5102" s="12" t="inlineStr">
        <is>
          <t>Motor 4 of 4, 15 kW</t>
        </is>
      </c>
      <c r="E5102" s="12" t="inlineStr"/>
      <c r="F5102" s="12" t="inlineStr">
        <is>
          <t>MOD-LV 480 V board + 480 V : 13.8 kV step-up</t>
        </is>
      </c>
      <c r="G5102" s="12" t="inlineStr"/>
      <c r="H5102" s="12" t="inlineStr">
        <is>
          <t>SC-2 lube-oil fin-fan cooler</t>
        </is>
      </c>
      <c r="I5102" s="12" t="inlineStr">
        <is>
          <t>LV 600 V</t>
        </is>
      </c>
      <c r="J5102" s="12" t="inlineStr">
        <is>
          <t>Type TC-ER 600 V 3/C Cu XHHW-2 + ground, PVC jacket</t>
        </is>
      </c>
      <c r="K5102" s="12" t="inlineStr">
        <is>
          <t>LV|3/C+G|3/0</t>
        </is>
      </c>
      <c r="L5102" s="12" t="inlineStr">
        <is>
          <t>3/C+G</t>
        </is>
      </c>
      <c r="M5102" s="12" t="inlineStr">
        <is>
          <t>3/0</t>
        </is>
      </c>
      <c r="N5102" s="12" t="n">
        <v>1</v>
      </c>
      <c r="O5102" s="12" t="n">
        <v>1</v>
      </c>
      <c r="P5102" s="12" t="n">
        <v>480</v>
      </c>
      <c r="Q5102" s="12" t="n">
        <v>15</v>
      </c>
      <c r="R5102" s="12" t="n">
        <v>21.2</v>
      </c>
      <c r="S5102" s="12" t="inlineStr">
        <is>
          <t>HV duct bank</t>
        </is>
      </c>
      <c r="T5102" s="16" t="n">
        <v>4329</v>
      </c>
      <c r="U5102" s="16" t="n">
        <v>95</v>
      </c>
      <c r="V5102" s="16">
        <f>ROUNDUP((T5102+U5102+2*'Read Me'!$B$13)*(1+'Read Me'!$B$12),-1)</f>
        <v/>
      </c>
      <c r="W5102" s="16">
        <f>V5102*N5102*O5102</f>
        <v/>
      </c>
      <c r="X5102" s="12">
        <f>IF(LEFT(I5102,2)="MV",2*N5102*IF(L5102="1/C",O5102,1),0)</f>
        <v/>
      </c>
      <c r="Y5102" s="12">
        <f>IF(OR(LEFT(K5102,4)="LVAX",LEFT(K5102,6)="MV15AX",LEFT(K5102,4)="CTAX",LEFT(K5102,2)="W|"),2*N5102*O5102,0)</f>
        <v/>
      </c>
      <c r="Z5102" s="12" t="inlineStr">
        <is>
          <t>VD 2.9 %</t>
        </is>
      </c>
      <c r="AA5102" s="12">
        <f>N5102*O5102</f>
        <v/>
      </c>
    </row>
    <row r="5103">
      <c r="A5103" s="12" t="inlineStr">
        <is>
          <t>I-P-0201</t>
        </is>
      </c>
      <c r="B5103" s="12" t="inlineStr">
        <is>
          <t>I</t>
        </is>
      </c>
      <c r="C5103" s="12" t="inlineStr">
        <is>
          <t>Modular / portable power</t>
        </is>
      </c>
      <c r="D5103" s="12" t="inlineStr">
        <is>
          <t>Area / platform lighting circuit 1 (4 fixtures)</t>
        </is>
      </c>
      <c r="E5103" s="12" t="inlineStr"/>
      <c r="F5103" s="12" t="inlineStr">
        <is>
          <t>MOD-LV 480 V board + 480 V : 13.8 kV step-up</t>
        </is>
      </c>
      <c r="G5103" s="12" t="inlineStr"/>
      <c r="H5103" s="12" t="inlineStr">
        <is>
          <t>SC-2 stack (80 ft)</t>
        </is>
      </c>
      <c r="I5103" s="12" t="inlineStr">
        <is>
          <t>LV 600 V</t>
        </is>
      </c>
      <c r="J5103" s="12" t="inlineStr">
        <is>
          <t>Type TC-ER 600 V 3/C Cu XHHW-2 + ground, PVC jacket</t>
        </is>
      </c>
      <c r="K5103" s="12" t="inlineStr">
        <is>
          <t>LV|3/C+G|4</t>
        </is>
      </c>
      <c r="L5103" s="12" t="inlineStr">
        <is>
          <t>3/C+G</t>
        </is>
      </c>
      <c r="M5103" s="12" t="inlineStr">
        <is>
          <t>4</t>
        </is>
      </c>
      <c r="N5103" s="12" t="n">
        <v>1</v>
      </c>
      <c r="O5103" s="12" t="n">
        <v>1</v>
      </c>
      <c r="P5103" s="12" t="n">
        <v>480</v>
      </c>
      <c r="Q5103" s="12" t="n">
        <v>3</v>
      </c>
      <c r="R5103" s="12" t="n">
        <v>5</v>
      </c>
      <c r="S5103" s="12" t="inlineStr">
        <is>
          <t>HV duct bank</t>
        </is>
      </c>
      <c r="T5103" s="16" t="n">
        <v>4641</v>
      </c>
      <c r="U5103" s="16" t="n">
        <v>80</v>
      </c>
      <c r="V5103" s="16">
        <f>ROUNDUP((T5103+U5103+2*'Read Me'!$B$13)*(1+'Read Me'!$B$12),-1)</f>
        <v/>
      </c>
      <c r="W5103" s="16">
        <f>V5103*N5103*O5103</f>
        <v/>
      </c>
      <c r="X5103" s="12">
        <f>IF(LEFT(I5103,2)="MV",2*N5103*IF(L5103="1/C",O5103,1),0)</f>
        <v/>
      </c>
      <c r="Y5103" s="12">
        <f>IF(OR(LEFT(K5103,4)="LVAX",LEFT(K5103,6)="MV15AX",LEFT(K5103,4)="CTAX",LEFT(K5103,2)="W|"),2*N5103*O5103,0)</f>
        <v/>
      </c>
      <c r="Z5103" s="12" t="inlineStr">
        <is>
          <t>fixture-to-fixture run included</t>
        </is>
      </c>
      <c r="AA5103" s="12">
        <f>N5103*O5103</f>
        <v/>
      </c>
    </row>
    <row r="5104">
      <c r="A5104" s="12" t="inlineStr">
        <is>
          <t>I-P-0202</t>
        </is>
      </c>
      <c r="B5104" s="12" t="inlineStr">
        <is>
          <t>I</t>
        </is>
      </c>
      <c r="C5104" s="12" t="inlineStr">
        <is>
          <t>Modular / portable power</t>
        </is>
      </c>
      <c r="D5104" s="12" t="inlineStr">
        <is>
          <t>Motor 1 of 10, 30 kW</t>
        </is>
      </c>
      <c r="E5104" s="12" t="inlineStr"/>
      <c r="F5104" s="12" t="inlineStr">
        <is>
          <t>MOD-LV 480 V board + 480 V : 13.8 kV step-up</t>
        </is>
      </c>
      <c r="G5104" s="12" t="inlineStr">
        <is>
          <t>SC-2</t>
        </is>
      </c>
      <c r="H5104" s="12" t="inlineStr">
        <is>
          <t>SC-2: aeroderivative simple-cycle unit (LM6000 class)</t>
        </is>
      </c>
      <c r="I5104" s="12" t="inlineStr">
        <is>
          <t>LV 600 V</t>
        </is>
      </c>
      <c r="J5104" s="12" t="inlineStr">
        <is>
          <t>Type TC-ER 600 V 3/C Cu XHHW-2 + ground, PVC jacket</t>
        </is>
      </c>
      <c r="K5104" s="12" t="inlineStr">
        <is>
          <t>LV|3/C+G|350</t>
        </is>
      </c>
      <c r="L5104" s="12" t="inlineStr">
        <is>
          <t>3/C+G</t>
        </is>
      </c>
      <c r="M5104" s="12" t="inlineStr">
        <is>
          <t>350 kcmil</t>
        </is>
      </c>
      <c r="N5104" s="12" t="n">
        <v>1</v>
      </c>
      <c r="O5104" s="12" t="n">
        <v>1</v>
      </c>
      <c r="P5104" s="12" t="n">
        <v>480</v>
      </c>
      <c r="Q5104" s="12" t="n">
        <v>30</v>
      </c>
      <c r="R5104" s="12" t="n">
        <v>42.5</v>
      </c>
      <c r="S5104" s="12" t="inlineStr">
        <is>
          <t>HV duct bank</t>
        </is>
      </c>
      <c r="T5104" s="16" t="n">
        <v>4441</v>
      </c>
      <c r="U5104" s="16" t="n">
        <v>40</v>
      </c>
      <c r="V5104" s="16">
        <f>ROUNDUP((T5104+U5104+2*'Read Me'!$B$13)*(1+'Read Me'!$B$12),-1)</f>
        <v/>
      </c>
      <c r="W5104" s="16">
        <f>V5104*N5104*O5104</f>
        <v/>
      </c>
      <c r="X5104" s="12">
        <f>IF(LEFT(I5104,2)="MV",2*N5104*IF(L5104="1/C",O5104,1),0)</f>
        <v/>
      </c>
      <c r="Y5104" s="12">
        <f>IF(OR(LEFT(K5104,4)="LVAX",LEFT(K5104,6)="MV15AX",LEFT(K5104,4)="CTAX",LEFT(K5104,2)="W|"),2*N5104*O5104,0)</f>
        <v/>
      </c>
      <c r="Z5104" s="12" t="inlineStr">
        <is>
          <t>VD 2.8 %</t>
        </is>
      </c>
      <c r="AA5104" s="12">
        <f>N5104*O5104</f>
        <v/>
      </c>
    </row>
    <row r="5105">
      <c r="A5105" s="12" t="inlineStr">
        <is>
          <t>I-P-0203</t>
        </is>
      </c>
      <c r="B5105" s="12" t="inlineStr">
        <is>
          <t>I</t>
        </is>
      </c>
      <c r="C5105" s="12" t="inlineStr">
        <is>
          <t>Modular / portable power</t>
        </is>
      </c>
      <c r="D5105" s="12" t="inlineStr">
        <is>
          <t>Motor 2 of 10, 30 kW</t>
        </is>
      </c>
      <c r="E5105" s="12" t="inlineStr"/>
      <c r="F5105" s="12" t="inlineStr">
        <is>
          <t>MOD-LV 480 V board + 480 V : 13.8 kV step-up</t>
        </is>
      </c>
      <c r="G5105" s="12" t="inlineStr">
        <is>
          <t>SC-2</t>
        </is>
      </c>
      <c r="H5105" s="12" t="inlineStr">
        <is>
          <t>SC-2: aeroderivative simple-cycle unit (LM6000 class)</t>
        </is>
      </c>
      <c r="I5105" s="12" t="inlineStr">
        <is>
          <t>LV 600 V</t>
        </is>
      </c>
      <c r="J5105" s="12" t="inlineStr">
        <is>
          <t>Type TC-ER 600 V 3/C Cu XHHW-2 + ground, PVC jacket</t>
        </is>
      </c>
      <c r="K5105" s="12" t="inlineStr">
        <is>
          <t>LV|3/C+G|350</t>
        </is>
      </c>
      <c r="L5105" s="12" t="inlineStr">
        <is>
          <t>3/C+G</t>
        </is>
      </c>
      <c r="M5105" s="12" t="inlineStr">
        <is>
          <t>350 kcmil</t>
        </is>
      </c>
      <c r="N5105" s="12" t="n">
        <v>1</v>
      </c>
      <c r="O5105" s="12" t="n">
        <v>1</v>
      </c>
      <c r="P5105" s="12" t="n">
        <v>480</v>
      </c>
      <c r="Q5105" s="12" t="n">
        <v>30</v>
      </c>
      <c r="R5105" s="12" t="n">
        <v>42.5</v>
      </c>
      <c r="S5105" s="12" t="inlineStr">
        <is>
          <t>HV duct bank</t>
        </is>
      </c>
      <c r="T5105" s="16" t="n">
        <v>4441</v>
      </c>
      <c r="U5105" s="16" t="n">
        <v>40</v>
      </c>
      <c r="V5105" s="16">
        <f>ROUNDUP((T5105+U5105+2*'Read Me'!$B$13)*(1+'Read Me'!$B$12),-1)</f>
        <v/>
      </c>
      <c r="W5105" s="16">
        <f>V5105*N5105*O5105</f>
        <v/>
      </c>
      <c r="X5105" s="12">
        <f>IF(LEFT(I5105,2)="MV",2*N5105*IF(L5105="1/C",O5105,1),0)</f>
        <v/>
      </c>
      <c r="Y5105" s="12">
        <f>IF(OR(LEFT(K5105,4)="LVAX",LEFT(K5105,6)="MV15AX",LEFT(K5105,4)="CTAX",LEFT(K5105,2)="W|"),2*N5105*O5105,0)</f>
        <v/>
      </c>
      <c r="Z5105" s="12" t="inlineStr">
        <is>
          <t>VD 2.8 %</t>
        </is>
      </c>
      <c r="AA5105" s="12">
        <f>N5105*O5105</f>
        <v/>
      </c>
    </row>
    <row r="5106">
      <c r="A5106" s="12" t="inlineStr">
        <is>
          <t>I-P-0204</t>
        </is>
      </c>
      <c r="B5106" s="12" t="inlineStr">
        <is>
          <t>I</t>
        </is>
      </c>
      <c r="C5106" s="12" t="inlineStr">
        <is>
          <t>Modular / portable power</t>
        </is>
      </c>
      <c r="D5106" s="12" t="inlineStr">
        <is>
          <t>Motor 3 of 10, 30 kW</t>
        </is>
      </c>
      <c r="E5106" s="12" t="inlineStr"/>
      <c r="F5106" s="12" t="inlineStr">
        <is>
          <t>MOD-LV 480 V board + 480 V : 13.8 kV step-up</t>
        </is>
      </c>
      <c r="G5106" s="12" t="inlineStr">
        <is>
          <t>SC-2</t>
        </is>
      </c>
      <c r="H5106" s="12" t="inlineStr">
        <is>
          <t>SC-2: aeroderivative simple-cycle unit (LM6000 class)</t>
        </is>
      </c>
      <c r="I5106" s="12" t="inlineStr">
        <is>
          <t>LV 600 V</t>
        </is>
      </c>
      <c r="J5106" s="12" t="inlineStr">
        <is>
          <t>Type TC-ER 600 V 3/C Cu XHHW-2 + ground, PVC jacket</t>
        </is>
      </c>
      <c r="K5106" s="12" t="inlineStr">
        <is>
          <t>LV|3/C+G|350</t>
        </is>
      </c>
      <c r="L5106" s="12" t="inlineStr">
        <is>
          <t>3/C+G</t>
        </is>
      </c>
      <c r="M5106" s="12" t="inlineStr">
        <is>
          <t>350 kcmil</t>
        </is>
      </c>
      <c r="N5106" s="12" t="n">
        <v>1</v>
      </c>
      <c r="O5106" s="12" t="n">
        <v>1</v>
      </c>
      <c r="P5106" s="12" t="n">
        <v>480</v>
      </c>
      <c r="Q5106" s="12" t="n">
        <v>30</v>
      </c>
      <c r="R5106" s="12" t="n">
        <v>42.5</v>
      </c>
      <c r="S5106" s="12" t="inlineStr">
        <is>
          <t>HV duct bank</t>
        </is>
      </c>
      <c r="T5106" s="16" t="n">
        <v>4441</v>
      </c>
      <c r="U5106" s="16" t="n">
        <v>40</v>
      </c>
      <c r="V5106" s="16">
        <f>ROUNDUP((T5106+U5106+2*'Read Me'!$B$13)*(1+'Read Me'!$B$12),-1)</f>
        <v/>
      </c>
      <c r="W5106" s="16">
        <f>V5106*N5106*O5106</f>
        <v/>
      </c>
      <c r="X5106" s="12">
        <f>IF(LEFT(I5106,2)="MV",2*N5106*IF(L5106="1/C",O5106,1),0)</f>
        <v/>
      </c>
      <c r="Y5106" s="12">
        <f>IF(OR(LEFT(K5106,4)="LVAX",LEFT(K5106,6)="MV15AX",LEFT(K5106,4)="CTAX",LEFT(K5106,2)="W|"),2*N5106*O5106,0)</f>
        <v/>
      </c>
      <c r="Z5106" s="12" t="inlineStr">
        <is>
          <t>VD 2.8 %</t>
        </is>
      </c>
      <c r="AA5106" s="12">
        <f>N5106*O5106</f>
        <v/>
      </c>
    </row>
    <row r="5107">
      <c r="A5107" s="12" t="inlineStr">
        <is>
          <t>I-P-0205</t>
        </is>
      </c>
      <c r="B5107" s="12" t="inlineStr">
        <is>
          <t>I</t>
        </is>
      </c>
      <c r="C5107" s="12" t="inlineStr">
        <is>
          <t>Modular / portable power</t>
        </is>
      </c>
      <c r="D5107" s="12" t="inlineStr">
        <is>
          <t>Motor 4 of 10, 30 kW</t>
        </is>
      </c>
      <c r="E5107" s="12" t="inlineStr"/>
      <c r="F5107" s="12" t="inlineStr">
        <is>
          <t>MOD-LV 480 V board + 480 V : 13.8 kV step-up</t>
        </is>
      </c>
      <c r="G5107" s="12" t="inlineStr">
        <is>
          <t>SC-2</t>
        </is>
      </c>
      <c r="H5107" s="12" t="inlineStr">
        <is>
          <t>SC-2: aeroderivative simple-cycle unit (LM6000 class)</t>
        </is>
      </c>
      <c r="I5107" s="12" t="inlineStr">
        <is>
          <t>LV 600 V</t>
        </is>
      </c>
      <c r="J5107" s="12" t="inlineStr">
        <is>
          <t>Type TC-ER 600 V 3/C Cu XHHW-2 + ground, PVC jacket</t>
        </is>
      </c>
      <c r="K5107" s="12" t="inlineStr">
        <is>
          <t>LV|3/C+G|350</t>
        </is>
      </c>
      <c r="L5107" s="12" t="inlineStr">
        <is>
          <t>3/C+G</t>
        </is>
      </c>
      <c r="M5107" s="12" t="inlineStr">
        <is>
          <t>350 kcmil</t>
        </is>
      </c>
      <c r="N5107" s="12" t="n">
        <v>1</v>
      </c>
      <c r="O5107" s="12" t="n">
        <v>1</v>
      </c>
      <c r="P5107" s="12" t="n">
        <v>480</v>
      </c>
      <c r="Q5107" s="12" t="n">
        <v>30</v>
      </c>
      <c r="R5107" s="12" t="n">
        <v>42.5</v>
      </c>
      <c r="S5107" s="12" t="inlineStr">
        <is>
          <t>HV duct bank</t>
        </is>
      </c>
      <c r="T5107" s="16" t="n">
        <v>4441</v>
      </c>
      <c r="U5107" s="16" t="n">
        <v>40</v>
      </c>
      <c r="V5107" s="16">
        <f>ROUNDUP((T5107+U5107+2*'Read Me'!$B$13)*(1+'Read Me'!$B$12),-1)</f>
        <v/>
      </c>
      <c r="W5107" s="16">
        <f>V5107*N5107*O5107</f>
        <v/>
      </c>
      <c r="X5107" s="12">
        <f>IF(LEFT(I5107,2)="MV",2*N5107*IF(L5107="1/C",O5107,1),0)</f>
        <v/>
      </c>
      <c r="Y5107" s="12">
        <f>IF(OR(LEFT(K5107,4)="LVAX",LEFT(K5107,6)="MV15AX",LEFT(K5107,4)="CTAX",LEFT(K5107,2)="W|"),2*N5107*O5107,0)</f>
        <v/>
      </c>
      <c r="Z5107" s="12" t="inlineStr">
        <is>
          <t>VD 2.8 %</t>
        </is>
      </c>
      <c r="AA5107" s="12">
        <f>N5107*O5107</f>
        <v/>
      </c>
    </row>
    <row r="5108">
      <c r="A5108" s="12" t="inlineStr">
        <is>
          <t>I-P-0206</t>
        </is>
      </c>
      <c r="B5108" s="12" t="inlineStr">
        <is>
          <t>I</t>
        </is>
      </c>
      <c r="C5108" s="12" t="inlineStr">
        <is>
          <t>Modular / portable power</t>
        </is>
      </c>
      <c r="D5108" s="12" t="inlineStr">
        <is>
          <t>Motor 5 of 10, 30 kW</t>
        </is>
      </c>
      <c r="E5108" s="12" t="inlineStr"/>
      <c r="F5108" s="12" t="inlineStr">
        <is>
          <t>MOD-LV 480 V board + 480 V : 13.8 kV step-up</t>
        </is>
      </c>
      <c r="G5108" s="12" t="inlineStr">
        <is>
          <t>SC-2</t>
        </is>
      </c>
      <c r="H5108" s="12" t="inlineStr">
        <is>
          <t>SC-2: aeroderivative simple-cycle unit (LM6000 class)</t>
        </is>
      </c>
      <c r="I5108" s="12" t="inlineStr">
        <is>
          <t>LV 600 V</t>
        </is>
      </c>
      <c r="J5108" s="12" t="inlineStr">
        <is>
          <t>Type TC-ER 600 V 3/C Cu XHHW-2 + ground, PVC jacket</t>
        </is>
      </c>
      <c r="K5108" s="12" t="inlineStr">
        <is>
          <t>LV|3/C+G|350</t>
        </is>
      </c>
      <c r="L5108" s="12" t="inlineStr">
        <is>
          <t>3/C+G</t>
        </is>
      </c>
      <c r="M5108" s="12" t="inlineStr">
        <is>
          <t>350 kcmil</t>
        </is>
      </c>
      <c r="N5108" s="12" t="n">
        <v>1</v>
      </c>
      <c r="O5108" s="12" t="n">
        <v>1</v>
      </c>
      <c r="P5108" s="12" t="n">
        <v>480</v>
      </c>
      <c r="Q5108" s="12" t="n">
        <v>30</v>
      </c>
      <c r="R5108" s="12" t="n">
        <v>42.5</v>
      </c>
      <c r="S5108" s="12" t="inlineStr">
        <is>
          <t>HV duct bank</t>
        </is>
      </c>
      <c r="T5108" s="16" t="n">
        <v>4441</v>
      </c>
      <c r="U5108" s="16" t="n">
        <v>40</v>
      </c>
      <c r="V5108" s="16">
        <f>ROUNDUP((T5108+U5108+2*'Read Me'!$B$13)*(1+'Read Me'!$B$12),-1)</f>
        <v/>
      </c>
      <c r="W5108" s="16">
        <f>V5108*N5108*O5108</f>
        <v/>
      </c>
      <c r="X5108" s="12">
        <f>IF(LEFT(I5108,2)="MV",2*N5108*IF(L5108="1/C",O5108,1),0)</f>
        <v/>
      </c>
      <c r="Y5108" s="12">
        <f>IF(OR(LEFT(K5108,4)="LVAX",LEFT(K5108,6)="MV15AX",LEFT(K5108,4)="CTAX",LEFT(K5108,2)="W|"),2*N5108*O5108,0)</f>
        <v/>
      </c>
      <c r="Z5108" s="12" t="inlineStr">
        <is>
          <t>VD 2.8 %</t>
        </is>
      </c>
      <c r="AA5108" s="12">
        <f>N5108*O5108</f>
        <v/>
      </c>
    </row>
    <row r="5109">
      <c r="A5109" s="12" t="inlineStr">
        <is>
          <t>I-P-0207</t>
        </is>
      </c>
      <c r="B5109" s="12" t="inlineStr">
        <is>
          <t>I</t>
        </is>
      </c>
      <c r="C5109" s="12" t="inlineStr">
        <is>
          <t>Modular / portable power</t>
        </is>
      </c>
      <c r="D5109" s="12" t="inlineStr">
        <is>
          <t>Motor 6 of 10, 30 kW</t>
        </is>
      </c>
      <c r="E5109" s="12" t="inlineStr"/>
      <c r="F5109" s="12" t="inlineStr">
        <is>
          <t>MOD-LV 480 V board + 480 V : 13.8 kV step-up</t>
        </is>
      </c>
      <c r="G5109" s="12" t="inlineStr">
        <is>
          <t>SC-2</t>
        </is>
      </c>
      <c r="H5109" s="12" t="inlineStr">
        <is>
          <t>SC-2: aeroderivative simple-cycle unit (LM6000 class)</t>
        </is>
      </c>
      <c r="I5109" s="12" t="inlineStr">
        <is>
          <t>LV 600 V</t>
        </is>
      </c>
      <c r="J5109" s="12" t="inlineStr">
        <is>
          <t>Type TC-ER 600 V 3/C Cu XHHW-2 + ground, PVC jacket</t>
        </is>
      </c>
      <c r="K5109" s="12" t="inlineStr">
        <is>
          <t>LV|3/C+G|350</t>
        </is>
      </c>
      <c r="L5109" s="12" t="inlineStr">
        <is>
          <t>3/C+G</t>
        </is>
      </c>
      <c r="M5109" s="12" t="inlineStr">
        <is>
          <t>350 kcmil</t>
        </is>
      </c>
      <c r="N5109" s="12" t="n">
        <v>1</v>
      </c>
      <c r="O5109" s="12" t="n">
        <v>1</v>
      </c>
      <c r="P5109" s="12" t="n">
        <v>480</v>
      </c>
      <c r="Q5109" s="12" t="n">
        <v>30</v>
      </c>
      <c r="R5109" s="12" t="n">
        <v>42.5</v>
      </c>
      <c r="S5109" s="12" t="inlineStr">
        <is>
          <t>HV duct bank</t>
        </is>
      </c>
      <c r="T5109" s="16" t="n">
        <v>4441</v>
      </c>
      <c r="U5109" s="16" t="n">
        <v>40</v>
      </c>
      <c r="V5109" s="16">
        <f>ROUNDUP((T5109+U5109+2*'Read Me'!$B$13)*(1+'Read Me'!$B$12),-1)</f>
        <v/>
      </c>
      <c r="W5109" s="16">
        <f>V5109*N5109*O5109</f>
        <v/>
      </c>
      <c r="X5109" s="12">
        <f>IF(LEFT(I5109,2)="MV",2*N5109*IF(L5109="1/C",O5109,1),0)</f>
        <v/>
      </c>
      <c r="Y5109" s="12">
        <f>IF(OR(LEFT(K5109,4)="LVAX",LEFT(K5109,6)="MV15AX",LEFT(K5109,4)="CTAX",LEFT(K5109,2)="W|"),2*N5109*O5109,0)</f>
        <v/>
      </c>
      <c r="Z5109" s="12" t="inlineStr">
        <is>
          <t>VD 2.8 %</t>
        </is>
      </c>
      <c r="AA5109" s="12">
        <f>N5109*O5109</f>
        <v/>
      </c>
    </row>
    <row r="5110">
      <c r="A5110" s="12" t="inlineStr">
        <is>
          <t>I-P-0208</t>
        </is>
      </c>
      <c r="B5110" s="12" t="inlineStr">
        <is>
          <t>I</t>
        </is>
      </c>
      <c r="C5110" s="12" t="inlineStr">
        <is>
          <t>Modular / portable power</t>
        </is>
      </c>
      <c r="D5110" s="12" t="inlineStr">
        <is>
          <t>Motor 7 of 10, 30 kW</t>
        </is>
      </c>
      <c r="E5110" s="12" t="inlineStr"/>
      <c r="F5110" s="12" t="inlineStr">
        <is>
          <t>MOD-LV 480 V board + 480 V : 13.8 kV step-up</t>
        </is>
      </c>
      <c r="G5110" s="12" t="inlineStr">
        <is>
          <t>SC-2</t>
        </is>
      </c>
      <c r="H5110" s="12" t="inlineStr">
        <is>
          <t>SC-2: aeroderivative simple-cycle unit (LM6000 class)</t>
        </is>
      </c>
      <c r="I5110" s="12" t="inlineStr">
        <is>
          <t>LV 600 V</t>
        </is>
      </c>
      <c r="J5110" s="12" t="inlineStr">
        <is>
          <t>Type TC-ER 600 V 3/C Cu XHHW-2 + ground, PVC jacket</t>
        </is>
      </c>
      <c r="K5110" s="12" t="inlineStr">
        <is>
          <t>LV|3/C+G|350</t>
        </is>
      </c>
      <c r="L5110" s="12" t="inlineStr">
        <is>
          <t>3/C+G</t>
        </is>
      </c>
      <c r="M5110" s="12" t="inlineStr">
        <is>
          <t>350 kcmil</t>
        </is>
      </c>
      <c r="N5110" s="12" t="n">
        <v>1</v>
      </c>
      <c r="O5110" s="12" t="n">
        <v>1</v>
      </c>
      <c r="P5110" s="12" t="n">
        <v>480</v>
      </c>
      <c r="Q5110" s="12" t="n">
        <v>30</v>
      </c>
      <c r="R5110" s="12" t="n">
        <v>42.5</v>
      </c>
      <c r="S5110" s="12" t="inlineStr">
        <is>
          <t>HV duct bank</t>
        </is>
      </c>
      <c r="T5110" s="16" t="n">
        <v>4441</v>
      </c>
      <c r="U5110" s="16" t="n">
        <v>40</v>
      </c>
      <c r="V5110" s="16">
        <f>ROUNDUP((T5110+U5110+2*'Read Me'!$B$13)*(1+'Read Me'!$B$12),-1)</f>
        <v/>
      </c>
      <c r="W5110" s="16">
        <f>V5110*N5110*O5110</f>
        <v/>
      </c>
      <c r="X5110" s="12">
        <f>IF(LEFT(I5110,2)="MV",2*N5110*IF(L5110="1/C",O5110,1),0)</f>
        <v/>
      </c>
      <c r="Y5110" s="12">
        <f>IF(OR(LEFT(K5110,4)="LVAX",LEFT(K5110,6)="MV15AX",LEFT(K5110,4)="CTAX",LEFT(K5110,2)="W|"),2*N5110*O5110,0)</f>
        <v/>
      </c>
      <c r="Z5110" s="12" t="inlineStr">
        <is>
          <t>VD 2.8 %</t>
        </is>
      </c>
      <c r="AA5110" s="12">
        <f>N5110*O5110</f>
        <v/>
      </c>
    </row>
    <row r="5111">
      <c r="A5111" s="12" t="inlineStr">
        <is>
          <t>I-P-0209</t>
        </is>
      </c>
      <c r="B5111" s="12" t="inlineStr">
        <is>
          <t>I</t>
        </is>
      </c>
      <c r="C5111" s="12" t="inlineStr">
        <is>
          <t>Modular / portable power</t>
        </is>
      </c>
      <c r="D5111" s="12" t="inlineStr">
        <is>
          <t>Motor 8 of 10, 30 kW</t>
        </is>
      </c>
      <c r="E5111" s="12" t="inlineStr"/>
      <c r="F5111" s="12" t="inlineStr">
        <is>
          <t>MOD-LV 480 V board + 480 V : 13.8 kV step-up</t>
        </is>
      </c>
      <c r="G5111" s="12" t="inlineStr">
        <is>
          <t>SC-2</t>
        </is>
      </c>
      <c r="H5111" s="12" t="inlineStr">
        <is>
          <t>SC-2: aeroderivative simple-cycle unit (LM6000 class)</t>
        </is>
      </c>
      <c r="I5111" s="12" t="inlineStr">
        <is>
          <t>LV 600 V</t>
        </is>
      </c>
      <c r="J5111" s="12" t="inlineStr">
        <is>
          <t>Type TC-ER 600 V 3/C Cu XHHW-2 + ground, PVC jacket</t>
        </is>
      </c>
      <c r="K5111" s="12" t="inlineStr">
        <is>
          <t>LV|3/C+G|350</t>
        </is>
      </c>
      <c r="L5111" s="12" t="inlineStr">
        <is>
          <t>3/C+G</t>
        </is>
      </c>
      <c r="M5111" s="12" t="inlineStr">
        <is>
          <t>350 kcmil</t>
        </is>
      </c>
      <c r="N5111" s="12" t="n">
        <v>1</v>
      </c>
      <c r="O5111" s="12" t="n">
        <v>1</v>
      </c>
      <c r="P5111" s="12" t="n">
        <v>480</v>
      </c>
      <c r="Q5111" s="12" t="n">
        <v>30</v>
      </c>
      <c r="R5111" s="12" t="n">
        <v>42.5</v>
      </c>
      <c r="S5111" s="12" t="inlineStr">
        <is>
          <t>HV duct bank</t>
        </is>
      </c>
      <c r="T5111" s="16" t="n">
        <v>4441</v>
      </c>
      <c r="U5111" s="16" t="n">
        <v>40</v>
      </c>
      <c r="V5111" s="16">
        <f>ROUNDUP((T5111+U5111+2*'Read Me'!$B$13)*(1+'Read Me'!$B$12),-1)</f>
        <v/>
      </c>
      <c r="W5111" s="16">
        <f>V5111*N5111*O5111</f>
        <v/>
      </c>
      <c r="X5111" s="12">
        <f>IF(LEFT(I5111,2)="MV",2*N5111*IF(L5111="1/C",O5111,1),0)</f>
        <v/>
      </c>
      <c r="Y5111" s="12">
        <f>IF(OR(LEFT(K5111,4)="LVAX",LEFT(K5111,6)="MV15AX",LEFT(K5111,4)="CTAX",LEFT(K5111,2)="W|"),2*N5111*O5111,0)</f>
        <v/>
      </c>
      <c r="Z5111" s="12" t="inlineStr">
        <is>
          <t>VD 2.8 %</t>
        </is>
      </c>
      <c r="AA5111" s="12">
        <f>N5111*O5111</f>
        <v/>
      </c>
    </row>
    <row r="5112">
      <c r="A5112" s="12" t="inlineStr">
        <is>
          <t>I-P-0210</t>
        </is>
      </c>
      <c r="B5112" s="12" t="inlineStr">
        <is>
          <t>I</t>
        </is>
      </c>
      <c r="C5112" s="12" t="inlineStr">
        <is>
          <t>Modular / portable power</t>
        </is>
      </c>
      <c r="D5112" s="12" t="inlineStr">
        <is>
          <t>Motor 9 of 10, 30 kW</t>
        </is>
      </c>
      <c r="E5112" s="12" t="inlineStr"/>
      <c r="F5112" s="12" t="inlineStr">
        <is>
          <t>MOD-LV 480 V board + 480 V : 13.8 kV step-up</t>
        </is>
      </c>
      <c r="G5112" s="12" t="inlineStr">
        <is>
          <t>SC-2</t>
        </is>
      </c>
      <c r="H5112" s="12" t="inlineStr">
        <is>
          <t>SC-2: aeroderivative simple-cycle unit (LM6000 class)</t>
        </is>
      </c>
      <c r="I5112" s="12" t="inlineStr">
        <is>
          <t>LV 600 V</t>
        </is>
      </c>
      <c r="J5112" s="12" t="inlineStr">
        <is>
          <t>Type TC-ER 600 V 3/C Cu XHHW-2 + ground, PVC jacket</t>
        </is>
      </c>
      <c r="K5112" s="12" t="inlineStr">
        <is>
          <t>LV|3/C+G|350</t>
        </is>
      </c>
      <c r="L5112" s="12" t="inlineStr">
        <is>
          <t>3/C+G</t>
        </is>
      </c>
      <c r="M5112" s="12" t="inlineStr">
        <is>
          <t>350 kcmil</t>
        </is>
      </c>
      <c r="N5112" s="12" t="n">
        <v>1</v>
      </c>
      <c r="O5112" s="12" t="n">
        <v>1</v>
      </c>
      <c r="P5112" s="12" t="n">
        <v>480</v>
      </c>
      <c r="Q5112" s="12" t="n">
        <v>30</v>
      </c>
      <c r="R5112" s="12" t="n">
        <v>42.5</v>
      </c>
      <c r="S5112" s="12" t="inlineStr">
        <is>
          <t>HV duct bank</t>
        </is>
      </c>
      <c r="T5112" s="16" t="n">
        <v>4441</v>
      </c>
      <c r="U5112" s="16" t="n">
        <v>40</v>
      </c>
      <c r="V5112" s="16">
        <f>ROUNDUP((T5112+U5112+2*'Read Me'!$B$13)*(1+'Read Me'!$B$12),-1)</f>
        <v/>
      </c>
      <c r="W5112" s="16">
        <f>V5112*N5112*O5112</f>
        <v/>
      </c>
      <c r="X5112" s="12">
        <f>IF(LEFT(I5112,2)="MV",2*N5112*IF(L5112="1/C",O5112,1),0)</f>
        <v/>
      </c>
      <c r="Y5112" s="12">
        <f>IF(OR(LEFT(K5112,4)="LVAX",LEFT(K5112,6)="MV15AX",LEFT(K5112,4)="CTAX",LEFT(K5112,2)="W|"),2*N5112*O5112,0)</f>
        <v/>
      </c>
      <c r="Z5112" s="12" t="inlineStr">
        <is>
          <t>VD 2.8 %</t>
        </is>
      </c>
      <c r="AA5112" s="12">
        <f>N5112*O5112</f>
        <v/>
      </c>
    </row>
    <row r="5113">
      <c r="A5113" s="12" t="inlineStr">
        <is>
          <t>I-P-0211</t>
        </is>
      </c>
      <c r="B5113" s="12" t="inlineStr">
        <is>
          <t>I</t>
        </is>
      </c>
      <c r="C5113" s="12" t="inlineStr">
        <is>
          <t>Modular / portable power</t>
        </is>
      </c>
      <c r="D5113" s="12" t="inlineStr">
        <is>
          <t>Motor 10 of 10, 30 kW</t>
        </is>
      </c>
      <c r="E5113" s="12" t="inlineStr"/>
      <c r="F5113" s="12" t="inlineStr">
        <is>
          <t>MOD-LV 480 V board + 480 V : 13.8 kV step-up</t>
        </is>
      </c>
      <c r="G5113" s="12" t="inlineStr">
        <is>
          <t>SC-2</t>
        </is>
      </c>
      <c r="H5113" s="12" t="inlineStr">
        <is>
          <t>SC-2: aeroderivative simple-cycle unit (LM6000 class)</t>
        </is>
      </c>
      <c r="I5113" s="12" t="inlineStr">
        <is>
          <t>LV 600 V</t>
        </is>
      </c>
      <c r="J5113" s="12" t="inlineStr">
        <is>
          <t>Type TC-ER 600 V 3/C Cu XHHW-2 + ground, PVC jacket</t>
        </is>
      </c>
      <c r="K5113" s="12" t="inlineStr">
        <is>
          <t>LV|3/C+G|350</t>
        </is>
      </c>
      <c r="L5113" s="12" t="inlineStr">
        <is>
          <t>3/C+G</t>
        </is>
      </c>
      <c r="M5113" s="12" t="inlineStr">
        <is>
          <t>350 kcmil</t>
        </is>
      </c>
      <c r="N5113" s="12" t="n">
        <v>1</v>
      </c>
      <c r="O5113" s="12" t="n">
        <v>1</v>
      </c>
      <c r="P5113" s="12" t="n">
        <v>480</v>
      </c>
      <c r="Q5113" s="12" t="n">
        <v>30</v>
      </c>
      <c r="R5113" s="12" t="n">
        <v>42.5</v>
      </c>
      <c r="S5113" s="12" t="inlineStr">
        <is>
          <t>HV duct bank</t>
        </is>
      </c>
      <c r="T5113" s="16" t="n">
        <v>4441</v>
      </c>
      <c r="U5113" s="16" t="n">
        <v>40</v>
      </c>
      <c r="V5113" s="16">
        <f>ROUNDUP((T5113+U5113+2*'Read Me'!$B$13)*(1+'Read Me'!$B$12),-1)</f>
        <v/>
      </c>
      <c r="W5113" s="16">
        <f>V5113*N5113*O5113</f>
        <v/>
      </c>
      <c r="X5113" s="12">
        <f>IF(LEFT(I5113,2)="MV",2*N5113*IF(L5113="1/C",O5113,1),0)</f>
        <v/>
      </c>
      <c r="Y5113" s="12">
        <f>IF(OR(LEFT(K5113,4)="LVAX",LEFT(K5113,6)="MV15AX",LEFT(K5113,4)="CTAX",LEFT(K5113,2)="W|"),2*N5113*O5113,0)</f>
        <v/>
      </c>
      <c r="Z5113" s="12" t="inlineStr">
        <is>
          <t>VD 2.8 %</t>
        </is>
      </c>
      <c r="AA5113" s="12">
        <f>N5113*O5113</f>
        <v/>
      </c>
    </row>
    <row r="5114">
      <c r="A5114" s="12" t="inlineStr">
        <is>
          <t>I-P-0212</t>
        </is>
      </c>
      <c r="B5114" s="12" t="inlineStr">
        <is>
          <t>I</t>
        </is>
      </c>
      <c r="C5114" s="12" t="inlineStr">
        <is>
          <t>Modular / portable power</t>
        </is>
      </c>
      <c r="D5114" s="12" t="inlineStr">
        <is>
          <t>Motor 1 of 6, 2 kW</t>
        </is>
      </c>
      <c r="E5114" s="12" t="inlineStr"/>
      <c r="F5114" s="12" t="inlineStr">
        <is>
          <t>MOD-LV 480 V board + 480 V : 13.8 kV step-up</t>
        </is>
      </c>
      <c r="G5114" s="12" t="inlineStr"/>
      <c r="H5114" s="12" t="inlineStr">
        <is>
          <t>T-MOD 230 kV take-off gantry with arresters</t>
        </is>
      </c>
      <c r="I5114" s="12" t="inlineStr">
        <is>
          <t>LV 600 V</t>
        </is>
      </c>
      <c r="J5114" s="12" t="inlineStr">
        <is>
          <t>Type TC-ER 600 V 3/C Cu XHHW-2 + ground, PVC jacket</t>
        </is>
      </c>
      <c r="K5114" s="12" t="inlineStr">
        <is>
          <t>LV|3/C+G|10</t>
        </is>
      </c>
      <c r="L5114" s="12" t="inlineStr">
        <is>
          <t>3/C+G</t>
        </is>
      </c>
      <c r="M5114" s="12" t="inlineStr">
        <is>
          <t>10</t>
        </is>
      </c>
      <c r="N5114" s="12" t="n">
        <v>1</v>
      </c>
      <c r="O5114" s="12" t="n">
        <v>1</v>
      </c>
      <c r="P5114" s="12" t="n">
        <v>480</v>
      </c>
      <c r="Q5114" s="12" t="n">
        <v>2</v>
      </c>
      <c r="R5114" s="12" t="n">
        <v>2.8</v>
      </c>
      <c r="S5114" s="12" t="inlineStr">
        <is>
          <t>Duct bank</t>
        </is>
      </c>
      <c r="T5114" s="16" t="n">
        <v>386</v>
      </c>
      <c r="U5114" s="16" t="n">
        <v>130</v>
      </c>
      <c r="V5114" s="16">
        <f>ROUNDUP((T5114+U5114+2*'Read Me'!$B$13)*(1+'Read Me'!$B$12),-1)</f>
        <v/>
      </c>
      <c r="W5114" s="16">
        <f>V5114*N5114*O5114</f>
        <v/>
      </c>
      <c r="X5114" s="12">
        <f>IF(LEFT(I5114,2)="MV",2*N5114*IF(L5114="1/C",O5114,1),0)</f>
        <v/>
      </c>
      <c r="Y5114" s="12">
        <f>IF(OR(LEFT(K5114,4)="LVAX",LEFT(K5114,6)="MV15AX",LEFT(K5114,4)="CTAX",LEFT(K5114,2)="W|"),2*N5114*O5114,0)</f>
        <v/>
      </c>
      <c r="Z5114" s="12" t="inlineStr">
        <is>
          <t>VD 0.7 %</t>
        </is>
      </c>
      <c r="AA5114" s="12">
        <f>N5114*O5114</f>
        <v/>
      </c>
    </row>
    <row r="5115">
      <c r="A5115" s="12" t="inlineStr">
        <is>
          <t>I-P-0213</t>
        </is>
      </c>
      <c r="B5115" s="12" t="inlineStr">
        <is>
          <t>I</t>
        </is>
      </c>
      <c r="C5115" s="12" t="inlineStr">
        <is>
          <t>Modular / portable power</t>
        </is>
      </c>
      <c r="D5115" s="12" t="inlineStr">
        <is>
          <t>Motor 2 of 6, 2 kW</t>
        </is>
      </c>
      <c r="E5115" s="12" t="inlineStr"/>
      <c r="F5115" s="12" t="inlineStr">
        <is>
          <t>MOD-LV 480 V board + 480 V : 13.8 kV step-up</t>
        </is>
      </c>
      <c r="G5115" s="12" t="inlineStr"/>
      <c r="H5115" s="12" t="inlineStr">
        <is>
          <t>T-MOD 230 kV take-off gantry with arresters</t>
        </is>
      </c>
      <c r="I5115" s="12" t="inlineStr">
        <is>
          <t>LV 600 V</t>
        </is>
      </c>
      <c r="J5115" s="12" t="inlineStr">
        <is>
          <t>Type TC-ER 600 V 3/C Cu XHHW-2 + ground, PVC jacket</t>
        </is>
      </c>
      <c r="K5115" s="12" t="inlineStr">
        <is>
          <t>LV|3/C+G|10</t>
        </is>
      </c>
      <c r="L5115" s="12" t="inlineStr">
        <is>
          <t>3/C+G</t>
        </is>
      </c>
      <c r="M5115" s="12" t="inlineStr">
        <is>
          <t>10</t>
        </is>
      </c>
      <c r="N5115" s="12" t="n">
        <v>1</v>
      </c>
      <c r="O5115" s="12" t="n">
        <v>1</v>
      </c>
      <c r="P5115" s="12" t="n">
        <v>480</v>
      </c>
      <c r="Q5115" s="12" t="n">
        <v>2</v>
      </c>
      <c r="R5115" s="12" t="n">
        <v>2.8</v>
      </c>
      <c r="S5115" s="12" t="inlineStr">
        <is>
          <t>Duct bank</t>
        </is>
      </c>
      <c r="T5115" s="16" t="n">
        <v>386</v>
      </c>
      <c r="U5115" s="16" t="n">
        <v>130</v>
      </c>
      <c r="V5115" s="16">
        <f>ROUNDUP((T5115+U5115+2*'Read Me'!$B$13)*(1+'Read Me'!$B$12),-1)</f>
        <v/>
      </c>
      <c r="W5115" s="16">
        <f>V5115*N5115*O5115</f>
        <v/>
      </c>
      <c r="X5115" s="12">
        <f>IF(LEFT(I5115,2)="MV",2*N5115*IF(L5115="1/C",O5115,1),0)</f>
        <v/>
      </c>
      <c r="Y5115" s="12">
        <f>IF(OR(LEFT(K5115,4)="LVAX",LEFT(K5115,6)="MV15AX",LEFT(K5115,4)="CTAX",LEFT(K5115,2)="W|"),2*N5115*O5115,0)</f>
        <v/>
      </c>
      <c r="Z5115" s="12" t="inlineStr">
        <is>
          <t>VD 0.7 %</t>
        </is>
      </c>
      <c r="AA5115" s="12">
        <f>N5115*O5115</f>
        <v/>
      </c>
    </row>
    <row r="5116">
      <c r="A5116" s="12" t="inlineStr">
        <is>
          <t>I-P-0214</t>
        </is>
      </c>
      <c r="B5116" s="12" t="inlineStr">
        <is>
          <t>I</t>
        </is>
      </c>
      <c r="C5116" s="12" t="inlineStr">
        <is>
          <t>Modular / portable power</t>
        </is>
      </c>
      <c r="D5116" s="12" t="inlineStr">
        <is>
          <t>Motor 3 of 6, 2 kW</t>
        </is>
      </c>
      <c r="E5116" s="12" t="inlineStr"/>
      <c r="F5116" s="12" t="inlineStr">
        <is>
          <t>MOD-LV 480 V board + 480 V : 13.8 kV step-up</t>
        </is>
      </c>
      <c r="G5116" s="12" t="inlineStr"/>
      <c r="H5116" s="12" t="inlineStr">
        <is>
          <t>T-MOD 230 kV take-off gantry with arresters</t>
        </is>
      </c>
      <c r="I5116" s="12" t="inlineStr">
        <is>
          <t>LV 600 V</t>
        </is>
      </c>
      <c r="J5116" s="12" t="inlineStr">
        <is>
          <t>Type TC-ER 600 V 3/C Cu XHHW-2 + ground, PVC jacket</t>
        </is>
      </c>
      <c r="K5116" s="12" t="inlineStr">
        <is>
          <t>LV|3/C+G|10</t>
        </is>
      </c>
      <c r="L5116" s="12" t="inlineStr">
        <is>
          <t>3/C+G</t>
        </is>
      </c>
      <c r="M5116" s="12" t="inlineStr">
        <is>
          <t>10</t>
        </is>
      </c>
      <c r="N5116" s="12" t="n">
        <v>1</v>
      </c>
      <c r="O5116" s="12" t="n">
        <v>1</v>
      </c>
      <c r="P5116" s="12" t="n">
        <v>480</v>
      </c>
      <c r="Q5116" s="12" t="n">
        <v>2</v>
      </c>
      <c r="R5116" s="12" t="n">
        <v>2.8</v>
      </c>
      <c r="S5116" s="12" t="inlineStr">
        <is>
          <t>Duct bank</t>
        </is>
      </c>
      <c r="T5116" s="16" t="n">
        <v>386</v>
      </c>
      <c r="U5116" s="16" t="n">
        <v>130</v>
      </c>
      <c r="V5116" s="16">
        <f>ROUNDUP((T5116+U5116+2*'Read Me'!$B$13)*(1+'Read Me'!$B$12),-1)</f>
        <v/>
      </c>
      <c r="W5116" s="16">
        <f>V5116*N5116*O5116</f>
        <v/>
      </c>
      <c r="X5116" s="12">
        <f>IF(LEFT(I5116,2)="MV",2*N5116*IF(L5116="1/C",O5116,1),0)</f>
        <v/>
      </c>
      <c r="Y5116" s="12">
        <f>IF(OR(LEFT(K5116,4)="LVAX",LEFT(K5116,6)="MV15AX",LEFT(K5116,4)="CTAX",LEFT(K5116,2)="W|"),2*N5116*O5116,0)</f>
        <v/>
      </c>
      <c r="Z5116" s="12" t="inlineStr">
        <is>
          <t>VD 0.7 %</t>
        </is>
      </c>
      <c r="AA5116" s="12">
        <f>N5116*O5116</f>
        <v/>
      </c>
    </row>
    <row r="5117">
      <c r="A5117" s="12" t="inlineStr">
        <is>
          <t>I-P-0215</t>
        </is>
      </c>
      <c r="B5117" s="12" t="inlineStr">
        <is>
          <t>I</t>
        </is>
      </c>
      <c r="C5117" s="12" t="inlineStr">
        <is>
          <t>Modular / portable power</t>
        </is>
      </c>
      <c r="D5117" s="12" t="inlineStr">
        <is>
          <t>Motor 4 of 6, 2 kW</t>
        </is>
      </c>
      <c r="E5117" s="12" t="inlineStr"/>
      <c r="F5117" s="12" t="inlineStr">
        <is>
          <t>MOD-LV 480 V board + 480 V : 13.8 kV step-up</t>
        </is>
      </c>
      <c r="G5117" s="12" t="inlineStr"/>
      <c r="H5117" s="12" t="inlineStr">
        <is>
          <t>T-MOD 230 kV take-off gantry with arresters</t>
        </is>
      </c>
      <c r="I5117" s="12" t="inlineStr">
        <is>
          <t>LV 600 V</t>
        </is>
      </c>
      <c r="J5117" s="12" t="inlineStr">
        <is>
          <t>Type TC-ER 600 V 3/C Cu XHHW-2 + ground, PVC jacket</t>
        </is>
      </c>
      <c r="K5117" s="12" t="inlineStr">
        <is>
          <t>LV|3/C+G|10</t>
        </is>
      </c>
      <c r="L5117" s="12" t="inlineStr">
        <is>
          <t>3/C+G</t>
        </is>
      </c>
      <c r="M5117" s="12" t="inlineStr">
        <is>
          <t>10</t>
        </is>
      </c>
      <c r="N5117" s="12" t="n">
        <v>1</v>
      </c>
      <c r="O5117" s="12" t="n">
        <v>1</v>
      </c>
      <c r="P5117" s="12" t="n">
        <v>480</v>
      </c>
      <c r="Q5117" s="12" t="n">
        <v>2</v>
      </c>
      <c r="R5117" s="12" t="n">
        <v>2.8</v>
      </c>
      <c r="S5117" s="12" t="inlineStr">
        <is>
          <t>Duct bank</t>
        </is>
      </c>
      <c r="T5117" s="16" t="n">
        <v>386</v>
      </c>
      <c r="U5117" s="16" t="n">
        <v>130</v>
      </c>
      <c r="V5117" s="16">
        <f>ROUNDUP((T5117+U5117+2*'Read Me'!$B$13)*(1+'Read Me'!$B$12),-1)</f>
        <v/>
      </c>
      <c r="W5117" s="16">
        <f>V5117*N5117*O5117</f>
        <v/>
      </c>
      <c r="X5117" s="12">
        <f>IF(LEFT(I5117,2)="MV",2*N5117*IF(L5117="1/C",O5117,1),0)</f>
        <v/>
      </c>
      <c r="Y5117" s="12">
        <f>IF(OR(LEFT(K5117,4)="LVAX",LEFT(K5117,6)="MV15AX",LEFT(K5117,4)="CTAX",LEFT(K5117,2)="W|"),2*N5117*O5117,0)</f>
        <v/>
      </c>
      <c r="Z5117" s="12" t="inlineStr">
        <is>
          <t>VD 0.7 %</t>
        </is>
      </c>
      <c r="AA5117" s="12">
        <f>N5117*O5117</f>
        <v/>
      </c>
    </row>
    <row r="5118">
      <c r="A5118" s="12" t="inlineStr">
        <is>
          <t>I-P-0216</t>
        </is>
      </c>
      <c r="B5118" s="12" t="inlineStr">
        <is>
          <t>I</t>
        </is>
      </c>
      <c r="C5118" s="12" t="inlineStr">
        <is>
          <t>Modular / portable power</t>
        </is>
      </c>
      <c r="D5118" s="12" t="inlineStr">
        <is>
          <t>Motor 5 of 6, 2 kW</t>
        </is>
      </c>
      <c r="E5118" s="12" t="inlineStr"/>
      <c r="F5118" s="12" t="inlineStr">
        <is>
          <t>MOD-LV 480 V board + 480 V : 13.8 kV step-up</t>
        </is>
      </c>
      <c r="G5118" s="12" t="inlineStr"/>
      <c r="H5118" s="12" t="inlineStr">
        <is>
          <t>T-MOD 230 kV take-off gantry with arresters</t>
        </is>
      </c>
      <c r="I5118" s="12" t="inlineStr">
        <is>
          <t>LV 600 V</t>
        </is>
      </c>
      <c r="J5118" s="12" t="inlineStr">
        <is>
          <t>Type TC-ER 600 V 3/C Cu XHHW-2 + ground, PVC jacket</t>
        </is>
      </c>
      <c r="K5118" s="12" t="inlineStr">
        <is>
          <t>LV|3/C+G|10</t>
        </is>
      </c>
      <c r="L5118" s="12" t="inlineStr">
        <is>
          <t>3/C+G</t>
        </is>
      </c>
      <c r="M5118" s="12" t="inlineStr">
        <is>
          <t>10</t>
        </is>
      </c>
      <c r="N5118" s="12" t="n">
        <v>1</v>
      </c>
      <c r="O5118" s="12" t="n">
        <v>1</v>
      </c>
      <c r="P5118" s="12" t="n">
        <v>480</v>
      </c>
      <c r="Q5118" s="12" t="n">
        <v>2</v>
      </c>
      <c r="R5118" s="12" t="n">
        <v>2.8</v>
      </c>
      <c r="S5118" s="12" t="inlineStr">
        <is>
          <t>Duct bank</t>
        </is>
      </c>
      <c r="T5118" s="16" t="n">
        <v>386</v>
      </c>
      <c r="U5118" s="16" t="n">
        <v>130</v>
      </c>
      <c r="V5118" s="16">
        <f>ROUNDUP((T5118+U5118+2*'Read Me'!$B$13)*(1+'Read Me'!$B$12),-1)</f>
        <v/>
      </c>
      <c r="W5118" s="16">
        <f>V5118*N5118*O5118</f>
        <v/>
      </c>
      <c r="X5118" s="12">
        <f>IF(LEFT(I5118,2)="MV",2*N5118*IF(L5118="1/C",O5118,1),0)</f>
        <v/>
      </c>
      <c r="Y5118" s="12">
        <f>IF(OR(LEFT(K5118,4)="LVAX",LEFT(K5118,6)="MV15AX",LEFT(K5118,4)="CTAX",LEFT(K5118,2)="W|"),2*N5118*O5118,0)</f>
        <v/>
      </c>
      <c r="Z5118" s="12" t="inlineStr">
        <is>
          <t>VD 0.7 %</t>
        </is>
      </c>
      <c r="AA5118" s="12">
        <f>N5118*O5118</f>
        <v/>
      </c>
    </row>
    <row r="5119">
      <c r="A5119" s="12" t="inlineStr">
        <is>
          <t>I-P-0217</t>
        </is>
      </c>
      <c r="B5119" s="12" t="inlineStr">
        <is>
          <t>I</t>
        </is>
      </c>
      <c r="C5119" s="12" t="inlineStr">
        <is>
          <t>Modular / portable power</t>
        </is>
      </c>
      <c r="D5119" s="12" t="inlineStr">
        <is>
          <t>Motor 6 of 6, 2 kW</t>
        </is>
      </c>
      <c r="E5119" s="12" t="inlineStr"/>
      <c r="F5119" s="12" t="inlineStr">
        <is>
          <t>MOD-LV 480 V board + 480 V : 13.8 kV step-up</t>
        </is>
      </c>
      <c r="G5119" s="12" t="inlineStr"/>
      <c r="H5119" s="12" t="inlineStr">
        <is>
          <t>T-MOD 230 kV take-off gantry with arresters</t>
        </is>
      </c>
      <c r="I5119" s="12" t="inlineStr">
        <is>
          <t>LV 600 V</t>
        </is>
      </c>
      <c r="J5119" s="12" t="inlineStr">
        <is>
          <t>Type TC-ER 600 V 3/C Cu XHHW-2 + ground, PVC jacket</t>
        </is>
      </c>
      <c r="K5119" s="12" t="inlineStr">
        <is>
          <t>LV|3/C+G|10</t>
        </is>
      </c>
      <c r="L5119" s="12" t="inlineStr">
        <is>
          <t>3/C+G</t>
        </is>
      </c>
      <c r="M5119" s="12" t="inlineStr">
        <is>
          <t>10</t>
        </is>
      </c>
      <c r="N5119" s="12" t="n">
        <v>1</v>
      </c>
      <c r="O5119" s="12" t="n">
        <v>1</v>
      </c>
      <c r="P5119" s="12" t="n">
        <v>480</v>
      </c>
      <c r="Q5119" s="12" t="n">
        <v>2</v>
      </c>
      <c r="R5119" s="12" t="n">
        <v>2.8</v>
      </c>
      <c r="S5119" s="12" t="inlineStr">
        <is>
          <t>Duct bank</t>
        </is>
      </c>
      <c r="T5119" s="16" t="n">
        <v>386</v>
      </c>
      <c r="U5119" s="16" t="n">
        <v>130</v>
      </c>
      <c r="V5119" s="16">
        <f>ROUNDUP((T5119+U5119+2*'Read Me'!$B$13)*(1+'Read Me'!$B$12),-1)</f>
        <v/>
      </c>
      <c r="W5119" s="16">
        <f>V5119*N5119*O5119</f>
        <v/>
      </c>
      <c r="X5119" s="12">
        <f>IF(LEFT(I5119,2)="MV",2*N5119*IF(L5119="1/C",O5119,1),0)</f>
        <v/>
      </c>
      <c r="Y5119" s="12">
        <f>IF(OR(LEFT(K5119,4)="LVAX",LEFT(K5119,6)="MV15AX",LEFT(K5119,4)="CTAX",LEFT(K5119,2)="W|"),2*N5119*O5119,0)</f>
        <v/>
      </c>
      <c r="Z5119" s="12" t="inlineStr">
        <is>
          <t>VD 0.7 %</t>
        </is>
      </c>
      <c r="AA5119" s="12">
        <f>N5119*O5119</f>
        <v/>
      </c>
    </row>
    <row r="5120">
      <c r="A5120" s="12" t="inlineStr">
        <is>
          <t>I-P-0218</t>
        </is>
      </c>
      <c r="B5120" s="12" t="inlineStr">
        <is>
          <t>I</t>
        </is>
      </c>
      <c r="C5120" s="12" t="inlineStr">
        <is>
          <t>Modular / portable power</t>
        </is>
      </c>
      <c r="D5120" s="12" t="inlineStr">
        <is>
          <t>Motor 1 of 6, 2 kW</t>
        </is>
      </c>
      <c r="E5120" s="12" t="inlineStr"/>
      <c r="F5120" s="12" t="inlineStr">
        <is>
          <t>MOD-LV 480 V board + 480 V : 13.8 kV step-up</t>
        </is>
      </c>
      <c r="G5120" s="12" t="inlineStr"/>
      <c r="H5120" s="12" t="inlineStr">
        <is>
          <t>T-MOD-1 / T-MOD-2 firewall</t>
        </is>
      </c>
      <c r="I5120" s="12" t="inlineStr">
        <is>
          <t>LV 600 V</t>
        </is>
      </c>
      <c r="J5120" s="12" t="inlineStr">
        <is>
          <t>Type TC-ER 600 V 3/C Cu XHHW-2 + ground, PVC jacket</t>
        </is>
      </c>
      <c r="K5120" s="12" t="inlineStr">
        <is>
          <t>LV|3/C+G|10</t>
        </is>
      </c>
      <c r="L5120" s="12" t="inlineStr">
        <is>
          <t>3/C+G</t>
        </is>
      </c>
      <c r="M5120" s="12" t="inlineStr">
        <is>
          <t>10</t>
        </is>
      </c>
      <c r="N5120" s="12" t="n">
        <v>1</v>
      </c>
      <c r="O5120" s="12" t="n">
        <v>1</v>
      </c>
      <c r="P5120" s="12" t="n">
        <v>480</v>
      </c>
      <c r="Q5120" s="12" t="n">
        <v>2</v>
      </c>
      <c r="R5120" s="12" t="n">
        <v>2.8</v>
      </c>
      <c r="S5120" s="12" t="inlineStr">
        <is>
          <t>Duct bank</t>
        </is>
      </c>
      <c r="T5120" s="16" t="n">
        <v>378</v>
      </c>
      <c r="U5120" s="16" t="n">
        <v>132</v>
      </c>
      <c r="V5120" s="16">
        <f>ROUNDUP((T5120+U5120+2*'Read Me'!$B$13)*(1+'Read Me'!$B$12),-1)</f>
        <v/>
      </c>
      <c r="W5120" s="16">
        <f>V5120*N5120*O5120</f>
        <v/>
      </c>
      <c r="X5120" s="12">
        <f>IF(LEFT(I5120,2)="MV",2*N5120*IF(L5120="1/C",O5120,1),0)</f>
        <v/>
      </c>
      <c r="Y5120" s="12">
        <f>IF(OR(LEFT(K5120,4)="LVAX",LEFT(K5120,6)="MV15AX",LEFT(K5120,4)="CTAX",LEFT(K5120,2)="W|"),2*N5120*O5120,0)</f>
        <v/>
      </c>
      <c r="Z5120" s="12" t="inlineStr">
        <is>
          <t>VD 0.7 %</t>
        </is>
      </c>
      <c r="AA5120" s="12">
        <f>N5120*O5120</f>
        <v/>
      </c>
    </row>
    <row r="5121">
      <c r="A5121" s="12" t="inlineStr">
        <is>
          <t>I-P-0219</t>
        </is>
      </c>
      <c r="B5121" s="12" t="inlineStr">
        <is>
          <t>I</t>
        </is>
      </c>
      <c r="C5121" s="12" t="inlineStr">
        <is>
          <t>Modular / portable power</t>
        </is>
      </c>
      <c r="D5121" s="12" t="inlineStr">
        <is>
          <t>Motor 2 of 6, 2 kW</t>
        </is>
      </c>
      <c r="E5121" s="12" t="inlineStr"/>
      <c r="F5121" s="12" t="inlineStr">
        <is>
          <t>MOD-LV 480 V board + 480 V : 13.8 kV step-up</t>
        </is>
      </c>
      <c r="G5121" s="12" t="inlineStr"/>
      <c r="H5121" s="12" t="inlineStr">
        <is>
          <t>T-MOD-1 / T-MOD-2 firewall</t>
        </is>
      </c>
      <c r="I5121" s="12" t="inlineStr">
        <is>
          <t>LV 600 V</t>
        </is>
      </c>
      <c r="J5121" s="12" t="inlineStr">
        <is>
          <t>Type TC-ER 600 V 3/C Cu XHHW-2 + ground, PVC jacket</t>
        </is>
      </c>
      <c r="K5121" s="12" t="inlineStr">
        <is>
          <t>LV|3/C+G|10</t>
        </is>
      </c>
      <c r="L5121" s="12" t="inlineStr">
        <is>
          <t>3/C+G</t>
        </is>
      </c>
      <c r="M5121" s="12" t="inlineStr">
        <is>
          <t>10</t>
        </is>
      </c>
      <c r="N5121" s="12" t="n">
        <v>1</v>
      </c>
      <c r="O5121" s="12" t="n">
        <v>1</v>
      </c>
      <c r="P5121" s="12" t="n">
        <v>480</v>
      </c>
      <c r="Q5121" s="12" t="n">
        <v>2</v>
      </c>
      <c r="R5121" s="12" t="n">
        <v>2.8</v>
      </c>
      <c r="S5121" s="12" t="inlineStr">
        <is>
          <t>Duct bank</t>
        </is>
      </c>
      <c r="T5121" s="16" t="n">
        <v>378</v>
      </c>
      <c r="U5121" s="16" t="n">
        <v>132</v>
      </c>
      <c r="V5121" s="16">
        <f>ROUNDUP((T5121+U5121+2*'Read Me'!$B$13)*(1+'Read Me'!$B$12),-1)</f>
        <v/>
      </c>
      <c r="W5121" s="16">
        <f>V5121*N5121*O5121</f>
        <v/>
      </c>
      <c r="X5121" s="12">
        <f>IF(LEFT(I5121,2)="MV",2*N5121*IF(L5121="1/C",O5121,1),0)</f>
        <v/>
      </c>
      <c r="Y5121" s="12">
        <f>IF(OR(LEFT(K5121,4)="LVAX",LEFT(K5121,6)="MV15AX",LEFT(K5121,4)="CTAX",LEFT(K5121,2)="W|"),2*N5121*O5121,0)</f>
        <v/>
      </c>
      <c r="Z5121" s="12" t="inlineStr">
        <is>
          <t>VD 0.7 %</t>
        </is>
      </c>
      <c r="AA5121" s="12">
        <f>N5121*O5121</f>
        <v/>
      </c>
    </row>
    <row r="5122">
      <c r="A5122" s="12" t="inlineStr">
        <is>
          <t>I-P-0220</t>
        </is>
      </c>
      <c r="B5122" s="12" t="inlineStr">
        <is>
          <t>I</t>
        </is>
      </c>
      <c r="C5122" s="12" t="inlineStr">
        <is>
          <t>Modular / portable power</t>
        </is>
      </c>
      <c r="D5122" s="12" t="inlineStr">
        <is>
          <t>Motor 3 of 6, 2 kW</t>
        </is>
      </c>
      <c r="E5122" s="12" t="inlineStr"/>
      <c r="F5122" s="12" t="inlineStr">
        <is>
          <t>MOD-LV 480 V board + 480 V : 13.8 kV step-up</t>
        </is>
      </c>
      <c r="G5122" s="12" t="inlineStr"/>
      <c r="H5122" s="12" t="inlineStr">
        <is>
          <t>T-MOD-1 / T-MOD-2 firewall</t>
        </is>
      </c>
      <c r="I5122" s="12" t="inlineStr">
        <is>
          <t>LV 600 V</t>
        </is>
      </c>
      <c r="J5122" s="12" t="inlineStr">
        <is>
          <t>Type TC-ER 600 V 3/C Cu XHHW-2 + ground, PVC jacket</t>
        </is>
      </c>
      <c r="K5122" s="12" t="inlineStr">
        <is>
          <t>LV|3/C+G|10</t>
        </is>
      </c>
      <c r="L5122" s="12" t="inlineStr">
        <is>
          <t>3/C+G</t>
        </is>
      </c>
      <c r="M5122" s="12" t="inlineStr">
        <is>
          <t>10</t>
        </is>
      </c>
      <c r="N5122" s="12" t="n">
        <v>1</v>
      </c>
      <c r="O5122" s="12" t="n">
        <v>1</v>
      </c>
      <c r="P5122" s="12" t="n">
        <v>480</v>
      </c>
      <c r="Q5122" s="12" t="n">
        <v>2</v>
      </c>
      <c r="R5122" s="12" t="n">
        <v>2.8</v>
      </c>
      <c r="S5122" s="12" t="inlineStr">
        <is>
          <t>Duct bank</t>
        </is>
      </c>
      <c r="T5122" s="16" t="n">
        <v>378</v>
      </c>
      <c r="U5122" s="16" t="n">
        <v>132</v>
      </c>
      <c r="V5122" s="16">
        <f>ROUNDUP((T5122+U5122+2*'Read Me'!$B$13)*(1+'Read Me'!$B$12),-1)</f>
        <v/>
      </c>
      <c r="W5122" s="16">
        <f>V5122*N5122*O5122</f>
        <v/>
      </c>
      <c r="X5122" s="12">
        <f>IF(LEFT(I5122,2)="MV",2*N5122*IF(L5122="1/C",O5122,1),0)</f>
        <v/>
      </c>
      <c r="Y5122" s="12">
        <f>IF(OR(LEFT(K5122,4)="LVAX",LEFT(K5122,6)="MV15AX",LEFT(K5122,4)="CTAX",LEFT(K5122,2)="W|"),2*N5122*O5122,0)</f>
        <v/>
      </c>
      <c r="Z5122" s="12" t="inlineStr">
        <is>
          <t>VD 0.7 %</t>
        </is>
      </c>
      <c r="AA5122" s="12">
        <f>N5122*O5122</f>
        <v/>
      </c>
    </row>
    <row r="5123">
      <c r="A5123" s="12" t="inlineStr">
        <is>
          <t>I-P-0221</t>
        </is>
      </c>
      <c r="B5123" s="12" t="inlineStr">
        <is>
          <t>I</t>
        </is>
      </c>
      <c r="C5123" s="12" t="inlineStr">
        <is>
          <t>Modular / portable power</t>
        </is>
      </c>
      <c r="D5123" s="12" t="inlineStr">
        <is>
          <t>Motor 4 of 6, 2 kW</t>
        </is>
      </c>
      <c r="E5123" s="12" t="inlineStr"/>
      <c r="F5123" s="12" t="inlineStr">
        <is>
          <t>MOD-LV 480 V board + 480 V : 13.8 kV step-up</t>
        </is>
      </c>
      <c r="G5123" s="12" t="inlineStr"/>
      <c r="H5123" s="12" t="inlineStr">
        <is>
          <t>T-MOD-1 / T-MOD-2 firewall</t>
        </is>
      </c>
      <c r="I5123" s="12" t="inlineStr">
        <is>
          <t>LV 600 V</t>
        </is>
      </c>
      <c r="J5123" s="12" t="inlineStr">
        <is>
          <t>Type TC-ER 600 V 3/C Cu XHHW-2 + ground, PVC jacket</t>
        </is>
      </c>
      <c r="K5123" s="12" t="inlineStr">
        <is>
          <t>LV|3/C+G|10</t>
        </is>
      </c>
      <c r="L5123" s="12" t="inlineStr">
        <is>
          <t>3/C+G</t>
        </is>
      </c>
      <c r="M5123" s="12" t="inlineStr">
        <is>
          <t>10</t>
        </is>
      </c>
      <c r="N5123" s="12" t="n">
        <v>1</v>
      </c>
      <c r="O5123" s="12" t="n">
        <v>1</v>
      </c>
      <c r="P5123" s="12" t="n">
        <v>480</v>
      </c>
      <c r="Q5123" s="12" t="n">
        <v>2</v>
      </c>
      <c r="R5123" s="12" t="n">
        <v>2.8</v>
      </c>
      <c r="S5123" s="12" t="inlineStr">
        <is>
          <t>Duct bank</t>
        </is>
      </c>
      <c r="T5123" s="16" t="n">
        <v>378</v>
      </c>
      <c r="U5123" s="16" t="n">
        <v>132</v>
      </c>
      <c r="V5123" s="16">
        <f>ROUNDUP((T5123+U5123+2*'Read Me'!$B$13)*(1+'Read Me'!$B$12),-1)</f>
        <v/>
      </c>
      <c r="W5123" s="16">
        <f>V5123*N5123*O5123</f>
        <v/>
      </c>
      <c r="X5123" s="12">
        <f>IF(LEFT(I5123,2)="MV",2*N5123*IF(L5123="1/C",O5123,1),0)</f>
        <v/>
      </c>
      <c r="Y5123" s="12">
        <f>IF(OR(LEFT(K5123,4)="LVAX",LEFT(K5123,6)="MV15AX",LEFT(K5123,4)="CTAX",LEFT(K5123,2)="W|"),2*N5123*O5123,0)</f>
        <v/>
      </c>
      <c r="Z5123" s="12" t="inlineStr">
        <is>
          <t>VD 0.7 %</t>
        </is>
      </c>
      <c r="AA5123" s="12">
        <f>N5123*O5123</f>
        <v/>
      </c>
    </row>
    <row r="5124">
      <c r="A5124" s="12" t="inlineStr">
        <is>
          <t>I-P-0222</t>
        </is>
      </c>
      <c r="B5124" s="12" t="inlineStr">
        <is>
          <t>I</t>
        </is>
      </c>
      <c r="C5124" s="12" t="inlineStr">
        <is>
          <t>Modular / portable power</t>
        </is>
      </c>
      <c r="D5124" s="12" t="inlineStr">
        <is>
          <t>Motor 5 of 6, 2 kW</t>
        </is>
      </c>
      <c r="E5124" s="12" t="inlineStr"/>
      <c r="F5124" s="12" t="inlineStr">
        <is>
          <t>MOD-LV 480 V board + 480 V : 13.8 kV step-up</t>
        </is>
      </c>
      <c r="G5124" s="12" t="inlineStr"/>
      <c r="H5124" s="12" t="inlineStr">
        <is>
          <t>T-MOD-1 / T-MOD-2 firewall</t>
        </is>
      </c>
      <c r="I5124" s="12" t="inlineStr">
        <is>
          <t>LV 600 V</t>
        </is>
      </c>
      <c r="J5124" s="12" t="inlineStr">
        <is>
          <t>Type TC-ER 600 V 3/C Cu XHHW-2 + ground, PVC jacket</t>
        </is>
      </c>
      <c r="K5124" s="12" t="inlineStr">
        <is>
          <t>LV|3/C+G|10</t>
        </is>
      </c>
      <c r="L5124" s="12" t="inlineStr">
        <is>
          <t>3/C+G</t>
        </is>
      </c>
      <c r="M5124" s="12" t="inlineStr">
        <is>
          <t>10</t>
        </is>
      </c>
      <c r="N5124" s="12" t="n">
        <v>1</v>
      </c>
      <c r="O5124" s="12" t="n">
        <v>1</v>
      </c>
      <c r="P5124" s="12" t="n">
        <v>480</v>
      </c>
      <c r="Q5124" s="12" t="n">
        <v>2</v>
      </c>
      <c r="R5124" s="12" t="n">
        <v>2.8</v>
      </c>
      <c r="S5124" s="12" t="inlineStr">
        <is>
          <t>Duct bank</t>
        </is>
      </c>
      <c r="T5124" s="16" t="n">
        <v>378</v>
      </c>
      <c r="U5124" s="16" t="n">
        <v>132</v>
      </c>
      <c r="V5124" s="16">
        <f>ROUNDUP((T5124+U5124+2*'Read Me'!$B$13)*(1+'Read Me'!$B$12),-1)</f>
        <v/>
      </c>
      <c r="W5124" s="16">
        <f>V5124*N5124*O5124</f>
        <v/>
      </c>
      <c r="X5124" s="12">
        <f>IF(LEFT(I5124,2)="MV",2*N5124*IF(L5124="1/C",O5124,1),0)</f>
        <v/>
      </c>
      <c r="Y5124" s="12">
        <f>IF(OR(LEFT(K5124,4)="LVAX",LEFT(K5124,6)="MV15AX",LEFT(K5124,4)="CTAX",LEFT(K5124,2)="W|"),2*N5124*O5124,0)</f>
        <v/>
      </c>
      <c r="Z5124" s="12" t="inlineStr">
        <is>
          <t>VD 0.7 %</t>
        </is>
      </c>
      <c r="AA5124" s="12">
        <f>N5124*O5124</f>
        <v/>
      </c>
    </row>
    <row r="5125">
      <c r="A5125" s="12" t="inlineStr">
        <is>
          <t>I-P-0223</t>
        </is>
      </c>
      <c r="B5125" s="12" t="inlineStr">
        <is>
          <t>I</t>
        </is>
      </c>
      <c r="C5125" s="12" t="inlineStr">
        <is>
          <t>Modular / portable power</t>
        </is>
      </c>
      <c r="D5125" s="12" t="inlineStr">
        <is>
          <t>Motor 6 of 6, 2 kW</t>
        </is>
      </c>
      <c r="E5125" s="12" t="inlineStr"/>
      <c r="F5125" s="12" t="inlineStr">
        <is>
          <t>MOD-LV 480 V board + 480 V : 13.8 kV step-up</t>
        </is>
      </c>
      <c r="G5125" s="12" t="inlineStr"/>
      <c r="H5125" s="12" t="inlineStr">
        <is>
          <t>T-MOD-1 / T-MOD-2 firewall</t>
        </is>
      </c>
      <c r="I5125" s="12" t="inlineStr">
        <is>
          <t>LV 600 V</t>
        </is>
      </c>
      <c r="J5125" s="12" t="inlineStr">
        <is>
          <t>Type TC-ER 600 V 3/C Cu XHHW-2 + ground, PVC jacket</t>
        </is>
      </c>
      <c r="K5125" s="12" t="inlineStr">
        <is>
          <t>LV|3/C+G|10</t>
        </is>
      </c>
      <c r="L5125" s="12" t="inlineStr">
        <is>
          <t>3/C+G</t>
        </is>
      </c>
      <c r="M5125" s="12" t="inlineStr">
        <is>
          <t>10</t>
        </is>
      </c>
      <c r="N5125" s="12" t="n">
        <v>1</v>
      </c>
      <c r="O5125" s="12" t="n">
        <v>1</v>
      </c>
      <c r="P5125" s="12" t="n">
        <v>480</v>
      </c>
      <c r="Q5125" s="12" t="n">
        <v>2</v>
      </c>
      <c r="R5125" s="12" t="n">
        <v>2.8</v>
      </c>
      <c r="S5125" s="12" t="inlineStr">
        <is>
          <t>Duct bank</t>
        </is>
      </c>
      <c r="T5125" s="16" t="n">
        <v>378</v>
      </c>
      <c r="U5125" s="16" t="n">
        <v>132</v>
      </c>
      <c r="V5125" s="16">
        <f>ROUNDUP((T5125+U5125+2*'Read Me'!$B$13)*(1+'Read Me'!$B$12),-1)</f>
        <v/>
      </c>
      <c r="W5125" s="16">
        <f>V5125*N5125*O5125</f>
        <v/>
      </c>
      <c r="X5125" s="12">
        <f>IF(LEFT(I5125,2)="MV",2*N5125*IF(L5125="1/C",O5125,1),0)</f>
        <v/>
      </c>
      <c r="Y5125" s="12">
        <f>IF(OR(LEFT(K5125,4)="LVAX",LEFT(K5125,6)="MV15AX",LEFT(K5125,4)="CTAX",LEFT(K5125,2)="W|"),2*N5125*O5125,0)</f>
        <v/>
      </c>
      <c r="Z5125" s="12" t="inlineStr">
        <is>
          <t>VD 0.7 %</t>
        </is>
      </c>
      <c r="AA5125" s="12">
        <f>N5125*O5125</f>
        <v/>
      </c>
    </row>
    <row r="5126">
      <c r="A5126" s="12" t="inlineStr">
        <is>
          <t>I-P-0224</t>
        </is>
      </c>
      <c r="B5126" s="12" t="inlineStr">
        <is>
          <t>I</t>
        </is>
      </c>
      <c r="C5126" s="12" t="inlineStr">
        <is>
          <t>Modular / portable power</t>
        </is>
      </c>
      <c r="D5126" s="12" t="inlineStr">
        <is>
          <t>Motor 1 of 6, 2 kW</t>
        </is>
      </c>
      <c r="E5126" s="12" t="inlineStr"/>
      <c r="F5126" s="12" t="inlineStr">
        <is>
          <t>MOD-LV 480 V board + 480 V : 13.8 kV step-up</t>
        </is>
      </c>
      <c r="G5126" s="12" t="inlineStr">
        <is>
          <t>T-MOD-1</t>
        </is>
      </c>
      <c r="H5126" s="12" t="inlineStr">
        <is>
          <t>T-MOD-1: 13.8/230 kV</t>
        </is>
      </c>
      <c r="I5126" s="12" t="inlineStr">
        <is>
          <t>LV 600 V</t>
        </is>
      </c>
      <c r="J5126" s="12" t="inlineStr">
        <is>
          <t>Type TC-ER 600 V 3/C Cu XHHW-2 + ground, PVC jacket</t>
        </is>
      </c>
      <c r="K5126" s="12" t="inlineStr">
        <is>
          <t>LV|3/C+G|10</t>
        </is>
      </c>
      <c r="L5126" s="12" t="inlineStr">
        <is>
          <t>3/C+G</t>
        </is>
      </c>
      <c r="M5126" s="12" t="inlineStr">
        <is>
          <t>10</t>
        </is>
      </c>
      <c r="N5126" s="12" t="n">
        <v>1</v>
      </c>
      <c r="O5126" s="12" t="n">
        <v>1</v>
      </c>
      <c r="P5126" s="12" t="n">
        <v>480</v>
      </c>
      <c r="Q5126" s="12" t="n">
        <v>2</v>
      </c>
      <c r="R5126" s="12" t="n">
        <v>2.8</v>
      </c>
      <c r="S5126" s="12" t="inlineStr">
        <is>
          <t>Duct bank</t>
        </is>
      </c>
      <c r="T5126" s="16" t="n">
        <v>378</v>
      </c>
      <c r="U5126" s="16" t="n">
        <v>84</v>
      </c>
      <c r="V5126" s="16">
        <f>ROUNDUP((T5126+U5126+2*'Read Me'!$B$13)*(1+'Read Me'!$B$12),-1)</f>
        <v/>
      </c>
      <c r="W5126" s="16">
        <f>V5126*N5126*O5126</f>
        <v/>
      </c>
      <c r="X5126" s="12">
        <f>IF(LEFT(I5126,2)="MV",2*N5126*IF(L5126="1/C",O5126,1),0)</f>
        <v/>
      </c>
      <c r="Y5126" s="12">
        <f>IF(OR(LEFT(K5126,4)="LVAX",LEFT(K5126,6)="MV15AX",LEFT(K5126,4)="CTAX",LEFT(K5126,2)="W|"),2*N5126*O5126,0)</f>
        <v/>
      </c>
      <c r="Z5126" s="12" t="inlineStr">
        <is>
          <t>VD 0.6 %</t>
        </is>
      </c>
      <c r="AA5126" s="12">
        <f>N5126*O5126</f>
        <v/>
      </c>
    </row>
    <row r="5127">
      <c r="A5127" s="12" t="inlineStr">
        <is>
          <t>I-P-0225</t>
        </is>
      </c>
      <c r="B5127" s="12" t="inlineStr">
        <is>
          <t>I</t>
        </is>
      </c>
      <c r="C5127" s="12" t="inlineStr">
        <is>
          <t>Modular / portable power</t>
        </is>
      </c>
      <c r="D5127" s="12" t="inlineStr">
        <is>
          <t>Motor 2 of 6, 2 kW</t>
        </is>
      </c>
      <c r="E5127" s="12" t="inlineStr"/>
      <c r="F5127" s="12" t="inlineStr">
        <is>
          <t>MOD-LV 480 V board + 480 V : 13.8 kV step-up</t>
        </is>
      </c>
      <c r="G5127" s="12" t="inlineStr">
        <is>
          <t>T-MOD-1</t>
        </is>
      </c>
      <c r="H5127" s="12" t="inlineStr">
        <is>
          <t>T-MOD-1: 13.8/230 kV</t>
        </is>
      </c>
      <c r="I5127" s="12" t="inlineStr">
        <is>
          <t>LV 600 V</t>
        </is>
      </c>
      <c r="J5127" s="12" t="inlineStr">
        <is>
          <t>Type TC-ER 600 V 3/C Cu XHHW-2 + ground, PVC jacket</t>
        </is>
      </c>
      <c r="K5127" s="12" t="inlineStr">
        <is>
          <t>LV|3/C+G|10</t>
        </is>
      </c>
      <c r="L5127" s="12" t="inlineStr">
        <is>
          <t>3/C+G</t>
        </is>
      </c>
      <c r="M5127" s="12" t="inlineStr">
        <is>
          <t>10</t>
        </is>
      </c>
      <c r="N5127" s="12" t="n">
        <v>1</v>
      </c>
      <c r="O5127" s="12" t="n">
        <v>1</v>
      </c>
      <c r="P5127" s="12" t="n">
        <v>480</v>
      </c>
      <c r="Q5127" s="12" t="n">
        <v>2</v>
      </c>
      <c r="R5127" s="12" t="n">
        <v>2.8</v>
      </c>
      <c r="S5127" s="12" t="inlineStr">
        <is>
          <t>Duct bank</t>
        </is>
      </c>
      <c r="T5127" s="16" t="n">
        <v>378</v>
      </c>
      <c r="U5127" s="16" t="n">
        <v>84</v>
      </c>
      <c r="V5127" s="16">
        <f>ROUNDUP((T5127+U5127+2*'Read Me'!$B$13)*(1+'Read Me'!$B$12),-1)</f>
        <v/>
      </c>
      <c r="W5127" s="16">
        <f>V5127*N5127*O5127</f>
        <v/>
      </c>
      <c r="X5127" s="12">
        <f>IF(LEFT(I5127,2)="MV",2*N5127*IF(L5127="1/C",O5127,1),0)</f>
        <v/>
      </c>
      <c r="Y5127" s="12">
        <f>IF(OR(LEFT(K5127,4)="LVAX",LEFT(K5127,6)="MV15AX",LEFT(K5127,4)="CTAX",LEFT(K5127,2)="W|"),2*N5127*O5127,0)</f>
        <v/>
      </c>
      <c r="Z5127" s="12" t="inlineStr">
        <is>
          <t>VD 0.6 %</t>
        </is>
      </c>
      <c r="AA5127" s="12">
        <f>N5127*O5127</f>
        <v/>
      </c>
    </row>
    <row r="5128">
      <c r="A5128" s="12" t="inlineStr">
        <is>
          <t>I-P-0226</t>
        </is>
      </c>
      <c r="B5128" s="12" t="inlineStr">
        <is>
          <t>I</t>
        </is>
      </c>
      <c r="C5128" s="12" t="inlineStr">
        <is>
          <t>Modular / portable power</t>
        </is>
      </c>
      <c r="D5128" s="12" t="inlineStr">
        <is>
          <t>Motor 3 of 6, 2 kW</t>
        </is>
      </c>
      <c r="E5128" s="12" t="inlineStr"/>
      <c r="F5128" s="12" t="inlineStr">
        <is>
          <t>MOD-LV 480 V board + 480 V : 13.8 kV step-up</t>
        </is>
      </c>
      <c r="G5128" s="12" t="inlineStr">
        <is>
          <t>T-MOD-1</t>
        </is>
      </c>
      <c r="H5128" s="12" t="inlineStr">
        <is>
          <t>T-MOD-1: 13.8/230 kV</t>
        </is>
      </c>
      <c r="I5128" s="12" t="inlineStr">
        <is>
          <t>LV 600 V</t>
        </is>
      </c>
      <c r="J5128" s="12" t="inlineStr">
        <is>
          <t>Type TC-ER 600 V 3/C Cu XHHW-2 + ground, PVC jacket</t>
        </is>
      </c>
      <c r="K5128" s="12" t="inlineStr">
        <is>
          <t>LV|3/C+G|10</t>
        </is>
      </c>
      <c r="L5128" s="12" t="inlineStr">
        <is>
          <t>3/C+G</t>
        </is>
      </c>
      <c r="M5128" s="12" t="inlineStr">
        <is>
          <t>10</t>
        </is>
      </c>
      <c r="N5128" s="12" t="n">
        <v>1</v>
      </c>
      <c r="O5128" s="12" t="n">
        <v>1</v>
      </c>
      <c r="P5128" s="12" t="n">
        <v>480</v>
      </c>
      <c r="Q5128" s="12" t="n">
        <v>2</v>
      </c>
      <c r="R5128" s="12" t="n">
        <v>2.8</v>
      </c>
      <c r="S5128" s="12" t="inlineStr">
        <is>
          <t>Duct bank</t>
        </is>
      </c>
      <c r="T5128" s="16" t="n">
        <v>378</v>
      </c>
      <c r="U5128" s="16" t="n">
        <v>84</v>
      </c>
      <c r="V5128" s="16">
        <f>ROUNDUP((T5128+U5128+2*'Read Me'!$B$13)*(1+'Read Me'!$B$12),-1)</f>
        <v/>
      </c>
      <c r="W5128" s="16">
        <f>V5128*N5128*O5128</f>
        <v/>
      </c>
      <c r="X5128" s="12">
        <f>IF(LEFT(I5128,2)="MV",2*N5128*IF(L5128="1/C",O5128,1),0)</f>
        <v/>
      </c>
      <c r="Y5128" s="12">
        <f>IF(OR(LEFT(K5128,4)="LVAX",LEFT(K5128,6)="MV15AX",LEFT(K5128,4)="CTAX",LEFT(K5128,2)="W|"),2*N5128*O5128,0)</f>
        <v/>
      </c>
      <c r="Z5128" s="12" t="inlineStr">
        <is>
          <t>VD 0.6 %</t>
        </is>
      </c>
      <c r="AA5128" s="12">
        <f>N5128*O5128</f>
        <v/>
      </c>
    </row>
    <row r="5129">
      <c r="A5129" s="12" t="inlineStr">
        <is>
          <t>I-P-0227</t>
        </is>
      </c>
      <c r="B5129" s="12" t="inlineStr">
        <is>
          <t>I</t>
        </is>
      </c>
      <c r="C5129" s="12" t="inlineStr">
        <is>
          <t>Modular / portable power</t>
        </is>
      </c>
      <c r="D5129" s="12" t="inlineStr">
        <is>
          <t>Motor 4 of 6, 2 kW</t>
        </is>
      </c>
      <c r="E5129" s="12" t="inlineStr"/>
      <c r="F5129" s="12" t="inlineStr">
        <is>
          <t>MOD-LV 480 V board + 480 V : 13.8 kV step-up</t>
        </is>
      </c>
      <c r="G5129" s="12" t="inlineStr">
        <is>
          <t>T-MOD-1</t>
        </is>
      </c>
      <c r="H5129" s="12" t="inlineStr">
        <is>
          <t>T-MOD-1: 13.8/230 kV</t>
        </is>
      </c>
      <c r="I5129" s="12" t="inlineStr">
        <is>
          <t>LV 600 V</t>
        </is>
      </c>
      <c r="J5129" s="12" t="inlineStr">
        <is>
          <t>Type TC-ER 600 V 3/C Cu XHHW-2 + ground, PVC jacket</t>
        </is>
      </c>
      <c r="K5129" s="12" t="inlineStr">
        <is>
          <t>LV|3/C+G|10</t>
        </is>
      </c>
      <c r="L5129" s="12" t="inlineStr">
        <is>
          <t>3/C+G</t>
        </is>
      </c>
      <c r="M5129" s="12" t="inlineStr">
        <is>
          <t>10</t>
        </is>
      </c>
      <c r="N5129" s="12" t="n">
        <v>1</v>
      </c>
      <c r="O5129" s="12" t="n">
        <v>1</v>
      </c>
      <c r="P5129" s="12" t="n">
        <v>480</v>
      </c>
      <c r="Q5129" s="12" t="n">
        <v>2</v>
      </c>
      <c r="R5129" s="12" t="n">
        <v>2.8</v>
      </c>
      <c r="S5129" s="12" t="inlineStr">
        <is>
          <t>Duct bank</t>
        </is>
      </c>
      <c r="T5129" s="16" t="n">
        <v>378</v>
      </c>
      <c r="U5129" s="16" t="n">
        <v>84</v>
      </c>
      <c r="V5129" s="16">
        <f>ROUNDUP((T5129+U5129+2*'Read Me'!$B$13)*(1+'Read Me'!$B$12),-1)</f>
        <v/>
      </c>
      <c r="W5129" s="16">
        <f>V5129*N5129*O5129</f>
        <v/>
      </c>
      <c r="X5129" s="12">
        <f>IF(LEFT(I5129,2)="MV",2*N5129*IF(L5129="1/C",O5129,1),0)</f>
        <v/>
      </c>
      <c r="Y5129" s="12">
        <f>IF(OR(LEFT(K5129,4)="LVAX",LEFT(K5129,6)="MV15AX",LEFT(K5129,4)="CTAX",LEFT(K5129,2)="W|"),2*N5129*O5129,0)</f>
        <v/>
      </c>
      <c r="Z5129" s="12" t="inlineStr">
        <is>
          <t>VD 0.6 %</t>
        </is>
      </c>
      <c r="AA5129" s="12">
        <f>N5129*O5129</f>
        <v/>
      </c>
    </row>
    <row r="5130">
      <c r="A5130" s="12" t="inlineStr">
        <is>
          <t>I-P-0228</t>
        </is>
      </c>
      <c r="B5130" s="12" t="inlineStr">
        <is>
          <t>I</t>
        </is>
      </c>
      <c r="C5130" s="12" t="inlineStr">
        <is>
          <t>Modular / portable power</t>
        </is>
      </c>
      <c r="D5130" s="12" t="inlineStr">
        <is>
          <t>Motor 5 of 6, 2 kW</t>
        </is>
      </c>
      <c r="E5130" s="12" t="inlineStr"/>
      <c r="F5130" s="12" t="inlineStr">
        <is>
          <t>MOD-LV 480 V board + 480 V : 13.8 kV step-up</t>
        </is>
      </c>
      <c r="G5130" s="12" t="inlineStr">
        <is>
          <t>T-MOD-1</t>
        </is>
      </c>
      <c r="H5130" s="12" t="inlineStr">
        <is>
          <t>T-MOD-1: 13.8/230 kV</t>
        </is>
      </c>
      <c r="I5130" s="12" t="inlineStr">
        <is>
          <t>LV 600 V</t>
        </is>
      </c>
      <c r="J5130" s="12" t="inlineStr">
        <is>
          <t>Type TC-ER 600 V 3/C Cu XHHW-2 + ground, PVC jacket</t>
        </is>
      </c>
      <c r="K5130" s="12" t="inlineStr">
        <is>
          <t>LV|3/C+G|10</t>
        </is>
      </c>
      <c r="L5130" s="12" t="inlineStr">
        <is>
          <t>3/C+G</t>
        </is>
      </c>
      <c r="M5130" s="12" t="inlineStr">
        <is>
          <t>10</t>
        </is>
      </c>
      <c r="N5130" s="12" t="n">
        <v>1</v>
      </c>
      <c r="O5130" s="12" t="n">
        <v>1</v>
      </c>
      <c r="P5130" s="12" t="n">
        <v>480</v>
      </c>
      <c r="Q5130" s="12" t="n">
        <v>2</v>
      </c>
      <c r="R5130" s="12" t="n">
        <v>2.8</v>
      </c>
      <c r="S5130" s="12" t="inlineStr">
        <is>
          <t>Duct bank</t>
        </is>
      </c>
      <c r="T5130" s="16" t="n">
        <v>378</v>
      </c>
      <c r="U5130" s="16" t="n">
        <v>84</v>
      </c>
      <c r="V5130" s="16">
        <f>ROUNDUP((T5130+U5130+2*'Read Me'!$B$13)*(1+'Read Me'!$B$12),-1)</f>
        <v/>
      </c>
      <c r="W5130" s="16">
        <f>V5130*N5130*O5130</f>
        <v/>
      </c>
      <c r="X5130" s="12">
        <f>IF(LEFT(I5130,2)="MV",2*N5130*IF(L5130="1/C",O5130,1),0)</f>
        <v/>
      </c>
      <c r="Y5130" s="12">
        <f>IF(OR(LEFT(K5130,4)="LVAX",LEFT(K5130,6)="MV15AX",LEFT(K5130,4)="CTAX",LEFT(K5130,2)="W|"),2*N5130*O5130,0)</f>
        <v/>
      </c>
      <c r="Z5130" s="12" t="inlineStr">
        <is>
          <t>VD 0.6 %</t>
        </is>
      </c>
      <c r="AA5130" s="12">
        <f>N5130*O5130</f>
        <v/>
      </c>
    </row>
    <row r="5131">
      <c r="A5131" s="12" t="inlineStr">
        <is>
          <t>I-P-0229</t>
        </is>
      </c>
      <c r="B5131" s="12" t="inlineStr">
        <is>
          <t>I</t>
        </is>
      </c>
      <c r="C5131" s="12" t="inlineStr">
        <is>
          <t>Modular / portable power</t>
        </is>
      </c>
      <c r="D5131" s="12" t="inlineStr">
        <is>
          <t>Motor 6 of 6, 2 kW</t>
        </is>
      </c>
      <c r="E5131" s="12" t="inlineStr"/>
      <c r="F5131" s="12" t="inlineStr">
        <is>
          <t>MOD-LV 480 V board + 480 V : 13.8 kV step-up</t>
        </is>
      </c>
      <c r="G5131" s="12" t="inlineStr">
        <is>
          <t>T-MOD-1</t>
        </is>
      </c>
      <c r="H5131" s="12" t="inlineStr">
        <is>
          <t>T-MOD-1: 13.8/230 kV</t>
        </is>
      </c>
      <c r="I5131" s="12" t="inlineStr">
        <is>
          <t>LV 600 V</t>
        </is>
      </c>
      <c r="J5131" s="12" t="inlineStr">
        <is>
          <t>Type TC-ER 600 V 3/C Cu XHHW-2 + ground, PVC jacket</t>
        </is>
      </c>
      <c r="K5131" s="12" t="inlineStr">
        <is>
          <t>LV|3/C+G|10</t>
        </is>
      </c>
      <c r="L5131" s="12" t="inlineStr">
        <is>
          <t>3/C+G</t>
        </is>
      </c>
      <c r="M5131" s="12" t="inlineStr">
        <is>
          <t>10</t>
        </is>
      </c>
      <c r="N5131" s="12" t="n">
        <v>1</v>
      </c>
      <c r="O5131" s="12" t="n">
        <v>1</v>
      </c>
      <c r="P5131" s="12" t="n">
        <v>480</v>
      </c>
      <c r="Q5131" s="12" t="n">
        <v>2</v>
      </c>
      <c r="R5131" s="12" t="n">
        <v>2.8</v>
      </c>
      <c r="S5131" s="12" t="inlineStr">
        <is>
          <t>Duct bank</t>
        </is>
      </c>
      <c r="T5131" s="16" t="n">
        <v>378</v>
      </c>
      <c r="U5131" s="16" t="n">
        <v>84</v>
      </c>
      <c r="V5131" s="16">
        <f>ROUNDUP((T5131+U5131+2*'Read Me'!$B$13)*(1+'Read Me'!$B$12),-1)</f>
        <v/>
      </c>
      <c r="W5131" s="16">
        <f>V5131*N5131*O5131</f>
        <v/>
      </c>
      <c r="X5131" s="12">
        <f>IF(LEFT(I5131,2)="MV",2*N5131*IF(L5131="1/C",O5131,1),0)</f>
        <v/>
      </c>
      <c r="Y5131" s="12">
        <f>IF(OR(LEFT(K5131,4)="LVAX",LEFT(K5131,6)="MV15AX",LEFT(K5131,4)="CTAX",LEFT(K5131,2)="W|"),2*N5131*O5131,0)</f>
        <v/>
      </c>
      <c r="Z5131" s="12" t="inlineStr">
        <is>
          <t>VD 0.6 %</t>
        </is>
      </c>
      <c r="AA5131" s="12">
        <f>N5131*O5131</f>
        <v/>
      </c>
    </row>
    <row r="5132">
      <c r="A5132" s="12" t="inlineStr">
        <is>
          <t>I-P-0230</t>
        </is>
      </c>
      <c r="B5132" s="12" t="inlineStr">
        <is>
          <t>I</t>
        </is>
      </c>
      <c r="C5132" s="12" t="inlineStr">
        <is>
          <t>Modular / portable power</t>
        </is>
      </c>
      <c r="D5132" s="12" t="inlineStr">
        <is>
          <t>Motor 1 of 6, 2 kW</t>
        </is>
      </c>
      <c r="E5132" s="12" t="inlineStr"/>
      <c r="F5132" s="12" t="inlineStr">
        <is>
          <t>MOD-LV 480 V board + 480 V : 13.8 kV step-up</t>
        </is>
      </c>
      <c r="G5132" s="12" t="inlineStr">
        <is>
          <t>T-MOD-2</t>
        </is>
      </c>
      <c r="H5132" s="12" t="inlineStr">
        <is>
          <t>T-MOD-2: 13.8/230 kV</t>
        </is>
      </c>
      <c r="I5132" s="12" t="inlineStr">
        <is>
          <t>LV 600 V</t>
        </is>
      </c>
      <c r="J5132" s="12" t="inlineStr">
        <is>
          <t>Type TC-ER 600 V 3/C Cu XHHW-2 + ground, PVC jacket</t>
        </is>
      </c>
      <c r="K5132" s="12" t="inlineStr">
        <is>
          <t>LV|3/C+G|10</t>
        </is>
      </c>
      <c r="L5132" s="12" t="inlineStr">
        <is>
          <t>3/C+G</t>
        </is>
      </c>
      <c r="M5132" s="12" t="inlineStr">
        <is>
          <t>10</t>
        </is>
      </c>
      <c r="N5132" s="12" t="n">
        <v>1</v>
      </c>
      <c r="O5132" s="12" t="n">
        <v>1</v>
      </c>
      <c r="P5132" s="12" t="n">
        <v>480</v>
      </c>
      <c r="Q5132" s="12" t="n">
        <v>2</v>
      </c>
      <c r="R5132" s="12" t="n">
        <v>2.8</v>
      </c>
      <c r="S5132" s="12" t="inlineStr">
        <is>
          <t>Tray</t>
        </is>
      </c>
      <c r="T5132" s="16" t="n">
        <v>0</v>
      </c>
      <c r="U5132" s="16" t="n">
        <v>189</v>
      </c>
      <c r="V5132" s="16">
        <f>ROUNDUP((T5132+U5132+2*'Read Me'!$B$13)*(1+'Read Me'!$B$12),-1)</f>
        <v/>
      </c>
      <c r="W5132" s="16">
        <f>V5132*N5132*O5132</f>
        <v/>
      </c>
      <c r="X5132" s="12">
        <f>IF(LEFT(I5132,2)="MV",2*N5132*IF(L5132="1/C",O5132,1),0)</f>
        <v/>
      </c>
      <c r="Y5132" s="12">
        <f>IF(OR(LEFT(K5132,4)="LVAX",LEFT(K5132,6)="MV15AX",LEFT(K5132,4)="CTAX",LEFT(K5132,2)="W|"),2*N5132*O5132,0)</f>
        <v/>
      </c>
      <c r="Z5132" s="12" t="inlineStr">
        <is>
          <t>VD 0.3 %</t>
        </is>
      </c>
      <c r="AA5132" s="12">
        <f>N5132*O5132</f>
        <v/>
      </c>
    </row>
    <row r="5133">
      <c r="A5133" s="12" t="inlineStr">
        <is>
          <t>I-P-0231</t>
        </is>
      </c>
      <c r="B5133" s="12" t="inlineStr">
        <is>
          <t>I</t>
        </is>
      </c>
      <c r="C5133" s="12" t="inlineStr">
        <is>
          <t>Modular / portable power</t>
        </is>
      </c>
      <c r="D5133" s="12" t="inlineStr">
        <is>
          <t>Motor 2 of 6, 2 kW</t>
        </is>
      </c>
      <c r="E5133" s="12" t="inlineStr"/>
      <c r="F5133" s="12" t="inlineStr">
        <is>
          <t>MOD-LV 480 V board + 480 V : 13.8 kV step-up</t>
        </is>
      </c>
      <c r="G5133" s="12" t="inlineStr">
        <is>
          <t>T-MOD-2</t>
        </is>
      </c>
      <c r="H5133" s="12" t="inlineStr">
        <is>
          <t>T-MOD-2: 13.8/230 kV</t>
        </is>
      </c>
      <c r="I5133" s="12" t="inlineStr">
        <is>
          <t>LV 600 V</t>
        </is>
      </c>
      <c r="J5133" s="12" t="inlineStr">
        <is>
          <t>Type TC-ER 600 V 3/C Cu XHHW-2 + ground, PVC jacket</t>
        </is>
      </c>
      <c r="K5133" s="12" t="inlineStr">
        <is>
          <t>LV|3/C+G|10</t>
        </is>
      </c>
      <c r="L5133" s="12" t="inlineStr">
        <is>
          <t>3/C+G</t>
        </is>
      </c>
      <c r="M5133" s="12" t="inlineStr">
        <is>
          <t>10</t>
        </is>
      </c>
      <c r="N5133" s="12" t="n">
        <v>1</v>
      </c>
      <c r="O5133" s="12" t="n">
        <v>1</v>
      </c>
      <c r="P5133" s="12" t="n">
        <v>480</v>
      </c>
      <c r="Q5133" s="12" t="n">
        <v>2</v>
      </c>
      <c r="R5133" s="12" t="n">
        <v>2.8</v>
      </c>
      <c r="S5133" s="12" t="inlineStr">
        <is>
          <t>Tray</t>
        </is>
      </c>
      <c r="T5133" s="16" t="n">
        <v>0</v>
      </c>
      <c r="U5133" s="16" t="n">
        <v>189</v>
      </c>
      <c r="V5133" s="16">
        <f>ROUNDUP((T5133+U5133+2*'Read Me'!$B$13)*(1+'Read Me'!$B$12),-1)</f>
        <v/>
      </c>
      <c r="W5133" s="16">
        <f>V5133*N5133*O5133</f>
        <v/>
      </c>
      <c r="X5133" s="12">
        <f>IF(LEFT(I5133,2)="MV",2*N5133*IF(L5133="1/C",O5133,1),0)</f>
        <v/>
      </c>
      <c r="Y5133" s="12">
        <f>IF(OR(LEFT(K5133,4)="LVAX",LEFT(K5133,6)="MV15AX",LEFT(K5133,4)="CTAX",LEFT(K5133,2)="W|"),2*N5133*O5133,0)</f>
        <v/>
      </c>
      <c r="Z5133" s="12" t="inlineStr">
        <is>
          <t>VD 0.3 %</t>
        </is>
      </c>
      <c r="AA5133" s="12">
        <f>N5133*O5133</f>
        <v/>
      </c>
    </row>
    <row r="5134">
      <c r="A5134" s="12" t="inlineStr">
        <is>
          <t>I-P-0232</t>
        </is>
      </c>
      <c r="B5134" s="12" t="inlineStr">
        <is>
          <t>I</t>
        </is>
      </c>
      <c r="C5134" s="12" t="inlineStr">
        <is>
          <t>Modular / portable power</t>
        </is>
      </c>
      <c r="D5134" s="12" t="inlineStr">
        <is>
          <t>Motor 3 of 6, 2 kW</t>
        </is>
      </c>
      <c r="E5134" s="12" t="inlineStr"/>
      <c r="F5134" s="12" t="inlineStr">
        <is>
          <t>MOD-LV 480 V board + 480 V : 13.8 kV step-up</t>
        </is>
      </c>
      <c r="G5134" s="12" t="inlineStr">
        <is>
          <t>T-MOD-2</t>
        </is>
      </c>
      <c r="H5134" s="12" t="inlineStr">
        <is>
          <t>T-MOD-2: 13.8/230 kV</t>
        </is>
      </c>
      <c r="I5134" s="12" t="inlineStr">
        <is>
          <t>LV 600 V</t>
        </is>
      </c>
      <c r="J5134" s="12" t="inlineStr">
        <is>
          <t>Type TC-ER 600 V 3/C Cu XHHW-2 + ground, PVC jacket</t>
        </is>
      </c>
      <c r="K5134" s="12" t="inlineStr">
        <is>
          <t>LV|3/C+G|10</t>
        </is>
      </c>
      <c r="L5134" s="12" t="inlineStr">
        <is>
          <t>3/C+G</t>
        </is>
      </c>
      <c r="M5134" s="12" t="inlineStr">
        <is>
          <t>10</t>
        </is>
      </c>
      <c r="N5134" s="12" t="n">
        <v>1</v>
      </c>
      <c r="O5134" s="12" t="n">
        <v>1</v>
      </c>
      <c r="P5134" s="12" t="n">
        <v>480</v>
      </c>
      <c r="Q5134" s="12" t="n">
        <v>2</v>
      </c>
      <c r="R5134" s="12" t="n">
        <v>2.8</v>
      </c>
      <c r="S5134" s="12" t="inlineStr">
        <is>
          <t>Tray</t>
        </is>
      </c>
      <c r="T5134" s="16" t="n">
        <v>0</v>
      </c>
      <c r="U5134" s="16" t="n">
        <v>189</v>
      </c>
      <c r="V5134" s="16">
        <f>ROUNDUP((T5134+U5134+2*'Read Me'!$B$13)*(1+'Read Me'!$B$12),-1)</f>
        <v/>
      </c>
      <c r="W5134" s="16">
        <f>V5134*N5134*O5134</f>
        <v/>
      </c>
      <c r="X5134" s="12">
        <f>IF(LEFT(I5134,2)="MV",2*N5134*IF(L5134="1/C",O5134,1),0)</f>
        <v/>
      </c>
      <c r="Y5134" s="12">
        <f>IF(OR(LEFT(K5134,4)="LVAX",LEFT(K5134,6)="MV15AX",LEFT(K5134,4)="CTAX",LEFT(K5134,2)="W|"),2*N5134*O5134,0)</f>
        <v/>
      </c>
      <c r="Z5134" s="12" t="inlineStr">
        <is>
          <t>VD 0.3 %</t>
        </is>
      </c>
      <c r="AA5134" s="12">
        <f>N5134*O5134</f>
        <v/>
      </c>
    </row>
    <row r="5135">
      <c r="A5135" s="12" t="inlineStr">
        <is>
          <t>I-P-0233</t>
        </is>
      </c>
      <c r="B5135" s="12" t="inlineStr">
        <is>
          <t>I</t>
        </is>
      </c>
      <c r="C5135" s="12" t="inlineStr">
        <is>
          <t>Modular / portable power</t>
        </is>
      </c>
      <c r="D5135" s="12" t="inlineStr">
        <is>
          <t>Motor 4 of 6, 2 kW</t>
        </is>
      </c>
      <c r="E5135" s="12" t="inlineStr"/>
      <c r="F5135" s="12" t="inlineStr">
        <is>
          <t>MOD-LV 480 V board + 480 V : 13.8 kV step-up</t>
        </is>
      </c>
      <c r="G5135" s="12" t="inlineStr">
        <is>
          <t>T-MOD-2</t>
        </is>
      </c>
      <c r="H5135" s="12" t="inlineStr">
        <is>
          <t>T-MOD-2: 13.8/230 kV</t>
        </is>
      </c>
      <c r="I5135" s="12" t="inlineStr">
        <is>
          <t>LV 600 V</t>
        </is>
      </c>
      <c r="J5135" s="12" t="inlineStr">
        <is>
          <t>Type TC-ER 600 V 3/C Cu XHHW-2 + ground, PVC jacket</t>
        </is>
      </c>
      <c r="K5135" s="12" t="inlineStr">
        <is>
          <t>LV|3/C+G|10</t>
        </is>
      </c>
      <c r="L5135" s="12" t="inlineStr">
        <is>
          <t>3/C+G</t>
        </is>
      </c>
      <c r="M5135" s="12" t="inlineStr">
        <is>
          <t>10</t>
        </is>
      </c>
      <c r="N5135" s="12" t="n">
        <v>1</v>
      </c>
      <c r="O5135" s="12" t="n">
        <v>1</v>
      </c>
      <c r="P5135" s="12" t="n">
        <v>480</v>
      </c>
      <c r="Q5135" s="12" t="n">
        <v>2</v>
      </c>
      <c r="R5135" s="12" t="n">
        <v>2.8</v>
      </c>
      <c r="S5135" s="12" t="inlineStr">
        <is>
          <t>Tray</t>
        </is>
      </c>
      <c r="T5135" s="16" t="n">
        <v>0</v>
      </c>
      <c r="U5135" s="16" t="n">
        <v>189</v>
      </c>
      <c r="V5135" s="16">
        <f>ROUNDUP((T5135+U5135+2*'Read Me'!$B$13)*(1+'Read Me'!$B$12),-1)</f>
        <v/>
      </c>
      <c r="W5135" s="16">
        <f>V5135*N5135*O5135</f>
        <v/>
      </c>
      <c r="X5135" s="12">
        <f>IF(LEFT(I5135,2)="MV",2*N5135*IF(L5135="1/C",O5135,1),0)</f>
        <v/>
      </c>
      <c r="Y5135" s="12">
        <f>IF(OR(LEFT(K5135,4)="LVAX",LEFT(K5135,6)="MV15AX",LEFT(K5135,4)="CTAX",LEFT(K5135,2)="W|"),2*N5135*O5135,0)</f>
        <v/>
      </c>
      <c r="Z5135" s="12" t="inlineStr">
        <is>
          <t>VD 0.3 %</t>
        </is>
      </c>
      <c r="AA5135" s="12">
        <f>N5135*O5135</f>
        <v/>
      </c>
    </row>
    <row r="5136">
      <c r="A5136" s="12" t="inlineStr">
        <is>
          <t>I-P-0234</t>
        </is>
      </c>
      <c r="B5136" s="12" t="inlineStr">
        <is>
          <t>I</t>
        </is>
      </c>
      <c r="C5136" s="12" t="inlineStr">
        <is>
          <t>Modular / portable power</t>
        </is>
      </c>
      <c r="D5136" s="12" t="inlineStr">
        <is>
          <t>Motor 5 of 6, 2 kW</t>
        </is>
      </c>
      <c r="E5136" s="12" t="inlineStr"/>
      <c r="F5136" s="12" t="inlineStr">
        <is>
          <t>MOD-LV 480 V board + 480 V : 13.8 kV step-up</t>
        </is>
      </c>
      <c r="G5136" s="12" t="inlineStr">
        <is>
          <t>T-MOD-2</t>
        </is>
      </c>
      <c r="H5136" s="12" t="inlineStr">
        <is>
          <t>T-MOD-2: 13.8/230 kV</t>
        </is>
      </c>
      <c r="I5136" s="12" t="inlineStr">
        <is>
          <t>LV 600 V</t>
        </is>
      </c>
      <c r="J5136" s="12" t="inlineStr">
        <is>
          <t>Type TC-ER 600 V 3/C Cu XHHW-2 + ground, PVC jacket</t>
        </is>
      </c>
      <c r="K5136" s="12" t="inlineStr">
        <is>
          <t>LV|3/C+G|10</t>
        </is>
      </c>
      <c r="L5136" s="12" t="inlineStr">
        <is>
          <t>3/C+G</t>
        </is>
      </c>
      <c r="M5136" s="12" t="inlineStr">
        <is>
          <t>10</t>
        </is>
      </c>
      <c r="N5136" s="12" t="n">
        <v>1</v>
      </c>
      <c r="O5136" s="12" t="n">
        <v>1</v>
      </c>
      <c r="P5136" s="12" t="n">
        <v>480</v>
      </c>
      <c r="Q5136" s="12" t="n">
        <v>2</v>
      </c>
      <c r="R5136" s="12" t="n">
        <v>2.8</v>
      </c>
      <c r="S5136" s="12" t="inlineStr">
        <is>
          <t>Tray</t>
        </is>
      </c>
      <c r="T5136" s="16" t="n">
        <v>0</v>
      </c>
      <c r="U5136" s="16" t="n">
        <v>189</v>
      </c>
      <c r="V5136" s="16">
        <f>ROUNDUP((T5136+U5136+2*'Read Me'!$B$13)*(1+'Read Me'!$B$12),-1)</f>
        <v/>
      </c>
      <c r="W5136" s="16">
        <f>V5136*N5136*O5136</f>
        <v/>
      </c>
      <c r="X5136" s="12">
        <f>IF(LEFT(I5136,2)="MV",2*N5136*IF(L5136="1/C",O5136,1),0)</f>
        <v/>
      </c>
      <c r="Y5136" s="12">
        <f>IF(OR(LEFT(K5136,4)="LVAX",LEFT(K5136,6)="MV15AX",LEFT(K5136,4)="CTAX",LEFT(K5136,2)="W|"),2*N5136*O5136,0)</f>
        <v/>
      </c>
      <c r="Z5136" s="12" t="inlineStr">
        <is>
          <t>VD 0.3 %</t>
        </is>
      </c>
      <c r="AA5136" s="12">
        <f>N5136*O5136</f>
        <v/>
      </c>
    </row>
    <row r="5137">
      <c r="A5137" s="12" t="inlineStr">
        <is>
          <t>I-P-0235</t>
        </is>
      </c>
      <c r="B5137" s="12" t="inlineStr">
        <is>
          <t>I</t>
        </is>
      </c>
      <c r="C5137" s="12" t="inlineStr">
        <is>
          <t>Modular / portable power</t>
        </is>
      </c>
      <c r="D5137" s="12" t="inlineStr">
        <is>
          <t>Motor 6 of 6, 2 kW</t>
        </is>
      </c>
      <c r="E5137" s="12" t="inlineStr"/>
      <c r="F5137" s="12" t="inlineStr">
        <is>
          <t>MOD-LV 480 V board + 480 V : 13.8 kV step-up</t>
        </is>
      </c>
      <c r="G5137" s="12" t="inlineStr">
        <is>
          <t>T-MOD-2</t>
        </is>
      </c>
      <c r="H5137" s="12" t="inlineStr">
        <is>
          <t>T-MOD-2: 13.8/230 kV</t>
        </is>
      </c>
      <c r="I5137" s="12" t="inlineStr">
        <is>
          <t>LV 600 V</t>
        </is>
      </c>
      <c r="J5137" s="12" t="inlineStr">
        <is>
          <t>Type TC-ER 600 V 3/C Cu XHHW-2 + ground, PVC jacket</t>
        </is>
      </c>
      <c r="K5137" s="12" t="inlineStr">
        <is>
          <t>LV|3/C+G|10</t>
        </is>
      </c>
      <c r="L5137" s="12" t="inlineStr">
        <is>
          <t>3/C+G</t>
        </is>
      </c>
      <c r="M5137" s="12" t="inlineStr">
        <is>
          <t>10</t>
        </is>
      </c>
      <c r="N5137" s="12" t="n">
        <v>1</v>
      </c>
      <c r="O5137" s="12" t="n">
        <v>1</v>
      </c>
      <c r="P5137" s="12" t="n">
        <v>480</v>
      </c>
      <c r="Q5137" s="12" t="n">
        <v>2</v>
      </c>
      <c r="R5137" s="12" t="n">
        <v>2.8</v>
      </c>
      <c r="S5137" s="12" t="inlineStr">
        <is>
          <t>Tray</t>
        </is>
      </c>
      <c r="T5137" s="16" t="n">
        <v>0</v>
      </c>
      <c r="U5137" s="16" t="n">
        <v>189</v>
      </c>
      <c r="V5137" s="16">
        <f>ROUNDUP((T5137+U5137+2*'Read Me'!$B$13)*(1+'Read Me'!$B$12),-1)</f>
        <v/>
      </c>
      <c r="W5137" s="16">
        <f>V5137*N5137*O5137</f>
        <v/>
      </c>
      <c r="X5137" s="12">
        <f>IF(LEFT(I5137,2)="MV",2*N5137*IF(L5137="1/C",O5137,1),0)</f>
        <v/>
      </c>
      <c r="Y5137" s="12">
        <f>IF(OR(LEFT(K5137,4)="LVAX",LEFT(K5137,6)="MV15AX",LEFT(K5137,4)="CTAX",LEFT(K5137,2)="W|"),2*N5137*O5137,0)</f>
        <v/>
      </c>
      <c r="Z5137" s="12" t="inlineStr">
        <is>
          <t>VD 0.3 %</t>
        </is>
      </c>
      <c r="AA5137" s="12">
        <f>N5137*O5137</f>
        <v/>
      </c>
    </row>
    <row r="5138">
      <c r="A5138" s="12" t="inlineStr">
        <is>
          <t>I-P-0236</t>
        </is>
      </c>
      <c r="B5138" s="12" t="inlineStr">
        <is>
          <t>I</t>
        </is>
      </c>
      <c r="C5138" s="12" t="inlineStr">
        <is>
          <t>Modular / portable power</t>
        </is>
      </c>
      <c r="D5138" s="12" t="inlineStr">
        <is>
          <t>Motor 1 of 6, 22 kW</t>
        </is>
      </c>
      <c r="E5138" s="12" t="inlineStr"/>
      <c r="F5138" s="12" t="inlineStr">
        <is>
          <t>MOD-LV 480 V board + 480 V : 13.8 kV step-up</t>
        </is>
      </c>
      <c r="G5138" s="12" t="inlineStr">
        <is>
          <t>TM-1</t>
        </is>
      </c>
      <c r="H5138" s="12" t="inlineStr">
        <is>
          <t>TM-1: trailer-mounted aeroderivative GT (TM2500 class, ~35 MW)</t>
        </is>
      </c>
      <c r="I5138" s="12" t="inlineStr">
        <is>
          <t>LV 600 V</t>
        </is>
      </c>
      <c r="J5138" s="12" t="inlineStr">
        <is>
          <t>Type TC-ER 600 V 3/C Cu XHHW-2 + ground, PVC jacket</t>
        </is>
      </c>
      <c r="K5138" s="12" t="inlineStr">
        <is>
          <t>LV|3/C+G|4/0</t>
        </is>
      </c>
      <c r="L5138" s="12" t="inlineStr">
        <is>
          <t>3/C+G</t>
        </is>
      </c>
      <c r="M5138" s="12" t="inlineStr">
        <is>
          <t>4/0</t>
        </is>
      </c>
      <c r="N5138" s="12" t="n">
        <v>1</v>
      </c>
      <c r="O5138" s="12" t="n">
        <v>1</v>
      </c>
      <c r="P5138" s="12" t="n">
        <v>480</v>
      </c>
      <c r="Q5138" s="12" t="n">
        <v>22</v>
      </c>
      <c r="R5138" s="12" t="n">
        <v>31.1</v>
      </c>
      <c r="S5138" s="12" t="inlineStr">
        <is>
          <t>Duct bank</t>
        </is>
      </c>
      <c r="T5138" s="16" t="n">
        <v>3194</v>
      </c>
      <c r="U5138" s="16" t="n">
        <v>70</v>
      </c>
      <c r="V5138" s="16">
        <f>ROUNDUP((T5138+U5138+2*'Read Me'!$B$13)*(1+'Read Me'!$B$12),-1)</f>
        <v/>
      </c>
      <c r="W5138" s="16">
        <f>V5138*N5138*O5138</f>
        <v/>
      </c>
      <c r="X5138" s="12">
        <f>IF(LEFT(I5138,2)="MV",2*N5138*IF(L5138="1/C",O5138,1),0)</f>
        <v/>
      </c>
      <c r="Y5138" s="12">
        <f>IF(OR(LEFT(K5138,4)="LVAX",LEFT(K5138,6)="MV15AX",LEFT(K5138,4)="CTAX",LEFT(K5138,2)="W|"),2*N5138*O5138,0)</f>
        <v/>
      </c>
      <c r="Z5138" s="12" t="inlineStr">
        <is>
          <t>VD 2.5 %</t>
        </is>
      </c>
      <c r="AA5138" s="12">
        <f>N5138*O5138</f>
        <v/>
      </c>
    </row>
    <row r="5139">
      <c r="A5139" s="12" t="inlineStr">
        <is>
          <t>I-P-0237</t>
        </is>
      </c>
      <c r="B5139" s="12" t="inlineStr">
        <is>
          <t>I</t>
        </is>
      </c>
      <c r="C5139" s="12" t="inlineStr">
        <is>
          <t>Modular / portable power</t>
        </is>
      </c>
      <c r="D5139" s="12" t="inlineStr">
        <is>
          <t>Motor 2 of 6, 22 kW</t>
        </is>
      </c>
      <c r="E5139" s="12" t="inlineStr"/>
      <c r="F5139" s="12" t="inlineStr">
        <is>
          <t>MOD-LV 480 V board + 480 V : 13.8 kV step-up</t>
        </is>
      </c>
      <c r="G5139" s="12" t="inlineStr">
        <is>
          <t>TM-1</t>
        </is>
      </c>
      <c r="H5139" s="12" t="inlineStr">
        <is>
          <t>TM-1: trailer-mounted aeroderivative GT (TM2500 class, ~35 MW)</t>
        </is>
      </c>
      <c r="I5139" s="12" t="inlineStr">
        <is>
          <t>LV 600 V</t>
        </is>
      </c>
      <c r="J5139" s="12" t="inlineStr">
        <is>
          <t>Type TC-ER 600 V 3/C Cu XHHW-2 + ground, PVC jacket</t>
        </is>
      </c>
      <c r="K5139" s="12" t="inlineStr">
        <is>
          <t>LV|3/C+G|4/0</t>
        </is>
      </c>
      <c r="L5139" s="12" t="inlineStr">
        <is>
          <t>3/C+G</t>
        </is>
      </c>
      <c r="M5139" s="12" t="inlineStr">
        <is>
          <t>4/0</t>
        </is>
      </c>
      <c r="N5139" s="12" t="n">
        <v>1</v>
      </c>
      <c r="O5139" s="12" t="n">
        <v>1</v>
      </c>
      <c r="P5139" s="12" t="n">
        <v>480</v>
      </c>
      <c r="Q5139" s="12" t="n">
        <v>22</v>
      </c>
      <c r="R5139" s="12" t="n">
        <v>31.1</v>
      </c>
      <c r="S5139" s="12" t="inlineStr">
        <is>
          <t>Duct bank</t>
        </is>
      </c>
      <c r="T5139" s="16" t="n">
        <v>3194</v>
      </c>
      <c r="U5139" s="16" t="n">
        <v>70</v>
      </c>
      <c r="V5139" s="16">
        <f>ROUNDUP((T5139+U5139+2*'Read Me'!$B$13)*(1+'Read Me'!$B$12),-1)</f>
        <v/>
      </c>
      <c r="W5139" s="16">
        <f>V5139*N5139*O5139</f>
        <v/>
      </c>
      <c r="X5139" s="12">
        <f>IF(LEFT(I5139,2)="MV",2*N5139*IF(L5139="1/C",O5139,1),0)</f>
        <v/>
      </c>
      <c r="Y5139" s="12">
        <f>IF(OR(LEFT(K5139,4)="LVAX",LEFT(K5139,6)="MV15AX",LEFT(K5139,4)="CTAX",LEFT(K5139,2)="W|"),2*N5139*O5139,0)</f>
        <v/>
      </c>
      <c r="Z5139" s="12" t="inlineStr">
        <is>
          <t>VD 2.5 %</t>
        </is>
      </c>
      <c r="AA5139" s="12">
        <f>N5139*O5139</f>
        <v/>
      </c>
    </row>
    <row r="5140">
      <c r="A5140" s="12" t="inlineStr">
        <is>
          <t>I-P-0238</t>
        </is>
      </c>
      <c r="B5140" s="12" t="inlineStr">
        <is>
          <t>I</t>
        </is>
      </c>
      <c r="C5140" s="12" t="inlineStr">
        <is>
          <t>Modular / portable power</t>
        </is>
      </c>
      <c r="D5140" s="12" t="inlineStr">
        <is>
          <t>Motor 3 of 6, 22 kW</t>
        </is>
      </c>
      <c r="E5140" s="12" t="inlineStr"/>
      <c r="F5140" s="12" t="inlineStr">
        <is>
          <t>MOD-LV 480 V board + 480 V : 13.8 kV step-up</t>
        </is>
      </c>
      <c r="G5140" s="12" t="inlineStr">
        <is>
          <t>TM-1</t>
        </is>
      </c>
      <c r="H5140" s="12" t="inlineStr">
        <is>
          <t>TM-1: trailer-mounted aeroderivative GT (TM2500 class, ~35 MW)</t>
        </is>
      </c>
      <c r="I5140" s="12" t="inlineStr">
        <is>
          <t>LV 600 V</t>
        </is>
      </c>
      <c r="J5140" s="12" t="inlineStr">
        <is>
          <t>Type TC-ER 600 V 3/C Cu XHHW-2 + ground, PVC jacket</t>
        </is>
      </c>
      <c r="K5140" s="12" t="inlineStr">
        <is>
          <t>LV|3/C+G|4/0</t>
        </is>
      </c>
      <c r="L5140" s="12" t="inlineStr">
        <is>
          <t>3/C+G</t>
        </is>
      </c>
      <c r="M5140" s="12" t="inlineStr">
        <is>
          <t>4/0</t>
        </is>
      </c>
      <c r="N5140" s="12" t="n">
        <v>1</v>
      </c>
      <c r="O5140" s="12" t="n">
        <v>1</v>
      </c>
      <c r="P5140" s="12" t="n">
        <v>480</v>
      </c>
      <c r="Q5140" s="12" t="n">
        <v>22</v>
      </c>
      <c r="R5140" s="12" t="n">
        <v>31.1</v>
      </c>
      <c r="S5140" s="12" t="inlineStr">
        <is>
          <t>Duct bank</t>
        </is>
      </c>
      <c r="T5140" s="16" t="n">
        <v>3194</v>
      </c>
      <c r="U5140" s="16" t="n">
        <v>70</v>
      </c>
      <c r="V5140" s="16">
        <f>ROUNDUP((T5140+U5140+2*'Read Me'!$B$13)*(1+'Read Me'!$B$12),-1)</f>
        <v/>
      </c>
      <c r="W5140" s="16">
        <f>V5140*N5140*O5140</f>
        <v/>
      </c>
      <c r="X5140" s="12">
        <f>IF(LEFT(I5140,2)="MV",2*N5140*IF(L5140="1/C",O5140,1),0)</f>
        <v/>
      </c>
      <c r="Y5140" s="12">
        <f>IF(OR(LEFT(K5140,4)="LVAX",LEFT(K5140,6)="MV15AX",LEFT(K5140,4)="CTAX",LEFT(K5140,2)="W|"),2*N5140*O5140,0)</f>
        <v/>
      </c>
      <c r="Z5140" s="12" t="inlineStr">
        <is>
          <t>VD 2.5 %</t>
        </is>
      </c>
      <c r="AA5140" s="12">
        <f>N5140*O5140</f>
        <v/>
      </c>
    </row>
    <row r="5141">
      <c r="A5141" s="12" t="inlineStr">
        <is>
          <t>I-P-0239</t>
        </is>
      </c>
      <c r="B5141" s="12" t="inlineStr">
        <is>
          <t>I</t>
        </is>
      </c>
      <c r="C5141" s="12" t="inlineStr">
        <is>
          <t>Modular / portable power</t>
        </is>
      </c>
      <c r="D5141" s="12" t="inlineStr">
        <is>
          <t>Motor 4 of 6, 22 kW</t>
        </is>
      </c>
      <c r="E5141" s="12" t="inlineStr"/>
      <c r="F5141" s="12" t="inlineStr">
        <is>
          <t>MOD-LV 480 V board + 480 V : 13.8 kV step-up</t>
        </is>
      </c>
      <c r="G5141" s="12" t="inlineStr">
        <is>
          <t>TM-1</t>
        </is>
      </c>
      <c r="H5141" s="12" t="inlineStr">
        <is>
          <t>TM-1: trailer-mounted aeroderivative GT (TM2500 class, ~35 MW)</t>
        </is>
      </c>
      <c r="I5141" s="12" t="inlineStr">
        <is>
          <t>LV 600 V</t>
        </is>
      </c>
      <c r="J5141" s="12" t="inlineStr">
        <is>
          <t>Type TC-ER 600 V 3/C Cu XHHW-2 + ground, PVC jacket</t>
        </is>
      </c>
      <c r="K5141" s="12" t="inlineStr">
        <is>
          <t>LV|3/C+G|4/0</t>
        </is>
      </c>
      <c r="L5141" s="12" t="inlineStr">
        <is>
          <t>3/C+G</t>
        </is>
      </c>
      <c r="M5141" s="12" t="inlineStr">
        <is>
          <t>4/0</t>
        </is>
      </c>
      <c r="N5141" s="12" t="n">
        <v>1</v>
      </c>
      <c r="O5141" s="12" t="n">
        <v>1</v>
      </c>
      <c r="P5141" s="12" t="n">
        <v>480</v>
      </c>
      <c r="Q5141" s="12" t="n">
        <v>22</v>
      </c>
      <c r="R5141" s="12" t="n">
        <v>31.1</v>
      </c>
      <c r="S5141" s="12" t="inlineStr">
        <is>
          <t>Duct bank</t>
        </is>
      </c>
      <c r="T5141" s="16" t="n">
        <v>3194</v>
      </c>
      <c r="U5141" s="16" t="n">
        <v>70</v>
      </c>
      <c r="V5141" s="16">
        <f>ROUNDUP((T5141+U5141+2*'Read Me'!$B$13)*(1+'Read Me'!$B$12),-1)</f>
        <v/>
      </c>
      <c r="W5141" s="16">
        <f>V5141*N5141*O5141</f>
        <v/>
      </c>
      <c r="X5141" s="12">
        <f>IF(LEFT(I5141,2)="MV",2*N5141*IF(L5141="1/C",O5141,1),0)</f>
        <v/>
      </c>
      <c r="Y5141" s="12">
        <f>IF(OR(LEFT(K5141,4)="LVAX",LEFT(K5141,6)="MV15AX",LEFT(K5141,4)="CTAX",LEFT(K5141,2)="W|"),2*N5141*O5141,0)</f>
        <v/>
      </c>
      <c r="Z5141" s="12" t="inlineStr">
        <is>
          <t>VD 2.5 %</t>
        </is>
      </c>
      <c r="AA5141" s="12">
        <f>N5141*O5141</f>
        <v/>
      </c>
    </row>
    <row r="5142">
      <c r="A5142" s="12" t="inlineStr">
        <is>
          <t>I-P-0240</t>
        </is>
      </c>
      <c r="B5142" s="12" t="inlineStr">
        <is>
          <t>I</t>
        </is>
      </c>
      <c r="C5142" s="12" t="inlineStr">
        <is>
          <t>Modular / portable power</t>
        </is>
      </c>
      <c r="D5142" s="12" t="inlineStr">
        <is>
          <t>Motor 5 of 6, 22 kW</t>
        </is>
      </c>
      <c r="E5142" s="12" t="inlineStr"/>
      <c r="F5142" s="12" t="inlineStr">
        <is>
          <t>MOD-LV 480 V board + 480 V : 13.8 kV step-up</t>
        </is>
      </c>
      <c r="G5142" s="12" t="inlineStr">
        <is>
          <t>TM-1</t>
        </is>
      </c>
      <c r="H5142" s="12" t="inlineStr">
        <is>
          <t>TM-1: trailer-mounted aeroderivative GT (TM2500 class, ~35 MW)</t>
        </is>
      </c>
      <c r="I5142" s="12" t="inlineStr">
        <is>
          <t>LV 600 V</t>
        </is>
      </c>
      <c r="J5142" s="12" t="inlineStr">
        <is>
          <t>Type TC-ER 600 V 3/C Cu XHHW-2 + ground, PVC jacket</t>
        </is>
      </c>
      <c r="K5142" s="12" t="inlineStr">
        <is>
          <t>LV|3/C+G|4/0</t>
        </is>
      </c>
      <c r="L5142" s="12" t="inlineStr">
        <is>
          <t>3/C+G</t>
        </is>
      </c>
      <c r="M5142" s="12" t="inlineStr">
        <is>
          <t>4/0</t>
        </is>
      </c>
      <c r="N5142" s="12" t="n">
        <v>1</v>
      </c>
      <c r="O5142" s="12" t="n">
        <v>1</v>
      </c>
      <c r="P5142" s="12" t="n">
        <v>480</v>
      </c>
      <c r="Q5142" s="12" t="n">
        <v>22</v>
      </c>
      <c r="R5142" s="12" t="n">
        <v>31.1</v>
      </c>
      <c r="S5142" s="12" t="inlineStr">
        <is>
          <t>Duct bank</t>
        </is>
      </c>
      <c r="T5142" s="16" t="n">
        <v>3194</v>
      </c>
      <c r="U5142" s="16" t="n">
        <v>70</v>
      </c>
      <c r="V5142" s="16">
        <f>ROUNDUP((T5142+U5142+2*'Read Me'!$B$13)*(1+'Read Me'!$B$12),-1)</f>
        <v/>
      </c>
      <c r="W5142" s="16">
        <f>V5142*N5142*O5142</f>
        <v/>
      </c>
      <c r="X5142" s="12">
        <f>IF(LEFT(I5142,2)="MV",2*N5142*IF(L5142="1/C",O5142,1),0)</f>
        <v/>
      </c>
      <c r="Y5142" s="12">
        <f>IF(OR(LEFT(K5142,4)="LVAX",LEFT(K5142,6)="MV15AX",LEFT(K5142,4)="CTAX",LEFT(K5142,2)="W|"),2*N5142*O5142,0)</f>
        <v/>
      </c>
      <c r="Z5142" s="12" t="inlineStr">
        <is>
          <t>VD 2.5 %</t>
        </is>
      </c>
      <c r="AA5142" s="12">
        <f>N5142*O5142</f>
        <v/>
      </c>
    </row>
    <row r="5143">
      <c r="A5143" s="12" t="inlineStr">
        <is>
          <t>I-P-0241</t>
        </is>
      </c>
      <c r="B5143" s="12" t="inlineStr">
        <is>
          <t>I</t>
        </is>
      </c>
      <c r="C5143" s="12" t="inlineStr">
        <is>
          <t>Modular / portable power</t>
        </is>
      </c>
      <c r="D5143" s="12" t="inlineStr">
        <is>
          <t>Motor 6 of 6, 22 kW</t>
        </is>
      </c>
      <c r="E5143" s="12" t="inlineStr"/>
      <c r="F5143" s="12" t="inlineStr">
        <is>
          <t>MOD-LV 480 V board + 480 V : 13.8 kV step-up</t>
        </is>
      </c>
      <c r="G5143" s="12" t="inlineStr">
        <is>
          <t>TM-1</t>
        </is>
      </c>
      <c r="H5143" s="12" t="inlineStr">
        <is>
          <t>TM-1: trailer-mounted aeroderivative GT (TM2500 class, ~35 MW)</t>
        </is>
      </c>
      <c r="I5143" s="12" t="inlineStr">
        <is>
          <t>LV 600 V</t>
        </is>
      </c>
      <c r="J5143" s="12" t="inlineStr">
        <is>
          <t>Type TC-ER 600 V 3/C Cu XHHW-2 + ground, PVC jacket</t>
        </is>
      </c>
      <c r="K5143" s="12" t="inlineStr">
        <is>
          <t>LV|3/C+G|4/0</t>
        </is>
      </c>
      <c r="L5143" s="12" t="inlineStr">
        <is>
          <t>3/C+G</t>
        </is>
      </c>
      <c r="M5143" s="12" t="inlineStr">
        <is>
          <t>4/0</t>
        </is>
      </c>
      <c r="N5143" s="12" t="n">
        <v>1</v>
      </c>
      <c r="O5143" s="12" t="n">
        <v>1</v>
      </c>
      <c r="P5143" s="12" t="n">
        <v>480</v>
      </c>
      <c r="Q5143" s="12" t="n">
        <v>22</v>
      </c>
      <c r="R5143" s="12" t="n">
        <v>31.1</v>
      </c>
      <c r="S5143" s="12" t="inlineStr">
        <is>
          <t>Duct bank</t>
        </is>
      </c>
      <c r="T5143" s="16" t="n">
        <v>3194</v>
      </c>
      <c r="U5143" s="16" t="n">
        <v>70</v>
      </c>
      <c r="V5143" s="16">
        <f>ROUNDUP((T5143+U5143+2*'Read Me'!$B$13)*(1+'Read Me'!$B$12),-1)</f>
        <v/>
      </c>
      <c r="W5143" s="16">
        <f>V5143*N5143*O5143</f>
        <v/>
      </c>
      <c r="X5143" s="12">
        <f>IF(LEFT(I5143,2)="MV",2*N5143*IF(L5143="1/C",O5143,1),0)</f>
        <v/>
      </c>
      <c r="Y5143" s="12">
        <f>IF(OR(LEFT(K5143,4)="LVAX",LEFT(K5143,6)="MV15AX",LEFT(K5143,4)="CTAX",LEFT(K5143,2)="W|"),2*N5143*O5143,0)</f>
        <v/>
      </c>
      <c r="Z5143" s="12" t="inlineStr">
        <is>
          <t>VD 2.5 %</t>
        </is>
      </c>
      <c r="AA5143" s="12">
        <f>N5143*O5143</f>
        <v/>
      </c>
    </row>
    <row r="5144">
      <c r="A5144" s="12" t="inlineStr">
        <is>
          <t>I-P-0242</t>
        </is>
      </c>
      <c r="B5144" s="12" t="inlineStr">
        <is>
          <t>I</t>
        </is>
      </c>
      <c r="C5144" s="12" t="inlineStr">
        <is>
          <t>Modular / portable power</t>
        </is>
      </c>
      <c r="D5144" s="12" t="inlineStr">
        <is>
          <t>Motor 1 of 6, 22 kW</t>
        </is>
      </c>
      <c r="E5144" s="12" t="inlineStr"/>
      <c r="F5144" s="12" t="inlineStr">
        <is>
          <t>MOD-LV 480 V board + 480 V : 13.8 kV step-up</t>
        </is>
      </c>
      <c r="G5144" s="12" t="inlineStr">
        <is>
          <t>TM-2</t>
        </is>
      </c>
      <c r="H5144" s="12" t="inlineStr">
        <is>
          <t>TM-2: trailer-mounted aeroderivative GT (TM2500 class, ~35 MW)</t>
        </is>
      </c>
      <c r="I5144" s="12" t="inlineStr">
        <is>
          <t>LV 600 V</t>
        </is>
      </c>
      <c r="J5144" s="12" t="inlineStr">
        <is>
          <t>Type TC-ER 600 V 3/C Cu XHHW-2 + ground, PVC jacket</t>
        </is>
      </c>
      <c r="K5144" s="12" t="inlineStr">
        <is>
          <t>LV|3/C+G|4/0</t>
        </is>
      </c>
      <c r="L5144" s="12" t="inlineStr">
        <is>
          <t>3/C+G</t>
        </is>
      </c>
      <c r="M5144" s="12" t="inlineStr">
        <is>
          <t>4/0</t>
        </is>
      </c>
      <c r="N5144" s="12" t="n">
        <v>1</v>
      </c>
      <c r="O5144" s="12" t="n">
        <v>1</v>
      </c>
      <c r="P5144" s="12" t="n">
        <v>480</v>
      </c>
      <c r="Q5144" s="12" t="n">
        <v>22</v>
      </c>
      <c r="R5144" s="12" t="n">
        <v>31.1</v>
      </c>
      <c r="S5144" s="12" t="inlineStr">
        <is>
          <t>Duct bank</t>
        </is>
      </c>
      <c r="T5144" s="16" t="n">
        <v>3194</v>
      </c>
      <c r="U5144" s="16" t="n">
        <v>76</v>
      </c>
      <c r="V5144" s="16">
        <f>ROUNDUP((T5144+U5144+2*'Read Me'!$B$13)*(1+'Read Me'!$B$12),-1)</f>
        <v/>
      </c>
      <c r="W5144" s="16">
        <f>V5144*N5144*O5144</f>
        <v/>
      </c>
      <c r="X5144" s="12">
        <f>IF(LEFT(I5144,2)="MV",2*N5144*IF(L5144="1/C",O5144,1),0)</f>
        <v/>
      </c>
      <c r="Y5144" s="12">
        <f>IF(OR(LEFT(K5144,4)="LVAX",LEFT(K5144,6)="MV15AX",LEFT(K5144,4)="CTAX",LEFT(K5144,2)="W|"),2*N5144*O5144,0)</f>
        <v/>
      </c>
      <c r="Z5144" s="12" t="inlineStr">
        <is>
          <t>VD 2.5 %</t>
        </is>
      </c>
      <c r="AA5144" s="12">
        <f>N5144*O5144</f>
        <v/>
      </c>
    </row>
    <row r="5145">
      <c r="A5145" s="12" t="inlineStr">
        <is>
          <t>I-P-0243</t>
        </is>
      </c>
      <c r="B5145" s="12" t="inlineStr">
        <is>
          <t>I</t>
        </is>
      </c>
      <c r="C5145" s="12" t="inlineStr">
        <is>
          <t>Modular / portable power</t>
        </is>
      </c>
      <c r="D5145" s="12" t="inlineStr">
        <is>
          <t>Motor 2 of 6, 22 kW</t>
        </is>
      </c>
      <c r="E5145" s="12" t="inlineStr"/>
      <c r="F5145" s="12" t="inlineStr">
        <is>
          <t>MOD-LV 480 V board + 480 V : 13.8 kV step-up</t>
        </is>
      </c>
      <c r="G5145" s="12" t="inlineStr">
        <is>
          <t>TM-2</t>
        </is>
      </c>
      <c r="H5145" s="12" t="inlineStr">
        <is>
          <t>TM-2: trailer-mounted aeroderivative GT (TM2500 class, ~35 MW)</t>
        </is>
      </c>
      <c r="I5145" s="12" t="inlineStr">
        <is>
          <t>LV 600 V</t>
        </is>
      </c>
      <c r="J5145" s="12" t="inlineStr">
        <is>
          <t>Type TC-ER 600 V 3/C Cu XHHW-2 + ground, PVC jacket</t>
        </is>
      </c>
      <c r="K5145" s="12" t="inlineStr">
        <is>
          <t>LV|3/C+G|4/0</t>
        </is>
      </c>
      <c r="L5145" s="12" t="inlineStr">
        <is>
          <t>3/C+G</t>
        </is>
      </c>
      <c r="M5145" s="12" t="inlineStr">
        <is>
          <t>4/0</t>
        </is>
      </c>
      <c r="N5145" s="12" t="n">
        <v>1</v>
      </c>
      <c r="O5145" s="12" t="n">
        <v>1</v>
      </c>
      <c r="P5145" s="12" t="n">
        <v>480</v>
      </c>
      <c r="Q5145" s="12" t="n">
        <v>22</v>
      </c>
      <c r="R5145" s="12" t="n">
        <v>31.1</v>
      </c>
      <c r="S5145" s="12" t="inlineStr">
        <is>
          <t>Duct bank</t>
        </is>
      </c>
      <c r="T5145" s="16" t="n">
        <v>3194</v>
      </c>
      <c r="U5145" s="16" t="n">
        <v>76</v>
      </c>
      <c r="V5145" s="16">
        <f>ROUNDUP((T5145+U5145+2*'Read Me'!$B$13)*(1+'Read Me'!$B$12),-1)</f>
        <v/>
      </c>
      <c r="W5145" s="16">
        <f>V5145*N5145*O5145</f>
        <v/>
      </c>
      <c r="X5145" s="12">
        <f>IF(LEFT(I5145,2)="MV",2*N5145*IF(L5145="1/C",O5145,1),0)</f>
        <v/>
      </c>
      <c r="Y5145" s="12">
        <f>IF(OR(LEFT(K5145,4)="LVAX",LEFT(K5145,6)="MV15AX",LEFT(K5145,4)="CTAX",LEFT(K5145,2)="W|"),2*N5145*O5145,0)</f>
        <v/>
      </c>
      <c r="Z5145" s="12" t="inlineStr">
        <is>
          <t>VD 2.5 %</t>
        </is>
      </c>
      <c r="AA5145" s="12">
        <f>N5145*O5145</f>
        <v/>
      </c>
    </row>
    <row r="5146">
      <c r="A5146" s="12" t="inlineStr">
        <is>
          <t>I-P-0244</t>
        </is>
      </c>
      <c r="B5146" s="12" t="inlineStr">
        <is>
          <t>I</t>
        </is>
      </c>
      <c r="C5146" s="12" t="inlineStr">
        <is>
          <t>Modular / portable power</t>
        </is>
      </c>
      <c r="D5146" s="12" t="inlineStr">
        <is>
          <t>Motor 3 of 6, 22 kW</t>
        </is>
      </c>
      <c r="E5146" s="12" t="inlineStr"/>
      <c r="F5146" s="12" t="inlineStr">
        <is>
          <t>MOD-LV 480 V board + 480 V : 13.8 kV step-up</t>
        </is>
      </c>
      <c r="G5146" s="12" t="inlineStr">
        <is>
          <t>TM-2</t>
        </is>
      </c>
      <c r="H5146" s="12" t="inlineStr">
        <is>
          <t>TM-2: trailer-mounted aeroderivative GT (TM2500 class, ~35 MW)</t>
        </is>
      </c>
      <c r="I5146" s="12" t="inlineStr">
        <is>
          <t>LV 600 V</t>
        </is>
      </c>
      <c r="J5146" s="12" t="inlineStr">
        <is>
          <t>Type TC-ER 600 V 3/C Cu XHHW-2 + ground, PVC jacket</t>
        </is>
      </c>
      <c r="K5146" s="12" t="inlineStr">
        <is>
          <t>LV|3/C+G|4/0</t>
        </is>
      </c>
      <c r="L5146" s="12" t="inlineStr">
        <is>
          <t>3/C+G</t>
        </is>
      </c>
      <c r="M5146" s="12" t="inlineStr">
        <is>
          <t>4/0</t>
        </is>
      </c>
      <c r="N5146" s="12" t="n">
        <v>1</v>
      </c>
      <c r="O5146" s="12" t="n">
        <v>1</v>
      </c>
      <c r="P5146" s="12" t="n">
        <v>480</v>
      </c>
      <c r="Q5146" s="12" t="n">
        <v>22</v>
      </c>
      <c r="R5146" s="12" t="n">
        <v>31.1</v>
      </c>
      <c r="S5146" s="12" t="inlineStr">
        <is>
          <t>Duct bank</t>
        </is>
      </c>
      <c r="T5146" s="16" t="n">
        <v>3194</v>
      </c>
      <c r="U5146" s="16" t="n">
        <v>76</v>
      </c>
      <c r="V5146" s="16">
        <f>ROUNDUP((T5146+U5146+2*'Read Me'!$B$13)*(1+'Read Me'!$B$12),-1)</f>
        <v/>
      </c>
      <c r="W5146" s="16">
        <f>V5146*N5146*O5146</f>
        <v/>
      </c>
      <c r="X5146" s="12">
        <f>IF(LEFT(I5146,2)="MV",2*N5146*IF(L5146="1/C",O5146,1),0)</f>
        <v/>
      </c>
      <c r="Y5146" s="12">
        <f>IF(OR(LEFT(K5146,4)="LVAX",LEFT(K5146,6)="MV15AX",LEFT(K5146,4)="CTAX",LEFT(K5146,2)="W|"),2*N5146*O5146,0)</f>
        <v/>
      </c>
      <c r="Z5146" s="12" t="inlineStr">
        <is>
          <t>VD 2.5 %</t>
        </is>
      </c>
      <c r="AA5146" s="12">
        <f>N5146*O5146</f>
        <v/>
      </c>
    </row>
    <row r="5147">
      <c r="A5147" s="12" t="inlineStr">
        <is>
          <t>I-P-0245</t>
        </is>
      </c>
      <c r="B5147" s="12" t="inlineStr">
        <is>
          <t>I</t>
        </is>
      </c>
      <c r="C5147" s="12" t="inlineStr">
        <is>
          <t>Modular / portable power</t>
        </is>
      </c>
      <c r="D5147" s="12" t="inlineStr">
        <is>
          <t>Motor 4 of 6, 22 kW</t>
        </is>
      </c>
      <c r="E5147" s="12" t="inlineStr"/>
      <c r="F5147" s="12" t="inlineStr">
        <is>
          <t>MOD-LV 480 V board + 480 V : 13.8 kV step-up</t>
        </is>
      </c>
      <c r="G5147" s="12" t="inlineStr">
        <is>
          <t>TM-2</t>
        </is>
      </c>
      <c r="H5147" s="12" t="inlineStr">
        <is>
          <t>TM-2: trailer-mounted aeroderivative GT (TM2500 class, ~35 MW)</t>
        </is>
      </c>
      <c r="I5147" s="12" t="inlineStr">
        <is>
          <t>LV 600 V</t>
        </is>
      </c>
      <c r="J5147" s="12" t="inlineStr">
        <is>
          <t>Type TC-ER 600 V 3/C Cu XHHW-2 + ground, PVC jacket</t>
        </is>
      </c>
      <c r="K5147" s="12" t="inlineStr">
        <is>
          <t>LV|3/C+G|4/0</t>
        </is>
      </c>
      <c r="L5147" s="12" t="inlineStr">
        <is>
          <t>3/C+G</t>
        </is>
      </c>
      <c r="M5147" s="12" t="inlineStr">
        <is>
          <t>4/0</t>
        </is>
      </c>
      <c r="N5147" s="12" t="n">
        <v>1</v>
      </c>
      <c r="O5147" s="12" t="n">
        <v>1</v>
      </c>
      <c r="P5147" s="12" t="n">
        <v>480</v>
      </c>
      <c r="Q5147" s="12" t="n">
        <v>22</v>
      </c>
      <c r="R5147" s="12" t="n">
        <v>31.1</v>
      </c>
      <c r="S5147" s="12" t="inlineStr">
        <is>
          <t>Duct bank</t>
        </is>
      </c>
      <c r="T5147" s="16" t="n">
        <v>3194</v>
      </c>
      <c r="U5147" s="16" t="n">
        <v>76</v>
      </c>
      <c r="V5147" s="16">
        <f>ROUNDUP((T5147+U5147+2*'Read Me'!$B$13)*(1+'Read Me'!$B$12),-1)</f>
        <v/>
      </c>
      <c r="W5147" s="16">
        <f>V5147*N5147*O5147</f>
        <v/>
      </c>
      <c r="X5147" s="12">
        <f>IF(LEFT(I5147,2)="MV",2*N5147*IF(L5147="1/C",O5147,1),0)</f>
        <v/>
      </c>
      <c r="Y5147" s="12">
        <f>IF(OR(LEFT(K5147,4)="LVAX",LEFT(K5147,6)="MV15AX",LEFT(K5147,4)="CTAX",LEFT(K5147,2)="W|"),2*N5147*O5147,0)</f>
        <v/>
      </c>
      <c r="Z5147" s="12" t="inlineStr">
        <is>
          <t>VD 2.5 %</t>
        </is>
      </c>
      <c r="AA5147" s="12">
        <f>N5147*O5147</f>
        <v/>
      </c>
    </row>
    <row r="5148">
      <c r="A5148" s="12" t="inlineStr">
        <is>
          <t>I-P-0246</t>
        </is>
      </c>
      <c r="B5148" s="12" t="inlineStr">
        <is>
          <t>I</t>
        </is>
      </c>
      <c r="C5148" s="12" t="inlineStr">
        <is>
          <t>Modular / portable power</t>
        </is>
      </c>
      <c r="D5148" s="12" t="inlineStr">
        <is>
          <t>Motor 5 of 6, 22 kW</t>
        </is>
      </c>
      <c r="E5148" s="12" t="inlineStr"/>
      <c r="F5148" s="12" t="inlineStr">
        <is>
          <t>MOD-LV 480 V board + 480 V : 13.8 kV step-up</t>
        </is>
      </c>
      <c r="G5148" s="12" t="inlineStr">
        <is>
          <t>TM-2</t>
        </is>
      </c>
      <c r="H5148" s="12" t="inlineStr">
        <is>
          <t>TM-2: trailer-mounted aeroderivative GT (TM2500 class, ~35 MW)</t>
        </is>
      </c>
      <c r="I5148" s="12" t="inlineStr">
        <is>
          <t>LV 600 V</t>
        </is>
      </c>
      <c r="J5148" s="12" t="inlineStr">
        <is>
          <t>Type TC-ER 600 V 3/C Cu XHHW-2 + ground, PVC jacket</t>
        </is>
      </c>
      <c r="K5148" s="12" t="inlineStr">
        <is>
          <t>LV|3/C+G|4/0</t>
        </is>
      </c>
      <c r="L5148" s="12" t="inlineStr">
        <is>
          <t>3/C+G</t>
        </is>
      </c>
      <c r="M5148" s="12" t="inlineStr">
        <is>
          <t>4/0</t>
        </is>
      </c>
      <c r="N5148" s="12" t="n">
        <v>1</v>
      </c>
      <c r="O5148" s="12" t="n">
        <v>1</v>
      </c>
      <c r="P5148" s="12" t="n">
        <v>480</v>
      </c>
      <c r="Q5148" s="12" t="n">
        <v>22</v>
      </c>
      <c r="R5148" s="12" t="n">
        <v>31.1</v>
      </c>
      <c r="S5148" s="12" t="inlineStr">
        <is>
          <t>Duct bank</t>
        </is>
      </c>
      <c r="T5148" s="16" t="n">
        <v>3194</v>
      </c>
      <c r="U5148" s="16" t="n">
        <v>76</v>
      </c>
      <c r="V5148" s="16">
        <f>ROUNDUP((T5148+U5148+2*'Read Me'!$B$13)*(1+'Read Me'!$B$12),-1)</f>
        <v/>
      </c>
      <c r="W5148" s="16">
        <f>V5148*N5148*O5148</f>
        <v/>
      </c>
      <c r="X5148" s="12">
        <f>IF(LEFT(I5148,2)="MV",2*N5148*IF(L5148="1/C",O5148,1),0)</f>
        <v/>
      </c>
      <c r="Y5148" s="12">
        <f>IF(OR(LEFT(K5148,4)="LVAX",LEFT(K5148,6)="MV15AX",LEFT(K5148,4)="CTAX",LEFT(K5148,2)="W|"),2*N5148*O5148,0)</f>
        <v/>
      </c>
      <c r="Z5148" s="12" t="inlineStr">
        <is>
          <t>VD 2.5 %</t>
        </is>
      </c>
      <c r="AA5148" s="12">
        <f>N5148*O5148</f>
        <v/>
      </c>
    </row>
    <row r="5149">
      <c r="A5149" s="12" t="inlineStr">
        <is>
          <t>I-P-0247</t>
        </is>
      </c>
      <c r="B5149" s="12" t="inlineStr">
        <is>
          <t>I</t>
        </is>
      </c>
      <c r="C5149" s="12" t="inlineStr">
        <is>
          <t>Modular / portable power</t>
        </is>
      </c>
      <c r="D5149" s="12" t="inlineStr">
        <is>
          <t>Motor 6 of 6, 22 kW</t>
        </is>
      </c>
      <c r="E5149" s="12" t="inlineStr"/>
      <c r="F5149" s="12" t="inlineStr">
        <is>
          <t>MOD-LV 480 V board + 480 V : 13.8 kV step-up</t>
        </is>
      </c>
      <c r="G5149" s="12" t="inlineStr">
        <is>
          <t>TM-2</t>
        </is>
      </c>
      <c r="H5149" s="12" t="inlineStr">
        <is>
          <t>TM-2: trailer-mounted aeroderivative GT (TM2500 class, ~35 MW)</t>
        </is>
      </c>
      <c r="I5149" s="12" t="inlineStr">
        <is>
          <t>LV 600 V</t>
        </is>
      </c>
      <c r="J5149" s="12" t="inlineStr">
        <is>
          <t>Type TC-ER 600 V 3/C Cu XHHW-2 + ground, PVC jacket</t>
        </is>
      </c>
      <c r="K5149" s="12" t="inlineStr">
        <is>
          <t>LV|3/C+G|4/0</t>
        </is>
      </c>
      <c r="L5149" s="12" t="inlineStr">
        <is>
          <t>3/C+G</t>
        </is>
      </c>
      <c r="M5149" s="12" t="inlineStr">
        <is>
          <t>4/0</t>
        </is>
      </c>
      <c r="N5149" s="12" t="n">
        <v>1</v>
      </c>
      <c r="O5149" s="12" t="n">
        <v>1</v>
      </c>
      <c r="P5149" s="12" t="n">
        <v>480</v>
      </c>
      <c r="Q5149" s="12" t="n">
        <v>22</v>
      </c>
      <c r="R5149" s="12" t="n">
        <v>31.1</v>
      </c>
      <c r="S5149" s="12" t="inlineStr">
        <is>
          <t>Duct bank</t>
        </is>
      </c>
      <c r="T5149" s="16" t="n">
        <v>3194</v>
      </c>
      <c r="U5149" s="16" t="n">
        <v>76</v>
      </c>
      <c r="V5149" s="16">
        <f>ROUNDUP((T5149+U5149+2*'Read Me'!$B$13)*(1+'Read Me'!$B$12),-1)</f>
        <v/>
      </c>
      <c r="W5149" s="16">
        <f>V5149*N5149*O5149</f>
        <v/>
      </c>
      <c r="X5149" s="12">
        <f>IF(LEFT(I5149,2)="MV",2*N5149*IF(L5149="1/C",O5149,1),0)</f>
        <v/>
      </c>
      <c r="Y5149" s="12">
        <f>IF(OR(LEFT(K5149,4)="LVAX",LEFT(K5149,6)="MV15AX",LEFT(K5149,4)="CTAX",LEFT(K5149,2)="W|"),2*N5149*O5149,0)</f>
        <v/>
      </c>
      <c r="Z5149" s="12" t="inlineStr">
        <is>
          <t>VD 2.5 %</t>
        </is>
      </c>
      <c r="AA5149" s="12">
        <f>N5149*O5149</f>
        <v/>
      </c>
    </row>
    <row r="5150">
      <c r="A5150" s="12" t="inlineStr">
        <is>
          <t>I-P-0248</t>
        </is>
      </c>
      <c r="B5150" s="12" t="inlineStr">
        <is>
          <t>I</t>
        </is>
      </c>
      <c r="C5150" s="12" t="inlineStr">
        <is>
          <t>Modular / portable power</t>
        </is>
      </c>
      <c r="D5150" s="12" t="inlineStr">
        <is>
          <t>LV power feeder</t>
        </is>
      </c>
      <c r="E5150" s="12" t="inlineStr"/>
      <c r="F5150" s="12" t="inlineStr">
        <is>
          <t>MOD-LV 480 V board + 480 V : 13.8 kV step-up</t>
        </is>
      </c>
      <c r="G5150" s="12" t="inlineStr"/>
      <c r="H5150" s="12" t="inlineStr">
        <is>
          <t>Water-injection skid</t>
        </is>
      </c>
      <c r="I5150" s="12" t="inlineStr">
        <is>
          <t>LV 600 V</t>
        </is>
      </c>
      <c r="J5150" s="12" t="inlineStr">
        <is>
          <t>Type TC-ER 600 V 3/C Cu XHHW-2 + ground, PVC jacket</t>
        </is>
      </c>
      <c r="K5150" s="12" t="inlineStr">
        <is>
          <t>LV|3/C+G|3/0</t>
        </is>
      </c>
      <c r="L5150" s="12" t="inlineStr">
        <is>
          <t>3/C+G</t>
        </is>
      </c>
      <c r="M5150" s="12" t="inlineStr">
        <is>
          <t>3/0</t>
        </is>
      </c>
      <c r="N5150" s="12" t="n">
        <v>1</v>
      </c>
      <c r="O5150" s="12" t="n">
        <v>1</v>
      </c>
      <c r="P5150" s="12" t="n">
        <v>480</v>
      </c>
      <c r="Q5150" s="12" t="n">
        <v>15</v>
      </c>
      <c r="R5150" s="12" t="n">
        <v>21.2</v>
      </c>
      <c r="S5150" s="12" t="inlineStr">
        <is>
          <t>HV duct bank</t>
        </is>
      </c>
      <c r="T5150" s="16" t="n">
        <v>4262</v>
      </c>
      <c r="U5150" s="16" t="n">
        <v>89</v>
      </c>
      <c r="V5150" s="16">
        <f>ROUNDUP((T5150+U5150+2*'Read Me'!$B$13)*(1+'Read Me'!$B$12),-1)</f>
        <v/>
      </c>
      <c r="W5150" s="16">
        <f>V5150*N5150*O5150</f>
        <v/>
      </c>
      <c r="X5150" s="12">
        <f>IF(LEFT(I5150,2)="MV",2*N5150*IF(L5150="1/C",O5150,1),0)</f>
        <v/>
      </c>
      <c r="Y5150" s="12">
        <f>IF(OR(LEFT(K5150,4)="LVAX",LEFT(K5150,6)="MV15AX",LEFT(K5150,4)="CTAX",LEFT(K5150,2)="W|"),2*N5150*O5150,0)</f>
        <v/>
      </c>
      <c r="Z5150" s="12" t="inlineStr">
        <is>
          <t>VD 2.8 %</t>
        </is>
      </c>
      <c r="AA5150" s="12">
        <f>N5150*O5150</f>
        <v/>
      </c>
    </row>
    <row r="5151">
      <c r="A5151" s="12" t="inlineStr">
        <is>
          <t>I-MV-0001</t>
        </is>
      </c>
      <c r="B5151" s="12" t="inlineStr">
        <is>
          <t>I</t>
        </is>
      </c>
      <c r="C5151" s="12" t="inlineStr">
        <is>
          <t>Modular / portable power</t>
        </is>
      </c>
      <c r="D5151" s="12" t="inlineStr">
        <is>
          <t>Modular-yard fuel-gas compressor</t>
        </is>
      </c>
      <c r="E5151" s="12" t="inlineStr">
        <is>
          <t>MOD-EH</t>
        </is>
      </c>
      <c r="F5151" s="12" t="inlineStr">
        <is>
          <t>MOD-EH: 13.8 kV modular collector e-house</t>
        </is>
      </c>
      <c r="G5151" s="12" t="inlineStr"/>
      <c r="H5151" s="12" t="inlineStr">
        <is>
          <t>Fuel-gas compressors 3 x 100% electric</t>
        </is>
      </c>
      <c r="I5151" s="12" t="inlineStr">
        <is>
          <t>MV 15 kV</t>
        </is>
      </c>
      <c r="J5151" s="12" t="inlineStr">
        <is>
          <t>ARMOR-X MC-HL / MV-105 15 kV 3/C Cu, EPR 133%, tape shield, gnd, CWA, red PVC</t>
        </is>
      </c>
      <c r="K5151" s="12" t="inlineStr">
        <is>
          <t>MV15AX|3/C|2</t>
        </is>
      </c>
      <c r="L5151" s="12" t="inlineStr">
        <is>
          <t>3/C</t>
        </is>
      </c>
      <c r="M5151" s="12" t="inlineStr">
        <is>
          <t>2</t>
        </is>
      </c>
      <c r="N5151" s="12" t="n">
        <v>1</v>
      </c>
      <c r="O5151" s="12" t="n">
        <v>1</v>
      </c>
      <c r="P5151" s="12" t="n">
        <v>13800</v>
      </c>
      <c r="Q5151" s="12" t="n">
        <v>1500</v>
      </c>
      <c r="R5151" s="12" t="n">
        <v>70</v>
      </c>
      <c r="S5151" s="12" t="inlineStr">
        <is>
          <t>HV duct bank</t>
        </is>
      </c>
      <c r="T5151" s="16" t="n">
        <v>4010</v>
      </c>
      <c r="U5151" s="16" t="n">
        <v>38</v>
      </c>
      <c r="V5151" s="16">
        <f>ROUNDUP((T5151+U5151+2*'Read Me'!$B$13)*(1+'Read Me'!$B$12),-1)</f>
        <v/>
      </c>
      <c r="W5151" s="16">
        <f>V5151*N5151*O5151</f>
        <v/>
      </c>
      <c r="X5151" s="12">
        <f>IF(LEFT(I5151,2)="MV",2*N5151*IF(L5151="1/C",O5151,1),0)</f>
        <v/>
      </c>
      <c r="Y5151" s="12">
        <f>IF(OR(LEFT(K5151,4)="LVAX",LEFT(K5151,6)="MV15AX",LEFT(K5151,4)="CTAX",LEFT(K5151,2)="W|"),2*N5151*O5151,0)</f>
        <v/>
      </c>
      <c r="Z5151" s="12" t="inlineStr"/>
      <c r="AA5151" s="12">
        <f>N5151*O5151</f>
        <v/>
      </c>
    </row>
    <row r="5152">
      <c r="A5152" s="12" t="inlineStr">
        <is>
          <t>I-MV-0002</t>
        </is>
      </c>
      <c r="B5152" s="12" t="inlineStr">
        <is>
          <t>I</t>
        </is>
      </c>
      <c r="C5152" s="12" t="inlineStr">
        <is>
          <t>Modular / portable power</t>
        </is>
      </c>
      <c r="D5152" s="12" t="inlineStr">
        <is>
          <t>Modular-yard fuel-gas compressor</t>
        </is>
      </c>
      <c r="E5152" s="12" t="inlineStr">
        <is>
          <t>MOD-EH</t>
        </is>
      </c>
      <c r="F5152" s="12" t="inlineStr">
        <is>
          <t>MOD-EH: 13.8 kV modular collector e-house</t>
        </is>
      </c>
      <c r="G5152" s="12" t="inlineStr"/>
      <c r="H5152" s="12" t="inlineStr">
        <is>
          <t>Fuel-gas compressors 3 x 100% electric</t>
        </is>
      </c>
      <c r="I5152" s="12" t="inlineStr">
        <is>
          <t>MV 15 kV</t>
        </is>
      </c>
      <c r="J5152" s="12" t="inlineStr">
        <is>
          <t>ARMOR-X MC-HL / MV-105 15 kV 3/C Cu, EPR 133%, tape shield, gnd, CWA, red PVC</t>
        </is>
      </c>
      <c r="K5152" s="12" t="inlineStr">
        <is>
          <t>MV15AX|3/C|2</t>
        </is>
      </c>
      <c r="L5152" s="12" t="inlineStr">
        <is>
          <t>3/C</t>
        </is>
      </c>
      <c r="M5152" s="12" t="inlineStr">
        <is>
          <t>2</t>
        </is>
      </c>
      <c r="N5152" s="12" t="n">
        <v>1</v>
      </c>
      <c r="O5152" s="12" t="n">
        <v>1</v>
      </c>
      <c r="P5152" s="12" t="n">
        <v>13800</v>
      </c>
      <c r="Q5152" s="12" t="n">
        <v>1500</v>
      </c>
      <c r="R5152" s="12" t="n">
        <v>70</v>
      </c>
      <c r="S5152" s="12" t="inlineStr">
        <is>
          <t>HV duct bank</t>
        </is>
      </c>
      <c r="T5152" s="16" t="n">
        <v>4010</v>
      </c>
      <c r="U5152" s="16" t="n">
        <v>38</v>
      </c>
      <c r="V5152" s="16">
        <f>ROUNDUP((T5152+U5152+2*'Read Me'!$B$13)*(1+'Read Me'!$B$12),-1)</f>
        <v/>
      </c>
      <c r="W5152" s="16">
        <f>V5152*N5152*O5152</f>
        <v/>
      </c>
      <c r="X5152" s="12">
        <f>IF(LEFT(I5152,2)="MV",2*N5152*IF(L5152="1/C",O5152,1),0)</f>
        <v/>
      </c>
      <c r="Y5152" s="12">
        <f>IF(OR(LEFT(K5152,4)="LVAX",LEFT(K5152,6)="MV15AX",LEFT(K5152,4)="CTAX",LEFT(K5152,2)="W|"),2*N5152*O5152,0)</f>
        <v/>
      </c>
      <c r="Z5152" s="12" t="inlineStr"/>
      <c r="AA5152" s="12">
        <f>N5152*O5152</f>
        <v/>
      </c>
    </row>
    <row r="5153">
      <c r="A5153" s="12" t="inlineStr">
        <is>
          <t>I-MV-0003</t>
        </is>
      </c>
      <c r="B5153" s="12" t="inlineStr">
        <is>
          <t>I</t>
        </is>
      </c>
      <c r="C5153" s="12" t="inlineStr">
        <is>
          <t>Modular / portable power</t>
        </is>
      </c>
      <c r="D5153" s="12" t="inlineStr">
        <is>
          <t>Modular-yard fuel-gas compressor</t>
        </is>
      </c>
      <c r="E5153" s="12" t="inlineStr">
        <is>
          <t>MOD-EH</t>
        </is>
      </c>
      <c r="F5153" s="12" t="inlineStr">
        <is>
          <t>MOD-EH: 13.8 kV modular collector e-house</t>
        </is>
      </c>
      <c r="G5153" s="12" t="inlineStr"/>
      <c r="H5153" s="12" t="inlineStr">
        <is>
          <t>Fuel-gas compressors 3 x 100% electric</t>
        </is>
      </c>
      <c r="I5153" s="12" t="inlineStr">
        <is>
          <t>MV 15 kV</t>
        </is>
      </c>
      <c r="J5153" s="12" t="inlineStr">
        <is>
          <t>ARMOR-X MC-HL / MV-105 15 kV 3/C Cu, EPR 133%, tape shield, gnd, CWA, red PVC</t>
        </is>
      </c>
      <c r="K5153" s="12" t="inlineStr">
        <is>
          <t>MV15AX|3/C|2</t>
        </is>
      </c>
      <c r="L5153" s="12" t="inlineStr">
        <is>
          <t>3/C</t>
        </is>
      </c>
      <c r="M5153" s="12" t="inlineStr">
        <is>
          <t>2</t>
        </is>
      </c>
      <c r="N5153" s="12" t="n">
        <v>1</v>
      </c>
      <c r="O5153" s="12" t="n">
        <v>1</v>
      </c>
      <c r="P5153" s="12" t="n">
        <v>13800</v>
      </c>
      <c r="Q5153" s="12" t="n">
        <v>1500</v>
      </c>
      <c r="R5153" s="12" t="n">
        <v>70</v>
      </c>
      <c r="S5153" s="12" t="inlineStr">
        <is>
          <t>HV duct bank</t>
        </is>
      </c>
      <c r="T5153" s="16" t="n">
        <v>4010</v>
      </c>
      <c r="U5153" s="16" t="n">
        <v>38</v>
      </c>
      <c r="V5153" s="16">
        <f>ROUNDUP((T5153+U5153+2*'Read Me'!$B$13)*(1+'Read Me'!$B$12),-1)</f>
        <v/>
      </c>
      <c r="W5153" s="16">
        <f>V5153*N5153*O5153</f>
        <v/>
      </c>
      <c r="X5153" s="12">
        <f>IF(LEFT(I5153,2)="MV",2*N5153*IF(L5153="1/C",O5153,1),0)</f>
        <v/>
      </c>
      <c r="Y5153" s="12">
        <f>IF(OR(LEFT(K5153,4)="LVAX",LEFT(K5153,6)="MV15AX",LEFT(K5153,4)="CTAX",LEFT(K5153,2)="W|"),2*N5153*O5153,0)</f>
        <v/>
      </c>
      <c r="Z5153" s="12" t="inlineStr"/>
      <c r="AA5153" s="12">
        <f>N5153*O5153</f>
        <v/>
      </c>
    </row>
    <row r="5154">
      <c r="A5154" s="12" t="inlineStr">
        <is>
          <t>I-MV-0004</t>
        </is>
      </c>
      <c r="B5154" s="12" t="inlineStr">
        <is>
          <t>I</t>
        </is>
      </c>
      <c r="C5154" s="12" t="inlineStr">
        <is>
          <t>Modular / portable power</t>
        </is>
      </c>
      <c r="D5154" s="12" t="inlineStr">
        <is>
          <t>SC-1 PCM to MOD-EH</t>
        </is>
      </c>
      <c r="E5154" s="12" t="inlineStr"/>
      <c r="F5154" s="12" t="inlineStr">
        <is>
          <t>SC-1 PCM + 15 kV GCB</t>
        </is>
      </c>
      <c r="G5154" s="12" t="inlineStr">
        <is>
          <t>MOD-EH</t>
        </is>
      </c>
      <c r="H5154" s="12" t="inlineStr">
        <is>
          <t>MOD-EH: 13.8 kV modular collector e-house</t>
        </is>
      </c>
      <c r="I5154" s="12" t="inlineStr">
        <is>
          <t>MV 15 kV</t>
        </is>
      </c>
      <c r="J5154" s="12" t="inlineStr">
        <is>
          <t>MV-105 15 kV 1/C Cu, EPR 133%, Cu tape shield, PVC jacket (triplexed)</t>
        </is>
      </c>
      <c r="K5154" s="12" t="inlineStr">
        <is>
          <t>MV15|1/C|750</t>
        </is>
      </c>
      <c r="L5154" s="12" t="inlineStr">
        <is>
          <t>1/C</t>
        </is>
      </c>
      <c r="M5154" s="12" t="inlineStr">
        <is>
          <t>750 kcmil</t>
        </is>
      </c>
      <c r="N5154" s="12" t="n">
        <v>5</v>
      </c>
      <c r="O5154" s="12" t="n">
        <v>3</v>
      </c>
      <c r="P5154" s="12" t="n">
        <v>13800</v>
      </c>
      <c r="Q5154" s="12" t="n">
        <v>50000</v>
      </c>
      <c r="R5154" s="12" t="n">
        <v>2092</v>
      </c>
      <c r="S5154" s="12" t="inlineStr">
        <is>
          <t>Duct bank</t>
        </is>
      </c>
      <c r="T5154" s="16" t="n">
        <v>390</v>
      </c>
      <c r="U5154" s="16" t="n">
        <v>32</v>
      </c>
      <c r="V5154" s="16">
        <f>ROUNDUP((T5154+U5154+2*'Read Me'!$B$13)*(1+'Read Me'!$B$12),-1)</f>
        <v/>
      </c>
      <c r="W5154" s="16">
        <f>V5154*N5154*O5154</f>
        <v/>
      </c>
      <c r="X5154" s="12">
        <f>IF(LEFT(I5154,2)="MV",2*N5154*IF(L5154="1/C",O5154,1),0)</f>
        <v/>
      </c>
      <c r="Y5154" s="12">
        <f>IF(OR(LEFT(K5154,4)="LVAX",LEFT(K5154,6)="MV15AX",LEFT(K5154,4)="CTAX",LEFT(K5154,2)="W|"),2*N5154*O5154,0)</f>
        <v/>
      </c>
      <c r="Z5154" s="12" t="inlineStr"/>
      <c r="AA5154" s="12">
        <f>N5154*O5154</f>
        <v/>
      </c>
    </row>
    <row r="5155">
      <c r="A5155" s="12" t="inlineStr">
        <is>
          <t>I-MV-0005</t>
        </is>
      </c>
      <c r="B5155" s="12" t="inlineStr">
        <is>
          <t>I</t>
        </is>
      </c>
      <c r="C5155" s="12" t="inlineStr">
        <is>
          <t>Modular / portable power</t>
        </is>
      </c>
      <c r="D5155" s="12" t="inlineStr">
        <is>
          <t>SC-2 PCM to MOD-EH</t>
        </is>
      </c>
      <c r="E5155" s="12" t="inlineStr"/>
      <c r="F5155" s="12" t="inlineStr">
        <is>
          <t>SC-2 PCM + 15 kV GCB</t>
        </is>
      </c>
      <c r="G5155" s="12" t="inlineStr">
        <is>
          <t>MOD-EH</t>
        </is>
      </c>
      <c r="H5155" s="12" t="inlineStr">
        <is>
          <t>MOD-EH: 13.8 kV modular collector e-house</t>
        </is>
      </c>
      <c r="I5155" s="12" t="inlineStr">
        <is>
          <t>MV 15 kV</t>
        </is>
      </c>
      <c r="J5155" s="12" t="inlineStr">
        <is>
          <t>MV-105 15 kV 1/C Cu, EPR 133%, Cu tape shield, PVC jacket (triplexed)</t>
        </is>
      </c>
      <c r="K5155" s="12" t="inlineStr">
        <is>
          <t>MV15|1/C|750</t>
        </is>
      </c>
      <c r="L5155" s="12" t="inlineStr">
        <is>
          <t>1/C</t>
        </is>
      </c>
      <c r="M5155" s="12" t="inlineStr">
        <is>
          <t>750 kcmil</t>
        </is>
      </c>
      <c r="N5155" s="12" t="n">
        <v>5</v>
      </c>
      <c r="O5155" s="12" t="n">
        <v>3</v>
      </c>
      <c r="P5155" s="12" t="n">
        <v>13800</v>
      </c>
      <c r="Q5155" s="12" t="n">
        <v>50000</v>
      </c>
      <c r="R5155" s="12" t="n">
        <v>2092</v>
      </c>
      <c r="S5155" s="12" t="inlineStr">
        <is>
          <t>HV duct bank</t>
        </is>
      </c>
      <c r="T5155" s="16" t="n">
        <v>4028</v>
      </c>
      <c r="U5155" s="16" t="n">
        <v>38</v>
      </c>
      <c r="V5155" s="16">
        <f>ROUNDUP((T5155+U5155+2*'Read Me'!$B$13)*(1+'Read Me'!$B$12),-1)</f>
        <v/>
      </c>
      <c r="W5155" s="16">
        <f>V5155*N5155*O5155</f>
        <v/>
      </c>
      <c r="X5155" s="12">
        <f>IF(LEFT(I5155,2)="MV",2*N5155*IF(L5155="1/C",O5155,1),0)</f>
        <v/>
      </c>
      <c r="Y5155" s="12">
        <f>IF(OR(LEFT(K5155,4)="LVAX",LEFT(K5155,6)="MV15AX",LEFT(K5155,4)="CTAX",LEFT(K5155,2)="W|"),2*N5155*O5155,0)</f>
        <v/>
      </c>
      <c r="Z5155" s="12" t="inlineStr"/>
      <c r="AA5155" s="12">
        <f>N5155*O5155</f>
        <v/>
      </c>
    </row>
    <row r="5156">
      <c r="A5156" s="12" t="inlineStr">
        <is>
          <t>I-MV-0006</t>
        </is>
      </c>
      <c r="B5156" s="12" t="inlineStr">
        <is>
          <t>I</t>
        </is>
      </c>
      <c r="C5156" s="12" t="inlineStr">
        <is>
          <t>Modular / portable power</t>
        </is>
      </c>
      <c r="D5156" s="12" t="inlineStr">
        <is>
          <t>MOD-LV step-up to MOD-EH</t>
        </is>
      </c>
      <c r="E5156" s="12" t="inlineStr"/>
      <c r="F5156" s="12" t="inlineStr">
        <is>
          <t>MOD-LV 480 V board + 480 V : 13.8 kV step-up</t>
        </is>
      </c>
      <c r="G5156" s="12" t="inlineStr">
        <is>
          <t>MOD-EH</t>
        </is>
      </c>
      <c r="H5156" s="12" t="inlineStr">
        <is>
          <t>MOD-EH: 13.8 kV modular collector e-house</t>
        </is>
      </c>
      <c r="I5156" s="12" t="inlineStr">
        <is>
          <t>MV 15 kV</t>
        </is>
      </c>
      <c r="J5156" s="12" t="inlineStr">
        <is>
          <t>MV-105 15 kV 1/C Cu, EPR 133%, Cu tape shield, PVC jacket (triplexed)</t>
        </is>
      </c>
      <c r="K5156" s="12" t="inlineStr">
        <is>
          <t>MV15|1/C|500</t>
        </is>
      </c>
      <c r="L5156" s="12" t="inlineStr">
        <is>
          <t>1/C</t>
        </is>
      </c>
      <c r="M5156" s="12" t="inlineStr">
        <is>
          <t>500 kcmil</t>
        </is>
      </c>
      <c r="N5156" s="12" t="n">
        <v>1</v>
      </c>
      <c r="O5156" s="12" t="n">
        <v>3</v>
      </c>
      <c r="P5156" s="12" t="n">
        <v>13800</v>
      </c>
      <c r="Q5156" s="12" t="n">
        <v>7500</v>
      </c>
      <c r="R5156" s="12" t="n">
        <v>314</v>
      </c>
      <c r="S5156" s="12" t="inlineStr">
        <is>
          <t>Duct bank</t>
        </is>
      </c>
      <c r="T5156" s="16" t="n">
        <v>368</v>
      </c>
      <c r="U5156" s="16" t="n">
        <v>34</v>
      </c>
      <c r="V5156" s="16">
        <f>ROUNDUP((T5156+U5156+2*'Read Me'!$B$13)*(1+'Read Me'!$B$12),-1)</f>
        <v/>
      </c>
      <c r="W5156" s="16">
        <f>V5156*N5156*O5156</f>
        <v/>
      </c>
      <c r="X5156" s="12">
        <f>IF(LEFT(I5156,2)="MV",2*N5156*IF(L5156="1/C",O5156,1),0)</f>
        <v/>
      </c>
      <c r="Y5156" s="12">
        <f>IF(OR(LEFT(K5156,4)="LVAX",LEFT(K5156,6)="MV15AX",LEFT(K5156,4)="CTAX",LEFT(K5156,2)="W|"),2*N5156*O5156,0)</f>
        <v/>
      </c>
      <c r="Z5156" s="12" t="inlineStr"/>
      <c r="AA5156" s="12">
        <f>N5156*O5156</f>
        <v/>
      </c>
    </row>
    <row r="5157">
      <c r="A5157" s="12" t="inlineStr">
        <is>
          <t>I-MV-0007</t>
        </is>
      </c>
      <c r="B5157" s="12" t="inlineStr">
        <is>
          <t>I</t>
        </is>
      </c>
      <c r="C5157" s="12" t="inlineStr">
        <is>
          <t>Modular / portable power</t>
        </is>
      </c>
      <c r="D5157" s="12" t="inlineStr">
        <is>
          <t>CONT-3 13.8 kV to PAD-EH (extension section, ground tray)</t>
        </is>
      </c>
      <c r="E5157" s="12" t="inlineStr">
        <is>
          <t>CONT-3</t>
        </is>
      </c>
      <c r="F5157" s="12" t="inlineStr">
        <is>
          <t>CONT-3: containerized gas genset 13.8 kV (40 ft)</t>
        </is>
      </c>
      <c r="G5157" s="12" t="inlineStr">
        <is>
          <t>PAD-EH</t>
        </is>
      </c>
      <c r="H5157" s="12" t="inlineStr">
        <is>
          <t>PAD-EH 13.8 kV switchgear e-house</t>
        </is>
      </c>
      <c r="I5157" s="12" t="inlineStr">
        <is>
          <t>MV 15 kV</t>
        </is>
      </c>
      <c r="J5157" s="12" t="inlineStr">
        <is>
          <t>MV-105 15 kV 1/C Cu, EPR 133%, Cu tape shield, PVC jacket (triplexed)</t>
        </is>
      </c>
      <c r="K5157" s="12" t="inlineStr">
        <is>
          <t>MV15|1/C|2</t>
        </is>
      </c>
      <c r="L5157" s="12" t="inlineStr">
        <is>
          <t>1/C</t>
        </is>
      </c>
      <c r="M5157" s="12" t="inlineStr">
        <is>
          <t>2</t>
        </is>
      </c>
      <c r="N5157" s="12" t="n">
        <v>1</v>
      </c>
      <c r="O5157" s="12" t="n">
        <v>3</v>
      </c>
      <c r="P5157" s="12" t="n">
        <v>13800</v>
      </c>
      <c r="Q5157" s="12" t="n">
        <v>2000</v>
      </c>
      <c r="R5157" s="12" t="n">
        <v>93</v>
      </c>
      <c r="S5157" s="12" t="inlineStr">
        <is>
          <t>Surface</t>
        </is>
      </c>
      <c r="T5157" s="16" t="n">
        <v>191</v>
      </c>
      <c r="U5157" s="16" t="n">
        <v>32</v>
      </c>
      <c r="V5157" s="16">
        <f>ROUNDUP((T5157+U5157+2*'Read Me'!$B$13)*(1+'Read Me'!$B$12),-1)</f>
        <v/>
      </c>
      <c r="W5157" s="16">
        <f>V5157*N5157*O5157</f>
        <v/>
      </c>
      <c r="X5157" s="12">
        <f>IF(LEFT(I5157,2)="MV",2*N5157*IF(L5157="1/C",O5157,1),0)</f>
        <v/>
      </c>
      <c r="Y5157" s="12">
        <f>IF(OR(LEFT(K5157,4)="LVAX",LEFT(K5157,6)="MV15AX",LEFT(K5157,4)="CTAX",LEFT(K5157,2)="W|"),2*N5157*O5157,0)</f>
        <v/>
      </c>
      <c r="Z5157" s="12" t="inlineStr"/>
      <c r="AA5157" s="12">
        <f>N5157*O5157</f>
        <v/>
      </c>
    </row>
    <row r="5158">
      <c r="A5158" s="12" t="inlineStr">
        <is>
          <t>I-MV-0008</t>
        </is>
      </c>
      <c r="B5158" s="12" t="inlineStr">
        <is>
          <t>I</t>
        </is>
      </c>
      <c r="C5158" s="12" t="inlineStr">
        <is>
          <t>Modular / portable power</t>
        </is>
      </c>
      <c r="D5158" s="12" t="inlineStr">
        <is>
          <t>CONT-4 13.8 kV to PAD-EH (extension section, ground tray)</t>
        </is>
      </c>
      <c r="E5158" s="12" t="inlineStr">
        <is>
          <t>CONT-4</t>
        </is>
      </c>
      <c r="F5158" s="12" t="inlineStr">
        <is>
          <t>CONT-4: containerized gas genset 13.8 kV (40 ft)</t>
        </is>
      </c>
      <c r="G5158" s="12" t="inlineStr">
        <is>
          <t>PAD-EH</t>
        </is>
      </c>
      <c r="H5158" s="12" t="inlineStr">
        <is>
          <t>PAD-EH 13.8 kV switchgear e-house</t>
        </is>
      </c>
      <c r="I5158" s="12" t="inlineStr">
        <is>
          <t>MV 15 kV</t>
        </is>
      </c>
      <c r="J5158" s="12" t="inlineStr">
        <is>
          <t>MV-105 15 kV 1/C Cu, EPR 133%, Cu tape shield, PVC jacket (triplexed)</t>
        </is>
      </c>
      <c r="K5158" s="12" t="inlineStr">
        <is>
          <t>MV15|1/C|2</t>
        </is>
      </c>
      <c r="L5158" s="12" t="inlineStr">
        <is>
          <t>1/C</t>
        </is>
      </c>
      <c r="M5158" s="12" t="inlineStr">
        <is>
          <t>2</t>
        </is>
      </c>
      <c r="N5158" s="12" t="n">
        <v>1</v>
      </c>
      <c r="O5158" s="12" t="n">
        <v>3</v>
      </c>
      <c r="P5158" s="12" t="n">
        <v>13800</v>
      </c>
      <c r="Q5158" s="12" t="n">
        <v>2000</v>
      </c>
      <c r="R5158" s="12" t="n">
        <v>93</v>
      </c>
      <c r="S5158" s="12" t="inlineStr">
        <is>
          <t>Surface</t>
        </is>
      </c>
      <c r="T5158" s="16" t="n">
        <v>71</v>
      </c>
      <c r="U5158" s="16" t="n">
        <v>72</v>
      </c>
      <c r="V5158" s="16">
        <f>ROUNDUP((T5158+U5158+2*'Read Me'!$B$13)*(1+'Read Me'!$B$12),-1)</f>
        <v/>
      </c>
      <c r="W5158" s="16">
        <f>V5158*N5158*O5158</f>
        <v/>
      </c>
      <c r="X5158" s="12">
        <f>IF(LEFT(I5158,2)="MV",2*N5158*IF(L5158="1/C",O5158,1),0)</f>
        <v/>
      </c>
      <c r="Y5158" s="12">
        <f>IF(OR(LEFT(K5158,4)="LVAX",LEFT(K5158,6)="MV15AX",LEFT(K5158,4)="CTAX",LEFT(K5158,2)="W|"),2*N5158*O5158,0)</f>
        <v/>
      </c>
      <c r="Z5158" s="12" t="inlineStr"/>
      <c r="AA5158" s="12">
        <f>N5158*O5158</f>
        <v/>
      </c>
    </row>
    <row r="5159">
      <c r="A5159" s="12" t="inlineStr">
        <is>
          <t>I-MV-0009</t>
        </is>
      </c>
      <c r="B5159" s="12" t="inlineStr">
        <is>
          <t>I</t>
        </is>
      </c>
      <c r="C5159" s="12" t="inlineStr">
        <is>
          <t>Modular / portable power</t>
        </is>
      </c>
      <c r="D5159" s="12" t="inlineStr">
        <is>
          <t>CONT-5 13.8 kV to PAD-EH (extension section, ground tray)</t>
        </is>
      </c>
      <c r="E5159" s="12" t="inlineStr">
        <is>
          <t>CONT-5</t>
        </is>
      </c>
      <c r="F5159" s="12" t="inlineStr">
        <is>
          <t>CONT-5: containerized gas genset 13.8 kV (40 ft)</t>
        </is>
      </c>
      <c r="G5159" s="12" t="inlineStr">
        <is>
          <t>PAD-EH</t>
        </is>
      </c>
      <c r="H5159" s="12" t="inlineStr">
        <is>
          <t>PAD-EH 13.8 kV switchgear e-house</t>
        </is>
      </c>
      <c r="I5159" s="12" t="inlineStr">
        <is>
          <t>MV 15 kV</t>
        </is>
      </c>
      <c r="J5159" s="12" t="inlineStr">
        <is>
          <t>MV-105 15 kV 1/C Cu, EPR 133%, Cu tape shield, PVC jacket (triplexed)</t>
        </is>
      </c>
      <c r="K5159" s="12" t="inlineStr">
        <is>
          <t>MV15|1/C|2</t>
        </is>
      </c>
      <c r="L5159" s="12" t="inlineStr">
        <is>
          <t>1/C</t>
        </is>
      </c>
      <c r="M5159" s="12" t="inlineStr">
        <is>
          <t>2</t>
        </is>
      </c>
      <c r="N5159" s="12" t="n">
        <v>1</v>
      </c>
      <c r="O5159" s="12" t="n">
        <v>3</v>
      </c>
      <c r="P5159" s="12" t="n">
        <v>13800</v>
      </c>
      <c r="Q5159" s="12" t="n">
        <v>2000</v>
      </c>
      <c r="R5159" s="12" t="n">
        <v>93</v>
      </c>
      <c r="S5159" s="12" t="inlineStr">
        <is>
          <t>Duct bank</t>
        </is>
      </c>
      <c r="T5159" s="16" t="n">
        <v>47</v>
      </c>
      <c r="U5159" s="16" t="n">
        <v>36</v>
      </c>
      <c r="V5159" s="16">
        <f>ROUNDUP((T5159+U5159+2*'Read Me'!$B$13)*(1+'Read Me'!$B$12),-1)</f>
        <v/>
      </c>
      <c r="W5159" s="16">
        <f>V5159*N5159*O5159</f>
        <v/>
      </c>
      <c r="X5159" s="12">
        <f>IF(LEFT(I5159,2)="MV",2*N5159*IF(L5159="1/C",O5159,1),0)</f>
        <v/>
      </c>
      <c r="Y5159" s="12">
        <f>IF(OR(LEFT(K5159,4)="LVAX",LEFT(K5159,6)="MV15AX",LEFT(K5159,4)="CTAX",LEFT(K5159,2)="W|"),2*N5159*O5159,0)</f>
        <v/>
      </c>
      <c r="Z5159" s="12" t="inlineStr"/>
      <c r="AA5159" s="12">
        <f>N5159*O5159</f>
        <v/>
      </c>
    </row>
    <row r="5160">
      <c r="A5160" s="12" t="inlineStr">
        <is>
          <t>I-MV-0010</t>
        </is>
      </c>
      <c r="B5160" s="12" t="inlineStr">
        <is>
          <t>I</t>
        </is>
      </c>
      <c r="C5160" s="12" t="inlineStr">
        <is>
          <t>Modular / portable power</t>
        </is>
      </c>
      <c r="D5160" s="12" t="inlineStr">
        <is>
          <t>CONT-6 13.8 kV to PAD-EH (extension section, ground tray)</t>
        </is>
      </c>
      <c r="E5160" s="12" t="inlineStr">
        <is>
          <t>CONT-6</t>
        </is>
      </c>
      <c r="F5160" s="12" t="inlineStr">
        <is>
          <t>CONT-6: containerized gas genset 13.8 kV (40 ft)</t>
        </is>
      </c>
      <c r="G5160" s="12" t="inlineStr">
        <is>
          <t>PAD-EH</t>
        </is>
      </c>
      <c r="H5160" s="12" t="inlineStr">
        <is>
          <t>PAD-EH 13.8 kV switchgear e-house</t>
        </is>
      </c>
      <c r="I5160" s="12" t="inlineStr">
        <is>
          <t>MV 15 kV</t>
        </is>
      </c>
      <c r="J5160" s="12" t="inlineStr">
        <is>
          <t>MV-105 15 kV 1/C Cu, EPR 133%, Cu tape shield, PVC jacket (triplexed)</t>
        </is>
      </c>
      <c r="K5160" s="12" t="inlineStr">
        <is>
          <t>MV15|1/C|2</t>
        </is>
      </c>
      <c r="L5160" s="12" t="inlineStr">
        <is>
          <t>1/C</t>
        </is>
      </c>
      <c r="M5160" s="12" t="inlineStr">
        <is>
          <t>2</t>
        </is>
      </c>
      <c r="N5160" s="12" t="n">
        <v>1</v>
      </c>
      <c r="O5160" s="12" t="n">
        <v>3</v>
      </c>
      <c r="P5160" s="12" t="n">
        <v>13800</v>
      </c>
      <c r="Q5160" s="12" t="n">
        <v>2000</v>
      </c>
      <c r="R5160" s="12" t="n">
        <v>93</v>
      </c>
      <c r="S5160" s="12" t="inlineStr">
        <is>
          <t>Surface</t>
        </is>
      </c>
      <c r="T5160" s="16" t="n">
        <v>242</v>
      </c>
      <c r="U5160" s="16" t="n">
        <v>32</v>
      </c>
      <c r="V5160" s="16">
        <f>ROUNDUP((T5160+U5160+2*'Read Me'!$B$13)*(1+'Read Me'!$B$12),-1)</f>
        <v/>
      </c>
      <c r="W5160" s="16">
        <f>V5160*N5160*O5160</f>
        <v/>
      </c>
      <c r="X5160" s="12">
        <f>IF(LEFT(I5160,2)="MV",2*N5160*IF(L5160="1/C",O5160,1),0)</f>
        <v/>
      </c>
      <c r="Y5160" s="12">
        <f>IF(OR(LEFT(K5160,4)="LVAX",LEFT(K5160,6)="MV15AX",LEFT(K5160,4)="CTAX",LEFT(K5160,2)="W|"),2*N5160*O5160,0)</f>
        <v/>
      </c>
      <c r="Z5160" s="12" t="inlineStr"/>
      <c r="AA5160" s="12">
        <f>N5160*O5160</f>
        <v/>
      </c>
    </row>
    <row r="5161">
      <c r="A5161" s="12" t="inlineStr">
        <is>
          <t>I-MV-0011</t>
        </is>
      </c>
      <c r="B5161" s="12" t="inlineStr">
        <is>
          <t>I</t>
        </is>
      </c>
      <c r="C5161" s="12" t="inlineStr">
        <is>
          <t>Modular / portable power</t>
        </is>
      </c>
      <c r="D5161" s="12" t="inlineStr">
        <is>
          <t>CONT-7 13.8 kV to PAD-EH (extension section, ground tray)</t>
        </is>
      </c>
      <c r="E5161" s="12" t="inlineStr">
        <is>
          <t>CONT-7</t>
        </is>
      </c>
      <c r="F5161" s="12" t="inlineStr">
        <is>
          <t>CONT-7: containerized gas genset 13.8 kV (40 ft)</t>
        </is>
      </c>
      <c r="G5161" s="12" t="inlineStr">
        <is>
          <t>PAD-EH</t>
        </is>
      </c>
      <c r="H5161" s="12" t="inlineStr">
        <is>
          <t>PAD-EH 13.8 kV switchgear e-house</t>
        </is>
      </c>
      <c r="I5161" s="12" t="inlineStr">
        <is>
          <t>MV 15 kV</t>
        </is>
      </c>
      <c r="J5161" s="12" t="inlineStr">
        <is>
          <t>MV-105 15 kV 1/C Cu, EPR 133%, Cu tape shield, PVC jacket (triplexed)</t>
        </is>
      </c>
      <c r="K5161" s="12" t="inlineStr">
        <is>
          <t>MV15|1/C|2</t>
        </is>
      </c>
      <c r="L5161" s="12" t="inlineStr">
        <is>
          <t>1/C</t>
        </is>
      </c>
      <c r="M5161" s="12" t="inlineStr">
        <is>
          <t>2</t>
        </is>
      </c>
      <c r="N5161" s="12" t="n">
        <v>1</v>
      </c>
      <c r="O5161" s="12" t="n">
        <v>3</v>
      </c>
      <c r="P5161" s="12" t="n">
        <v>13800</v>
      </c>
      <c r="Q5161" s="12" t="n">
        <v>2000</v>
      </c>
      <c r="R5161" s="12" t="n">
        <v>93</v>
      </c>
      <c r="S5161" s="12" t="inlineStr">
        <is>
          <t>Surface</t>
        </is>
      </c>
      <c r="T5161" s="16" t="n">
        <v>228</v>
      </c>
      <c r="U5161" s="16" t="n">
        <v>46</v>
      </c>
      <c r="V5161" s="16">
        <f>ROUNDUP((T5161+U5161+2*'Read Me'!$B$13)*(1+'Read Me'!$B$12),-1)</f>
        <v/>
      </c>
      <c r="W5161" s="16">
        <f>V5161*N5161*O5161</f>
        <v/>
      </c>
      <c r="X5161" s="12">
        <f>IF(LEFT(I5161,2)="MV",2*N5161*IF(L5161="1/C",O5161,1),0)</f>
        <v/>
      </c>
      <c r="Y5161" s="12">
        <f>IF(OR(LEFT(K5161,4)="LVAX",LEFT(K5161,6)="MV15AX",LEFT(K5161,4)="CTAX",LEFT(K5161,2)="W|"),2*N5161*O5161,0)</f>
        <v/>
      </c>
      <c r="Z5161" s="12" t="inlineStr"/>
      <c r="AA5161" s="12">
        <f>N5161*O5161</f>
        <v/>
      </c>
    </row>
    <row r="5162">
      <c r="A5162" s="12" t="inlineStr">
        <is>
          <t>I-MV-0012</t>
        </is>
      </c>
      <c r="B5162" s="12" t="inlineStr">
        <is>
          <t>I</t>
        </is>
      </c>
      <c r="C5162" s="12" t="inlineStr">
        <is>
          <t>Modular / portable power</t>
        </is>
      </c>
      <c r="D5162" s="12" t="inlineStr">
        <is>
          <t>CONT-8 13.8 kV to PAD-EH (extension section, ground tray)</t>
        </is>
      </c>
      <c r="E5162" s="12" t="inlineStr">
        <is>
          <t>CONT-8</t>
        </is>
      </c>
      <c r="F5162" s="12" t="inlineStr">
        <is>
          <t>CONT-8: containerized gas genset 13.8 kV (40 ft)</t>
        </is>
      </c>
      <c r="G5162" s="12" t="inlineStr">
        <is>
          <t>PAD-EH</t>
        </is>
      </c>
      <c r="H5162" s="12" t="inlineStr">
        <is>
          <t>PAD-EH 13.8 kV switchgear e-house</t>
        </is>
      </c>
      <c r="I5162" s="12" t="inlineStr">
        <is>
          <t>MV 15 kV</t>
        </is>
      </c>
      <c r="J5162" s="12" t="inlineStr">
        <is>
          <t>MV-105 15 kV 1/C Cu, EPR 133%, Cu tape shield, PVC jacket (triplexed)</t>
        </is>
      </c>
      <c r="K5162" s="12" t="inlineStr">
        <is>
          <t>MV15|1/C|2</t>
        </is>
      </c>
      <c r="L5162" s="12" t="inlineStr">
        <is>
          <t>1/C</t>
        </is>
      </c>
      <c r="M5162" s="12" t="inlineStr">
        <is>
          <t>2</t>
        </is>
      </c>
      <c r="N5162" s="12" t="n">
        <v>1</v>
      </c>
      <c r="O5162" s="12" t="n">
        <v>3</v>
      </c>
      <c r="P5162" s="12" t="n">
        <v>13800</v>
      </c>
      <c r="Q5162" s="12" t="n">
        <v>2000</v>
      </c>
      <c r="R5162" s="12" t="n">
        <v>93</v>
      </c>
      <c r="S5162" s="12" t="inlineStr">
        <is>
          <t>Surface</t>
        </is>
      </c>
      <c r="T5162" s="16" t="n">
        <v>97</v>
      </c>
      <c r="U5162" s="16" t="n">
        <v>36</v>
      </c>
      <c r="V5162" s="16">
        <f>ROUNDUP((T5162+U5162+2*'Read Me'!$B$13)*(1+'Read Me'!$B$12),-1)</f>
        <v/>
      </c>
      <c r="W5162" s="16">
        <f>V5162*N5162*O5162</f>
        <v/>
      </c>
      <c r="X5162" s="12">
        <f>IF(LEFT(I5162,2)="MV",2*N5162*IF(L5162="1/C",O5162,1),0)</f>
        <v/>
      </c>
      <c r="Y5162" s="12">
        <f>IF(OR(LEFT(K5162,4)="LVAX",LEFT(K5162,6)="MV15AX",LEFT(K5162,4)="CTAX",LEFT(K5162,2)="W|"),2*N5162*O5162,0)</f>
        <v/>
      </c>
      <c r="Z5162" s="12" t="inlineStr"/>
      <c r="AA5162" s="12">
        <f>N5162*O5162</f>
        <v/>
      </c>
    </row>
    <row r="5163">
      <c r="A5163" s="12" t="inlineStr">
        <is>
          <t>I-MV-0013</t>
        </is>
      </c>
      <c r="B5163" s="12" t="inlineStr">
        <is>
          <t>I</t>
        </is>
      </c>
      <c r="C5163" s="12" t="inlineStr">
        <is>
          <t>Modular / portable power</t>
        </is>
      </c>
      <c r="D5163" s="12" t="inlineStr">
        <is>
          <t>TM-1 (TM2500) generator leads to PAD-EH</t>
        </is>
      </c>
      <c r="E5163" s="12" t="inlineStr">
        <is>
          <t>TM-1</t>
        </is>
      </c>
      <c r="F5163" s="12" t="inlineStr">
        <is>
          <t>TM-1: trailer-mounted aeroderivative GT (TM2500 class, ~35 MW)</t>
        </is>
      </c>
      <c r="G5163" s="12" t="inlineStr">
        <is>
          <t>PAD-EH</t>
        </is>
      </c>
      <c r="H5163" s="12" t="inlineStr">
        <is>
          <t>PAD-EH 13.8 kV switchgear e-house</t>
        </is>
      </c>
      <c r="I5163" s="12" t="inlineStr">
        <is>
          <t>MV 15 kV</t>
        </is>
      </c>
      <c r="J5163" s="12" t="inlineStr">
        <is>
          <t>MV-105 15 kV 1/C Cu, EPR 133%, Cu tape shield, PVC jacket (triplexed)</t>
        </is>
      </c>
      <c r="K5163" s="12" t="inlineStr">
        <is>
          <t>MV15|1/C|1000</t>
        </is>
      </c>
      <c r="L5163" s="12" t="inlineStr">
        <is>
          <t>1/C</t>
        </is>
      </c>
      <c r="M5163" s="12" t="inlineStr">
        <is>
          <t>1000 kcmil</t>
        </is>
      </c>
      <c r="N5163" s="12" t="n">
        <v>3</v>
      </c>
      <c r="O5163" s="12" t="n">
        <v>3</v>
      </c>
      <c r="P5163" s="12" t="n">
        <v>13800</v>
      </c>
      <c r="Q5163" s="12" t="n">
        <v>35000</v>
      </c>
      <c r="R5163" s="12" t="n">
        <v>1464</v>
      </c>
      <c r="S5163" s="12" t="inlineStr">
        <is>
          <t>Surface</t>
        </is>
      </c>
      <c r="T5163" s="16" t="n">
        <v>405</v>
      </c>
      <c r="U5163" s="16" t="n">
        <v>27</v>
      </c>
      <c r="V5163" s="16">
        <f>ROUNDUP((T5163+U5163+2*'Read Me'!$B$13)*(1+'Read Me'!$B$12),-1)</f>
        <v/>
      </c>
      <c r="W5163" s="16">
        <f>V5163*N5163*O5163</f>
        <v/>
      </c>
      <c r="X5163" s="12">
        <f>IF(LEFT(I5163,2)="MV",2*N5163*IF(L5163="1/C",O5163,1),0)</f>
        <v/>
      </c>
      <c r="Y5163" s="12">
        <f>IF(OR(LEFT(K5163,4)="LVAX",LEFT(K5163,6)="MV15AX",LEFT(K5163,4)="CTAX",LEFT(K5163,2)="W|"),2*N5163*O5163,0)</f>
        <v/>
      </c>
      <c r="Z5163" s="12" t="inlineStr">
        <is>
          <t>3 per phase for 125 % (the model shows 2 per phase: update the model)</t>
        </is>
      </c>
      <c r="AA5163" s="12">
        <f>N5163*O5163</f>
        <v/>
      </c>
    </row>
    <row r="5164">
      <c r="A5164" s="12" t="inlineStr">
        <is>
          <t>I-MV-0014</t>
        </is>
      </c>
      <c r="B5164" s="12" t="inlineStr">
        <is>
          <t>I</t>
        </is>
      </c>
      <c r="C5164" s="12" t="inlineStr">
        <is>
          <t>Modular / portable power</t>
        </is>
      </c>
      <c r="D5164" s="12" t="inlineStr">
        <is>
          <t>TM-2 (TM2500) generator leads to PAD-EH</t>
        </is>
      </c>
      <c r="E5164" s="12" t="inlineStr">
        <is>
          <t>TM-2</t>
        </is>
      </c>
      <c r="F5164" s="12" t="inlineStr">
        <is>
          <t>TM-2: trailer-mounted aeroderivative GT (TM2500 class, ~35 MW)</t>
        </is>
      </c>
      <c r="G5164" s="12" t="inlineStr">
        <is>
          <t>PAD-EH</t>
        </is>
      </c>
      <c r="H5164" s="12" t="inlineStr">
        <is>
          <t>PAD-EH 13.8 kV switchgear e-house</t>
        </is>
      </c>
      <c r="I5164" s="12" t="inlineStr">
        <is>
          <t>MV 15 kV</t>
        </is>
      </c>
      <c r="J5164" s="12" t="inlineStr">
        <is>
          <t>MV-105 15 kV 1/C Cu, EPR 133%, Cu tape shield, PVC jacket (triplexed)</t>
        </is>
      </c>
      <c r="K5164" s="12" t="inlineStr">
        <is>
          <t>MV15|1/C|1000</t>
        </is>
      </c>
      <c r="L5164" s="12" t="inlineStr">
        <is>
          <t>1/C</t>
        </is>
      </c>
      <c r="M5164" s="12" t="inlineStr">
        <is>
          <t>1000 kcmil</t>
        </is>
      </c>
      <c r="N5164" s="12" t="n">
        <v>3</v>
      </c>
      <c r="O5164" s="12" t="n">
        <v>3</v>
      </c>
      <c r="P5164" s="12" t="n">
        <v>13800</v>
      </c>
      <c r="Q5164" s="12" t="n">
        <v>35000</v>
      </c>
      <c r="R5164" s="12" t="n">
        <v>1464</v>
      </c>
      <c r="S5164" s="12" t="inlineStr">
        <is>
          <t>Surface</t>
        </is>
      </c>
      <c r="T5164" s="16" t="n">
        <v>411</v>
      </c>
      <c r="U5164" s="16" t="n">
        <v>27</v>
      </c>
      <c r="V5164" s="16">
        <f>ROUNDUP((T5164+U5164+2*'Read Me'!$B$13)*(1+'Read Me'!$B$12),-1)</f>
        <v/>
      </c>
      <c r="W5164" s="16">
        <f>V5164*N5164*O5164</f>
        <v/>
      </c>
      <c r="X5164" s="12">
        <f>IF(LEFT(I5164,2)="MV",2*N5164*IF(L5164="1/C",O5164,1),0)</f>
        <v/>
      </c>
      <c r="Y5164" s="12">
        <f>IF(OR(LEFT(K5164,4)="LVAX",LEFT(K5164,6)="MV15AX",LEFT(K5164,4)="CTAX",LEFT(K5164,2)="W|"),2*N5164*O5164,0)</f>
        <v/>
      </c>
      <c r="Z5164" s="12" t="inlineStr">
        <is>
          <t>3 per phase for 125 % (the model shows 2 per phase: update the model)</t>
        </is>
      </c>
      <c r="AA5164" s="12">
        <f>N5164*O5164</f>
        <v/>
      </c>
    </row>
    <row r="5165">
      <c r="A5165" s="12" t="inlineStr">
        <is>
          <t>I-MV-0015</t>
        </is>
      </c>
      <c r="B5165" s="12" t="inlineStr">
        <is>
          <t>I</t>
        </is>
      </c>
      <c r="C5165" s="12" t="inlineStr">
        <is>
          <t>Modular / portable power</t>
        </is>
      </c>
      <c r="D5165" s="12" t="inlineStr">
        <is>
          <t>RICE-1 generator leads to the PCM</t>
        </is>
      </c>
      <c r="E5165" s="12" t="inlineStr">
        <is>
          <t>RICE-1</t>
        </is>
      </c>
      <c r="F5165" s="12" t="inlineStr">
        <is>
          <t>RICE engine-generator 1</t>
        </is>
      </c>
      <c r="G5165" s="12" t="inlineStr"/>
      <c r="H5165" s="12" t="inlineStr">
        <is>
          <t>PCM: power control module</t>
        </is>
      </c>
      <c r="I5165" s="12" t="inlineStr">
        <is>
          <t>MV 15 kV</t>
        </is>
      </c>
      <c r="J5165" s="12" t="inlineStr">
        <is>
          <t>MV-105 15 kV 1/C Cu, EPR 133%, Cu tape shield, PVC jacket (triplexed)</t>
        </is>
      </c>
      <c r="K5165" s="12" t="inlineStr">
        <is>
          <t>MV15|1/C|750</t>
        </is>
      </c>
      <c r="L5165" s="12" t="inlineStr">
        <is>
          <t>1/C</t>
        </is>
      </c>
      <c r="M5165" s="12" t="inlineStr">
        <is>
          <t>750 kcmil</t>
        </is>
      </c>
      <c r="N5165" s="12" t="n">
        <v>2</v>
      </c>
      <c r="O5165" s="12" t="n">
        <v>3</v>
      </c>
      <c r="P5165" s="12" t="n">
        <v>13800</v>
      </c>
      <c r="Q5165" s="12" t="n">
        <v>18400</v>
      </c>
      <c r="R5165" s="12" t="n">
        <v>770</v>
      </c>
      <c r="S5165" s="12" t="inlineStr">
        <is>
          <t>Duct bank</t>
        </is>
      </c>
      <c r="T5165" s="16" t="n">
        <v>576</v>
      </c>
      <c r="U5165" s="16" t="n">
        <v>111</v>
      </c>
      <c r="V5165" s="16">
        <f>ROUNDUP((T5165+U5165+2*'Read Me'!$B$13)*(1+'Read Me'!$B$12),-1)</f>
        <v/>
      </c>
      <c r="W5165" s="16">
        <f>V5165*N5165*O5165</f>
        <v/>
      </c>
      <c r="X5165" s="12">
        <f>IF(LEFT(I5165,2)="MV",2*N5165*IF(L5165="1/C",O5165,1),0)</f>
        <v/>
      </c>
      <c r="Y5165" s="12">
        <f>IF(OR(LEFT(K5165,4)="LVAX",LEFT(K5165,6)="MV15AX",LEFT(K5165,4)="CTAX",LEFT(K5165,2)="W|"),2*N5165*O5165,0)</f>
        <v/>
      </c>
      <c r="Z5165" s="12" t="inlineStr">
        <is>
          <t>18V50 class ~18 MW (typ.)</t>
        </is>
      </c>
      <c r="AA5165" s="12">
        <f>N5165*O5165</f>
        <v/>
      </c>
    </row>
    <row r="5166">
      <c r="A5166" s="12" t="inlineStr">
        <is>
          <t>I-MV-0016</t>
        </is>
      </c>
      <c r="B5166" s="12" t="inlineStr">
        <is>
          <t>I</t>
        </is>
      </c>
      <c r="C5166" s="12" t="inlineStr">
        <is>
          <t>Modular / portable power</t>
        </is>
      </c>
      <c r="D5166" s="12" t="inlineStr">
        <is>
          <t>RICE-2 generator leads to the PCM</t>
        </is>
      </c>
      <c r="E5166" s="12" t="inlineStr">
        <is>
          <t>RICE-2</t>
        </is>
      </c>
      <c r="F5166" s="12" t="inlineStr">
        <is>
          <t>RICE engine-generator 2</t>
        </is>
      </c>
      <c r="G5166" s="12" t="inlineStr"/>
      <c r="H5166" s="12" t="inlineStr">
        <is>
          <t>PCM: power control module</t>
        </is>
      </c>
      <c r="I5166" s="12" t="inlineStr">
        <is>
          <t>MV 15 kV</t>
        </is>
      </c>
      <c r="J5166" s="12" t="inlineStr">
        <is>
          <t>MV-105 15 kV 1/C Cu, EPR 133%, Cu tape shield, PVC jacket (triplexed)</t>
        </is>
      </c>
      <c r="K5166" s="12" t="inlineStr">
        <is>
          <t>MV15|1/C|750</t>
        </is>
      </c>
      <c r="L5166" s="12" t="inlineStr">
        <is>
          <t>1/C</t>
        </is>
      </c>
      <c r="M5166" s="12" t="inlineStr">
        <is>
          <t>750 kcmil</t>
        </is>
      </c>
      <c r="N5166" s="12" t="n">
        <v>2</v>
      </c>
      <c r="O5166" s="12" t="n">
        <v>3</v>
      </c>
      <c r="P5166" s="12" t="n">
        <v>13800</v>
      </c>
      <c r="Q5166" s="12" t="n">
        <v>18400</v>
      </c>
      <c r="R5166" s="12" t="n">
        <v>770</v>
      </c>
      <c r="S5166" s="12" t="inlineStr">
        <is>
          <t>Duct bank</t>
        </is>
      </c>
      <c r="T5166" s="16" t="n">
        <v>550</v>
      </c>
      <c r="U5166" s="16" t="n">
        <v>109</v>
      </c>
      <c r="V5166" s="16">
        <f>ROUNDUP((T5166+U5166+2*'Read Me'!$B$13)*(1+'Read Me'!$B$12),-1)</f>
        <v/>
      </c>
      <c r="W5166" s="16">
        <f>V5166*N5166*O5166</f>
        <v/>
      </c>
      <c r="X5166" s="12">
        <f>IF(LEFT(I5166,2)="MV",2*N5166*IF(L5166="1/C",O5166,1),0)</f>
        <v/>
      </c>
      <c r="Y5166" s="12">
        <f>IF(OR(LEFT(K5166,4)="LVAX",LEFT(K5166,6)="MV15AX",LEFT(K5166,4)="CTAX",LEFT(K5166,2)="W|"),2*N5166*O5166,0)</f>
        <v/>
      </c>
      <c r="Z5166" s="12" t="inlineStr">
        <is>
          <t>18V50 class ~18 MW (typ.)</t>
        </is>
      </c>
      <c r="AA5166" s="12">
        <f>N5166*O5166</f>
        <v/>
      </c>
    </row>
    <row r="5167">
      <c r="A5167" s="12" t="inlineStr">
        <is>
          <t>I-MV-0017</t>
        </is>
      </c>
      <c r="B5167" s="12" t="inlineStr">
        <is>
          <t>I</t>
        </is>
      </c>
      <c r="C5167" s="12" t="inlineStr">
        <is>
          <t>Modular / portable power</t>
        </is>
      </c>
      <c r="D5167" s="12" t="inlineStr">
        <is>
          <t>RICE-3 generator leads to the PCM</t>
        </is>
      </c>
      <c r="E5167" s="12" t="inlineStr">
        <is>
          <t>RICE-3</t>
        </is>
      </c>
      <c r="F5167" s="12" t="inlineStr">
        <is>
          <t>RICE engine-generator 3</t>
        </is>
      </c>
      <c r="G5167" s="12" t="inlineStr"/>
      <c r="H5167" s="12" t="inlineStr">
        <is>
          <t>PCM: power control module</t>
        </is>
      </c>
      <c r="I5167" s="12" t="inlineStr">
        <is>
          <t>MV 15 kV</t>
        </is>
      </c>
      <c r="J5167" s="12" t="inlineStr">
        <is>
          <t>MV-105 15 kV 1/C Cu, EPR 133%, Cu tape shield, PVC jacket (triplexed)</t>
        </is>
      </c>
      <c r="K5167" s="12" t="inlineStr">
        <is>
          <t>MV15|1/C|750</t>
        </is>
      </c>
      <c r="L5167" s="12" t="inlineStr">
        <is>
          <t>1/C</t>
        </is>
      </c>
      <c r="M5167" s="12" t="inlineStr">
        <is>
          <t>750 kcmil</t>
        </is>
      </c>
      <c r="N5167" s="12" t="n">
        <v>2</v>
      </c>
      <c r="O5167" s="12" t="n">
        <v>3</v>
      </c>
      <c r="P5167" s="12" t="n">
        <v>13800</v>
      </c>
      <c r="Q5167" s="12" t="n">
        <v>18400</v>
      </c>
      <c r="R5167" s="12" t="n">
        <v>770</v>
      </c>
      <c r="S5167" s="12" t="inlineStr">
        <is>
          <t>Duct bank</t>
        </is>
      </c>
      <c r="T5167" s="16" t="n">
        <v>550</v>
      </c>
      <c r="U5167" s="16" t="n">
        <v>81</v>
      </c>
      <c r="V5167" s="16">
        <f>ROUNDUP((T5167+U5167+2*'Read Me'!$B$13)*(1+'Read Me'!$B$12),-1)</f>
        <v/>
      </c>
      <c r="W5167" s="16">
        <f>V5167*N5167*O5167</f>
        <v/>
      </c>
      <c r="X5167" s="12">
        <f>IF(LEFT(I5167,2)="MV",2*N5167*IF(L5167="1/C",O5167,1),0)</f>
        <v/>
      </c>
      <c r="Y5167" s="12">
        <f>IF(OR(LEFT(K5167,4)="LVAX",LEFT(K5167,6)="MV15AX",LEFT(K5167,4)="CTAX",LEFT(K5167,2)="W|"),2*N5167*O5167,0)</f>
        <v/>
      </c>
      <c r="Z5167" s="12" t="inlineStr">
        <is>
          <t>18V50 class ~18 MW (typ.)</t>
        </is>
      </c>
      <c r="AA5167" s="12">
        <f>N5167*O5167</f>
        <v/>
      </c>
    </row>
    <row r="5168">
      <c r="A5168" s="12" t="inlineStr">
        <is>
          <t>I-MV-0018</t>
        </is>
      </c>
      <c r="B5168" s="12" t="inlineStr">
        <is>
          <t>I</t>
        </is>
      </c>
      <c r="C5168" s="12" t="inlineStr">
        <is>
          <t>Modular / portable power</t>
        </is>
      </c>
      <c r="D5168" s="12" t="inlineStr">
        <is>
          <t>RICE-4 generator leads to the PCM</t>
        </is>
      </c>
      <c r="E5168" s="12" t="inlineStr">
        <is>
          <t>RICE-4</t>
        </is>
      </c>
      <c r="F5168" s="12" t="inlineStr">
        <is>
          <t>RICE engine-generator 4</t>
        </is>
      </c>
      <c r="G5168" s="12" t="inlineStr"/>
      <c r="H5168" s="12" t="inlineStr">
        <is>
          <t>PCM: power control module</t>
        </is>
      </c>
      <c r="I5168" s="12" t="inlineStr">
        <is>
          <t>MV 15 kV</t>
        </is>
      </c>
      <c r="J5168" s="12" t="inlineStr">
        <is>
          <t>MV-105 15 kV 1/C Cu, EPR 133%, Cu tape shield, PVC jacket (triplexed)</t>
        </is>
      </c>
      <c r="K5168" s="12" t="inlineStr">
        <is>
          <t>MV15|1/C|750</t>
        </is>
      </c>
      <c r="L5168" s="12" t="inlineStr">
        <is>
          <t>1/C</t>
        </is>
      </c>
      <c r="M5168" s="12" t="inlineStr">
        <is>
          <t>750 kcmil</t>
        </is>
      </c>
      <c r="N5168" s="12" t="n">
        <v>2</v>
      </c>
      <c r="O5168" s="12" t="n">
        <v>3</v>
      </c>
      <c r="P5168" s="12" t="n">
        <v>13800</v>
      </c>
      <c r="Q5168" s="12" t="n">
        <v>18400</v>
      </c>
      <c r="R5168" s="12" t="n">
        <v>770</v>
      </c>
      <c r="S5168" s="12" t="inlineStr">
        <is>
          <t>Duct bank</t>
        </is>
      </c>
      <c r="T5168" s="16" t="n">
        <v>550</v>
      </c>
      <c r="U5168" s="16" t="n">
        <v>53</v>
      </c>
      <c r="V5168" s="16">
        <f>ROUNDUP((T5168+U5168+2*'Read Me'!$B$13)*(1+'Read Me'!$B$12),-1)</f>
        <v/>
      </c>
      <c r="W5168" s="16">
        <f>V5168*N5168*O5168</f>
        <v/>
      </c>
      <c r="X5168" s="12">
        <f>IF(LEFT(I5168,2)="MV",2*N5168*IF(L5168="1/C",O5168,1),0)</f>
        <v/>
      </c>
      <c r="Y5168" s="12">
        <f>IF(OR(LEFT(K5168,4)="LVAX",LEFT(K5168,6)="MV15AX",LEFT(K5168,4)="CTAX",LEFT(K5168,2)="W|"),2*N5168*O5168,0)</f>
        <v/>
      </c>
      <c r="Z5168" s="12" t="inlineStr">
        <is>
          <t>18V50 class ~18 MW (typ.)</t>
        </is>
      </c>
      <c r="AA5168" s="12">
        <f>N5168*O5168</f>
        <v/>
      </c>
    </row>
    <row r="5169">
      <c r="A5169" s="12" t="inlineStr">
        <is>
          <t>I-MV-0019</t>
        </is>
      </c>
      <c r="B5169" s="12" t="inlineStr">
        <is>
          <t>I</t>
        </is>
      </c>
      <c r="C5169" s="12" t="inlineStr">
        <is>
          <t>Modular / portable power</t>
        </is>
      </c>
      <c r="D5169" s="12" t="inlineStr">
        <is>
          <t>RICE-5 generator leads to the PCM</t>
        </is>
      </c>
      <c r="E5169" s="12" t="inlineStr">
        <is>
          <t>RICE-5</t>
        </is>
      </c>
      <c r="F5169" s="12" t="inlineStr">
        <is>
          <t>RICE engine-generator 5</t>
        </is>
      </c>
      <c r="G5169" s="12" t="inlineStr"/>
      <c r="H5169" s="12" t="inlineStr">
        <is>
          <t>PCM: power control module</t>
        </is>
      </c>
      <c r="I5169" s="12" t="inlineStr">
        <is>
          <t>MV 15 kV</t>
        </is>
      </c>
      <c r="J5169" s="12" t="inlineStr">
        <is>
          <t>MV-105 15 kV 1/C Cu, EPR 133%, Cu tape shield, PVC jacket (triplexed)</t>
        </is>
      </c>
      <c r="K5169" s="12" t="inlineStr">
        <is>
          <t>MV15|1/C|750</t>
        </is>
      </c>
      <c r="L5169" s="12" t="inlineStr">
        <is>
          <t>1/C</t>
        </is>
      </c>
      <c r="M5169" s="12" t="inlineStr">
        <is>
          <t>750 kcmil</t>
        </is>
      </c>
      <c r="N5169" s="12" t="n">
        <v>2</v>
      </c>
      <c r="O5169" s="12" t="n">
        <v>3</v>
      </c>
      <c r="P5169" s="12" t="n">
        <v>13800</v>
      </c>
      <c r="Q5169" s="12" t="n">
        <v>18400</v>
      </c>
      <c r="R5169" s="12" t="n">
        <v>770</v>
      </c>
      <c r="S5169" s="12" t="inlineStr">
        <is>
          <t>Duct bank</t>
        </is>
      </c>
      <c r="T5169" s="16" t="n">
        <v>525</v>
      </c>
      <c r="U5169" s="16" t="n">
        <v>50</v>
      </c>
      <c r="V5169" s="16">
        <f>ROUNDUP((T5169+U5169+2*'Read Me'!$B$13)*(1+'Read Me'!$B$12),-1)</f>
        <v/>
      </c>
      <c r="W5169" s="16">
        <f>V5169*N5169*O5169</f>
        <v/>
      </c>
      <c r="X5169" s="12">
        <f>IF(LEFT(I5169,2)="MV",2*N5169*IF(L5169="1/C",O5169,1),0)</f>
        <v/>
      </c>
      <c r="Y5169" s="12">
        <f>IF(OR(LEFT(K5169,4)="LVAX",LEFT(K5169,6)="MV15AX",LEFT(K5169,4)="CTAX",LEFT(K5169,2)="W|"),2*N5169*O5169,0)</f>
        <v/>
      </c>
      <c r="Z5169" s="12" t="inlineStr">
        <is>
          <t>18V50 class ~18 MW (typ.)</t>
        </is>
      </c>
      <c r="AA5169" s="12">
        <f>N5169*O5169</f>
        <v/>
      </c>
    </row>
    <row r="5170">
      <c r="A5170" s="12" t="inlineStr">
        <is>
          <t>I-MV-0020</t>
        </is>
      </c>
      <c r="B5170" s="12" t="inlineStr">
        <is>
          <t>I</t>
        </is>
      </c>
      <c r="C5170" s="12" t="inlineStr">
        <is>
          <t>Modular / portable power</t>
        </is>
      </c>
      <c r="D5170" s="12" t="inlineStr">
        <is>
          <t>RICE-6 generator leads to the PCM</t>
        </is>
      </c>
      <c r="E5170" s="12" t="inlineStr">
        <is>
          <t>RICE-6</t>
        </is>
      </c>
      <c r="F5170" s="12" t="inlineStr">
        <is>
          <t>RICE engine-generator 6</t>
        </is>
      </c>
      <c r="G5170" s="12" t="inlineStr"/>
      <c r="H5170" s="12" t="inlineStr">
        <is>
          <t>PCM: power control module</t>
        </is>
      </c>
      <c r="I5170" s="12" t="inlineStr">
        <is>
          <t>MV 15 kV</t>
        </is>
      </c>
      <c r="J5170" s="12" t="inlineStr">
        <is>
          <t>MV-105 15 kV 1/C Cu, EPR 133%, Cu tape shield, PVC jacket (triplexed)</t>
        </is>
      </c>
      <c r="K5170" s="12" t="inlineStr">
        <is>
          <t>MV15|1/C|750</t>
        </is>
      </c>
      <c r="L5170" s="12" t="inlineStr">
        <is>
          <t>1/C</t>
        </is>
      </c>
      <c r="M5170" s="12" t="inlineStr">
        <is>
          <t>750 kcmil</t>
        </is>
      </c>
      <c r="N5170" s="12" t="n">
        <v>2</v>
      </c>
      <c r="O5170" s="12" t="n">
        <v>3</v>
      </c>
      <c r="P5170" s="12" t="n">
        <v>13800</v>
      </c>
      <c r="Q5170" s="12" t="n">
        <v>18400</v>
      </c>
      <c r="R5170" s="12" t="n">
        <v>770</v>
      </c>
      <c r="S5170" s="12" t="inlineStr">
        <is>
          <t>Duct bank</t>
        </is>
      </c>
      <c r="T5170" s="16" t="n">
        <v>469</v>
      </c>
      <c r="U5170" s="16" t="n">
        <v>78</v>
      </c>
      <c r="V5170" s="16">
        <f>ROUNDUP((T5170+U5170+2*'Read Me'!$B$13)*(1+'Read Me'!$B$12),-1)</f>
        <v/>
      </c>
      <c r="W5170" s="16">
        <f>V5170*N5170*O5170</f>
        <v/>
      </c>
      <c r="X5170" s="12">
        <f>IF(LEFT(I5170,2)="MV",2*N5170*IF(L5170="1/C",O5170,1),0)</f>
        <v/>
      </c>
      <c r="Y5170" s="12">
        <f>IF(OR(LEFT(K5170,4)="LVAX",LEFT(K5170,6)="MV15AX",LEFT(K5170,4)="CTAX",LEFT(K5170,2)="W|"),2*N5170*O5170,0)</f>
        <v/>
      </c>
      <c r="Z5170" s="12" t="inlineStr">
        <is>
          <t>18V50 class ~18 MW (typ.)</t>
        </is>
      </c>
      <c r="AA5170" s="12">
        <f>N5170*O5170</f>
        <v/>
      </c>
    </row>
    <row r="5171">
      <c r="A5171" s="12" t="inlineStr">
        <is>
          <t>I-MV-0021</t>
        </is>
      </c>
      <c r="B5171" s="12" t="inlineStr">
        <is>
          <t>I</t>
        </is>
      </c>
      <c r="C5171" s="12" t="inlineStr">
        <is>
          <t>Modular / portable power</t>
        </is>
      </c>
      <c r="D5171" s="12" t="inlineStr">
        <is>
          <t>RICE-7 generator leads to the PCM</t>
        </is>
      </c>
      <c r="E5171" s="12" t="inlineStr">
        <is>
          <t>RICE-7</t>
        </is>
      </c>
      <c r="F5171" s="12" t="inlineStr">
        <is>
          <t>RICE engine-generator 7</t>
        </is>
      </c>
      <c r="G5171" s="12" t="inlineStr"/>
      <c r="H5171" s="12" t="inlineStr">
        <is>
          <t>PCM: power control module</t>
        </is>
      </c>
      <c r="I5171" s="12" t="inlineStr">
        <is>
          <t>MV 15 kV</t>
        </is>
      </c>
      <c r="J5171" s="12" t="inlineStr">
        <is>
          <t>MV-105 15 kV 1/C Cu, EPR 133%, Cu tape shield, PVC jacket (triplexed)</t>
        </is>
      </c>
      <c r="K5171" s="12" t="inlineStr">
        <is>
          <t>MV15|1/C|750</t>
        </is>
      </c>
      <c r="L5171" s="12" t="inlineStr">
        <is>
          <t>1/C</t>
        </is>
      </c>
      <c r="M5171" s="12" t="inlineStr">
        <is>
          <t>750 kcmil</t>
        </is>
      </c>
      <c r="N5171" s="12" t="n">
        <v>2</v>
      </c>
      <c r="O5171" s="12" t="n">
        <v>3</v>
      </c>
      <c r="P5171" s="12" t="n">
        <v>13800</v>
      </c>
      <c r="Q5171" s="12" t="n">
        <v>18400</v>
      </c>
      <c r="R5171" s="12" t="n">
        <v>770</v>
      </c>
      <c r="S5171" s="12" t="inlineStr">
        <is>
          <t>Tray</t>
        </is>
      </c>
      <c r="T5171" s="16" t="n">
        <v>83</v>
      </c>
      <c r="U5171" s="16" t="n">
        <v>106</v>
      </c>
      <c r="V5171" s="16">
        <f>ROUNDUP((T5171+U5171+2*'Read Me'!$B$13)*(1+'Read Me'!$B$12),-1)</f>
        <v/>
      </c>
      <c r="W5171" s="16">
        <f>V5171*N5171*O5171</f>
        <v/>
      </c>
      <c r="X5171" s="12">
        <f>IF(LEFT(I5171,2)="MV",2*N5171*IF(L5171="1/C",O5171,1),0)</f>
        <v/>
      </c>
      <c r="Y5171" s="12">
        <f>IF(OR(LEFT(K5171,4)="LVAX",LEFT(K5171,6)="MV15AX",LEFT(K5171,4)="CTAX",LEFT(K5171,2)="W|"),2*N5171*O5171,0)</f>
        <v/>
      </c>
      <c r="Z5171" s="12" t="inlineStr">
        <is>
          <t>18V50 class ~18 MW (typ.)</t>
        </is>
      </c>
      <c r="AA5171" s="12">
        <f>N5171*O5171</f>
        <v/>
      </c>
    </row>
    <row r="5172">
      <c r="A5172" s="12" t="inlineStr">
        <is>
          <t>I-MV-0022</t>
        </is>
      </c>
      <c r="B5172" s="12" t="inlineStr">
        <is>
          <t>I</t>
        </is>
      </c>
      <c r="C5172" s="12" t="inlineStr">
        <is>
          <t>Modular / portable power</t>
        </is>
      </c>
      <c r="D5172" s="12" t="inlineStr">
        <is>
          <t>RICE-8 generator leads to the PCM</t>
        </is>
      </c>
      <c r="E5172" s="12" t="inlineStr">
        <is>
          <t>RICE-8</t>
        </is>
      </c>
      <c r="F5172" s="12" t="inlineStr">
        <is>
          <t>RICE engine-generator 8</t>
        </is>
      </c>
      <c r="G5172" s="12" t="inlineStr"/>
      <c r="H5172" s="12" t="inlineStr">
        <is>
          <t>PCM: power control module</t>
        </is>
      </c>
      <c r="I5172" s="12" t="inlineStr">
        <is>
          <t>MV 15 kV</t>
        </is>
      </c>
      <c r="J5172" s="12" t="inlineStr">
        <is>
          <t>MV-105 15 kV 1/C Cu, EPR 133%, Cu tape shield, PVC jacket (triplexed)</t>
        </is>
      </c>
      <c r="K5172" s="12" t="inlineStr">
        <is>
          <t>MV15|1/C|750</t>
        </is>
      </c>
      <c r="L5172" s="12" t="inlineStr">
        <is>
          <t>1/C</t>
        </is>
      </c>
      <c r="M5172" s="12" t="inlineStr">
        <is>
          <t>750 kcmil</t>
        </is>
      </c>
      <c r="N5172" s="12" t="n">
        <v>2</v>
      </c>
      <c r="O5172" s="12" t="n">
        <v>3</v>
      </c>
      <c r="P5172" s="12" t="n">
        <v>13800</v>
      </c>
      <c r="Q5172" s="12" t="n">
        <v>18400</v>
      </c>
      <c r="R5172" s="12" t="n">
        <v>770</v>
      </c>
      <c r="S5172" s="12" t="inlineStr">
        <is>
          <t>Tray</t>
        </is>
      </c>
      <c r="T5172" s="16" t="n">
        <v>37</v>
      </c>
      <c r="U5172" s="16" t="n">
        <v>124</v>
      </c>
      <c r="V5172" s="16">
        <f>ROUNDUP((T5172+U5172+2*'Read Me'!$B$13)*(1+'Read Me'!$B$12),-1)</f>
        <v/>
      </c>
      <c r="W5172" s="16">
        <f>V5172*N5172*O5172</f>
        <v/>
      </c>
      <c r="X5172" s="12">
        <f>IF(LEFT(I5172,2)="MV",2*N5172*IF(L5172="1/C",O5172,1),0)</f>
        <v/>
      </c>
      <c r="Y5172" s="12">
        <f>IF(OR(LEFT(K5172,4)="LVAX",LEFT(K5172,6)="MV15AX",LEFT(K5172,4)="CTAX",LEFT(K5172,2)="W|"),2*N5172*O5172,0)</f>
        <v/>
      </c>
      <c r="Z5172" s="12" t="inlineStr">
        <is>
          <t>18V50 class ~18 MW (typ.)</t>
        </is>
      </c>
      <c r="AA5172" s="12">
        <f>N5172*O5172</f>
        <v/>
      </c>
    </row>
    <row r="5173">
      <c r="A5173" s="12" t="inlineStr">
        <is>
          <t>I-MV-0023</t>
        </is>
      </c>
      <c r="B5173" s="12" t="inlineStr">
        <is>
          <t>I</t>
        </is>
      </c>
      <c r="C5173" s="12" t="inlineStr">
        <is>
          <t>Modular / portable power</t>
        </is>
      </c>
      <c r="D5173" s="12" t="inlineStr">
        <is>
          <t>SC-1 (LM6000 class) generator leads to its PCM / GCB</t>
        </is>
      </c>
      <c r="E5173" s="12" t="inlineStr">
        <is>
          <t>SC-1</t>
        </is>
      </c>
      <c r="F5173" s="12" t="inlineStr">
        <is>
          <t>SC-1: aeroderivative simple-cycle unit (LM6000 class)</t>
        </is>
      </c>
      <c r="G5173" s="12" t="inlineStr"/>
      <c r="H5173" s="12" t="inlineStr">
        <is>
          <t>SC-1 PCM + 15 kV GCB</t>
        </is>
      </c>
      <c r="I5173" s="12" t="inlineStr">
        <is>
          <t>MV 15 kV</t>
        </is>
      </c>
      <c r="J5173" s="12" t="inlineStr">
        <is>
          <t>MV-105 15 kV 1/C Cu, EPR 133%, Cu tape shield, PVC jacket (triplexed)</t>
        </is>
      </c>
      <c r="K5173" s="12" t="inlineStr">
        <is>
          <t>MV15|1/C|750</t>
        </is>
      </c>
      <c r="L5173" s="12" t="inlineStr">
        <is>
          <t>1/C</t>
        </is>
      </c>
      <c r="M5173" s="12" t="inlineStr">
        <is>
          <t>750 kcmil</t>
        </is>
      </c>
      <c r="N5173" s="12" t="n">
        <v>5</v>
      </c>
      <c r="O5173" s="12" t="n">
        <v>3</v>
      </c>
      <c r="P5173" s="12" t="n">
        <v>13800</v>
      </c>
      <c r="Q5173" s="12" t="n">
        <v>50000</v>
      </c>
      <c r="R5173" s="12" t="n">
        <v>2092</v>
      </c>
      <c r="S5173" s="12" t="inlineStr">
        <is>
          <t>Tray</t>
        </is>
      </c>
      <c r="T5173" s="16" t="n">
        <v>12</v>
      </c>
      <c r="U5173" s="16" t="n">
        <v>52</v>
      </c>
      <c r="V5173" s="16">
        <f>ROUNDUP((T5173+U5173+2*'Read Me'!$B$13)*(1+'Read Me'!$B$12),-1)</f>
        <v/>
      </c>
      <c r="W5173" s="16">
        <f>V5173*N5173*O5173</f>
        <v/>
      </c>
      <c r="X5173" s="12">
        <f>IF(LEFT(I5173,2)="MV",2*N5173*IF(L5173="1/C",O5173,1),0)</f>
        <v/>
      </c>
      <c r="Y5173" s="12">
        <f>IF(OR(LEFT(K5173,4)="LVAX",LEFT(K5173,6)="MV15AX",LEFT(K5173,4)="CTAX",LEFT(K5173,2)="W|"),2*N5173*O5173,0)</f>
        <v/>
      </c>
      <c r="Z5173" s="12" t="inlineStr"/>
      <c r="AA5173" s="12">
        <f>N5173*O5173</f>
        <v/>
      </c>
    </row>
    <row r="5174">
      <c r="A5174" s="12" t="inlineStr">
        <is>
          <t>I-MV-0024</t>
        </is>
      </c>
      <c r="B5174" s="12" t="inlineStr">
        <is>
          <t>I</t>
        </is>
      </c>
      <c r="C5174" s="12" t="inlineStr">
        <is>
          <t>Modular / portable power</t>
        </is>
      </c>
      <c r="D5174" s="12" t="inlineStr">
        <is>
          <t>SC-2 (LM6000 class) generator leads to its PCM / GCB</t>
        </is>
      </c>
      <c r="E5174" s="12" t="inlineStr">
        <is>
          <t>SC-2</t>
        </is>
      </c>
      <c r="F5174" s="12" t="inlineStr">
        <is>
          <t>SC-2: aeroderivative simple-cycle unit (LM6000 class)</t>
        </is>
      </c>
      <c r="G5174" s="12" t="inlineStr"/>
      <c r="H5174" s="12" t="inlineStr">
        <is>
          <t>SC-2 PCM + 15 kV GCB</t>
        </is>
      </c>
      <c r="I5174" s="12" t="inlineStr">
        <is>
          <t>MV 15 kV</t>
        </is>
      </c>
      <c r="J5174" s="12" t="inlineStr">
        <is>
          <t>MV-105 15 kV 1/C Cu, EPR 133%, Cu tape shield, PVC jacket (triplexed)</t>
        </is>
      </c>
      <c r="K5174" s="12" t="inlineStr">
        <is>
          <t>MV15|1/C|750</t>
        </is>
      </c>
      <c r="L5174" s="12" t="inlineStr">
        <is>
          <t>1/C</t>
        </is>
      </c>
      <c r="M5174" s="12" t="inlineStr">
        <is>
          <t>750 kcmil</t>
        </is>
      </c>
      <c r="N5174" s="12" t="n">
        <v>5</v>
      </c>
      <c r="O5174" s="12" t="n">
        <v>3</v>
      </c>
      <c r="P5174" s="12" t="n">
        <v>13800</v>
      </c>
      <c r="Q5174" s="12" t="n">
        <v>50000</v>
      </c>
      <c r="R5174" s="12" t="n">
        <v>2092</v>
      </c>
      <c r="S5174" s="12" t="inlineStr">
        <is>
          <t>Tray</t>
        </is>
      </c>
      <c r="T5174" s="16" t="n">
        <v>0</v>
      </c>
      <c r="U5174" s="16" t="n">
        <v>62</v>
      </c>
      <c r="V5174" s="16">
        <f>ROUNDUP((T5174+U5174+2*'Read Me'!$B$13)*(1+'Read Me'!$B$12),-1)</f>
        <v/>
      </c>
      <c r="W5174" s="16">
        <f>V5174*N5174*O5174</f>
        <v/>
      </c>
      <c r="X5174" s="12">
        <f>IF(LEFT(I5174,2)="MV",2*N5174*IF(L5174="1/C",O5174,1),0)</f>
        <v/>
      </c>
      <c r="Y5174" s="12">
        <f>IF(OR(LEFT(K5174,4)="LVAX",LEFT(K5174,6)="MV15AX",LEFT(K5174,4)="CTAX",LEFT(K5174,2)="W|"),2*N5174*O5174,0)</f>
        <v/>
      </c>
      <c r="Z5174" s="12" t="inlineStr"/>
      <c r="AA5174" s="12">
        <f>N5174*O5174</f>
        <v/>
      </c>
    </row>
    <row r="5175">
      <c r="A5175" s="12" t="inlineStr">
        <is>
          <t>I-PP-0001</t>
        </is>
      </c>
      <c r="B5175" s="12" t="inlineStr">
        <is>
          <t>I</t>
        </is>
      </c>
      <c r="C5175" s="12" t="inlineStr">
        <is>
          <t>Modular / portable power</t>
        </is>
      </c>
      <c r="D5175" s="12" t="inlineStr">
        <is>
          <t>GEN-E 480 V to PAD-LV (Type W sets, cam-lock)</t>
        </is>
      </c>
      <c r="E5175" s="12" t="inlineStr">
        <is>
          <t>GEN-E</t>
        </is>
      </c>
      <c r="F5175" s="12" t="inlineStr">
        <is>
          <t>GEN-E: enclosed industrial gas genset 2 MW</t>
        </is>
      </c>
      <c r="G5175" s="12" t="inlineStr">
        <is>
          <t>PAD-LV</t>
        </is>
      </c>
      <c r="H5175" s="12" t="inlineStr">
        <is>
          <t>PAD-LV 480 V paralleling switchboard</t>
        </is>
      </c>
      <c r="I5175" s="12" t="inlineStr">
        <is>
          <t>Portable LV</t>
        </is>
      </c>
      <c r="J5175" s="12" t="inlineStr">
        <is>
          <t>Type W 2 kV 1/C Cu, EPDM / CPE (portable, cam-lock)</t>
        </is>
      </c>
      <c r="K5175" s="12" t="inlineStr">
        <is>
          <t>W|1/C|4/0</t>
        </is>
      </c>
      <c r="L5175" s="12" t="inlineStr">
        <is>
          <t>1/C</t>
        </is>
      </c>
      <c r="M5175" s="12" t="inlineStr">
        <is>
          <t>4/0</t>
        </is>
      </c>
      <c r="N5175" s="12" t="n">
        <v>8</v>
      </c>
      <c r="O5175" s="12" t="n">
        <v>4</v>
      </c>
      <c r="P5175" s="12" t="n">
        <v>480</v>
      </c>
      <c r="Q5175" s="12" t="n">
        <v>2000</v>
      </c>
      <c r="R5175" s="12" t="n">
        <v>2406</v>
      </c>
      <c r="S5175" s="12" t="inlineStr">
        <is>
          <t>Surface</t>
        </is>
      </c>
      <c r="T5175" s="16" t="n">
        <v>143</v>
      </c>
      <c r="U5175" s="16" t="n">
        <v>27</v>
      </c>
      <c r="V5175" s="16">
        <f>ROUNDUP((T5175+U5175+2*'Read Me'!$B$13)*(1+'Read Me'!$B$12),-1)</f>
        <v/>
      </c>
      <c r="W5175" s="16">
        <f>V5175*N5175*O5175</f>
        <v/>
      </c>
      <c r="X5175" s="12">
        <f>IF(LEFT(I5175,2)="MV",2*N5175*IF(L5175="1/C",O5175,1),0)</f>
        <v/>
      </c>
      <c r="Y5175" s="12">
        <f>IF(OR(LEFT(K5175,4)="LVAX",LEFT(K5175,6)="MV15AX",LEFT(K5175,4)="CTAX",LEFT(K5175,2)="W|"),2*N5175*O5175,0)</f>
        <v/>
      </c>
      <c r="Z5175" s="12" t="inlineStr">
        <is>
          <t>4 x 1/C per set incl. ground</t>
        </is>
      </c>
      <c r="AA5175" s="12">
        <f>N5175*O5175</f>
        <v/>
      </c>
    </row>
    <row r="5176">
      <c r="A5176" s="12" t="inlineStr">
        <is>
          <t>I-PP-0002</t>
        </is>
      </c>
      <c r="B5176" s="12" t="inlineStr">
        <is>
          <t>I</t>
        </is>
      </c>
      <c r="C5176" s="12" t="inlineStr">
        <is>
          <t>Modular / portable power</t>
        </is>
      </c>
      <c r="D5176" s="12" t="inlineStr">
        <is>
          <t>GEN-O 480 V to PAD-LV (Type W sets, cam-lock)</t>
        </is>
      </c>
      <c r="E5176" s="12" t="inlineStr">
        <is>
          <t>GEN-O</t>
        </is>
      </c>
      <c r="F5176" s="12" t="inlineStr">
        <is>
          <t>GEN-O: open engine-generator skid</t>
        </is>
      </c>
      <c r="G5176" s="12" t="inlineStr">
        <is>
          <t>PAD-LV</t>
        </is>
      </c>
      <c r="H5176" s="12" t="inlineStr">
        <is>
          <t>PAD-LV 480 V paralleling switchboard</t>
        </is>
      </c>
      <c r="I5176" s="12" t="inlineStr">
        <is>
          <t>Portable LV</t>
        </is>
      </c>
      <c r="J5176" s="12" t="inlineStr">
        <is>
          <t>Type W 2 kV 1/C Cu, EPDM / CPE (portable, cam-lock)</t>
        </is>
      </c>
      <c r="K5176" s="12" t="inlineStr">
        <is>
          <t>W|1/C|4/0</t>
        </is>
      </c>
      <c r="L5176" s="12" t="inlineStr">
        <is>
          <t>1/C</t>
        </is>
      </c>
      <c r="M5176" s="12" t="inlineStr">
        <is>
          <t>4/0</t>
        </is>
      </c>
      <c r="N5176" s="12" t="n">
        <v>4</v>
      </c>
      <c r="O5176" s="12" t="n">
        <v>4</v>
      </c>
      <c r="P5176" s="12" t="n">
        <v>480</v>
      </c>
      <c r="Q5176" s="12" t="n">
        <v>1000</v>
      </c>
      <c r="R5176" s="12" t="n">
        <v>1203</v>
      </c>
      <c r="S5176" s="12" t="inlineStr">
        <is>
          <t>Surface</t>
        </is>
      </c>
      <c r="T5176" s="16" t="n">
        <v>132</v>
      </c>
      <c r="U5176" s="16" t="n">
        <v>27</v>
      </c>
      <c r="V5176" s="16">
        <f>ROUNDUP((T5176+U5176+2*'Read Me'!$B$13)*(1+'Read Me'!$B$12),-1)</f>
        <v/>
      </c>
      <c r="W5176" s="16">
        <f>V5176*N5176*O5176</f>
        <v/>
      </c>
      <c r="X5176" s="12">
        <f>IF(LEFT(I5176,2)="MV",2*N5176*IF(L5176="1/C",O5176,1),0)</f>
        <v/>
      </c>
      <c r="Y5176" s="12">
        <f>IF(OR(LEFT(K5176,4)="LVAX",LEFT(K5176,6)="MV15AX",LEFT(K5176,4)="CTAX",LEFT(K5176,2)="W|"),2*N5176*O5176,0)</f>
        <v/>
      </c>
      <c r="Z5176" s="12" t="inlineStr">
        <is>
          <t>4 x 1/C per set incl. ground</t>
        </is>
      </c>
      <c r="AA5176" s="12">
        <f>N5176*O5176</f>
        <v/>
      </c>
    </row>
    <row r="5177">
      <c r="A5177" s="12" t="inlineStr">
        <is>
          <t>I-PP-0003</t>
        </is>
      </c>
      <c r="B5177" s="12" t="inlineStr">
        <is>
          <t>I</t>
        </is>
      </c>
      <c r="C5177" s="12" t="inlineStr">
        <is>
          <t>Modular / portable power</t>
        </is>
      </c>
      <c r="D5177" s="12" t="inlineStr">
        <is>
          <t>CONT-1 13.8 kV leads to GSP-1</t>
        </is>
      </c>
      <c r="E5177" s="12" t="inlineStr">
        <is>
          <t>CONT-1</t>
        </is>
      </c>
      <c r="F5177" s="12" t="inlineStr">
        <is>
          <t>CONT-1: containerized genset 13.8 kV (40 ft)</t>
        </is>
      </c>
      <c r="G5177" s="12" t="inlineStr">
        <is>
          <t>GSP-1</t>
        </is>
      </c>
      <c r="H5177" s="12" t="inlineStr">
        <is>
          <t>GSP-1: generator breaker / protection</t>
        </is>
      </c>
      <c r="I5177" s="12" t="inlineStr">
        <is>
          <t>Portable MV</t>
        </is>
      </c>
      <c r="J5177" s="12" t="inlineStr">
        <is>
          <t>Type SHD-GC 15 kV 3/C Cu, 2 grounds + GC, yellow CPE (portable)</t>
        </is>
      </c>
      <c r="K5177" s="12" t="inlineStr">
        <is>
          <t>SHD|3/C|2</t>
        </is>
      </c>
      <c r="L5177" s="12" t="inlineStr">
        <is>
          <t>3/C</t>
        </is>
      </c>
      <c r="M5177" s="12" t="inlineStr">
        <is>
          <t>2</t>
        </is>
      </c>
      <c r="N5177" s="12" t="n">
        <v>1</v>
      </c>
      <c r="O5177" s="12" t="n">
        <v>1</v>
      </c>
      <c r="P5177" s="12" t="n">
        <v>13800</v>
      </c>
      <c r="Q5177" s="12" t="n">
        <v>2000</v>
      </c>
      <c r="R5177" s="12" t="n">
        <v>93</v>
      </c>
      <c r="S5177" s="12" t="inlineStr">
        <is>
          <t>Tray</t>
        </is>
      </c>
      <c r="T5177" s="16" t="n">
        <v>0</v>
      </c>
      <c r="U5177" s="16" t="n">
        <v>29</v>
      </c>
      <c r="V5177" s="16">
        <f>ROUNDUP((T5177+U5177+2*'Read Me'!$B$13)*(1+'Read Me'!$B$12),-1)</f>
        <v/>
      </c>
      <c r="W5177" s="16">
        <f>V5177*N5177*O5177</f>
        <v/>
      </c>
      <c r="X5177" s="12">
        <f>IF(LEFT(I5177,2)="MV",2*N5177*IF(L5177="1/C",O5177,1),0)</f>
        <v/>
      </c>
      <c r="Y5177" s="12">
        <f>IF(OR(LEFT(K5177,4)="LVAX",LEFT(K5177,6)="MV15AX",LEFT(K5177,4)="CTAX",LEFT(K5177,2)="W|"),2*N5177*O5177,0)</f>
        <v/>
      </c>
      <c r="Z5177" s="12" t="inlineStr">
        <is>
          <t>portable, on grade</t>
        </is>
      </c>
      <c r="AA5177" s="12">
        <f>N5177*O5177</f>
        <v/>
      </c>
    </row>
    <row r="5178">
      <c r="A5178" s="12" t="inlineStr">
        <is>
          <t>I-PP-0004</t>
        </is>
      </c>
      <c r="B5178" s="12" t="inlineStr">
        <is>
          <t>I</t>
        </is>
      </c>
      <c r="C5178" s="12" t="inlineStr">
        <is>
          <t>Modular / portable power</t>
        </is>
      </c>
      <c r="D5178" s="12" t="inlineStr">
        <is>
          <t>CONT-2 13.8 kV leads to GSP-2</t>
        </is>
      </c>
      <c r="E5178" s="12" t="inlineStr">
        <is>
          <t>CONT-2</t>
        </is>
      </c>
      <c r="F5178" s="12" t="inlineStr">
        <is>
          <t>CONT-2: containerized genset 13.8 kV (40 ft)</t>
        </is>
      </c>
      <c r="G5178" s="12" t="inlineStr">
        <is>
          <t>GSP-2</t>
        </is>
      </c>
      <c r="H5178" s="12" t="inlineStr">
        <is>
          <t>GSP-2: generator breaker / protection</t>
        </is>
      </c>
      <c r="I5178" s="12" t="inlineStr">
        <is>
          <t>Portable MV</t>
        </is>
      </c>
      <c r="J5178" s="12" t="inlineStr">
        <is>
          <t>Type SHD-GC 15 kV 3/C Cu, 2 grounds + GC, yellow CPE (portable)</t>
        </is>
      </c>
      <c r="K5178" s="12" t="inlineStr">
        <is>
          <t>SHD|3/C|2</t>
        </is>
      </c>
      <c r="L5178" s="12" t="inlineStr">
        <is>
          <t>3/C</t>
        </is>
      </c>
      <c r="M5178" s="12" t="inlineStr">
        <is>
          <t>2</t>
        </is>
      </c>
      <c r="N5178" s="12" t="n">
        <v>1</v>
      </c>
      <c r="O5178" s="12" t="n">
        <v>1</v>
      </c>
      <c r="P5178" s="12" t="n">
        <v>13800</v>
      </c>
      <c r="Q5178" s="12" t="n">
        <v>2000</v>
      </c>
      <c r="R5178" s="12" t="n">
        <v>93</v>
      </c>
      <c r="S5178" s="12" t="inlineStr">
        <is>
          <t>Riser</t>
        </is>
      </c>
      <c r="T5178" s="16" t="n">
        <v>2</v>
      </c>
      <c r="U5178" s="16" t="n">
        <v>27</v>
      </c>
      <c r="V5178" s="16">
        <f>ROUNDUP((T5178+U5178+2*'Read Me'!$B$13)*(1+'Read Me'!$B$12),-1)</f>
        <v/>
      </c>
      <c r="W5178" s="16">
        <f>V5178*N5178*O5178</f>
        <v/>
      </c>
      <c r="X5178" s="12">
        <f>IF(LEFT(I5178,2)="MV",2*N5178*IF(L5178="1/C",O5178,1),0)</f>
        <v/>
      </c>
      <c r="Y5178" s="12">
        <f>IF(OR(LEFT(K5178,4)="LVAX",LEFT(K5178,6)="MV15AX",LEFT(K5178,4)="CTAX",LEFT(K5178,2)="W|"),2*N5178*O5178,0)</f>
        <v/>
      </c>
      <c r="Z5178" s="12" t="inlineStr">
        <is>
          <t>portable, on grade</t>
        </is>
      </c>
      <c r="AA5178" s="12">
        <f>N5178*O5178</f>
        <v/>
      </c>
    </row>
    <row r="5179">
      <c r="A5179" s="12" t="inlineStr">
        <is>
          <t>I-PP-0005</t>
        </is>
      </c>
      <c r="B5179" s="12" t="inlineStr">
        <is>
          <t>I</t>
        </is>
      </c>
      <c r="C5179" s="12" t="inlineStr">
        <is>
          <t>Modular / portable power</t>
        </is>
      </c>
      <c r="D5179" s="12" t="inlineStr">
        <is>
          <t>PIC to commissioning load bank</t>
        </is>
      </c>
      <c r="E5179" s="12" t="inlineStr">
        <is>
          <t>PIC</t>
        </is>
      </c>
      <c r="F5179" s="12" t="inlineStr">
        <is>
          <t>PIC: portable input cabinet</t>
        </is>
      </c>
      <c r="G5179" s="12" t="inlineStr">
        <is>
          <t>LB</t>
        </is>
      </c>
      <c r="H5179" s="12" t="inlineStr">
        <is>
          <t>LB: commissioning load bank (trailer)</t>
        </is>
      </c>
      <c r="I5179" s="12" t="inlineStr">
        <is>
          <t>Portable MV</t>
        </is>
      </c>
      <c r="J5179" s="12" t="inlineStr">
        <is>
          <t>Type SHD-GC 15 kV 3/C Cu, 2 grounds + GC, yellow CPE (portable)</t>
        </is>
      </c>
      <c r="K5179" s="12" t="inlineStr">
        <is>
          <t>SHD|3/C|2</t>
        </is>
      </c>
      <c r="L5179" s="12" t="inlineStr">
        <is>
          <t>3/C</t>
        </is>
      </c>
      <c r="M5179" s="12" t="inlineStr">
        <is>
          <t>2</t>
        </is>
      </c>
      <c r="N5179" s="12" t="n">
        <v>1</v>
      </c>
      <c r="O5179" s="12" t="n">
        <v>1</v>
      </c>
      <c r="P5179" s="12" t="n">
        <v>13800</v>
      </c>
      <c r="Q5179" s="12" t="n">
        <v>2000</v>
      </c>
      <c r="R5179" s="12" t="n">
        <v>93</v>
      </c>
      <c r="S5179" s="12" t="inlineStr">
        <is>
          <t>Surface</t>
        </is>
      </c>
      <c r="T5179" s="16" t="n">
        <v>27</v>
      </c>
      <c r="U5179" s="16" t="n">
        <v>39</v>
      </c>
      <c r="V5179" s="16">
        <f>ROUNDUP((T5179+U5179+2*'Read Me'!$B$13)*(1+'Read Me'!$B$12),-1)</f>
        <v/>
      </c>
      <c r="W5179" s="16">
        <f>V5179*N5179*O5179</f>
        <v/>
      </c>
      <c r="X5179" s="12">
        <f>IF(LEFT(I5179,2)="MV",2*N5179*IF(L5179="1/C",O5179,1),0)</f>
        <v/>
      </c>
      <c r="Y5179" s="12">
        <f>IF(OR(LEFT(K5179,4)="LVAX",LEFT(K5179,6)="MV15AX",LEFT(K5179,4)="CTAX",LEFT(K5179,2)="W|"),2*N5179*O5179,0)</f>
        <v/>
      </c>
      <c r="Z5179" s="12" t="inlineStr">
        <is>
          <t>portable</t>
        </is>
      </c>
      <c r="AA5179" s="12">
        <f>N5179*O5179</f>
        <v/>
      </c>
    </row>
    <row r="5180">
      <c r="A5180" s="12" t="inlineStr">
        <is>
          <t>I-PP-0006</t>
        </is>
      </c>
      <c r="B5180" s="12" t="inlineStr">
        <is>
          <t>I</t>
        </is>
      </c>
      <c r="C5180" s="12" t="inlineStr">
        <is>
          <t>Modular / portable power</t>
        </is>
      </c>
      <c r="D5180" s="12" t="inlineStr">
        <is>
          <t>GSP-1 to PAD-EH</t>
        </is>
      </c>
      <c r="E5180" s="12" t="inlineStr">
        <is>
          <t>GSP-1</t>
        </is>
      </c>
      <c r="F5180" s="12" t="inlineStr">
        <is>
          <t>GSP-1: generator breaker / protection</t>
        </is>
      </c>
      <c r="G5180" s="12" t="inlineStr">
        <is>
          <t>PAD-EH</t>
        </is>
      </c>
      <c r="H5180" s="12" t="inlineStr">
        <is>
          <t>PAD-EH 13.8 kV switchgear e-house</t>
        </is>
      </c>
      <c r="I5180" s="12" t="inlineStr">
        <is>
          <t>Portable MV</t>
        </is>
      </c>
      <c r="J5180" s="12" t="inlineStr">
        <is>
          <t>Type SHD-GC 15 kV 3/C Cu, 2 grounds + GC, yellow CPE (portable)</t>
        </is>
      </c>
      <c r="K5180" s="12" t="inlineStr">
        <is>
          <t>SHD|3/C|2</t>
        </is>
      </c>
      <c r="L5180" s="12" t="inlineStr">
        <is>
          <t>3/C</t>
        </is>
      </c>
      <c r="M5180" s="12" t="inlineStr">
        <is>
          <t>2</t>
        </is>
      </c>
      <c r="N5180" s="12" t="n">
        <v>1</v>
      </c>
      <c r="O5180" s="12" t="n">
        <v>1</v>
      </c>
      <c r="P5180" s="12" t="n">
        <v>13800</v>
      </c>
      <c r="Q5180" s="12" t="n">
        <v>2000</v>
      </c>
      <c r="R5180" s="12" t="n">
        <v>93</v>
      </c>
      <c r="S5180" s="12" t="inlineStr">
        <is>
          <t>Surface</t>
        </is>
      </c>
      <c r="T5180" s="16" t="n">
        <v>298</v>
      </c>
      <c r="U5180" s="16" t="n">
        <v>37</v>
      </c>
      <c r="V5180" s="16">
        <f>ROUNDUP((T5180+U5180+2*'Read Me'!$B$13)*(1+'Read Me'!$B$12),-1)</f>
        <v/>
      </c>
      <c r="W5180" s="16">
        <f>V5180*N5180*O5180</f>
        <v/>
      </c>
      <c r="X5180" s="12">
        <f>IF(LEFT(I5180,2)="MV",2*N5180*IF(L5180="1/C",O5180,1),0)</f>
        <v/>
      </c>
      <c r="Y5180" s="12">
        <f>IF(OR(LEFT(K5180,4)="LVAX",LEFT(K5180,6)="MV15AX",LEFT(K5180,4)="CTAX",LEFT(K5180,2)="W|"),2*N5180*O5180,0)</f>
        <v/>
      </c>
      <c r="Z5180" s="12" t="inlineStr">
        <is>
          <t>portable, on grade</t>
        </is>
      </c>
      <c r="AA5180" s="12">
        <f>N5180*O5180</f>
        <v/>
      </c>
    </row>
    <row r="5181">
      <c r="A5181" s="12" t="inlineStr">
        <is>
          <t>I-PP-0007</t>
        </is>
      </c>
      <c r="B5181" s="12" t="inlineStr">
        <is>
          <t>I</t>
        </is>
      </c>
      <c r="C5181" s="12" t="inlineStr">
        <is>
          <t>Modular / portable power</t>
        </is>
      </c>
      <c r="D5181" s="12" t="inlineStr">
        <is>
          <t>GSP-2 to PAD-EH</t>
        </is>
      </c>
      <c r="E5181" s="12" t="inlineStr">
        <is>
          <t>GSP-2</t>
        </is>
      </c>
      <c r="F5181" s="12" t="inlineStr">
        <is>
          <t>GSP-2: generator breaker / protection</t>
        </is>
      </c>
      <c r="G5181" s="12" t="inlineStr">
        <is>
          <t>PAD-EH</t>
        </is>
      </c>
      <c r="H5181" s="12" t="inlineStr">
        <is>
          <t>PAD-EH 13.8 kV switchgear e-house</t>
        </is>
      </c>
      <c r="I5181" s="12" t="inlineStr">
        <is>
          <t>Portable MV</t>
        </is>
      </c>
      <c r="J5181" s="12" t="inlineStr">
        <is>
          <t>Type SHD-GC 15 kV 3/C Cu, 2 grounds + GC, yellow CPE (portable)</t>
        </is>
      </c>
      <c r="K5181" s="12" t="inlineStr">
        <is>
          <t>SHD|3/C|2</t>
        </is>
      </c>
      <c r="L5181" s="12" t="inlineStr">
        <is>
          <t>3/C</t>
        </is>
      </c>
      <c r="M5181" s="12" t="inlineStr">
        <is>
          <t>2</t>
        </is>
      </c>
      <c r="N5181" s="12" t="n">
        <v>1</v>
      </c>
      <c r="O5181" s="12" t="n">
        <v>1</v>
      </c>
      <c r="P5181" s="12" t="n">
        <v>13800</v>
      </c>
      <c r="Q5181" s="12" t="n">
        <v>2000</v>
      </c>
      <c r="R5181" s="12" t="n">
        <v>93</v>
      </c>
      <c r="S5181" s="12" t="inlineStr">
        <is>
          <t>Surface</t>
        </is>
      </c>
      <c r="T5181" s="16" t="n">
        <v>269</v>
      </c>
      <c r="U5181" s="16" t="n">
        <v>37</v>
      </c>
      <c r="V5181" s="16">
        <f>ROUNDUP((T5181+U5181+2*'Read Me'!$B$13)*(1+'Read Me'!$B$12),-1)</f>
        <v/>
      </c>
      <c r="W5181" s="16">
        <f>V5181*N5181*O5181</f>
        <v/>
      </c>
      <c r="X5181" s="12">
        <f>IF(LEFT(I5181,2)="MV",2*N5181*IF(L5181="1/C",O5181,1),0)</f>
        <v/>
      </c>
      <c r="Y5181" s="12">
        <f>IF(OR(LEFT(K5181,4)="LVAX",LEFT(K5181,6)="MV15AX",LEFT(K5181,4)="CTAX",LEFT(K5181,2)="W|"),2*N5181*O5181,0)</f>
        <v/>
      </c>
      <c r="Z5181" s="12" t="inlineStr">
        <is>
          <t>portable, on grade</t>
        </is>
      </c>
      <c r="AA5181" s="12">
        <f>N5181*O5181</f>
        <v/>
      </c>
    </row>
    <row r="5182">
      <c r="A5182" s="12" t="inlineStr">
        <is>
          <t>I-PP-0008</t>
        </is>
      </c>
      <c r="B5182" s="12" t="inlineStr">
        <is>
          <t>I</t>
        </is>
      </c>
      <c r="C5182" s="12" t="inlineStr">
        <is>
          <t>Modular / portable power</t>
        </is>
      </c>
      <c r="D5182" s="12" t="inlineStr">
        <is>
          <t>MOB-1 13.8 kV to PIC through the C-L01 ramp</t>
        </is>
      </c>
      <c r="E5182" s="12" t="inlineStr">
        <is>
          <t>MOB-1</t>
        </is>
      </c>
      <c r="F5182" s="12" t="inlineStr">
        <is>
          <t>MOB-1: trailer genset</t>
        </is>
      </c>
      <c r="G5182" s="12" t="inlineStr">
        <is>
          <t>PIC</t>
        </is>
      </c>
      <c r="H5182" s="12" t="inlineStr">
        <is>
          <t>PIC: portable input cabinet</t>
        </is>
      </c>
      <c r="I5182" s="12" t="inlineStr">
        <is>
          <t>Portable MV</t>
        </is>
      </c>
      <c r="J5182" s="12" t="inlineStr">
        <is>
          <t>Type SHD-GC 15 kV 3/C Cu, 2 grounds + GC, yellow CPE (portable)</t>
        </is>
      </c>
      <c r="K5182" s="12" t="inlineStr">
        <is>
          <t>SHD|3/C|2</t>
        </is>
      </c>
      <c r="L5182" s="12" t="inlineStr">
        <is>
          <t>3/C</t>
        </is>
      </c>
      <c r="M5182" s="12" t="inlineStr">
        <is>
          <t>2</t>
        </is>
      </c>
      <c r="N5182" s="12" t="n">
        <v>1</v>
      </c>
      <c r="O5182" s="12" t="n">
        <v>1</v>
      </c>
      <c r="P5182" s="12" t="n">
        <v>13800</v>
      </c>
      <c r="Q5182" s="12" t="n">
        <v>2000</v>
      </c>
      <c r="R5182" s="12" t="n">
        <v>93</v>
      </c>
      <c r="S5182" s="12" t="inlineStr">
        <is>
          <t>Surface</t>
        </is>
      </c>
      <c r="T5182" s="16" t="n">
        <v>162</v>
      </c>
      <c r="U5182" s="16" t="n">
        <v>27</v>
      </c>
      <c r="V5182" s="16">
        <f>ROUNDUP((T5182+U5182+2*'Read Me'!$B$13)*(1+'Read Me'!$B$12),-1)</f>
        <v/>
      </c>
      <c r="W5182" s="16">
        <f>V5182*N5182*O5182</f>
        <v/>
      </c>
      <c r="X5182" s="12">
        <f>IF(LEFT(I5182,2)="MV",2*N5182*IF(L5182="1/C",O5182,1),0)</f>
        <v/>
      </c>
      <c r="Y5182" s="12">
        <f>IF(OR(LEFT(K5182,4)="LVAX",LEFT(K5182,6)="MV15AX",LEFT(K5182,4)="CTAX",LEFT(K5182,2)="W|"),2*N5182*O5182,0)</f>
        <v/>
      </c>
      <c r="Z5182" s="12" t="inlineStr">
        <is>
          <t>portable</t>
        </is>
      </c>
      <c r="AA5182" s="12">
        <f>N5182*O5182</f>
        <v/>
      </c>
    </row>
    <row r="5183">
      <c r="A5183" s="12" t="inlineStr">
        <is>
          <t>J-C-0001</t>
        </is>
      </c>
      <c r="B5183" s="12" t="inlineStr">
        <is>
          <t>J</t>
        </is>
      </c>
      <c r="C5183" s="12" t="inlineStr">
        <is>
          <t>GT inlet chilling</t>
        </is>
      </c>
      <c r="D5183" s="12" t="inlineStr">
        <is>
          <t>Motor 1 of 4: control / local station</t>
        </is>
      </c>
      <c r="E5183" s="12" t="inlineStr"/>
      <c r="F5183" s="12" t="inlineStr">
        <is>
          <t>Inlet-chilling e-house / transformer</t>
        </is>
      </c>
      <c r="G5183" s="12" t="inlineStr"/>
      <c r="H5183" s="12" t="inlineStr">
        <is>
          <t>CHW pumps</t>
        </is>
      </c>
      <c r="I5183" s="12" t="inlineStr">
        <is>
          <t>Control</t>
        </is>
      </c>
      <c r="J5183" s="12" t="inlineStr">
        <is>
          <t>Control cable 600 V Type TC-ER, Cu #14 AWG, PVC jacket</t>
        </is>
      </c>
      <c r="K5183" s="12" t="inlineStr">
        <is>
          <t>CT|7/C|14</t>
        </is>
      </c>
      <c r="L5183" s="12" t="inlineStr">
        <is>
          <t>7/C</t>
        </is>
      </c>
      <c r="M5183" s="12" t="inlineStr">
        <is>
          <t>14</t>
        </is>
      </c>
      <c r="N5183" s="12" t="n">
        <v>1</v>
      </c>
      <c r="O5183" s="12" t="n">
        <v>1</v>
      </c>
      <c r="P5183" s="12" t="n"/>
      <c r="Q5183" s="12" t="n"/>
      <c r="R5183" s="12" t="n"/>
      <c r="S5183" s="12" t="inlineStr">
        <is>
          <t>Duct bank</t>
        </is>
      </c>
      <c r="T5183" s="16" t="n">
        <v>579</v>
      </c>
      <c r="U5183" s="16" t="n">
        <v>32</v>
      </c>
      <c r="V5183" s="16">
        <f>ROUNDUP((T5183+U5183+2*'Read Me'!$B$13)*(1+'Read Me'!$B$12),-1)</f>
        <v/>
      </c>
      <c r="W5183" s="16">
        <f>V5183*N5183*O5183</f>
        <v/>
      </c>
      <c r="X5183" s="12">
        <f>IF(LEFT(I5183,2)="MV",2*N5183*IF(L5183="1/C",O5183,1),0)</f>
        <v/>
      </c>
      <c r="Y5183" s="12">
        <f>IF(OR(LEFT(K5183,4)="LVAX",LEFT(K5183,6)="MV15AX",LEFT(K5183,4)="CTAX",LEFT(K5183,2)="W|"),2*N5183*O5183,0)</f>
        <v/>
      </c>
      <c r="Z5183" s="12" t="inlineStr"/>
      <c r="AA5183" s="12">
        <f>N5183*O5183</f>
        <v/>
      </c>
    </row>
    <row r="5184">
      <c r="A5184" s="12" t="inlineStr">
        <is>
          <t>J-C-0002</t>
        </is>
      </c>
      <c r="B5184" s="12" t="inlineStr">
        <is>
          <t>J</t>
        </is>
      </c>
      <c r="C5184" s="12" t="inlineStr">
        <is>
          <t>GT inlet chilling</t>
        </is>
      </c>
      <c r="D5184" s="12" t="inlineStr">
        <is>
          <t>Motor 2 of 4: control / local station</t>
        </is>
      </c>
      <c r="E5184" s="12" t="inlineStr"/>
      <c r="F5184" s="12" t="inlineStr">
        <is>
          <t>Inlet-chilling e-house / transformer</t>
        </is>
      </c>
      <c r="G5184" s="12" t="inlineStr"/>
      <c r="H5184" s="12" t="inlineStr">
        <is>
          <t>CHW pumps</t>
        </is>
      </c>
      <c r="I5184" s="12" t="inlineStr">
        <is>
          <t>Control</t>
        </is>
      </c>
      <c r="J5184" s="12" t="inlineStr">
        <is>
          <t>Control cable 600 V Type TC-ER, Cu #14 AWG, PVC jacket</t>
        </is>
      </c>
      <c r="K5184" s="12" t="inlineStr">
        <is>
          <t>CT|7/C|14</t>
        </is>
      </c>
      <c r="L5184" s="12" t="inlineStr">
        <is>
          <t>7/C</t>
        </is>
      </c>
      <c r="M5184" s="12" t="inlineStr">
        <is>
          <t>14</t>
        </is>
      </c>
      <c r="N5184" s="12" t="n">
        <v>1</v>
      </c>
      <c r="O5184" s="12" t="n">
        <v>1</v>
      </c>
      <c r="P5184" s="12" t="n"/>
      <c r="Q5184" s="12" t="n"/>
      <c r="R5184" s="12" t="n"/>
      <c r="S5184" s="12" t="inlineStr">
        <is>
          <t>Duct bank</t>
        </is>
      </c>
      <c r="T5184" s="16" t="n">
        <v>579</v>
      </c>
      <c r="U5184" s="16" t="n">
        <v>32</v>
      </c>
      <c r="V5184" s="16">
        <f>ROUNDUP((T5184+U5184+2*'Read Me'!$B$13)*(1+'Read Me'!$B$12),-1)</f>
        <v/>
      </c>
      <c r="W5184" s="16">
        <f>V5184*N5184*O5184</f>
        <v/>
      </c>
      <c r="X5184" s="12">
        <f>IF(LEFT(I5184,2)="MV",2*N5184*IF(L5184="1/C",O5184,1),0)</f>
        <v/>
      </c>
      <c r="Y5184" s="12">
        <f>IF(OR(LEFT(K5184,4)="LVAX",LEFT(K5184,6)="MV15AX",LEFT(K5184,4)="CTAX",LEFT(K5184,2)="W|"),2*N5184*O5184,0)</f>
        <v/>
      </c>
      <c r="Z5184" s="12" t="inlineStr"/>
      <c r="AA5184" s="12">
        <f>N5184*O5184</f>
        <v/>
      </c>
    </row>
    <row r="5185">
      <c r="A5185" s="12" t="inlineStr">
        <is>
          <t>J-C-0003</t>
        </is>
      </c>
      <c r="B5185" s="12" t="inlineStr">
        <is>
          <t>J</t>
        </is>
      </c>
      <c r="C5185" s="12" t="inlineStr">
        <is>
          <t>GT inlet chilling</t>
        </is>
      </c>
      <c r="D5185" s="12" t="inlineStr">
        <is>
          <t>Motor 3 of 4: control / local station</t>
        </is>
      </c>
      <c r="E5185" s="12" t="inlineStr"/>
      <c r="F5185" s="12" t="inlineStr">
        <is>
          <t>Inlet-chilling e-house / transformer</t>
        </is>
      </c>
      <c r="G5185" s="12" t="inlineStr"/>
      <c r="H5185" s="12" t="inlineStr">
        <is>
          <t>CHW pumps</t>
        </is>
      </c>
      <c r="I5185" s="12" t="inlineStr">
        <is>
          <t>Control</t>
        </is>
      </c>
      <c r="J5185" s="12" t="inlineStr">
        <is>
          <t>Control cable 600 V Type TC-ER, Cu #14 AWG, PVC jacket</t>
        </is>
      </c>
      <c r="K5185" s="12" t="inlineStr">
        <is>
          <t>CT|7/C|14</t>
        </is>
      </c>
      <c r="L5185" s="12" t="inlineStr">
        <is>
          <t>7/C</t>
        </is>
      </c>
      <c r="M5185" s="12" t="inlineStr">
        <is>
          <t>14</t>
        </is>
      </c>
      <c r="N5185" s="12" t="n">
        <v>1</v>
      </c>
      <c r="O5185" s="12" t="n">
        <v>1</v>
      </c>
      <c r="P5185" s="12" t="n"/>
      <c r="Q5185" s="12" t="n"/>
      <c r="R5185" s="12" t="n"/>
      <c r="S5185" s="12" t="inlineStr">
        <is>
          <t>Duct bank</t>
        </is>
      </c>
      <c r="T5185" s="16" t="n">
        <v>579</v>
      </c>
      <c r="U5185" s="16" t="n">
        <v>32</v>
      </c>
      <c r="V5185" s="16">
        <f>ROUNDUP((T5185+U5185+2*'Read Me'!$B$13)*(1+'Read Me'!$B$12),-1)</f>
        <v/>
      </c>
      <c r="W5185" s="16">
        <f>V5185*N5185*O5185</f>
        <v/>
      </c>
      <c r="X5185" s="12">
        <f>IF(LEFT(I5185,2)="MV",2*N5185*IF(L5185="1/C",O5185,1),0)</f>
        <v/>
      </c>
      <c r="Y5185" s="12">
        <f>IF(OR(LEFT(K5185,4)="LVAX",LEFT(K5185,6)="MV15AX",LEFT(K5185,4)="CTAX",LEFT(K5185,2)="W|"),2*N5185*O5185,0)</f>
        <v/>
      </c>
      <c r="Z5185" s="12" t="inlineStr"/>
      <c r="AA5185" s="12">
        <f>N5185*O5185</f>
        <v/>
      </c>
    </row>
    <row r="5186">
      <c r="A5186" s="12" t="inlineStr">
        <is>
          <t>J-C-0004</t>
        </is>
      </c>
      <c r="B5186" s="12" t="inlineStr">
        <is>
          <t>J</t>
        </is>
      </c>
      <c r="C5186" s="12" t="inlineStr">
        <is>
          <t>GT inlet chilling</t>
        </is>
      </c>
      <c r="D5186" s="12" t="inlineStr">
        <is>
          <t>Motor 4 of 4: control / local station</t>
        </is>
      </c>
      <c r="E5186" s="12" t="inlineStr"/>
      <c r="F5186" s="12" t="inlineStr">
        <is>
          <t>Inlet-chilling e-house / transformer</t>
        </is>
      </c>
      <c r="G5186" s="12" t="inlineStr"/>
      <c r="H5186" s="12" t="inlineStr">
        <is>
          <t>CHW pumps</t>
        </is>
      </c>
      <c r="I5186" s="12" t="inlineStr">
        <is>
          <t>Control</t>
        </is>
      </c>
      <c r="J5186" s="12" t="inlineStr">
        <is>
          <t>Control cable 600 V Type TC-ER, Cu #14 AWG, PVC jacket</t>
        </is>
      </c>
      <c r="K5186" s="12" t="inlineStr">
        <is>
          <t>CT|7/C|14</t>
        </is>
      </c>
      <c r="L5186" s="12" t="inlineStr">
        <is>
          <t>7/C</t>
        </is>
      </c>
      <c r="M5186" s="12" t="inlineStr">
        <is>
          <t>14</t>
        </is>
      </c>
      <c r="N5186" s="12" t="n">
        <v>1</v>
      </c>
      <c r="O5186" s="12" t="n">
        <v>1</v>
      </c>
      <c r="P5186" s="12" t="n"/>
      <c r="Q5186" s="12" t="n"/>
      <c r="R5186" s="12" t="n"/>
      <c r="S5186" s="12" t="inlineStr">
        <is>
          <t>Duct bank</t>
        </is>
      </c>
      <c r="T5186" s="16" t="n">
        <v>579</v>
      </c>
      <c r="U5186" s="16" t="n">
        <v>32</v>
      </c>
      <c r="V5186" s="16">
        <f>ROUNDUP((T5186+U5186+2*'Read Me'!$B$13)*(1+'Read Me'!$B$12),-1)</f>
        <v/>
      </c>
      <c r="W5186" s="16">
        <f>V5186*N5186*O5186</f>
        <v/>
      </c>
      <c r="X5186" s="12">
        <f>IF(LEFT(I5186,2)="MV",2*N5186*IF(L5186="1/C",O5186,1),0)</f>
        <v/>
      </c>
      <c r="Y5186" s="12">
        <f>IF(OR(LEFT(K5186,4)="LVAX",LEFT(K5186,6)="MV15AX",LEFT(K5186,4)="CTAX",LEFT(K5186,2)="W|"),2*N5186*O5186,0)</f>
        <v/>
      </c>
      <c r="Z5186" s="12" t="inlineStr"/>
      <c r="AA5186" s="12">
        <f>N5186*O5186</f>
        <v/>
      </c>
    </row>
    <row r="5187">
      <c r="A5187" s="12" t="inlineStr">
        <is>
          <t>J-C-0005</t>
        </is>
      </c>
      <c r="B5187" s="12" t="inlineStr">
        <is>
          <t>J</t>
        </is>
      </c>
      <c r="C5187" s="12" t="inlineStr">
        <is>
          <t>GT inlet chilling</t>
        </is>
      </c>
      <c r="D5187" s="12" t="inlineStr">
        <is>
          <t>Motor 1 of 6: control / local station</t>
        </is>
      </c>
      <c r="E5187" s="12" t="inlineStr"/>
      <c r="F5187" s="12" t="inlineStr">
        <is>
          <t>Inlet-chilling e-house / transformer</t>
        </is>
      </c>
      <c r="G5187" s="12" t="inlineStr"/>
      <c r="H5187" s="12" t="inlineStr">
        <is>
          <t>Chillers x6 (water-cooled)</t>
        </is>
      </c>
      <c r="I5187" s="12" t="inlineStr">
        <is>
          <t>Control</t>
        </is>
      </c>
      <c r="J5187" s="12" t="inlineStr">
        <is>
          <t>Control cable 600 V Type TC-ER, Cu #14 AWG, PVC jacket</t>
        </is>
      </c>
      <c r="K5187" s="12" t="inlineStr">
        <is>
          <t>CT|7/C|14</t>
        </is>
      </c>
      <c r="L5187" s="12" t="inlineStr">
        <is>
          <t>7/C</t>
        </is>
      </c>
      <c r="M5187" s="12" t="inlineStr">
        <is>
          <t>14</t>
        </is>
      </c>
      <c r="N5187" s="12" t="n">
        <v>1</v>
      </c>
      <c r="O5187" s="12" t="n">
        <v>1</v>
      </c>
      <c r="P5187" s="12" t="n"/>
      <c r="Q5187" s="12" t="n"/>
      <c r="R5187" s="12" t="n"/>
      <c r="S5187" s="12" t="inlineStr">
        <is>
          <t>Duct bank</t>
        </is>
      </c>
      <c r="T5187" s="16" t="n">
        <v>10</v>
      </c>
      <c r="U5187" s="16" t="n">
        <v>32</v>
      </c>
      <c r="V5187" s="16">
        <f>ROUNDUP((T5187+U5187+2*'Read Me'!$B$13)*(1+'Read Me'!$B$12),-1)</f>
        <v/>
      </c>
      <c r="W5187" s="16">
        <f>V5187*N5187*O5187</f>
        <v/>
      </c>
      <c r="X5187" s="12">
        <f>IF(LEFT(I5187,2)="MV",2*N5187*IF(L5187="1/C",O5187,1),0)</f>
        <v/>
      </c>
      <c r="Y5187" s="12">
        <f>IF(OR(LEFT(K5187,4)="LVAX",LEFT(K5187,6)="MV15AX",LEFT(K5187,4)="CTAX",LEFT(K5187,2)="W|"),2*N5187*O5187,0)</f>
        <v/>
      </c>
      <c r="Z5187" s="12" t="inlineStr"/>
      <c r="AA5187" s="12">
        <f>N5187*O5187</f>
        <v/>
      </c>
    </row>
    <row r="5188">
      <c r="A5188" s="12" t="inlineStr">
        <is>
          <t>J-C-0006</t>
        </is>
      </c>
      <c r="B5188" s="12" t="inlineStr">
        <is>
          <t>J</t>
        </is>
      </c>
      <c r="C5188" s="12" t="inlineStr">
        <is>
          <t>GT inlet chilling</t>
        </is>
      </c>
      <c r="D5188" s="12" t="inlineStr">
        <is>
          <t>Motor 2 of 6: control / local station</t>
        </is>
      </c>
      <c r="E5188" s="12" t="inlineStr"/>
      <c r="F5188" s="12" t="inlineStr">
        <is>
          <t>Inlet-chilling e-house / transformer</t>
        </is>
      </c>
      <c r="G5188" s="12" t="inlineStr"/>
      <c r="H5188" s="12" t="inlineStr">
        <is>
          <t>Chillers x6 (water-cooled)</t>
        </is>
      </c>
      <c r="I5188" s="12" t="inlineStr">
        <is>
          <t>Control</t>
        </is>
      </c>
      <c r="J5188" s="12" t="inlineStr">
        <is>
          <t>Control cable 600 V Type TC-ER, Cu #14 AWG, PVC jacket</t>
        </is>
      </c>
      <c r="K5188" s="12" t="inlineStr">
        <is>
          <t>CT|7/C|14</t>
        </is>
      </c>
      <c r="L5188" s="12" t="inlineStr">
        <is>
          <t>7/C</t>
        </is>
      </c>
      <c r="M5188" s="12" t="inlineStr">
        <is>
          <t>14</t>
        </is>
      </c>
      <c r="N5188" s="12" t="n">
        <v>1</v>
      </c>
      <c r="O5188" s="12" t="n">
        <v>1</v>
      </c>
      <c r="P5188" s="12" t="n"/>
      <c r="Q5188" s="12" t="n"/>
      <c r="R5188" s="12" t="n"/>
      <c r="S5188" s="12" t="inlineStr">
        <is>
          <t>Duct bank</t>
        </is>
      </c>
      <c r="T5188" s="16" t="n">
        <v>10</v>
      </c>
      <c r="U5188" s="16" t="n">
        <v>32</v>
      </c>
      <c r="V5188" s="16">
        <f>ROUNDUP((T5188+U5188+2*'Read Me'!$B$13)*(1+'Read Me'!$B$12),-1)</f>
        <v/>
      </c>
      <c r="W5188" s="16">
        <f>V5188*N5188*O5188</f>
        <v/>
      </c>
      <c r="X5188" s="12">
        <f>IF(LEFT(I5188,2)="MV",2*N5188*IF(L5188="1/C",O5188,1),0)</f>
        <v/>
      </c>
      <c r="Y5188" s="12">
        <f>IF(OR(LEFT(K5188,4)="LVAX",LEFT(K5188,6)="MV15AX",LEFT(K5188,4)="CTAX",LEFT(K5188,2)="W|"),2*N5188*O5188,0)</f>
        <v/>
      </c>
      <c r="Z5188" s="12" t="inlineStr"/>
      <c r="AA5188" s="12">
        <f>N5188*O5188</f>
        <v/>
      </c>
    </row>
    <row r="5189">
      <c r="A5189" s="12" t="inlineStr">
        <is>
          <t>J-C-0007</t>
        </is>
      </c>
      <c r="B5189" s="12" t="inlineStr">
        <is>
          <t>J</t>
        </is>
      </c>
      <c r="C5189" s="12" t="inlineStr">
        <is>
          <t>GT inlet chilling</t>
        </is>
      </c>
      <c r="D5189" s="12" t="inlineStr">
        <is>
          <t>Motor 3 of 6: control / local station</t>
        </is>
      </c>
      <c r="E5189" s="12" t="inlineStr"/>
      <c r="F5189" s="12" t="inlineStr">
        <is>
          <t>Inlet-chilling e-house / transformer</t>
        </is>
      </c>
      <c r="G5189" s="12" t="inlineStr"/>
      <c r="H5189" s="12" t="inlineStr">
        <is>
          <t>Chillers x6 (water-cooled)</t>
        </is>
      </c>
      <c r="I5189" s="12" t="inlineStr">
        <is>
          <t>Control</t>
        </is>
      </c>
      <c r="J5189" s="12" t="inlineStr">
        <is>
          <t>Control cable 600 V Type TC-ER, Cu #14 AWG, PVC jacket</t>
        </is>
      </c>
      <c r="K5189" s="12" t="inlineStr">
        <is>
          <t>CT|7/C|14</t>
        </is>
      </c>
      <c r="L5189" s="12" t="inlineStr">
        <is>
          <t>7/C</t>
        </is>
      </c>
      <c r="M5189" s="12" t="inlineStr">
        <is>
          <t>14</t>
        </is>
      </c>
      <c r="N5189" s="12" t="n">
        <v>1</v>
      </c>
      <c r="O5189" s="12" t="n">
        <v>1</v>
      </c>
      <c r="P5189" s="12" t="n"/>
      <c r="Q5189" s="12" t="n"/>
      <c r="R5189" s="12" t="n"/>
      <c r="S5189" s="12" t="inlineStr">
        <is>
          <t>Duct bank</t>
        </is>
      </c>
      <c r="T5189" s="16" t="n">
        <v>10</v>
      </c>
      <c r="U5189" s="16" t="n">
        <v>32</v>
      </c>
      <c r="V5189" s="16">
        <f>ROUNDUP((T5189+U5189+2*'Read Me'!$B$13)*(1+'Read Me'!$B$12),-1)</f>
        <v/>
      </c>
      <c r="W5189" s="16">
        <f>V5189*N5189*O5189</f>
        <v/>
      </c>
      <c r="X5189" s="12">
        <f>IF(LEFT(I5189,2)="MV",2*N5189*IF(L5189="1/C",O5189,1),0)</f>
        <v/>
      </c>
      <c r="Y5189" s="12">
        <f>IF(OR(LEFT(K5189,4)="LVAX",LEFT(K5189,6)="MV15AX",LEFT(K5189,4)="CTAX",LEFT(K5189,2)="W|"),2*N5189*O5189,0)</f>
        <v/>
      </c>
      <c r="Z5189" s="12" t="inlineStr"/>
      <c r="AA5189" s="12">
        <f>N5189*O5189</f>
        <v/>
      </c>
    </row>
    <row r="5190">
      <c r="A5190" s="12" t="inlineStr">
        <is>
          <t>J-C-0008</t>
        </is>
      </c>
      <c r="B5190" s="12" t="inlineStr">
        <is>
          <t>J</t>
        </is>
      </c>
      <c r="C5190" s="12" t="inlineStr">
        <is>
          <t>GT inlet chilling</t>
        </is>
      </c>
      <c r="D5190" s="12" t="inlineStr">
        <is>
          <t>Motor 4 of 6: control / local station</t>
        </is>
      </c>
      <c r="E5190" s="12" t="inlineStr"/>
      <c r="F5190" s="12" t="inlineStr">
        <is>
          <t>Inlet-chilling e-house / transformer</t>
        </is>
      </c>
      <c r="G5190" s="12" t="inlineStr"/>
      <c r="H5190" s="12" t="inlineStr">
        <is>
          <t>Chillers x6 (water-cooled)</t>
        </is>
      </c>
      <c r="I5190" s="12" t="inlineStr">
        <is>
          <t>Control</t>
        </is>
      </c>
      <c r="J5190" s="12" t="inlineStr">
        <is>
          <t>Control cable 600 V Type TC-ER, Cu #14 AWG, PVC jacket</t>
        </is>
      </c>
      <c r="K5190" s="12" t="inlineStr">
        <is>
          <t>CT|7/C|14</t>
        </is>
      </c>
      <c r="L5190" s="12" t="inlineStr">
        <is>
          <t>7/C</t>
        </is>
      </c>
      <c r="M5190" s="12" t="inlineStr">
        <is>
          <t>14</t>
        </is>
      </c>
      <c r="N5190" s="12" t="n">
        <v>1</v>
      </c>
      <c r="O5190" s="12" t="n">
        <v>1</v>
      </c>
      <c r="P5190" s="12" t="n"/>
      <c r="Q5190" s="12" t="n"/>
      <c r="R5190" s="12" t="n"/>
      <c r="S5190" s="12" t="inlineStr">
        <is>
          <t>Duct bank</t>
        </is>
      </c>
      <c r="T5190" s="16" t="n">
        <v>10</v>
      </c>
      <c r="U5190" s="16" t="n">
        <v>32</v>
      </c>
      <c r="V5190" s="16">
        <f>ROUNDUP((T5190+U5190+2*'Read Me'!$B$13)*(1+'Read Me'!$B$12),-1)</f>
        <v/>
      </c>
      <c r="W5190" s="16">
        <f>V5190*N5190*O5190</f>
        <v/>
      </c>
      <c r="X5190" s="12">
        <f>IF(LEFT(I5190,2)="MV",2*N5190*IF(L5190="1/C",O5190,1),0)</f>
        <v/>
      </c>
      <c r="Y5190" s="12">
        <f>IF(OR(LEFT(K5190,4)="LVAX",LEFT(K5190,6)="MV15AX",LEFT(K5190,4)="CTAX",LEFT(K5190,2)="W|"),2*N5190*O5190,0)</f>
        <v/>
      </c>
      <c r="Z5190" s="12" t="inlineStr"/>
      <c r="AA5190" s="12">
        <f>N5190*O5190</f>
        <v/>
      </c>
    </row>
    <row r="5191">
      <c r="A5191" s="12" t="inlineStr">
        <is>
          <t>J-C-0009</t>
        </is>
      </c>
      <c r="B5191" s="12" t="inlineStr">
        <is>
          <t>J</t>
        </is>
      </c>
      <c r="C5191" s="12" t="inlineStr">
        <is>
          <t>GT inlet chilling</t>
        </is>
      </c>
      <c r="D5191" s="12" t="inlineStr">
        <is>
          <t>Motor 5 of 6: control / local station</t>
        </is>
      </c>
      <c r="E5191" s="12" t="inlineStr"/>
      <c r="F5191" s="12" t="inlineStr">
        <is>
          <t>Inlet-chilling e-house / transformer</t>
        </is>
      </c>
      <c r="G5191" s="12" t="inlineStr"/>
      <c r="H5191" s="12" t="inlineStr">
        <is>
          <t>Chillers x6 (water-cooled)</t>
        </is>
      </c>
      <c r="I5191" s="12" t="inlineStr">
        <is>
          <t>Control</t>
        </is>
      </c>
      <c r="J5191" s="12" t="inlineStr">
        <is>
          <t>Control cable 600 V Type TC-ER, Cu #14 AWG, PVC jacket</t>
        </is>
      </c>
      <c r="K5191" s="12" t="inlineStr">
        <is>
          <t>CT|7/C|14</t>
        </is>
      </c>
      <c r="L5191" s="12" t="inlineStr">
        <is>
          <t>7/C</t>
        </is>
      </c>
      <c r="M5191" s="12" t="inlineStr">
        <is>
          <t>14</t>
        </is>
      </c>
      <c r="N5191" s="12" t="n">
        <v>1</v>
      </c>
      <c r="O5191" s="12" t="n">
        <v>1</v>
      </c>
      <c r="P5191" s="12" t="n"/>
      <c r="Q5191" s="12" t="n"/>
      <c r="R5191" s="12" t="n"/>
      <c r="S5191" s="12" t="inlineStr">
        <is>
          <t>Duct bank</t>
        </is>
      </c>
      <c r="T5191" s="16" t="n">
        <v>10</v>
      </c>
      <c r="U5191" s="16" t="n">
        <v>32</v>
      </c>
      <c r="V5191" s="16">
        <f>ROUNDUP((T5191+U5191+2*'Read Me'!$B$13)*(1+'Read Me'!$B$12),-1)</f>
        <v/>
      </c>
      <c r="W5191" s="16">
        <f>V5191*N5191*O5191</f>
        <v/>
      </c>
      <c r="X5191" s="12">
        <f>IF(LEFT(I5191,2)="MV",2*N5191*IF(L5191="1/C",O5191,1),0)</f>
        <v/>
      </c>
      <c r="Y5191" s="12">
        <f>IF(OR(LEFT(K5191,4)="LVAX",LEFT(K5191,6)="MV15AX",LEFT(K5191,4)="CTAX",LEFT(K5191,2)="W|"),2*N5191*O5191,0)</f>
        <v/>
      </c>
      <c r="Z5191" s="12" t="inlineStr"/>
      <c r="AA5191" s="12">
        <f>N5191*O5191</f>
        <v/>
      </c>
    </row>
    <row r="5192">
      <c r="A5192" s="12" t="inlineStr">
        <is>
          <t>J-C-0010</t>
        </is>
      </c>
      <c r="B5192" s="12" t="inlineStr">
        <is>
          <t>J</t>
        </is>
      </c>
      <c r="C5192" s="12" t="inlineStr">
        <is>
          <t>GT inlet chilling</t>
        </is>
      </c>
      <c r="D5192" s="12" t="inlineStr">
        <is>
          <t>Motor 6 of 6: control / local station</t>
        </is>
      </c>
      <c r="E5192" s="12" t="inlineStr"/>
      <c r="F5192" s="12" t="inlineStr">
        <is>
          <t>Inlet-chilling e-house / transformer</t>
        </is>
      </c>
      <c r="G5192" s="12" t="inlineStr"/>
      <c r="H5192" s="12" t="inlineStr">
        <is>
          <t>Chillers x6 (water-cooled)</t>
        </is>
      </c>
      <c r="I5192" s="12" t="inlineStr">
        <is>
          <t>Control</t>
        </is>
      </c>
      <c r="J5192" s="12" t="inlineStr">
        <is>
          <t>Control cable 600 V Type TC-ER, Cu #14 AWG, PVC jacket</t>
        </is>
      </c>
      <c r="K5192" s="12" t="inlineStr">
        <is>
          <t>CT|7/C|14</t>
        </is>
      </c>
      <c r="L5192" s="12" t="inlineStr">
        <is>
          <t>7/C</t>
        </is>
      </c>
      <c r="M5192" s="12" t="inlineStr">
        <is>
          <t>14</t>
        </is>
      </c>
      <c r="N5192" s="12" t="n">
        <v>1</v>
      </c>
      <c r="O5192" s="12" t="n">
        <v>1</v>
      </c>
      <c r="P5192" s="12" t="n"/>
      <c r="Q5192" s="12" t="n"/>
      <c r="R5192" s="12" t="n"/>
      <c r="S5192" s="12" t="inlineStr">
        <is>
          <t>Duct bank</t>
        </is>
      </c>
      <c r="T5192" s="16" t="n">
        <v>10</v>
      </c>
      <c r="U5192" s="16" t="n">
        <v>32</v>
      </c>
      <c r="V5192" s="16">
        <f>ROUNDUP((T5192+U5192+2*'Read Me'!$B$13)*(1+'Read Me'!$B$12),-1)</f>
        <v/>
      </c>
      <c r="W5192" s="16">
        <f>V5192*N5192*O5192</f>
        <v/>
      </c>
      <c r="X5192" s="12">
        <f>IF(LEFT(I5192,2)="MV",2*N5192*IF(L5192="1/C",O5192,1),0)</f>
        <v/>
      </c>
      <c r="Y5192" s="12">
        <f>IF(OR(LEFT(K5192,4)="LVAX",LEFT(K5192,6)="MV15AX",LEFT(K5192,4)="CTAX",LEFT(K5192,2)="W|"),2*N5192*O5192,0)</f>
        <v/>
      </c>
      <c r="Z5192" s="12" t="inlineStr"/>
      <c r="AA5192" s="12">
        <f>N5192*O5192</f>
        <v/>
      </c>
    </row>
    <row r="5193">
      <c r="A5193" s="12" t="inlineStr">
        <is>
          <t>J-C-0011</t>
        </is>
      </c>
      <c r="B5193" s="12" t="inlineStr">
        <is>
          <t>J</t>
        </is>
      </c>
      <c r="C5193" s="12" t="inlineStr">
        <is>
          <t>GT inlet chilling</t>
        </is>
      </c>
      <c r="D5193" s="12" t="inlineStr">
        <is>
          <t>Control</t>
        </is>
      </c>
      <c r="E5193" s="12" t="inlineStr"/>
      <c r="F5193" s="12" t="inlineStr">
        <is>
          <t>Inlet-chilling e-house / transformer</t>
        </is>
      </c>
      <c r="G5193" s="12" t="inlineStr"/>
      <c r="H5193" s="12" t="inlineStr">
        <is>
          <t>Inlet-chilling e-house / transformer</t>
        </is>
      </c>
      <c r="I5193" s="12" t="inlineStr">
        <is>
          <t>Control</t>
        </is>
      </c>
      <c r="J5193" s="12" t="inlineStr">
        <is>
          <t>Control cable 600 V Type TC-ER, Cu #14 AWG, PVC jacket</t>
        </is>
      </c>
      <c r="K5193" s="12" t="inlineStr">
        <is>
          <t>CT|7/C|14</t>
        </is>
      </c>
      <c r="L5193" s="12" t="inlineStr">
        <is>
          <t>7/C</t>
        </is>
      </c>
      <c r="M5193" s="12" t="inlineStr">
        <is>
          <t>14</t>
        </is>
      </c>
      <c r="N5193" s="12" t="n">
        <v>1</v>
      </c>
      <c r="O5193" s="12" t="n">
        <v>1</v>
      </c>
      <c r="P5193" s="12" t="n"/>
      <c r="Q5193" s="12" t="n"/>
      <c r="R5193" s="12" t="n"/>
      <c r="S5193" s="12" t="inlineStr">
        <is>
          <t>Tray</t>
        </is>
      </c>
      <c r="T5193" s="16" t="n">
        <v>0</v>
      </c>
      <c r="U5193" s="16" t="n">
        <v>32</v>
      </c>
      <c r="V5193" s="16">
        <f>ROUNDUP((T5193+U5193+2*'Read Me'!$B$13)*(1+'Read Me'!$B$12),-1)</f>
        <v/>
      </c>
      <c r="W5193" s="16">
        <f>V5193*N5193*O5193</f>
        <v/>
      </c>
      <c r="X5193" s="12">
        <f>IF(LEFT(I5193,2)="MV",2*N5193*IF(L5193="1/C",O5193,1),0)</f>
        <v/>
      </c>
      <c r="Y5193" s="12">
        <f>IF(OR(LEFT(K5193,4)="LVAX",LEFT(K5193,6)="MV15AX",LEFT(K5193,4)="CTAX",LEFT(K5193,2)="W|"),2*N5193*O5193,0)</f>
        <v/>
      </c>
      <c r="Z5193" s="12" t="inlineStr"/>
      <c r="AA5193" s="12">
        <f>N5193*O5193</f>
        <v/>
      </c>
    </row>
    <row r="5194">
      <c r="A5194" s="12" t="inlineStr">
        <is>
          <t>J-C-0012</t>
        </is>
      </c>
      <c r="B5194" s="12" t="inlineStr">
        <is>
          <t>J</t>
        </is>
      </c>
      <c r="C5194" s="12" t="inlineStr">
        <is>
          <t>GT inlet chilling</t>
        </is>
      </c>
      <c r="D5194" s="12" t="inlineStr">
        <is>
          <t>Control</t>
        </is>
      </c>
      <c r="E5194" s="12" t="inlineStr"/>
      <c r="F5194" s="12" t="inlineStr">
        <is>
          <t>Inlet-chilling e-house / transformer</t>
        </is>
      </c>
      <c r="G5194" s="12" t="inlineStr"/>
      <c r="H5194" s="12" t="inlineStr">
        <is>
          <t>Inlet-chilling e-house / transformer</t>
        </is>
      </c>
      <c r="I5194" s="12" t="inlineStr">
        <is>
          <t>Control</t>
        </is>
      </c>
      <c r="J5194" s="12" t="inlineStr">
        <is>
          <t>Control cable 600 V Type TC-ER, Cu #14 AWG, PVC jacket</t>
        </is>
      </c>
      <c r="K5194" s="12" t="inlineStr">
        <is>
          <t>CT|12/C|14</t>
        </is>
      </c>
      <c r="L5194" s="12" t="inlineStr">
        <is>
          <t>12/C</t>
        </is>
      </c>
      <c r="M5194" s="12" t="inlineStr">
        <is>
          <t>14</t>
        </is>
      </c>
      <c r="N5194" s="12" t="n">
        <v>1</v>
      </c>
      <c r="O5194" s="12" t="n">
        <v>1</v>
      </c>
      <c r="P5194" s="12" t="n"/>
      <c r="Q5194" s="12" t="n"/>
      <c r="R5194" s="12" t="n"/>
      <c r="S5194" s="12" t="inlineStr">
        <is>
          <t>Tray</t>
        </is>
      </c>
      <c r="T5194" s="16" t="n">
        <v>0</v>
      </c>
      <c r="U5194" s="16" t="n">
        <v>32</v>
      </c>
      <c r="V5194" s="16">
        <f>ROUNDUP((T5194+U5194+2*'Read Me'!$B$13)*(1+'Read Me'!$B$12),-1)</f>
        <v/>
      </c>
      <c r="W5194" s="16">
        <f>V5194*N5194*O5194</f>
        <v/>
      </c>
      <c r="X5194" s="12">
        <f>IF(LEFT(I5194,2)="MV",2*N5194*IF(L5194="1/C",O5194,1),0)</f>
        <v/>
      </c>
      <c r="Y5194" s="12">
        <f>IF(OR(LEFT(K5194,4)="LVAX",LEFT(K5194,6)="MV15AX",LEFT(K5194,4)="CTAX",LEFT(K5194,2)="W|"),2*N5194*O5194,0)</f>
        <v/>
      </c>
      <c r="Z5194" s="12" t="inlineStr"/>
      <c r="AA5194" s="12">
        <f>N5194*O5194</f>
        <v/>
      </c>
    </row>
    <row r="5195">
      <c r="A5195" s="12" t="inlineStr">
        <is>
          <t>J-C-0013</t>
        </is>
      </c>
      <c r="B5195" s="12" t="inlineStr">
        <is>
          <t>J</t>
        </is>
      </c>
      <c r="C5195" s="12" t="inlineStr">
        <is>
          <t>GT inlet chilling</t>
        </is>
      </c>
      <c r="D5195" s="12" t="inlineStr">
        <is>
          <t>CT / VT</t>
        </is>
      </c>
      <c r="E5195" s="12" t="inlineStr"/>
      <c r="F5195" s="12" t="inlineStr">
        <is>
          <t>Inlet-chilling e-house / transformer</t>
        </is>
      </c>
      <c r="G5195" s="12" t="inlineStr"/>
      <c r="H5195" s="12" t="inlineStr">
        <is>
          <t>Inlet-chilling e-house / transformer</t>
        </is>
      </c>
      <c r="I5195" s="12" t="inlineStr">
        <is>
          <t>Control</t>
        </is>
      </c>
      <c r="J5195" s="12" t="inlineStr">
        <is>
          <t>Control cable 600 V Type TC-ER, Cu #10 AWG (CT / VT circuits)</t>
        </is>
      </c>
      <c r="K5195" s="12" t="inlineStr">
        <is>
          <t>CTCT|4/C|10</t>
        </is>
      </c>
      <c r="L5195" s="12" t="inlineStr">
        <is>
          <t>4/C</t>
        </is>
      </c>
      <c r="M5195" s="12" t="inlineStr">
        <is>
          <t>10</t>
        </is>
      </c>
      <c r="N5195" s="12" t="n">
        <v>1</v>
      </c>
      <c r="O5195" s="12" t="n">
        <v>1</v>
      </c>
      <c r="P5195" s="12" t="n"/>
      <c r="Q5195" s="12" t="n"/>
      <c r="R5195" s="12" t="n"/>
      <c r="S5195" s="12" t="inlineStr">
        <is>
          <t>Tray</t>
        </is>
      </c>
      <c r="T5195" s="16" t="n">
        <v>0</v>
      </c>
      <c r="U5195" s="16" t="n">
        <v>32</v>
      </c>
      <c r="V5195" s="16">
        <f>ROUNDUP((T5195+U5195+2*'Read Me'!$B$13)*(1+'Read Me'!$B$12),-1)</f>
        <v/>
      </c>
      <c r="W5195" s="16">
        <f>V5195*N5195*O5195</f>
        <v/>
      </c>
      <c r="X5195" s="12">
        <f>IF(LEFT(I5195,2)="MV",2*N5195*IF(L5195="1/C",O5195,1),0)</f>
        <v/>
      </c>
      <c r="Y5195" s="12">
        <f>IF(OR(LEFT(K5195,4)="LVAX",LEFT(K5195,6)="MV15AX",LEFT(K5195,4)="CTAX",LEFT(K5195,2)="W|"),2*N5195*O5195,0)</f>
        <v/>
      </c>
      <c r="Z5195" s="12" t="inlineStr"/>
      <c r="AA5195" s="12">
        <f>N5195*O5195</f>
        <v/>
      </c>
    </row>
    <row r="5196">
      <c r="A5196" s="12" t="inlineStr">
        <is>
          <t>J-C-0014</t>
        </is>
      </c>
      <c r="B5196" s="12" t="inlineStr">
        <is>
          <t>J</t>
        </is>
      </c>
      <c r="C5196" s="12" t="inlineStr">
        <is>
          <t>GT inlet chilling</t>
        </is>
      </c>
      <c r="D5196" s="12" t="inlineStr">
        <is>
          <t>CT / VT</t>
        </is>
      </c>
      <c r="E5196" s="12" t="inlineStr"/>
      <c r="F5196" s="12" t="inlineStr">
        <is>
          <t>Inlet-chilling e-house / transformer</t>
        </is>
      </c>
      <c r="G5196" s="12" t="inlineStr"/>
      <c r="H5196" s="12" t="inlineStr">
        <is>
          <t>Inlet-chilling e-house / transformer</t>
        </is>
      </c>
      <c r="I5196" s="12" t="inlineStr">
        <is>
          <t>Control</t>
        </is>
      </c>
      <c r="J5196" s="12" t="inlineStr">
        <is>
          <t>Control cable 600 V Type TC-ER, Cu #10 AWG (CT / VT circuits)</t>
        </is>
      </c>
      <c r="K5196" s="12" t="inlineStr">
        <is>
          <t>CTCT|4/C|10</t>
        </is>
      </c>
      <c r="L5196" s="12" t="inlineStr">
        <is>
          <t>4/C</t>
        </is>
      </c>
      <c r="M5196" s="12" t="inlineStr">
        <is>
          <t>10</t>
        </is>
      </c>
      <c r="N5196" s="12" t="n">
        <v>1</v>
      </c>
      <c r="O5196" s="12" t="n">
        <v>1</v>
      </c>
      <c r="P5196" s="12" t="n"/>
      <c r="Q5196" s="12" t="n"/>
      <c r="R5196" s="12" t="n"/>
      <c r="S5196" s="12" t="inlineStr">
        <is>
          <t>Tray</t>
        </is>
      </c>
      <c r="T5196" s="16" t="n">
        <v>0</v>
      </c>
      <c r="U5196" s="16" t="n">
        <v>32</v>
      </c>
      <c r="V5196" s="16">
        <f>ROUNDUP((T5196+U5196+2*'Read Me'!$B$13)*(1+'Read Me'!$B$12),-1)</f>
        <v/>
      </c>
      <c r="W5196" s="16">
        <f>V5196*N5196*O5196</f>
        <v/>
      </c>
      <c r="X5196" s="12">
        <f>IF(LEFT(I5196,2)="MV",2*N5196*IF(L5196="1/C",O5196,1),0)</f>
        <v/>
      </c>
      <c r="Y5196" s="12">
        <f>IF(OR(LEFT(K5196,4)="LVAX",LEFT(K5196,6)="MV15AX",LEFT(K5196,4)="CTAX",LEFT(K5196,2)="W|"),2*N5196*O5196,0)</f>
        <v/>
      </c>
      <c r="Z5196" s="12" t="inlineStr"/>
      <c r="AA5196" s="12">
        <f>N5196*O5196</f>
        <v/>
      </c>
    </row>
    <row r="5197">
      <c r="A5197" s="12" t="inlineStr">
        <is>
          <t>J-C-0015</t>
        </is>
      </c>
      <c r="B5197" s="12" t="inlineStr">
        <is>
          <t>J</t>
        </is>
      </c>
      <c r="C5197" s="12" t="inlineStr">
        <is>
          <t>GT inlet chilling</t>
        </is>
      </c>
      <c r="D5197" s="12" t="inlineStr">
        <is>
          <t>Motor 1 of 12: control / local station</t>
        </is>
      </c>
      <c r="E5197" s="12" t="inlineStr"/>
      <c r="F5197" s="12" t="inlineStr">
        <is>
          <t>Inlet-chilling e-house / transformer</t>
        </is>
      </c>
      <c r="G5197" s="12" t="inlineStr"/>
      <c r="H5197" s="12" t="inlineStr">
        <is>
          <t>Inlet-chilling tower (12 cells): chiller heat rejection</t>
        </is>
      </c>
      <c r="I5197" s="12" t="inlineStr">
        <is>
          <t>Control</t>
        </is>
      </c>
      <c r="J5197" s="12" t="inlineStr">
        <is>
          <t>Control cable 600 V Type TC-ER, Cu #14 AWG, PVC jacket</t>
        </is>
      </c>
      <c r="K5197" s="12" t="inlineStr">
        <is>
          <t>CT|7/C|14</t>
        </is>
      </c>
      <c r="L5197" s="12" t="inlineStr">
        <is>
          <t>7/C</t>
        </is>
      </c>
      <c r="M5197" s="12" t="inlineStr">
        <is>
          <t>14</t>
        </is>
      </c>
      <c r="N5197" s="12" t="n">
        <v>1</v>
      </c>
      <c r="O5197" s="12" t="n">
        <v>1</v>
      </c>
      <c r="P5197" s="12" t="n"/>
      <c r="Q5197" s="12" t="n"/>
      <c r="R5197" s="12" t="n"/>
      <c r="S5197" s="12" t="inlineStr">
        <is>
          <t>Duct bank</t>
        </is>
      </c>
      <c r="T5197" s="16" t="n">
        <v>478</v>
      </c>
      <c r="U5197" s="16" t="n">
        <v>38</v>
      </c>
      <c r="V5197" s="16">
        <f>ROUNDUP((T5197+U5197+2*'Read Me'!$B$13)*(1+'Read Me'!$B$12),-1)</f>
        <v/>
      </c>
      <c r="W5197" s="16">
        <f>V5197*N5197*O5197</f>
        <v/>
      </c>
      <c r="X5197" s="12">
        <f>IF(LEFT(I5197,2)="MV",2*N5197*IF(L5197="1/C",O5197,1),0)</f>
        <v/>
      </c>
      <c r="Y5197" s="12">
        <f>IF(OR(LEFT(K5197,4)="LVAX",LEFT(K5197,6)="MV15AX",LEFT(K5197,4)="CTAX",LEFT(K5197,2)="W|"),2*N5197*O5197,0)</f>
        <v/>
      </c>
      <c r="Z5197" s="12" t="inlineStr"/>
      <c r="AA5197" s="12">
        <f>N5197*O5197</f>
        <v/>
      </c>
    </row>
    <row r="5198">
      <c r="A5198" s="12" t="inlineStr">
        <is>
          <t>J-C-0016</t>
        </is>
      </c>
      <c r="B5198" s="12" t="inlineStr">
        <is>
          <t>J</t>
        </is>
      </c>
      <c r="C5198" s="12" t="inlineStr">
        <is>
          <t>GT inlet chilling</t>
        </is>
      </c>
      <c r="D5198" s="12" t="inlineStr">
        <is>
          <t>Motor 2 of 12: control / local station</t>
        </is>
      </c>
      <c r="E5198" s="12" t="inlineStr"/>
      <c r="F5198" s="12" t="inlineStr">
        <is>
          <t>Inlet-chilling e-house / transformer</t>
        </is>
      </c>
      <c r="G5198" s="12" t="inlineStr"/>
      <c r="H5198" s="12" t="inlineStr">
        <is>
          <t>Inlet-chilling tower (12 cells): chiller heat rejection</t>
        </is>
      </c>
      <c r="I5198" s="12" t="inlineStr">
        <is>
          <t>Control</t>
        </is>
      </c>
      <c r="J5198" s="12" t="inlineStr">
        <is>
          <t>Control cable 600 V Type TC-ER, Cu #14 AWG, PVC jacket</t>
        </is>
      </c>
      <c r="K5198" s="12" t="inlineStr">
        <is>
          <t>CT|7/C|14</t>
        </is>
      </c>
      <c r="L5198" s="12" t="inlineStr">
        <is>
          <t>7/C</t>
        </is>
      </c>
      <c r="M5198" s="12" t="inlineStr">
        <is>
          <t>14</t>
        </is>
      </c>
      <c r="N5198" s="12" t="n">
        <v>1</v>
      </c>
      <c r="O5198" s="12" t="n">
        <v>1</v>
      </c>
      <c r="P5198" s="12" t="n"/>
      <c r="Q5198" s="12" t="n"/>
      <c r="R5198" s="12" t="n"/>
      <c r="S5198" s="12" t="inlineStr">
        <is>
          <t>Duct bank</t>
        </is>
      </c>
      <c r="T5198" s="16" t="n">
        <v>478</v>
      </c>
      <c r="U5198" s="16" t="n">
        <v>38</v>
      </c>
      <c r="V5198" s="16">
        <f>ROUNDUP((T5198+U5198+2*'Read Me'!$B$13)*(1+'Read Me'!$B$12),-1)</f>
        <v/>
      </c>
      <c r="W5198" s="16">
        <f>V5198*N5198*O5198</f>
        <v/>
      </c>
      <c r="X5198" s="12">
        <f>IF(LEFT(I5198,2)="MV",2*N5198*IF(L5198="1/C",O5198,1),0)</f>
        <v/>
      </c>
      <c r="Y5198" s="12">
        <f>IF(OR(LEFT(K5198,4)="LVAX",LEFT(K5198,6)="MV15AX",LEFT(K5198,4)="CTAX",LEFT(K5198,2)="W|"),2*N5198*O5198,0)</f>
        <v/>
      </c>
      <c r="Z5198" s="12" t="inlineStr"/>
      <c r="AA5198" s="12">
        <f>N5198*O5198</f>
        <v/>
      </c>
    </row>
    <row r="5199">
      <c r="A5199" s="12" t="inlineStr">
        <is>
          <t>J-C-0017</t>
        </is>
      </c>
      <c r="B5199" s="12" t="inlineStr">
        <is>
          <t>J</t>
        </is>
      </c>
      <c r="C5199" s="12" t="inlineStr">
        <is>
          <t>GT inlet chilling</t>
        </is>
      </c>
      <c r="D5199" s="12" t="inlineStr">
        <is>
          <t>Motor 3 of 12: control / local station</t>
        </is>
      </c>
      <c r="E5199" s="12" t="inlineStr"/>
      <c r="F5199" s="12" t="inlineStr">
        <is>
          <t>Inlet-chilling e-house / transformer</t>
        </is>
      </c>
      <c r="G5199" s="12" t="inlineStr"/>
      <c r="H5199" s="12" t="inlineStr">
        <is>
          <t>Inlet-chilling tower (12 cells): chiller heat rejection</t>
        </is>
      </c>
      <c r="I5199" s="12" t="inlineStr">
        <is>
          <t>Control</t>
        </is>
      </c>
      <c r="J5199" s="12" t="inlineStr">
        <is>
          <t>Control cable 600 V Type TC-ER, Cu #14 AWG, PVC jacket</t>
        </is>
      </c>
      <c r="K5199" s="12" t="inlineStr">
        <is>
          <t>CT|7/C|14</t>
        </is>
      </c>
      <c r="L5199" s="12" t="inlineStr">
        <is>
          <t>7/C</t>
        </is>
      </c>
      <c r="M5199" s="12" t="inlineStr">
        <is>
          <t>14</t>
        </is>
      </c>
      <c r="N5199" s="12" t="n">
        <v>1</v>
      </c>
      <c r="O5199" s="12" t="n">
        <v>1</v>
      </c>
      <c r="P5199" s="12" t="n"/>
      <c r="Q5199" s="12" t="n"/>
      <c r="R5199" s="12" t="n"/>
      <c r="S5199" s="12" t="inlineStr">
        <is>
          <t>Duct bank</t>
        </is>
      </c>
      <c r="T5199" s="16" t="n">
        <v>478</v>
      </c>
      <c r="U5199" s="16" t="n">
        <v>38</v>
      </c>
      <c r="V5199" s="16">
        <f>ROUNDUP((T5199+U5199+2*'Read Me'!$B$13)*(1+'Read Me'!$B$12),-1)</f>
        <v/>
      </c>
      <c r="W5199" s="16">
        <f>V5199*N5199*O5199</f>
        <v/>
      </c>
      <c r="X5199" s="12">
        <f>IF(LEFT(I5199,2)="MV",2*N5199*IF(L5199="1/C",O5199,1),0)</f>
        <v/>
      </c>
      <c r="Y5199" s="12">
        <f>IF(OR(LEFT(K5199,4)="LVAX",LEFT(K5199,6)="MV15AX",LEFT(K5199,4)="CTAX",LEFT(K5199,2)="W|"),2*N5199*O5199,0)</f>
        <v/>
      </c>
      <c r="Z5199" s="12" t="inlineStr"/>
      <c r="AA5199" s="12">
        <f>N5199*O5199</f>
        <v/>
      </c>
    </row>
    <row r="5200">
      <c r="A5200" s="12" t="inlineStr">
        <is>
          <t>J-C-0018</t>
        </is>
      </c>
      <c r="B5200" s="12" t="inlineStr">
        <is>
          <t>J</t>
        </is>
      </c>
      <c r="C5200" s="12" t="inlineStr">
        <is>
          <t>GT inlet chilling</t>
        </is>
      </c>
      <c r="D5200" s="12" t="inlineStr">
        <is>
          <t>Motor 4 of 12: control / local station</t>
        </is>
      </c>
      <c r="E5200" s="12" t="inlineStr"/>
      <c r="F5200" s="12" t="inlineStr">
        <is>
          <t>Inlet-chilling e-house / transformer</t>
        </is>
      </c>
      <c r="G5200" s="12" t="inlineStr"/>
      <c r="H5200" s="12" t="inlineStr">
        <is>
          <t>Inlet-chilling tower (12 cells): chiller heat rejection</t>
        </is>
      </c>
      <c r="I5200" s="12" t="inlineStr">
        <is>
          <t>Control</t>
        </is>
      </c>
      <c r="J5200" s="12" t="inlineStr">
        <is>
          <t>Control cable 600 V Type TC-ER, Cu #14 AWG, PVC jacket</t>
        </is>
      </c>
      <c r="K5200" s="12" t="inlineStr">
        <is>
          <t>CT|7/C|14</t>
        </is>
      </c>
      <c r="L5200" s="12" t="inlineStr">
        <is>
          <t>7/C</t>
        </is>
      </c>
      <c r="M5200" s="12" t="inlineStr">
        <is>
          <t>14</t>
        </is>
      </c>
      <c r="N5200" s="12" t="n">
        <v>1</v>
      </c>
      <c r="O5200" s="12" t="n">
        <v>1</v>
      </c>
      <c r="P5200" s="12" t="n"/>
      <c r="Q5200" s="12" t="n"/>
      <c r="R5200" s="12" t="n"/>
      <c r="S5200" s="12" t="inlineStr">
        <is>
          <t>Duct bank</t>
        </is>
      </c>
      <c r="T5200" s="16" t="n">
        <v>478</v>
      </c>
      <c r="U5200" s="16" t="n">
        <v>38</v>
      </c>
      <c r="V5200" s="16">
        <f>ROUNDUP((T5200+U5200+2*'Read Me'!$B$13)*(1+'Read Me'!$B$12),-1)</f>
        <v/>
      </c>
      <c r="W5200" s="16">
        <f>V5200*N5200*O5200</f>
        <v/>
      </c>
      <c r="X5200" s="12">
        <f>IF(LEFT(I5200,2)="MV",2*N5200*IF(L5200="1/C",O5200,1),0)</f>
        <v/>
      </c>
      <c r="Y5200" s="12">
        <f>IF(OR(LEFT(K5200,4)="LVAX",LEFT(K5200,6)="MV15AX",LEFT(K5200,4)="CTAX",LEFT(K5200,2)="W|"),2*N5200*O5200,0)</f>
        <v/>
      </c>
      <c r="Z5200" s="12" t="inlineStr"/>
      <c r="AA5200" s="12">
        <f>N5200*O5200</f>
        <v/>
      </c>
    </row>
    <row r="5201">
      <c r="A5201" s="12" t="inlineStr">
        <is>
          <t>J-C-0019</t>
        </is>
      </c>
      <c r="B5201" s="12" t="inlineStr">
        <is>
          <t>J</t>
        </is>
      </c>
      <c r="C5201" s="12" t="inlineStr">
        <is>
          <t>GT inlet chilling</t>
        </is>
      </c>
      <c r="D5201" s="12" t="inlineStr">
        <is>
          <t>Motor 5 of 12: control / local station</t>
        </is>
      </c>
      <c r="E5201" s="12" t="inlineStr"/>
      <c r="F5201" s="12" t="inlineStr">
        <is>
          <t>Inlet-chilling e-house / transformer</t>
        </is>
      </c>
      <c r="G5201" s="12" t="inlineStr"/>
      <c r="H5201" s="12" t="inlineStr">
        <is>
          <t>Inlet-chilling tower (12 cells): chiller heat rejection</t>
        </is>
      </c>
      <c r="I5201" s="12" t="inlineStr">
        <is>
          <t>Control</t>
        </is>
      </c>
      <c r="J5201" s="12" t="inlineStr">
        <is>
          <t>Control cable 600 V Type TC-ER, Cu #14 AWG, PVC jacket</t>
        </is>
      </c>
      <c r="K5201" s="12" t="inlineStr">
        <is>
          <t>CT|7/C|14</t>
        </is>
      </c>
      <c r="L5201" s="12" t="inlineStr">
        <is>
          <t>7/C</t>
        </is>
      </c>
      <c r="M5201" s="12" t="inlineStr">
        <is>
          <t>14</t>
        </is>
      </c>
      <c r="N5201" s="12" t="n">
        <v>1</v>
      </c>
      <c r="O5201" s="12" t="n">
        <v>1</v>
      </c>
      <c r="P5201" s="12" t="n"/>
      <c r="Q5201" s="12" t="n"/>
      <c r="R5201" s="12" t="n"/>
      <c r="S5201" s="12" t="inlineStr">
        <is>
          <t>Duct bank</t>
        </is>
      </c>
      <c r="T5201" s="16" t="n">
        <v>478</v>
      </c>
      <c r="U5201" s="16" t="n">
        <v>38</v>
      </c>
      <c r="V5201" s="16">
        <f>ROUNDUP((T5201+U5201+2*'Read Me'!$B$13)*(1+'Read Me'!$B$12),-1)</f>
        <v/>
      </c>
      <c r="W5201" s="16">
        <f>V5201*N5201*O5201</f>
        <v/>
      </c>
      <c r="X5201" s="12">
        <f>IF(LEFT(I5201,2)="MV",2*N5201*IF(L5201="1/C",O5201,1),0)</f>
        <v/>
      </c>
      <c r="Y5201" s="12">
        <f>IF(OR(LEFT(K5201,4)="LVAX",LEFT(K5201,6)="MV15AX",LEFT(K5201,4)="CTAX",LEFT(K5201,2)="W|"),2*N5201*O5201,0)</f>
        <v/>
      </c>
      <c r="Z5201" s="12" t="inlineStr"/>
      <c r="AA5201" s="12">
        <f>N5201*O5201</f>
        <v/>
      </c>
    </row>
    <row r="5202">
      <c r="A5202" s="12" t="inlineStr">
        <is>
          <t>J-C-0020</t>
        </is>
      </c>
      <c r="B5202" s="12" t="inlineStr">
        <is>
          <t>J</t>
        </is>
      </c>
      <c r="C5202" s="12" t="inlineStr">
        <is>
          <t>GT inlet chilling</t>
        </is>
      </c>
      <c r="D5202" s="12" t="inlineStr">
        <is>
          <t>Motor 6 of 12: control / local station</t>
        </is>
      </c>
      <c r="E5202" s="12" t="inlineStr"/>
      <c r="F5202" s="12" t="inlineStr">
        <is>
          <t>Inlet-chilling e-house / transformer</t>
        </is>
      </c>
      <c r="G5202" s="12" t="inlineStr"/>
      <c r="H5202" s="12" t="inlineStr">
        <is>
          <t>Inlet-chilling tower (12 cells): chiller heat rejection</t>
        </is>
      </c>
      <c r="I5202" s="12" t="inlineStr">
        <is>
          <t>Control</t>
        </is>
      </c>
      <c r="J5202" s="12" t="inlineStr">
        <is>
          <t>Control cable 600 V Type TC-ER, Cu #14 AWG, PVC jacket</t>
        </is>
      </c>
      <c r="K5202" s="12" t="inlineStr">
        <is>
          <t>CT|7/C|14</t>
        </is>
      </c>
      <c r="L5202" s="12" t="inlineStr">
        <is>
          <t>7/C</t>
        </is>
      </c>
      <c r="M5202" s="12" t="inlineStr">
        <is>
          <t>14</t>
        </is>
      </c>
      <c r="N5202" s="12" t="n">
        <v>1</v>
      </c>
      <c r="O5202" s="12" t="n">
        <v>1</v>
      </c>
      <c r="P5202" s="12" t="n"/>
      <c r="Q5202" s="12" t="n"/>
      <c r="R5202" s="12" t="n"/>
      <c r="S5202" s="12" t="inlineStr">
        <is>
          <t>Duct bank</t>
        </is>
      </c>
      <c r="T5202" s="16" t="n">
        <v>478</v>
      </c>
      <c r="U5202" s="16" t="n">
        <v>38</v>
      </c>
      <c r="V5202" s="16">
        <f>ROUNDUP((T5202+U5202+2*'Read Me'!$B$13)*(1+'Read Me'!$B$12),-1)</f>
        <v/>
      </c>
      <c r="W5202" s="16">
        <f>V5202*N5202*O5202</f>
        <v/>
      </c>
      <c r="X5202" s="12">
        <f>IF(LEFT(I5202,2)="MV",2*N5202*IF(L5202="1/C",O5202,1),0)</f>
        <v/>
      </c>
      <c r="Y5202" s="12">
        <f>IF(OR(LEFT(K5202,4)="LVAX",LEFT(K5202,6)="MV15AX",LEFT(K5202,4)="CTAX",LEFT(K5202,2)="W|"),2*N5202*O5202,0)</f>
        <v/>
      </c>
      <c r="Z5202" s="12" t="inlineStr"/>
      <c r="AA5202" s="12">
        <f>N5202*O5202</f>
        <v/>
      </c>
    </row>
    <row r="5203">
      <c r="A5203" s="12" t="inlineStr">
        <is>
          <t>J-C-0021</t>
        </is>
      </c>
      <c r="B5203" s="12" t="inlineStr">
        <is>
          <t>J</t>
        </is>
      </c>
      <c r="C5203" s="12" t="inlineStr">
        <is>
          <t>GT inlet chilling</t>
        </is>
      </c>
      <c r="D5203" s="12" t="inlineStr">
        <is>
          <t>Motor 7 of 12: control / local station</t>
        </is>
      </c>
      <c r="E5203" s="12" t="inlineStr"/>
      <c r="F5203" s="12" t="inlineStr">
        <is>
          <t>Inlet-chilling e-house / transformer</t>
        </is>
      </c>
      <c r="G5203" s="12" t="inlineStr"/>
      <c r="H5203" s="12" t="inlineStr">
        <is>
          <t>Inlet-chilling tower (12 cells): chiller heat rejection</t>
        </is>
      </c>
      <c r="I5203" s="12" t="inlineStr">
        <is>
          <t>Control</t>
        </is>
      </c>
      <c r="J5203" s="12" t="inlineStr">
        <is>
          <t>Control cable 600 V Type TC-ER, Cu #14 AWG, PVC jacket</t>
        </is>
      </c>
      <c r="K5203" s="12" t="inlineStr">
        <is>
          <t>CT|7/C|14</t>
        </is>
      </c>
      <c r="L5203" s="12" t="inlineStr">
        <is>
          <t>7/C</t>
        </is>
      </c>
      <c r="M5203" s="12" t="inlineStr">
        <is>
          <t>14</t>
        </is>
      </c>
      <c r="N5203" s="12" t="n">
        <v>1</v>
      </c>
      <c r="O5203" s="12" t="n">
        <v>1</v>
      </c>
      <c r="P5203" s="12" t="n"/>
      <c r="Q5203" s="12" t="n"/>
      <c r="R5203" s="12" t="n"/>
      <c r="S5203" s="12" t="inlineStr">
        <is>
          <t>Duct bank</t>
        </is>
      </c>
      <c r="T5203" s="16" t="n">
        <v>478</v>
      </c>
      <c r="U5203" s="16" t="n">
        <v>38</v>
      </c>
      <c r="V5203" s="16">
        <f>ROUNDUP((T5203+U5203+2*'Read Me'!$B$13)*(1+'Read Me'!$B$12),-1)</f>
        <v/>
      </c>
      <c r="W5203" s="16">
        <f>V5203*N5203*O5203</f>
        <v/>
      </c>
      <c r="X5203" s="12">
        <f>IF(LEFT(I5203,2)="MV",2*N5203*IF(L5203="1/C",O5203,1),0)</f>
        <v/>
      </c>
      <c r="Y5203" s="12">
        <f>IF(OR(LEFT(K5203,4)="LVAX",LEFT(K5203,6)="MV15AX",LEFT(K5203,4)="CTAX",LEFT(K5203,2)="W|"),2*N5203*O5203,0)</f>
        <v/>
      </c>
      <c r="Z5203" s="12" t="inlineStr"/>
      <c r="AA5203" s="12">
        <f>N5203*O5203</f>
        <v/>
      </c>
    </row>
    <row r="5204">
      <c r="A5204" s="12" t="inlineStr">
        <is>
          <t>J-C-0022</t>
        </is>
      </c>
      <c r="B5204" s="12" t="inlineStr">
        <is>
          <t>J</t>
        </is>
      </c>
      <c r="C5204" s="12" t="inlineStr">
        <is>
          <t>GT inlet chilling</t>
        </is>
      </c>
      <c r="D5204" s="12" t="inlineStr">
        <is>
          <t>Motor 8 of 12: control / local station</t>
        </is>
      </c>
      <c r="E5204" s="12" t="inlineStr"/>
      <c r="F5204" s="12" t="inlineStr">
        <is>
          <t>Inlet-chilling e-house / transformer</t>
        </is>
      </c>
      <c r="G5204" s="12" t="inlineStr"/>
      <c r="H5204" s="12" t="inlineStr">
        <is>
          <t>Inlet-chilling tower (12 cells): chiller heat rejection</t>
        </is>
      </c>
      <c r="I5204" s="12" t="inlineStr">
        <is>
          <t>Control</t>
        </is>
      </c>
      <c r="J5204" s="12" t="inlineStr">
        <is>
          <t>Control cable 600 V Type TC-ER, Cu #14 AWG, PVC jacket</t>
        </is>
      </c>
      <c r="K5204" s="12" t="inlineStr">
        <is>
          <t>CT|7/C|14</t>
        </is>
      </c>
      <c r="L5204" s="12" t="inlineStr">
        <is>
          <t>7/C</t>
        </is>
      </c>
      <c r="M5204" s="12" t="inlineStr">
        <is>
          <t>14</t>
        </is>
      </c>
      <c r="N5204" s="12" t="n">
        <v>1</v>
      </c>
      <c r="O5204" s="12" t="n">
        <v>1</v>
      </c>
      <c r="P5204" s="12" t="n"/>
      <c r="Q5204" s="12" t="n"/>
      <c r="R5204" s="12" t="n"/>
      <c r="S5204" s="12" t="inlineStr">
        <is>
          <t>Duct bank</t>
        </is>
      </c>
      <c r="T5204" s="16" t="n">
        <v>478</v>
      </c>
      <c r="U5204" s="16" t="n">
        <v>38</v>
      </c>
      <c r="V5204" s="16">
        <f>ROUNDUP((T5204+U5204+2*'Read Me'!$B$13)*(1+'Read Me'!$B$12),-1)</f>
        <v/>
      </c>
      <c r="W5204" s="16">
        <f>V5204*N5204*O5204</f>
        <v/>
      </c>
      <c r="X5204" s="12">
        <f>IF(LEFT(I5204,2)="MV",2*N5204*IF(L5204="1/C",O5204,1),0)</f>
        <v/>
      </c>
      <c r="Y5204" s="12">
        <f>IF(OR(LEFT(K5204,4)="LVAX",LEFT(K5204,6)="MV15AX",LEFT(K5204,4)="CTAX",LEFT(K5204,2)="W|"),2*N5204*O5204,0)</f>
        <v/>
      </c>
      <c r="Z5204" s="12" t="inlineStr"/>
      <c r="AA5204" s="12">
        <f>N5204*O5204</f>
        <v/>
      </c>
    </row>
    <row r="5205">
      <c r="A5205" s="12" t="inlineStr">
        <is>
          <t>J-C-0023</t>
        </is>
      </c>
      <c r="B5205" s="12" t="inlineStr">
        <is>
          <t>J</t>
        </is>
      </c>
      <c r="C5205" s="12" t="inlineStr">
        <is>
          <t>GT inlet chilling</t>
        </is>
      </c>
      <c r="D5205" s="12" t="inlineStr">
        <is>
          <t>Motor 9 of 12: control / local station</t>
        </is>
      </c>
      <c r="E5205" s="12" t="inlineStr"/>
      <c r="F5205" s="12" t="inlineStr">
        <is>
          <t>Inlet-chilling e-house / transformer</t>
        </is>
      </c>
      <c r="G5205" s="12" t="inlineStr"/>
      <c r="H5205" s="12" t="inlineStr">
        <is>
          <t>Inlet-chilling tower (12 cells): chiller heat rejection</t>
        </is>
      </c>
      <c r="I5205" s="12" t="inlineStr">
        <is>
          <t>Control</t>
        </is>
      </c>
      <c r="J5205" s="12" t="inlineStr">
        <is>
          <t>Control cable 600 V Type TC-ER, Cu #14 AWG, PVC jacket</t>
        </is>
      </c>
      <c r="K5205" s="12" t="inlineStr">
        <is>
          <t>CT|7/C|14</t>
        </is>
      </c>
      <c r="L5205" s="12" t="inlineStr">
        <is>
          <t>7/C</t>
        </is>
      </c>
      <c r="M5205" s="12" t="inlineStr">
        <is>
          <t>14</t>
        </is>
      </c>
      <c r="N5205" s="12" t="n">
        <v>1</v>
      </c>
      <c r="O5205" s="12" t="n">
        <v>1</v>
      </c>
      <c r="P5205" s="12" t="n"/>
      <c r="Q5205" s="12" t="n"/>
      <c r="R5205" s="12" t="n"/>
      <c r="S5205" s="12" t="inlineStr">
        <is>
          <t>Duct bank</t>
        </is>
      </c>
      <c r="T5205" s="16" t="n">
        <v>478</v>
      </c>
      <c r="U5205" s="16" t="n">
        <v>38</v>
      </c>
      <c r="V5205" s="16">
        <f>ROUNDUP((T5205+U5205+2*'Read Me'!$B$13)*(1+'Read Me'!$B$12),-1)</f>
        <v/>
      </c>
      <c r="W5205" s="16">
        <f>V5205*N5205*O5205</f>
        <v/>
      </c>
      <c r="X5205" s="12">
        <f>IF(LEFT(I5205,2)="MV",2*N5205*IF(L5205="1/C",O5205,1),0)</f>
        <v/>
      </c>
      <c r="Y5205" s="12">
        <f>IF(OR(LEFT(K5205,4)="LVAX",LEFT(K5205,6)="MV15AX",LEFT(K5205,4)="CTAX",LEFT(K5205,2)="W|"),2*N5205*O5205,0)</f>
        <v/>
      </c>
      <c r="Z5205" s="12" t="inlineStr"/>
      <c r="AA5205" s="12">
        <f>N5205*O5205</f>
        <v/>
      </c>
    </row>
    <row r="5206">
      <c r="A5206" s="12" t="inlineStr">
        <is>
          <t>J-C-0024</t>
        </is>
      </c>
      <c r="B5206" s="12" t="inlineStr">
        <is>
          <t>J</t>
        </is>
      </c>
      <c r="C5206" s="12" t="inlineStr">
        <is>
          <t>GT inlet chilling</t>
        </is>
      </c>
      <c r="D5206" s="12" t="inlineStr">
        <is>
          <t>Motor 10 of 12: control / local station</t>
        </is>
      </c>
      <c r="E5206" s="12" t="inlineStr"/>
      <c r="F5206" s="12" t="inlineStr">
        <is>
          <t>Inlet-chilling e-house / transformer</t>
        </is>
      </c>
      <c r="G5206" s="12" t="inlineStr"/>
      <c r="H5206" s="12" t="inlineStr">
        <is>
          <t>Inlet-chilling tower (12 cells): chiller heat rejection</t>
        </is>
      </c>
      <c r="I5206" s="12" t="inlineStr">
        <is>
          <t>Control</t>
        </is>
      </c>
      <c r="J5206" s="12" t="inlineStr">
        <is>
          <t>Control cable 600 V Type TC-ER, Cu #14 AWG, PVC jacket</t>
        </is>
      </c>
      <c r="K5206" s="12" t="inlineStr">
        <is>
          <t>CT|7/C|14</t>
        </is>
      </c>
      <c r="L5206" s="12" t="inlineStr">
        <is>
          <t>7/C</t>
        </is>
      </c>
      <c r="M5206" s="12" t="inlineStr">
        <is>
          <t>14</t>
        </is>
      </c>
      <c r="N5206" s="12" t="n">
        <v>1</v>
      </c>
      <c r="O5206" s="12" t="n">
        <v>1</v>
      </c>
      <c r="P5206" s="12" t="n"/>
      <c r="Q5206" s="12" t="n"/>
      <c r="R5206" s="12" t="n"/>
      <c r="S5206" s="12" t="inlineStr">
        <is>
          <t>Duct bank</t>
        </is>
      </c>
      <c r="T5206" s="16" t="n">
        <v>478</v>
      </c>
      <c r="U5206" s="16" t="n">
        <v>38</v>
      </c>
      <c r="V5206" s="16">
        <f>ROUNDUP((T5206+U5206+2*'Read Me'!$B$13)*(1+'Read Me'!$B$12),-1)</f>
        <v/>
      </c>
      <c r="W5206" s="16">
        <f>V5206*N5206*O5206</f>
        <v/>
      </c>
      <c r="X5206" s="12">
        <f>IF(LEFT(I5206,2)="MV",2*N5206*IF(L5206="1/C",O5206,1),0)</f>
        <v/>
      </c>
      <c r="Y5206" s="12">
        <f>IF(OR(LEFT(K5206,4)="LVAX",LEFT(K5206,6)="MV15AX",LEFT(K5206,4)="CTAX",LEFT(K5206,2)="W|"),2*N5206*O5206,0)</f>
        <v/>
      </c>
      <c r="Z5206" s="12" t="inlineStr"/>
      <c r="AA5206" s="12">
        <f>N5206*O5206</f>
        <v/>
      </c>
    </row>
    <row r="5207">
      <c r="A5207" s="12" t="inlineStr">
        <is>
          <t>J-C-0025</t>
        </is>
      </c>
      <c r="B5207" s="12" t="inlineStr">
        <is>
          <t>J</t>
        </is>
      </c>
      <c r="C5207" s="12" t="inlineStr">
        <is>
          <t>GT inlet chilling</t>
        </is>
      </c>
      <c r="D5207" s="12" t="inlineStr">
        <is>
          <t>Motor 11 of 12: control / local station</t>
        </is>
      </c>
      <c r="E5207" s="12" t="inlineStr"/>
      <c r="F5207" s="12" t="inlineStr">
        <is>
          <t>Inlet-chilling e-house / transformer</t>
        </is>
      </c>
      <c r="G5207" s="12" t="inlineStr"/>
      <c r="H5207" s="12" t="inlineStr">
        <is>
          <t>Inlet-chilling tower (12 cells): chiller heat rejection</t>
        </is>
      </c>
      <c r="I5207" s="12" t="inlineStr">
        <is>
          <t>Control</t>
        </is>
      </c>
      <c r="J5207" s="12" t="inlineStr">
        <is>
          <t>Control cable 600 V Type TC-ER, Cu #14 AWG, PVC jacket</t>
        </is>
      </c>
      <c r="K5207" s="12" t="inlineStr">
        <is>
          <t>CT|7/C|14</t>
        </is>
      </c>
      <c r="L5207" s="12" t="inlineStr">
        <is>
          <t>7/C</t>
        </is>
      </c>
      <c r="M5207" s="12" t="inlineStr">
        <is>
          <t>14</t>
        </is>
      </c>
      <c r="N5207" s="12" t="n">
        <v>1</v>
      </c>
      <c r="O5207" s="12" t="n">
        <v>1</v>
      </c>
      <c r="P5207" s="12" t="n"/>
      <c r="Q5207" s="12" t="n"/>
      <c r="R5207" s="12" t="n"/>
      <c r="S5207" s="12" t="inlineStr">
        <is>
          <t>Duct bank</t>
        </is>
      </c>
      <c r="T5207" s="16" t="n">
        <v>478</v>
      </c>
      <c r="U5207" s="16" t="n">
        <v>38</v>
      </c>
      <c r="V5207" s="16">
        <f>ROUNDUP((T5207+U5207+2*'Read Me'!$B$13)*(1+'Read Me'!$B$12),-1)</f>
        <v/>
      </c>
      <c r="W5207" s="16">
        <f>V5207*N5207*O5207</f>
        <v/>
      </c>
      <c r="X5207" s="12">
        <f>IF(LEFT(I5207,2)="MV",2*N5207*IF(L5207="1/C",O5207,1),0)</f>
        <v/>
      </c>
      <c r="Y5207" s="12">
        <f>IF(OR(LEFT(K5207,4)="LVAX",LEFT(K5207,6)="MV15AX",LEFT(K5207,4)="CTAX",LEFT(K5207,2)="W|"),2*N5207*O5207,0)</f>
        <v/>
      </c>
      <c r="Z5207" s="12" t="inlineStr"/>
      <c r="AA5207" s="12">
        <f>N5207*O5207</f>
        <v/>
      </c>
    </row>
    <row r="5208">
      <c r="A5208" s="12" t="inlineStr">
        <is>
          <t>J-C-0026</t>
        </is>
      </c>
      <c r="B5208" s="12" t="inlineStr">
        <is>
          <t>J</t>
        </is>
      </c>
      <c r="C5208" s="12" t="inlineStr">
        <is>
          <t>GT inlet chilling</t>
        </is>
      </c>
      <c r="D5208" s="12" t="inlineStr">
        <is>
          <t>Motor 12 of 12: control / local station</t>
        </is>
      </c>
      <c r="E5208" s="12" t="inlineStr"/>
      <c r="F5208" s="12" t="inlineStr">
        <is>
          <t>Inlet-chilling e-house / transformer</t>
        </is>
      </c>
      <c r="G5208" s="12" t="inlineStr"/>
      <c r="H5208" s="12" t="inlineStr">
        <is>
          <t>Inlet-chilling tower (12 cells): chiller heat rejection</t>
        </is>
      </c>
      <c r="I5208" s="12" t="inlineStr">
        <is>
          <t>Control</t>
        </is>
      </c>
      <c r="J5208" s="12" t="inlineStr">
        <is>
          <t>Control cable 600 V Type TC-ER, Cu #14 AWG, PVC jacket</t>
        </is>
      </c>
      <c r="K5208" s="12" t="inlineStr">
        <is>
          <t>CT|7/C|14</t>
        </is>
      </c>
      <c r="L5208" s="12" t="inlineStr">
        <is>
          <t>7/C</t>
        </is>
      </c>
      <c r="M5208" s="12" t="inlineStr">
        <is>
          <t>14</t>
        </is>
      </c>
      <c r="N5208" s="12" t="n">
        <v>1</v>
      </c>
      <c r="O5208" s="12" t="n">
        <v>1</v>
      </c>
      <c r="P5208" s="12" t="n"/>
      <c r="Q5208" s="12" t="n"/>
      <c r="R5208" s="12" t="n"/>
      <c r="S5208" s="12" t="inlineStr">
        <is>
          <t>Duct bank</t>
        </is>
      </c>
      <c r="T5208" s="16" t="n">
        <v>478</v>
      </c>
      <c r="U5208" s="16" t="n">
        <v>38</v>
      </c>
      <c r="V5208" s="16">
        <f>ROUNDUP((T5208+U5208+2*'Read Me'!$B$13)*(1+'Read Me'!$B$12),-1)</f>
        <v/>
      </c>
      <c r="W5208" s="16">
        <f>V5208*N5208*O5208</f>
        <v/>
      </c>
      <c r="X5208" s="12">
        <f>IF(LEFT(I5208,2)="MV",2*N5208*IF(L5208="1/C",O5208,1),0)</f>
        <v/>
      </c>
      <c r="Y5208" s="12">
        <f>IF(OR(LEFT(K5208,4)="LVAX",LEFT(K5208,6)="MV15AX",LEFT(K5208,4)="CTAX",LEFT(K5208,2)="W|"),2*N5208*O5208,0)</f>
        <v/>
      </c>
      <c r="Z5208" s="12" t="inlineStr"/>
      <c r="AA5208" s="12">
        <f>N5208*O5208</f>
        <v/>
      </c>
    </row>
    <row r="5209">
      <c r="A5209" s="12" t="inlineStr">
        <is>
          <t>J-I-0001</t>
        </is>
      </c>
      <c r="B5209" s="12" t="inlineStr">
        <is>
          <t>J</t>
        </is>
      </c>
      <c r="C5209" s="12" t="inlineStr">
        <is>
          <t>GT inlet chilling</t>
        </is>
      </c>
      <c r="D5209" s="12" t="inlineStr">
        <is>
          <t>Analog instrument to JB JB-CHW pumps-AI01: 12 x 1 pr (field cables)</t>
        </is>
      </c>
      <c r="E5209" s="12" t="inlineStr"/>
      <c r="F5209" s="12" t="inlineStr">
        <is>
          <t>CHW pumps</t>
        </is>
      </c>
      <c r="G5209" s="12" t="inlineStr">
        <is>
          <t>JB-CHW pumps-AI01</t>
        </is>
      </c>
      <c r="H5209" s="12" t="inlineStr">
        <is>
          <t>CHW pumps</t>
        </is>
      </c>
      <c r="I5209" s="12" t="inlineStr">
        <is>
          <t>Instrumentation</t>
        </is>
      </c>
      <c r="J5209" s="12" t="inlineStr">
        <is>
          <t>Instrumentation PLTC / TC-ER 300 V, #18 twisted shielded pairs, overall shield</t>
        </is>
      </c>
      <c r="K5209" s="12" t="inlineStr">
        <is>
          <t>PLTC|1 pr|16</t>
        </is>
      </c>
      <c r="L5209" s="12" t="inlineStr">
        <is>
          <t>1 pr</t>
        </is>
      </c>
      <c r="M5209" s="12" t="inlineStr">
        <is>
          <t>16</t>
        </is>
      </c>
      <c r="N5209" s="12" t="n">
        <v>12</v>
      </c>
      <c r="O5209" s="12" t="n">
        <v>1</v>
      </c>
      <c r="P5209" s="12" t="n"/>
      <c r="Q5209" s="12" t="n"/>
      <c r="R5209" s="12" t="n"/>
      <c r="S5209" s="12" t="inlineStr">
        <is>
          <t>Tray / conduit</t>
        </is>
      </c>
      <c r="T5209" s="16" t="n">
        <v>92</v>
      </c>
      <c r="U5209" s="16" t="n">
        <v>10</v>
      </c>
      <c r="V5209" s="16">
        <f>ROUNDUP((T5209+U5209+2*'Read Me'!$B$13)*(1+'Read Me'!$B$12),-1)</f>
        <v/>
      </c>
      <c r="W5209" s="16">
        <f>V5209*N5209*O5209</f>
        <v/>
      </c>
      <c r="X5209" s="12">
        <f>IF(LEFT(I5209,2)="MV",2*N5209*IF(L5209="1/C",O5209,1),0)</f>
        <v/>
      </c>
      <c r="Y5209" s="12">
        <f>IF(OR(LEFT(K5209,4)="LVAX",LEFT(K5209,6)="MV15AX",LEFT(K5209,4)="CTAX",LEFT(K5209,2)="W|"),2*N5209*O5209,0)</f>
        <v/>
      </c>
      <c r="Z5209" s="12" t="inlineStr">
        <is>
          <t>device-to-JB field wiring, one cable per device</t>
        </is>
      </c>
      <c r="AA5209" s="12">
        <f>N5209*O5209</f>
        <v/>
      </c>
    </row>
    <row r="5210">
      <c r="A5210" s="12" t="inlineStr">
        <is>
          <t>J-I-0002</t>
        </is>
      </c>
      <c r="B5210" s="12" t="inlineStr">
        <is>
          <t>J</t>
        </is>
      </c>
      <c r="C5210" s="12" t="inlineStr">
        <is>
          <t>GT inlet chilling</t>
        </is>
      </c>
      <c r="D5210" s="12" t="inlineStr">
        <is>
          <t>Home run JB-CHW pumps-AI01 to the control / marshalling room</t>
        </is>
      </c>
      <c r="E5210" s="12" t="inlineStr"/>
      <c r="F5210" s="12" t="inlineStr">
        <is>
          <t>Inlet-chilling e-house / transformer</t>
        </is>
      </c>
      <c r="G5210" s="12" t="inlineStr">
        <is>
          <t>JB-CHW pumps-AI01</t>
        </is>
      </c>
      <c r="H5210" s="12" t="inlineStr">
        <is>
          <t>CHW pumps</t>
        </is>
      </c>
      <c r="I5210" s="12" t="inlineStr">
        <is>
          <t>Instrumentation</t>
        </is>
      </c>
      <c r="J5210" s="12" t="inlineStr">
        <is>
          <t>Instrumentation PLTC / TC-ER 300 V, #18 twisted shielded pairs, overall shield</t>
        </is>
      </c>
      <c r="K5210" s="12" t="inlineStr">
        <is>
          <t>PLTC|24 pr|18</t>
        </is>
      </c>
      <c r="L5210" s="12" t="inlineStr">
        <is>
          <t>24 pr</t>
        </is>
      </c>
      <c r="M5210" s="12" t="inlineStr">
        <is>
          <t>18</t>
        </is>
      </c>
      <c r="N5210" s="12" t="n">
        <v>1</v>
      </c>
      <c r="O5210" s="12" t="n">
        <v>1</v>
      </c>
      <c r="P5210" s="12" t="n"/>
      <c r="Q5210" s="12" t="n"/>
      <c r="R5210" s="12" t="n"/>
      <c r="S5210" s="12" t="inlineStr">
        <is>
          <t>Duct bank</t>
        </is>
      </c>
      <c r="T5210" s="16" t="n">
        <v>579</v>
      </c>
      <c r="U5210" s="16" t="n">
        <v>32</v>
      </c>
      <c r="V5210" s="16">
        <f>ROUNDUP((T5210+U5210+2*'Read Me'!$B$13)*(1+'Read Me'!$B$12),-1)</f>
        <v/>
      </c>
      <c r="W5210" s="16">
        <f>V5210*N5210*O5210</f>
        <v/>
      </c>
      <c r="X5210" s="12">
        <f>IF(LEFT(I5210,2)="MV",2*N5210*IF(L5210="1/C",O5210,1),0)</f>
        <v/>
      </c>
      <c r="Y5210" s="12">
        <f>IF(OR(LEFT(K5210,4)="LVAX",LEFT(K5210,6)="MV15AX",LEFT(K5210,4)="CTAX",LEFT(K5210,2)="W|"),2*N5210*O5210,0)</f>
        <v/>
      </c>
      <c r="Z5210" s="12" t="inlineStr"/>
      <c r="AA5210" s="12">
        <f>N5210*O5210</f>
        <v/>
      </c>
    </row>
    <row r="5211">
      <c r="A5211" s="12" t="inlineStr">
        <is>
          <t>J-I-0003</t>
        </is>
      </c>
      <c r="B5211" s="12" t="inlineStr">
        <is>
          <t>J</t>
        </is>
      </c>
      <c r="C5211" s="12" t="inlineStr">
        <is>
          <t>GT inlet chilling</t>
        </is>
      </c>
      <c r="D5211" s="12" t="inlineStr">
        <is>
          <t>Discrete device to JB JB-CHW pumps-DI01: 12 x 1 pr (field cables)</t>
        </is>
      </c>
      <c r="E5211" s="12" t="inlineStr"/>
      <c r="F5211" s="12" t="inlineStr">
        <is>
          <t>CHW pumps</t>
        </is>
      </c>
      <c r="G5211" s="12" t="inlineStr">
        <is>
          <t>JB-CHW pumps-DI01</t>
        </is>
      </c>
      <c r="H5211" s="12" t="inlineStr">
        <is>
          <t>CHW pumps</t>
        </is>
      </c>
      <c r="I5211" s="12" t="inlineStr">
        <is>
          <t>Instrumentation</t>
        </is>
      </c>
      <c r="J5211" s="12" t="inlineStr">
        <is>
          <t>Instrumentation PLTC / TC-ER 300 V, #18 twisted shielded pairs, overall shield</t>
        </is>
      </c>
      <c r="K5211" s="12" t="inlineStr">
        <is>
          <t>PLTC|1 pr|16</t>
        </is>
      </c>
      <c r="L5211" s="12" t="inlineStr">
        <is>
          <t>1 pr</t>
        </is>
      </c>
      <c r="M5211" s="12" t="inlineStr">
        <is>
          <t>16</t>
        </is>
      </c>
      <c r="N5211" s="12" t="n">
        <v>12</v>
      </c>
      <c r="O5211" s="12" t="n">
        <v>1</v>
      </c>
      <c r="P5211" s="12" t="n"/>
      <c r="Q5211" s="12" t="n"/>
      <c r="R5211" s="12" t="n"/>
      <c r="S5211" s="12" t="inlineStr">
        <is>
          <t>Tray / conduit</t>
        </is>
      </c>
      <c r="T5211" s="16" t="n">
        <v>92</v>
      </c>
      <c r="U5211" s="16" t="n">
        <v>10</v>
      </c>
      <c r="V5211" s="16">
        <f>ROUNDUP((T5211+U5211+2*'Read Me'!$B$13)*(1+'Read Me'!$B$12),-1)</f>
        <v/>
      </c>
      <c r="W5211" s="16">
        <f>V5211*N5211*O5211</f>
        <v/>
      </c>
      <c r="X5211" s="12">
        <f>IF(LEFT(I5211,2)="MV",2*N5211*IF(L5211="1/C",O5211,1),0)</f>
        <v/>
      </c>
      <c r="Y5211" s="12">
        <f>IF(OR(LEFT(K5211,4)="LVAX",LEFT(K5211,6)="MV15AX",LEFT(K5211,4)="CTAX",LEFT(K5211,2)="W|"),2*N5211*O5211,0)</f>
        <v/>
      </c>
      <c r="Z5211" s="12" t="inlineStr">
        <is>
          <t>device-to-JB field wiring, one cable per device</t>
        </is>
      </c>
      <c r="AA5211" s="12">
        <f>N5211*O5211</f>
        <v/>
      </c>
    </row>
    <row r="5212">
      <c r="A5212" s="12" t="inlineStr">
        <is>
          <t>J-I-0004</t>
        </is>
      </c>
      <c r="B5212" s="12" t="inlineStr">
        <is>
          <t>J</t>
        </is>
      </c>
      <c r="C5212" s="12" t="inlineStr">
        <is>
          <t>GT inlet chilling</t>
        </is>
      </c>
      <c r="D5212" s="12" t="inlineStr">
        <is>
          <t>Home run JB-CHW pumps-DI01 to the control / marshalling room</t>
        </is>
      </c>
      <c r="E5212" s="12" t="inlineStr"/>
      <c r="F5212" s="12" t="inlineStr">
        <is>
          <t>Inlet-chilling e-house / transformer</t>
        </is>
      </c>
      <c r="G5212" s="12" t="inlineStr">
        <is>
          <t>JB-CHW pumps-DI01</t>
        </is>
      </c>
      <c r="H5212" s="12" t="inlineStr">
        <is>
          <t>CHW pumps</t>
        </is>
      </c>
      <c r="I5212" s="12" t="inlineStr">
        <is>
          <t>Instrumentation</t>
        </is>
      </c>
      <c r="J5212" s="12" t="inlineStr">
        <is>
          <t>Instrumentation PLTC / TC-ER 300 V, #18 twisted shielded pairs, overall shield</t>
        </is>
      </c>
      <c r="K5212" s="12" t="inlineStr">
        <is>
          <t>PLTC|24 pr|18</t>
        </is>
      </c>
      <c r="L5212" s="12" t="inlineStr">
        <is>
          <t>24 pr</t>
        </is>
      </c>
      <c r="M5212" s="12" t="inlineStr">
        <is>
          <t>18</t>
        </is>
      </c>
      <c r="N5212" s="12" t="n">
        <v>1</v>
      </c>
      <c r="O5212" s="12" t="n">
        <v>1</v>
      </c>
      <c r="P5212" s="12" t="n"/>
      <c r="Q5212" s="12" t="n"/>
      <c r="R5212" s="12" t="n"/>
      <c r="S5212" s="12" t="inlineStr">
        <is>
          <t>Duct bank</t>
        </is>
      </c>
      <c r="T5212" s="16" t="n">
        <v>579</v>
      </c>
      <c r="U5212" s="16" t="n">
        <v>32</v>
      </c>
      <c r="V5212" s="16">
        <f>ROUNDUP((T5212+U5212+2*'Read Me'!$B$13)*(1+'Read Me'!$B$12),-1)</f>
        <v/>
      </c>
      <c r="W5212" s="16">
        <f>V5212*N5212*O5212</f>
        <v/>
      </c>
      <c r="X5212" s="12">
        <f>IF(LEFT(I5212,2)="MV",2*N5212*IF(L5212="1/C",O5212,1),0)</f>
        <v/>
      </c>
      <c r="Y5212" s="12">
        <f>IF(OR(LEFT(K5212,4)="LVAX",LEFT(K5212,6)="MV15AX",LEFT(K5212,4)="CTAX",LEFT(K5212,2)="W|"),2*N5212*O5212,0)</f>
        <v/>
      </c>
      <c r="Z5212" s="12" t="inlineStr"/>
      <c r="AA5212" s="12">
        <f>N5212*O5212</f>
        <v/>
      </c>
    </row>
    <row r="5213">
      <c r="A5213" s="12" t="inlineStr">
        <is>
          <t>J-I-0005</t>
        </is>
      </c>
      <c r="B5213" s="12" t="inlineStr">
        <is>
          <t>J</t>
        </is>
      </c>
      <c r="C5213" s="12" t="inlineStr">
        <is>
          <t>GT inlet chilling</t>
        </is>
      </c>
      <c r="D5213" s="12" t="inlineStr">
        <is>
          <t>Analog instrument to JB JB-CONDITIONAL: TES c-AI01: 4 x 1 pr (field cables)</t>
        </is>
      </c>
      <c r="E5213" s="12" t="inlineStr"/>
      <c r="F5213" s="12" t="inlineStr">
        <is>
          <t>CONDITIONAL: TES chilled-water tank</t>
        </is>
      </c>
      <c r="G5213" s="12" t="inlineStr">
        <is>
          <t>JB-CONDITIONAL: TES c-AI01</t>
        </is>
      </c>
      <c r="H5213" s="12" t="inlineStr">
        <is>
          <t>CONDITIONAL: TES chilled-water tank</t>
        </is>
      </c>
      <c r="I5213" s="12" t="inlineStr">
        <is>
          <t>Instrumentation</t>
        </is>
      </c>
      <c r="J5213" s="12" t="inlineStr">
        <is>
          <t>Instrumentation PLTC / TC-ER 300 V, #18 twisted shielded pairs, overall shield</t>
        </is>
      </c>
      <c r="K5213" s="12" t="inlineStr">
        <is>
          <t>PLTC|1 pr|16</t>
        </is>
      </c>
      <c r="L5213" s="12" t="inlineStr">
        <is>
          <t>1 pr</t>
        </is>
      </c>
      <c r="M5213" s="12" t="inlineStr">
        <is>
          <t>16</t>
        </is>
      </c>
      <c r="N5213" s="12" t="n">
        <v>4</v>
      </c>
      <c r="O5213" s="12" t="n">
        <v>1</v>
      </c>
      <c r="P5213" s="12" t="n"/>
      <c r="Q5213" s="12" t="n"/>
      <c r="R5213" s="12" t="n"/>
      <c r="S5213" s="12" t="inlineStr">
        <is>
          <t>Tray / conduit</t>
        </is>
      </c>
      <c r="T5213" s="16" t="n">
        <v>91</v>
      </c>
      <c r="U5213" s="16" t="n">
        <v>10</v>
      </c>
      <c r="V5213" s="16">
        <f>ROUNDUP((T5213+U5213+2*'Read Me'!$B$13)*(1+'Read Me'!$B$12),-1)</f>
        <v/>
      </c>
      <c r="W5213" s="16">
        <f>V5213*N5213*O5213</f>
        <v/>
      </c>
      <c r="X5213" s="12">
        <f>IF(LEFT(I5213,2)="MV",2*N5213*IF(L5213="1/C",O5213,1),0)</f>
        <v/>
      </c>
      <c r="Y5213" s="12">
        <f>IF(OR(LEFT(K5213,4)="LVAX",LEFT(K5213,6)="MV15AX",LEFT(K5213,4)="CTAX",LEFT(K5213,2)="W|"),2*N5213*O5213,0)</f>
        <v/>
      </c>
      <c r="Z5213" s="12" t="inlineStr">
        <is>
          <t>device-to-JB field wiring, one cable per device</t>
        </is>
      </c>
      <c r="AA5213" s="12">
        <f>N5213*O5213</f>
        <v/>
      </c>
    </row>
    <row r="5214">
      <c r="A5214" s="12" t="inlineStr">
        <is>
          <t>J-I-0006</t>
        </is>
      </c>
      <c r="B5214" s="12" t="inlineStr">
        <is>
          <t>J</t>
        </is>
      </c>
      <c r="C5214" s="12" t="inlineStr">
        <is>
          <t>GT inlet chilling</t>
        </is>
      </c>
      <c r="D5214" s="12" t="inlineStr">
        <is>
          <t>Home run JB-CONDITIONAL: TES c-AI01 to the control / marshalling room</t>
        </is>
      </c>
      <c r="E5214" s="12" t="inlineStr"/>
      <c r="F5214" s="12" t="inlineStr">
        <is>
          <t>Inlet-chilling e-house / transformer</t>
        </is>
      </c>
      <c r="G5214" s="12" t="inlineStr">
        <is>
          <t>JB-CONDITIONAL: TES c-AI01</t>
        </is>
      </c>
      <c r="H5214" s="12" t="inlineStr">
        <is>
          <t>CONDITIONAL: TES chilled-water tank</t>
        </is>
      </c>
      <c r="I5214" s="12" t="inlineStr">
        <is>
          <t>Instrumentation</t>
        </is>
      </c>
      <c r="J5214" s="12" t="inlineStr">
        <is>
          <t>Instrumentation PLTC / TC-ER 300 V, #18 twisted shielded pairs, overall shield</t>
        </is>
      </c>
      <c r="K5214" s="12" t="inlineStr">
        <is>
          <t>PLTC|24 pr|18</t>
        </is>
      </c>
      <c r="L5214" s="12" t="inlineStr">
        <is>
          <t>24 pr</t>
        </is>
      </c>
      <c r="M5214" s="12" t="inlineStr">
        <is>
          <t>18</t>
        </is>
      </c>
      <c r="N5214" s="12" t="n">
        <v>1</v>
      </c>
      <c r="O5214" s="12" t="n">
        <v>1</v>
      </c>
      <c r="P5214" s="12" t="n"/>
      <c r="Q5214" s="12" t="n"/>
      <c r="R5214" s="12" t="n"/>
      <c r="S5214" s="12" t="inlineStr">
        <is>
          <t>Duct bank</t>
        </is>
      </c>
      <c r="T5214" s="16" t="n">
        <v>271</v>
      </c>
      <c r="U5214" s="16" t="n">
        <v>217</v>
      </c>
      <c r="V5214" s="16">
        <f>ROUNDUP((T5214+U5214+2*'Read Me'!$B$13)*(1+'Read Me'!$B$12),-1)</f>
        <v/>
      </c>
      <c r="W5214" s="16">
        <f>V5214*N5214*O5214</f>
        <v/>
      </c>
      <c r="X5214" s="12">
        <f>IF(LEFT(I5214,2)="MV",2*N5214*IF(L5214="1/C",O5214,1),0)</f>
        <v/>
      </c>
      <c r="Y5214" s="12">
        <f>IF(OR(LEFT(K5214,4)="LVAX",LEFT(K5214,6)="MV15AX",LEFT(K5214,4)="CTAX",LEFT(K5214,2)="W|"),2*N5214*O5214,0)</f>
        <v/>
      </c>
      <c r="Z5214" s="12" t="inlineStr"/>
      <c r="AA5214" s="12">
        <f>N5214*O5214</f>
        <v/>
      </c>
    </row>
    <row r="5215">
      <c r="A5215" s="12" t="inlineStr">
        <is>
          <t>J-I-0007</t>
        </is>
      </c>
      <c r="B5215" s="12" t="inlineStr">
        <is>
          <t>J</t>
        </is>
      </c>
      <c r="C5215" s="12" t="inlineStr">
        <is>
          <t>GT inlet chilling</t>
        </is>
      </c>
      <c r="D5215" s="12" t="inlineStr">
        <is>
          <t>Discrete device to JB JB-CONDITIONAL: TES c-DI01: 4 x 1 pr (field cables)</t>
        </is>
      </c>
      <c r="E5215" s="12" t="inlineStr"/>
      <c r="F5215" s="12" t="inlineStr">
        <is>
          <t>CONDITIONAL: TES chilled-water tank</t>
        </is>
      </c>
      <c r="G5215" s="12" t="inlineStr">
        <is>
          <t>JB-CONDITIONAL: TES c-DI01</t>
        </is>
      </c>
      <c r="H5215" s="12" t="inlineStr">
        <is>
          <t>CONDITIONAL: TES chilled-water tank</t>
        </is>
      </c>
      <c r="I5215" s="12" t="inlineStr">
        <is>
          <t>Instrumentation</t>
        </is>
      </c>
      <c r="J5215" s="12" t="inlineStr">
        <is>
          <t>Instrumentation PLTC / TC-ER 300 V, #18 twisted shielded pairs, overall shield</t>
        </is>
      </c>
      <c r="K5215" s="12" t="inlineStr">
        <is>
          <t>PLTC|1 pr|16</t>
        </is>
      </c>
      <c r="L5215" s="12" t="inlineStr">
        <is>
          <t>1 pr</t>
        </is>
      </c>
      <c r="M5215" s="12" t="inlineStr">
        <is>
          <t>16</t>
        </is>
      </c>
      <c r="N5215" s="12" t="n">
        <v>4</v>
      </c>
      <c r="O5215" s="12" t="n">
        <v>1</v>
      </c>
      <c r="P5215" s="12" t="n"/>
      <c r="Q5215" s="12" t="n"/>
      <c r="R5215" s="12" t="n"/>
      <c r="S5215" s="12" t="inlineStr">
        <is>
          <t>Tray / conduit</t>
        </is>
      </c>
      <c r="T5215" s="16" t="n">
        <v>91</v>
      </c>
      <c r="U5215" s="16" t="n">
        <v>10</v>
      </c>
      <c r="V5215" s="16">
        <f>ROUNDUP((T5215+U5215+2*'Read Me'!$B$13)*(1+'Read Me'!$B$12),-1)</f>
        <v/>
      </c>
      <c r="W5215" s="16">
        <f>V5215*N5215*O5215</f>
        <v/>
      </c>
      <c r="X5215" s="12">
        <f>IF(LEFT(I5215,2)="MV",2*N5215*IF(L5215="1/C",O5215,1),0)</f>
        <v/>
      </c>
      <c r="Y5215" s="12">
        <f>IF(OR(LEFT(K5215,4)="LVAX",LEFT(K5215,6)="MV15AX",LEFT(K5215,4)="CTAX",LEFT(K5215,2)="W|"),2*N5215*O5215,0)</f>
        <v/>
      </c>
      <c r="Z5215" s="12" t="inlineStr">
        <is>
          <t>device-to-JB field wiring, one cable per device</t>
        </is>
      </c>
      <c r="AA5215" s="12">
        <f>N5215*O5215</f>
        <v/>
      </c>
    </row>
    <row r="5216">
      <c r="A5216" s="12" t="inlineStr">
        <is>
          <t>J-I-0008</t>
        </is>
      </c>
      <c r="B5216" s="12" t="inlineStr">
        <is>
          <t>J</t>
        </is>
      </c>
      <c r="C5216" s="12" t="inlineStr">
        <is>
          <t>GT inlet chilling</t>
        </is>
      </c>
      <c r="D5216" s="12" t="inlineStr">
        <is>
          <t>Home run JB-CONDITIONAL: TES c-DI01 to the control / marshalling room</t>
        </is>
      </c>
      <c r="E5216" s="12" t="inlineStr"/>
      <c r="F5216" s="12" t="inlineStr">
        <is>
          <t>Inlet-chilling e-house / transformer</t>
        </is>
      </c>
      <c r="G5216" s="12" t="inlineStr">
        <is>
          <t>JB-CONDITIONAL: TES c-DI01</t>
        </is>
      </c>
      <c r="H5216" s="12" t="inlineStr">
        <is>
          <t>CONDITIONAL: TES chilled-water tank</t>
        </is>
      </c>
      <c r="I5216" s="12" t="inlineStr">
        <is>
          <t>Instrumentation</t>
        </is>
      </c>
      <c r="J5216" s="12" t="inlineStr">
        <is>
          <t>Instrumentation PLTC / TC-ER 300 V, #18 twisted shielded pairs, overall shield</t>
        </is>
      </c>
      <c r="K5216" s="12" t="inlineStr">
        <is>
          <t>PLTC|24 pr|18</t>
        </is>
      </c>
      <c r="L5216" s="12" t="inlineStr">
        <is>
          <t>24 pr</t>
        </is>
      </c>
      <c r="M5216" s="12" t="inlineStr">
        <is>
          <t>18</t>
        </is>
      </c>
      <c r="N5216" s="12" t="n">
        <v>1</v>
      </c>
      <c r="O5216" s="12" t="n">
        <v>1</v>
      </c>
      <c r="P5216" s="12" t="n"/>
      <c r="Q5216" s="12" t="n"/>
      <c r="R5216" s="12" t="n"/>
      <c r="S5216" s="12" t="inlineStr">
        <is>
          <t>Duct bank</t>
        </is>
      </c>
      <c r="T5216" s="16" t="n">
        <v>271</v>
      </c>
      <c r="U5216" s="16" t="n">
        <v>217</v>
      </c>
      <c r="V5216" s="16">
        <f>ROUNDUP((T5216+U5216+2*'Read Me'!$B$13)*(1+'Read Me'!$B$12),-1)</f>
        <v/>
      </c>
      <c r="W5216" s="16">
        <f>V5216*N5216*O5216</f>
        <v/>
      </c>
      <c r="X5216" s="12">
        <f>IF(LEFT(I5216,2)="MV",2*N5216*IF(L5216="1/C",O5216,1),0)</f>
        <v/>
      </c>
      <c r="Y5216" s="12">
        <f>IF(OR(LEFT(K5216,4)="LVAX",LEFT(K5216,6)="MV15AX",LEFT(K5216,4)="CTAX",LEFT(K5216,2)="W|"),2*N5216*O5216,0)</f>
        <v/>
      </c>
      <c r="Z5216" s="12" t="inlineStr"/>
      <c r="AA5216" s="12">
        <f>N5216*O5216</f>
        <v/>
      </c>
    </row>
    <row r="5217">
      <c r="A5217" s="12" t="inlineStr">
        <is>
          <t>J-I-0009</t>
        </is>
      </c>
      <c r="B5217" s="12" t="inlineStr">
        <is>
          <t>J</t>
        </is>
      </c>
      <c r="C5217" s="12" t="inlineStr">
        <is>
          <t>GT inlet chilling</t>
        </is>
      </c>
      <c r="D5217" s="12" t="inlineStr">
        <is>
          <t>Analog instrument to JB JB-CW pumps (inlet ch-AI01: 20 x 1 pr (field cables)</t>
        </is>
      </c>
      <c r="E5217" s="12" t="inlineStr"/>
      <c r="F5217" s="12" t="inlineStr">
        <is>
          <t>CW pumps (inlet chilling)</t>
        </is>
      </c>
      <c r="G5217" s="12" t="inlineStr">
        <is>
          <t>JB-CW pumps (inlet ch-AI01</t>
        </is>
      </c>
      <c r="H5217" s="12" t="inlineStr">
        <is>
          <t>CW pumps (inlet chilling)</t>
        </is>
      </c>
      <c r="I5217" s="12" t="inlineStr">
        <is>
          <t>Instrumentation</t>
        </is>
      </c>
      <c r="J5217" s="12" t="inlineStr">
        <is>
          <t>Instrumentation PLTC / TC-ER 300 V, #18 twisted shielded pairs, overall shield</t>
        </is>
      </c>
      <c r="K5217" s="12" t="inlineStr">
        <is>
          <t>PLTC|1 pr|16</t>
        </is>
      </c>
      <c r="L5217" s="12" t="inlineStr">
        <is>
          <t>1 pr</t>
        </is>
      </c>
      <c r="M5217" s="12" t="inlineStr">
        <is>
          <t>16</t>
        </is>
      </c>
      <c r="N5217" s="12" t="n">
        <v>20</v>
      </c>
      <c r="O5217" s="12" t="n">
        <v>1</v>
      </c>
      <c r="P5217" s="12" t="n"/>
      <c r="Q5217" s="12" t="n"/>
      <c r="R5217" s="12" t="n"/>
      <c r="S5217" s="12" t="inlineStr">
        <is>
          <t>Tray / conduit</t>
        </is>
      </c>
      <c r="T5217" s="16" t="n">
        <v>92</v>
      </c>
      <c r="U5217" s="16" t="n">
        <v>10</v>
      </c>
      <c r="V5217" s="16">
        <f>ROUNDUP((T5217+U5217+2*'Read Me'!$B$13)*(1+'Read Me'!$B$12),-1)</f>
        <v/>
      </c>
      <c r="W5217" s="16">
        <f>V5217*N5217*O5217</f>
        <v/>
      </c>
      <c r="X5217" s="12">
        <f>IF(LEFT(I5217,2)="MV",2*N5217*IF(L5217="1/C",O5217,1),0)</f>
        <v/>
      </c>
      <c r="Y5217" s="12">
        <f>IF(OR(LEFT(K5217,4)="LVAX",LEFT(K5217,6)="MV15AX",LEFT(K5217,4)="CTAX",LEFT(K5217,2)="W|"),2*N5217*O5217,0)</f>
        <v/>
      </c>
      <c r="Z5217" s="12" t="inlineStr">
        <is>
          <t>device-to-JB field wiring, one cable per device</t>
        </is>
      </c>
      <c r="AA5217" s="12">
        <f>N5217*O5217</f>
        <v/>
      </c>
    </row>
    <row r="5218">
      <c r="A5218" s="12" t="inlineStr">
        <is>
          <t>J-I-0010</t>
        </is>
      </c>
      <c r="B5218" s="12" t="inlineStr">
        <is>
          <t>J</t>
        </is>
      </c>
      <c r="C5218" s="12" t="inlineStr">
        <is>
          <t>GT inlet chilling</t>
        </is>
      </c>
      <c r="D5218" s="12" t="inlineStr">
        <is>
          <t>Home run JB-CW pumps (inlet ch-AI01 to the control / marshalling room</t>
        </is>
      </c>
      <c r="E5218" s="12" t="inlineStr"/>
      <c r="F5218" s="12" t="inlineStr">
        <is>
          <t>Inlet-chilling e-house / transformer</t>
        </is>
      </c>
      <c r="G5218" s="12" t="inlineStr">
        <is>
          <t>JB-CW pumps (inlet ch-AI01</t>
        </is>
      </c>
      <c r="H5218" s="12" t="inlineStr">
        <is>
          <t>CW pumps (inlet chilling)</t>
        </is>
      </c>
      <c r="I5218" s="12" t="inlineStr">
        <is>
          <t>Instrumentation</t>
        </is>
      </c>
      <c r="J5218" s="12" t="inlineStr">
        <is>
          <t>Instrumentation PLTC / TC-ER 300 V, #18 twisted shielded pairs, overall shield</t>
        </is>
      </c>
      <c r="K5218" s="12" t="inlineStr">
        <is>
          <t>PLTC|24 pr|18</t>
        </is>
      </c>
      <c r="L5218" s="12" t="inlineStr">
        <is>
          <t>24 pr</t>
        </is>
      </c>
      <c r="M5218" s="12" t="inlineStr">
        <is>
          <t>18</t>
        </is>
      </c>
      <c r="N5218" s="12" t="n">
        <v>1</v>
      </c>
      <c r="O5218" s="12" t="n">
        <v>1</v>
      </c>
      <c r="P5218" s="12" t="n"/>
      <c r="Q5218" s="12" t="n"/>
      <c r="R5218" s="12" t="n"/>
      <c r="S5218" s="12" t="inlineStr">
        <is>
          <t>Tray</t>
        </is>
      </c>
      <c r="T5218" s="16" t="n">
        <v>0</v>
      </c>
      <c r="U5218" s="16" t="n">
        <v>70</v>
      </c>
      <c r="V5218" s="16">
        <f>ROUNDUP((T5218+U5218+2*'Read Me'!$B$13)*(1+'Read Me'!$B$12),-1)</f>
        <v/>
      </c>
      <c r="W5218" s="16">
        <f>V5218*N5218*O5218</f>
        <v/>
      </c>
      <c r="X5218" s="12">
        <f>IF(LEFT(I5218,2)="MV",2*N5218*IF(L5218="1/C",O5218,1),0)</f>
        <v/>
      </c>
      <c r="Y5218" s="12">
        <f>IF(OR(LEFT(K5218,4)="LVAX",LEFT(K5218,6)="MV15AX",LEFT(K5218,4)="CTAX",LEFT(K5218,2)="W|"),2*N5218*O5218,0)</f>
        <v/>
      </c>
      <c r="Z5218" s="12" t="inlineStr"/>
      <c r="AA5218" s="12">
        <f>N5218*O5218</f>
        <v/>
      </c>
    </row>
    <row r="5219">
      <c r="A5219" s="12" t="inlineStr">
        <is>
          <t>J-I-0011</t>
        </is>
      </c>
      <c r="B5219" s="12" t="inlineStr">
        <is>
          <t>J</t>
        </is>
      </c>
      <c r="C5219" s="12" t="inlineStr">
        <is>
          <t>GT inlet chilling</t>
        </is>
      </c>
      <c r="D5219" s="12" t="inlineStr">
        <is>
          <t>Analog instrument to JB JB-CW pumps (inlet ch-AI02: 4 x 1 pr (field cables)</t>
        </is>
      </c>
      <c r="E5219" s="12" t="inlineStr"/>
      <c r="F5219" s="12" t="inlineStr">
        <is>
          <t>CW pumps (inlet chilling)</t>
        </is>
      </c>
      <c r="G5219" s="12" t="inlineStr">
        <is>
          <t>JB-CW pumps (inlet ch-AI02</t>
        </is>
      </c>
      <c r="H5219" s="12" t="inlineStr">
        <is>
          <t>CW pumps (inlet chilling)</t>
        </is>
      </c>
      <c r="I5219" s="12" t="inlineStr">
        <is>
          <t>Instrumentation</t>
        </is>
      </c>
      <c r="J5219" s="12" t="inlineStr">
        <is>
          <t>Instrumentation PLTC / TC-ER 300 V, #18 twisted shielded pairs, overall shield</t>
        </is>
      </c>
      <c r="K5219" s="12" t="inlineStr">
        <is>
          <t>PLTC|1 pr|16</t>
        </is>
      </c>
      <c r="L5219" s="12" t="inlineStr">
        <is>
          <t>1 pr</t>
        </is>
      </c>
      <c r="M5219" s="12" t="inlineStr">
        <is>
          <t>16</t>
        </is>
      </c>
      <c r="N5219" s="12" t="n">
        <v>4</v>
      </c>
      <c r="O5219" s="12" t="n">
        <v>1</v>
      </c>
      <c r="P5219" s="12" t="n"/>
      <c r="Q5219" s="12" t="n"/>
      <c r="R5219" s="12" t="n"/>
      <c r="S5219" s="12" t="inlineStr">
        <is>
          <t>Tray / conduit</t>
        </is>
      </c>
      <c r="T5219" s="16" t="n">
        <v>92</v>
      </c>
      <c r="U5219" s="16" t="n">
        <v>10</v>
      </c>
      <c r="V5219" s="16">
        <f>ROUNDUP((T5219+U5219+2*'Read Me'!$B$13)*(1+'Read Me'!$B$12),-1)</f>
        <v/>
      </c>
      <c r="W5219" s="16">
        <f>V5219*N5219*O5219</f>
        <v/>
      </c>
      <c r="X5219" s="12">
        <f>IF(LEFT(I5219,2)="MV",2*N5219*IF(L5219="1/C",O5219,1),0)</f>
        <v/>
      </c>
      <c r="Y5219" s="12">
        <f>IF(OR(LEFT(K5219,4)="LVAX",LEFT(K5219,6)="MV15AX",LEFT(K5219,4)="CTAX",LEFT(K5219,2)="W|"),2*N5219*O5219,0)</f>
        <v/>
      </c>
      <c r="Z5219" s="12" t="inlineStr">
        <is>
          <t>device-to-JB field wiring, one cable per device</t>
        </is>
      </c>
      <c r="AA5219" s="12">
        <f>N5219*O5219</f>
        <v/>
      </c>
    </row>
    <row r="5220">
      <c r="A5220" s="12" t="inlineStr">
        <is>
          <t>J-I-0012</t>
        </is>
      </c>
      <c r="B5220" s="12" t="inlineStr">
        <is>
          <t>J</t>
        </is>
      </c>
      <c r="C5220" s="12" t="inlineStr">
        <is>
          <t>GT inlet chilling</t>
        </is>
      </c>
      <c r="D5220" s="12" t="inlineStr">
        <is>
          <t>Home run JB-CW pumps (inlet ch-AI02 to the control / marshalling room</t>
        </is>
      </c>
      <c r="E5220" s="12" t="inlineStr"/>
      <c r="F5220" s="12" t="inlineStr">
        <is>
          <t>Inlet-chilling e-house / transformer</t>
        </is>
      </c>
      <c r="G5220" s="12" t="inlineStr">
        <is>
          <t>JB-CW pumps (inlet ch-AI02</t>
        </is>
      </c>
      <c r="H5220" s="12" t="inlineStr">
        <is>
          <t>CW pumps (inlet chilling)</t>
        </is>
      </c>
      <c r="I5220" s="12" t="inlineStr">
        <is>
          <t>Instrumentation</t>
        </is>
      </c>
      <c r="J5220" s="12" t="inlineStr">
        <is>
          <t>Instrumentation PLTC / TC-ER 300 V, #18 twisted shielded pairs, overall shield</t>
        </is>
      </c>
      <c r="K5220" s="12" t="inlineStr">
        <is>
          <t>PLTC|24 pr|18</t>
        </is>
      </c>
      <c r="L5220" s="12" t="inlineStr">
        <is>
          <t>24 pr</t>
        </is>
      </c>
      <c r="M5220" s="12" t="inlineStr">
        <is>
          <t>18</t>
        </is>
      </c>
      <c r="N5220" s="12" t="n">
        <v>1</v>
      </c>
      <c r="O5220" s="12" t="n">
        <v>1</v>
      </c>
      <c r="P5220" s="12" t="n"/>
      <c r="Q5220" s="12" t="n"/>
      <c r="R5220" s="12" t="n"/>
      <c r="S5220" s="12" t="inlineStr">
        <is>
          <t>Tray</t>
        </is>
      </c>
      <c r="T5220" s="16" t="n">
        <v>0</v>
      </c>
      <c r="U5220" s="16" t="n">
        <v>70</v>
      </c>
      <c r="V5220" s="16">
        <f>ROUNDUP((T5220+U5220+2*'Read Me'!$B$13)*(1+'Read Me'!$B$12),-1)</f>
        <v/>
      </c>
      <c r="W5220" s="16">
        <f>V5220*N5220*O5220</f>
        <v/>
      </c>
      <c r="X5220" s="12">
        <f>IF(LEFT(I5220,2)="MV",2*N5220*IF(L5220="1/C",O5220,1),0)</f>
        <v/>
      </c>
      <c r="Y5220" s="12">
        <f>IF(OR(LEFT(K5220,4)="LVAX",LEFT(K5220,6)="MV15AX",LEFT(K5220,4)="CTAX",LEFT(K5220,2)="W|"),2*N5220*O5220,0)</f>
        <v/>
      </c>
      <c r="Z5220" s="12" t="inlineStr"/>
      <c r="AA5220" s="12">
        <f>N5220*O5220</f>
        <v/>
      </c>
    </row>
    <row r="5221">
      <c r="A5221" s="12" t="inlineStr">
        <is>
          <t>J-I-0013</t>
        </is>
      </c>
      <c r="B5221" s="12" t="inlineStr">
        <is>
          <t>J</t>
        </is>
      </c>
      <c r="C5221" s="12" t="inlineStr">
        <is>
          <t>GT inlet chilling</t>
        </is>
      </c>
      <c r="D5221" s="12" t="inlineStr">
        <is>
          <t>Discrete device to JB JB-CW pumps (inlet ch-DI01: 20 x 1 pr (field cables)</t>
        </is>
      </c>
      <c r="E5221" s="12" t="inlineStr"/>
      <c r="F5221" s="12" t="inlineStr">
        <is>
          <t>CW pumps (inlet chilling)</t>
        </is>
      </c>
      <c r="G5221" s="12" t="inlineStr">
        <is>
          <t>JB-CW pumps (inlet ch-DI01</t>
        </is>
      </c>
      <c r="H5221" s="12" t="inlineStr">
        <is>
          <t>CW pumps (inlet chilling)</t>
        </is>
      </c>
      <c r="I5221" s="12" t="inlineStr">
        <is>
          <t>Instrumentation</t>
        </is>
      </c>
      <c r="J5221" s="12" t="inlineStr">
        <is>
          <t>Instrumentation PLTC / TC-ER 300 V, #18 twisted shielded pairs, overall shield</t>
        </is>
      </c>
      <c r="K5221" s="12" t="inlineStr">
        <is>
          <t>PLTC|1 pr|16</t>
        </is>
      </c>
      <c r="L5221" s="12" t="inlineStr">
        <is>
          <t>1 pr</t>
        </is>
      </c>
      <c r="M5221" s="12" t="inlineStr">
        <is>
          <t>16</t>
        </is>
      </c>
      <c r="N5221" s="12" t="n">
        <v>20</v>
      </c>
      <c r="O5221" s="12" t="n">
        <v>1</v>
      </c>
      <c r="P5221" s="12" t="n"/>
      <c r="Q5221" s="12" t="n"/>
      <c r="R5221" s="12" t="n"/>
      <c r="S5221" s="12" t="inlineStr">
        <is>
          <t>Tray / conduit</t>
        </is>
      </c>
      <c r="T5221" s="16" t="n">
        <v>92</v>
      </c>
      <c r="U5221" s="16" t="n">
        <v>10</v>
      </c>
      <c r="V5221" s="16">
        <f>ROUNDUP((T5221+U5221+2*'Read Me'!$B$13)*(1+'Read Me'!$B$12),-1)</f>
        <v/>
      </c>
      <c r="W5221" s="16">
        <f>V5221*N5221*O5221</f>
        <v/>
      </c>
      <c r="X5221" s="12">
        <f>IF(LEFT(I5221,2)="MV",2*N5221*IF(L5221="1/C",O5221,1),0)</f>
        <v/>
      </c>
      <c r="Y5221" s="12">
        <f>IF(OR(LEFT(K5221,4)="LVAX",LEFT(K5221,6)="MV15AX",LEFT(K5221,4)="CTAX",LEFT(K5221,2)="W|"),2*N5221*O5221,0)</f>
        <v/>
      </c>
      <c r="Z5221" s="12" t="inlineStr">
        <is>
          <t>device-to-JB field wiring, one cable per device</t>
        </is>
      </c>
      <c r="AA5221" s="12">
        <f>N5221*O5221</f>
        <v/>
      </c>
    </row>
    <row r="5222">
      <c r="A5222" s="12" t="inlineStr">
        <is>
          <t>J-I-0014</t>
        </is>
      </c>
      <c r="B5222" s="12" t="inlineStr">
        <is>
          <t>J</t>
        </is>
      </c>
      <c r="C5222" s="12" t="inlineStr">
        <is>
          <t>GT inlet chilling</t>
        </is>
      </c>
      <c r="D5222" s="12" t="inlineStr">
        <is>
          <t>Home run JB-CW pumps (inlet ch-DI01 to the control / marshalling room</t>
        </is>
      </c>
      <c r="E5222" s="12" t="inlineStr"/>
      <c r="F5222" s="12" t="inlineStr">
        <is>
          <t>Inlet-chilling e-house / transformer</t>
        </is>
      </c>
      <c r="G5222" s="12" t="inlineStr">
        <is>
          <t>JB-CW pumps (inlet ch-DI01</t>
        </is>
      </c>
      <c r="H5222" s="12" t="inlineStr">
        <is>
          <t>CW pumps (inlet chilling)</t>
        </is>
      </c>
      <c r="I5222" s="12" t="inlineStr">
        <is>
          <t>Instrumentation</t>
        </is>
      </c>
      <c r="J5222" s="12" t="inlineStr">
        <is>
          <t>Instrumentation PLTC / TC-ER 300 V, #18 twisted shielded pairs, overall shield</t>
        </is>
      </c>
      <c r="K5222" s="12" t="inlineStr">
        <is>
          <t>PLTC|24 pr|18</t>
        </is>
      </c>
      <c r="L5222" s="12" t="inlineStr">
        <is>
          <t>24 pr</t>
        </is>
      </c>
      <c r="M5222" s="12" t="inlineStr">
        <is>
          <t>18</t>
        </is>
      </c>
      <c r="N5222" s="12" t="n">
        <v>1</v>
      </c>
      <c r="O5222" s="12" t="n">
        <v>1</v>
      </c>
      <c r="P5222" s="12" t="n"/>
      <c r="Q5222" s="12" t="n"/>
      <c r="R5222" s="12" t="n"/>
      <c r="S5222" s="12" t="inlineStr">
        <is>
          <t>Tray</t>
        </is>
      </c>
      <c r="T5222" s="16" t="n">
        <v>0</v>
      </c>
      <c r="U5222" s="16" t="n">
        <v>70</v>
      </c>
      <c r="V5222" s="16">
        <f>ROUNDUP((T5222+U5222+2*'Read Me'!$B$13)*(1+'Read Me'!$B$12),-1)</f>
        <v/>
      </c>
      <c r="W5222" s="16">
        <f>V5222*N5222*O5222</f>
        <v/>
      </c>
      <c r="X5222" s="12">
        <f>IF(LEFT(I5222,2)="MV",2*N5222*IF(L5222="1/C",O5222,1),0)</f>
        <v/>
      </c>
      <c r="Y5222" s="12">
        <f>IF(OR(LEFT(K5222,4)="LVAX",LEFT(K5222,6)="MV15AX",LEFT(K5222,4)="CTAX",LEFT(K5222,2)="W|"),2*N5222*O5222,0)</f>
        <v/>
      </c>
      <c r="Z5222" s="12" t="inlineStr"/>
      <c r="AA5222" s="12">
        <f>N5222*O5222</f>
        <v/>
      </c>
    </row>
    <row r="5223">
      <c r="A5223" s="12" t="inlineStr">
        <is>
          <t>J-I-0015</t>
        </is>
      </c>
      <c r="B5223" s="12" t="inlineStr">
        <is>
          <t>J</t>
        </is>
      </c>
      <c r="C5223" s="12" t="inlineStr">
        <is>
          <t>GT inlet chilling</t>
        </is>
      </c>
      <c r="D5223" s="12" t="inlineStr">
        <is>
          <t>Discrete device to JB JB-CW pumps (inlet ch-DI02: 4 x 1 pr (field cables)</t>
        </is>
      </c>
      <c r="E5223" s="12" t="inlineStr"/>
      <c r="F5223" s="12" t="inlineStr">
        <is>
          <t>CW pumps (inlet chilling)</t>
        </is>
      </c>
      <c r="G5223" s="12" t="inlineStr">
        <is>
          <t>JB-CW pumps (inlet ch-DI02</t>
        </is>
      </c>
      <c r="H5223" s="12" t="inlineStr">
        <is>
          <t>CW pumps (inlet chilling)</t>
        </is>
      </c>
      <c r="I5223" s="12" t="inlineStr">
        <is>
          <t>Instrumentation</t>
        </is>
      </c>
      <c r="J5223" s="12" t="inlineStr">
        <is>
          <t>Instrumentation PLTC / TC-ER 300 V, #18 twisted shielded pairs, overall shield</t>
        </is>
      </c>
      <c r="K5223" s="12" t="inlineStr">
        <is>
          <t>PLTC|1 pr|16</t>
        </is>
      </c>
      <c r="L5223" s="12" t="inlineStr">
        <is>
          <t>1 pr</t>
        </is>
      </c>
      <c r="M5223" s="12" t="inlineStr">
        <is>
          <t>16</t>
        </is>
      </c>
      <c r="N5223" s="12" t="n">
        <v>4</v>
      </c>
      <c r="O5223" s="12" t="n">
        <v>1</v>
      </c>
      <c r="P5223" s="12" t="n"/>
      <c r="Q5223" s="12" t="n"/>
      <c r="R5223" s="12" t="n"/>
      <c r="S5223" s="12" t="inlineStr">
        <is>
          <t>Tray / conduit</t>
        </is>
      </c>
      <c r="T5223" s="16" t="n">
        <v>92</v>
      </c>
      <c r="U5223" s="16" t="n">
        <v>10</v>
      </c>
      <c r="V5223" s="16">
        <f>ROUNDUP((T5223+U5223+2*'Read Me'!$B$13)*(1+'Read Me'!$B$12),-1)</f>
        <v/>
      </c>
      <c r="W5223" s="16">
        <f>V5223*N5223*O5223</f>
        <v/>
      </c>
      <c r="X5223" s="12">
        <f>IF(LEFT(I5223,2)="MV",2*N5223*IF(L5223="1/C",O5223,1),0)</f>
        <v/>
      </c>
      <c r="Y5223" s="12">
        <f>IF(OR(LEFT(K5223,4)="LVAX",LEFT(K5223,6)="MV15AX",LEFT(K5223,4)="CTAX",LEFT(K5223,2)="W|"),2*N5223*O5223,0)</f>
        <v/>
      </c>
      <c r="Z5223" s="12" t="inlineStr">
        <is>
          <t>device-to-JB field wiring, one cable per device</t>
        </is>
      </c>
      <c r="AA5223" s="12">
        <f>N5223*O5223</f>
        <v/>
      </c>
    </row>
    <row r="5224">
      <c r="A5224" s="12" t="inlineStr">
        <is>
          <t>J-I-0016</t>
        </is>
      </c>
      <c r="B5224" s="12" t="inlineStr">
        <is>
          <t>J</t>
        </is>
      </c>
      <c r="C5224" s="12" t="inlineStr">
        <is>
          <t>GT inlet chilling</t>
        </is>
      </c>
      <c r="D5224" s="12" t="inlineStr">
        <is>
          <t>Home run JB-CW pumps (inlet ch-DI02 to the control / marshalling room</t>
        </is>
      </c>
      <c r="E5224" s="12" t="inlineStr"/>
      <c r="F5224" s="12" t="inlineStr">
        <is>
          <t>Inlet-chilling e-house / transformer</t>
        </is>
      </c>
      <c r="G5224" s="12" t="inlineStr">
        <is>
          <t>JB-CW pumps (inlet ch-DI02</t>
        </is>
      </c>
      <c r="H5224" s="12" t="inlineStr">
        <is>
          <t>CW pumps (inlet chilling)</t>
        </is>
      </c>
      <c r="I5224" s="12" t="inlineStr">
        <is>
          <t>Instrumentation</t>
        </is>
      </c>
      <c r="J5224" s="12" t="inlineStr">
        <is>
          <t>Instrumentation PLTC / TC-ER 300 V, #18 twisted shielded pairs, overall shield</t>
        </is>
      </c>
      <c r="K5224" s="12" t="inlineStr">
        <is>
          <t>PLTC|24 pr|18</t>
        </is>
      </c>
      <c r="L5224" s="12" t="inlineStr">
        <is>
          <t>24 pr</t>
        </is>
      </c>
      <c r="M5224" s="12" t="inlineStr">
        <is>
          <t>18</t>
        </is>
      </c>
      <c r="N5224" s="12" t="n">
        <v>1</v>
      </c>
      <c r="O5224" s="12" t="n">
        <v>1</v>
      </c>
      <c r="P5224" s="12" t="n"/>
      <c r="Q5224" s="12" t="n"/>
      <c r="R5224" s="12" t="n"/>
      <c r="S5224" s="12" t="inlineStr">
        <is>
          <t>Tray</t>
        </is>
      </c>
      <c r="T5224" s="16" t="n">
        <v>0</v>
      </c>
      <c r="U5224" s="16" t="n">
        <v>70</v>
      </c>
      <c r="V5224" s="16">
        <f>ROUNDUP((T5224+U5224+2*'Read Me'!$B$13)*(1+'Read Me'!$B$12),-1)</f>
        <v/>
      </c>
      <c r="W5224" s="16">
        <f>V5224*N5224*O5224</f>
        <v/>
      </c>
      <c r="X5224" s="12">
        <f>IF(LEFT(I5224,2)="MV",2*N5224*IF(L5224="1/C",O5224,1),0)</f>
        <v/>
      </c>
      <c r="Y5224" s="12">
        <f>IF(OR(LEFT(K5224,4)="LVAX",LEFT(K5224,6)="MV15AX",LEFT(K5224,4)="CTAX",LEFT(K5224,2)="W|"),2*N5224*O5224,0)</f>
        <v/>
      </c>
      <c r="Z5224" s="12" t="inlineStr"/>
      <c r="AA5224" s="12">
        <f>N5224*O5224</f>
        <v/>
      </c>
    </row>
    <row r="5225">
      <c r="A5225" s="12" t="inlineStr">
        <is>
          <t>J-I-0017</t>
        </is>
      </c>
      <c r="B5225" s="12" t="inlineStr">
        <is>
          <t>J</t>
        </is>
      </c>
      <c r="C5225" s="12" t="inlineStr">
        <is>
          <t>GT inlet chilling</t>
        </is>
      </c>
      <c r="D5225" s="12" t="inlineStr">
        <is>
          <t>Analog instrument to JB JB-Chillers x6 (water-AI01: 20 x 1 pr (field cables)</t>
        </is>
      </c>
      <c r="E5225" s="12" t="inlineStr"/>
      <c r="F5225" s="12" t="inlineStr">
        <is>
          <t>Chillers x6 (water-cooled)</t>
        </is>
      </c>
      <c r="G5225" s="12" t="inlineStr">
        <is>
          <t>JB-Chillers x6 (water-AI01</t>
        </is>
      </c>
      <c r="H5225" s="12" t="inlineStr">
        <is>
          <t>Chillers x6 (water-cooled)</t>
        </is>
      </c>
      <c r="I5225" s="12" t="inlineStr">
        <is>
          <t>Instrumentation</t>
        </is>
      </c>
      <c r="J5225" s="12" t="inlineStr">
        <is>
          <t>Instrumentation PLTC / TC-ER 300 V, #18 twisted shielded pairs, overall shield</t>
        </is>
      </c>
      <c r="K5225" s="12" t="inlineStr">
        <is>
          <t>PLTC|1 pr|16</t>
        </is>
      </c>
      <c r="L5225" s="12" t="inlineStr">
        <is>
          <t>1 pr</t>
        </is>
      </c>
      <c r="M5225" s="12" t="inlineStr">
        <is>
          <t>16</t>
        </is>
      </c>
      <c r="N5225" s="12" t="n">
        <v>20</v>
      </c>
      <c r="O5225" s="12" t="n">
        <v>1</v>
      </c>
      <c r="P5225" s="12" t="n"/>
      <c r="Q5225" s="12" t="n"/>
      <c r="R5225" s="12" t="n"/>
      <c r="S5225" s="12" t="inlineStr">
        <is>
          <t>Tray / conduit</t>
        </is>
      </c>
      <c r="T5225" s="16" t="n">
        <v>190</v>
      </c>
      <c r="U5225" s="16" t="n">
        <v>10</v>
      </c>
      <c r="V5225" s="16">
        <f>ROUNDUP((T5225+U5225+2*'Read Me'!$B$13)*(1+'Read Me'!$B$12),-1)</f>
        <v/>
      </c>
      <c r="W5225" s="16">
        <f>V5225*N5225*O5225</f>
        <v/>
      </c>
      <c r="X5225" s="12">
        <f>IF(LEFT(I5225,2)="MV",2*N5225*IF(L5225="1/C",O5225,1),0)</f>
        <v/>
      </c>
      <c r="Y5225" s="12">
        <f>IF(OR(LEFT(K5225,4)="LVAX",LEFT(K5225,6)="MV15AX",LEFT(K5225,4)="CTAX",LEFT(K5225,2)="W|"),2*N5225*O5225,0)</f>
        <v/>
      </c>
      <c r="Z5225" s="12" t="inlineStr">
        <is>
          <t>device-to-JB field wiring, one cable per device</t>
        </is>
      </c>
      <c r="AA5225" s="12">
        <f>N5225*O5225</f>
        <v/>
      </c>
    </row>
    <row r="5226">
      <c r="A5226" s="12" t="inlineStr">
        <is>
          <t>J-I-0018</t>
        </is>
      </c>
      <c r="B5226" s="12" t="inlineStr">
        <is>
          <t>J</t>
        </is>
      </c>
      <c r="C5226" s="12" t="inlineStr">
        <is>
          <t>GT inlet chilling</t>
        </is>
      </c>
      <c r="D5226" s="12" t="inlineStr">
        <is>
          <t>Home run JB-Chillers x6 (water-AI01 to the control / marshalling room</t>
        </is>
      </c>
      <c r="E5226" s="12" t="inlineStr"/>
      <c r="F5226" s="12" t="inlineStr">
        <is>
          <t>Inlet-chilling e-house / transformer</t>
        </is>
      </c>
      <c r="G5226" s="12" t="inlineStr">
        <is>
          <t>JB-Chillers x6 (water-AI01</t>
        </is>
      </c>
      <c r="H5226" s="12" t="inlineStr">
        <is>
          <t>Chillers x6 (water-cooled)</t>
        </is>
      </c>
      <c r="I5226" s="12" t="inlineStr">
        <is>
          <t>Instrumentation</t>
        </is>
      </c>
      <c r="J5226" s="12" t="inlineStr">
        <is>
          <t>Instrumentation PLTC / TC-ER 300 V, #18 twisted shielded pairs, overall shield</t>
        </is>
      </c>
      <c r="K5226" s="12" t="inlineStr">
        <is>
          <t>PLTC|24 pr|18</t>
        </is>
      </c>
      <c r="L5226" s="12" t="inlineStr">
        <is>
          <t>24 pr</t>
        </is>
      </c>
      <c r="M5226" s="12" t="inlineStr">
        <is>
          <t>18</t>
        </is>
      </c>
      <c r="N5226" s="12" t="n">
        <v>1</v>
      </c>
      <c r="O5226" s="12" t="n">
        <v>1</v>
      </c>
      <c r="P5226" s="12" t="n"/>
      <c r="Q5226" s="12" t="n"/>
      <c r="R5226" s="12" t="n"/>
      <c r="S5226" s="12" t="inlineStr">
        <is>
          <t>Duct bank</t>
        </is>
      </c>
      <c r="T5226" s="16" t="n">
        <v>10</v>
      </c>
      <c r="U5226" s="16" t="n">
        <v>32</v>
      </c>
      <c r="V5226" s="16">
        <f>ROUNDUP((T5226+U5226+2*'Read Me'!$B$13)*(1+'Read Me'!$B$12),-1)</f>
        <v/>
      </c>
      <c r="W5226" s="16">
        <f>V5226*N5226*O5226</f>
        <v/>
      </c>
      <c r="X5226" s="12">
        <f>IF(LEFT(I5226,2)="MV",2*N5226*IF(L5226="1/C",O5226,1),0)</f>
        <v/>
      </c>
      <c r="Y5226" s="12">
        <f>IF(OR(LEFT(K5226,4)="LVAX",LEFT(K5226,6)="MV15AX",LEFT(K5226,4)="CTAX",LEFT(K5226,2)="W|"),2*N5226*O5226,0)</f>
        <v/>
      </c>
      <c r="Z5226" s="12" t="inlineStr"/>
      <c r="AA5226" s="12">
        <f>N5226*O5226</f>
        <v/>
      </c>
    </row>
    <row r="5227">
      <c r="A5227" s="12" t="inlineStr">
        <is>
          <t>J-I-0019</t>
        </is>
      </c>
      <c r="B5227" s="12" t="inlineStr">
        <is>
          <t>J</t>
        </is>
      </c>
      <c r="C5227" s="12" t="inlineStr">
        <is>
          <t>GT inlet chilling</t>
        </is>
      </c>
      <c r="D5227" s="12" t="inlineStr">
        <is>
          <t>Analog instrument to JB JB-Chillers x6 (water-AI02: 20 x 1 pr (field cables)</t>
        </is>
      </c>
      <c r="E5227" s="12" t="inlineStr"/>
      <c r="F5227" s="12" t="inlineStr">
        <is>
          <t>Chillers x6 (water-cooled)</t>
        </is>
      </c>
      <c r="G5227" s="12" t="inlineStr">
        <is>
          <t>JB-Chillers x6 (water-AI02</t>
        </is>
      </c>
      <c r="H5227" s="12" t="inlineStr">
        <is>
          <t>Chillers x6 (water-cooled)</t>
        </is>
      </c>
      <c r="I5227" s="12" t="inlineStr">
        <is>
          <t>Instrumentation</t>
        </is>
      </c>
      <c r="J5227" s="12" t="inlineStr">
        <is>
          <t>Instrumentation PLTC / TC-ER 300 V, #18 twisted shielded pairs, overall shield</t>
        </is>
      </c>
      <c r="K5227" s="12" t="inlineStr">
        <is>
          <t>PLTC|1 pr|16</t>
        </is>
      </c>
      <c r="L5227" s="12" t="inlineStr">
        <is>
          <t>1 pr</t>
        </is>
      </c>
      <c r="M5227" s="12" t="inlineStr">
        <is>
          <t>16</t>
        </is>
      </c>
      <c r="N5227" s="12" t="n">
        <v>20</v>
      </c>
      <c r="O5227" s="12" t="n">
        <v>1</v>
      </c>
      <c r="P5227" s="12" t="n"/>
      <c r="Q5227" s="12" t="n"/>
      <c r="R5227" s="12" t="n"/>
      <c r="S5227" s="12" t="inlineStr">
        <is>
          <t>Tray / conduit</t>
        </is>
      </c>
      <c r="T5227" s="16" t="n">
        <v>190</v>
      </c>
      <c r="U5227" s="16" t="n">
        <v>10</v>
      </c>
      <c r="V5227" s="16">
        <f>ROUNDUP((T5227+U5227+2*'Read Me'!$B$13)*(1+'Read Me'!$B$12),-1)</f>
        <v/>
      </c>
      <c r="W5227" s="16">
        <f>V5227*N5227*O5227</f>
        <v/>
      </c>
      <c r="X5227" s="12">
        <f>IF(LEFT(I5227,2)="MV",2*N5227*IF(L5227="1/C",O5227,1),0)</f>
        <v/>
      </c>
      <c r="Y5227" s="12">
        <f>IF(OR(LEFT(K5227,4)="LVAX",LEFT(K5227,6)="MV15AX",LEFT(K5227,4)="CTAX",LEFT(K5227,2)="W|"),2*N5227*O5227,0)</f>
        <v/>
      </c>
      <c r="Z5227" s="12" t="inlineStr">
        <is>
          <t>device-to-JB field wiring, one cable per device</t>
        </is>
      </c>
      <c r="AA5227" s="12">
        <f>N5227*O5227</f>
        <v/>
      </c>
    </row>
    <row r="5228">
      <c r="A5228" s="12" t="inlineStr">
        <is>
          <t>J-I-0020</t>
        </is>
      </c>
      <c r="B5228" s="12" t="inlineStr">
        <is>
          <t>J</t>
        </is>
      </c>
      <c r="C5228" s="12" t="inlineStr">
        <is>
          <t>GT inlet chilling</t>
        </is>
      </c>
      <c r="D5228" s="12" t="inlineStr">
        <is>
          <t>Home run JB-Chillers x6 (water-AI02 to the control / marshalling room</t>
        </is>
      </c>
      <c r="E5228" s="12" t="inlineStr"/>
      <c r="F5228" s="12" t="inlineStr">
        <is>
          <t>Inlet-chilling e-house / transformer</t>
        </is>
      </c>
      <c r="G5228" s="12" t="inlineStr">
        <is>
          <t>JB-Chillers x6 (water-AI02</t>
        </is>
      </c>
      <c r="H5228" s="12" t="inlineStr">
        <is>
          <t>Chillers x6 (water-cooled)</t>
        </is>
      </c>
      <c r="I5228" s="12" t="inlineStr">
        <is>
          <t>Instrumentation</t>
        </is>
      </c>
      <c r="J5228" s="12" t="inlineStr">
        <is>
          <t>Instrumentation PLTC / TC-ER 300 V, #18 twisted shielded pairs, overall shield</t>
        </is>
      </c>
      <c r="K5228" s="12" t="inlineStr">
        <is>
          <t>PLTC|24 pr|18</t>
        </is>
      </c>
      <c r="L5228" s="12" t="inlineStr">
        <is>
          <t>24 pr</t>
        </is>
      </c>
      <c r="M5228" s="12" t="inlineStr">
        <is>
          <t>18</t>
        </is>
      </c>
      <c r="N5228" s="12" t="n">
        <v>1</v>
      </c>
      <c r="O5228" s="12" t="n">
        <v>1</v>
      </c>
      <c r="P5228" s="12" t="n"/>
      <c r="Q5228" s="12" t="n"/>
      <c r="R5228" s="12" t="n"/>
      <c r="S5228" s="12" t="inlineStr">
        <is>
          <t>Duct bank</t>
        </is>
      </c>
      <c r="T5228" s="16" t="n">
        <v>10</v>
      </c>
      <c r="U5228" s="16" t="n">
        <v>32</v>
      </c>
      <c r="V5228" s="16">
        <f>ROUNDUP((T5228+U5228+2*'Read Me'!$B$13)*(1+'Read Me'!$B$12),-1)</f>
        <v/>
      </c>
      <c r="W5228" s="16">
        <f>V5228*N5228*O5228</f>
        <v/>
      </c>
      <c r="X5228" s="12">
        <f>IF(LEFT(I5228,2)="MV",2*N5228*IF(L5228="1/C",O5228,1),0)</f>
        <v/>
      </c>
      <c r="Y5228" s="12">
        <f>IF(OR(LEFT(K5228,4)="LVAX",LEFT(K5228,6)="MV15AX",LEFT(K5228,4)="CTAX",LEFT(K5228,2)="W|"),2*N5228*O5228,0)</f>
        <v/>
      </c>
      <c r="Z5228" s="12" t="inlineStr"/>
      <c r="AA5228" s="12">
        <f>N5228*O5228</f>
        <v/>
      </c>
    </row>
    <row r="5229">
      <c r="A5229" s="12" t="inlineStr">
        <is>
          <t>J-I-0021</t>
        </is>
      </c>
      <c r="B5229" s="12" t="inlineStr">
        <is>
          <t>J</t>
        </is>
      </c>
      <c r="C5229" s="12" t="inlineStr">
        <is>
          <t>GT inlet chilling</t>
        </is>
      </c>
      <c r="D5229" s="12" t="inlineStr">
        <is>
          <t>Analog instrument to JB JB-Chillers x6 (water-AI03: 20 x 1 pr (field cables)</t>
        </is>
      </c>
      <c r="E5229" s="12" t="inlineStr"/>
      <c r="F5229" s="12" t="inlineStr">
        <is>
          <t>Chillers x6 (water-cooled)</t>
        </is>
      </c>
      <c r="G5229" s="12" t="inlineStr">
        <is>
          <t>JB-Chillers x6 (water-AI03</t>
        </is>
      </c>
      <c r="H5229" s="12" t="inlineStr">
        <is>
          <t>Chillers x6 (water-cooled)</t>
        </is>
      </c>
      <c r="I5229" s="12" t="inlineStr">
        <is>
          <t>Instrumentation</t>
        </is>
      </c>
      <c r="J5229" s="12" t="inlineStr">
        <is>
          <t>Instrumentation PLTC / TC-ER 300 V, #18 twisted shielded pairs, overall shield</t>
        </is>
      </c>
      <c r="K5229" s="12" t="inlineStr">
        <is>
          <t>PLTC|1 pr|16</t>
        </is>
      </c>
      <c r="L5229" s="12" t="inlineStr">
        <is>
          <t>1 pr</t>
        </is>
      </c>
      <c r="M5229" s="12" t="inlineStr">
        <is>
          <t>16</t>
        </is>
      </c>
      <c r="N5229" s="12" t="n">
        <v>20</v>
      </c>
      <c r="O5229" s="12" t="n">
        <v>1</v>
      </c>
      <c r="P5229" s="12" t="n"/>
      <c r="Q5229" s="12" t="n"/>
      <c r="R5229" s="12" t="n"/>
      <c r="S5229" s="12" t="inlineStr">
        <is>
          <t>Tray / conduit</t>
        </is>
      </c>
      <c r="T5229" s="16" t="n">
        <v>190</v>
      </c>
      <c r="U5229" s="16" t="n">
        <v>10</v>
      </c>
      <c r="V5229" s="16">
        <f>ROUNDUP((T5229+U5229+2*'Read Me'!$B$13)*(1+'Read Me'!$B$12),-1)</f>
        <v/>
      </c>
      <c r="W5229" s="16">
        <f>V5229*N5229*O5229</f>
        <v/>
      </c>
      <c r="X5229" s="12">
        <f>IF(LEFT(I5229,2)="MV",2*N5229*IF(L5229="1/C",O5229,1),0)</f>
        <v/>
      </c>
      <c r="Y5229" s="12">
        <f>IF(OR(LEFT(K5229,4)="LVAX",LEFT(K5229,6)="MV15AX",LEFT(K5229,4)="CTAX",LEFT(K5229,2)="W|"),2*N5229*O5229,0)</f>
        <v/>
      </c>
      <c r="Z5229" s="12" t="inlineStr">
        <is>
          <t>device-to-JB field wiring, one cable per device</t>
        </is>
      </c>
      <c r="AA5229" s="12">
        <f>N5229*O5229</f>
        <v/>
      </c>
    </row>
    <row r="5230">
      <c r="A5230" s="12" t="inlineStr">
        <is>
          <t>J-I-0022</t>
        </is>
      </c>
      <c r="B5230" s="12" t="inlineStr">
        <is>
          <t>J</t>
        </is>
      </c>
      <c r="C5230" s="12" t="inlineStr">
        <is>
          <t>GT inlet chilling</t>
        </is>
      </c>
      <c r="D5230" s="12" t="inlineStr">
        <is>
          <t>Home run JB-Chillers x6 (water-AI03 to the control / marshalling room</t>
        </is>
      </c>
      <c r="E5230" s="12" t="inlineStr"/>
      <c r="F5230" s="12" t="inlineStr">
        <is>
          <t>Inlet-chilling e-house / transformer</t>
        </is>
      </c>
      <c r="G5230" s="12" t="inlineStr">
        <is>
          <t>JB-Chillers x6 (water-AI03</t>
        </is>
      </c>
      <c r="H5230" s="12" t="inlineStr">
        <is>
          <t>Chillers x6 (water-cooled)</t>
        </is>
      </c>
      <c r="I5230" s="12" t="inlineStr">
        <is>
          <t>Instrumentation</t>
        </is>
      </c>
      <c r="J5230" s="12" t="inlineStr">
        <is>
          <t>Instrumentation PLTC / TC-ER 300 V, #18 twisted shielded pairs, overall shield</t>
        </is>
      </c>
      <c r="K5230" s="12" t="inlineStr">
        <is>
          <t>PLTC|24 pr|18</t>
        </is>
      </c>
      <c r="L5230" s="12" t="inlineStr">
        <is>
          <t>24 pr</t>
        </is>
      </c>
      <c r="M5230" s="12" t="inlineStr">
        <is>
          <t>18</t>
        </is>
      </c>
      <c r="N5230" s="12" t="n">
        <v>1</v>
      </c>
      <c r="O5230" s="12" t="n">
        <v>1</v>
      </c>
      <c r="P5230" s="12" t="n"/>
      <c r="Q5230" s="12" t="n"/>
      <c r="R5230" s="12" t="n"/>
      <c r="S5230" s="12" t="inlineStr">
        <is>
          <t>Duct bank</t>
        </is>
      </c>
      <c r="T5230" s="16" t="n">
        <v>10</v>
      </c>
      <c r="U5230" s="16" t="n">
        <v>32</v>
      </c>
      <c r="V5230" s="16">
        <f>ROUNDUP((T5230+U5230+2*'Read Me'!$B$13)*(1+'Read Me'!$B$12),-1)</f>
        <v/>
      </c>
      <c r="W5230" s="16">
        <f>V5230*N5230*O5230</f>
        <v/>
      </c>
      <c r="X5230" s="12">
        <f>IF(LEFT(I5230,2)="MV",2*N5230*IF(L5230="1/C",O5230,1),0)</f>
        <v/>
      </c>
      <c r="Y5230" s="12">
        <f>IF(OR(LEFT(K5230,4)="LVAX",LEFT(K5230,6)="MV15AX",LEFT(K5230,4)="CTAX",LEFT(K5230,2)="W|"),2*N5230*O5230,0)</f>
        <v/>
      </c>
      <c r="Z5230" s="12" t="inlineStr"/>
      <c r="AA5230" s="12">
        <f>N5230*O5230</f>
        <v/>
      </c>
    </row>
    <row r="5231">
      <c r="A5231" s="12" t="inlineStr">
        <is>
          <t>J-I-0023</t>
        </is>
      </c>
      <c r="B5231" s="12" t="inlineStr">
        <is>
          <t>J</t>
        </is>
      </c>
      <c r="C5231" s="12" t="inlineStr">
        <is>
          <t>GT inlet chilling</t>
        </is>
      </c>
      <c r="D5231" s="12" t="inlineStr">
        <is>
          <t>Analog instrument to JB JB-Chillers x6 (water-AI04: 20 x 1 pr (field cables)</t>
        </is>
      </c>
      <c r="E5231" s="12" t="inlineStr"/>
      <c r="F5231" s="12" t="inlineStr">
        <is>
          <t>Chillers x6 (water-cooled)</t>
        </is>
      </c>
      <c r="G5231" s="12" t="inlineStr">
        <is>
          <t>JB-Chillers x6 (water-AI04</t>
        </is>
      </c>
      <c r="H5231" s="12" t="inlineStr">
        <is>
          <t>Chillers x6 (water-cooled)</t>
        </is>
      </c>
      <c r="I5231" s="12" t="inlineStr">
        <is>
          <t>Instrumentation</t>
        </is>
      </c>
      <c r="J5231" s="12" t="inlineStr">
        <is>
          <t>Instrumentation PLTC / TC-ER 300 V, #18 twisted shielded pairs, overall shield</t>
        </is>
      </c>
      <c r="K5231" s="12" t="inlineStr">
        <is>
          <t>PLTC|1 pr|16</t>
        </is>
      </c>
      <c r="L5231" s="12" t="inlineStr">
        <is>
          <t>1 pr</t>
        </is>
      </c>
      <c r="M5231" s="12" t="inlineStr">
        <is>
          <t>16</t>
        </is>
      </c>
      <c r="N5231" s="12" t="n">
        <v>20</v>
      </c>
      <c r="O5231" s="12" t="n">
        <v>1</v>
      </c>
      <c r="P5231" s="12" t="n"/>
      <c r="Q5231" s="12" t="n"/>
      <c r="R5231" s="12" t="n"/>
      <c r="S5231" s="12" t="inlineStr">
        <is>
          <t>Tray / conduit</t>
        </is>
      </c>
      <c r="T5231" s="16" t="n">
        <v>190</v>
      </c>
      <c r="U5231" s="16" t="n">
        <v>10</v>
      </c>
      <c r="V5231" s="16">
        <f>ROUNDUP((T5231+U5231+2*'Read Me'!$B$13)*(1+'Read Me'!$B$12),-1)</f>
        <v/>
      </c>
      <c r="W5231" s="16">
        <f>V5231*N5231*O5231</f>
        <v/>
      </c>
      <c r="X5231" s="12">
        <f>IF(LEFT(I5231,2)="MV",2*N5231*IF(L5231="1/C",O5231,1),0)</f>
        <v/>
      </c>
      <c r="Y5231" s="12">
        <f>IF(OR(LEFT(K5231,4)="LVAX",LEFT(K5231,6)="MV15AX",LEFT(K5231,4)="CTAX",LEFT(K5231,2)="W|"),2*N5231*O5231,0)</f>
        <v/>
      </c>
      <c r="Z5231" s="12" t="inlineStr">
        <is>
          <t>device-to-JB field wiring, one cable per device</t>
        </is>
      </c>
      <c r="AA5231" s="12">
        <f>N5231*O5231</f>
        <v/>
      </c>
    </row>
    <row r="5232">
      <c r="A5232" s="12" t="inlineStr">
        <is>
          <t>J-I-0024</t>
        </is>
      </c>
      <c r="B5232" s="12" t="inlineStr">
        <is>
          <t>J</t>
        </is>
      </c>
      <c r="C5232" s="12" t="inlineStr">
        <is>
          <t>GT inlet chilling</t>
        </is>
      </c>
      <c r="D5232" s="12" t="inlineStr">
        <is>
          <t>Home run JB-Chillers x6 (water-AI04 to the control / marshalling room</t>
        </is>
      </c>
      <c r="E5232" s="12" t="inlineStr"/>
      <c r="F5232" s="12" t="inlineStr">
        <is>
          <t>Inlet-chilling e-house / transformer</t>
        </is>
      </c>
      <c r="G5232" s="12" t="inlineStr">
        <is>
          <t>JB-Chillers x6 (water-AI04</t>
        </is>
      </c>
      <c r="H5232" s="12" t="inlineStr">
        <is>
          <t>Chillers x6 (water-cooled)</t>
        </is>
      </c>
      <c r="I5232" s="12" t="inlineStr">
        <is>
          <t>Instrumentation</t>
        </is>
      </c>
      <c r="J5232" s="12" t="inlineStr">
        <is>
          <t>Instrumentation PLTC / TC-ER 300 V, #18 twisted shielded pairs, overall shield</t>
        </is>
      </c>
      <c r="K5232" s="12" t="inlineStr">
        <is>
          <t>PLTC|24 pr|18</t>
        </is>
      </c>
      <c r="L5232" s="12" t="inlineStr">
        <is>
          <t>24 pr</t>
        </is>
      </c>
      <c r="M5232" s="12" t="inlineStr">
        <is>
          <t>18</t>
        </is>
      </c>
      <c r="N5232" s="12" t="n">
        <v>1</v>
      </c>
      <c r="O5232" s="12" t="n">
        <v>1</v>
      </c>
      <c r="P5232" s="12" t="n"/>
      <c r="Q5232" s="12" t="n"/>
      <c r="R5232" s="12" t="n"/>
      <c r="S5232" s="12" t="inlineStr">
        <is>
          <t>Duct bank</t>
        </is>
      </c>
      <c r="T5232" s="16" t="n">
        <v>10</v>
      </c>
      <c r="U5232" s="16" t="n">
        <v>32</v>
      </c>
      <c r="V5232" s="16">
        <f>ROUNDUP((T5232+U5232+2*'Read Me'!$B$13)*(1+'Read Me'!$B$12),-1)</f>
        <v/>
      </c>
      <c r="W5232" s="16">
        <f>V5232*N5232*O5232</f>
        <v/>
      </c>
      <c r="X5232" s="12">
        <f>IF(LEFT(I5232,2)="MV",2*N5232*IF(L5232="1/C",O5232,1),0)</f>
        <v/>
      </c>
      <c r="Y5232" s="12">
        <f>IF(OR(LEFT(K5232,4)="LVAX",LEFT(K5232,6)="MV15AX",LEFT(K5232,4)="CTAX",LEFT(K5232,2)="W|"),2*N5232*O5232,0)</f>
        <v/>
      </c>
      <c r="Z5232" s="12" t="inlineStr"/>
      <c r="AA5232" s="12">
        <f>N5232*O5232</f>
        <v/>
      </c>
    </row>
    <row r="5233">
      <c r="A5233" s="12" t="inlineStr">
        <is>
          <t>J-I-0025</t>
        </is>
      </c>
      <c r="B5233" s="12" t="inlineStr">
        <is>
          <t>J</t>
        </is>
      </c>
      <c r="C5233" s="12" t="inlineStr">
        <is>
          <t>GT inlet chilling</t>
        </is>
      </c>
      <c r="D5233" s="12" t="inlineStr">
        <is>
          <t>Analog instrument to JB JB-Chillers x6 (water-AI05: 20 x 1 pr (field cables)</t>
        </is>
      </c>
      <c r="E5233" s="12" t="inlineStr"/>
      <c r="F5233" s="12" t="inlineStr">
        <is>
          <t>Chillers x6 (water-cooled)</t>
        </is>
      </c>
      <c r="G5233" s="12" t="inlineStr">
        <is>
          <t>JB-Chillers x6 (water-AI05</t>
        </is>
      </c>
      <c r="H5233" s="12" t="inlineStr">
        <is>
          <t>Chillers x6 (water-cooled)</t>
        </is>
      </c>
      <c r="I5233" s="12" t="inlineStr">
        <is>
          <t>Instrumentation</t>
        </is>
      </c>
      <c r="J5233" s="12" t="inlineStr">
        <is>
          <t>Instrumentation PLTC / TC-ER 300 V, #18 twisted shielded pairs, overall shield</t>
        </is>
      </c>
      <c r="K5233" s="12" t="inlineStr">
        <is>
          <t>PLTC|1 pr|16</t>
        </is>
      </c>
      <c r="L5233" s="12" t="inlineStr">
        <is>
          <t>1 pr</t>
        </is>
      </c>
      <c r="M5233" s="12" t="inlineStr">
        <is>
          <t>16</t>
        </is>
      </c>
      <c r="N5233" s="12" t="n">
        <v>20</v>
      </c>
      <c r="O5233" s="12" t="n">
        <v>1</v>
      </c>
      <c r="P5233" s="12" t="n"/>
      <c r="Q5233" s="12" t="n"/>
      <c r="R5233" s="12" t="n"/>
      <c r="S5233" s="12" t="inlineStr">
        <is>
          <t>Tray / conduit</t>
        </is>
      </c>
      <c r="T5233" s="16" t="n">
        <v>190</v>
      </c>
      <c r="U5233" s="16" t="n">
        <v>10</v>
      </c>
      <c r="V5233" s="16">
        <f>ROUNDUP((T5233+U5233+2*'Read Me'!$B$13)*(1+'Read Me'!$B$12),-1)</f>
        <v/>
      </c>
      <c r="W5233" s="16">
        <f>V5233*N5233*O5233</f>
        <v/>
      </c>
      <c r="X5233" s="12">
        <f>IF(LEFT(I5233,2)="MV",2*N5233*IF(L5233="1/C",O5233,1),0)</f>
        <v/>
      </c>
      <c r="Y5233" s="12">
        <f>IF(OR(LEFT(K5233,4)="LVAX",LEFT(K5233,6)="MV15AX",LEFT(K5233,4)="CTAX",LEFT(K5233,2)="W|"),2*N5233*O5233,0)</f>
        <v/>
      </c>
      <c r="Z5233" s="12" t="inlineStr">
        <is>
          <t>device-to-JB field wiring, one cable per device</t>
        </is>
      </c>
      <c r="AA5233" s="12">
        <f>N5233*O5233</f>
        <v/>
      </c>
    </row>
    <row r="5234">
      <c r="A5234" s="12" t="inlineStr">
        <is>
          <t>J-I-0026</t>
        </is>
      </c>
      <c r="B5234" s="12" t="inlineStr">
        <is>
          <t>J</t>
        </is>
      </c>
      <c r="C5234" s="12" t="inlineStr">
        <is>
          <t>GT inlet chilling</t>
        </is>
      </c>
      <c r="D5234" s="12" t="inlineStr">
        <is>
          <t>Home run JB-Chillers x6 (water-AI05 to the control / marshalling room</t>
        </is>
      </c>
      <c r="E5234" s="12" t="inlineStr"/>
      <c r="F5234" s="12" t="inlineStr">
        <is>
          <t>Inlet-chilling e-house / transformer</t>
        </is>
      </c>
      <c r="G5234" s="12" t="inlineStr">
        <is>
          <t>JB-Chillers x6 (water-AI05</t>
        </is>
      </c>
      <c r="H5234" s="12" t="inlineStr">
        <is>
          <t>Chillers x6 (water-cooled)</t>
        </is>
      </c>
      <c r="I5234" s="12" t="inlineStr">
        <is>
          <t>Instrumentation</t>
        </is>
      </c>
      <c r="J5234" s="12" t="inlineStr">
        <is>
          <t>Instrumentation PLTC / TC-ER 300 V, #18 twisted shielded pairs, overall shield</t>
        </is>
      </c>
      <c r="K5234" s="12" t="inlineStr">
        <is>
          <t>PLTC|24 pr|18</t>
        </is>
      </c>
      <c r="L5234" s="12" t="inlineStr">
        <is>
          <t>24 pr</t>
        </is>
      </c>
      <c r="M5234" s="12" t="inlineStr">
        <is>
          <t>18</t>
        </is>
      </c>
      <c r="N5234" s="12" t="n">
        <v>1</v>
      </c>
      <c r="O5234" s="12" t="n">
        <v>1</v>
      </c>
      <c r="P5234" s="12" t="n"/>
      <c r="Q5234" s="12" t="n"/>
      <c r="R5234" s="12" t="n"/>
      <c r="S5234" s="12" t="inlineStr">
        <is>
          <t>Duct bank</t>
        </is>
      </c>
      <c r="T5234" s="16" t="n">
        <v>10</v>
      </c>
      <c r="U5234" s="16" t="n">
        <v>32</v>
      </c>
      <c r="V5234" s="16">
        <f>ROUNDUP((T5234+U5234+2*'Read Me'!$B$13)*(1+'Read Me'!$B$12),-1)</f>
        <v/>
      </c>
      <c r="W5234" s="16">
        <f>V5234*N5234*O5234</f>
        <v/>
      </c>
      <c r="X5234" s="12">
        <f>IF(LEFT(I5234,2)="MV",2*N5234*IF(L5234="1/C",O5234,1),0)</f>
        <v/>
      </c>
      <c r="Y5234" s="12">
        <f>IF(OR(LEFT(K5234,4)="LVAX",LEFT(K5234,6)="MV15AX",LEFT(K5234,4)="CTAX",LEFT(K5234,2)="W|"),2*N5234*O5234,0)</f>
        <v/>
      </c>
      <c r="Z5234" s="12" t="inlineStr"/>
      <c r="AA5234" s="12">
        <f>N5234*O5234</f>
        <v/>
      </c>
    </row>
    <row r="5235">
      <c r="A5235" s="12" t="inlineStr">
        <is>
          <t>J-I-0027</t>
        </is>
      </c>
      <c r="B5235" s="12" t="inlineStr">
        <is>
          <t>J</t>
        </is>
      </c>
      <c r="C5235" s="12" t="inlineStr">
        <is>
          <t>GT inlet chilling</t>
        </is>
      </c>
      <c r="D5235" s="12" t="inlineStr">
        <is>
          <t>Analog instrument to JB JB-Chillers x6 (water-AI06: 20 x 1 pr (field cables)</t>
        </is>
      </c>
      <c r="E5235" s="12" t="inlineStr"/>
      <c r="F5235" s="12" t="inlineStr">
        <is>
          <t>Chillers x6 (water-cooled)</t>
        </is>
      </c>
      <c r="G5235" s="12" t="inlineStr">
        <is>
          <t>JB-Chillers x6 (water-AI06</t>
        </is>
      </c>
      <c r="H5235" s="12" t="inlineStr">
        <is>
          <t>Chillers x6 (water-cooled)</t>
        </is>
      </c>
      <c r="I5235" s="12" t="inlineStr">
        <is>
          <t>Instrumentation</t>
        </is>
      </c>
      <c r="J5235" s="12" t="inlineStr">
        <is>
          <t>Instrumentation PLTC / TC-ER 300 V, #18 twisted shielded pairs, overall shield</t>
        </is>
      </c>
      <c r="K5235" s="12" t="inlineStr">
        <is>
          <t>PLTC|1 pr|16</t>
        </is>
      </c>
      <c r="L5235" s="12" t="inlineStr">
        <is>
          <t>1 pr</t>
        </is>
      </c>
      <c r="M5235" s="12" t="inlineStr">
        <is>
          <t>16</t>
        </is>
      </c>
      <c r="N5235" s="12" t="n">
        <v>20</v>
      </c>
      <c r="O5235" s="12" t="n">
        <v>1</v>
      </c>
      <c r="P5235" s="12" t="n"/>
      <c r="Q5235" s="12" t="n"/>
      <c r="R5235" s="12" t="n"/>
      <c r="S5235" s="12" t="inlineStr">
        <is>
          <t>Tray / conduit</t>
        </is>
      </c>
      <c r="T5235" s="16" t="n">
        <v>190</v>
      </c>
      <c r="U5235" s="16" t="n">
        <v>10</v>
      </c>
      <c r="V5235" s="16">
        <f>ROUNDUP((T5235+U5235+2*'Read Me'!$B$13)*(1+'Read Me'!$B$12),-1)</f>
        <v/>
      </c>
      <c r="W5235" s="16">
        <f>V5235*N5235*O5235</f>
        <v/>
      </c>
      <c r="X5235" s="12">
        <f>IF(LEFT(I5235,2)="MV",2*N5235*IF(L5235="1/C",O5235,1),0)</f>
        <v/>
      </c>
      <c r="Y5235" s="12">
        <f>IF(OR(LEFT(K5235,4)="LVAX",LEFT(K5235,6)="MV15AX",LEFT(K5235,4)="CTAX",LEFT(K5235,2)="W|"),2*N5235*O5235,0)</f>
        <v/>
      </c>
      <c r="Z5235" s="12" t="inlineStr">
        <is>
          <t>device-to-JB field wiring, one cable per device</t>
        </is>
      </c>
      <c r="AA5235" s="12">
        <f>N5235*O5235</f>
        <v/>
      </c>
    </row>
    <row r="5236">
      <c r="A5236" s="12" t="inlineStr">
        <is>
          <t>J-I-0028</t>
        </is>
      </c>
      <c r="B5236" s="12" t="inlineStr">
        <is>
          <t>J</t>
        </is>
      </c>
      <c r="C5236" s="12" t="inlineStr">
        <is>
          <t>GT inlet chilling</t>
        </is>
      </c>
      <c r="D5236" s="12" t="inlineStr">
        <is>
          <t>Home run JB-Chillers x6 (water-AI06 to the control / marshalling room</t>
        </is>
      </c>
      <c r="E5236" s="12" t="inlineStr"/>
      <c r="F5236" s="12" t="inlineStr">
        <is>
          <t>Inlet-chilling e-house / transformer</t>
        </is>
      </c>
      <c r="G5236" s="12" t="inlineStr">
        <is>
          <t>JB-Chillers x6 (water-AI06</t>
        </is>
      </c>
      <c r="H5236" s="12" t="inlineStr">
        <is>
          <t>Chillers x6 (water-cooled)</t>
        </is>
      </c>
      <c r="I5236" s="12" t="inlineStr">
        <is>
          <t>Instrumentation</t>
        </is>
      </c>
      <c r="J5236" s="12" t="inlineStr">
        <is>
          <t>Instrumentation PLTC / TC-ER 300 V, #18 twisted shielded pairs, overall shield</t>
        </is>
      </c>
      <c r="K5236" s="12" t="inlineStr">
        <is>
          <t>PLTC|24 pr|18</t>
        </is>
      </c>
      <c r="L5236" s="12" t="inlineStr">
        <is>
          <t>24 pr</t>
        </is>
      </c>
      <c r="M5236" s="12" t="inlineStr">
        <is>
          <t>18</t>
        </is>
      </c>
      <c r="N5236" s="12" t="n">
        <v>1</v>
      </c>
      <c r="O5236" s="12" t="n">
        <v>1</v>
      </c>
      <c r="P5236" s="12" t="n"/>
      <c r="Q5236" s="12" t="n"/>
      <c r="R5236" s="12" t="n"/>
      <c r="S5236" s="12" t="inlineStr">
        <is>
          <t>Duct bank</t>
        </is>
      </c>
      <c r="T5236" s="16" t="n">
        <v>10</v>
      </c>
      <c r="U5236" s="16" t="n">
        <v>32</v>
      </c>
      <c r="V5236" s="16">
        <f>ROUNDUP((T5236+U5236+2*'Read Me'!$B$13)*(1+'Read Me'!$B$12),-1)</f>
        <v/>
      </c>
      <c r="W5236" s="16">
        <f>V5236*N5236*O5236</f>
        <v/>
      </c>
      <c r="X5236" s="12">
        <f>IF(LEFT(I5236,2)="MV",2*N5236*IF(L5236="1/C",O5236,1),0)</f>
        <v/>
      </c>
      <c r="Y5236" s="12">
        <f>IF(OR(LEFT(K5236,4)="LVAX",LEFT(K5236,6)="MV15AX",LEFT(K5236,4)="CTAX",LEFT(K5236,2)="W|"),2*N5236*O5236,0)</f>
        <v/>
      </c>
      <c r="Z5236" s="12" t="inlineStr"/>
      <c r="AA5236" s="12">
        <f>N5236*O5236</f>
        <v/>
      </c>
    </row>
    <row r="5237">
      <c r="A5237" s="12" t="inlineStr">
        <is>
          <t>J-I-0029</t>
        </is>
      </c>
      <c r="B5237" s="12" t="inlineStr">
        <is>
          <t>J</t>
        </is>
      </c>
      <c r="C5237" s="12" t="inlineStr">
        <is>
          <t>GT inlet chilling</t>
        </is>
      </c>
      <c r="D5237" s="12" t="inlineStr">
        <is>
          <t>Discrete device to JB JB-Chillers x6 (water-DI01: 20 x 1 pr (field cables)</t>
        </is>
      </c>
      <c r="E5237" s="12" t="inlineStr"/>
      <c r="F5237" s="12" t="inlineStr">
        <is>
          <t>Chillers x6 (water-cooled)</t>
        </is>
      </c>
      <c r="G5237" s="12" t="inlineStr">
        <is>
          <t>JB-Chillers x6 (water-DI01</t>
        </is>
      </c>
      <c r="H5237" s="12" t="inlineStr">
        <is>
          <t>Chillers x6 (water-cooled)</t>
        </is>
      </c>
      <c r="I5237" s="12" t="inlineStr">
        <is>
          <t>Instrumentation</t>
        </is>
      </c>
      <c r="J5237" s="12" t="inlineStr">
        <is>
          <t>Instrumentation PLTC / TC-ER 300 V, #18 twisted shielded pairs, overall shield</t>
        </is>
      </c>
      <c r="K5237" s="12" t="inlineStr">
        <is>
          <t>PLTC|1 pr|16</t>
        </is>
      </c>
      <c r="L5237" s="12" t="inlineStr">
        <is>
          <t>1 pr</t>
        </is>
      </c>
      <c r="M5237" s="12" t="inlineStr">
        <is>
          <t>16</t>
        </is>
      </c>
      <c r="N5237" s="12" t="n">
        <v>20</v>
      </c>
      <c r="O5237" s="12" t="n">
        <v>1</v>
      </c>
      <c r="P5237" s="12" t="n"/>
      <c r="Q5237" s="12" t="n"/>
      <c r="R5237" s="12" t="n"/>
      <c r="S5237" s="12" t="inlineStr">
        <is>
          <t>Tray / conduit</t>
        </is>
      </c>
      <c r="T5237" s="16" t="n">
        <v>190</v>
      </c>
      <c r="U5237" s="16" t="n">
        <v>10</v>
      </c>
      <c r="V5237" s="16">
        <f>ROUNDUP((T5237+U5237+2*'Read Me'!$B$13)*(1+'Read Me'!$B$12),-1)</f>
        <v/>
      </c>
      <c r="W5237" s="16">
        <f>V5237*N5237*O5237</f>
        <v/>
      </c>
      <c r="X5237" s="12">
        <f>IF(LEFT(I5237,2)="MV",2*N5237*IF(L5237="1/C",O5237,1),0)</f>
        <v/>
      </c>
      <c r="Y5237" s="12">
        <f>IF(OR(LEFT(K5237,4)="LVAX",LEFT(K5237,6)="MV15AX",LEFT(K5237,4)="CTAX",LEFT(K5237,2)="W|"),2*N5237*O5237,0)</f>
        <v/>
      </c>
      <c r="Z5237" s="12" t="inlineStr">
        <is>
          <t>device-to-JB field wiring, one cable per device</t>
        </is>
      </c>
      <c r="AA5237" s="12">
        <f>N5237*O5237</f>
        <v/>
      </c>
    </row>
    <row r="5238">
      <c r="A5238" s="12" t="inlineStr">
        <is>
          <t>J-I-0030</t>
        </is>
      </c>
      <c r="B5238" s="12" t="inlineStr">
        <is>
          <t>J</t>
        </is>
      </c>
      <c r="C5238" s="12" t="inlineStr">
        <is>
          <t>GT inlet chilling</t>
        </is>
      </c>
      <c r="D5238" s="12" t="inlineStr">
        <is>
          <t>Home run JB-Chillers x6 (water-DI01 to the control / marshalling room</t>
        </is>
      </c>
      <c r="E5238" s="12" t="inlineStr"/>
      <c r="F5238" s="12" t="inlineStr">
        <is>
          <t>Inlet-chilling e-house / transformer</t>
        </is>
      </c>
      <c r="G5238" s="12" t="inlineStr">
        <is>
          <t>JB-Chillers x6 (water-DI01</t>
        </is>
      </c>
      <c r="H5238" s="12" t="inlineStr">
        <is>
          <t>Chillers x6 (water-cooled)</t>
        </is>
      </c>
      <c r="I5238" s="12" t="inlineStr">
        <is>
          <t>Instrumentation</t>
        </is>
      </c>
      <c r="J5238" s="12" t="inlineStr">
        <is>
          <t>Instrumentation PLTC / TC-ER 300 V, #18 twisted shielded pairs, overall shield</t>
        </is>
      </c>
      <c r="K5238" s="12" t="inlineStr">
        <is>
          <t>PLTC|24 pr|18</t>
        </is>
      </c>
      <c r="L5238" s="12" t="inlineStr">
        <is>
          <t>24 pr</t>
        </is>
      </c>
      <c r="M5238" s="12" t="inlineStr">
        <is>
          <t>18</t>
        </is>
      </c>
      <c r="N5238" s="12" t="n">
        <v>1</v>
      </c>
      <c r="O5238" s="12" t="n">
        <v>1</v>
      </c>
      <c r="P5238" s="12" t="n"/>
      <c r="Q5238" s="12" t="n"/>
      <c r="R5238" s="12" t="n"/>
      <c r="S5238" s="12" t="inlineStr">
        <is>
          <t>Duct bank</t>
        </is>
      </c>
      <c r="T5238" s="16" t="n">
        <v>10</v>
      </c>
      <c r="U5238" s="16" t="n">
        <v>32</v>
      </c>
      <c r="V5238" s="16">
        <f>ROUNDUP((T5238+U5238+2*'Read Me'!$B$13)*(1+'Read Me'!$B$12),-1)</f>
        <v/>
      </c>
      <c r="W5238" s="16">
        <f>V5238*N5238*O5238</f>
        <v/>
      </c>
      <c r="X5238" s="12">
        <f>IF(LEFT(I5238,2)="MV",2*N5238*IF(L5238="1/C",O5238,1),0)</f>
        <v/>
      </c>
      <c r="Y5238" s="12">
        <f>IF(OR(LEFT(K5238,4)="LVAX",LEFT(K5238,6)="MV15AX",LEFT(K5238,4)="CTAX",LEFT(K5238,2)="W|"),2*N5238*O5238,0)</f>
        <v/>
      </c>
      <c r="Z5238" s="12" t="inlineStr"/>
      <c r="AA5238" s="12">
        <f>N5238*O5238</f>
        <v/>
      </c>
    </row>
    <row r="5239">
      <c r="A5239" s="12" t="inlineStr">
        <is>
          <t>J-I-0031</t>
        </is>
      </c>
      <c r="B5239" s="12" t="inlineStr">
        <is>
          <t>J</t>
        </is>
      </c>
      <c r="C5239" s="12" t="inlineStr">
        <is>
          <t>GT inlet chilling</t>
        </is>
      </c>
      <c r="D5239" s="12" t="inlineStr">
        <is>
          <t>Discrete device to JB JB-Chillers x6 (water-DI02: 20 x 1 pr (field cables)</t>
        </is>
      </c>
      <c r="E5239" s="12" t="inlineStr"/>
      <c r="F5239" s="12" t="inlineStr">
        <is>
          <t>Chillers x6 (water-cooled)</t>
        </is>
      </c>
      <c r="G5239" s="12" t="inlineStr">
        <is>
          <t>JB-Chillers x6 (water-DI02</t>
        </is>
      </c>
      <c r="H5239" s="12" t="inlineStr">
        <is>
          <t>Chillers x6 (water-cooled)</t>
        </is>
      </c>
      <c r="I5239" s="12" t="inlineStr">
        <is>
          <t>Instrumentation</t>
        </is>
      </c>
      <c r="J5239" s="12" t="inlineStr">
        <is>
          <t>Instrumentation PLTC / TC-ER 300 V, #18 twisted shielded pairs, overall shield</t>
        </is>
      </c>
      <c r="K5239" s="12" t="inlineStr">
        <is>
          <t>PLTC|1 pr|16</t>
        </is>
      </c>
      <c r="L5239" s="12" t="inlineStr">
        <is>
          <t>1 pr</t>
        </is>
      </c>
      <c r="M5239" s="12" t="inlineStr">
        <is>
          <t>16</t>
        </is>
      </c>
      <c r="N5239" s="12" t="n">
        <v>20</v>
      </c>
      <c r="O5239" s="12" t="n">
        <v>1</v>
      </c>
      <c r="P5239" s="12" t="n"/>
      <c r="Q5239" s="12" t="n"/>
      <c r="R5239" s="12" t="n"/>
      <c r="S5239" s="12" t="inlineStr">
        <is>
          <t>Tray / conduit</t>
        </is>
      </c>
      <c r="T5239" s="16" t="n">
        <v>190</v>
      </c>
      <c r="U5239" s="16" t="n">
        <v>10</v>
      </c>
      <c r="V5239" s="16">
        <f>ROUNDUP((T5239+U5239+2*'Read Me'!$B$13)*(1+'Read Me'!$B$12),-1)</f>
        <v/>
      </c>
      <c r="W5239" s="16">
        <f>V5239*N5239*O5239</f>
        <v/>
      </c>
      <c r="X5239" s="12">
        <f>IF(LEFT(I5239,2)="MV",2*N5239*IF(L5239="1/C",O5239,1),0)</f>
        <v/>
      </c>
      <c r="Y5239" s="12">
        <f>IF(OR(LEFT(K5239,4)="LVAX",LEFT(K5239,6)="MV15AX",LEFT(K5239,4)="CTAX",LEFT(K5239,2)="W|"),2*N5239*O5239,0)</f>
        <v/>
      </c>
      <c r="Z5239" s="12" t="inlineStr">
        <is>
          <t>device-to-JB field wiring, one cable per device</t>
        </is>
      </c>
      <c r="AA5239" s="12">
        <f>N5239*O5239</f>
        <v/>
      </c>
    </row>
    <row r="5240">
      <c r="A5240" s="12" t="inlineStr">
        <is>
          <t>J-I-0032</t>
        </is>
      </c>
      <c r="B5240" s="12" t="inlineStr">
        <is>
          <t>J</t>
        </is>
      </c>
      <c r="C5240" s="12" t="inlineStr">
        <is>
          <t>GT inlet chilling</t>
        </is>
      </c>
      <c r="D5240" s="12" t="inlineStr">
        <is>
          <t>Home run JB-Chillers x6 (water-DI02 to the control / marshalling room</t>
        </is>
      </c>
      <c r="E5240" s="12" t="inlineStr"/>
      <c r="F5240" s="12" t="inlineStr">
        <is>
          <t>Inlet-chilling e-house / transformer</t>
        </is>
      </c>
      <c r="G5240" s="12" t="inlineStr">
        <is>
          <t>JB-Chillers x6 (water-DI02</t>
        </is>
      </c>
      <c r="H5240" s="12" t="inlineStr">
        <is>
          <t>Chillers x6 (water-cooled)</t>
        </is>
      </c>
      <c r="I5240" s="12" t="inlineStr">
        <is>
          <t>Instrumentation</t>
        </is>
      </c>
      <c r="J5240" s="12" t="inlineStr">
        <is>
          <t>Instrumentation PLTC / TC-ER 300 V, #18 twisted shielded pairs, overall shield</t>
        </is>
      </c>
      <c r="K5240" s="12" t="inlineStr">
        <is>
          <t>PLTC|24 pr|18</t>
        </is>
      </c>
      <c r="L5240" s="12" t="inlineStr">
        <is>
          <t>24 pr</t>
        </is>
      </c>
      <c r="M5240" s="12" t="inlineStr">
        <is>
          <t>18</t>
        </is>
      </c>
      <c r="N5240" s="12" t="n">
        <v>1</v>
      </c>
      <c r="O5240" s="12" t="n">
        <v>1</v>
      </c>
      <c r="P5240" s="12" t="n"/>
      <c r="Q5240" s="12" t="n"/>
      <c r="R5240" s="12" t="n"/>
      <c r="S5240" s="12" t="inlineStr">
        <is>
          <t>Duct bank</t>
        </is>
      </c>
      <c r="T5240" s="16" t="n">
        <v>10</v>
      </c>
      <c r="U5240" s="16" t="n">
        <v>32</v>
      </c>
      <c r="V5240" s="16">
        <f>ROUNDUP((T5240+U5240+2*'Read Me'!$B$13)*(1+'Read Me'!$B$12),-1)</f>
        <v/>
      </c>
      <c r="W5240" s="16">
        <f>V5240*N5240*O5240</f>
        <v/>
      </c>
      <c r="X5240" s="12">
        <f>IF(LEFT(I5240,2)="MV",2*N5240*IF(L5240="1/C",O5240,1),0)</f>
        <v/>
      </c>
      <c r="Y5240" s="12">
        <f>IF(OR(LEFT(K5240,4)="LVAX",LEFT(K5240,6)="MV15AX",LEFT(K5240,4)="CTAX",LEFT(K5240,2)="W|"),2*N5240*O5240,0)</f>
        <v/>
      </c>
      <c r="Z5240" s="12" t="inlineStr"/>
      <c r="AA5240" s="12">
        <f>N5240*O5240</f>
        <v/>
      </c>
    </row>
    <row r="5241">
      <c r="A5241" s="12" t="inlineStr">
        <is>
          <t>J-I-0033</t>
        </is>
      </c>
      <c r="B5241" s="12" t="inlineStr">
        <is>
          <t>J</t>
        </is>
      </c>
      <c r="C5241" s="12" t="inlineStr">
        <is>
          <t>GT inlet chilling</t>
        </is>
      </c>
      <c r="D5241" s="12" t="inlineStr">
        <is>
          <t>Discrete device to JB JB-Chillers x6 (water-DI03: 20 x 1 pr (field cables)</t>
        </is>
      </c>
      <c r="E5241" s="12" t="inlineStr"/>
      <c r="F5241" s="12" t="inlineStr">
        <is>
          <t>Chillers x6 (water-cooled)</t>
        </is>
      </c>
      <c r="G5241" s="12" t="inlineStr">
        <is>
          <t>JB-Chillers x6 (water-DI03</t>
        </is>
      </c>
      <c r="H5241" s="12" t="inlineStr">
        <is>
          <t>Chillers x6 (water-cooled)</t>
        </is>
      </c>
      <c r="I5241" s="12" t="inlineStr">
        <is>
          <t>Instrumentation</t>
        </is>
      </c>
      <c r="J5241" s="12" t="inlineStr">
        <is>
          <t>Instrumentation PLTC / TC-ER 300 V, #18 twisted shielded pairs, overall shield</t>
        </is>
      </c>
      <c r="K5241" s="12" t="inlineStr">
        <is>
          <t>PLTC|1 pr|16</t>
        </is>
      </c>
      <c r="L5241" s="12" t="inlineStr">
        <is>
          <t>1 pr</t>
        </is>
      </c>
      <c r="M5241" s="12" t="inlineStr">
        <is>
          <t>16</t>
        </is>
      </c>
      <c r="N5241" s="12" t="n">
        <v>20</v>
      </c>
      <c r="O5241" s="12" t="n">
        <v>1</v>
      </c>
      <c r="P5241" s="12" t="n"/>
      <c r="Q5241" s="12" t="n"/>
      <c r="R5241" s="12" t="n"/>
      <c r="S5241" s="12" t="inlineStr">
        <is>
          <t>Tray / conduit</t>
        </is>
      </c>
      <c r="T5241" s="16" t="n">
        <v>190</v>
      </c>
      <c r="U5241" s="16" t="n">
        <v>10</v>
      </c>
      <c r="V5241" s="16">
        <f>ROUNDUP((T5241+U5241+2*'Read Me'!$B$13)*(1+'Read Me'!$B$12),-1)</f>
        <v/>
      </c>
      <c r="W5241" s="16">
        <f>V5241*N5241*O5241</f>
        <v/>
      </c>
      <c r="X5241" s="12">
        <f>IF(LEFT(I5241,2)="MV",2*N5241*IF(L5241="1/C",O5241,1),0)</f>
        <v/>
      </c>
      <c r="Y5241" s="12">
        <f>IF(OR(LEFT(K5241,4)="LVAX",LEFT(K5241,6)="MV15AX",LEFT(K5241,4)="CTAX",LEFT(K5241,2)="W|"),2*N5241*O5241,0)</f>
        <v/>
      </c>
      <c r="Z5241" s="12" t="inlineStr">
        <is>
          <t>device-to-JB field wiring, one cable per device</t>
        </is>
      </c>
      <c r="AA5241" s="12">
        <f>N5241*O5241</f>
        <v/>
      </c>
    </row>
    <row r="5242">
      <c r="A5242" s="12" t="inlineStr">
        <is>
          <t>J-I-0034</t>
        </is>
      </c>
      <c r="B5242" s="12" t="inlineStr">
        <is>
          <t>J</t>
        </is>
      </c>
      <c r="C5242" s="12" t="inlineStr">
        <is>
          <t>GT inlet chilling</t>
        </is>
      </c>
      <c r="D5242" s="12" t="inlineStr">
        <is>
          <t>Home run JB-Chillers x6 (water-DI03 to the control / marshalling room</t>
        </is>
      </c>
      <c r="E5242" s="12" t="inlineStr"/>
      <c r="F5242" s="12" t="inlineStr">
        <is>
          <t>Inlet-chilling e-house / transformer</t>
        </is>
      </c>
      <c r="G5242" s="12" t="inlineStr">
        <is>
          <t>JB-Chillers x6 (water-DI03</t>
        </is>
      </c>
      <c r="H5242" s="12" t="inlineStr">
        <is>
          <t>Chillers x6 (water-cooled)</t>
        </is>
      </c>
      <c r="I5242" s="12" t="inlineStr">
        <is>
          <t>Instrumentation</t>
        </is>
      </c>
      <c r="J5242" s="12" t="inlineStr">
        <is>
          <t>Instrumentation PLTC / TC-ER 300 V, #18 twisted shielded pairs, overall shield</t>
        </is>
      </c>
      <c r="K5242" s="12" t="inlineStr">
        <is>
          <t>PLTC|24 pr|18</t>
        </is>
      </c>
      <c r="L5242" s="12" t="inlineStr">
        <is>
          <t>24 pr</t>
        </is>
      </c>
      <c r="M5242" s="12" t="inlineStr">
        <is>
          <t>18</t>
        </is>
      </c>
      <c r="N5242" s="12" t="n">
        <v>1</v>
      </c>
      <c r="O5242" s="12" t="n">
        <v>1</v>
      </c>
      <c r="P5242" s="12" t="n"/>
      <c r="Q5242" s="12" t="n"/>
      <c r="R5242" s="12" t="n"/>
      <c r="S5242" s="12" t="inlineStr">
        <is>
          <t>Duct bank</t>
        </is>
      </c>
      <c r="T5242" s="16" t="n">
        <v>10</v>
      </c>
      <c r="U5242" s="16" t="n">
        <v>32</v>
      </c>
      <c r="V5242" s="16">
        <f>ROUNDUP((T5242+U5242+2*'Read Me'!$B$13)*(1+'Read Me'!$B$12),-1)</f>
        <v/>
      </c>
      <c r="W5242" s="16">
        <f>V5242*N5242*O5242</f>
        <v/>
      </c>
      <c r="X5242" s="12">
        <f>IF(LEFT(I5242,2)="MV",2*N5242*IF(L5242="1/C",O5242,1),0)</f>
        <v/>
      </c>
      <c r="Y5242" s="12">
        <f>IF(OR(LEFT(K5242,4)="LVAX",LEFT(K5242,6)="MV15AX",LEFT(K5242,4)="CTAX",LEFT(K5242,2)="W|"),2*N5242*O5242,0)</f>
        <v/>
      </c>
      <c r="Z5242" s="12" t="inlineStr"/>
      <c r="AA5242" s="12">
        <f>N5242*O5242</f>
        <v/>
      </c>
    </row>
    <row r="5243">
      <c r="A5243" s="12" t="inlineStr">
        <is>
          <t>J-I-0035</t>
        </is>
      </c>
      <c r="B5243" s="12" t="inlineStr">
        <is>
          <t>J</t>
        </is>
      </c>
      <c r="C5243" s="12" t="inlineStr">
        <is>
          <t>GT inlet chilling</t>
        </is>
      </c>
      <c r="D5243" s="12" t="inlineStr">
        <is>
          <t>Discrete device to JB JB-Chillers x6 (water-DI04: 20 x 1 pr (field cables)</t>
        </is>
      </c>
      <c r="E5243" s="12" t="inlineStr"/>
      <c r="F5243" s="12" t="inlineStr">
        <is>
          <t>Chillers x6 (water-cooled)</t>
        </is>
      </c>
      <c r="G5243" s="12" t="inlineStr">
        <is>
          <t>JB-Chillers x6 (water-DI04</t>
        </is>
      </c>
      <c r="H5243" s="12" t="inlineStr">
        <is>
          <t>Chillers x6 (water-cooled)</t>
        </is>
      </c>
      <c r="I5243" s="12" t="inlineStr">
        <is>
          <t>Instrumentation</t>
        </is>
      </c>
      <c r="J5243" s="12" t="inlineStr">
        <is>
          <t>Instrumentation PLTC / TC-ER 300 V, #18 twisted shielded pairs, overall shield</t>
        </is>
      </c>
      <c r="K5243" s="12" t="inlineStr">
        <is>
          <t>PLTC|1 pr|16</t>
        </is>
      </c>
      <c r="L5243" s="12" t="inlineStr">
        <is>
          <t>1 pr</t>
        </is>
      </c>
      <c r="M5243" s="12" t="inlineStr">
        <is>
          <t>16</t>
        </is>
      </c>
      <c r="N5243" s="12" t="n">
        <v>20</v>
      </c>
      <c r="O5243" s="12" t="n">
        <v>1</v>
      </c>
      <c r="P5243" s="12" t="n"/>
      <c r="Q5243" s="12" t="n"/>
      <c r="R5243" s="12" t="n"/>
      <c r="S5243" s="12" t="inlineStr">
        <is>
          <t>Tray / conduit</t>
        </is>
      </c>
      <c r="T5243" s="16" t="n">
        <v>190</v>
      </c>
      <c r="U5243" s="16" t="n">
        <v>10</v>
      </c>
      <c r="V5243" s="16">
        <f>ROUNDUP((T5243+U5243+2*'Read Me'!$B$13)*(1+'Read Me'!$B$12),-1)</f>
        <v/>
      </c>
      <c r="W5243" s="16">
        <f>V5243*N5243*O5243</f>
        <v/>
      </c>
      <c r="X5243" s="12">
        <f>IF(LEFT(I5243,2)="MV",2*N5243*IF(L5243="1/C",O5243,1),0)</f>
        <v/>
      </c>
      <c r="Y5243" s="12">
        <f>IF(OR(LEFT(K5243,4)="LVAX",LEFT(K5243,6)="MV15AX",LEFT(K5243,4)="CTAX",LEFT(K5243,2)="W|"),2*N5243*O5243,0)</f>
        <v/>
      </c>
      <c r="Z5243" s="12" t="inlineStr">
        <is>
          <t>device-to-JB field wiring, one cable per device</t>
        </is>
      </c>
      <c r="AA5243" s="12">
        <f>N5243*O5243</f>
        <v/>
      </c>
    </row>
    <row r="5244">
      <c r="A5244" s="12" t="inlineStr">
        <is>
          <t>J-I-0036</t>
        </is>
      </c>
      <c r="B5244" s="12" t="inlineStr">
        <is>
          <t>J</t>
        </is>
      </c>
      <c r="C5244" s="12" t="inlineStr">
        <is>
          <t>GT inlet chilling</t>
        </is>
      </c>
      <c r="D5244" s="12" t="inlineStr">
        <is>
          <t>Home run JB-Chillers x6 (water-DI04 to the control / marshalling room</t>
        </is>
      </c>
      <c r="E5244" s="12" t="inlineStr"/>
      <c r="F5244" s="12" t="inlineStr">
        <is>
          <t>Inlet-chilling e-house / transformer</t>
        </is>
      </c>
      <c r="G5244" s="12" t="inlineStr">
        <is>
          <t>JB-Chillers x6 (water-DI04</t>
        </is>
      </c>
      <c r="H5244" s="12" t="inlineStr">
        <is>
          <t>Chillers x6 (water-cooled)</t>
        </is>
      </c>
      <c r="I5244" s="12" t="inlineStr">
        <is>
          <t>Instrumentation</t>
        </is>
      </c>
      <c r="J5244" s="12" t="inlineStr">
        <is>
          <t>Instrumentation PLTC / TC-ER 300 V, #18 twisted shielded pairs, overall shield</t>
        </is>
      </c>
      <c r="K5244" s="12" t="inlineStr">
        <is>
          <t>PLTC|24 pr|18</t>
        </is>
      </c>
      <c r="L5244" s="12" t="inlineStr">
        <is>
          <t>24 pr</t>
        </is>
      </c>
      <c r="M5244" s="12" t="inlineStr">
        <is>
          <t>18</t>
        </is>
      </c>
      <c r="N5244" s="12" t="n">
        <v>1</v>
      </c>
      <c r="O5244" s="12" t="n">
        <v>1</v>
      </c>
      <c r="P5244" s="12" t="n"/>
      <c r="Q5244" s="12" t="n"/>
      <c r="R5244" s="12" t="n"/>
      <c r="S5244" s="12" t="inlineStr">
        <is>
          <t>Duct bank</t>
        </is>
      </c>
      <c r="T5244" s="16" t="n">
        <v>10</v>
      </c>
      <c r="U5244" s="16" t="n">
        <v>32</v>
      </c>
      <c r="V5244" s="16">
        <f>ROUNDUP((T5244+U5244+2*'Read Me'!$B$13)*(1+'Read Me'!$B$12),-1)</f>
        <v/>
      </c>
      <c r="W5244" s="16">
        <f>V5244*N5244*O5244</f>
        <v/>
      </c>
      <c r="X5244" s="12">
        <f>IF(LEFT(I5244,2)="MV",2*N5244*IF(L5244="1/C",O5244,1),0)</f>
        <v/>
      </c>
      <c r="Y5244" s="12">
        <f>IF(OR(LEFT(K5244,4)="LVAX",LEFT(K5244,6)="MV15AX",LEFT(K5244,4)="CTAX",LEFT(K5244,2)="W|"),2*N5244*O5244,0)</f>
        <v/>
      </c>
      <c r="Z5244" s="12" t="inlineStr"/>
      <c r="AA5244" s="12">
        <f>N5244*O5244</f>
        <v/>
      </c>
    </row>
    <row r="5245">
      <c r="A5245" s="12" t="inlineStr">
        <is>
          <t>J-I-0037</t>
        </is>
      </c>
      <c r="B5245" s="12" t="inlineStr">
        <is>
          <t>J</t>
        </is>
      </c>
      <c r="C5245" s="12" t="inlineStr">
        <is>
          <t>GT inlet chilling</t>
        </is>
      </c>
      <c r="D5245" s="12" t="inlineStr">
        <is>
          <t>Discrete device to JB JB-Chillers x6 (water-DI05: 20 x 1 pr (field cables)</t>
        </is>
      </c>
      <c r="E5245" s="12" t="inlineStr"/>
      <c r="F5245" s="12" t="inlineStr">
        <is>
          <t>Chillers x6 (water-cooled)</t>
        </is>
      </c>
      <c r="G5245" s="12" t="inlineStr">
        <is>
          <t>JB-Chillers x6 (water-DI05</t>
        </is>
      </c>
      <c r="H5245" s="12" t="inlineStr">
        <is>
          <t>Chillers x6 (water-cooled)</t>
        </is>
      </c>
      <c r="I5245" s="12" t="inlineStr">
        <is>
          <t>Instrumentation</t>
        </is>
      </c>
      <c r="J5245" s="12" t="inlineStr">
        <is>
          <t>Instrumentation PLTC / TC-ER 300 V, #18 twisted shielded pairs, overall shield</t>
        </is>
      </c>
      <c r="K5245" s="12" t="inlineStr">
        <is>
          <t>PLTC|1 pr|16</t>
        </is>
      </c>
      <c r="L5245" s="12" t="inlineStr">
        <is>
          <t>1 pr</t>
        </is>
      </c>
      <c r="M5245" s="12" t="inlineStr">
        <is>
          <t>16</t>
        </is>
      </c>
      <c r="N5245" s="12" t="n">
        <v>20</v>
      </c>
      <c r="O5245" s="12" t="n">
        <v>1</v>
      </c>
      <c r="P5245" s="12" t="n"/>
      <c r="Q5245" s="12" t="n"/>
      <c r="R5245" s="12" t="n"/>
      <c r="S5245" s="12" t="inlineStr">
        <is>
          <t>Tray / conduit</t>
        </is>
      </c>
      <c r="T5245" s="16" t="n">
        <v>190</v>
      </c>
      <c r="U5245" s="16" t="n">
        <v>10</v>
      </c>
      <c r="V5245" s="16">
        <f>ROUNDUP((T5245+U5245+2*'Read Me'!$B$13)*(1+'Read Me'!$B$12),-1)</f>
        <v/>
      </c>
      <c r="W5245" s="16">
        <f>V5245*N5245*O5245</f>
        <v/>
      </c>
      <c r="X5245" s="12">
        <f>IF(LEFT(I5245,2)="MV",2*N5245*IF(L5245="1/C",O5245,1),0)</f>
        <v/>
      </c>
      <c r="Y5245" s="12">
        <f>IF(OR(LEFT(K5245,4)="LVAX",LEFT(K5245,6)="MV15AX",LEFT(K5245,4)="CTAX",LEFT(K5245,2)="W|"),2*N5245*O5245,0)</f>
        <v/>
      </c>
      <c r="Z5245" s="12" t="inlineStr">
        <is>
          <t>device-to-JB field wiring, one cable per device</t>
        </is>
      </c>
      <c r="AA5245" s="12">
        <f>N5245*O5245</f>
        <v/>
      </c>
    </row>
    <row r="5246">
      <c r="A5246" s="12" t="inlineStr">
        <is>
          <t>J-I-0038</t>
        </is>
      </c>
      <c r="B5246" s="12" t="inlineStr">
        <is>
          <t>J</t>
        </is>
      </c>
      <c r="C5246" s="12" t="inlineStr">
        <is>
          <t>GT inlet chilling</t>
        </is>
      </c>
      <c r="D5246" s="12" t="inlineStr">
        <is>
          <t>Home run JB-Chillers x6 (water-DI05 to the control / marshalling room</t>
        </is>
      </c>
      <c r="E5246" s="12" t="inlineStr"/>
      <c r="F5246" s="12" t="inlineStr">
        <is>
          <t>Inlet-chilling e-house / transformer</t>
        </is>
      </c>
      <c r="G5246" s="12" t="inlineStr">
        <is>
          <t>JB-Chillers x6 (water-DI05</t>
        </is>
      </c>
      <c r="H5246" s="12" t="inlineStr">
        <is>
          <t>Chillers x6 (water-cooled)</t>
        </is>
      </c>
      <c r="I5246" s="12" t="inlineStr">
        <is>
          <t>Instrumentation</t>
        </is>
      </c>
      <c r="J5246" s="12" t="inlineStr">
        <is>
          <t>Instrumentation PLTC / TC-ER 300 V, #18 twisted shielded pairs, overall shield</t>
        </is>
      </c>
      <c r="K5246" s="12" t="inlineStr">
        <is>
          <t>PLTC|24 pr|18</t>
        </is>
      </c>
      <c r="L5246" s="12" t="inlineStr">
        <is>
          <t>24 pr</t>
        </is>
      </c>
      <c r="M5246" s="12" t="inlineStr">
        <is>
          <t>18</t>
        </is>
      </c>
      <c r="N5246" s="12" t="n">
        <v>1</v>
      </c>
      <c r="O5246" s="12" t="n">
        <v>1</v>
      </c>
      <c r="P5246" s="12" t="n"/>
      <c r="Q5246" s="12" t="n"/>
      <c r="R5246" s="12" t="n"/>
      <c r="S5246" s="12" t="inlineStr">
        <is>
          <t>Duct bank</t>
        </is>
      </c>
      <c r="T5246" s="16" t="n">
        <v>10</v>
      </c>
      <c r="U5246" s="16" t="n">
        <v>32</v>
      </c>
      <c r="V5246" s="16">
        <f>ROUNDUP((T5246+U5246+2*'Read Me'!$B$13)*(1+'Read Me'!$B$12),-1)</f>
        <v/>
      </c>
      <c r="W5246" s="16">
        <f>V5246*N5246*O5246</f>
        <v/>
      </c>
      <c r="X5246" s="12">
        <f>IF(LEFT(I5246,2)="MV",2*N5246*IF(L5246="1/C",O5246,1),0)</f>
        <v/>
      </c>
      <c r="Y5246" s="12">
        <f>IF(OR(LEFT(K5246,4)="LVAX",LEFT(K5246,6)="MV15AX",LEFT(K5246,4)="CTAX",LEFT(K5246,2)="W|"),2*N5246*O5246,0)</f>
        <v/>
      </c>
      <c r="Z5246" s="12" t="inlineStr"/>
      <c r="AA5246" s="12">
        <f>N5246*O5246</f>
        <v/>
      </c>
    </row>
    <row r="5247">
      <c r="A5247" s="12" t="inlineStr">
        <is>
          <t>J-I-0039</t>
        </is>
      </c>
      <c r="B5247" s="12" t="inlineStr">
        <is>
          <t>J</t>
        </is>
      </c>
      <c r="C5247" s="12" t="inlineStr">
        <is>
          <t>GT inlet chilling</t>
        </is>
      </c>
      <c r="D5247" s="12" t="inlineStr">
        <is>
          <t>Discrete device to JB JB-Chillers x6 (water-DI06: 20 x 1 pr (field cables)</t>
        </is>
      </c>
      <c r="E5247" s="12" t="inlineStr"/>
      <c r="F5247" s="12" t="inlineStr">
        <is>
          <t>Chillers x6 (water-cooled)</t>
        </is>
      </c>
      <c r="G5247" s="12" t="inlineStr">
        <is>
          <t>JB-Chillers x6 (water-DI06</t>
        </is>
      </c>
      <c r="H5247" s="12" t="inlineStr">
        <is>
          <t>Chillers x6 (water-cooled)</t>
        </is>
      </c>
      <c r="I5247" s="12" t="inlineStr">
        <is>
          <t>Instrumentation</t>
        </is>
      </c>
      <c r="J5247" s="12" t="inlineStr">
        <is>
          <t>Instrumentation PLTC / TC-ER 300 V, #18 twisted shielded pairs, overall shield</t>
        </is>
      </c>
      <c r="K5247" s="12" t="inlineStr">
        <is>
          <t>PLTC|1 pr|16</t>
        </is>
      </c>
      <c r="L5247" s="12" t="inlineStr">
        <is>
          <t>1 pr</t>
        </is>
      </c>
      <c r="M5247" s="12" t="inlineStr">
        <is>
          <t>16</t>
        </is>
      </c>
      <c r="N5247" s="12" t="n">
        <v>20</v>
      </c>
      <c r="O5247" s="12" t="n">
        <v>1</v>
      </c>
      <c r="P5247" s="12" t="n"/>
      <c r="Q5247" s="12" t="n"/>
      <c r="R5247" s="12" t="n"/>
      <c r="S5247" s="12" t="inlineStr">
        <is>
          <t>Tray / conduit</t>
        </is>
      </c>
      <c r="T5247" s="16" t="n">
        <v>190</v>
      </c>
      <c r="U5247" s="16" t="n">
        <v>10</v>
      </c>
      <c r="V5247" s="16">
        <f>ROUNDUP((T5247+U5247+2*'Read Me'!$B$13)*(1+'Read Me'!$B$12),-1)</f>
        <v/>
      </c>
      <c r="W5247" s="16">
        <f>V5247*N5247*O5247</f>
        <v/>
      </c>
      <c r="X5247" s="12">
        <f>IF(LEFT(I5247,2)="MV",2*N5247*IF(L5247="1/C",O5247,1),0)</f>
        <v/>
      </c>
      <c r="Y5247" s="12">
        <f>IF(OR(LEFT(K5247,4)="LVAX",LEFT(K5247,6)="MV15AX",LEFT(K5247,4)="CTAX",LEFT(K5247,2)="W|"),2*N5247*O5247,0)</f>
        <v/>
      </c>
      <c r="Z5247" s="12" t="inlineStr">
        <is>
          <t>device-to-JB field wiring, one cable per device</t>
        </is>
      </c>
      <c r="AA5247" s="12">
        <f>N5247*O5247</f>
        <v/>
      </c>
    </row>
    <row r="5248">
      <c r="A5248" s="12" t="inlineStr">
        <is>
          <t>J-I-0040</t>
        </is>
      </c>
      <c r="B5248" s="12" t="inlineStr">
        <is>
          <t>J</t>
        </is>
      </c>
      <c r="C5248" s="12" t="inlineStr">
        <is>
          <t>GT inlet chilling</t>
        </is>
      </c>
      <c r="D5248" s="12" t="inlineStr">
        <is>
          <t>Home run JB-Chillers x6 (water-DI06 to the control / marshalling room</t>
        </is>
      </c>
      <c r="E5248" s="12" t="inlineStr"/>
      <c r="F5248" s="12" t="inlineStr">
        <is>
          <t>Inlet-chilling e-house / transformer</t>
        </is>
      </c>
      <c r="G5248" s="12" t="inlineStr">
        <is>
          <t>JB-Chillers x6 (water-DI06</t>
        </is>
      </c>
      <c r="H5248" s="12" t="inlineStr">
        <is>
          <t>Chillers x6 (water-cooled)</t>
        </is>
      </c>
      <c r="I5248" s="12" t="inlineStr">
        <is>
          <t>Instrumentation</t>
        </is>
      </c>
      <c r="J5248" s="12" t="inlineStr">
        <is>
          <t>Instrumentation PLTC / TC-ER 300 V, #18 twisted shielded pairs, overall shield</t>
        </is>
      </c>
      <c r="K5248" s="12" t="inlineStr">
        <is>
          <t>PLTC|24 pr|18</t>
        </is>
      </c>
      <c r="L5248" s="12" t="inlineStr">
        <is>
          <t>24 pr</t>
        </is>
      </c>
      <c r="M5248" s="12" t="inlineStr">
        <is>
          <t>18</t>
        </is>
      </c>
      <c r="N5248" s="12" t="n">
        <v>1</v>
      </c>
      <c r="O5248" s="12" t="n">
        <v>1</v>
      </c>
      <c r="P5248" s="12" t="n"/>
      <c r="Q5248" s="12" t="n"/>
      <c r="R5248" s="12" t="n"/>
      <c r="S5248" s="12" t="inlineStr">
        <is>
          <t>Duct bank</t>
        </is>
      </c>
      <c r="T5248" s="16" t="n">
        <v>10</v>
      </c>
      <c r="U5248" s="16" t="n">
        <v>32</v>
      </c>
      <c r="V5248" s="16">
        <f>ROUNDUP((T5248+U5248+2*'Read Me'!$B$13)*(1+'Read Me'!$B$12),-1)</f>
        <v/>
      </c>
      <c r="W5248" s="16">
        <f>V5248*N5248*O5248</f>
        <v/>
      </c>
      <c r="X5248" s="12">
        <f>IF(LEFT(I5248,2)="MV",2*N5248*IF(L5248="1/C",O5248,1),0)</f>
        <v/>
      </c>
      <c r="Y5248" s="12">
        <f>IF(OR(LEFT(K5248,4)="LVAX",LEFT(K5248,6)="MV15AX",LEFT(K5248,4)="CTAX",LEFT(K5248,2)="W|"),2*N5248*O5248,0)</f>
        <v/>
      </c>
      <c r="Z5248" s="12" t="inlineStr"/>
      <c r="AA5248" s="12">
        <f>N5248*O5248</f>
        <v/>
      </c>
    </row>
    <row r="5249">
      <c r="A5249" s="12" t="inlineStr">
        <is>
          <t>J-I-0041</t>
        </is>
      </c>
      <c r="B5249" s="12" t="inlineStr">
        <is>
          <t>J</t>
        </is>
      </c>
      <c r="C5249" s="12" t="inlineStr">
        <is>
          <t>GT inlet chilling</t>
        </is>
      </c>
      <c r="D5249" s="12" t="inlineStr">
        <is>
          <t>Instrumentation</t>
        </is>
      </c>
      <c r="E5249" s="12" t="inlineStr"/>
      <c r="F5249" s="12" t="inlineStr">
        <is>
          <t>Inlet-chilling e-house / transformer</t>
        </is>
      </c>
      <c r="G5249" s="12" t="inlineStr"/>
      <c r="H5249" s="12" t="inlineStr">
        <is>
          <t>Inlet-chilling e-house / transformer</t>
        </is>
      </c>
      <c r="I5249" s="12" t="inlineStr">
        <is>
          <t>Instrumentation</t>
        </is>
      </c>
      <c r="J5249" s="12" t="inlineStr">
        <is>
          <t>Instrumentation PLTC / TC-ER 300 V, #18 twisted shielded pairs, overall shield</t>
        </is>
      </c>
      <c r="K5249" s="12" t="inlineStr">
        <is>
          <t>PLTC|4 pr|18</t>
        </is>
      </c>
      <c r="L5249" s="12" t="inlineStr">
        <is>
          <t>4 pr</t>
        </is>
      </c>
      <c r="M5249" s="12" t="inlineStr">
        <is>
          <t>18</t>
        </is>
      </c>
      <c r="N5249" s="12" t="n">
        <v>1</v>
      </c>
      <c r="O5249" s="12" t="n">
        <v>1</v>
      </c>
      <c r="P5249" s="12" t="n"/>
      <c r="Q5249" s="12" t="n"/>
      <c r="R5249" s="12" t="n"/>
      <c r="S5249" s="12" t="inlineStr">
        <is>
          <t>Tray</t>
        </is>
      </c>
      <c r="T5249" s="16" t="n">
        <v>0</v>
      </c>
      <c r="U5249" s="16" t="n">
        <v>32</v>
      </c>
      <c r="V5249" s="16">
        <f>ROUNDUP((T5249+U5249+2*'Read Me'!$B$13)*(1+'Read Me'!$B$12),-1)</f>
        <v/>
      </c>
      <c r="W5249" s="16">
        <f>V5249*N5249*O5249</f>
        <v/>
      </c>
      <c r="X5249" s="12">
        <f>IF(LEFT(I5249,2)="MV",2*N5249*IF(L5249="1/C",O5249,1),0)</f>
        <v/>
      </c>
      <c r="Y5249" s="12">
        <f>IF(OR(LEFT(K5249,4)="LVAX",LEFT(K5249,6)="MV15AX",LEFT(K5249,4)="CTAX",LEFT(K5249,2)="W|"),2*N5249*O5249,0)</f>
        <v/>
      </c>
      <c r="Z5249" s="12" t="inlineStr"/>
      <c r="AA5249" s="12">
        <f>N5249*O5249</f>
        <v/>
      </c>
    </row>
    <row r="5250">
      <c r="A5250" s="12" t="inlineStr">
        <is>
          <t>J-I-0042</t>
        </is>
      </c>
      <c r="B5250" s="12" t="inlineStr">
        <is>
          <t>J</t>
        </is>
      </c>
      <c r="C5250" s="12" t="inlineStr">
        <is>
          <t>GT inlet chilling</t>
        </is>
      </c>
      <c r="D5250" s="12" t="inlineStr">
        <is>
          <t>Analog instrument to JB JB-Inlet-chilling tow-AI01: 12 x 1 pr (field cables)</t>
        </is>
      </c>
      <c r="E5250" s="12" t="inlineStr"/>
      <c r="F5250" s="12" t="inlineStr">
        <is>
          <t>Inlet-chilling tower (12 cells): chiller heat rejection</t>
        </is>
      </c>
      <c r="G5250" s="12" t="inlineStr">
        <is>
          <t>JB-Inlet-chilling tow-AI01</t>
        </is>
      </c>
      <c r="H5250" s="12" t="inlineStr">
        <is>
          <t>Inlet-chilling tower (12 cells): chiller heat rejection</t>
        </is>
      </c>
      <c r="I5250" s="12" t="inlineStr">
        <is>
          <t>Instrumentation</t>
        </is>
      </c>
      <c r="J5250" s="12" t="inlineStr">
        <is>
          <t>Instrumentation PLTC / TC-ER 300 V, #18 twisted shielded pairs, overall shield</t>
        </is>
      </c>
      <c r="K5250" s="12" t="inlineStr">
        <is>
          <t>PLTC|1 pr|16</t>
        </is>
      </c>
      <c r="L5250" s="12" t="inlineStr">
        <is>
          <t>1 pr</t>
        </is>
      </c>
      <c r="M5250" s="12" t="inlineStr">
        <is>
          <t>16</t>
        </is>
      </c>
      <c r="N5250" s="12" t="n">
        <v>12</v>
      </c>
      <c r="O5250" s="12" t="n">
        <v>1</v>
      </c>
      <c r="P5250" s="12" t="n"/>
      <c r="Q5250" s="12" t="n"/>
      <c r="R5250" s="12" t="n"/>
      <c r="S5250" s="12" t="inlineStr">
        <is>
          <t>Tray / conduit</t>
        </is>
      </c>
      <c r="T5250" s="16" t="n">
        <v>205</v>
      </c>
      <c r="U5250" s="16" t="n">
        <v>10</v>
      </c>
      <c r="V5250" s="16">
        <f>ROUNDUP((T5250+U5250+2*'Read Me'!$B$13)*(1+'Read Me'!$B$12),-1)</f>
        <v/>
      </c>
      <c r="W5250" s="16">
        <f>V5250*N5250*O5250</f>
        <v/>
      </c>
      <c r="X5250" s="12">
        <f>IF(LEFT(I5250,2)="MV",2*N5250*IF(L5250="1/C",O5250,1),0)</f>
        <v/>
      </c>
      <c r="Y5250" s="12">
        <f>IF(OR(LEFT(K5250,4)="LVAX",LEFT(K5250,6)="MV15AX",LEFT(K5250,4)="CTAX",LEFT(K5250,2)="W|"),2*N5250*O5250,0)</f>
        <v/>
      </c>
      <c r="Z5250" s="12" t="inlineStr">
        <is>
          <t>device-to-JB field wiring, one cable per device</t>
        </is>
      </c>
      <c r="AA5250" s="12">
        <f>N5250*O5250</f>
        <v/>
      </c>
    </row>
    <row r="5251">
      <c r="A5251" s="12" t="inlineStr">
        <is>
          <t>J-I-0043</t>
        </is>
      </c>
      <c r="B5251" s="12" t="inlineStr">
        <is>
          <t>J</t>
        </is>
      </c>
      <c r="C5251" s="12" t="inlineStr">
        <is>
          <t>GT inlet chilling</t>
        </is>
      </c>
      <c r="D5251" s="12" t="inlineStr">
        <is>
          <t>Home run JB-Inlet-chilling tow-AI01 to the control / marshalling room</t>
        </is>
      </c>
      <c r="E5251" s="12" t="inlineStr"/>
      <c r="F5251" s="12" t="inlineStr">
        <is>
          <t>Inlet-chilling e-house / transformer</t>
        </is>
      </c>
      <c r="G5251" s="12" t="inlineStr">
        <is>
          <t>JB-Inlet-chilling tow-AI01</t>
        </is>
      </c>
      <c r="H5251" s="12" t="inlineStr">
        <is>
          <t>Inlet-chilling tower (12 cells): chiller heat rejection</t>
        </is>
      </c>
      <c r="I5251" s="12" t="inlineStr">
        <is>
          <t>Instrumentation</t>
        </is>
      </c>
      <c r="J5251" s="12" t="inlineStr">
        <is>
          <t>Instrumentation PLTC / TC-ER 300 V, #18 twisted shielded pairs, overall shield</t>
        </is>
      </c>
      <c r="K5251" s="12" t="inlineStr">
        <is>
          <t>PLTC|24 pr|18</t>
        </is>
      </c>
      <c r="L5251" s="12" t="inlineStr">
        <is>
          <t>24 pr</t>
        </is>
      </c>
      <c r="M5251" s="12" t="inlineStr">
        <is>
          <t>18</t>
        </is>
      </c>
      <c r="N5251" s="12" t="n">
        <v>1</v>
      </c>
      <c r="O5251" s="12" t="n">
        <v>1</v>
      </c>
      <c r="P5251" s="12" t="n"/>
      <c r="Q5251" s="12" t="n"/>
      <c r="R5251" s="12" t="n"/>
      <c r="S5251" s="12" t="inlineStr">
        <is>
          <t>Duct bank</t>
        </is>
      </c>
      <c r="T5251" s="16" t="n">
        <v>478</v>
      </c>
      <c r="U5251" s="16" t="n">
        <v>38</v>
      </c>
      <c r="V5251" s="16">
        <f>ROUNDUP((T5251+U5251+2*'Read Me'!$B$13)*(1+'Read Me'!$B$12),-1)</f>
        <v/>
      </c>
      <c r="W5251" s="16">
        <f>V5251*N5251*O5251</f>
        <v/>
      </c>
      <c r="X5251" s="12">
        <f>IF(LEFT(I5251,2)="MV",2*N5251*IF(L5251="1/C",O5251,1),0)</f>
        <v/>
      </c>
      <c r="Y5251" s="12">
        <f>IF(OR(LEFT(K5251,4)="LVAX",LEFT(K5251,6)="MV15AX",LEFT(K5251,4)="CTAX",LEFT(K5251,2)="W|"),2*N5251*O5251,0)</f>
        <v/>
      </c>
      <c r="Z5251" s="12" t="inlineStr"/>
      <c r="AA5251" s="12">
        <f>N5251*O5251</f>
        <v/>
      </c>
    </row>
    <row r="5252">
      <c r="A5252" s="12" t="inlineStr">
        <is>
          <t>J-I-0044</t>
        </is>
      </c>
      <c r="B5252" s="12" t="inlineStr">
        <is>
          <t>J</t>
        </is>
      </c>
      <c r="C5252" s="12" t="inlineStr">
        <is>
          <t>GT inlet chilling</t>
        </is>
      </c>
      <c r="D5252" s="12" t="inlineStr">
        <is>
          <t>Discrete device to JB JB-Inlet-chilling tow-DI01: 20 x 1 pr (field cables)</t>
        </is>
      </c>
      <c r="E5252" s="12" t="inlineStr"/>
      <c r="F5252" s="12" t="inlineStr">
        <is>
          <t>Inlet-chilling tower (12 cells): chiller heat rejection</t>
        </is>
      </c>
      <c r="G5252" s="12" t="inlineStr">
        <is>
          <t>JB-Inlet-chilling tow-DI01</t>
        </is>
      </c>
      <c r="H5252" s="12" t="inlineStr">
        <is>
          <t>Inlet-chilling tower (12 cells): chiller heat rejection</t>
        </is>
      </c>
      <c r="I5252" s="12" t="inlineStr">
        <is>
          <t>Instrumentation</t>
        </is>
      </c>
      <c r="J5252" s="12" t="inlineStr">
        <is>
          <t>Instrumentation PLTC / TC-ER 300 V, #18 twisted shielded pairs, overall shield</t>
        </is>
      </c>
      <c r="K5252" s="12" t="inlineStr">
        <is>
          <t>PLTC|1 pr|16</t>
        </is>
      </c>
      <c r="L5252" s="12" t="inlineStr">
        <is>
          <t>1 pr</t>
        </is>
      </c>
      <c r="M5252" s="12" t="inlineStr">
        <is>
          <t>16</t>
        </is>
      </c>
      <c r="N5252" s="12" t="n">
        <v>20</v>
      </c>
      <c r="O5252" s="12" t="n">
        <v>1</v>
      </c>
      <c r="P5252" s="12" t="n"/>
      <c r="Q5252" s="12" t="n"/>
      <c r="R5252" s="12" t="n"/>
      <c r="S5252" s="12" t="inlineStr">
        <is>
          <t>Tray / conduit</t>
        </is>
      </c>
      <c r="T5252" s="16" t="n">
        <v>205</v>
      </c>
      <c r="U5252" s="16" t="n">
        <v>10</v>
      </c>
      <c r="V5252" s="16">
        <f>ROUNDUP((T5252+U5252+2*'Read Me'!$B$13)*(1+'Read Me'!$B$12),-1)</f>
        <v/>
      </c>
      <c r="W5252" s="16">
        <f>V5252*N5252*O5252</f>
        <v/>
      </c>
      <c r="X5252" s="12">
        <f>IF(LEFT(I5252,2)="MV",2*N5252*IF(L5252="1/C",O5252,1),0)</f>
        <v/>
      </c>
      <c r="Y5252" s="12">
        <f>IF(OR(LEFT(K5252,4)="LVAX",LEFT(K5252,6)="MV15AX",LEFT(K5252,4)="CTAX",LEFT(K5252,2)="W|"),2*N5252*O5252,0)</f>
        <v/>
      </c>
      <c r="Z5252" s="12" t="inlineStr">
        <is>
          <t>device-to-JB field wiring, one cable per device</t>
        </is>
      </c>
      <c r="AA5252" s="12">
        <f>N5252*O5252</f>
        <v/>
      </c>
    </row>
    <row r="5253">
      <c r="A5253" s="12" t="inlineStr">
        <is>
          <t>J-I-0045</t>
        </is>
      </c>
      <c r="B5253" s="12" t="inlineStr">
        <is>
          <t>J</t>
        </is>
      </c>
      <c r="C5253" s="12" t="inlineStr">
        <is>
          <t>GT inlet chilling</t>
        </is>
      </c>
      <c r="D5253" s="12" t="inlineStr">
        <is>
          <t>Home run JB-Inlet-chilling tow-DI01 to the control / marshalling room</t>
        </is>
      </c>
      <c r="E5253" s="12" t="inlineStr"/>
      <c r="F5253" s="12" t="inlineStr">
        <is>
          <t>Inlet-chilling e-house / transformer</t>
        </is>
      </c>
      <c r="G5253" s="12" t="inlineStr">
        <is>
          <t>JB-Inlet-chilling tow-DI01</t>
        </is>
      </c>
      <c r="H5253" s="12" t="inlineStr">
        <is>
          <t>Inlet-chilling tower (12 cells): chiller heat rejection</t>
        </is>
      </c>
      <c r="I5253" s="12" t="inlineStr">
        <is>
          <t>Instrumentation</t>
        </is>
      </c>
      <c r="J5253" s="12" t="inlineStr">
        <is>
          <t>Instrumentation PLTC / TC-ER 300 V, #18 twisted shielded pairs, overall shield</t>
        </is>
      </c>
      <c r="K5253" s="12" t="inlineStr">
        <is>
          <t>PLTC|24 pr|18</t>
        </is>
      </c>
      <c r="L5253" s="12" t="inlineStr">
        <is>
          <t>24 pr</t>
        </is>
      </c>
      <c r="M5253" s="12" t="inlineStr">
        <is>
          <t>18</t>
        </is>
      </c>
      <c r="N5253" s="12" t="n">
        <v>1</v>
      </c>
      <c r="O5253" s="12" t="n">
        <v>1</v>
      </c>
      <c r="P5253" s="12" t="n"/>
      <c r="Q5253" s="12" t="n"/>
      <c r="R5253" s="12" t="n"/>
      <c r="S5253" s="12" t="inlineStr">
        <is>
          <t>Duct bank</t>
        </is>
      </c>
      <c r="T5253" s="16" t="n">
        <v>478</v>
      </c>
      <c r="U5253" s="16" t="n">
        <v>38</v>
      </c>
      <c r="V5253" s="16">
        <f>ROUNDUP((T5253+U5253+2*'Read Me'!$B$13)*(1+'Read Me'!$B$12),-1)</f>
        <v/>
      </c>
      <c r="W5253" s="16">
        <f>V5253*N5253*O5253</f>
        <v/>
      </c>
      <c r="X5253" s="12">
        <f>IF(LEFT(I5253,2)="MV",2*N5253*IF(L5253="1/C",O5253,1),0)</f>
        <v/>
      </c>
      <c r="Y5253" s="12">
        <f>IF(OR(LEFT(K5253,4)="LVAX",LEFT(K5253,6)="MV15AX",LEFT(K5253,4)="CTAX",LEFT(K5253,2)="W|"),2*N5253*O5253,0)</f>
        <v/>
      </c>
      <c r="Z5253" s="12" t="inlineStr"/>
      <c r="AA5253" s="12">
        <f>N5253*O5253</f>
        <v/>
      </c>
    </row>
    <row r="5254">
      <c r="A5254" s="12" t="inlineStr">
        <is>
          <t>J-I-0046</t>
        </is>
      </c>
      <c r="B5254" s="12" t="inlineStr">
        <is>
          <t>J</t>
        </is>
      </c>
      <c r="C5254" s="12" t="inlineStr">
        <is>
          <t>GT inlet chilling</t>
        </is>
      </c>
      <c r="D5254" s="12" t="inlineStr">
        <is>
          <t>Discrete device to JB JB-Inlet-chilling tow-DI02: 4 x 1 pr (field cables)</t>
        </is>
      </c>
      <c r="E5254" s="12" t="inlineStr"/>
      <c r="F5254" s="12" t="inlineStr">
        <is>
          <t>Inlet-chilling tower (12 cells): chiller heat rejection</t>
        </is>
      </c>
      <c r="G5254" s="12" t="inlineStr">
        <is>
          <t>JB-Inlet-chilling tow-DI02</t>
        </is>
      </c>
      <c r="H5254" s="12" t="inlineStr">
        <is>
          <t>Inlet-chilling tower (12 cells): chiller heat rejection</t>
        </is>
      </c>
      <c r="I5254" s="12" t="inlineStr">
        <is>
          <t>Instrumentation</t>
        </is>
      </c>
      <c r="J5254" s="12" t="inlineStr">
        <is>
          <t>Instrumentation PLTC / TC-ER 300 V, #18 twisted shielded pairs, overall shield</t>
        </is>
      </c>
      <c r="K5254" s="12" t="inlineStr">
        <is>
          <t>PLTC|1 pr|16</t>
        </is>
      </c>
      <c r="L5254" s="12" t="inlineStr">
        <is>
          <t>1 pr</t>
        </is>
      </c>
      <c r="M5254" s="12" t="inlineStr">
        <is>
          <t>16</t>
        </is>
      </c>
      <c r="N5254" s="12" t="n">
        <v>4</v>
      </c>
      <c r="O5254" s="12" t="n">
        <v>1</v>
      </c>
      <c r="P5254" s="12" t="n"/>
      <c r="Q5254" s="12" t="n"/>
      <c r="R5254" s="12" t="n"/>
      <c r="S5254" s="12" t="inlineStr">
        <is>
          <t>Tray / conduit</t>
        </is>
      </c>
      <c r="T5254" s="16" t="n">
        <v>205</v>
      </c>
      <c r="U5254" s="16" t="n">
        <v>10</v>
      </c>
      <c r="V5254" s="16">
        <f>ROUNDUP((T5254+U5254+2*'Read Me'!$B$13)*(1+'Read Me'!$B$12),-1)</f>
        <v/>
      </c>
      <c r="W5254" s="16">
        <f>V5254*N5254*O5254</f>
        <v/>
      </c>
      <c r="X5254" s="12">
        <f>IF(LEFT(I5254,2)="MV",2*N5254*IF(L5254="1/C",O5254,1),0)</f>
        <v/>
      </c>
      <c r="Y5254" s="12">
        <f>IF(OR(LEFT(K5254,4)="LVAX",LEFT(K5254,6)="MV15AX",LEFT(K5254,4)="CTAX",LEFT(K5254,2)="W|"),2*N5254*O5254,0)</f>
        <v/>
      </c>
      <c r="Z5254" s="12" t="inlineStr">
        <is>
          <t>device-to-JB field wiring, one cable per device</t>
        </is>
      </c>
      <c r="AA5254" s="12">
        <f>N5254*O5254</f>
        <v/>
      </c>
    </row>
    <row r="5255">
      <c r="A5255" s="12" t="inlineStr">
        <is>
          <t>J-I-0047</t>
        </is>
      </c>
      <c r="B5255" s="12" t="inlineStr">
        <is>
          <t>J</t>
        </is>
      </c>
      <c r="C5255" s="12" t="inlineStr">
        <is>
          <t>GT inlet chilling</t>
        </is>
      </c>
      <c r="D5255" s="12" t="inlineStr">
        <is>
          <t>Home run JB-Inlet-chilling tow-DI02 to the control / marshalling room</t>
        </is>
      </c>
      <c r="E5255" s="12" t="inlineStr"/>
      <c r="F5255" s="12" t="inlineStr">
        <is>
          <t>Inlet-chilling e-house / transformer</t>
        </is>
      </c>
      <c r="G5255" s="12" t="inlineStr">
        <is>
          <t>JB-Inlet-chilling tow-DI02</t>
        </is>
      </c>
      <c r="H5255" s="12" t="inlineStr">
        <is>
          <t>Inlet-chilling tower (12 cells): chiller heat rejection</t>
        </is>
      </c>
      <c r="I5255" s="12" t="inlineStr">
        <is>
          <t>Instrumentation</t>
        </is>
      </c>
      <c r="J5255" s="12" t="inlineStr">
        <is>
          <t>Instrumentation PLTC / TC-ER 300 V, #18 twisted shielded pairs, overall shield</t>
        </is>
      </c>
      <c r="K5255" s="12" t="inlineStr">
        <is>
          <t>PLTC|24 pr|18</t>
        </is>
      </c>
      <c r="L5255" s="12" t="inlineStr">
        <is>
          <t>24 pr</t>
        </is>
      </c>
      <c r="M5255" s="12" t="inlineStr">
        <is>
          <t>18</t>
        </is>
      </c>
      <c r="N5255" s="12" t="n">
        <v>1</v>
      </c>
      <c r="O5255" s="12" t="n">
        <v>1</v>
      </c>
      <c r="P5255" s="12" t="n"/>
      <c r="Q5255" s="12" t="n"/>
      <c r="R5255" s="12" t="n"/>
      <c r="S5255" s="12" t="inlineStr">
        <is>
          <t>Duct bank</t>
        </is>
      </c>
      <c r="T5255" s="16" t="n">
        <v>478</v>
      </c>
      <c r="U5255" s="16" t="n">
        <v>38</v>
      </c>
      <c r="V5255" s="16">
        <f>ROUNDUP((T5255+U5255+2*'Read Me'!$B$13)*(1+'Read Me'!$B$12),-1)</f>
        <v/>
      </c>
      <c r="W5255" s="16">
        <f>V5255*N5255*O5255</f>
        <v/>
      </c>
      <c r="X5255" s="12">
        <f>IF(LEFT(I5255,2)="MV",2*N5255*IF(L5255="1/C",O5255,1),0)</f>
        <v/>
      </c>
      <c r="Y5255" s="12">
        <f>IF(OR(LEFT(K5255,4)="LVAX",LEFT(K5255,6)="MV15AX",LEFT(K5255,4)="CTAX",LEFT(K5255,2)="W|"),2*N5255*O5255,0)</f>
        <v/>
      </c>
      <c r="Z5255" s="12" t="inlineStr"/>
      <c r="AA5255" s="12">
        <f>N5255*O5255</f>
        <v/>
      </c>
    </row>
    <row r="5256">
      <c r="A5256" s="12" t="inlineStr">
        <is>
          <t>J-P-0001</t>
        </is>
      </c>
      <c r="B5256" s="12" t="inlineStr">
        <is>
          <t>J</t>
        </is>
      </c>
      <c r="C5256" s="12" t="inlineStr">
        <is>
          <t>GT inlet chilling</t>
        </is>
      </c>
      <c r="D5256" s="12" t="inlineStr">
        <is>
          <t>Motor 1 of 4, 150 kW</t>
        </is>
      </c>
      <c r="E5256" s="12" t="inlineStr"/>
      <c r="F5256" s="12" t="inlineStr">
        <is>
          <t>Inlet-chilling e-house / transformer</t>
        </is>
      </c>
      <c r="G5256" s="12" t="inlineStr"/>
      <c r="H5256" s="12" t="inlineStr">
        <is>
          <t>CHW pumps</t>
        </is>
      </c>
      <c r="I5256" s="12" t="inlineStr">
        <is>
          <t>LV 600 V</t>
        </is>
      </c>
      <c r="J5256" s="12" t="inlineStr">
        <is>
          <t>Type TC-ER 600 V 3/C Cu XHHW-2 + ground, PVC jacket</t>
        </is>
      </c>
      <c r="K5256" s="12" t="inlineStr">
        <is>
          <t>LV|3/C+G|350</t>
        </is>
      </c>
      <c r="L5256" s="12" t="inlineStr">
        <is>
          <t>3/C+G</t>
        </is>
      </c>
      <c r="M5256" s="12" t="inlineStr">
        <is>
          <t>350 kcmil</t>
        </is>
      </c>
      <c r="N5256" s="12" t="n">
        <v>1</v>
      </c>
      <c r="O5256" s="12" t="n">
        <v>1</v>
      </c>
      <c r="P5256" s="12" t="n">
        <v>480</v>
      </c>
      <c r="Q5256" s="12" t="n">
        <v>150</v>
      </c>
      <c r="R5256" s="12" t="n">
        <v>212.3</v>
      </c>
      <c r="S5256" s="12" t="inlineStr">
        <is>
          <t>Duct bank</t>
        </is>
      </c>
      <c r="T5256" s="16" t="n">
        <v>579</v>
      </c>
      <c r="U5256" s="16" t="n">
        <v>32</v>
      </c>
      <c r="V5256" s="16">
        <f>ROUNDUP((T5256+U5256+2*'Read Me'!$B$13)*(1+'Read Me'!$B$12),-1)</f>
        <v/>
      </c>
      <c r="W5256" s="16">
        <f>V5256*N5256*O5256</f>
        <v/>
      </c>
      <c r="X5256" s="12">
        <f>IF(LEFT(I5256,2)="MV",2*N5256*IF(L5256="1/C",O5256,1),0)</f>
        <v/>
      </c>
      <c r="Y5256" s="12">
        <f>IF(OR(LEFT(K5256,4)="LVAX",LEFT(K5256,6)="MV15AX",LEFT(K5256,4)="CTAX",LEFT(K5256,2)="W|"),2*N5256*O5256,0)</f>
        <v/>
      </c>
      <c r="Z5256" s="12" t="inlineStr">
        <is>
          <t>VD 1.9 %</t>
        </is>
      </c>
      <c r="AA5256" s="12">
        <f>N5256*O5256</f>
        <v/>
      </c>
    </row>
    <row r="5257">
      <c r="A5257" s="12" t="inlineStr">
        <is>
          <t>J-P-0002</t>
        </is>
      </c>
      <c r="B5257" s="12" t="inlineStr">
        <is>
          <t>J</t>
        </is>
      </c>
      <c r="C5257" s="12" t="inlineStr">
        <is>
          <t>GT inlet chilling</t>
        </is>
      </c>
      <c r="D5257" s="12" t="inlineStr">
        <is>
          <t>Motor 2 of 4, 150 kW</t>
        </is>
      </c>
      <c r="E5257" s="12" t="inlineStr"/>
      <c r="F5257" s="12" t="inlineStr">
        <is>
          <t>Inlet-chilling e-house / transformer</t>
        </is>
      </c>
      <c r="G5257" s="12" t="inlineStr"/>
      <c r="H5257" s="12" t="inlineStr">
        <is>
          <t>CHW pumps</t>
        </is>
      </c>
      <c r="I5257" s="12" t="inlineStr">
        <is>
          <t>LV 600 V</t>
        </is>
      </c>
      <c r="J5257" s="12" t="inlineStr">
        <is>
          <t>Type TC-ER 600 V 3/C Cu XHHW-2 + ground, PVC jacket</t>
        </is>
      </c>
      <c r="K5257" s="12" t="inlineStr">
        <is>
          <t>LV|3/C+G|350</t>
        </is>
      </c>
      <c r="L5257" s="12" t="inlineStr">
        <is>
          <t>3/C+G</t>
        </is>
      </c>
      <c r="M5257" s="12" t="inlineStr">
        <is>
          <t>350 kcmil</t>
        </is>
      </c>
      <c r="N5257" s="12" t="n">
        <v>1</v>
      </c>
      <c r="O5257" s="12" t="n">
        <v>1</v>
      </c>
      <c r="P5257" s="12" t="n">
        <v>480</v>
      </c>
      <c r="Q5257" s="12" t="n">
        <v>150</v>
      </c>
      <c r="R5257" s="12" t="n">
        <v>212.3</v>
      </c>
      <c r="S5257" s="12" t="inlineStr">
        <is>
          <t>Duct bank</t>
        </is>
      </c>
      <c r="T5257" s="16" t="n">
        <v>579</v>
      </c>
      <c r="U5257" s="16" t="n">
        <v>32</v>
      </c>
      <c r="V5257" s="16">
        <f>ROUNDUP((T5257+U5257+2*'Read Me'!$B$13)*(1+'Read Me'!$B$12),-1)</f>
        <v/>
      </c>
      <c r="W5257" s="16">
        <f>V5257*N5257*O5257</f>
        <v/>
      </c>
      <c r="X5257" s="12">
        <f>IF(LEFT(I5257,2)="MV",2*N5257*IF(L5257="1/C",O5257,1),0)</f>
        <v/>
      </c>
      <c r="Y5257" s="12">
        <f>IF(OR(LEFT(K5257,4)="LVAX",LEFT(K5257,6)="MV15AX",LEFT(K5257,4)="CTAX",LEFT(K5257,2)="W|"),2*N5257*O5257,0)</f>
        <v/>
      </c>
      <c r="Z5257" s="12" t="inlineStr">
        <is>
          <t>VD 1.9 %</t>
        </is>
      </c>
      <c r="AA5257" s="12">
        <f>N5257*O5257</f>
        <v/>
      </c>
    </row>
    <row r="5258">
      <c r="A5258" s="12" t="inlineStr">
        <is>
          <t>J-P-0003</t>
        </is>
      </c>
      <c r="B5258" s="12" t="inlineStr">
        <is>
          <t>J</t>
        </is>
      </c>
      <c r="C5258" s="12" t="inlineStr">
        <is>
          <t>GT inlet chilling</t>
        </is>
      </c>
      <c r="D5258" s="12" t="inlineStr">
        <is>
          <t>Motor 3 of 4, 150 kW</t>
        </is>
      </c>
      <c r="E5258" s="12" t="inlineStr"/>
      <c r="F5258" s="12" t="inlineStr">
        <is>
          <t>Inlet-chilling e-house / transformer</t>
        </is>
      </c>
      <c r="G5258" s="12" t="inlineStr"/>
      <c r="H5258" s="12" t="inlineStr">
        <is>
          <t>CHW pumps</t>
        </is>
      </c>
      <c r="I5258" s="12" t="inlineStr">
        <is>
          <t>LV 600 V</t>
        </is>
      </c>
      <c r="J5258" s="12" t="inlineStr">
        <is>
          <t>Type TC-ER 600 V 3/C Cu XHHW-2 + ground, PVC jacket</t>
        </is>
      </c>
      <c r="K5258" s="12" t="inlineStr">
        <is>
          <t>LV|3/C+G|350</t>
        </is>
      </c>
      <c r="L5258" s="12" t="inlineStr">
        <is>
          <t>3/C+G</t>
        </is>
      </c>
      <c r="M5258" s="12" t="inlineStr">
        <is>
          <t>350 kcmil</t>
        </is>
      </c>
      <c r="N5258" s="12" t="n">
        <v>1</v>
      </c>
      <c r="O5258" s="12" t="n">
        <v>1</v>
      </c>
      <c r="P5258" s="12" t="n">
        <v>480</v>
      </c>
      <c r="Q5258" s="12" t="n">
        <v>150</v>
      </c>
      <c r="R5258" s="12" t="n">
        <v>212.3</v>
      </c>
      <c r="S5258" s="12" t="inlineStr">
        <is>
          <t>Duct bank</t>
        </is>
      </c>
      <c r="T5258" s="16" t="n">
        <v>579</v>
      </c>
      <c r="U5258" s="16" t="n">
        <v>32</v>
      </c>
      <c r="V5258" s="16">
        <f>ROUNDUP((T5258+U5258+2*'Read Me'!$B$13)*(1+'Read Me'!$B$12),-1)</f>
        <v/>
      </c>
      <c r="W5258" s="16">
        <f>V5258*N5258*O5258</f>
        <v/>
      </c>
      <c r="X5258" s="12">
        <f>IF(LEFT(I5258,2)="MV",2*N5258*IF(L5258="1/C",O5258,1),0)</f>
        <v/>
      </c>
      <c r="Y5258" s="12">
        <f>IF(OR(LEFT(K5258,4)="LVAX",LEFT(K5258,6)="MV15AX",LEFT(K5258,4)="CTAX",LEFT(K5258,2)="W|"),2*N5258*O5258,0)</f>
        <v/>
      </c>
      <c r="Z5258" s="12" t="inlineStr">
        <is>
          <t>VD 1.9 %</t>
        </is>
      </c>
      <c r="AA5258" s="12">
        <f>N5258*O5258</f>
        <v/>
      </c>
    </row>
    <row r="5259">
      <c r="A5259" s="12" t="inlineStr">
        <is>
          <t>J-P-0004</t>
        </is>
      </c>
      <c r="B5259" s="12" t="inlineStr">
        <is>
          <t>J</t>
        </is>
      </c>
      <c r="C5259" s="12" t="inlineStr">
        <is>
          <t>GT inlet chilling</t>
        </is>
      </c>
      <c r="D5259" s="12" t="inlineStr">
        <is>
          <t>Motor 4 of 4, 150 kW</t>
        </is>
      </c>
      <c r="E5259" s="12" t="inlineStr"/>
      <c r="F5259" s="12" t="inlineStr">
        <is>
          <t>Inlet-chilling e-house / transformer</t>
        </is>
      </c>
      <c r="G5259" s="12" t="inlineStr"/>
      <c r="H5259" s="12" t="inlineStr">
        <is>
          <t>CHW pumps</t>
        </is>
      </c>
      <c r="I5259" s="12" t="inlineStr">
        <is>
          <t>LV 600 V</t>
        </is>
      </c>
      <c r="J5259" s="12" t="inlineStr">
        <is>
          <t>Type TC-ER 600 V 3/C Cu XHHW-2 + ground, PVC jacket</t>
        </is>
      </c>
      <c r="K5259" s="12" t="inlineStr">
        <is>
          <t>LV|3/C+G|350</t>
        </is>
      </c>
      <c r="L5259" s="12" t="inlineStr">
        <is>
          <t>3/C+G</t>
        </is>
      </c>
      <c r="M5259" s="12" t="inlineStr">
        <is>
          <t>350 kcmil</t>
        </is>
      </c>
      <c r="N5259" s="12" t="n">
        <v>1</v>
      </c>
      <c r="O5259" s="12" t="n">
        <v>1</v>
      </c>
      <c r="P5259" s="12" t="n">
        <v>480</v>
      </c>
      <c r="Q5259" s="12" t="n">
        <v>150</v>
      </c>
      <c r="R5259" s="12" t="n">
        <v>212.3</v>
      </c>
      <c r="S5259" s="12" t="inlineStr">
        <is>
          <t>Duct bank</t>
        </is>
      </c>
      <c r="T5259" s="16" t="n">
        <v>579</v>
      </c>
      <c r="U5259" s="16" t="n">
        <v>32</v>
      </c>
      <c r="V5259" s="16">
        <f>ROUNDUP((T5259+U5259+2*'Read Me'!$B$13)*(1+'Read Me'!$B$12),-1)</f>
        <v/>
      </c>
      <c r="W5259" s="16">
        <f>V5259*N5259*O5259</f>
        <v/>
      </c>
      <c r="X5259" s="12">
        <f>IF(LEFT(I5259,2)="MV",2*N5259*IF(L5259="1/C",O5259,1),0)</f>
        <v/>
      </c>
      <c r="Y5259" s="12">
        <f>IF(OR(LEFT(K5259,4)="LVAX",LEFT(K5259,6)="MV15AX",LEFT(K5259,4)="CTAX",LEFT(K5259,2)="W|"),2*N5259*O5259,0)</f>
        <v/>
      </c>
      <c r="Z5259" s="12" t="inlineStr">
        <is>
          <t>VD 1.9 %</t>
        </is>
      </c>
      <c r="AA5259" s="12">
        <f>N5259*O5259</f>
        <v/>
      </c>
    </row>
    <row r="5260">
      <c r="A5260" s="12" t="inlineStr">
        <is>
          <t>J-P-0005</t>
        </is>
      </c>
      <c r="B5260" s="12" t="inlineStr">
        <is>
          <t>J</t>
        </is>
      </c>
      <c r="C5260" s="12" t="inlineStr">
        <is>
          <t>GT inlet chilling</t>
        </is>
      </c>
      <c r="D5260" s="12" t="inlineStr">
        <is>
          <t>LV power feeder</t>
        </is>
      </c>
      <c r="E5260" s="12" t="inlineStr"/>
      <c r="F5260" s="12" t="inlineStr">
        <is>
          <t>Inlet-chilling e-house / transformer</t>
        </is>
      </c>
      <c r="G5260" s="12" t="inlineStr"/>
      <c r="H5260" s="12" t="inlineStr">
        <is>
          <t>CONDITIONAL: TES chilled-water tank</t>
        </is>
      </c>
      <c r="I5260" s="12" t="inlineStr">
        <is>
          <t>LV 600 V</t>
        </is>
      </c>
      <c r="J5260" s="12" t="inlineStr">
        <is>
          <t>Type TC-ER 600 V 3/C Cu XHHW-2 + ground, PVC jacket</t>
        </is>
      </c>
      <c r="K5260" s="12" t="inlineStr">
        <is>
          <t>LV|3/C+G|8</t>
        </is>
      </c>
      <c r="L5260" s="12" t="inlineStr">
        <is>
          <t>3/C+G</t>
        </is>
      </c>
      <c r="M5260" s="12" t="inlineStr">
        <is>
          <t>8</t>
        </is>
      </c>
      <c r="N5260" s="12" t="n">
        <v>1</v>
      </c>
      <c r="O5260" s="12" t="n">
        <v>1</v>
      </c>
      <c r="P5260" s="12" t="n">
        <v>480</v>
      </c>
      <c r="Q5260" s="12" t="n">
        <v>10</v>
      </c>
      <c r="R5260" s="12" t="n">
        <v>14.2</v>
      </c>
      <c r="S5260" s="12" t="inlineStr">
        <is>
          <t>Duct bank</t>
        </is>
      </c>
      <c r="T5260" s="16" t="n">
        <v>271</v>
      </c>
      <c r="U5260" s="16" t="n">
        <v>217</v>
      </c>
      <c r="V5260" s="16">
        <f>ROUNDUP((T5260+U5260+2*'Read Me'!$B$13)*(1+'Read Me'!$B$12),-1)</f>
        <v/>
      </c>
      <c r="W5260" s="16">
        <f>V5260*N5260*O5260</f>
        <v/>
      </c>
      <c r="X5260" s="12">
        <f>IF(LEFT(I5260,2)="MV",2*N5260*IF(L5260="1/C",O5260,1),0)</f>
        <v/>
      </c>
      <c r="Y5260" s="12">
        <f>IF(OR(LEFT(K5260,4)="LVAX",LEFT(K5260,6)="MV15AX",LEFT(K5260,4)="CTAX",LEFT(K5260,2)="W|"),2*N5260*O5260,0)</f>
        <v/>
      </c>
      <c r="Z5260" s="12" t="inlineStr">
        <is>
          <t>VD 2.1 %</t>
        </is>
      </c>
      <c r="AA5260" s="12">
        <f>N5260*O5260</f>
        <v/>
      </c>
    </row>
    <row r="5261">
      <c r="A5261" s="12" t="inlineStr">
        <is>
          <t>J-P-0006</t>
        </is>
      </c>
      <c r="B5261" s="12" t="inlineStr">
        <is>
          <t>J</t>
        </is>
      </c>
      <c r="C5261" s="12" t="inlineStr">
        <is>
          <t>GT inlet chilling</t>
        </is>
      </c>
      <c r="D5261" s="12" t="inlineStr">
        <is>
          <t>Motor 1 of 6, 7 kW</t>
        </is>
      </c>
      <c r="E5261" s="12" t="inlineStr"/>
      <c r="F5261" s="12" t="inlineStr">
        <is>
          <t>Inlet-chilling e-house / transformer</t>
        </is>
      </c>
      <c r="G5261" s="12" t="inlineStr"/>
      <c r="H5261" s="12" t="inlineStr">
        <is>
          <t>Chillers x6 (water-cooled)</t>
        </is>
      </c>
      <c r="I5261" s="12" t="inlineStr">
        <is>
          <t>LV 600 V</t>
        </is>
      </c>
      <c r="J5261" s="12" t="inlineStr">
        <is>
          <t>Type TC-ER 600 V 3/C Cu XHHW-2 + ground, PVC jacket</t>
        </is>
      </c>
      <c r="K5261" s="12" t="inlineStr">
        <is>
          <t>LV|3/C+G|10</t>
        </is>
      </c>
      <c r="L5261" s="12" t="inlineStr">
        <is>
          <t>3/C+G</t>
        </is>
      </c>
      <c r="M5261" s="12" t="inlineStr">
        <is>
          <t>10</t>
        </is>
      </c>
      <c r="N5261" s="12" t="n">
        <v>1</v>
      </c>
      <c r="O5261" s="12" t="n">
        <v>1</v>
      </c>
      <c r="P5261" s="12" t="n">
        <v>480</v>
      </c>
      <c r="Q5261" s="12" t="n">
        <v>7</v>
      </c>
      <c r="R5261" s="12" t="n">
        <v>9.9</v>
      </c>
      <c r="S5261" s="12" t="inlineStr">
        <is>
          <t>Duct bank</t>
        </is>
      </c>
      <c r="T5261" s="16" t="n">
        <v>10</v>
      </c>
      <c r="U5261" s="16" t="n">
        <v>32</v>
      </c>
      <c r="V5261" s="16">
        <f>ROUNDUP((T5261+U5261+2*'Read Me'!$B$13)*(1+'Read Me'!$B$12),-1)</f>
        <v/>
      </c>
      <c r="W5261" s="16">
        <f>V5261*N5261*O5261</f>
        <v/>
      </c>
      <c r="X5261" s="12">
        <f>IF(LEFT(I5261,2)="MV",2*N5261*IF(L5261="1/C",O5261,1),0)</f>
        <v/>
      </c>
      <c r="Y5261" s="12">
        <f>IF(OR(LEFT(K5261,4)="LVAX",LEFT(K5261,6)="MV15AX",LEFT(K5261,4)="CTAX",LEFT(K5261,2)="W|"),2*N5261*O5261,0)</f>
        <v/>
      </c>
      <c r="Z5261" s="12" t="inlineStr">
        <is>
          <t>VD 0.2 %</t>
        </is>
      </c>
      <c r="AA5261" s="12">
        <f>N5261*O5261</f>
        <v/>
      </c>
    </row>
    <row r="5262">
      <c r="A5262" s="12" t="inlineStr">
        <is>
          <t>J-P-0007</t>
        </is>
      </c>
      <c r="B5262" s="12" t="inlineStr">
        <is>
          <t>J</t>
        </is>
      </c>
      <c r="C5262" s="12" t="inlineStr">
        <is>
          <t>GT inlet chilling</t>
        </is>
      </c>
      <c r="D5262" s="12" t="inlineStr">
        <is>
          <t>Motor 2 of 6, 7 kW</t>
        </is>
      </c>
      <c r="E5262" s="12" t="inlineStr"/>
      <c r="F5262" s="12" t="inlineStr">
        <is>
          <t>Inlet-chilling e-house / transformer</t>
        </is>
      </c>
      <c r="G5262" s="12" t="inlineStr"/>
      <c r="H5262" s="12" t="inlineStr">
        <is>
          <t>Chillers x6 (water-cooled)</t>
        </is>
      </c>
      <c r="I5262" s="12" t="inlineStr">
        <is>
          <t>LV 600 V</t>
        </is>
      </c>
      <c r="J5262" s="12" t="inlineStr">
        <is>
          <t>Type TC-ER 600 V 3/C Cu XHHW-2 + ground, PVC jacket</t>
        </is>
      </c>
      <c r="K5262" s="12" t="inlineStr">
        <is>
          <t>LV|3/C+G|10</t>
        </is>
      </c>
      <c r="L5262" s="12" t="inlineStr">
        <is>
          <t>3/C+G</t>
        </is>
      </c>
      <c r="M5262" s="12" t="inlineStr">
        <is>
          <t>10</t>
        </is>
      </c>
      <c r="N5262" s="12" t="n">
        <v>1</v>
      </c>
      <c r="O5262" s="12" t="n">
        <v>1</v>
      </c>
      <c r="P5262" s="12" t="n">
        <v>480</v>
      </c>
      <c r="Q5262" s="12" t="n">
        <v>7</v>
      </c>
      <c r="R5262" s="12" t="n">
        <v>9.9</v>
      </c>
      <c r="S5262" s="12" t="inlineStr">
        <is>
          <t>Duct bank</t>
        </is>
      </c>
      <c r="T5262" s="16" t="n">
        <v>10</v>
      </c>
      <c r="U5262" s="16" t="n">
        <v>32</v>
      </c>
      <c r="V5262" s="16">
        <f>ROUNDUP((T5262+U5262+2*'Read Me'!$B$13)*(1+'Read Me'!$B$12),-1)</f>
        <v/>
      </c>
      <c r="W5262" s="16">
        <f>V5262*N5262*O5262</f>
        <v/>
      </c>
      <c r="X5262" s="12">
        <f>IF(LEFT(I5262,2)="MV",2*N5262*IF(L5262="1/C",O5262,1),0)</f>
        <v/>
      </c>
      <c r="Y5262" s="12">
        <f>IF(OR(LEFT(K5262,4)="LVAX",LEFT(K5262,6)="MV15AX",LEFT(K5262,4)="CTAX",LEFT(K5262,2)="W|"),2*N5262*O5262,0)</f>
        <v/>
      </c>
      <c r="Z5262" s="12" t="inlineStr">
        <is>
          <t>VD 0.2 %</t>
        </is>
      </c>
      <c r="AA5262" s="12">
        <f>N5262*O5262</f>
        <v/>
      </c>
    </row>
    <row r="5263">
      <c r="A5263" s="12" t="inlineStr">
        <is>
          <t>J-P-0008</t>
        </is>
      </c>
      <c r="B5263" s="12" t="inlineStr">
        <is>
          <t>J</t>
        </is>
      </c>
      <c r="C5263" s="12" t="inlineStr">
        <is>
          <t>GT inlet chilling</t>
        </is>
      </c>
      <c r="D5263" s="12" t="inlineStr">
        <is>
          <t>Motor 3 of 6, 7 kW</t>
        </is>
      </c>
      <c r="E5263" s="12" t="inlineStr"/>
      <c r="F5263" s="12" t="inlineStr">
        <is>
          <t>Inlet-chilling e-house / transformer</t>
        </is>
      </c>
      <c r="G5263" s="12" t="inlineStr"/>
      <c r="H5263" s="12" t="inlineStr">
        <is>
          <t>Chillers x6 (water-cooled)</t>
        </is>
      </c>
      <c r="I5263" s="12" t="inlineStr">
        <is>
          <t>LV 600 V</t>
        </is>
      </c>
      <c r="J5263" s="12" t="inlineStr">
        <is>
          <t>Type TC-ER 600 V 3/C Cu XHHW-2 + ground, PVC jacket</t>
        </is>
      </c>
      <c r="K5263" s="12" t="inlineStr">
        <is>
          <t>LV|3/C+G|10</t>
        </is>
      </c>
      <c r="L5263" s="12" t="inlineStr">
        <is>
          <t>3/C+G</t>
        </is>
      </c>
      <c r="M5263" s="12" t="inlineStr">
        <is>
          <t>10</t>
        </is>
      </c>
      <c r="N5263" s="12" t="n">
        <v>1</v>
      </c>
      <c r="O5263" s="12" t="n">
        <v>1</v>
      </c>
      <c r="P5263" s="12" t="n">
        <v>480</v>
      </c>
      <c r="Q5263" s="12" t="n">
        <v>7</v>
      </c>
      <c r="R5263" s="12" t="n">
        <v>9.9</v>
      </c>
      <c r="S5263" s="12" t="inlineStr">
        <is>
          <t>Duct bank</t>
        </is>
      </c>
      <c r="T5263" s="16" t="n">
        <v>10</v>
      </c>
      <c r="U5263" s="16" t="n">
        <v>32</v>
      </c>
      <c r="V5263" s="16">
        <f>ROUNDUP((T5263+U5263+2*'Read Me'!$B$13)*(1+'Read Me'!$B$12),-1)</f>
        <v/>
      </c>
      <c r="W5263" s="16">
        <f>V5263*N5263*O5263</f>
        <v/>
      </c>
      <c r="X5263" s="12">
        <f>IF(LEFT(I5263,2)="MV",2*N5263*IF(L5263="1/C",O5263,1),0)</f>
        <v/>
      </c>
      <c r="Y5263" s="12">
        <f>IF(OR(LEFT(K5263,4)="LVAX",LEFT(K5263,6)="MV15AX",LEFT(K5263,4)="CTAX",LEFT(K5263,2)="W|"),2*N5263*O5263,0)</f>
        <v/>
      </c>
      <c r="Z5263" s="12" t="inlineStr">
        <is>
          <t>VD 0.2 %</t>
        </is>
      </c>
      <c r="AA5263" s="12">
        <f>N5263*O5263</f>
        <v/>
      </c>
    </row>
    <row r="5264">
      <c r="A5264" s="12" t="inlineStr">
        <is>
          <t>J-P-0009</t>
        </is>
      </c>
      <c r="B5264" s="12" t="inlineStr">
        <is>
          <t>J</t>
        </is>
      </c>
      <c r="C5264" s="12" t="inlineStr">
        <is>
          <t>GT inlet chilling</t>
        </is>
      </c>
      <c r="D5264" s="12" t="inlineStr">
        <is>
          <t>Motor 4 of 6, 7 kW</t>
        </is>
      </c>
      <c r="E5264" s="12" t="inlineStr"/>
      <c r="F5264" s="12" t="inlineStr">
        <is>
          <t>Inlet-chilling e-house / transformer</t>
        </is>
      </c>
      <c r="G5264" s="12" t="inlineStr"/>
      <c r="H5264" s="12" t="inlineStr">
        <is>
          <t>Chillers x6 (water-cooled)</t>
        </is>
      </c>
      <c r="I5264" s="12" t="inlineStr">
        <is>
          <t>LV 600 V</t>
        </is>
      </c>
      <c r="J5264" s="12" t="inlineStr">
        <is>
          <t>Type TC-ER 600 V 3/C Cu XHHW-2 + ground, PVC jacket</t>
        </is>
      </c>
      <c r="K5264" s="12" t="inlineStr">
        <is>
          <t>LV|3/C+G|10</t>
        </is>
      </c>
      <c r="L5264" s="12" t="inlineStr">
        <is>
          <t>3/C+G</t>
        </is>
      </c>
      <c r="M5264" s="12" t="inlineStr">
        <is>
          <t>10</t>
        </is>
      </c>
      <c r="N5264" s="12" t="n">
        <v>1</v>
      </c>
      <c r="O5264" s="12" t="n">
        <v>1</v>
      </c>
      <c r="P5264" s="12" t="n">
        <v>480</v>
      </c>
      <c r="Q5264" s="12" t="n">
        <v>7</v>
      </c>
      <c r="R5264" s="12" t="n">
        <v>9.9</v>
      </c>
      <c r="S5264" s="12" t="inlineStr">
        <is>
          <t>Duct bank</t>
        </is>
      </c>
      <c r="T5264" s="16" t="n">
        <v>10</v>
      </c>
      <c r="U5264" s="16" t="n">
        <v>32</v>
      </c>
      <c r="V5264" s="16">
        <f>ROUNDUP((T5264+U5264+2*'Read Me'!$B$13)*(1+'Read Me'!$B$12),-1)</f>
        <v/>
      </c>
      <c r="W5264" s="16">
        <f>V5264*N5264*O5264</f>
        <v/>
      </c>
      <c r="X5264" s="12">
        <f>IF(LEFT(I5264,2)="MV",2*N5264*IF(L5264="1/C",O5264,1),0)</f>
        <v/>
      </c>
      <c r="Y5264" s="12">
        <f>IF(OR(LEFT(K5264,4)="LVAX",LEFT(K5264,6)="MV15AX",LEFT(K5264,4)="CTAX",LEFT(K5264,2)="W|"),2*N5264*O5264,0)</f>
        <v/>
      </c>
      <c r="Z5264" s="12" t="inlineStr">
        <is>
          <t>VD 0.2 %</t>
        </is>
      </c>
      <c r="AA5264" s="12">
        <f>N5264*O5264</f>
        <v/>
      </c>
    </row>
    <row r="5265">
      <c r="A5265" s="12" t="inlineStr">
        <is>
          <t>J-P-0010</t>
        </is>
      </c>
      <c r="B5265" s="12" t="inlineStr">
        <is>
          <t>J</t>
        </is>
      </c>
      <c r="C5265" s="12" t="inlineStr">
        <is>
          <t>GT inlet chilling</t>
        </is>
      </c>
      <c r="D5265" s="12" t="inlineStr">
        <is>
          <t>Motor 5 of 6, 7 kW</t>
        </is>
      </c>
      <c r="E5265" s="12" t="inlineStr"/>
      <c r="F5265" s="12" t="inlineStr">
        <is>
          <t>Inlet-chilling e-house / transformer</t>
        </is>
      </c>
      <c r="G5265" s="12" t="inlineStr"/>
      <c r="H5265" s="12" t="inlineStr">
        <is>
          <t>Chillers x6 (water-cooled)</t>
        </is>
      </c>
      <c r="I5265" s="12" t="inlineStr">
        <is>
          <t>LV 600 V</t>
        </is>
      </c>
      <c r="J5265" s="12" t="inlineStr">
        <is>
          <t>Type TC-ER 600 V 3/C Cu XHHW-2 + ground, PVC jacket</t>
        </is>
      </c>
      <c r="K5265" s="12" t="inlineStr">
        <is>
          <t>LV|3/C+G|10</t>
        </is>
      </c>
      <c r="L5265" s="12" t="inlineStr">
        <is>
          <t>3/C+G</t>
        </is>
      </c>
      <c r="M5265" s="12" t="inlineStr">
        <is>
          <t>10</t>
        </is>
      </c>
      <c r="N5265" s="12" t="n">
        <v>1</v>
      </c>
      <c r="O5265" s="12" t="n">
        <v>1</v>
      </c>
      <c r="P5265" s="12" t="n">
        <v>480</v>
      </c>
      <c r="Q5265" s="12" t="n">
        <v>7</v>
      </c>
      <c r="R5265" s="12" t="n">
        <v>9.9</v>
      </c>
      <c r="S5265" s="12" t="inlineStr">
        <is>
          <t>Duct bank</t>
        </is>
      </c>
      <c r="T5265" s="16" t="n">
        <v>10</v>
      </c>
      <c r="U5265" s="16" t="n">
        <v>32</v>
      </c>
      <c r="V5265" s="16">
        <f>ROUNDUP((T5265+U5265+2*'Read Me'!$B$13)*(1+'Read Me'!$B$12),-1)</f>
        <v/>
      </c>
      <c r="W5265" s="16">
        <f>V5265*N5265*O5265</f>
        <v/>
      </c>
      <c r="X5265" s="12">
        <f>IF(LEFT(I5265,2)="MV",2*N5265*IF(L5265="1/C",O5265,1),0)</f>
        <v/>
      </c>
      <c r="Y5265" s="12">
        <f>IF(OR(LEFT(K5265,4)="LVAX",LEFT(K5265,6)="MV15AX",LEFT(K5265,4)="CTAX",LEFT(K5265,2)="W|"),2*N5265*O5265,0)</f>
        <v/>
      </c>
      <c r="Z5265" s="12" t="inlineStr">
        <is>
          <t>VD 0.2 %</t>
        </is>
      </c>
      <c r="AA5265" s="12">
        <f>N5265*O5265</f>
        <v/>
      </c>
    </row>
    <row r="5266">
      <c r="A5266" s="12" t="inlineStr">
        <is>
          <t>J-P-0011</t>
        </is>
      </c>
      <c r="B5266" s="12" t="inlineStr">
        <is>
          <t>J</t>
        </is>
      </c>
      <c r="C5266" s="12" t="inlineStr">
        <is>
          <t>GT inlet chilling</t>
        </is>
      </c>
      <c r="D5266" s="12" t="inlineStr">
        <is>
          <t>Motor 6 of 6, 7 kW</t>
        </is>
      </c>
      <c r="E5266" s="12" t="inlineStr"/>
      <c r="F5266" s="12" t="inlineStr">
        <is>
          <t>Inlet-chilling e-house / transformer</t>
        </is>
      </c>
      <c r="G5266" s="12" t="inlineStr"/>
      <c r="H5266" s="12" t="inlineStr">
        <is>
          <t>Chillers x6 (water-cooled)</t>
        </is>
      </c>
      <c r="I5266" s="12" t="inlineStr">
        <is>
          <t>LV 600 V</t>
        </is>
      </c>
      <c r="J5266" s="12" t="inlineStr">
        <is>
          <t>Type TC-ER 600 V 3/C Cu XHHW-2 + ground, PVC jacket</t>
        </is>
      </c>
      <c r="K5266" s="12" t="inlineStr">
        <is>
          <t>LV|3/C+G|10</t>
        </is>
      </c>
      <c r="L5266" s="12" t="inlineStr">
        <is>
          <t>3/C+G</t>
        </is>
      </c>
      <c r="M5266" s="12" t="inlineStr">
        <is>
          <t>10</t>
        </is>
      </c>
      <c r="N5266" s="12" t="n">
        <v>1</v>
      </c>
      <c r="O5266" s="12" t="n">
        <v>1</v>
      </c>
      <c r="P5266" s="12" t="n">
        <v>480</v>
      </c>
      <c r="Q5266" s="12" t="n">
        <v>7</v>
      </c>
      <c r="R5266" s="12" t="n">
        <v>9.9</v>
      </c>
      <c r="S5266" s="12" t="inlineStr">
        <is>
          <t>Duct bank</t>
        </is>
      </c>
      <c r="T5266" s="16" t="n">
        <v>10</v>
      </c>
      <c r="U5266" s="16" t="n">
        <v>32</v>
      </c>
      <c r="V5266" s="16">
        <f>ROUNDUP((T5266+U5266+2*'Read Me'!$B$13)*(1+'Read Me'!$B$12),-1)</f>
        <v/>
      </c>
      <c r="W5266" s="16">
        <f>V5266*N5266*O5266</f>
        <v/>
      </c>
      <c r="X5266" s="12">
        <f>IF(LEFT(I5266,2)="MV",2*N5266*IF(L5266="1/C",O5266,1),0)</f>
        <v/>
      </c>
      <c r="Y5266" s="12">
        <f>IF(OR(LEFT(K5266,4)="LVAX",LEFT(K5266,6)="MV15AX",LEFT(K5266,4)="CTAX",LEFT(K5266,2)="W|"),2*N5266*O5266,0)</f>
        <v/>
      </c>
      <c r="Z5266" s="12" t="inlineStr">
        <is>
          <t>VD 0.2 %</t>
        </is>
      </c>
      <c r="AA5266" s="12">
        <f>N5266*O5266</f>
        <v/>
      </c>
    </row>
    <row r="5267">
      <c r="A5267" s="12" t="inlineStr">
        <is>
          <t>J-P-0012</t>
        </is>
      </c>
      <c r="B5267" s="12" t="inlineStr">
        <is>
          <t>J</t>
        </is>
      </c>
      <c r="C5267" s="12" t="inlineStr">
        <is>
          <t>GT inlet chilling</t>
        </is>
      </c>
      <c r="D5267" s="12" t="inlineStr">
        <is>
          <t>Motor 1 of 12, 75 kW (VFD output)</t>
        </is>
      </c>
      <c r="E5267" s="12" t="inlineStr"/>
      <c r="F5267" s="12" t="inlineStr">
        <is>
          <t>Inlet-chilling e-house / transformer</t>
        </is>
      </c>
      <c r="G5267" s="12" t="inlineStr"/>
      <c r="H5267" s="12" t="inlineStr">
        <is>
          <t>Inlet-chilling tower (12 cells): chiller heat rejection</t>
        </is>
      </c>
      <c r="I5267" s="12" t="inlineStr">
        <is>
          <t>LV 600 V</t>
        </is>
      </c>
      <c r="J5267" s="12" t="inlineStr">
        <is>
          <t>VFD cable 600 V 3/C Cu XHHW-2, 3 symmetrical grounds, overall Cu tape shield, TC-ER</t>
        </is>
      </c>
      <c r="K5267" s="12" t="inlineStr">
        <is>
          <t>VFD|3/C+3G|2/0</t>
        </is>
      </c>
      <c r="L5267" s="12" t="inlineStr">
        <is>
          <t>3/C+3G</t>
        </is>
      </c>
      <c r="M5267" s="12" t="inlineStr">
        <is>
          <t>2/0</t>
        </is>
      </c>
      <c r="N5267" s="12" t="n">
        <v>1</v>
      </c>
      <c r="O5267" s="12" t="n">
        <v>1</v>
      </c>
      <c r="P5267" s="12" t="n">
        <v>480</v>
      </c>
      <c r="Q5267" s="12" t="n">
        <v>75</v>
      </c>
      <c r="R5267" s="12" t="n">
        <v>106</v>
      </c>
      <c r="S5267" s="12" t="inlineStr">
        <is>
          <t>Duct bank</t>
        </is>
      </c>
      <c r="T5267" s="16" t="n">
        <v>683</v>
      </c>
      <c r="U5267" s="16" t="n">
        <v>38</v>
      </c>
      <c r="V5267" s="16">
        <f>ROUNDUP((T5267+U5267+2*'Read Me'!$B$13)*(1+'Read Me'!$B$12),-1)</f>
        <v/>
      </c>
      <c r="W5267" s="16">
        <f>V5267*N5267*O5267</f>
        <v/>
      </c>
      <c r="X5267" s="12">
        <f>IF(LEFT(I5267,2)="MV",2*N5267*IF(L5267="1/C",O5267,1),0)</f>
        <v/>
      </c>
      <c r="Y5267" s="12">
        <f>IF(OR(LEFT(K5267,4)="LVAX",LEFT(K5267,6)="MV15AX",LEFT(K5267,4)="CTAX",LEFT(K5267,2)="W|"),2*N5267*O5267,0)</f>
        <v/>
      </c>
      <c r="Z5267" s="12" t="inlineStr">
        <is>
          <t>VD 2.9 %</t>
        </is>
      </c>
      <c r="AA5267" s="12">
        <f>N5267*O5267</f>
        <v/>
      </c>
    </row>
    <row r="5268">
      <c r="A5268" s="12" t="inlineStr">
        <is>
          <t>J-P-0013</t>
        </is>
      </c>
      <c r="B5268" s="12" t="inlineStr">
        <is>
          <t>J</t>
        </is>
      </c>
      <c r="C5268" s="12" t="inlineStr">
        <is>
          <t>GT inlet chilling</t>
        </is>
      </c>
      <c r="D5268" s="12" t="inlineStr">
        <is>
          <t>Motor 2 of 12, 75 kW (VFD output)</t>
        </is>
      </c>
      <c r="E5268" s="12" t="inlineStr"/>
      <c r="F5268" s="12" t="inlineStr">
        <is>
          <t>Inlet-chilling e-house / transformer</t>
        </is>
      </c>
      <c r="G5268" s="12" t="inlineStr"/>
      <c r="H5268" s="12" t="inlineStr">
        <is>
          <t>Inlet-chilling tower (12 cells): chiller heat rejection</t>
        </is>
      </c>
      <c r="I5268" s="12" t="inlineStr">
        <is>
          <t>LV 600 V</t>
        </is>
      </c>
      <c r="J5268" s="12" t="inlineStr">
        <is>
          <t>VFD cable 600 V 3/C Cu XHHW-2, 3 symmetrical grounds, overall Cu tape shield, TC-ER</t>
        </is>
      </c>
      <c r="K5268" s="12" t="inlineStr">
        <is>
          <t>VFD|3/C+3G|2/0</t>
        </is>
      </c>
      <c r="L5268" s="12" t="inlineStr">
        <is>
          <t>3/C+3G</t>
        </is>
      </c>
      <c r="M5268" s="12" t="inlineStr">
        <is>
          <t>2/0</t>
        </is>
      </c>
      <c r="N5268" s="12" t="n">
        <v>1</v>
      </c>
      <c r="O5268" s="12" t="n">
        <v>1</v>
      </c>
      <c r="P5268" s="12" t="n">
        <v>480</v>
      </c>
      <c r="Q5268" s="12" t="n">
        <v>75</v>
      </c>
      <c r="R5268" s="12" t="n">
        <v>106</v>
      </c>
      <c r="S5268" s="12" t="inlineStr">
        <is>
          <t>Duct bank</t>
        </is>
      </c>
      <c r="T5268" s="16" t="n">
        <v>683</v>
      </c>
      <c r="U5268" s="16" t="n">
        <v>38</v>
      </c>
      <c r="V5268" s="16">
        <f>ROUNDUP((T5268+U5268+2*'Read Me'!$B$13)*(1+'Read Me'!$B$12),-1)</f>
        <v/>
      </c>
      <c r="W5268" s="16">
        <f>V5268*N5268*O5268</f>
        <v/>
      </c>
      <c r="X5268" s="12">
        <f>IF(LEFT(I5268,2)="MV",2*N5268*IF(L5268="1/C",O5268,1),0)</f>
        <v/>
      </c>
      <c r="Y5268" s="12">
        <f>IF(OR(LEFT(K5268,4)="LVAX",LEFT(K5268,6)="MV15AX",LEFT(K5268,4)="CTAX",LEFT(K5268,2)="W|"),2*N5268*O5268,0)</f>
        <v/>
      </c>
      <c r="Z5268" s="12" t="inlineStr">
        <is>
          <t>VD 2.9 %</t>
        </is>
      </c>
      <c r="AA5268" s="12">
        <f>N5268*O5268</f>
        <v/>
      </c>
    </row>
    <row r="5269">
      <c r="A5269" s="12" t="inlineStr">
        <is>
          <t>J-P-0014</t>
        </is>
      </c>
      <c r="B5269" s="12" t="inlineStr">
        <is>
          <t>J</t>
        </is>
      </c>
      <c r="C5269" s="12" t="inlineStr">
        <is>
          <t>GT inlet chilling</t>
        </is>
      </c>
      <c r="D5269" s="12" t="inlineStr">
        <is>
          <t>Motor 3 of 12, 75 kW (VFD output)</t>
        </is>
      </c>
      <c r="E5269" s="12" t="inlineStr"/>
      <c r="F5269" s="12" t="inlineStr">
        <is>
          <t>Inlet-chilling e-house / transformer</t>
        </is>
      </c>
      <c r="G5269" s="12" t="inlineStr"/>
      <c r="H5269" s="12" t="inlineStr">
        <is>
          <t>Inlet-chilling tower (12 cells): chiller heat rejection</t>
        </is>
      </c>
      <c r="I5269" s="12" t="inlineStr">
        <is>
          <t>LV 600 V</t>
        </is>
      </c>
      <c r="J5269" s="12" t="inlineStr">
        <is>
          <t>VFD cable 600 V 3/C Cu XHHW-2, 3 symmetrical grounds, overall Cu tape shield, TC-ER</t>
        </is>
      </c>
      <c r="K5269" s="12" t="inlineStr">
        <is>
          <t>VFD|3/C+3G|2/0</t>
        </is>
      </c>
      <c r="L5269" s="12" t="inlineStr">
        <is>
          <t>3/C+3G</t>
        </is>
      </c>
      <c r="M5269" s="12" t="inlineStr">
        <is>
          <t>2/0</t>
        </is>
      </c>
      <c r="N5269" s="12" t="n">
        <v>1</v>
      </c>
      <c r="O5269" s="12" t="n">
        <v>1</v>
      </c>
      <c r="P5269" s="12" t="n">
        <v>480</v>
      </c>
      <c r="Q5269" s="12" t="n">
        <v>75</v>
      </c>
      <c r="R5269" s="12" t="n">
        <v>106</v>
      </c>
      <c r="S5269" s="12" t="inlineStr">
        <is>
          <t>Duct bank</t>
        </is>
      </c>
      <c r="T5269" s="16" t="n">
        <v>683</v>
      </c>
      <c r="U5269" s="16" t="n">
        <v>38</v>
      </c>
      <c r="V5269" s="16">
        <f>ROUNDUP((T5269+U5269+2*'Read Me'!$B$13)*(1+'Read Me'!$B$12),-1)</f>
        <v/>
      </c>
      <c r="W5269" s="16">
        <f>V5269*N5269*O5269</f>
        <v/>
      </c>
      <c r="X5269" s="12">
        <f>IF(LEFT(I5269,2)="MV",2*N5269*IF(L5269="1/C",O5269,1),0)</f>
        <v/>
      </c>
      <c r="Y5269" s="12">
        <f>IF(OR(LEFT(K5269,4)="LVAX",LEFT(K5269,6)="MV15AX",LEFT(K5269,4)="CTAX",LEFT(K5269,2)="W|"),2*N5269*O5269,0)</f>
        <v/>
      </c>
      <c r="Z5269" s="12" t="inlineStr">
        <is>
          <t>VD 2.9 %</t>
        </is>
      </c>
      <c r="AA5269" s="12">
        <f>N5269*O5269</f>
        <v/>
      </c>
    </row>
    <row r="5270">
      <c r="A5270" s="12" t="inlineStr">
        <is>
          <t>J-P-0015</t>
        </is>
      </c>
      <c r="B5270" s="12" t="inlineStr">
        <is>
          <t>J</t>
        </is>
      </c>
      <c r="C5270" s="12" t="inlineStr">
        <is>
          <t>GT inlet chilling</t>
        </is>
      </c>
      <c r="D5270" s="12" t="inlineStr">
        <is>
          <t>Motor 4 of 12, 75 kW (VFD output)</t>
        </is>
      </c>
      <c r="E5270" s="12" t="inlineStr"/>
      <c r="F5270" s="12" t="inlineStr">
        <is>
          <t>Inlet-chilling e-house / transformer</t>
        </is>
      </c>
      <c r="G5270" s="12" t="inlineStr"/>
      <c r="H5270" s="12" t="inlineStr">
        <is>
          <t>Inlet-chilling tower (12 cells): chiller heat rejection</t>
        </is>
      </c>
      <c r="I5270" s="12" t="inlineStr">
        <is>
          <t>LV 600 V</t>
        </is>
      </c>
      <c r="J5270" s="12" t="inlineStr">
        <is>
          <t>VFD cable 600 V 3/C Cu XHHW-2, 3 symmetrical grounds, overall Cu tape shield, TC-ER</t>
        </is>
      </c>
      <c r="K5270" s="12" t="inlineStr">
        <is>
          <t>VFD|3/C+3G|2/0</t>
        </is>
      </c>
      <c r="L5270" s="12" t="inlineStr">
        <is>
          <t>3/C+3G</t>
        </is>
      </c>
      <c r="M5270" s="12" t="inlineStr">
        <is>
          <t>2/0</t>
        </is>
      </c>
      <c r="N5270" s="12" t="n">
        <v>1</v>
      </c>
      <c r="O5270" s="12" t="n">
        <v>1</v>
      </c>
      <c r="P5270" s="12" t="n">
        <v>480</v>
      </c>
      <c r="Q5270" s="12" t="n">
        <v>75</v>
      </c>
      <c r="R5270" s="12" t="n">
        <v>106</v>
      </c>
      <c r="S5270" s="12" t="inlineStr">
        <is>
          <t>Duct bank</t>
        </is>
      </c>
      <c r="T5270" s="16" t="n">
        <v>683</v>
      </c>
      <c r="U5270" s="16" t="n">
        <v>38</v>
      </c>
      <c r="V5270" s="16">
        <f>ROUNDUP((T5270+U5270+2*'Read Me'!$B$13)*(1+'Read Me'!$B$12),-1)</f>
        <v/>
      </c>
      <c r="W5270" s="16">
        <f>V5270*N5270*O5270</f>
        <v/>
      </c>
      <c r="X5270" s="12">
        <f>IF(LEFT(I5270,2)="MV",2*N5270*IF(L5270="1/C",O5270,1),0)</f>
        <v/>
      </c>
      <c r="Y5270" s="12">
        <f>IF(OR(LEFT(K5270,4)="LVAX",LEFT(K5270,6)="MV15AX",LEFT(K5270,4)="CTAX",LEFT(K5270,2)="W|"),2*N5270*O5270,0)</f>
        <v/>
      </c>
      <c r="Z5270" s="12" t="inlineStr">
        <is>
          <t>VD 2.9 %</t>
        </is>
      </c>
      <c r="AA5270" s="12">
        <f>N5270*O5270</f>
        <v/>
      </c>
    </row>
    <row r="5271">
      <c r="A5271" s="12" t="inlineStr">
        <is>
          <t>J-P-0016</t>
        </is>
      </c>
      <c r="B5271" s="12" t="inlineStr">
        <is>
          <t>J</t>
        </is>
      </c>
      <c r="C5271" s="12" t="inlineStr">
        <is>
          <t>GT inlet chilling</t>
        </is>
      </c>
      <c r="D5271" s="12" t="inlineStr">
        <is>
          <t>Motor 5 of 12, 75 kW (VFD output)</t>
        </is>
      </c>
      <c r="E5271" s="12" t="inlineStr"/>
      <c r="F5271" s="12" t="inlineStr">
        <is>
          <t>Inlet-chilling e-house / transformer</t>
        </is>
      </c>
      <c r="G5271" s="12" t="inlineStr"/>
      <c r="H5271" s="12" t="inlineStr">
        <is>
          <t>Inlet-chilling tower (12 cells): chiller heat rejection</t>
        </is>
      </c>
      <c r="I5271" s="12" t="inlineStr">
        <is>
          <t>LV 600 V</t>
        </is>
      </c>
      <c r="J5271" s="12" t="inlineStr">
        <is>
          <t>VFD cable 600 V 3/C Cu XHHW-2, 3 symmetrical grounds, overall Cu tape shield, TC-ER</t>
        </is>
      </c>
      <c r="K5271" s="12" t="inlineStr">
        <is>
          <t>VFD|3/C+3G|2/0</t>
        </is>
      </c>
      <c r="L5271" s="12" t="inlineStr">
        <is>
          <t>3/C+3G</t>
        </is>
      </c>
      <c r="M5271" s="12" t="inlineStr">
        <is>
          <t>2/0</t>
        </is>
      </c>
      <c r="N5271" s="12" t="n">
        <v>1</v>
      </c>
      <c r="O5271" s="12" t="n">
        <v>1</v>
      </c>
      <c r="P5271" s="12" t="n">
        <v>480</v>
      </c>
      <c r="Q5271" s="12" t="n">
        <v>75</v>
      </c>
      <c r="R5271" s="12" t="n">
        <v>106</v>
      </c>
      <c r="S5271" s="12" t="inlineStr">
        <is>
          <t>Duct bank</t>
        </is>
      </c>
      <c r="T5271" s="16" t="n">
        <v>683</v>
      </c>
      <c r="U5271" s="16" t="n">
        <v>38</v>
      </c>
      <c r="V5271" s="16">
        <f>ROUNDUP((T5271+U5271+2*'Read Me'!$B$13)*(1+'Read Me'!$B$12),-1)</f>
        <v/>
      </c>
      <c r="W5271" s="16">
        <f>V5271*N5271*O5271</f>
        <v/>
      </c>
      <c r="X5271" s="12">
        <f>IF(LEFT(I5271,2)="MV",2*N5271*IF(L5271="1/C",O5271,1),0)</f>
        <v/>
      </c>
      <c r="Y5271" s="12">
        <f>IF(OR(LEFT(K5271,4)="LVAX",LEFT(K5271,6)="MV15AX",LEFT(K5271,4)="CTAX",LEFT(K5271,2)="W|"),2*N5271*O5271,0)</f>
        <v/>
      </c>
      <c r="Z5271" s="12" t="inlineStr">
        <is>
          <t>VD 2.9 %</t>
        </is>
      </c>
      <c r="AA5271" s="12">
        <f>N5271*O5271</f>
        <v/>
      </c>
    </row>
    <row r="5272">
      <c r="A5272" s="12" t="inlineStr">
        <is>
          <t>J-P-0017</t>
        </is>
      </c>
      <c r="B5272" s="12" t="inlineStr">
        <is>
          <t>J</t>
        </is>
      </c>
      <c r="C5272" s="12" t="inlineStr">
        <is>
          <t>GT inlet chilling</t>
        </is>
      </c>
      <c r="D5272" s="12" t="inlineStr">
        <is>
          <t>Motor 6 of 12, 75 kW (VFD output)</t>
        </is>
      </c>
      <c r="E5272" s="12" t="inlineStr"/>
      <c r="F5272" s="12" t="inlineStr">
        <is>
          <t>Inlet-chilling e-house / transformer</t>
        </is>
      </c>
      <c r="G5272" s="12" t="inlineStr"/>
      <c r="H5272" s="12" t="inlineStr">
        <is>
          <t>Inlet-chilling tower (12 cells): chiller heat rejection</t>
        </is>
      </c>
      <c r="I5272" s="12" t="inlineStr">
        <is>
          <t>LV 600 V</t>
        </is>
      </c>
      <c r="J5272" s="12" t="inlineStr">
        <is>
          <t>VFD cable 600 V 3/C Cu XHHW-2, 3 symmetrical grounds, overall Cu tape shield, TC-ER</t>
        </is>
      </c>
      <c r="K5272" s="12" t="inlineStr">
        <is>
          <t>VFD|3/C+3G|2/0</t>
        </is>
      </c>
      <c r="L5272" s="12" t="inlineStr">
        <is>
          <t>3/C+3G</t>
        </is>
      </c>
      <c r="M5272" s="12" t="inlineStr">
        <is>
          <t>2/0</t>
        </is>
      </c>
      <c r="N5272" s="12" t="n">
        <v>1</v>
      </c>
      <c r="O5272" s="12" t="n">
        <v>1</v>
      </c>
      <c r="P5272" s="12" t="n">
        <v>480</v>
      </c>
      <c r="Q5272" s="12" t="n">
        <v>75</v>
      </c>
      <c r="R5272" s="12" t="n">
        <v>106</v>
      </c>
      <c r="S5272" s="12" t="inlineStr">
        <is>
          <t>Duct bank</t>
        </is>
      </c>
      <c r="T5272" s="16" t="n">
        <v>683</v>
      </c>
      <c r="U5272" s="16" t="n">
        <v>38</v>
      </c>
      <c r="V5272" s="16">
        <f>ROUNDUP((T5272+U5272+2*'Read Me'!$B$13)*(1+'Read Me'!$B$12),-1)</f>
        <v/>
      </c>
      <c r="W5272" s="16">
        <f>V5272*N5272*O5272</f>
        <v/>
      </c>
      <c r="X5272" s="12">
        <f>IF(LEFT(I5272,2)="MV",2*N5272*IF(L5272="1/C",O5272,1),0)</f>
        <v/>
      </c>
      <c r="Y5272" s="12">
        <f>IF(OR(LEFT(K5272,4)="LVAX",LEFT(K5272,6)="MV15AX",LEFT(K5272,4)="CTAX",LEFT(K5272,2)="W|"),2*N5272*O5272,0)</f>
        <v/>
      </c>
      <c r="Z5272" s="12" t="inlineStr">
        <is>
          <t>VD 2.9 %</t>
        </is>
      </c>
      <c r="AA5272" s="12">
        <f>N5272*O5272</f>
        <v/>
      </c>
    </row>
    <row r="5273">
      <c r="A5273" s="12" t="inlineStr">
        <is>
          <t>J-P-0018</t>
        </is>
      </c>
      <c r="B5273" s="12" t="inlineStr">
        <is>
          <t>J</t>
        </is>
      </c>
      <c r="C5273" s="12" t="inlineStr">
        <is>
          <t>GT inlet chilling</t>
        </is>
      </c>
      <c r="D5273" s="12" t="inlineStr">
        <is>
          <t>Motor 7 of 12, 75 kW (VFD output)</t>
        </is>
      </c>
      <c r="E5273" s="12" t="inlineStr"/>
      <c r="F5273" s="12" t="inlineStr">
        <is>
          <t>Inlet-chilling e-house / transformer</t>
        </is>
      </c>
      <c r="G5273" s="12" t="inlineStr"/>
      <c r="H5273" s="12" t="inlineStr">
        <is>
          <t>Inlet-chilling tower (12 cells): chiller heat rejection</t>
        </is>
      </c>
      <c r="I5273" s="12" t="inlineStr">
        <is>
          <t>LV 600 V</t>
        </is>
      </c>
      <c r="J5273" s="12" t="inlineStr">
        <is>
          <t>VFD cable 600 V 3/C Cu XHHW-2, 3 symmetrical grounds, overall Cu tape shield, TC-ER</t>
        </is>
      </c>
      <c r="K5273" s="12" t="inlineStr">
        <is>
          <t>VFD|3/C+3G|2/0</t>
        </is>
      </c>
      <c r="L5273" s="12" t="inlineStr">
        <is>
          <t>3/C+3G</t>
        </is>
      </c>
      <c r="M5273" s="12" t="inlineStr">
        <is>
          <t>2/0</t>
        </is>
      </c>
      <c r="N5273" s="12" t="n">
        <v>1</v>
      </c>
      <c r="O5273" s="12" t="n">
        <v>1</v>
      </c>
      <c r="P5273" s="12" t="n">
        <v>480</v>
      </c>
      <c r="Q5273" s="12" t="n">
        <v>75</v>
      </c>
      <c r="R5273" s="12" t="n">
        <v>106</v>
      </c>
      <c r="S5273" s="12" t="inlineStr">
        <is>
          <t>Duct bank</t>
        </is>
      </c>
      <c r="T5273" s="16" t="n">
        <v>683</v>
      </c>
      <c r="U5273" s="16" t="n">
        <v>38</v>
      </c>
      <c r="V5273" s="16">
        <f>ROUNDUP((T5273+U5273+2*'Read Me'!$B$13)*(1+'Read Me'!$B$12),-1)</f>
        <v/>
      </c>
      <c r="W5273" s="16">
        <f>V5273*N5273*O5273</f>
        <v/>
      </c>
      <c r="X5273" s="12">
        <f>IF(LEFT(I5273,2)="MV",2*N5273*IF(L5273="1/C",O5273,1),0)</f>
        <v/>
      </c>
      <c r="Y5273" s="12">
        <f>IF(OR(LEFT(K5273,4)="LVAX",LEFT(K5273,6)="MV15AX",LEFT(K5273,4)="CTAX",LEFT(K5273,2)="W|"),2*N5273*O5273,0)</f>
        <v/>
      </c>
      <c r="Z5273" s="12" t="inlineStr">
        <is>
          <t>VD 2.9 %</t>
        </is>
      </c>
      <c r="AA5273" s="12">
        <f>N5273*O5273</f>
        <v/>
      </c>
    </row>
    <row r="5274">
      <c r="A5274" s="12" t="inlineStr">
        <is>
          <t>J-P-0019</t>
        </is>
      </c>
      <c r="B5274" s="12" t="inlineStr">
        <is>
          <t>J</t>
        </is>
      </c>
      <c r="C5274" s="12" t="inlineStr">
        <is>
          <t>GT inlet chilling</t>
        </is>
      </c>
      <c r="D5274" s="12" t="inlineStr">
        <is>
          <t>Motor 8 of 12, 75 kW (VFD output)</t>
        </is>
      </c>
      <c r="E5274" s="12" t="inlineStr"/>
      <c r="F5274" s="12" t="inlineStr">
        <is>
          <t>Inlet-chilling e-house / transformer</t>
        </is>
      </c>
      <c r="G5274" s="12" t="inlineStr"/>
      <c r="H5274" s="12" t="inlineStr">
        <is>
          <t>Inlet-chilling tower (12 cells): chiller heat rejection</t>
        </is>
      </c>
      <c r="I5274" s="12" t="inlineStr">
        <is>
          <t>LV 600 V</t>
        </is>
      </c>
      <c r="J5274" s="12" t="inlineStr">
        <is>
          <t>VFD cable 600 V 3/C Cu XHHW-2, 3 symmetrical grounds, overall Cu tape shield, TC-ER</t>
        </is>
      </c>
      <c r="K5274" s="12" t="inlineStr">
        <is>
          <t>VFD|3/C+3G|2/0</t>
        </is>
      </c>
      <c r="L5274" s="12" t="inlineStr">
        <is>
          <t>3/C+3G</t>
        </is>
      </c>
      <c r="M5274" s="12" t="inlineStr">
        <is>
          <t>2/0</t>
        </is>
      </c>
      <c r="N5274" s="12" t="n">
        <v>1</v>
      </c>
      <c r="O5274" s="12" t="n">
        <v>1</v>
      </c>
      <c r="P5274" s="12" t="n">
        <v>480</v>
      </c>
      <c r="Q5274" s="12" t="n">
        <v>75</v>
      </c>
      <c r="R5274" s="12" t="n">
        <v>106</v>
      </c>
      <c r="S5274" s="12" t="inlineStr">
        <is>
          <t>Duct bank</t>
        </is>
      </c>
      <c r="T5274" s="16" t="n">
        <v>683</v>
      </c>
      <c r="U5274" s="16" t="n">
        <v>38</v>
      </c>
      <c r="V5274" s="16">
        <f>ROUNDUP((T5274+U5274+2*'Read Me'!$B$13)*(1+'Read Me'!$B$12),-1)</f>
        <v/>
      </c>
      <c r="W5274" s="16">
        <f>V5274*N5274*O5274</f>
        <v/>
      </c>
      <c r="X5274" s="12">
        <f>IF(LEFT(I5274,2)="MV",2*N5274*IF(L5274="1/C",O5274,1),0)</f>
        <v/>
      </c>
      <c r="Y5274" s="12">
        <f>IF(OR(LEFT(K5274,4)="LVAX",LEFT(K5274,6)="MV15AX",LEFT(K5274,4)="CTAX",LEFT(K5274,2)="W|"),2*N5274*O5274,0)</f>
        <v/>
      </c>
      <c r="Z5274" s="12" t="inlineStr">
        <is>
          <t>VD 2.9 %</t>
        </is>
      </c>
      <c r="AA5274" s="12">
        <f>N5274*O5274</f>
        <v/>
      </c>
    </row>
    <row r="5275">
      <c r="A5275" s="12" t="inlineStr">
        <is>
          <t>J-P-0020</t>
        </is>
      </c>
      <c r="B5275" s="12" t="inlineStr">
        <is>
          <t>J</t>
        </is>
      </c>
      <c r="C5275" s="12" t="inlineStr">
        <is>
          <t>GT inlet chilling</t>
        </is>
      </c>
      <c r="D5275" s="12" t="inlineStr">
        <is>
          <t>Motor 9 of 12, 75 kW (VFD output)</t>
        </is>
      </c>
      <c r="E5275" s="12" t="inlineStr"/>
      <c r="F5275" s="12" t="inlineStr">
        <is>
          <t>Inlet-chilling e-house / transformer</t>
        </is>
      </c>
      <c r="G5275" s="12" t="inlineStr"/>
      <c r="H5275" s="12" t="inlineStr">
        <is>
          <t>Inlet-chilling tower (12 cells): chiller heat rejection</t>
        </is>
      </c>
      <c r="I5275" s="12" t="inlineStr">
        <is>
          <t>LV 600 V</t>
        </is>
      </c>
      <c r="J5275" s="12" t="inlineStr">
        <is>
          <t>VFD cable 600 V 3/C Cu XHHW-2, 3 symmetrical grounds, overall Cu tape shield, TC-ER</t>
        </is>
      </c>
      <c r="K5275" s="12" t="inlineStr">
        <is>
          <t>VFD|3/C+3G|2/0</t>
        </is>
      </c>
      <c r="L5275" s="12" t="inlineStr">
        <is>
          <t>3/C+3G</t>
        </is>
      </c>
      <c r="M5275" s="12" t="inlineStr">
        <is>
          <t>2/0</t>
        </is>
      </c>
      <c r="N5275" s="12" t="n">
        <v>1</v>
      </c>
      <c r="O5275" s="12" t="n">
        <v>1</v>
      </c>
      <c r="P5275" s="12" t="n">
        <v>480</v>
      </c>
      <c r="Q5275" s="12" t="n">
        <v>75</v>
      </c>
      <c r="R5275" s="12" t="n">
        <v>106</v>
      </c>
      <c r="S5275" s="12" t="inlineStr">
        <is>
          <t>Duct bank</t>
        </is>
      </c>
      <c r="T5275" s="16" t="n">
        <v>683</v>
      </c>
      <c r="U5275" s="16" t="n">
        <v>38</v>
      </c>
      <c r="V5275" s="16">
        <f>ROUNDUP((T5275+U5275+2*'Read Me'!$B$13)*(1+'Read Me'!$B$12),-1)</f>
        <v/>
      </c>
      <c r="W5275" s="16">
        <f>V5275*N5275*O5275</f>
        <v/>
      </c>
      <c r="X5275" s="12">
        <f>IF(LEFT(I5275,2)="MV",2*N5275*IF(L5275="1/C",O5275,1),0)</f>
        <v/>
      </c>
      <c r="Y5275" s="12">
        <f>IF(OR(LEFT(K5275,4)="LVAX",LEFT(K5275,6)="MV15AX",LEFT(K5275,4)="CTAX",LEFT(K5275,2)="W|"),2*N5275*O5275,0)</f>
        <v/>
      </c>
      <c r="Z5275" s="12" t="inlineStr">
        <is>
          <t>VD 2.9 %</t>
        </is>
      </c>
      <c r="AA5275" s="12">
        <f>N5275*O5275</f>
        <v/>
      </c>
    </row>
    <row r="5276">
      <c r="A5276" s="12" t="inlineStr">
        <is>
          <t>J-P-0021</t>
        </is>
      </c>
      <c r="B5276" s="12" t="inlineStr">
        <is>
          <t>J</t>
        </is>
      </c>
      <c r="C5276" s="12" t="inlineStr">
        <is>
          <t>GT inlet chilling</t>
        </is>
      </c>
      <c r="D5276" s="12" t="inlineStr">
        <is>
          <t>Motor 10 of 12, 75 kW (VFD output)</t>
        </is>
      </c>
      <c r="E5276" s="12" t="inlineStr"/>
      <c r="F5276" s="12" t="inlineStr">
        <is>
          <t>Inlet-chilling e-house / transformer</t>
        </is>
      </c>
      <c r="G5276" s="12" t="inlineStr"/>
      <c r="H5276" s="12" t="inlineStr">
        <is>
          <t>Inlet-chilling tower (12 cells): chiller heat rejection</t>
        </is>
      </c>
      <c r="I5276" s="12" t="inlineStr">
        <is>
          <t>LV 600 V</t>
        </is>
      </c>
      <c r="J5276" s="12" t="inlineStr">
        <is>
          <t>VFD cable 600 V 3/C Cu XHHW-2, 3 symmetrical grounds, overall Cu tape shield, TC-ER</t>
        </is>
      </c>
      <c r="K5276" s="12" t="inlineStr">
        <is>
          <t>VFD|3/C+3G|2/0</t>
        </is>
      </c>
      <c r="L5276" s="12" t="inlineStr">
        <is>
          <t>3/C+3G</t>
        </is>
      </c>
      <c r="M5276" s="12" t="inlineStr">
        <is>
          <t>2/0</t>
        </is>
      </c>
      <c r="N5276" s="12" t="n">
        <v>1</v>
      </c>
      <c r="O5276" s="12" t="n">
        <v>1</v>
      </c>
      <c r="P5276" s="12" t="n">
        <v>480</v>
      </c>
      <c r="Q5276" s="12" t="n">
        <v>75</v>
      </c>
      <c r="R5276" s="12" t="n">
        <v>106</v>
      </c>
      <c r="S5276" s="12" t="inlineStr">
        <is>
          <t>Duct bank</t>
        </is>
      </c>
      <c r="T5276" s="16" t="n">
        <v>683</v>
      </c>
      <c r="U5276" s="16" t="n">
        <v>38</v>
      </c>
      <c r="V5276" s="16">
        <f>ROUNDUP((T5276+U5276+2*'Read Me'!$B$13)*(1+'Read Me'!$B$12),-1)</f>
        <v/>
      </c>
      <c r="W5276" s="16">
        <f>V5276*N5276*O5276</f>
        <v/>
      </c>
      <c r="X5276" s="12">
        <f>IF(LEFT(I5276,2)="MV",2*N5276*IF(L5276="1/C",O5276,1),0)</f>
        <v/>
      </c>
      <c r="Y5276" s="12">
        <f>IF(OR(LEFT(K5276,4)="LVAX",LEFT(K5276,6)="MV15AX",LEFT(K5276,4)="CTAX",LEFT(K5276,2)="W|"),2*N5276*O5276,0)</f>
        <v/>
      </c>
      <c r="Z5276" s="12" t="inlineStr">
        <is>
          <t>VD 2.9 %</t>
        </is>
      </c>
      <c r="AA5276" s="12">
        <f>N5276*O5276</f>
        <v/>
      </c>
    </row>
    <row r="5277">
      <c r="A5277" s="12" t="inlineStr">
        <is>
          <t>J-P-0022</t>
        </is>
      </c>
      <c r="B5277" s="12" t="inlineStr">
        <is>
          <t>J</t>
        </is>
      </c>
      <c r="C5277" s="12" t="inlineStr">
        <is>
          <t>GT inlet chilling</t>
        </is>
      </c>
      <c r="D5277" s="12" t="inlineStr">
        <is>
          <t>Motor 11 of 12, 75 kW (VFD output)</t>
        </is>
      </c>
      <c r="E5277" s="12" t="inlineStr"/>
      <c r="F5277" s="12" t="inlineStr">
        <is>
          <t>Inlet-chilling e-house / transformer</t>
        </is>
      </c>
      <c r="G5277" s="12" t="inlineStr"/>
      <c r="H5277" s="12" t="inlineStr">
        <is>
          <t>Inlet-chilling tower (12 cells): chiller heat rejection</t>
        </is>
      </c>
      <c r="I5277" s="12" t="inlineStr">
        <is>
          <t>LV 600 V</t>
        </is>
      </c>
      <c r="J5277" s="12" t="inlineStr">
        <is>
          <t>VFD cable 600 V 3/C Cu XHHW-2, 3 symmetrical grounds, overall Cu tape shield, TC-ER</t>
        </is>
      </c>
      <c r="K5277" s="12" t="inlineStr">
        <is>
          <t>VFD|3/C+3G|2/0</t>
        </is>
      </c>
      <c r="L5277" s="12" t="inlineStr">
        <is>
          <t>3/C+3G</t>
        </is>
      </c>
      <c r="M5277" s="12" t="inlineStr">
        <is>
          <t>2/0</t>
        </is>
      </c>
      <c r="N5277" s="12" t="n">
        <v>1</v>
      </c>
      <c r="O5277" s="12" t="n">
        <v>1</v>
      </c>
      <c r="P5277" s="12" t="n">
        <v>480</v>
      </c>
      <c r="Q5277" s="12" t="n">
        <v>75</v>
      </c>
      <c r="R5277" s="12" t="n">
        <v>106</v>
      </c>
      <c r="S5277" s="12" t="inlineStr">
        <is>
          <t>Duct bank</t>
        </is>
      </c>
      <c r="T5277" s="16" t="n">
        <v>683</v>
      </c>
      <c r="U5277" s="16" t="n">
        <v>38</v>
      </c>
      <c r="V5277" s="16">
        <f>ROUNDUP((T5277+U5277+2*'Read Me'!$B$13)*(1+'Read Me'!$B$12),-1)</f>
        <v/>
      </c>
      <c r="W5277" s="16">
        <f>V5277*N5277*O5277</f>
        <v/>
      </c>
      <c r="X5277" s="12">
        <f>IF(LEFT(I5277,2)="MV",2*N5277*IF(L5277="1/C",O5277,1),0)</f>
        <v/>
      </c>
      <c r="Y5277" s="12">
        <f>IF(OR(LEFT(K5277,4)="LVAX",LEFT(K5277,6)="MV15AX",LEFT(K5277,4)="CTAX",LEFT(K5277,2)="W|"),2*N5277*O5277,0)</f>
        <v/>
      </c>
      <c r="Z5277" s="12" t="inlineStr">
        <is>
          <t>VD 2.9 %</t>
        </is>
      </c>
      <c r="AA5277" s="12">
        <f>N5277*O5277</f>
        <v/>
      </c>
    </row>
    <row r="5278">
      <c r="A5278" s="12" t="inlineStr">
        <is>
          <t>J-P-0023</t>
        </is>
      </c>
      <c r="B5278" s="12" t="inlineStr">
        <is>
          <t>J</t>
        </is>
      </c>
      <c r="C5278" s="12" t="inlineStr">
        <is>
          <t>GT inlet chilling</t>
        </is>
      </c>
      <c r="D5278" s="12" t="inlineStr">
        <is>
          <t>Motor 12 of 12, 75 kW (VFD output)</t>
        </is>
      </c>
      <c r="E5278" s="12" t="inlineStr"/>
      <c r="F5278" s="12" t="inlineStr">
        <is>
          <t>Inlet-chilling e-house / transformer</t>
        </is>
      </c>
      <c r="G5278" s="12" t="inlineStr"/>
      <c r="H5278" s="12" t="inlineStr">
        <is>
          <t>Inlet-chilling tower (12 cells): chiller heat rejection</t>
        </is>
      </c>
      <c r="I5278" s="12" t="inlineStr">
        <is>
          <t>LV 600 V</t>
        </is>
      </c>
      <c r="J5278" s="12" t="inlineStr">
        <is>
          <t>VFD cable 600 V 3/C Cu XHHW-2, 3 symmetrical grounds, overall Cu tape shield, TC-ER</t>
        </is>
      </c>
      <c r="K5278" s="12" t="inlineStr">
        <is>
          <t>VFD|3/C+3G|2/0</t>
        </is>
      </c>
      <c r="L5278" s="12" t="inlineStr">
        <is>
          <t>3/C+3G</t>
        </is>
      </c>
      <c r="M5278" s="12" t="inlineStr">
        <is>
          <t>2/0</t>
        </is>
      </c>
      <c r="N5278" s="12" t="n">
        <v>1</v>
      </c>
      <c r="O5278" s="12" t="n">
        <v>1</v>
      </c>
      <c r="P5278" s="12" t="n">
        <v>480</v>
      </c>
      <c r="Q5278" s="12" t="n">
        <v>75</v>
      </c>
      <c r="R5278" s="12" t="n">
        <v>106</v>
      </c>
      <c r="S5278" s="12" t="inlineStr">
        <is>
          <t>Duct bank</t>
        </is>
      </c>
      <c r="T5278" s="16" t="n">
        <v>683</v>
      </c>
      <c r="U5278" s="16" t="n">
        <v>38</v>
      </c>
      <c r="V5278" s="16">
        <f>ROUNDUP((T5278+U5278+2*'Read Me'!$B$13)*(1+'Read Me'!$B$12),-1)</f>
        <v/>
      </c>
      <c r="W5278" s="16">
        <f>V5278*N5278*O5278</f>
        <v/>
      </c>
      <c r="X5278" s="12">
        <f>IF(LEFT(I5278,2)="MV",2*N5278*IF(L5278="1/C",O5278,1),0)</f>
        <v/>
      </c>
      <c r="Y5278" s="12">
        <f>IF(OR(LEFT(K5278,4)="LVAX",LEFT(K5278,6)="MV15AX",LEFT(K5278,4)="CTAX",LEFT(K5278,2)="W|"),2*N5278*O5278,0)</f>
        <v/>
      </c>
      <c r="Z5278" s="12" t="inlineStr">
        <is>
          <t>VD 2.9 %</t>
        </is>
      </c>
      <c r="AA5278" s="12">
        <f>N5278*O5278</f>
        <v/>
      </c>
    </row>
    <row r="5279">
      <c r="A5279" s="12" t="inlineStr">
        <is>
          <t>J-P-0024</t>
        </is>
      </c>
      <c r="B5279" s="12" t="inlineStr">
        <is>
          <t>J</t>
        </is>
      </c>
      <c r="C5279" s="12" t="inlineStr">
        <is>
          <t>GT inlet chilling</t>
        </is>
      </c>
      <c r="D5279" s="12" t="inlineStr">
        <is>
          <t>Area / platform lighting circuit 1 (12 fixtures)</t>
        </is>
      </c>
      <c r="E5279" s="12" t="inlineStr"/>
      <c r="F5279" s="12" t="inlineStr">
        <is>
          <t>Inlet-chilling e-house / transformer</t>
        </is>
      </c>
      <c r="G5279" s="12" t="inlineStr"/>
      <c r="H5279" s="12" t="inlineStr">
        <is>
          <t>Inlet-chilling tower (12 cells): chiller heat rejection</t>
        </is>
      </c>
      <c r="I5279" s="12" t="inlineStr">
        <is>
          <t>LV 600 V</t>
        </is>
      </c>
      <c r="J5279" s="12" t="inlineStr">
        <is>
          <t>Type TC-ER 600 V 3/C Cu XHHW-2 + ground, PVC jacket</t>
        </is>
      </c>
      <c r="K5279" s="12" t="inlineStr">
        <is>
          <t>LV|3/C+G|10</t>
        </is>
      </c>
      <c r="L5279" s="12" t="inlineStr">
        <is>
          <t>3/C+G</t>
        </is>
      </c>
      <c r="M5279" s="12" t="inlineStr">
        <is>
          <t>10</t>
        </is>
      </c>
      <c r="N5279" s="12" t="n">
        <v>1</v>
      </c>
      <c r="O5279" s="12" t="n">
        <v>1</v>
      </c>
      <c r="P5279" s="12" t="n">
        <v>480</v>
      </c>
      <c r="Q5279" s="12" t="n">
        <v>3</v>
      </c>
      <c r="R5279" s="12" t="n">
        <v>5</v>
      </c>
      <c r="S5279" s="12" t="inlineStr">
        <is>
          <t>Duct bank</t>
        </is>
      </c>
      <c r="T5279" s="16" t="n">
        <v>778</v>
      </c>
      <c r="U5279" s="16" t="n">
        <v>38</v>
      </c>
      <c r="V5279" s="16">
        <f>ROUNDUP((T5279+U5279+2*'Read Me'!$B$13)*(1+'Read Me'!$B$12),-1)</f>
        <v/>
      </c>
      <c r="W5279" s="16">
        <f>V5279*N5279*O5279</f>
        <v/>
      </c>
      <c r="X5279" s="12">
        <f>IF(LEFT(I5279,2)="MV",2*N5279*IF(L5279="1/C",O5279,1),0)</f>
        <v/>
      </c>
      <c r="Y5279" s="12">
        <f>IF(OR(LEFT(K5279,4)="LVAX",LEFT(K5279,6)="MV15AX",LEFT(K5279,4)="CTAX",LEFT(K5279,2)="W|"),2*N5279*O5279,0)</f>
        <v/>
      </c>
      <c r="Z5279" s="12" t="inlineStr">
        <is>
          <t>fixture-to-fixture run included</t>
        </is>
      </c>
      <c r="AA5279" s="12">
        <f>N5279*O5279</f>
        <v/>
      </c>
    </row>
    <row r="5280">
      <c r="A5280" s="12" t="inlineStr">
        <is>
          <t>J-MV-0001</t>
        </is>
      </c>
      <c r="B5280" s="12" t="inlineStr">
        <is>
          <t>J</t>
        </is>
      </c>
      <c r="C5280" s="12" t="inlineStr">
        <is>
          <t>GT inlet chilling</t>
        </is>
      </c>
      <c r="D5280" s="12" t="inlineStr">
        <is>
          <t>Inlet-chilling e-house / transformer</t>
        </is>
      </c>
      <c r="E5280" s="12" t="inlineStr">
        <is>
          <t>SWGR-13.8-1</t>
        </is>
      </c>
      <c r="F5280" s="12" t="inlineStr">
        <is>
          <t>R1 SWGR-13.8-1 (11 x 36 in cubicles, 15 kV metal-clad)</t>
        </is>
      </c>
      <c r="G5280" s="12" t="inlineStr"/>
      <c r="H5280" s="12" t="inlineStr">
        <is>
          <t>Inlet-chilling e-house / transformer</t>
        </is>
      </c>
      <c r="I5280" s="12" t="inlineStr">
        <is>
          <t>MV 15 kV</t>
        </is>
      </c>
      <c r="J5280" s="12" t="inlineStr">
        <is>
          <t>MV-105 15 kV 1/C Cu, EPR 133%, Cu tape shield, PVC jacket (triplexed)</t>
        </is>
      </c>
      <c r="K5280" s="12" t="inlineStr">
        <is>
          <t>MV15|1/C|1000</t>
        </is>
      </c>
      <c r="L5280" s="12" t="inlineStr">
        <is>
          <t>1/C</t>
        </is>
      </c>
      <c r="M5280" s="12" t="inlineStr">
        <is>
          <t>1000 kcmil</t>
        </is>
      </c>
      <c r="N5280" s="12" t="n">
        <v>1</v>
      </c>
      <c r="O5280" s="12" t="n">
        <v>3</v>
      </c>
      <c r="P5280" s="12" t="n">
        <v>13800</v>
      </c>
      <c r="Q5280" s="12" t="n">
        <v>12000</v>
      </c>
      <c r="R5280" s="12" t="n">
        <v>502</v>
      </c>
      <c r="S5280" s="12" t="inlineStr">
        <is>
          <t>Duct bank</t>
        </is>
      </c>
      <c r="T5280" s="16" t="n">
        <v>629</v>
      </c>
      <c r="U5280" s="16" t="n">
        <v>38</v>
      </c>
      <c r="V5280" s="16">
        <f>ROUNDUP((T5280+U5280+2*'Read Me'!$B$13)*(1+'Read Me'!$B$12),-1)</f>
        <v/>
      </c>
      <c r="W5280" s="16">
        <f>V5280*N5280*O5280</f>
        <v/>
      </c>
      <c r="X5280" s="12">
        <f>IF(LEFT(I5280,2)="MV",2*N5280*IF(L5280="1/C",O5280,1),0)</f>
        <v/>
      </c>
      <c r="Y5280" s="12">
        <f>IF(OR(LEFT(K5280,4)="LVAX",LEFT(K5280,6)="MV15AX",LEFT(K5280,4)="CTAX",LEFT(K5280,2)="W|"),2*N5280*O5280,0)</f>
        <v/>
      </c>
      <c r="Z5280" s="12" t="inlineStr"/>
      <c r="AA5280" s="12">
        <f>N5280*O5280</f>
        <v/>
      </c>
    </row>
    <row r="5281">
      <c r="A5281" s="12" t="inlineStr">
        <is>
          <t>J-MV-0002</t>
        </is>
      </c>
      <c r="B5281" s="12" t="inlineStr">
        <is>
          <t>J</t>
        </is>
      </c>
      <c r="C5281" s="12" t="inlineStr">
        <is>
          <t>GT inlet chilling</t>
        </is>
      </c>
      <c r="D5281" s="12" t="inlineStr">
        <is>
          <t>Inlet-chilling CW pump 1</t>
        </is>
      </c>
      <c r="E5281" s="12" t="inlineStr"/>
      <c r="F5281" s="12" t="inlineStr">
        <is>
          <t>Inlet-chilling e-house / transformer</t>
        </is>
      </c>
      <c r="G5281" s="12" t="inlineStr"/>
      <c r="H5281" s="12" t="inlineStr">
        <is>
          <t>CW pumps (inlet chilling)</t>
        </is>
      </c>
      <c r="I5281" s="12" t="inlineStr">
        <is>
          <t>MV 5 kV</t>
        </is>
      </c>
      <c r="J5281" s="12" t="inlineStr">
        <is>
          <t>MV-105 5 kV 3/C Cu, EPR 133%, tape shield, gnd, PVC jacket</t>
        </is>
      </c>
      <c r="K5281" s="12" t="inlineStr">
        <is>
          <t>MV5|3/C|2</t>
        </is>
      </c>
      <c r="L5281" s="12" t="inlineStr">
        <is>
          <t>3/C</t>
        </is>
      </c>
      <c r="M5281" s="12" t="inlineStr">
        <is>
          <t>2</t>
        </is>
      </c>
      <c r="N5281" s="12" t="n">
        <v>1</v>
      </c>
      <c r="O5281" s="12" t="n">
        <v>1</v>
      </c>
      <c r="P5281" s="12" t="n">
        <v>4160</v>
      </c>
      <c r="Q5281" s="12" t="n">
        <v>450</v>
      </c>
      <c r="R5281" s="12" t="n">
        <v>69</v>
      </c>
      <c r="S5281" s="12" t="inlineStr">
        <is>
          <t>Tray</t>
        </is>
      </c>
      <c r="T5281" s="16" t="n">
        <v>0</v>
      </c>
      <c r="U5281" s="16" t="n">
        <v>70</v>
      </c>
      <c r="V5281" s="16">
        <f>ROUNDUP((T5281+U5281+2*'Read Me'!$B$13)*(1+'Read Me'!$B$12),-1)</f>
        <v/>
      </c>
      <c r="W5281" s="16">
        <f>V5281*N5281*O5281</f>
        <v/>
      </c>
      <c r="X5281" s="12">
        <f>IF(LEFT(I5281,2)="MV",2*N5281*IF(L5281="1/C",O5281,1),0)</f>
        <v/>
      </c>
      <c r="Y5281" s="12">
        <f>IF(OR(LEFT(K5281,4)="LVAX",LEFT(K5281,6)="MV15AX",LEFT(K5281,4)="CTAX",LEFT(K5281,2)="W|"),2*N5281*O5281,0)</f>
        <v/>
      </c>
      <c r="Z5281" s="12" t="inlineStr"/>
      <c r="AA5281" s="12">
        <f>N5281*O5281</f>
        <v/>
      </c>
    </row>
    <row r="5282">
      <c r="A5282" s="12" t="inlineStr">
        <is>
          <t>J-MV-0003</t>
        </is>
      </c>
      <c r="B5282" s="12" t="inlineStr">
        <is>
          <t>J</t>
        </is>
      </c>
      <c r="C5282" s="12" t="inlineStr">
        <is>
          <t>GT inlet chilling</t>
        </is>
      </c>
      <c r="D5282" s="12" t="inlineStr">
        <is>
          <t>Inlet-chilling CW pump 2</t>
        </is>
      </c>
      <c r="E5282" s="12" t="inlineStr"/>
      <c r="F5282" s="12" t="inlineStr">
        <is>
          <t>Inlet-chilling e-house / transformer</t>
        </is>
      </c>
      <c r="G5282" s="12" t="inlineStr"/>
      <c r="H5282" s="12" t="inlineStr">
        <is>
          <t>CW pumps (inlet chilling)</t>
        </is>
      </c>
      <c r="I5282" s="12" t="inlineStr">
        <is>
          <t>MV 5 kV</t>
        </is>
      </c>
      <c r="J5282" s="12" t="inlineStr">
        <is>
          <t>MV-105 5 kV 3/C Cu, EPR 133%, tape shield, gnd, PVC jacket</t>
        </is>
      </c>
      <c r="K5282" s="12" t="inlineStr">
        <is>
          <t>MV5|3/C|2</t>
        </is>
      </c>
      <c r="L5282" s="12" t="inlineStr">
        <is>
          <t>3/C</t>
        </is>
      </c>
      <c r="M5282" s="12" t="inlineStr">
        <is>
          <t>2</t>
        </is>
      </c>
      <c r="N5282" s="12" t="n">
        <v>1</v>
      </c>
      <c r="O5282" s="12" t="n">
        <v>1</v>
      </c>
      <c r="P5282" s="12" t="n">
        <v>4160</v>
      </c>
      <c r="Q5282" s="12" t="n">
        <v>450</v>
      </c>
      <c r="R5282" s="12" t="n">
        <v>69</v>
      </c>
      <c r="S5282" s="12" t="inlineStr">
        <is>
          <t>Tray</t>
        </is>
      </c>
      <c r="T5282" s="16" t="n">
        <v>0</v>
      </c>
      <c r="U5282" s="16" t="n">
        <v>70</v>
      </c>
      <c r="V5282" s="16">
        <f>ROUNDUP((T5282+U5282+2*'Read Me'!$B$13)*(1+'Read Me'!$B$12),-1)</f>
        <v/>
      </c>
      <c r="W5282" s="16">
        <f>V5282*N5282*O5282</f>
        <v/>
      </c>
      <c r="X5282" s="12">
        <f>IF(LEFT(I5282,2)="MV",2*N5282*IF(L5282="1/C",O5282,1),0)</f>
        <v/>
      </c>
      <c r="Y5282" s="12">
        <f>IF(OR(LEFT(K5282,4)="LVAX",LEFT(K5282,6)="MV15AX",LEFT(K5282,4)="CTAX",LEFT(K5282,2)="W|"),2*N5282*O5282,0)</f>
        <v/>
      </c>
      <c r="Z5282" s="12" t="inlineStr"/>
      <c r="AA5282" s="12">
        <f>N5282*O5282</f>
        <v/>
      </c>
    </row>
    <row r="5283">
      <c r="A5283" s="12" t="inlineStr">
        <is>
          <t>J-MV-0004</t>
        </is>
      </c>
      <c r="B5283" s="12" t="inlineStr">
        <is>
          <t>J</t>
        </is>
      </c>
      <c r="C5283" s="12" t="inlineStr">
        <is>
          <t>GT inlet chilling</t>
        </is>
      </c>
      <c r="D5283" s="12" t="inlineStr">
        <is>
          <t>Inlet-chilling CW pump 3</t>
        </is>
      </c>
      <c r="E5283" s="12" t="inlineStr"/>
      <c r="F5283" s="12" t="inlineStr">
        <is>
          <t>Inlet-chilling e-house / transformer</t>
        </is>
      </c>
      <c r="G5283" s="12" t="inlineStr"/>
      <c r="H5283" s="12" t="inlineStr">
        <is>
          <t>CW pumps (inlet chilling)</t>
        </is>
      </c>
      <c r="I5283" s="12" t="inlineStr">
        <is>
          <t>MV 5 kV</t>
        </is>
      </c>
      <c r="J5283" s="12" t="inlineStr">
        <is>
          <t>MV-105 5 kV 3/C Cu, EPR 133%, tape shield, gnd, PVC jacket</t>
        </is>
      </c>
      <c r="K5283" s="12" t="inlineStr">
        <is>
          <t>MV5|3/C|2</t>
        </is>
      </c>
      <c r="L5283" s="12" t="inlineStr">
        <is>
          <t>3/C</t>
        </is>
      </c>
      <c r="M5283" s="12" t="inlineStr">
        <is>
          <t>2</t>
        </is>
      </c>
      <c r="N5283" s="12" t="n">
        <v>1</v>
      </c>
      <c r="O5283" s="12" t="n">
        <v>1</v>
      </c>
      <c r="P5283" s="12" t="n">
        <v>4160</v>
      </c>
      <c r="Q5283" s="12" t="n">
        <v>450</v>
      </c>
      <c r="R5283" s="12" t="n">
        <v>69</v>
      </c>
      <c r="S5283" s="12" t="inlineStr">
        <is>
          <t>Tray</t>
        </is>
      </c>
      <c r="T5283" s="16" t="n">
        <v>0</v>
      </c>
      <c r="U5283" s="16" t="n">
        <v>70</v>
      </c>
      <c r="V5283" s="16">
        <f>ROUNDUP((T5283+U5283+2*'Read Me'!$B$13)*(1+'Read Me'!$B$12),-1)</f>
        <v/>
      </c>
      <c r="W5283" s="16">
        <f>V5283*N5283*O5283</f>
        <v/>
      </c>
      <c r="X5283" s="12">
        <f>IF(LEFT(I5283,2)="MV",2*N5283*IF(L5283="1/C",O5283,1),0)</f>
        <v/>
      </c>
      <c r="Y5283" s="12">
        <f>IF(OR(LEFT(K5283,4)="LVAX",LEFT(K5283,6)="MV15AX",LEFT(K5283,4)="CTAX",LEFT(K5283,2)="W|"),2*N5283*O5283,0)</f>
        <v/>
      </c>
      <c r="Z5283" s="12" t="inlineStr"/>
      <c r="AA5283" s="12">
        <f>N5283*O5283</f>
        <v/>
      </c>
    </row>
    <row r="5284">
      <c r="A5284" s="12" t="inlineStr">
        <is>
          <t>J-MV-0005</t>
        </is>
      </c>
      <c r="B5284" s="12" t="inlineStr">
        <is>
          <t>J</t>
        </is>
      </c>
      <c r="C5284" s="12" t="inlineStr">
        <is>
          <t>GT inlet chilling</t>
        </is>
      </c>
      <c r="D5284" s="12" t="inlineStr">
        <is>
          <t>Inlet-chilling CW pump 4</t>
        </is>
      </c>
      <c r="E5284" s="12" t="inlineStr"/>
      <c r="F5284" s="12" t="inlineStr">
        <is>
          <t>Inlet-chilling e-house / transformer</t>
        </is>
      </c>
      <c r="G5284" s="12" t="inlineStr"/>
      <c r="H5284" s="12" t="inlineStr">
        <is>
          <t>CW pumps (inlet chilling)</t>
        </is>
      </c>
      <c r="I5284" s="12" t="inlineStr">
        <is>
          <t>MV 5 kV</t>
        </is>
      </c>
      <c r="J5284" s="12" t="inlineStr">
        <is>
          <t>MV-105 5 kV 3/C Cu, EPR 133%, tape shield, gnd, PVC jacket</t>
        </is>
      </c>
      <c r="K5284" s="12" t="inlineStr">
        <is>
          <t>MV5|3/C|2</t>
        </is>
      </c>
      <c r="L5284" s="12" t="inlineStr">
        <is>
          <t>3/C</t>
        </is>
      </c>
      <c r="M5284" s="12" t="inlineStr">
        <is>
          <t>2</t>
        </is>
      </c>
      <c r="N5284" s="12" t="n">
        <v>1</v>
      </c>
      <c r="O5284" s="12" t="n">
        <v>1</v>
      </c>
      <c r="P5284" s="12" t="n">
        <v>4160</v>
      </c>
      <c r="Q5284" s="12" t="n">
        <v>450</v>
      </c>
      <c r="R5284" s="12" t="n">
        <v>69</v>
      </c>
      <c r="S5284" s="12" t="inlineStr">
        <is>
          <t>Tray</t>
        </is>
      </c>
      <c r="T5284" s="16" t="n">
        <v>0</v>
      </c>
      <c r="U5284" s="16" t="n">
        <v>70</v>
      </c>
      <c r="V5284" s="16">
        <f>ROUNDUP((T5284+U5284+2*'Read Me'!$B$13)*(1+'Read Me'!$B$12),-1)</f>
        <v/>
      </c>
      <c r="W5284" s="16">
        <f>V5284*N5284*O5284</f>
        <v/>
      </c>
      <c r="X5284" s="12">
        <f>IF(LEFT(I5284,2)="MV",2*N5284*IF(L5284="1/C",O5284,1),0)</f>
        <v/>
      </c>
      <c r="Y5284" s="12">
        <f>IF(OR(LEFT(K5284,4)="LVAX",LEFT(K5284,6)="MV15AX",LEFT(K5284,4)="CTAX",LEFT(K5284,2)="W|"),2*N5284*O5284,0)</f>
        <v/>
      </c>
      <c r="Z5284" s="12" t="inlineStr"/>
      <c r="AA5284" s="12">
        <f>N5284*O5284</f>
        <v/>
      </c>
    </row>
    <row r="5285">
      <c r="A5285" s="12" t="inlineStr">
        <is>
          <t>J-MV-0006</t>
        </is>
      </c>
      <c r="B5285" s="12" t="inlineStr">
        <is>
          <t>J</t>
        </is>
      </c>
      <c r="C5285" s="12" t="inlineStr">
        <is>
          <t>GT inlet chilling</t>
        </is>
      </c>
      <c r="D5285" s="12" t="inlineStr">
        <is>
          <t>Water-cooled chiller CH-1</t>
        </is>
      </c>
      <c r="E5285" s="12" t="inlineStr"/>
      <c r="F5285" s="12" t="inlineStr">
        <is>
          <t>Inlet-chilling e-house / transformer</t>
        </is>
      </c>
      <c r="G5285" s="12" t="inlineStr"/>
      <c r="H5285" s="12" t="inlineStr">
        <is>
          <t>Chillers x6 (water-cooled)</t>
        </is>
      </c>
      <c r="I5285" s="12" t="inlineStr">
        <is>
          <t>MV 5 kV</t>
        </is>
      </c>
      <c r="J5285" s="12" t="inlineStr">
        <is>
          <t>MV-105 5 kV 3/C Cu, EPR 133%, tape shield, gnd, PVC jacket</t>
        </is>
      </c>
      <c r="K5285" s="12" t="inlineStr">
        <is>
          <t>MV5|3/C|250</t>
        </is>
      </c>
      <c r="L5285" s="12" t="inlineStr">
        <is>
          <t>3/C</t>
        </is>
      </c>
      <c r="M5285" s="12" t="inlineStr">
        <is>
          <t>250 kcmil</t>
        </is>
      </c>
      <c r="N5285" s="12" t="n">
        <v>1</v>
      </c>
      <c r="O5285" s="12" t="n">
        <v>1</v>
      </c>
      <c r="P5285" s="12" t="n">
        <v>4160</v>
      </c>
      <c r="Q5285" s="12" t="n">
        <v>1500</v>
      </c>
      <c r="R5285" s="12" t="n">
        <v>231</v>
      </c>
      <c r="S5285" s="12" t="inlineStr">
        <is>
          <t>Duct bank</t>
        </is>
      </c>
      <c r="T5285" s="16" t="n">
        <v>10</v>
      </c>
      <c r="U5285" s="16" t="n">
        <v>32</v>
      </c>
      <c r="V5285" s="16">
        <f>ROUNDUP((T5285+U5285+2*'Read Me'!$B$13)*(1+'Read Me'!$B$12),-1)</f>
        <v/>
      </c>
      <c r="W5285" s="16">
        <f>V5285*N5285*O5285</f>
        <v/>
      </c>
      <c r="X5285" s="12">
        <f>IF(LEFT(I5285,2)="MV",2*N5285*IF(L5285="1/C",O5285,1),0)</f>
        <v/>
      </c>
      <c r="Y5285" s="12">
        <f>IF(OR(LEFT(K5285,4)="LVAX",LEFT(K5285,6)="MV15AX",LEFT(K5285,4)="CTAX",LEFT(K5285,2)="W|"),2*N5285*O5285,0)</f>
        <v/>
      </c>
      <c r="Z5285" s="12" t="inlineStr"/>
      <c r="AA5285" s="12">
        <f>N5285*O5285</f>
        <v/>
      </c>
    </row>
    <row r="5286">
      <c r="A5286" s="12" t="inlineStr">
        <is>
          <t>J-MV-0007</t>
        </is>
      </c>
      <c r="B5286" s="12" t="inlineStr">
        <is>
          <t>J</t>
        </is>
      </c>
      <c r="C5286" s="12" t="inlineStr">
        <is>
          <t>GT inlet chilling</t>
        </is>
      </c>
      <c r="D5286" s="12" t="inlineStr">
        <is>
          <t>Water-cooled chiller CH-2</t>
        </is>
      </c>
      <c r="E5286" s="12" t="inlineStr"/>
      <c r="F5286" s="12" t="inlineStr">
        <is>
          <t>Inlet-chilling e-house / transformer</t>
        </is>
      </c>
      <c r="G5286" s="12" t="inlineStr"/>
      <c r="H5286" s="12" t="inlineStr">
        <is>
          <t>Chillers x6 (water-cooled)</t>
        </is>
      </c>
      <c r="I5286" s="12" t="inlineStr">
        <is>
          <t>MV 5 kV</t>
        </is>
      </c>
      <c r="J5286" s="12" t="inlineStr">
        <is>
          <t>MV-105 5 kV 3/C Cu, EPR 133%, tape shield, gnd, PVC jacket</t>
        </is>
      </c>
      <c r="K5286" s="12" t="inlineStr">
        <is>
          <t>MV5|3/C|250</t>
        </is>
      </c>
      <c r="L5286" s="12" t="inlineStr">
        <is>
          <t>3/C</t>
        </is>
      </c>
      <c r="M5286" s="12" t="inlineStr">
        <is>
          <t>250 kcmil</t>
        </is>
      </c>
      <c r="N5286" s="12" t="n">
        <v>1</v>
      </c>
      <c r="O5286" s="12" t="n">
        <v>1</v>
      </c>
      <c r="P5286" s="12" t="n">
        <v>4160</v>
      </c>
      <c r="Q5286" s="12" t="n">
        <v>1500</v>
      </c>
      <c r="R5286" s="12" t="n">
        <v>231</v>
      </c>
      <c r="S5286" s="12" t="inlineStr">
        <is>
          <t>Duct bank</t>
        </is>
      </c>
      <c r="T5286" s="16" t="n">
        <v>10</v>
      </c>
      <c r="U5286" s="16" t="n">
        <v>32</v>
      </c>
      <c r="V5286" s="16">
        <f>ROUNDUP((T5286+U5286+2*'Read Me'!$B$13)*(1+'Read Me'!$B$12),-1)</f>
        <v/>
      </c>
      <c r="W5286" s="16">
        <f>V5286*N5286*O5286</f>
        <v/>
      </c>
      <c r="X5286" s="12">
        <f>IF(LEFT(I5286,2)="MV",2*N5286*IF(L5286="1/C",O5286,1),0)</f>
        <v/>
      </c>
      <c r="Y5286" s="12">
        <f>IF(OR(LEFT(K5286,4)="LVAX",LEFT(K5286,6)="MV15AX",LEFT(K5286,4)="CTAX",LEFT(K5286,2)="W|"),2*N5286*O5286,0)</f>
        <v/>
      </c>
      <c r="Z5286" s="12" t="inlineStr"/>
      <c r="AA5286" s="12">
        <f>N5286*O5286</f>
        <v/>
      </c>
    </row>
    <row r="5287">
      <c r="A5287" s="12" t="inlineStr">
        <is>
          <t>J-MV-0008</t>
        </is>
      </c>
      <c r="B5287" s="12" t="inlineStr">
        <is>
          <t>J</t>
        </is>
      </c>
      <c r="C5287" s="12" t="inlineStr">
        <is>
          <t>GT inlet chilling</t>
        </is>
      </c>
      <c r="D5287" s="12" t="inlineStr">
        <is>
          <t>Water-cooled chiller CH-3</t>
        </is>
      </c>
      <c r="E5287" s="12" t="inlineStr"/>
      <c r="F5287" s="12" t="inlineStr">
        <is>
          <t>Inlet-chilling e-house / transformer</t>
        </is>
      </c>
      <c r="G5287" s="12" t="inlineStr"/>
      <c r="H5287" s="12" t="inlineStr">
        <is>
          <t>Chillers x6 (water-cooled)</t>
        </is>
      </c>
      <c r="I5287" s="12" t="inlineStr">
        <is>
          <t>MV 5 kV</t>
        </is>
      </c>
      <c r="J5287" s="12" t="inlineStr">
        <is>
          <t>MV-105 5 kV 3/C Cu, EPR 133%, tape shield, gnd, PVC jacket</t>
        </is>
      </c>
      <c r="K5287" s="12" t="inlineStr">
        <is>
          <t>MV5|3/C|250</t>
        </is>
      </c>
      <c r="L5287" s="12" t="inlineStr">
        <is>
          <t>3/C</t>
        </is>
      </c>
      <c r="M5287" s="12" t="inlineStr">
        <is>
          <t>250 kcmil</t>
        </is>
      </c>
      <c r="N5287" s="12" t="n">
        <v>1</v>
      </c>
      <c r="O5287" s="12" t="n">
        <v>1</v>
      </c>
      <c r="P5287" s="12" t="n">
        <v>4160</v>
      </c>
      <c r="Q5287" s="12" t="n">
        <v>1500</v>
      </c>
      <c r="R5287" s="12" t="n">
        <v>231</v>
      </c>
      <c r="S5287" s="12" t="inlineStr">
        <is>
          <t>Duct bank</t>
        </is>
      </c>
      <c r="T5287" s="16" t="n">
        <v>10</v>
      </c>
      <c r="U5287" s="16" t="n">
        <v>32</v>
      </c>
      <c r="V5287" s="16">
        <f>ROUNDUP((T5287+U5287+2*'Read Me'!$B$13)*(1+'Read Me'!$B$12),-1)</f>
        <v/>
      </c>
      <c r="W5287" s="16">
        <f>V5287*N5287*O5287</f>
        <v/>
      </c>
      <c r="X5287" s="12">
        <f>IF(LEFT(I5287,2)="MV",2*N5287*IF(L5287="1/C",O5287,1),0)</f>
        <v/>
      </c>
      <c r="Y5287" s="12">
        <f>IF(OR(LEFT(K5287,4)="LVAX",LEFT(K5287,6)="MV15AX",LEFT(K5287,4)="CTAX",LEFT(K5287,2)="W|"),2*N5287*O5287,0)</f>
        <v/>
      </c>
      <c r="Z5287" s="12" t="inlineStr"/>
      <c r="AA5287" s="12">
        <f>N5287*O5287</f>
        <v/>
      </c>
    </row>
    <row r="5288">
      <c r="A5288" s="12" t="inlineStr">
        <is>
          <t>J-MV-0009</t>
        </is>
      </c>
      <c r="B5288" s="12" t="inlineStr">
        <is>
          <t>J</t>
        </is>
      </c>
      <c r="C5288" s="12" t="inlineStr">
        <is>
          <t>GT inlet chilling</t>
        </is>
      </c>
      <c r="D5288" s="12" t="inlineStr">
        <is>
          <t>Water-cooled chiller CH-4</t>
        </is>
      </c>
      <c r="E5288" s="12" t="inlineStr"/>
      <c r="F5288" s="12" t="inlineStr">
        <is>
          <t>Inlet-chilling e-house / transformer</t>
        </is>
      </c>
      <c r="G5288" s="12" t="inlineStr"/>
      <c r="H5288" s="12" t="inlineStr">
        <is>
          <t>Chillers x6 (water-cooled)</t>
        </is>
      </c>
      <c r="I5288" s="12" t="inlineStr">
        <is>
          <t>MV 5 kV</t>
        </is>
      </c>
      <c r="J5288" s="12" t="inlineStr">
        <is>
          <t>MV-105 5 kV 3/C Cu, EPR 133%, tape shield, gnd, PVC jacket</t>
        </is>
      </c>
      <c r="K5288" s="12" t="inlineStr">
        <is>
          <t>MV5|3/C|250</t>
        </is>
      </c>
      <c r="L5288" s="12" t="inlineStr">
        <is>
          <t>3/C</t>
        </is>
      </c>
      <c r="M5288" s="12" t="inlineStr">
        <is>
          <t>250 kcmil</t>
        </is>
      </c>
      <c r="N5288" s="12" t="n">
        <v>1</v>
      </c>
      <c r="O5288" s="12" t="n">
        <v>1</v>
      </c>
      <c r="P5288" s="12" t="n">
        <v>4160</v>
      </c>
      <c r="Q5288" s="12" t="n">
        <v>1500</v>
      </c>
      <c r="R5288" s="12" t="n">
        <v>231</v>
      </c>
      <c r="S5288" s="12" t="inlineStr">
        <is>
          <t>Duct bank</t>
        </is>
      </c>
      <c r="T5288" s="16" t="n">
        <v>10</v>
      </c>
      <c r="U5288" s="16" t="n">
        <v>32</v>
      </c>
      <c r="V5288" s="16">
        <f>ROUNDUP((T5288+U5288+2*'Read Me'!$B$13)*(1+'Read Me'!$B$12),-1)</f>
        <v/>
      </c>
      <c r="W5288" s="16">
        <f>V5288*N5288*O5288</f>
        <v/>
      </c>
      <c r="X5288" s="12">
        <f>IF(LEFT(I5288,2)="MV",2*N5288*IF(L5288="1/C",O5288,1),0)</f>
        <v/>
      </c>
      <c r="Y5288" s="12">
        <f>IF(OR(LEFT(K5288,4)="LVAX",LEFT(K5288,6)="MV15AX",LEFT(K5288,4)="CTAX",LEFT(K5288,2)="W|"),2*N5288*O5288,0)</f>
        <v/>
      </c>
      <c r="Z5288" s="12" t="inlineStr"/>
      <c r="AA5288" s="12">
        <f>N5288*O5288</f>
        <v/>
      </c>
    </row>
    <row r="5289">
      <c r="A5289" s="12" t="inlineStr">
        <is>
          <t>J-MV-0010</t>
        </is>
      </c>
      <c r="B5289" s="12" t="inlineStr">
        <is>
          <t>J</t>
        </is>
      </c>
      <c r="C5289" s="12" t="inlineStr">
        <is>
          <t>GT inlet chilling</t>
        </is>
      </c>
      <c r="D5289" s="12" t="inlineStr">
        <is>
          <t>Water-cooled chiller CH-5</t>
        </is>
      </c>
      <c r="E5289" s="12" t="inlineStr"/>
      <c r="F5289" s="12" t="inlineStr">
        <is>
          <t>Inlet-chilling e-house / transformer</t>
        </is>
      </c>
      <c r="G5289" s="12" t="inlineStr"/>
      <c r="H5289" s="12" t="inlineStr">
        <is>
          <t>Chillers x6 (water-cooled)</t>
        </is>
      </c>
      <c r="I5289" s="12" t="inlineStr">
        <is>
          <t>MV 5 kV</t>
        </is>
      </c>
      <c r="J5289" s="12" t="inlineStr">
        <is>
          <t>MV-105 5 kV 3/C Cu, EPR 133%, tape shield, gnd, PVC jacket</t>
        </is>
      </c>
      <c r="K5289" s="12" t="inlineStr">
        <is>
          <t>MV5|3/C|250</t>
        </is>
      </c>
      <c r="L5289" s="12" t="inlineStr">
        <is>
          <t>3/C</t>
        </is>
      </c>
      <c r="M5289" s="12" t="inlineStr">
        <is>
          <t>250 kcmil</t>
        </is>
      </c>
      <c r="N5289" s="12" t="n">
        <v>1</v>
      </c>
      <c r="O5289" s="12" t="n">
        <v>1</v>
      </c>
      <c r="P5289" s="12" t="n">
        <v>4160</v>
      </c>
      <c r="Q5289" s="12" t="n">
        <v>1500</v>
      </c>
      <c r="R5289" s="12" t="n">
        <v>231</v>
      </c>
      <c r="S5289" s="12" t="inlineStr">
        <is>
          <t>Duct bank</t>
        </is>
      </c>
      <c r="T5289" s="16" t="n">
        <v>10</v>
      </c>
      <c r="U5289" s="16" t="n">
        <v>32</v>
      </c>
      <c r="V5289" s="16">
        <f>ROUNDUP((T5289+U5289+2*'Read Me'!$B$13)*(1+'Read Me'!$B$12),-1)</f>
        <v/>
      </c>
      <c r="W5289" s="16">
        <f>V5289*N5289*O5289</f>
        <v/>
      </c>
      <c r="X5289" s="12">
        <f>IF(LEFT(I5289,2)="MV",2*N5289*IF(L5289="1/C",O5289,1),0)</f>
        <v/>
      </c>
      <c r="Y5289" s="12">
        <f>IF(OR(LEFT(K5289,4)="LVAX",LEFT(K5289,6)="MV15AX",LEFT(K5289,4)="CTAX",LEFT(K5289,2)="W|"),2*N5289*O5289,0)</f>
        <v/>
      </c>
      <c r="Z5289" s="12" t="inlineStr"/>
      <c r="AA5289" s="12">
        <f>N5289*O5289</f>
        <v/>
      </c>
    </row>
    <row r="5290">
      <c r="A5290" s="12" t="inlineStr">
        <is>
          <t>J-MV-0011</t>
        </is>
      </c>
      <c r="B5290" s="12" t="inlineStr">
        <is>
          <t>J</t>
        </is>
      </c>
      <c r="C5290" s="12" t="inlineStr">
        <is>
          <t>GT inlet chilling</t>
        </is>
      </c>
      <c r="D5290" s="12" t="inlineStr">
        <is>
          <t>Water-cooled chiller CH-6</t>
        </is>
      </c>
      <c r="E5290" s="12" t="inlineStr"/>
      <c r="F5290" s="12" t="inlineStr">
        <is>
          <t>Inlet-chilling e-house / transformer</t>
        </is>
      </c>
      <c r="G5290" s="12" t="inlineStr"/>
      <c r="H5290" s="12" t="inlineStr">
        <is>
          <t>Chillers x6 (water-cooled)</t>
        </is>
      </c>
      <c r="I5290" s="12" t="inlineStr">
        <is>
          <t>MV 5 kV</t>
        </is>
      </c>
      <c r="J5290" s="12" t="inlineStr">
        <is>
          <t>MV-105 5 kV 3/C Cu, EPR 133%, tape shield, gnd, PVC jacket</t>
        </is>
      </c>
      <c r="K5290" s="12" t="inlineStr">
        <is>
          <t>MV5|3/C|250</t>
        </is>
      </c>
      <c r="L5290" s="12" t="inlineStr">
        <is>
          <t>3/C</t>
        </is>
      </c>
      <c r="M5290" s="12" t="inlineStr">
        <is>
          <t>250 kcmil</t>
        </is>
      </c>
      <c r="N5290" s="12" t="n">
        <v>1</v>
      </c>
      <c r="O5290" s="12" t="n">
        <v>1</v>
      </c>
      <c r="P5290" s="12" t="n">
        <v>4160</v>
      </c>
      <c r="Q5290" s="12" t="n">
        <v>1500</v>
      </c>
      <c r="R5290" s="12" t="n">
        <v>231</v>
      </c>
      <c r="S5290" s="12" t="inlineStr">
        <is>
          <t>Duct bank</t>
        </is>
      </c>
      <c r="T5290" s="16" t="n">
        <v>10</v>
      </c>
      <c r="U5290" s="16" t="n">
        <v>32</v>
      </c>
      <c r="V5290" s="16">
        <f>ROUNDUP((T5290+U5290+2*'Read Me'!$B$13)*(1+'Read Me'!$B$12),-1)</f>
        <v/>
      </c>
      <c r="W5290" s="16">
        <f>V5290*N5290*O5290</f>
        <v/>
      </c>
      <c r="X5290" s="12">
        <f>IF(LEFT(I5290,2)="MV",2*N5290*IF(L5290="1/C",O5290,1),0)</f>
        <v/>
      </c>
      <c r="Y5290" s="12">
        <f>IF(OR(LEFT(K5290,4)="LVAX",LEFT(K5290,6)="MV15AX",LEFT(K5290,4)="CTAX",LEFT(K5290,2)="W|"),2*N5290*O5290,0)</f>
        <v/>
      </c>
      <c r="Z5290" s="12" t="inlineStr"/>
      <c r="AA5290" s="12">
        <f>N5290*O5290</f>
        <v/>
      </c>
    </row>
    <row r="5291">
      <c r="A5291" s="12" t="inlineStr">
        <is>
          <t>K-L-0001</t>
        </is>
      </c>
      <c r="B5291" s="12" t="inlineStr">
        <is>
          <t>K</t>
        </is>
      </c>
      <c r="C5291" s="12" t="inlineStr">
        <is>
          <t>Fuel supply (adjacent market)</t>
        </is>
      </c>
      <c r="D5291" s="12" t="inlineStr">
        <is>
          <t>Lighting, receptacles and small power branch circuits (allowance)</t>
        </is>
      </c>
      <c r="E5291" s="12" t="inlineStr"/>
      <c r="F5291" s="12" t="inlineStr">
        <is>
          <t>H2 20: 13.8 kV e-house</t>
        </is>
      </c>
      <c r="G5291" s="12" t="inlineStr"/>
      <c r="H5291" s="12" t="inlineStr">
        <is>
          <t>H2 20: 13.8 kV e-house</t>
        </is>
      </c>
      <c r="I5291" s="12" t="inlineStr">
        <is>
          <t>Building wire</t>
        </is>
      </c>
      <c r="J5291" s="12" t="inlineStr">
        <is>
          <t>SIMpull THHN/THWN-2 600 V 1/C Cu (lighting, receptacles, small power)</t>
        </is>
      </c>
      <c r="K5291" s="12" t="inlineStr">
        <is>
          <t>THHN|1/C|12</t>
        </is>
      </c>
      <c r="L5291" s="12" t="inlineStr">
        <is>
          <t>1/C</t>
        </is>
      </c>
      <c r="M5291" s="12" t="inlineStr">
        <is>
          <t>12</t>
        </is>
      </c>
      <c r="N5291" s="12" t="n">
        <v>1</v>
      </c>
      <c r="O5291" s="12" t="n">
        <v>1</v>
      </c>
      <c r="P5291" s="12" t="n">
        <v>277</v>
      </c>
      <c r="Q5291" s="12" t="n"/>
      <c r="R5291" s="12" t="n"/>
      <c r="S5291" s="12" t="inlineStr">
        <is>
          <t>Conduit</t>
        </is>
      </c>
      <c r="T5291" s="16" t="n">
        <v>1536</v>
      </c>
      <c r="U5291" s="16" t="n">
        <v>0</v>
      </c>
      <c r="V5291" s="16">
        <f>ROUNDUP((T5291+U5291+2*'Read Me'!$B$13)*(1+'Read Me'!$B$12),-1)</f>
        <v/>
      </c>
      <c r="W5291" s="16">
        <f>V5291*N5291*O5291</f>
        <v/>
      </c>
      <c r="X5291" s="12">
        <f>IF(LEFT(I5291,2)="MV",2*N5291*IF(L5291="1/C",O5291,1),0)</f>
        <v/>
      </c>
      <c r="Y5291" s="12">
        <f>IF(OR(LEFT(K5291,4)="LVAX",LEFT(K5291,6)="MV15AX",LEFT(K5291,4)="CTAX",LEFT(K5291,2)="W|"),2*N5291*O5291,0)</f>
        <v/>
      </c>
      <c r="Z5291" s="12" t="inlineStr">
        <is>
          <t>allowance: 1.6 ft of conductor per ft2 of floor</t>
        </is>
      </c>
      <c r="AA5291" s="12">
        <f>N5291*O5291</f>
        <v/>
      </c>
    </row>
    <row r="5292">
      <c r="A5292" s="12" t="inlineStr">
        <is>
          <t>K-L-0002</t>
        </is>
      </c>
      <c r="B5292" s="12" t="inlineStr">
        <is>
          <t>K</t>
        </is>
      </c>
      <c r="C5292" s="12" t="inlineStr">
        <is>
          <t>Fuel supply (adjacent market)</t>
        </is>
      </c>
      <c r="D5292" s="12" t="inlineStr">
        <is>
          <t>Lighting, receptacles and small power branch circuits (allowance)</t>
        </is>
      </c>
      <c r="E5292" s="12" t="inlineStr"/>
      <c r="F5292" s="12" t="inlineStr">
        <is>
          <t>LNG 17: LNG e-house (13.8 kV / 480 V)</t>
        </is>
      </c>
      <c r="G5292" s="12" t="inlineStr"/>
      <c r="H5292" s="12" t="inlineStr">
        <is>
          <t>LNG 17: LNG e-house (13.8 kV / 480 V)</t>
        </is>
      </c>
      <c r="I5292" s="12" t="inlineStr">
        <is>
          <t>Building wire</t>
        </is>
      </c>
      <c r="J5292" s="12" t="inlineStr">
        <is>
          <t>SIMpull THHN/THWN-2 600 V 1/C Cu (lighting, receptacles, small power)</t>
        </is>
      </c>
      <c r="K5292" s="12" t="inlineStr">
        <is>
          <t>THHN|1/C|12</t>
        </is>
      </c>
      <c r="L5292" s="12" t="inlineStr">
        <is>
          <t>1/C</t>
        </is>
      </c>
      <c r="M5292" s="12" t="inlineStr">
        <is>
          <t>12</t>
        </is>
      </c>
      <c r="N5292" s="12" t="n">
        <v>1</v>
      </c>
      <c r="O5292" s="12" t="n">
        <v>1</v>
      </c>
      <c r="P5292" s="12" t="n">
        <v>277</v>
      </c>
      <c r="Q5292" s="12" t="n"/>
      <c r="R5292" s="12" t="n"/>
      <c r="S5292" s="12" t="inlineStr">
        <is>
          <t>Conduit</t>
        </is>
      </c>
      <c r="T5292" s="16" t="n">
        <v>896</v>
      </c>
      <c r="U5292" s="16" t="n">
        <v>0</v>
      </c>
      <c r="V5292" s="16">
        <f>ROUNDUP((T5292+U5292+2*'Read Me'!$B$13)*(1+'Read Me'!$B$12),-1)</f>
        <v/>
      </c>
      <c r="W5292" s="16">
        <f>V5292*N5292*O5292</f>
        <v/>
      </c>
      <c r="X5292" s="12">
        <f>IF(LEFT(I5292,2)="MV",2*N5292*IF(L5292="1/C",O5292,1),0)</f>
        <v/>
      </c>
      <c r="Y5292" s="12">
        <f>IF(OR(LEFT(K5292,4)="LVAX",LEFT(K5292,6)="MV15AX",LEFT(K5292,4)="CTAX",LEFT(K5292,2)="W|"),2*N5292*O5292,0)</f>
        <v/>
      </c>
      <c r="Z5292" s="12" t="inlineStr">
        <is>
          <t>allowance: 1.6 ft of conductor per ft2 of floor</t>
        </is>
      </c>
      <c r="AA5292" s="12">
        <f>N5292*O5292</f>
        <v/>
      </c>
    </row>
    <row r="5293">
      <c r="A5293" s="12" t="inlineStr">
        <is>
          <t>K-L-0003</t>
        </is>
      </c>
      <c r="B5293" s="12" t="inlineStr">
        <is>
          <t>K</t>
        </is>
      </c>
      <c r="C5293" s="12" t="inlineStr">
        <is>
          <t>Fuel supply (adjacent market)</t>
        </is>
      </c>
      <c r="D5293" s="12" t="inlineStr">
        <is>
          <t>Lighting, receptacles and small power branch circuits (allowance)</t>
        </is>
      </c>
      <c r="E5293" s="12" t="inlineStr"/>
      <c r="F5293" s="12" t="inlineStr">
        <is>
          <t>M&amp;R 6: regulation / flow control building</t>
        </is>
      </c>
      <c r="G5293" s="12" t="inlineStr"/>
      <c r="H5293" s="12" t="inlineStr">
        <is>
          <t>M&amp;R 6: regulation / flow control building</t>
        </is>
      </c>
      <c r="I5293" s="12" t="inlineStr">
        <is>
          <t>Building wire</t>
        </is>
      </c>
      <c r="J5293" s="12" t="inlineStr">
        <is>
          <t>SIMpull THHN/THWN-2 600 V 1/C Cu (lighting, receptacles, small power)</t>
        </is>
      </c>
      <c r="K5293" s="12" t="inlineStr">
        <is>
          <t>THHN|1/C|12</t>
        </is>
      </c>
      <c r="L5293" s="12" t="inlineStr">
        <is>
          <t>1/C</t>
        </is>
      </c>
      <c r="M5293" s="12" t="inlineStr">
        <is>
          <t>12</t>
        </is>
      </c>
      <c r="N5293" s="12" t="n">
        <v>1</v>
      </c>
      <c r="O5293" s="12" t="n">
        <v>1</v>
      </c>
      <c r="P5293" s="12" t="n">
        <v>277</v>
      </c>
      <c r="Q5293" s="12" t="n"/>
      <c r="R5293" s="12" t="n"/>
      <c r="S5293" s="12" t="inlineStr">
        <is>
          <t>Conduit</t>
        </is>
      </c>
      <c r="T5293" s="16" t="n">
        <v>1440</v>
      </c>
      <c r="U5293" s="16" t="n">
        <v>0</v>
      </c>
      <c r="V5293" s="16">
        <f>ROUNDUP((T5293+U5293+2*'Read Me'!$B$13)*(1+'Read Me'!$B$12),-1)</f>
        <v/>
      </c>
      <c r="W5293" s="16">
        <f>V5293*N5293*O5293</f>
        <v/>
      </c>
      <c r="X5293" s="12">
        <f>IF(LEFT(I5293,2)="MV",2*N5293*IF(L5293="1/C",O5293,1),0)</f>
        <v/>
      </c>
      <c r="Y5293" s="12">
        <f>IF(OR(LEFT(K5293,4)="LVAX",LEFT(K5293,6)="MV15AX",LEFT(K5293,4)="CTAX",LEFT(K5293,2)="W|"),2*N5293*O5293,0)</f>
        <v/>
      </c>
      <c r="Z5293" s="12" t="inlineStr">
        <is>
          <t>allowance: 1.6 ft of conductor per ft2 of floor</t>
        </is>
      </c>
      <c r="AA5293" s="12">
        <f>N5293*O5293</f>
        <v/>
      </c>
    </row>
    <row r="5294">
      <c r="A5294" s="12" t="inlineStr">
        <is>
          <t>K-L-0004</t>
        </is>
      </c>
      <c r="B5294" s="12" t="inlineStr">
        <is>
          <t>K</t>
        </is>
      </c>
      <c r="C5294" s="12" t="inlineStr">
        <is>
          <t>Fuel supply (adjacent market)</t>
        </is>
      </c>
      <c r="D5294" s="12" t="inlineStr">
        <is>
          <t>Lighting, receptacles and small power branch circuits (allowance)</t>
        </is>
      </c>
      <c r="E5294" s="12" t="inlineStr"/>
      <c r="F5294" s="12" t="inlineStr">
        <is>
          <t>M&amp;R 7: gas quality + measurement building</t>
        </is>
      </c>
      <c r="G5294" s="12" t="inlineStr"/>
      <c r="H5294" s="12" t="inlineStr">
        <is>
          <t>M&amp;R 7: gas quality + measurement building</t>
        </is>
      </c>
      <c r="I5294" s="12" t="inlineStr">
        <is>
          <t>Building wire</t>
        </is>
      </c>
      <c r="J5294" s="12" t="inlineStr">
        <is>
          <t>SIMpull THHN/THWN-2 600 V 1/C Cu (lighting, receptacles, small power)</t>
        </is>
      </c>
      <c r="K5294" s="12" t="inlineStr">
        <is>
          <t>THHN|1/C|12</t>
        </is>
      </c>
      <c r="L5294" s="12" t="inlineStr">
        <is>
          <t>1/C</t>
        </is>
      </c>
      <c r="M5294" s="12" t="inlineStr">
        <is>
          <t>12</t>
        </is>
      </c>
      <c r="N5294" s="12" t="n">
        <v>1</v>
      </c>
      <c r="O5294" s="12" t="n">
        <v>1</v>
      </c>
      <c r="P5294" s="12" t="n">
        <v>277</v>
      </c>
      <c r="Q5294" s="12" t="n"/>
      <c r="R5294" s="12" t="n"/>
      <c r="S5294" s="12" t="inlineStr">
        <is>
          <t>Conduit</t>
        </is>
      </c>
      <c r="T5294" s="16" t="n">
        <v>205</v>
      </c>
      <c r="U5294" s="16" t="n">
        <v>0</v>
      </c>
      <c r="V5294" s="16">
        <f>ROUNDUP((T5294+U5294+2*'Read Me'!$B$13)*(1+'Read Me'!$B$12),-1)</f>
        <v/>
      </c>
      <c r="W5294" s="16">
        <f>V5294*N5294*O5294</f>
        <v/>
      </c>
      <c r="X5294" s="12">
        <f>IF(LEFT(I5294,2)="MV",2*N5294*IF(L5294="1/C",O5294,1),0)</f>
        <v/>
      </c>
      <c r="Y5294" s="12">
        <f>IF(OR(LEFT(K5294,4)="LVAX",LEFT(K5294,6)="MV15AX",LEFT(K5294,4)="CTAX",LEFT(K5294,2)="W|"),2*N5294*O5294,0)</f>
        <v/>
      </c>
      <c r="Z5294" s="12" t="inlineStr">
        <is>
          <t>allowance: 1.6 ft of conductor per ft2 of floor</t>
        </is>
      </c>
      <c r="AA5294" s="12">
        <f>N5294*O5294</f>
        <v/>
      </c>
    </row>
    <row r="5295">
      <c r="A5295" s="12" t="inlineStr">
        <is>
          <t>K-C-0001</t>
        </is>
      </c>
      <c r="B5295" s="12" t="inlineStr">
        <is>
          <t>K</t>
        </is>
      </c>
      <c r="C5295" s="12" t="inlineStr">
        <is>
          <t>Fuel supply (adjacent market)</t>
        </is>
      </c>
      <c r="D5295" s="12" t="inlineStr">
        <is>
          <t>Motor 1 of 1: control / local station</t>
        </is>
      </c>
      <c r="E5295" s="12" t="inlineStr"/>
      <c r="F5295" s="12" t="inlineStr">
        <is>
          <t>H2 20: 13.8 kV e-house</t>
        </is>
      </c>
      <c r="G5295" s="12" t="inlineStr">
        <is>
          <t>T-H2</t>
        </is>
      </c>
      <c r="H5295" s="12" t="inlineStr">
        <is>
          <t>H2 19: T-H2 230/13.8 kV (about 40 MVA)</t>
        </is>
      </c>
      <c r="I5295" s="12" t="inlineStr">
        <is>
          <t>Control</t>
        </is>
      </c>
      <c r="J5295" s="12" t="inlineStr">
        <is>
          <t>ARMOR-X MC-HL 600 V control, Cu #14 AWG (Class I Div 2)</t>
        </is>
      </c>
      <c r="K5295" s="12" t="inlineStr">
        <is>
          <t>CTAX|7/C|14</t>
        </is>
      </c>
      <c r="L5295" s="12" t="inlineStr">
        <is>
          <t>7/C</t>
        </is>
      </c>
      <c r="M5295" s="12" t="inlineStr">
        <is>
          <t>14</t>
        </is>
      </c>
      <c r="N5295" s="12" t="n">
        <v>1</v>
      </c>
      <c r="O5295" s="12" t="n">
        <v>1</v>
      </c>
      <c r="P5295" s="12" t="n"/>
      <c r="Q5295" s="12" t="n"/>
      <c r="R5295" s="12" t="n"/>
      <c r="S5295" s="12" t="inlineStr">
        <is>
          <t>Duct bank</t>
        </is>
      </c>
      <c r="T5295" s="16" t="n">
        <v>35</v>
      </c>
      <c r="U5295" s="16" t="n">
        <v>32</v>
      </c>
      <c r="V5295" s="16">
        <f>ROUNDUP((T5295+U5295+2*'Read Me'!$B$13)*(1+'Read Me'!$B$12),-1)</f>
        <v/>
      </c>
      <c r="W5295" s="16">
        <f>V5295*N5295*O5295</f>
        <v/>
      </c>
      <c r="X5295" s="12">
        <f>IF(LEFT(I5295,2)="MV",2*N5295*IF(L5295="1/C",O5295,1),0)</f>
        <v/>
      </c>
      <c r="Y5295" s="12">
        <f>IF(OR(LEFT(K5295,4)="LVAX",LEFT(K5295,6)="MV15AX",LEFT(K5295,4)="CTAX",LEFT(K5295,2)="W|"),2*N5295*O5295,0)</f>
        <v/>
      </c>
      <c r="Z5295" s="12" t="inlineStr"/>
      <c r="AA5295" s="12">
        <f>N5295*O5295</f>
        <v/>
      </c>
    </row>
    <row r="5296">
      <c r="A5296" s="12" t="inlineStr">
        <is>
          <t>K-C-0002</t>
        </is>
      </c>
      <c r="B5296" s="12" t="inlineStr">
        <is>
          <t>K</t>
        </is>
      </c>
      <c r="C5296" s="12" t="inlineStr">
        <is>
          <t>Fuel supply (adjacent market)</t>
        </is>
      </c>
      <c r="D5296" s="12" t="inlineStr">
        <is>
          <t>Solenoid to JB JB-T-H2-SOL01: 2 x 2/C (field cables)</t>
        </is>
      </c>
      <c r="E5296" s="12" t="inlineStr">
        <is>
          <t>T-H2</t>
        </is>
      </c>
      <c r="F5296" s="12" t="inlineStr">
        <is>
          <t>H2 19: T-H2 230/13.8 kV (about 40 MVA)</t>
        </is>
      </c>
      <c r="G5296" s="12" t="inlineStr">
        <is>
          <t>JB-T-H2-SOL01</t>
        </is>
      </c>
      <c r="H5296" s="12" t="inlineStr">
        <is>
          <t>H2 19: T-H2 230/13.8 kV (about 40 MVA)</t>
        </is>
      </c>
      <c r="I5296" s="12" t="inlineStr">
        <is>
          <t>Control</t>
        </is>
      </c>
      <c r="J5296" s="12" t="inlineStr">
        <is>
          <t>ARMOR-X MC-HL 600 V control, Cu #14 AWG (Class I Div 2)</t>
        </is>
      </c>
      <c r="K5296" s="12" t="inlineStr">
        <is>
          <t>CTAX|2/C|14</t>
        </is>
      </c>
      <c r="L5296" s="12" t="inlineStr">
        <is>
          <t>2/C</t>
        </is>
      </c>
      <c r="M5296" s="12" t="inlineStr">
        <is>
          <t>14</t>
        </is>
      </c>
      <c r="N5296" s="12" t="n">
        <v>2</v>
      </c>
      <c r="O5296" s="12" t="n">
        <v>1</v>
      </c>
      <c r="P5296" s="12" t="n"/>
      <c r="Q5296" s="12" t="n"/>
      <c r="R5296" s="12" t="n"/>
      <c r="S5296" s="12" t="inlineStr">
        <is>
          <t>Tray / conduit</t>
        </is>
      </c>
      <c r="T5296" s="16" t="n">
        <v>80</v>
      </c>
      <c r="U5296" s="16" t="n">
        <v>10</v>
      </c>
      <c r="V5296" s="16">
        <f>ROUNDUP((T5296+U5296+2*'Read Me'!$B$13)*(1+'Read Me'!$B$12),-1)</f>
        <v/>
      </c>
      <c r="W5296" s="16">
        <f>V5296*N5296*O5296</f>
        <v/>
      </c>
      <c r="X5296" s="12">
        <f>IF(LEFT(I5296,2)="MV",2*N5296*IF(L5296="1/C",O5296,1),0)</f>
        <v/>
      </c>
      <c r="Y5296" s="12">
        <f>IF(OR(LEFT(K5296,4)="LVAX",LEFT(K5296,6)="MV15AX",LEFT(K5296,4)="CTAX",LEFT(K5296,2)="W|"),2*N5296*O5296,0)</f>
        <v/>
      </c>
      <c r="Z5296" s="12" t="inlineStr">
        <is>
          <t>device-to-JB field wiring, one cable per device</t>
        </is>
      </c>
      <c r="AA5296" s="12">
        <f>N5296*O5296</f>
        <v/>
      </c>
    </row>
    <row r="5297">
      <c r="A5297" s="12" t="inlineStr">
        <is>
          <t>K-C-0003</t>
        </is>
      </c>
      <c r="B5297" s="12" t="inlineStr">
        <is>
          <t>K</t>
        </is>
      </c>
      <c r="C5297" s="12" t="inlineStr">
        <is>
          <t>Fuel supply (adjacent market)</t>
        </is>
      </c>
      <c r="D5297" s="12" t="inlineStr">
        <is>
          <t>Home run JB-T-H2-SOL01 to the control / marshalling room</t>
        </is>
      </c>
      <c r="E5297" s="12" t="inlineStr"/>
      <c r="F5297" s="12" t="inlineStr">
        <is>
          <t>H2 20: 13.8 kV e-house</t>
        </is>
      </c>
      <c r="G5297" s="12" t="inlineStr">
        <is>
          <t>JB-T-H2-SOL01</t>
        </is>
      </c>
      <c r="H5297" s="12" t="inlineStr">
        <is>
          <t>H2 19: T-H2 230/13.8 kV (about 40 MVA)</t>
        </is>
      </c>
      <c r="I5297" s="12" t="inlineStr">
        <is>
          <t>Control</t>
        </is>
      </c>
      <c r="J5297" s="12" t="inlineStr">
        <is>
          <t>ARMOR-X MC-HL 600 V control, Cu #14 AWG (Class I Div 2)</t>
        </is>
      </c>
      <c r="K5297" s="12" t="inlineStr">
        <is>
          <t>CTAX|25/C|14</t>
        </is>
      </c>
      <c r="L5297" s="12" t="inlineStr">
        <is>
          <t>25/C</t>
        </is>
      </c>
      <c r="M5297" s="12" t="inlineStr">
        <is>
          <t>14</t>
        </is>
      </c>
      <c r="N5297" s="12" t="n">
        <v>1</v>
      </c>
      <c r="O5297" s="12" t="n">
        <v>1</v>
      </c>
      <c r="P5297" s="12" t="n"/>
      <c r="Q5297" s="12" t="n"/>
      <c r="R5297" s="12" t="n"/>
      <c r="S5297" s="12" t="inlineStr">
        <is>
          <t>Duct bank</t>
        </is>
      </c>
      <c r="T5297" s="16" t="n">
        <v>35</v>
      </c>
      <c r="U5297" s="16" t="n">
        <v>32</v>
      </c>
      <c r="V5297" s="16">
        <f>ROUNDUP((T5297+U5297+2*'Read Me'!$B$13)*(1+'Read Me'!$B$12),-1)</f>
        <v/>
      </c>
      <c r="W5297" s="16">
        <f>V5297*N5297*O5297</f>
        <v/>
      </c>
      <c r="X5297" s="12">
        <f>IF(LEFT(I5297,2)="MV",2*N5297*IF(L5297="1/C",O5297,1),0)</f>
        <v/>
      </c>
      <c r="Y5297" s="12">
        <f>IF(OR(LEFT(K5297,4)="LVAX",LEFT(K5297,6)="MV15AX",LEFT(K5297,4)="CTAX",LEFT(K5297,2)="W|"),2*N5297*O5297,0)</f>
        <v/>
      </c>
      <c r="Z5297" s="12" t="inlineStr"/>
      <c r="AA5297" s="12">
        <f>N5297*O5297</f>
        <v/>
      </c>
    </row>
    <row r="5298">
      <c r="A5298" s="12" t="inlineStr">
        <is>
          <t>K-C-0004</t>
        </is>
      </c>
      <c r="B5298" s="12" t="inlineStr">
        <is>
          <t>K</t>
        </is>
      </c>
      <c r="C5298" s="12" t="inlineStr">
        <is>
          <t>Fuel supply (adjacent market)</t>
        </is>
      </c>
      <c r="D5298" s="12" t="inlineStr">
        <is>
          <t>Motor 1 of 1: control / local station</t>
        </is>
      </c>
      <c r="E5298" s="12" t="inlineStr"/>
      <c r="F5298" s="12" t="inlineStr">
        <is>
          <t>H2 20: 13.8 kV e-house</t>
        </is>
      </c>
      <c r="G5298" s="12" t="inlineStr"/>
      <c r="H5298" s="12" t="inlineStr">
        <is>
          <t>H2 20: 13.8 kV e-house</t>
        </is>
      </c>
      <c r="I5298" s="12" t="inlineStr">
        <is>
          <t>Control</t>
        </is>
      </c>
      <c r="J5298" s="12" t="inlineStr">
        <is>
          <t>ARMOR-X MC-HL 600 V control, Cu #14 AWG (Class I Div 2)</t>
        </is>
      </c>
      <c r="K5298" s="12" t="inlineStr">
        <is>
          <t>CTAX|7/C|14</t>
        </is>
      </c>
      <c r="L5298" s="12" t="inlineStr">
        <is>
          <t>7/C</t>
        </is>
      </c>
      <c r="M5298" s="12" t="inlineStr">
        <is>
          <t>14</t>
        </is>
      </c>
      <c r="N5298" s="12" t="n">
        <v>1</v>
      </c>
      <c r="O5298" s="12" t="n">
        <v>1</v>
      </c>
      <c r="P5298" s="12" t="n"/>
      <c r="Q5298" s="12" t="n"/>
      <c r="R5298" s="12" t="n"/>
      <c r="S5298" s="12" t="inlineStr">
        <is>
          <t>Tray</t>
        </is>
      </c>
      <c r="T5298" s="16" t="n">
        <v>0</v>
      </c>
      <c r="U5298" s="16" t="n">
        <v>32</v>
      </c>
      <c r="V5298" s="16">
        <f>ROUNDUP((T5298+U5298+2*'Read Me'!$B$13)*(1+'Read Me'!$B$12),-1)</f>
        <v/>
      </c>
      <c r="W5298" s="16">
        <f>V5298*N5298*O5298</f>
        <v/>
      </c>
      <c r="X5298" s="12">
        <f>IF(LEFT(I5298,2)="MV",2*N5298*IF(L5298="1/C",O5298,1),0)</f>
        <v/>
      </c>
      <c r="Y5298" s="12">
        <f>IF(OR(LEFT(K5298,4)="LVAX",LEFT(K5298,6)="MV15AX",LEFT(K5298,4)="CTAX",LEFT(K5298,2)="W|"),2*N5298*O5298,0)</f>
        <v/>
      </c>
      <c r="Z5298" s="12" t="inlineStr"/>
      <c r="AA5298" s="12">
        <f>N5298*O5298</f>
        <v/>
      </c>
    </row>
    <row r="5299">
      <c r="A5299" s="12" t="inlineStr">
        <is>
          <t>K-C-0005</t>
        </is>
      </c>
      <c r="B5299" s="12" t="inlineStr">
        <is>
          <t>K</t>
        </is>
      </c>
      <c r="C5299" s="12" t="inlineStr">
        <is>
          <t>Fuel supply (adjacent market)</t>
        </is>
      </c>
      <c r="D5299" s="12" t="inlineStr">
        <is>
          <t>Solenoid to JB JB-H2 20: 13.8 kV e-h-SOL01: 2 x 2/C (field cables)</t>
        </is>
      </c>
      <c r="E5299" s="12" t="inlineStr"/>
      <c r="F5299" s="12" t="inlineStr">
        <is>
          <t>H2 20: 13.8 kV e-house</t>
        </is>
      </c>
      <c r="G5299" s="12" t="inlineStr">
        <is>
          <t>JB-H2 20: 13.8 kV e-h-SOL01</t>
        </is>
      </c>
      <c r="H5299" s="12" t="inlineStr">
        <is>
          <t>H2 20: 13.8 kV e-house</t>
        </is>
      </c>
      <c r="I5299" s="12" t="inlineStr">
        <is>
          <t>Control</t>
        </is>
      </c>
      <c r="J5299" s="12" t="inlineStr">
        <is>
          <t>ARMOR-X MC-HL 600 V control, Cu #14 AWG (Class I Div 2)</t>
        </is>
      </c>
      <c r="K5299" s="12" t="inlineStr">
        <is>
          <t>CTAX|2/C|14</t>
        </is>
      </c>
      <c r="L5299" s="12" t="inlineStr">
        <is>
          <t>2/C</t>
        </is>
      </c>
      <c r="M5299" s="12" t="inlineStr">
        <is>
          <t>14</t>
        </is>
      </c>
      <c r="N5299" s="12" t="n">
        <v>2</v>
      </c>
      <c r="O5299" s="12" t="n">
        <v>1</v>
      </c>
      <c r="P5299" s="12" t="n"/>
      <c r="Q5299" s="12" t="n"/>
      <c r="R5299" s="12" t="n"/>
      <c r="S5299" s="12" t="inlineStr">
        <is>
          <t>Tray / conduit</t>
        </is>
      </c>
      <c r="T5299" s="16" t="n">
        <v>69</v>
      </c>
      <c r="U5299" s="16" t="n">
        <v>10</v>
      </c>
      <c r="V5299" s="16">
        <f>ROUNDUP((T5299+U5299+2*'Read Me'!$B$13)*(1+'Read Me'!$B$12),-1)</f>
        <v/>
      </c>
      <c r="W5299" s="16">
        <f>V5299*N5299*O5299</f>
        <v/>
      </c>
      <c r="X5299" s="12">
        <f>IF(LEFT(I5299,2)="MV",2*N5299*IF(L5299="1/C",O5299,1),0)</f>
        <v/>
      </c>
      <c r="Y5299" s="12">
        <f>IF(OR(LEFT(K5299,4)="LVAX",LEFT(K5299,6)="MV15AX",LEFT(K5299,4)="CTAX",LEFT(K5299,2)="W|"),2*N5299*O5299,0)</f>
        <v/>
      </c>
      <c r="Z5299" s="12" t="inlineStr">
        <is>
          <t>device-to-JB field wiring, one cable per device</t>
        </is>
      </c>
      <c r="AA5299" s="12">
        <f>N5299*O5299</f>
        <v/>
      </c>
    </row>
    <row r="5300">
      <c r="A5300" s="12" t="inlineStr">
        <is>
          <t>K-C-0006</t>
        </is>
      </c>
      <c r="B5300" s="12" t="inlineStr">
        <is>
          <t>K</t>
        </is>
      </c>
      <c r="C5300" s="12" t="inlineStr">
        <is>
          <t>Fuel supply (adjacent market)</t>
        </is>
      </c>
      <c r="D5300" s="12" t="inlineStr">
        <is>
          <t>Home run JB-H2 20: 13.8 kV e-h-SOL01 to the control / marshalling room</t>
        </is>
      </c>
      <c r="E5300" s="12" t="inlineStr"/>
      <c r="F5300" s="12" t="inlineStr">
        <is>
          <t>H2 20: 13.8 kV e-house</t>
        </is>
      </c>
      <c r="G5300" s="12" t="inlineStr">
        <is>
          <t>JB-H2 20: 13.8 kV e-h-SOL01</t>
        </is>
      </c>
      <c r="H5300" s="12" t="inlineStr">
        <is>
          <t>H2 20: 13.8 kV e-house</t>
        </is>
      </c>
      <c r="I5300" s="12" t="inlineStr">
        <is>
          <t>Control</t>
        </is>
      </c>
      <c r="J5300" s="12" t="inlineStr">
        <is>
          <t>ARMOR-X MC-HL 600 V control, Cu #14 AWG (Class I Div 2)</t>
        </is>
      </c>
      <c r="K5300" s="12" t="inlineStr">
        <is>
          <t>CTAX|25/C|14</t>
        </is>
      </c>
      <c r="L5300" s="12" t="inlineStr">
        <is>
          <t>25/C</t>
        </is>
      </c>
      <c r="M5300" s="12" t="inlineStr">
        <is>
          <t>14</t>
        </is>
      </c>
      <c r="N5300" s="12" t="n">
        <v>1</v>
      </c>
      <c r="O5300" s="12" t="n">
        <v>1</v>
      </c>
      <c r="P5300" s="12" t="n"/>
      <c r="Q5300" s="12" t="n"/>
      <c r="R5300" s="12" t="n"/>
      <c r="S5300" s="12" t="inlineStr">
        <is>
          <t>Tray</t>
        </is>
      </c>
      <c r="T5300" s="16" t="n">
        <v>0</v>
      </c>
      <c r="U5300" s="16" t="n">
        <v>32</v>
      </c>
      <c r="V5300" s="16">
        <f>ROUNDUP((T5300+U5300+2*'Read Me'!$B$13)*(1+'Read Me'!$B$12),-1)</f>
        <v/>
      </c>
      <c r="W5300" s="16">
        <f>V5300*N5300*O5300</f>
        <v/>
      </c>
      <c r="X5300" s="12">
        <f>IF(LEFT(I5300,2)="MV",2*N5300*IF(L5300="1/C",O5300,1),0)</f>
        <v/>
      </c>
      <c r="Y5300" s="12">
        <f>IF(OR(LEFT(K5300,4)="LVAX",LEFT(K5300,6)="MV15AX",LEFT(K5300,4)="CTAX",LEFT(K5300,2)="W|"),2*N5300*O5300,0)</f>
        <v/>
      </c>
      <c r="Z5300" s="12" t="inlineStr"/>
      <c r="AA5300" s="12">
        <f>N5300*O5300</f>
        <v/>
      </c>
    </row>
    <row r="5301">
      <c r="A5301" s="12" t="inlineStr">
        <is>
          <t>K-C-0007</t>
        </is>
      </c>
      <c r="B5301" s="12" t="inlineStr">
        <is>
          <t>K</t>
        </is>
      </c>
      <c r="C5301" s="12" t="inlineStr">
        <is>
          <t>Fuel supply (adjacent market)</t>
        </is>
      </c>
      <c r="D5301" s="12" t="inlineStr">
        <is>
          <t>Motor 1 of 1: control / local station</t>
        </is>
      </c>
      <c r="E5301" s="12" t="inlineStr"/>
      <c r="F5301" s="12" t="inlineStr">
        <is>
          <t>H2 20: 13.8 kV e-house</t>
        </is>
      </c>
      <c r="G5301" s="12" t="inlineStr"/>
      <c r="H5301" s="12" t="inlineStr">
        <is>
          <t>H2 21: rectifier transformer 1 (7 MVA)</t>
        </is>
      </c>
      <c r="I5301" s="12" t="inlineStr">
        <is>
          <t>Control</t>
        </is>
      </c>
      <c r="J5301" s="12" t="inlineStr">
        <is>
          <t>ARMOR-X MC-HL 600 V control, Cu #14 AWG (Class I Div 2)</t>
        </is>
      </c>
      <c r="K5301" s="12" t="inlineStr">
        <is>
          <t>CTAX|7/C|14</t>
        </is>
      </c>
      <c r="L5301" s="12" t="inlineStr">
        <is>
          <t>7/C</t>
        </is>
      </c>
      <c r="M5301" s="12" t="inlineStr">
        <is>
          <t>14</t>
        </is>
      </c>
      <c r="N5301" s="12" t="n">
        <v>1</v>
      </c>
      <c r="O5301" s="12" t="n">
        <v>1</v>
      </c>
      <c r="P5301" s="12" t="n"/>
      <c r="Q5301" s="12" t="n"/>
      <c r="R5301" s="12" t="n"/>
      <c r="S5301" s="12" t="inlineStr">
        <is>
          <t>Duct bank</t>
        </is>
      </c>
      <c r="T5301" s="16" t="n">
        <v>356</v>
      </c>
      <c r="U5301" s="16" t="n">
        <v>48</v>
      </c>
      <c r="V5301" s="16">
        <f>ROUNDUP((T5301+U5301+2*'Read Me'!$B$13)*(1+'Read Me'!$B$12),-1)</f>
        <v/>
      </c>
      <c r="W5301" s="16">
        <f>V5301*N5301*O5301</f>
        <v/>
      </c>
      <c r="X5301" s="12">
        <f>IF(LEFT(I5301,2)="MV",2*N5301*IF(L5301="1/C",O5301,1),0)</f>
        <v/>
      </c>
      <c r="Y5301" s="12">
        <f>IF(OR(LEFT(K5301,4)="LVAX",LEFT(K5301,6)="MV15AX",LEFT(K5301,4)="CTAX",LEFT(K5301,2)="W|"),2*N5301*O5301,0)</f>
        <v/>
      </c>
      <c r="Z5301" s="12" t="inlineStr"/>
      <c r="AA5301" s="12">
        <f>N5301*O5301</f>
        <v/>
      </c>
    </row>
    <row r="5302">
      <c r="A5302" s="12" t="inlineStr">
        <is>
          <t>K-C-0008</t>
        </is>
      </c>
      <c r="B5302" s="12" t="inlineStr">
        <is>
          <t>K</t>
        </is>
      </c>
      <c r="C5302" s="12" t="inlineStr">
        <is>
          <t>Fuel supply (adjacent market)</t>
        </is>
      </c>
      <c r="D5302" s="12" t="inlineStr">
        <is>
          <t>Solenoid to JB JB-H2 21: rectifier t-SOL01: 2 x 2/C (field cables)</t>
        </is>
      </c>
      <c r="E5302" s="12" t="inlineStr"/>
      <c r="F5302" s="12" t="inlineStr">
        <is>
          <t>H2 21: rectifier transformer 1 (7 MVA)</t>
        </is>
      </c>
      <c r="G5302" s="12" t="inlineStr">
        <is>
          <t>JB-H2 21: rectifier t-SOL01</t>
        </is>
      </c>
      <c r="H5302" s="12" t="inlineStr">
        <is>
          <t>H2 21: rectifier transformer 1 (7 MVA)</t>
        </is>
      </c>
      <c r="I5302" s="12" t="inlineStr">
        <is>
          <t>Control</t>
        </is>
      </c>
      <c r="J5302" s="12" t="inlineStr">
        <is>
          <t>ARMOR-X MC-HL 600 V control, Cu #14 AWG (Class I Div 2)</t>
        </is>
      </c>
      <c r="K5302" s="12" t="inlineStr">
        <is>
          <t>CTAX|2/C|14</t>
        </is>
      </c>
      <c r="L5302" s="12" t="inlineStr">
        <is>
          <t>2/C</t>
        </is>
      </c>
      <c r="M5302" s="12" t="inlineStr">
        <is>
          <t>14</t>
        </is>
      </c>
      <c r="N5302" s="12" t="n">
        <v>2</v>
      </c>
      <c r="O5302" s="12" t="n">
        <v>1</v>
      </c>
      <c r="P5302" s="12" t="n"/>
      <c r="Q5302" s="12" t="n"/>
      <c r="R5302" s="12" t="n"/>
      <c r="S5302" s="12" t="inlineStr">
        <is>
          <t>Tray / conduit</t>
        </is>
      </c>
      <c r="T5302" s="16" t="n">
        <v>41</v>
      </c>
      <c r="U5302" s="16" t="n">
        <v>10</v>
      </c>
      <c r="V5302" s="16">
        <f>ROUNDUP((T5302+U5302+2*'Read Me'!$B$13)*(1+'Read Me'!$B$12),-1)</f>
        <v/>
      </c>
      <c r="W5302" s="16">
        <f>V5302*N5302*O5302</f>
        <v/>
      </c>
      <c r="X5302" s="12">
        <f>IF(LEFT(I5302,2)="MV",2*N5302*IF(L5302="1/C",O5302,1),0)</f>
        <v/>
      </c>
      <c r="Y5302" s="12">
        <f>IF(OR(LEFT(K5302,4)="LVAX",LEFT(K5302,6)="MV15AX",LEFT(K5302,4)="CTAX",LEFT(K5302,2)="W|"),2*N5302*O5302,0)</f>
        <v/>
      </c>
      <c r="Z5302" s="12" t="inlineStr">
        <is>
          <t>device-to-JB field wiring, one cable per device</t>
        </is>
      </c>
      <c r="AA5302" s="12">
        <f>N5302*O5302</f>
        <v/>
      </c>
    </row>
    <row r="5303">
      <c r="A5303" s="12" t="inlineStr">
        <is>
          <t>K-C-0009</t>
        </is>
      </c>
      <c r="B5303" s="12" t="inlineStr">
        <is>
          <t>K</t>
        </is>
      </c>
      <c r="C5303" s="12" t="inlineStr">
        <is>
          <t>Fuel supply (adjacent market)</t>
        </is>
      </c>
      <c r="D5303" s="12" t="inlineStr">
        <is>
          <t>Home run JB-H2 21: rectifier t-SOL01 to the control / marshalling room</t>
        </is>
      </c>
      <c r="E5303" s="12" t="inlineStr"/>
      <c r="F5303" s="12" t="inlineStr">
        <is>
          <t>H2 20: 13.8 kV e-house</t>
        </is>
      </c>
      <c r="G5303" s="12" t="inlineStr">
        <is>
          <t>JB-H2 21: rectifier t-SOL01</t>
        </is>
      </c>
      <c r="H5303" s="12" t="inlineStr">
        <is>
          <t>H2 21: rectifier transformer 1 (7 MVA)</t>
        </is>
      </c>
      <c r="I5303" s="12" t="inlineStr">
        <is>
          <t>Control</t>
        </is>
      </c>
      <c r="J5303" s="12" t="inlineStr">
        <is>
          <t>ARMOR-X MC-HL 600 V control, Cu #14 AWG (Class I Div 2)</t>
        </is>
      </c>
      <c r="K5303" s="12" t="inlineStr">
        <is>
          <t>CTAX|25/C|14</t>
        </is>
      </c>
      <c r="L5303" s="12" t="inlineStr">
        <is>
          <t>25/C</t>
        </is>
      </c>
      <c r="M5303" s="12" t="inlineStr">
        <is>
          <t>14</t>
        </is>
      </c>
      <c r="N5303" s="12" t="n">
        <v>1</v>
      </c>
      <c r="O5303" s="12" t="n">
        <v>1</v>
      </c>
      <c r="P5303" s="12" t="n"/>
      <c r="Q5303" s="12" t="n"/>
      <c r="R5303" s="12" t="n"/>
      <c r="S5303" s="12" t="inlineStr">
        <is>
          <t>Duct bank</t>
        </is>
      </c>
      <c r="T5303" s="16" t="n">
        <v>356</v>
      </c>
      <c r="U5303" s="16" t="n">
        <v>48</v>
      </c>
      <c r="V5303" s="16">
        <f>ROUNDUP((T5303+U5303+2*'Read Me'!$B$13)*(1+'Read Me'!$B$12),-1)</f>
        <v/>
      </c>
      <c r="W5303" s="16">
        <f>V5303*N5303*O5303</f>
        <v/>
      </c>
      <c r="X5303" s="12">
        <f>IF(LEFT(I5303,2)="MV",2*N5303*IF(L5303="1/C",O5303,1),0)</f>
        <v/>
      </c>
      <c r="Y5303" s="12">
        <f>IF(OR(LEFT(K5303,4)="LVAX",LEFT(K5303,6)="MV15AX",LEFT(K5303,4)="CTAX",LEFT(K5303,2)="W|"),2*N5303*O5303,0)</f>
        <v/>
      </c>
      <c r="Z5303" s="12" t="inlineStr"/>
      <c r="AA5303" s="12">
        <f>N5303*O5303</f>
        <v/>
      </c>
    </row>
    <row r="5304">
      <c r="A5304" s="12" t="inlineStr">
        <is>
          <t>K-C-0010</t>
        </is>
      </c>
      <c r="B5304" s="12" t="inlineStr">
        <is>
          <t>K</t>
        </is>
      </c>
      <c r="C5304" s="12" t="inlineStr">
        <is>
          <t>Fuel supply (adjacent market)</t>
        </is>
      </c>
      <c r="D5304" s="12" t="inlineStr">
        <is>
          <t>Control</t>
        </is>
      </c>
      <c r="E5304" s="12" t="inlineStr"/>
      <c r="F5304" s="12" t="inlineStr">
        <is>
          <t>H2 20: 13.8 kV e-house</t>
        </is>
      </c>
      <c r="G5304" s="12" t="inlineStr"/>
      <c r="H5304" s="12" t="inlineStr">
        <is>
          <t>H2 21: rectifier transformer 1 (7 MVA)</t>
        </is>
      </c>
      <c r="I5304" s="12" t="inlineStr">
        <is>
          <t>Control</t>
        </is>
      </c>
      <c r="J5304" s="12" t="inlineStr">
        <is>
          <t>ARMOR-X MC-HL 600 V control, Cu #14 AWG (Class I Div 2)</t>
        </is>
      </c>
      <c r="K5304" s="12" t="inlineStr">
        <is>
          <t>CTAX|7/C|14</t>
        </is>
      </c>
      <c r="L5304" s="12" t="inlineStr">
        <is>
          <t>7/C</t>
        </is>
      </c>
      <c r="M5304" s="12" t="inlineStr">
        <is>
          <t>14</t>
        </is>
      </c>
      <c r="N5304" s="12" t="n">
        <v>1</v>
      </c>
      <c r="O5304" s="12" t="n">
        <v>1</v>
      </c>
      <c r="P5304" s="12" t="n"/>
      <c r="Q5304" s="12" t="n"/>
      <c r="R5304" s="12" t="n"/>
      <c r="S5304" s="12" t="inlineStr">
        <is>
          <t>Duct bank</t>
        </is>
      </c>
      <c r="T5304" s="16" t="n">
        <v>356</v>
      </c>
      <c r="U5304" s="16" t="n">
        <v>48</v>
      </c>
      <c r="V5304" s="16">
        <f>ROUNDUP((T5304+U5304+2*'Read Me'!$B$13)*(1+'Read Me'!$B$12),-1)</f>
        <v/>
      </c>
      <c r="W5304" s="16">
        <f>V5304*N5304*O5304</f>
        <v/>
      </c>
      <c r="X5304" s="12">
        <f>IF(LEFT(I5304,2)="MV",2*N5304*IF(L5304="1/C",O5304,1),0)</f>
        <v/>
      </c>
      <c r="Y5304" s="12">
        <f>IF(OR(LEFT(K5304,4)="LVAX",LEFT(K5304,6)="MV15AX",LEFT(K5304,4)="CTAX",LEFT(K5304,2)="W|"),2*N5304*O5304,0)</f>
        <v/>
      </c>
      <c r="Z5304" s="12" t="inlineStr"/>
      <c r="AA5304" s="12">
        <f>N5304*O5304</f>
        <v/>
      </c>
    </row>
    <row r="5305">
      <c r="A5305" s="12" t="inlineStr">
        <is>
          <t>K-C-0011</t>
        </is>
      </c>
      <c r="B5305" s="12" t="inlineStr">
        <is>
          <t>K</t>
        </is>
      </c>
      <c r="C5305" s="12" t="inlineStr">
        <is>
          <t>Fuel supply (adjacent market)</t>
        </is>
      </c>
      <c r="D5305" s="12" t="inlineStr">
        <is>
          <t>Control</t>
        </is>
      </c>
      <c r="E5305" s="12" t="inlineStr"/>
      <c r="F5305" s="12" t="inlineStr">
        <is>
          <t>H2 20: 13.8 kV e-house</t>
        </is>
      </c>
      <c r="G5305" s="12" t="inlineStr"/>
      <c r="H5305" s="12" t="inlineStr">
        <is>
          <t>H2 21: rectifier transformer 1 (7 MVA)</t>
        </is>
      </c>
      <c r="I5305" s="12" t="inlineStr">
        <is>
          <t>Control</t>
        </is>
      </c>
      <c r="J5305" s="12" t="inlineStr">
        <is>
          <t>ARMOR-X MC-HL 600 V control, Cu #14 AWG (Class I Div 2)</t>
        </is>
      </c>
      <c r="K5305" s="12" t="inlineStr">
        <is>
          <t>CTAX|12/C|14</t>
        </is>
      </c>
      <c r="L5305" s="12" t="inlineStr">
        <is>
          <t>12/C</t>
        </is>
      </c>
      <c r="M5305" s="12" t="inlineStr">
        <is>
          <t>14</t>
        </is>
      </c>
      <c r="N5305" s="12" t="n">
        <v>1</v>
      </c>
      <c r="O5305" s="12" t="n">
        <v>1</v>
      </c>
      <c r="P5305" s="12" t="n"/>
      <c r="Q5305" s="12" t="n"/>
      <c r="R5305" s="12" t="n"/>
      <c r="S5305" s="12" t="inlineStr">
        <is>
          <t>Duct bank</t>
        </is>
      </c>
      <c r="T5305" s="16" t="n">
        <v>356</v>
      </c>
      <c r="U5305" s="16" t="n">
        <v>48</v>
      </c>
      <c r="V5305" s="16">
        <f>ROUNDUP((T5305+U5305+2*'Read Me'!$B$13)*(1+'Read Me'!$B$12),-1)</f>
        <v/>
      </c>
      <c r="W5305" s="16">
        <f>V5305*N5305*O5305</f>
        <v/>
      </c>
      <c r="X5305" s="12">
        <f>IF(LEFT(I5305,2)="MV",2*N5305*IF(L5305="1/C",O5305,1),0)</f>
        <v/>
      </c>
      <c r="Y5305" s="12">
        <f>IF(OR(LEFT(K5305,4)="LVAX",LEFT(K5305,6)="MV15AX",LEFT(K5305,4)="CTAX",LEFT(K5305,2)="W|"),2*N5305*O5305,0)</f>
        <v/>
      </c>
      <c r="Z5305" s="12" t="inlineStr"/>
      <c r="AA5305" s="12">
        <f>N5305*O5305</f>
        <v/>
      </c>
    </row>
    <row r="5306">
      <c r="A5306" s="12" t="inlineStr">
        <is>
          <t>K-C-0012</t>
        </is>
      </c>
      <c r="B5306" s="12" t="inlineStr">
        <is>
          <t>K</t>
        </is>
      </c>
      <c r="C5306" s="12" t="inlineStr">
        <is>
          <t>Fuel supply (adjacent market)</t>
        </is>
      </c>
      <c r="D5306" s="12" t="inlineStr">
        <is>
          <t>CT / VT</t>
        </is>
      </c>
      <c r="E5306" s="12" t="inlineStr"/>
      <c r="F5306" s="12" t="inlineStr">
        <is>
          <t>H2 20: 13.8 kV e-house</t>
        </is>
      </c>
      <c r="G5306" s="12" t="inlineStr"/>
      <c r="H5306" s="12" t="inlineStr">
        <is>
          <t>H2 21: rectifier transformer 1 (7 MVA)</t>
        </is>
      </c>
      <c r="I5306" s="12" t="inlineStr">
        <is>
          <t>Control</t>
        </is>
      </c>
      <c r="J5306" s="12" t="inlineStr">
        <is>
          <t>Control cable 600 V Type TC-ER, Cu #10 AWG (CT / VT circuits)</t>
        </is>
      </c>
      <c r="K5306" s="12" t="inlineStr">
        <is>
          <t>CTCT|4/C|10</t>
        </is>
      </c>
      <c r="L5306" s="12" t="inlineStr">
        <is>
          <t>4/C</t>
        </is>
      </c>
      <c r="M5306" s="12" t="inlineStr">
        <is>
          <t>10</t>
        </is>
      </c>
      <c r="N5306" s="12" t="n">
        <v>1</v>
      </c>
      <c r="O5306" s="12" t="n">
        <v>1</v>
      </c>
      <c r="P5306" s="12" t="n"/>
      <c r="Q5306" s="12" t="n"/>
      <c r="R5306" s="12" t="n"/>
      <c r="S5306" s="12" t="inlineStr">
        <is>
          <t>Duct bank</t>
        </is>
      </c>
      <c r="T5306" s="16" t="n">
        <v>356</v>
      </c>
      <c r="U5306" s="16" t="n">
        <v>48</v>
      </c>
      <c r="V5306" s="16">
        <f>ROUNDUP((T5306+U5306+2*'Read Me'!$B$13)*(1+'Read Me'!$B$12),-1)</f>
        <v/>
      </c>
      <c r="W5306" s="16">
        <f>V5306*N5306*O5306</f>
        <v/>
      </c>
      <c r="X5306" s="12">
        <f>IF(LEFT(I5306,2)="MV",2*N5306*IF(L5306="1/C",O5306,1),0)</f>
        <v/>
      </c>
      <c r="Y5306" s="12">
        <f>IF(OR(LEFT(K5306,4)="LVAX",LEFT(K5306,6)="MV15AX",LEFT(K5306,4)="CTAX",LEFT(K5306,2)="W|"),2*N5306*O5306,0)</f>
        <v/>
      </c>
      <c r="Z5306" s="12" t="inlineStr"/>
      <c r="AA5306" s="12">
        <f>N5306*O5306</f>
        <v/>
      </c>
    </row>
    <row r="5307">
      <c r="A5307" s="12" t="inlineStr">
        <is>
          <t>K-C-0013</t>
        </is>
      </c>
      <c r="B5307" s="12" t="inlineStr">
        <is>
          <t>K</t>
        </is>
      </c>
      <c r="C5307" s="12" t="inlineStr">
        <is>
          <t>Fuel supply (adjacent market)</t>
        </is>
      </c>
      <c r="D5307" s="12" t="inlineStr">
        <is>
          <t>CT / VT</t>
        </is>
      </c>
      <c r="E5307" s="12" t="inlineStr"/>
      <c r="F5307" s="12" t="inlineStr">
        <is>
          <t>H2 20: 13.8 kV e-house</t>
        </is>
      </c>
      <c r="G5307" s="12" t="inlineStr"/>
      <c r="H5307" s="12" t="inlineStr">
        <is>
          <t>H2 21: rectifier transformer 1 (7 MVA)</t>
        </is>
      </c>
      <c r="I5307" s="12" t="inlineStr">
        <is>
          <t>Control</t>
        </is>
      </c>
      <c r="J5307" s="12" t="inlineStr">
        <is>
          <t>Control cable 600 V Type TC-ER, Cu #10 AWG (CT / VT circuits)</t>
        </is>
      </c>
      <c r="K5307" s="12" t="inlineStr">
        <is>
          <t>CTCT|4/C|10</t>
        </is>
      </c>
      <c r="L5307" s="12" t="inlineStr">
        <is>
          <t>4/C</t>
        </is>
      </c>
      <c r="M5307" s="12" t="inlineStr">
        <is>
          <t>10</t>
        </is>
      </c>
      <c r="N5307" s="12" t="n">
        <v>1</v>
      </c>
      <c r="O5307" s="12" t="n">
        <v>1</v>
      </c>
      <c r="P5307" s="12" t="n"/>
      <c r="Q5307" s="12" t="n"/>
      <c r="R5307" s="12" t="n"/>
      <c r="S5307" s="12" t="inlineStr">
        <is>
          <t>Duct bank</t>
        </is>
      </c>
      <c r="T5307" s="16" t="n">
        <v>356</v>
      </c>
      <c r="U5307" s="16" t="n">
        <v>48</v>
      </c>
      <c r="V5307" s="16">
        <f>ROUNDUP((T5307+U5307+2*'Read Me'!$B$13)*(1+'Read Me'!$B$12),-1)</f>
        <v/>
      </c>
      <c r="W5307" s="16">
        <f>V5307*N5307*O5307</f>
        <v/>
      </c>
      <c r="X5307" s="12">
        <f>IF(LEFT(I5307,2)="MV",2*N5307*IF(L5307="1/C",O5307,1),0)</f>
        <v/>
      </c>
      <c r="Y5307" s="12">
        <f>IF(OR(LEFT(K5307,4)="LVAX",LEFT(K5307,6)="MV15AX",LEFT(K5307,4)="CTAX",LEFT(K5307,2)="W|"),2*N5307*O5307,0)</f>
        <v/>
      </c>
      <c r="Z5307" s="12" t="inlineStr"/>
      <c r="AA5307" s="12">
        <f>N5307*O5307</f>
        <v/>
      </c>
    </row>
    <row r="5308">
      <c r="A5308" s="12" t="inlineStr">
        <is>
          <t>K-C-0014</t>
        </is>
      </c>
      <c r="B5308" s="12" t="inlineStr">
        <is>
          <t>K</t>
        </is>
      </c>
      <c r="C5308" s="12" t="inlineStr">
        <is>
          <t>Fuel supply (adjacent market)</t>
        </is>
      </c>
      <c r="D5308" s="12" t="inlineStr">
        <is>
          <t>Motor 1 of 1: control / local station</t>
        </is>
      </c>
      <c r="E5308" s="12" t="inlineStr"/>
      <c r="F5308" s="12" t="inlineStr">
        <is>
          <t>H2 20: 13.8 kV e-house</t>
        </is>
      </c>
      <c r="G5308" s="12" t="inlineStr"/>
      <c r="H5308" s="12" t="inlineStr">
        <is>
          <t>H2 21: rectifier transformer 2 (7 MVA)</t>
        </is>
      </c>
      <c r="I5308" s="12" t="inlineStr">
        <is>
          <t>Control</t>
        </is>
      </c>
      <c r="J5308" s="12" t="inlineStr">
        <is>
          <t>ARMOR-X MC-HL 600 V control, Cu #14 AWG (Class I Div 2)</t>
        </is>
      </c>
      <c r="K5308" s="12" t="inlineStr">
        <is>
          <t>CTAX|7/C|14</t>
        </is>
      </c>
      <c r="L5308" s="12" t="inlineStr">
        <is>
          <t>7/C</t>
        </is>
      </c>
      <c r="M5308" s="12" t="inlineStr">
        <is>
          <t>14</t>
        </is>
      </c>
      <c r="N5308" s="12" t="n">
        <v>1</v>
      </c>
      <c r="O5308" s="12" t="n">
        <v>1</v>
      </c>
      <c r="P5308" s="12" t="n"/>
      <c r="Q5308" s="12" t="n"/>
      <c r="R5308" s="12" t="n"/>
      <c r="S5308" s="12" t="inlineStr">
        <is>
          <t>Duct bank</t>
        </is>
      </c>
      <c r="T5308" s="16" t="n">
        <v>356</v>
      </c>
      <c r="U5308" s="16" t="n">
        <v>32</v>
      </c>
      <c r="V5308" s="16">
        <f>ROUNDUP((T5308+U5308+2*'Read Me'!$B$13)*(1+'Read Me'!$B$12),-1)</f>
        <v/>
      </c>
      <c r="W5308" s="16">
        <f>V5308*N5308*O5308</f>
        <v/>
      </c>
      <c r="X5308" s="12">
        <f>IF(LEFT(I5308,2)="MV",2*N5308*IF(L5308="1/C",O5308,1),0)</f>
        <v/>
      </c>
      <c r="Y5308" s="12">
        <f>IF(OR(LEFT(K5308,4)="LVAX",LEFT(K5308,6)="MV15AX",LEFT(K5308,4)="CTAX",LEFT(K5308,2)="W|"),2*N5308*O5308,0)</f>
        <v/>
      </c>
      <c r="Z5308" s="12" t="inlineStr"/>
      <c r="AA5308" s="12">
        <f>N5308*O5308</f>
        <v/>
      </c>
    </row>
    <row r="5309">
      <c r="A5309" s="12" t="inlineStr">
        <is>
          <t>K-C-0015</t>
        </is>
      </c>
      <c r="B5309" s="12" t="inlineStr">
        <is>
          <t>K</t>
        </is>
      </c>
      <c r="C5309" s="12" t="inlineStr">
        <is>
          <t>Fuel supply (adjacent market)</t>
        </is>
      </c>
      <c r="D5309" s="12" t="inlineStr">
        <is>
          <t>Solenoid to JB JB-H2 21: rectifier t-SOL01: 2 x 2/C (field cables)</t>
        </is>
      </c>
      <c r="E5309" s="12" t="inlineStr"/>
      <c r="F5309" s="12" t="inlineStr">
        <is>
          <t>H2 21: rectifier transformer 2 (7 MVA)</t>
        </is>
      </c>
      <c r="G5309" s="12" t="inlineStr">
        <is>
          <t>JB-H2 21: rectifier t-SOL01</t>
        </is>
      </c>
      <c r="H5309" s="12" t="inlineStr">
        <is>
          <t>H2 21: rectifier transformer 2 (7 MVA)</t>
        </is>
      </c>
      <c r="I5309" s="12" t="inlineStr">
        <is>
          <t>Control</t>
        </is>
      </c>
      <c r="J5309" s="12" t="inlineStr">
        <is>
          <t>ARMOR-X MC-HL 600 V control, Cu #14 AWG (Class I Div 2)</t>
        </is>
      </c>
      <c r="K5309" s="12" t="inlineStr">
        <is>
          <t>CTAX|2/C|14</t>
        </is>
      </c>
      <c r="L5309" s="12" t="inlineStr">
        <is>
          <t>2/C</t>
        </is>
      </c>
      <c r="M5309" s="12" t="inlineStr">
        <is>
          <t>14</t>
        </is>
      </c>
      <c r="N5309" s="12" t="n">
        <v>2</v>
      </c>
      <c r="O5309" s="12" t="n">
        <v>1</v>
      </c>
      <c r="P5309" s="12" t="n"/>
      <c r="Q5309" s="12" t="n"/>
      <c r="R5309" s="12" t="n"/>
      <c r="S5309" s="12" t="inlineStr">
        <is>
          <t>Tray / conduit</t>
        </is>
      </c>
      <c r="T5309" s="16" t="n">
        <v>41</v>
      </c>
      <c r="U5309" s="16" t="n">
        <v>10</v>
      </c>
      <c r="V5309" s="16">
        <f>ROUNDUP((T5309+U5309+2*'Read Me'!$B$13)*(1+'Read Me'!$B$12),-1)</f>
        <v/>
      </c>
      <c r="W5309" s="16">
        <f>V5309*N5309*O5309</f>
        <v/>
      </c>
      <c r="X5309" s="12">
        <f>IF(LEFT(I5309,2)="MV",2*N5309*IF(L5309="1/C",O5309,1),0)</f>
        <v/>
      </c>
      <c r="Y5309" s="12">
        <f>IF(OR(LEFT(K5309,4)="LVAX",LEFT(K5309,6)="MV15AX",LEFT(K5309,4)="CTAX",LEFT(K5309,2)="W|"),2*N5309*O5309,0)</f>
        <v/>
      </c>
      <c r="Z5309" s="12" t="inlineStr">
        <is>
          <t>device-to-JB field wiring, one cable per device</t>
        </is>
      </c>
      <c r="AA5309" s="12">
        <f>N5309*O5309</f>
        <v/>
      </c>
    </row>
    <row r="5310">
      <c r="A5310" s="12" t="inlineStr">
        <is>
          <t>K-C-0016</t>
        </is>
      </c>
      <c r="B5310" s="12" t="inlineStr">
        <is>
          <t>K</t>
        </is>
      </c>
      <c r="C5310" s="12" t="inlineStr">
        <is>
          <t>Fuel supply (adjacent market)</t>
        </is>
      </c>
      <c r="D5310" s="12" t="inlineStr">
        <is>
          <t>Home run JB-H2 21: rectifier t-SOL01 to the control / marshalling room</t>
        </is>
      </c>
      <c r="E5310" s="12" t="inlineStr"/>
      <c r="F5310" s="12" t="inlineStr">
        <is>
          <t>H2 20: 13.8 kV e-house</t>
        </is>
      </c>
      <c r="G5310" s="12" t="inlineStr">
        <is>
          <t>JB-H2 21: rectifier t-SOL01</t>
        </is>
      </c>
      <c r="H5310" s="12" t="inlineStr">
        <is>
          <t>H2 21: rectifier transformer 2 (7 MVA)</t>
        </is>
      </c>
      <c r="I5310" s="12" t="inlineStr">
        <is>
          <t>Control</t>
        </is>
      </c>
      <c r="J5310" s="12" t="inlineStr">
        <is>
          <t>ARMOR-X MC-HL 600 V control, Cu #14 AWG (Class I Div 2)</t>
        </is>
      </c>
      <c r="K5310" s="12" t="inlineStr">
        <is>
          <t>CTAX|25/C|14</t>
        </is>
      </c>
      <c r="L5310" s="12" t="inlineStr">
        <is>
          <t>25/C</t>
        </is>
      </c>
      <c r="M5310" s="12" t="inlineStr">
        <is>
          <t>14</t>
        </is>
      </c>
      <c r="N5310" s="12" t="n">
        <v>1</v>
      </c>
      <c r="O5310" s="12" t="n">
        <v>1</v>
      </c>
      <c r="P5310" s="12" t="n"/>
      <c r="Q5310" s="12" t="n"/>
      <c r="R5310" s="12" t="n"/>
      <c r="S5310" s="12" t="inlineStr">
        <is>
          <t>Duct bank</t>
        </is>
      </c>
      <c r="T5310" s="16" t="n">
        <v>356</v>
      </c>
      <c r="U5310" s="16" t="n">
        <v>32</v>
      </c>
      <c r="V5310" s="16">
        <f>ROUNDUP((T5310+U5310+2*'Read Me'!$B$13)*(1+'Read Me'!$B$12),-1)</f>
        <v/>
      </c>
      <c r="W5310" s="16">
        <f>V5310*N5310*O5310</f>
        <v/>
      </c>
      <c r="X5310" s="12">
        <f>IF(LEFT(I5310,2)="MV",2*N5310*IF(L5310="1/C",O5310,1),0)</f>
        <v/>
      </c>
      <c r="Y5310" s="12">
        <f>IF(OR(LEFT(K5310,4)="LVAX",LEFT(K5310,6)="MV15AX",LEFT(K5310,4)="CTAX",LEFT(K5310,2)="W|"),2*N5310*O5310,0)</f>
        <v/>
      </c>
      <c r="Z5310" s="12" t="inlineStr"/>
      <c r="AA5310" s="12">
        <f>N5310*O5310</f>
        <v/>
      </c>
    </row>
    <row r="5311">
      <c r="A5311" s="12" t="inlineStr">
        <is>
          <t>K-C-0017</t>
        </is>
      </c>
      <c r="B5311" s="12" t="inlineStr">
        <is>
          <t>K</t>
        </is>
      </c>
      <c r="C5311" s="12" t="inlineStr">
        <is>
          <t>Fuel supply (adjacent market)</t>
        </is>
      </c>
      <c r="D5311" s="12" t="inlineStr">
        <is>
          <t>Control</t>
        </is>
      </c>
      <c r="E5311" s="12" t="inlineStr"/>
      <c r="F5311" s="12" t="inlineStr">
        <is>
          <t>H2 20: 13.8 kV e-house</t>
        </is>
      </c>
      <c r="G5311" s="12" t="inlineStr"/>
      <c r="H5311" s="12" t="inlineStr">
        <is>
          <t>H2 21: rectifier transformer 2 (7 MVA)</t>
        </is>
      </c>
      <c r="I5311" s="12" t="inlineStr">
        <is>
          <t>Control</t>
        </is>
      </c>
      <c r="J5311" s="12" t="inlineStr">
        <is>
          <t>ARMOR-X MC-HL 600 V control, Cu #14 AWG (Class I Div 2)</t>
        </is>
      </c>
      <c r="K5311" s="12" t="inlineStr">
        <is>
          <t>CTAX|7/C|14</t>
        </is>
      </c>
      <c r="L5311" s="12" t="inlineStr">
        <is>
          <t>7/C</t>
        </is>
      </c>
      <c r="M5311" s="12" t="inlineStr">
        <is>
          <t>14</t>
        </is>
      </c>
      <c r="N5311" s="12" t="n">
        <v>1</v>
      </c>
      <c r="O5311" s="12" t="n">
        <v>1</v>
      </c>
      <c r="P5311" s="12" t="n"/>
      <c r="Q5311" s="12" t="n"/>
      <c r="R5311" s="12" t="n"/>
      <c r="S5311" s="12" t="inlineStr">
        <is>
          <t>Duct bank</t>
        </is>
      </c>
      <c r="T5311" s="16" t="n">
        <v>356</v>
      </c>
      <c r="U5311" s="16" t="n">
        <v>32</v>
      </c>
      <c r="V5311" s="16">
        <f>ROUNDUP((T5311+U5311+2*'Read Me'!$B$13)*(1+'Read Me'!$B$12),-1)</f>
        <v/>
      </c>
      <c r="W5311" s="16">
        <f>V5311*N5311*O5311</f>
        <v/>
      </c>
      <c r="X5311" s="12">
        <f>IF(LEFT(I5311,2)="MV",2*N5311*IF(L5311="1/C",O5311,1),0)</f>
        <v/>
      </c>
      <c r="Y5311" s="12">
        <f>IF(OR(LEFT(K5311,4)="LVAX",LEFT(K5311,6)="MV15AX",LEFT(K5311,4)="CTAX",LEFT(K5311,2)="W|"),2*N5311*O5311,0)</f>
        <v/>
      </c>
      <c r="Z5311" s="12" t="inlineStr"/>
      <c r="AA5311" s="12">
        <f>N5311*O5311</f>
        <v/>
      </c>
    </row>
    <row r="5312">
      <c r="A5312" s="12" t="inlineStr">
        <is>
          <t>K-C-0018</t>
        </is>
      </c>
      <c r="B5312" s="12" t="inlineStr">
        <is>
          <t>K</t>
        </is>
      </c>
      <c r="C5312" s="12" t="inlineStr">
        <is>
          <t>Fuel supply (adjacent market)</t>
        </is>
      </c>
      <c r="D5312" s="12" t="inlineStr">
        <is>
          <t>Control</t>
        </is>
      </c>
      <c r="E5312" s="12" t="inlineStr"/>
      <c r="F5312" s="12" t="inlineStr">
        <is>
          <t>H2 20: 13.8 kV e-house</t>
        </is>
      </c>
      <c r="G5312" s="12" t="inlineStr"/>
      <c r="H5312" s="12" t="inlineStr">
        <is>
          <t>H2 21: rectifier transformer 2 (7 MVA)</t>
        </is>
      </c>
      <c r="I5312" s="12" t="inlineStr">
        <is>
          <t>Control</t>
        </is>
      </c>
      <c r="J5312" s="12" t="inlineStr">
        <is>
          <t>ARMOR-X MC-HL 600 V control, Cu #14 AWG (Class I Div 2)</t>
        </is>
      </c>
      <c r="K5312" s="12" t="inlineStr">
        <is>
          <t>CTAX|12/C|14</t>
        </is>
      </c>
      <c r="L5312" s="12" t="inlineStr">
        <is>
          <t>12/C</t>
        </is>
      </c>
      <c r="M5312" s="12" t="inlineStr">
        <is>
          <t>14</t>
        </is>
      </c>
      <c r="N5312" s="12" t="n">
        <v>1</v>
      </c>
      <c r="O5312" s="12" t="n">
        <v>1</v>
      </c>
      <c r="P5312" s="12" t="n"/>
      <c r="Q5312" s="12" t="n"/>
      <c r="R5312" s="12" t="n"/>
      <c r="S5312" s="12" t="inlineStr">
        <is>
          <t>Duct bank</t>
        </is>
      </c>
      <c r="T5312" s="16" t="n">
        <v>356</v>
      </c>
      <c r="U5312" s="16" t="n">
        <v>32</v>
      </c>
      <c r="V5312" s="16">
        <f>ROUNDUP((T5312+U5312+2*'Read Me'!$B$13)*(1+'Read Me'!$B$12),-1)</f>
        <v/>
      </c>
      <c r="W5312" s="16">
        <f>V5312*N5312*O5312</f>
        <v/>
      </c>
      <c r="X5312" s="12">
        <f>IF(LEFT(I5312,2)="MV",2*N5312*IF(L5312="1/C",O5312,1),0)</f>
        <v/>
      </c>
      <c r="Y5312" s="12">
        <f>IF(OR(LEFT(K5312,4)="LVAX",LEFT(K5312,6)="MV15AX",LEFT(K5312,4)="CTAX",LEFT(K5312,2)="W|"),2*N5312*O5312,0)</f>
        <v/>
      </c>
      <c r="Z5312" s="12" t="inlineStr"/>
      <c r="AA5312" s="12">
        <f>N5312*O5312</f>
        <v/>
      </c>
    </row>
    <row r="5313">
      <c r="A5313" s="12" t="inlineStr">
        <is>
          <t>K-C-0019</t>
        </is>
      </c>
      <c r="B5313" s="12" t="inlineStr">
        <is>
          <t>K</t>
        </is>
      </c>
      <c r="C5313" s="12" t="inlineStr">
        <is>
          <t>Fuel supply (adjacent market)</t>
        </is>
      </c>
      <c r="D5313" s="12" t="inlineStr">
        <is>
          <t>CT / VT</t>
        </is>
      </c>
      <c r="E5313" s="12" t="inlineStr"/>
      <c r="F5313" s="12" t="inlineStr">
        <is>
          <t>H2 20: 13.8 kV e-house</t>
        </is>
      </c>
      <c r="G5313" s="12" t="inlineStr"/>
      <c r="H5313" s="12" t="inlineStr">
        <is>
          <t>H2 21: rectifier transformer 2 (7 MVA)</t>
        </is>
      </c>
      <c r="I5313" s="12" t="inlineStr">
        <is>
          <t>Control</t>
        </is>
      </c>
      <c r="J5313" s="12" t="inlineStr">
        <is>
          <t>Control cable 600 V Type TC-ER, Cu #10 AWG (CT / VT circuits)</t>
        </is>
      </c>
      <c r="K5313" s="12" t="inlineStr">
        <is>
          <t>CTCT|4/C|10</t>
        </is>
      </c>
      <c r="L5313" s="12" t="inlineStr">
        <is>
          <t>4/C</t>
        </is>
      </c>
      <c r="M5313" s="12" t="inlineStr">
        <is>
          <t>10</t>
        </is>
      </c>
      <c r="N5313" s="12" t="n">
        <v>1</v>
      </c>
      <c r="O5313" s="12" t="n">
        <v>1</v>
      </c>
      <c r="P5313" s="12" t="n"/>
      <c r="Q5313" s="12" t="n"/>
      <c r="R5313" s="12" t="n"/>
      <c r="S5313" s="12" t="inlineStr">
        <is>
          <t>Duct bank</t>
        </is>
      </c>
      <c r="T5313" s="16" t="n">
        <v>356</v>
      </c>
      <c r="U5313" s="16" t="n">
        <v>32</v>
      </c>
      <c r="V5313" s="16">
        <f>ROUNDUP((T5313+U5313+2*'Read Me'!$B$13)*(1+'Read Me'!$B$12),-1)</f>
        <v/>
      </c>
      <c r="W5313" s="16">
        <f>V5313*N5313*O5313</f>
        <v/>
      </c>
      <c r="X5313" s="12">
        <f>IF(LEFT(I5313,2)="MV",2*N5313*IF(L5313="1/C",O5313,1),0)</f>
        <v/>
      </c>
      <c r="Y5313" s="12">
        <f>IF(OR(LEFT(K5313,4)="LVAX",LEFT(K5313,6)="MV15AX",LEFT(K5313,4)="CTAX",LEFT(K5313,2)="W|"),2*N5313*O5313,0)</f>
        <v/>
      </c>
      <c r="Z5313" s="12" t="inlineStr"/>
      <c r="AA5313" s="12">
        <f>N5313*O5313</f>
        <v/>
      </c>
    </row>
    <row r="5314">
      <c r="A5314" s="12" t="inlineStr">
        <is>
          <t>K-C-0020</t>
        </is>
      </c>
      <c r="B5314" s="12" t="inlineStr">
        <is>
          <t>K</t>
        </is>
      </c>
      <c r="C5314" s="12" t="inlineStr">
        <is>
          <t>Fuel supply (adjacent market)</t>
        </is>
      </c>
      <c r="D5314" s="12" t="inlineStr">
        <is>
          <t>CT / VT</t>
        </is>
      </c>
      <c r="E5314" s="12" t="inlineStr"/>
      <c r="F5314" s="12" t="inlineStr">
        <is>
          <t>H2 20: 13.8 kV e-house</t>
        </is>
      </c>
      <c r="G5314" s="12" t="inlineStr"/>
      <c r="H5314" s="12" t="inlineStr">
        <is>
          <t>H2 21: rectifier transformer 2 (7 MVA)</t>
        </is>
      </c>
      <c r="I5314" s="12" t="inlineStr">
        <is>
          <t>Control</t>
        </is>
      </c>
      <c r="J5314" s="12" t="inlineStr">
        <is>
          <t>Control cable 600 V Type TC-ER, Cu #10 AWG (CT / VT circuits)</t>
        </is>
      </c>
      <c r="K5314" s="12" t="inlineStr">
        <is>
          <t>CTCT|4/C|10</t>
        </is>
      </c>
      <c r="L5314" s="12" t="inlineStr">
        <is>
          <t>4/C</t>
        </is>
      </c>
      <c r="M5314" s="12" t="inlineStr">
        <is>
          <t>10</t>
        </is>
      </c>
      <c r="N5314" s="12" t="n">
        <v>1</v>
      </c>
      <c r="O5314" s="12" t="n">
        <v>1</v>
      </c>
      <c r="P5314" s="12" t="n"/>
      <c r="Q5314" s="12" t="n"/>
      <c r="R5314" s="12" t="n"/>
      <c r="S5314" s="12" t="inlineStr">
        <is>
          <t>Duct bank</t>
        </is>
      </c>
      <c r="T5314" s="16" t="n">
        <v>356</v>
      </c>
      <c r="U5314" s="16" t="n">
        <v>32</v>
      </c>
      <c r="V5314" s="16">
        <f>ROUNDUP((T5314+U5314+2*'Read Me'!$B$13)*(1+'Read Me'!$B$12),-1)</f>
        <v/>
      </c>
      <c r="W5314" s="16">
        <f>V5314*N5314*O5314</f>
        <v/>
      </c>
      <c r="X5314" s="12">
        <f>IF(LEFT(I5314,2)="MV",2*N5314*IF(L5314="1/C",O5314,1),0)</f>
        <v/>
      </c>
      <c r="Y5314" s="12">
        <f>IF(OR(LEFT(K5314,4)="LVAX",LEFT(K5314,6)="MV15AX",LEFT(K5314,4)="CTAX",LEFT(K5314,2)="W|"),2*N5314*O5314,0)</f>
        <v/>
      </c>
      <c r="Z5314" s="12" t="inlineStr"/>
      <c r="AA5314" s="12">
        <f>N5314*O5314</f>
        <v/>
      </c>
    </row>
    <row r="5315">
      <c r="A5315" s="12" t="inlineStr">
        <is>
          <t>K-C-0021</t>
        </is>
      </c>
      <c r="B5315" s="12" t="inlineStr">
        <is>
          <t>K</t>
        </is>
      </c>
      <c r="C5315" s="12" t="inlineStr">
        <is>
          <t>Fuel supply (adjacent market)</t>
        </is>
      </c>
      <c r="D5315" s="12" t="inlineStr">
        <is>
          <t>Motor 1 of 1: control / local station</t>
        </is>
      </c>
      <c r="E5315" s="12" t="inlineStr"/>
      <c r="F5315" s="12" t="inlineStr">
        <is>
          <t>H2 20: 13.8 kV e-house</t>
        </is>
      </c>
      <c r="G5315" s="12" t="inlineStr"/>
      <c r="H5315" s="12" t="inlineStr">
        <is>
          <t>H2 21: rectifier transformer 3 (7 MVA)</t>
        </is>
      </c>
      <c r="I5315" s="12" t="inlineStr">
        <is>
          <t>Control</t>
        </is>
      </c>
      <c r="J5315" s="12" t="inlineStr">
        <is>
          <t>ARMOR-X MC-HL 600 V control, Cu #14 AWG (Class I Div 2)</t>
        </is>
      </c>
      <c r="K5315" s="12" t="inlineStr">
        <is>
          <t>CTAX|7/C|14</t>
        </is>
      </c>
      <c r="L5315" s="12" t="inlineStr">
        <is>
          <t>7/C</t>
        </is>
      </c>
      <c r="M5315" s="12" t="inlineStr">
        <is>
          <t>14</t>
        </is>
      </c>
      <c r="N5315" s="12" t="n">
        <v>1</v>
      </c>
      <c r="O5315" s="12" t="n">
        <v>1</v>
      </c>
      <c r="P5315" s="12" t="n"/>
      <c r="Q5315" s="12" t="n"/>
      <c r="R5315" s="12" t="n"/>
      <c r="S5315" s="12" t="inlineStr">
        <is>
          <t>Duct bank</t>
        </is>
      </c>
      <c r="T5315" s="16" t="n">
        <v>334</v>
      </c>
      <c r="U5315" s="16" t="n">
        <v>32</v>
      </c>
      <c r="V5315" s="16">
        <f>ROUNDUP((T5315+U5315+2*'Read Me'!$B$13)*(1+'Read Me'!$B$12),-1)</f>
        <v/>
      </c>
      <c r="W5315" s="16">
        <f>V5315*N5315*O5315</f>
        <v/>
      </c>
      <c r="X5315" s="12">
        <f>IF(LEFT(I5315,2)="MV",2*N5315*IF(L5315="1/C",O5315,1),0)</f>
        <v/>
      </c>
      <c r="Y5315" s="12">
        <f>IF(OR(LEFT(K5315,4)="LVAX",LEFT(K5315,6)="MV15AX",LEFT(K5315,4)="CTAX",LEFT(K5315,2)="W|"),2*N5315*O5315,0)</f>
        <v/>
      </c>
      <c r="Z5315" s="12" t="inlineStr"/>
      <c r="AA5315" s="12">
        <f>N5315*O5315</f>
        <v/>
      </c>
    </row>
    <row r="5316">
      <c r="A5316" s="12" t="inlineStr">
        <is>
          <t>K-C-0022</t>
        </is>
      </c>
      <c r="B5316" s="12" t="inlineStr">
        <is>
          <t>K</t>
        </is>
      </c>
      <c r="C5316" s="12" t="inlineStr">
        <is>
          <t>Fuel supply (adjacent market)</t>
        </is>
      </c>
      <c r="D5316" s="12" t="inlineStr">
        <is>
          <t>Solenoid to JB JB-H2 21: rectifier t-SOL01: 2 x 2/C (field cables)</t>
        </is>
      </c>
      <c r="E5316" s="12" t="inlineStr"/>
      <c r="F5316" s="12" t="inlineStr">
        <is>
          <t>H2 21: rectifier transformer 3 (7 MVA)</t>
        </is>
      </c>
      <c r="G5316" s="12" t="inlineStr">
        <is>
          <t>JB-H2 21: rectifier t-SOL01</t>
        </is>
      </c>
      <c r="H5316" s="12" t="inlineStr">
        <is>
          <t>H2 21: rectifier transformer 3 (7 MVA)</t>
        </is>
      </c>
      <c r="I5316" s="12" t="inlineStr">
        <is>
          <t>Control</t>
        </is>
      </c>
      <c r="J5316" s="12" t="inlineStr">
        <is>
          <t>ARMOR-X MC-HL 600 V control, Cu #14 AWG (Class I Div 2)</t>
        </is>
      </c>
      <c r="K5316" s="12" t="inlineStr">
        <is>
          <t>CTAX|2/C|14</t>
        </is>
      </c>
      <c r="L5316" s="12" t="inlineStr">
        <is>
          <t>2/C</t>
        </is>
      </c>
      <c r="M5316" s="12" t="inlineStr">
        <is>
          <t>14</t>
        </is>
      </c>
      <c r="N5316" s="12" t="n">
        <v>2</v>
      </c>
      <c r="O5316" s="12" t="n">
        <v>1</v>
      </c>
      <c r="P5316" s="12" t="n"/>
      <c r="Q5316" s="12" t="n"/>
      <c r="R5316" s="12" t="n"/>
      <c r="S5316" s="12" t="inlineStr">
        <is>
          <t>Tray / conduit</t>
        </is>
      </c>
      <c r="T5316" s="16" t="n">
        <v>41</v>
      </c>
      <c r="U5316" s="16" t="n">
        <v>10</v>
      </c>
      <c r="V5316" s="16">
        <f>ROUNDUP((T5316+U5316+2*'Read Me'!$B$13)*(1+'Read Me'!$B$12),-1)</f>
        <v/>
      </c>
      <c r="W5316" s="16">
        <f>V5316*N5316*O5316</f>
        <v/>
      </c>
      <c r="X5316" s="12">
        <f>IF(LEFT(I5316,2)="MV",2*N5316*IF(L5316="1/C",O5316,1),0)</f>
        <v/>
      </c>
      <c r="Y5316" s="12">
        <f>IF(OR(LEFT(K5316,4)="LVAX",LEFT(K5316,6)="MV15AX",LEFT(K5316,4)="CTAX",LEFT(K5316,2)="W|"),2*N5316*O5316,0)</f>
        <v/>
      </c>
      <c r="Z5316" s="12" t="inlineStr">
        <is>
          <t>device-to-JB field wiring, one cable per device</t>
        </is>
      </c>
      <c r="AA5316" s="12">
        <f>N5316*O5316</f>
        <v/>
      </c>
    </row>
    <row r="5317">
      <c r="A5317" s="12" t="inlineStr">
        <is>
          <t>K-C-0023</t>
        </is>
      </c>
      <c r="B5317" s="12" t="inlineStr">
        <is>
          <t>K</t>
        </is>
      </c>
      <c r="C5317" s="12" t="inlineStr">
        <is>
          <t>Fuel supply (adjacent market)</t>
        </is>
      </c>
      <c r="D5317" s="12" t="inlineStr">
        <is>
          <t>Home run JB-H2 21: rectifier t-SOL01 to the control / marshalling room</t>
        </is>
      </c>
      <c r="E5317" s="12" t="inlineStr"/>
      <c r="F5317" s="12" t="inlineStr">
        <is>
          <t>H2 20: 13.8 kV e-house</t>
        </is>
      </c>
      <c r="G5317" s="12" t="inlineStr">
        <is>
          <t>JB-H2 21: rectifier t-SOL01</t>
        </is>
      </c>
      <c r="H5317" s="12" t="inlineStr">
        <is>
          <t>H2 21: rectifier transformer 3 (7 MVA)</t>
        </is>
      </c>
      <c r="I5317" s="12" t="inlineStr">
        <is>
          <t>Control</t>
        </is>
      </c>
      <c r="J5317" s="12" t="inlineStr">
        <is>
          <t>ARMOR-X MC-HL 600 V control, Cu #14 AWG (Class I Div 2)</t>
        </is>
      </c>
      <c r="K5317" s="12" t="inlineStr">
        <is>
          <t>CTAX|25/C|14</t>
        </is>
      </c>
      <c r="L5317" s="12" t="inlineStr">
        <is>
          <t>25/C</t>
        </is>
      </c>
      <c r="M5317" s="12" t="inlineStr">
        <is>
          <t>14</t>
        </is>
      </c>
      <c r="N5317" s="12" t="n">
        <v>1</v>
      </c>
      <c r="O5317" s="12" t="n">
        <v>1</v>
      </c>
      <c r="P5317" s="12" t="n"/>
      <c r="Q5317" s="12" t="n"/>
      <c r="R5317" s="12" t="n"/>
      <c r="S5317" s="12" t="inlineStr">
        <is>
          <t>Duct bank</t>
        </is>
      </c>
      <c r="T5317" s="16" t="n">
        <v>334</v>
      </c>
      <c r="U5317" s="16" t="n">
        <v>32</v>
      </c>
      <c r="V5317" s="16">
        <f>ROUNDUP((T5317+U5317+2*'Read Me'!$B$13)*(1+'Read Me'!$B$12),-1)</f>
        <v/>
      </c>
      <c r="W5317" s="16">
        <f>V5317*N5317*O5317</f>
        <v/>
      </c>
      <c r="X5317" s="12">
        <f>IF(LEFT(I5317,2)="MV",2*N5317*IF(L5317="1/C",O5317,1),0)</f>
        <v/>
      </c>
      <c r="Y5317" s="12">
        <f>IF(OR(LEFT(K5317,4)="LVAX",LEFT(K5317,6)="MV15AX",LEFT(K5317,4)="CTAX",LEFT(K5317,2)="W|"),2*N5317*O5317,0)</f>
        <v/>
      </c>
      <c r="Z5317" s="12" t="inlineStr"/>
      <c r="AA5317" s="12">
        <f>N5317*O5317</f>
        <v/>
      </c>
    </row>
    <row r="5318">
      <c r="A5318" s="12" t="inlineStr">
        <is>
          <t>K-C-0024</t>
        </is>
      </c>
      <c r="B5318" s="12" t="inlineStr">
        <is>
          <t>K</t>
        </is>
      </c>
      <c r="C5318" s="12" t="inlineStr">
        <is>
          <t>Fuel supply (adjacent market)</t>
        </is>
      </c>
      <c r="D5318" s="12" t="inlineStr">
        <is>
          <t>Control</t>
        </is>
      </c>
      <c r="E5318" s="12" t="inlineStr"/>
      <c r="F5318" s="12" t="inlineStr">
        <is>
          <t>H2 20: 13.8 kV e-house</t>
        </is>
      </c>
      <c r="G5318" s="12" t="inlineStr"/>
      <c r="H5318" s="12" t="inlineStr">
        <is>
          <t>H2 21: rectifier transformer 3 (7 MVA)</t>
        </is>
      </c>
      <c r="I5318" s="12" t="inlineStr">
        <is>
          <t>Control</t>
        </is>
      </c>
      <c r="J5318" s="12" t="inlineStr">
        <is>
          <t>ARMOR-X MC-HL 600 V control, Cu #14 AWG (Class I Div 2)</t>
        </is>
      </c>
      <c r="K5318" s="12" t="inlineStr">
        <is>
          <t>CTAX|7/C|14</t>
        </is>
      </c>
      <c r="L5318" s="12" t="inlineStr">
        <is>
          <t>7/C</t>
        </is>
      </c>
      <c r="M5318" s="12" t="inlineStr">
        <is>
          <t>14</t>
        </is>
      </c>
      <c r="N5318" s="12" t="n">
        <v>1</v>
      </c>
      <c r="O5318" s="12" t="n">
        <v>1</v>
      </c>
      <c r="P5318" s="12" t="n"/>
      <c r="Q5318" s="12" t="n"/>
      <c r="R5318" s="12" t="n"/>
      <c r="S5318" s="12" t="inlineStr">
        <is>
          <t>Duct bank</t>
        </is>
      </c>
      <c r="T5318" s="16" t="n">
        <v>334</v>
      </c>
      <c r="U5318" s="16" t="n">
        <v>32</v>
      </c>
      <c r="V5318" s="16">
        <f>ROUNDUP((T5318+U5318+2*'Read Me'!$B$13)*(1+'Read Me'!$B$12),-1)</f>
        <v/>
      </c>
      <c r="W5318" s="16">
        <f>V5318*N5318*O5318</f>
        <v/>
      </c>
      <c r="X5318" s="12">
        <f>IF(LEFT(I5318,2)="MV",2*N5318*IF(L5318="1/C",O5318,1),0)</f>
        <v/>
      </c>
      <c r="Y5318" s="12">
        <f>IF(OR(LEFT(K5318,4)="LVAX",LEFT(K5318,6)="MV15AX",LEFT(K5318,4)="CTAX",LEFT(K5318,2)="W|"),2*N5318*O5318,0)</f>
        <v/>
      </c>
      <c r="Z5318" s="12" t="inlineStr"/>
      <c r="AA5318" s="12">
        <f>N5318*O5318</f>
        <v/>
      </c>
    </row>
    <row r="5319">
      <c r="A5319" s="12" t="inlineStr">
        <is>
          <t>K-C-0025</t>
        </is>
      </c>
      <c r="B5319" s="12" t="inlineStr">
        <is>
          <t>K</t>
        </is>
      </c>
      <c r="C5319" s="12" t="inlineStr">
        <is>
          <t>Fuel supply (adjacent market)</t>
        </is>
      </c>
      <c r="D5319" s="12" t="inlineStr">
        <is>
          <t>Control</t>
        </is>
      </c>
      <c r="E5319" s="12" t="inlineStr"/>
      <c r="F5319" s="12" t="inlineStr">
        <is>
          <t>H2 20: 13.8 kV e-house</t>
        </is>
      </c>
      <c r="G5319" s="12" t="inlineStr"/>
      <c r="H5319" s="12" t="inlineStr">
        <is>
          <t>H2 21: rectifier transformer 3 (7 MVA)</t>
        </is>
      </c>
      <c r="I5319" s="12" t="inlineStr">
        <is>
          <t>Control</t>
        </is>
      </c>
      <c r="J5319" s="12" t="inlineStr">
        <is>
          <t>ARMOR-X MC-HL 600 V control, Cu #14 AWG (Class I Div 2)</t>
        </is>
      </c>
      <c r="K5319" s="12" t="inlineStr">
        <is>
          <t>CTAX|12/C|14</t>
        </is>
      </c>
      <c r="L5319" s="12" t="inlineStr">
        <is>
          <t>12/C</t>
        </is>
      </c>
      <c r="M5319" s="12" t="inlineStr">
        <is>
          <t>14</t>
        </is>
      </c>
      <c r="N5319" s="12" t="n">
        <v>1</v>
      </c>
      <c r="O5319" s="12" t="n">
        <v>1</v>
      </c>
      <c r="P5319" s="12" t="n"/>
      <c r="Q5319" s="12" t="n"/>
      <c r="R5319" s="12" t="n"/>
      <c r="S5319" s="12" t="inlineStr">
        <is>
          <t>Duct bank</t>
        </is>
      </c>
      <c r="T5319" s="16" t="n">
        <v>334</v>
      </c>
      <c r="U5319" s="16" t="n">
        <v>32</v>
      </c>
      <c r="V5319" s="16">
        <f>ROUNDUP((T5319+U5319+2*'Read Me'!$B$13)*(1+'Read Me'!$B$12),-1)</f>
        <v/>
      </c>
      <c r="W5319" s="16">
        <f>V5319*N5319*O5319</f>
        <v/>
      </c>
      <c r="X5319" s="12">
        <f>IF(LEFT(I5319,2)="MV",2*N5319*IF(L5319="1/C",O5319,1),0)</f>
        <v/>
      </c>
      <c r="Y5319" s="12">
        <f>IF(OR(LEFT(K5319,4)="LVAX",LEFT(K5319,6)="MV15AX",LEFT(K5319,4)="CTAX",LEFT(K5319,2)="W|"),2*N5319*O5319,0)</f>
        <v/>
      </c>
      <c r="Z5319" s="12" t="inlineStr"/>
      <c r="AA5319" s="12">
        <f>N5319*O5319</f>
        <v/>
      </c>
    </row>
    <row r="5320">
      <c r="A5320" s="12" t="inlineStr">
        <is>
          <t>K-C-0026</t>
        </is>
      </c>
      <c r="B5320" s="12" t="inlineStr">
        <is>
          <t>K</t>
        </is>
      </c>
      <c r="C5320" s="12" t="inlineStr">
        <is>
          <t>Fuel supply (adjacent market)</t>
        </is>
      </c>
      <c r="D5320" s="12" t="inlineStr">
        <is>
          <t>CT / VT</t>
        </is>
      </c>
      <c r="E5320" s="12" t="inlineStr"/>
      <c r="F5320" s="12" t="inlineStr">
        <is>
          <t>H2 20: 13.8 kV e-house</t>
        </is>
      </c>
      <c r="G5320" s="12" t="inlineStr"/>
      <c r="H5320" s="12" t="inlineStr">
        <is>
          <t>H2 21: rectifier transformer 3 (7 MVA)</t>
        </is>
      </c>
      <c r="I5320" s="12" t="inlineStr">
        <is>
          <t>Control</t>
        </is>
      </c>
      <c r="J5320" s="12" t="inlineStr">
        <is>
          <t>Control cable 600 V Type TC-ER, Cu #10 AWG (CT / VT circuits)</t>
        </is>
      </c>
      <c r="K5320" s="12" t="inlineStr">
        <is>
          <t>CTCT|4/C|10</t>
        </is>
      </c>
      <c r="L5320" s="12" t="inlineStr">
        <is>
          <t>4/C</t>
        </is>
      </c>
      <c r="M5320" s="12" t="inlineStr">
        <is>
          <t>10</t>
        </is>
      </c>
      <c r="N5320" s="12" t="n">
        <v>1</v>
      </c>
      <c r="O5320" s="12" t="n">
        <v>1</v>
      </c>
      <c r="P5320" s="12" t="n"/>
      <c r="Q5320" s="12" t="n"/>
      <c r="R5320" s="12" t="n"/>
      <c r="S5320" s="12" t="inlineStr">
        <is>
          <t>Duct bank</t>
        </is>
      </c>
      <c r="T5320" s="16" t="n">
        <v>334</v>
      </c>
      <c r="U5320" s="16" t="n">
        <v>32</v>
      </c>
      <c r="V5320" s="16">
        <f>ROUNDUP((T5320+U5320+2*'Read Me'!$B$13)*(1+'Read Me'!$B$12),-1)</f>
        <v/>
      </c>
      <c r="W5320" s="16">
        <f>V5320*N5320*O5320</f>
        <v/>
      </c>
      <c r="X5320" s="12">
        <f>IF(LEFT(I5320,2)="MV",2*N5320*IF(L5320="1/C",O5320,1),0)</f>
        <v/>
      </c>
      <c r="Y5320" s="12">
        <f>IF(OR(LEFT(K5320,4)="LVAX",LEFT(K5320,6)="MV15AX",LEFT(K5320,4)="CTAX",LEFT(K5320,2)="W|"),2*N5320*O5320,0)</f>
        <v/>
      </c>
      <c r="Z5320" s="12" t="inlineStr"/>
      <c r="AA5320" s="12">
        <f>N5320*O5320</f>
        <v/>
      </c>
    </row>
    <row r="5321">
      <c r="A5321" s="12" t="inlineStr">
        <is>
          <t>K-C-0027</t>
        </is>
      </c>
      <c r="B5321" s="12" t="inlineStr">
        <is>
          <t>K</t>
        </is>
      </c>
      <c r="C5321" s="12" t="inlineStr">
        <is>
          <t>Fuel supply (adjacent market)</t>
        </is>
      </c>
      <c r="D5321" s="12" t="inlineStr">
        <is>
          <t>CT / VT</t>
        </is>
      </c>
      <c r="E5321" s="12" t="inlineStr"/>
      <c r="F5321" s="12" t="inlineStr">
        <is>
          <t>H2 20: 13.8 kV e-house</t>
        </is>
      </c>
      <c r="G5321" s="12" t="inlineStr"/>
      <c r="H5321" s="12" t="inlineStr">
        <is>
          <t>H2 21: rectifier transformer 3 (7 MVA)</t>
        </is>
      </c>
      <c r="I5321" s="12" t="inlineStr">
        <is>
          <t>Control</t>
        </is>
      </c>
      <c r="J5321" s="12" t="inlineStr">
        <is>
          <t>Control cable 600 V Type TC-ER, Cu #10 AWG (CT / VT circuits)</t>
        </is>
      </c>
      <c r="K5321" s="12" t="inlineStr">
        <is>
          <t>CTCT|4/C|10</t>
        </is>
      </c>
      <c r="L5321" s="12" t="inlineStr">
        <is>
          <t>4/C</t>
        </is>
      </c>
      <c r="M5321" s="12" t="inlineStr">
        <is>
          <t>10</t>
        </is>
      </c>
      <c r="N5321" s="12" t="n">
        <v>1</v>
      </c>
      <c r="O5321" s="12" t="n">
        <v>1</v>
      </c>
      <c r="P5321" s="12" t="n"/>
      <c r="Q5321" s="12" t="n"/>
      <c r="R5321" s="12" t="n"/>
      <c r="S5321" s="12" t="inlineStr">
        <is>
          <t>Duct bank</t>
        </is>
      </c>
      <c r="T5321" s="16" t="n">
        <v>334</v>
      </c>
      <c r="U5321" s="16" t="n">
        <v>32</v>
      </c>
      <c r="V5321" s="16">
        <f>ROUNDUP((T5321+U5321+2*'Read Me'!$B$13)*(1+'Read Me'!$B$12),-1)</f>
        <v/>
      </c>
      <c r="W5321" s="16">
        <f>V5321*N5321*O5321</f>
        <v/>
      </c>
      <c r="X5321" s="12">
        <f>IF(LEFT(I5321,2)="MV",2*N5321*IF(L5321="1/C",O5321,1),0)</f>
        <v/>
      </c>
      <c r="Y5321" s="12">
        <f>IF(OR(LEFT(K5321,4)="LVAX",LEFT(K5321,6)="MV15AX",LEFT(K5321,4)="CTAX",LEFT(K5321,2)="W|"),2*N5321*O5321,0)</f>
        <v/>
      </c>
      <c r="Z5321" s="12" t="inlineStr"/>
      <c r="AA5321" s="12">
        <f>N5321*O5321</f>
        <v/>
      </c>
    </row>
    <row r="5322">
      <c r="A5322" s="12" t="inlineStr">
        <is>
          <t>K-C-0028</t>
        </is>
      </c>
      <c r="B5322" s="12" t="inlineStr">
        <is>
          <t>K</t>
        </is>
      </c>
      <c r="C5322" s="12" t="inlineStr">
        <is>
          <t>Fuel supply (adjacent market)</t>
        </is>
      </c>
      <c r="D5322" s="12" t="inlineStr">
        <is>
          <t>Motor 1 of 1: control / local station</t>
        </is>
      </c>
      <c r="E5322" s="12" t="inlineStr"/>
      <c r="F5322" s="12" t="inlineStr">
        <is>
          <t>H2 20: 13.8 kV e-house</t>
        </is>
      </c>
      <c r="G5322" s="12" t="inlineStr"/>
      <c r="H5322" s="12" t="inlineStr">
        <is>
          <t>H2 21: rectifier transformer 4 (7 MVA)</t>
        </is>
      </c>
      <c r="I5322" s="12" t="inlineStr">
        <is>
          <t>Control</t>
        </is>
      </c>
      <c r="J5322" s="12" t="inlineStr">
        <is>
          <t>ARMOR-X MC-HL 600 V control, Cu #14 AWG (Class I Div 2)</t>
        </is>
      </c>
      <c r="K5322" s="12" t="inlineStr">
        <is>
          <t>CTAX|7/C|14</t>
        </is>
      </c>
      <c r="L5322" s="12" t="inlineStr">
        <is>
          <t>7/C</t>
        </is>
      </c>
      <c r="M5322" s="12" t="inlineStr">
        <is>
          <t>14</t>
        </is>
      </c>
      <c r="N5322" s="12" t="n">
        <v>1</v>
      </c>
      <c r="O5322" s="12" t="n">
        <v>1</v>
      </c>
      <c r="P5322" s="12" t="n"/>
      <c r="Q5322" s="12" t="n"/>
      <c r="R5322" s="12" t="n"/>
      <c r="S5322" s="12" t="inlineStr">
        <is>
          <t>Duct bank</t>
        </is>
      </c>
      <c r="T5322" s="16" t="n">
        <v>312</v>
      </c>
      <c r="U5322" s="16" t="n">
        <v>32</v>
      </c>
      <c r="V5322" s="16">
        <f>ROUNDUP((T5322+U5322+2*'Read Me'!$B$13)*(1+'Read Me'!$B$12),-1)</f>
        <v/>
      </c>
      <c r="W5322" s="16">
        <f>V5322*N5322*O5322</f>
        <v/>
      </c>
      <c r="X5322" s="12">
        <f>IF(LEFT(I5322,2)="MV",2*N5322*IF(L5322="1/C",O5322,1),0)</f>
        <v/>
      </c>
      <c r="Y5322" s="12">
        <f>IF(OR(LEFT(K5322,4)="LVAX",LEFT(K5322,6)="MV15AX",LEFT(K5322,4)="CTAX",LEFT(K5322,2)="W|"),2*N5322*O5322,0)</f>
        <v/>
      </c>
      <c r="Z5322" s="12" t="inlineStr"/>
      <c r="AA5322" s="12">
        <f>N5322*O5322</f>
        <v/>
      </c>
    </row>
    <row r="5323">
      <c r="A5323" s="12" t="inlineStr">
        <is>
          <t>K-C-0029</t>
        </is>
      </c>
      <c r="B5323" s="12" t="inlineStr">
        <is>
          <t>K</t>
        </is>
      </c>
      <c r="C5323" s="12" t="inlineStr">
        <is>
          <t>Fuel supply (adjacent market)</t>
        </is>
      </c>
      <c r="D5323" s="12" t="inlineStr">
        <is>
          <t>Solenoid to JB JB-H2 21: rectifier t-SOL01: 2 x 2/C (field cables)</t>
        </is>
      </c>
      <c r="E5323" s="12" t="inlineStr"/>
      <c r="F5323" s="12" t="inlineStr">
        <is>
          <t>H2 21: rectifier transformer 4 (7 MVA)</t>
        </is>
      </c>
      <c r="G5323" s="12" t="inlineStr">
        <is>
          <t>JB-H2 21: rectifier t-SOL01</t>
        </is>
      </c>
      <c r="H5323" s="12" t="inlineStr">
        <is>
          <t>H2 21: rectifier transformer 4 (7 MVA)</t>
        </is>
      </c>
      <c r="I5323" s="12" t="inlineStr">
        <is>
          <t>Control</t>
        </is>
      </c>
      <c r="J5323" s="12" t="inlineStr">
        <is>
          <t>ARMOR-X MC-HL 600 V control, Cu #14 AWG (Class I Div 2)</t>
        </is>
      </c>
      <c r="K5323" s="12" t="inlineStr">
        <is>
          <t>CTAX|2/C|14</t>
        </is>
      </c>
      <c r="L5323" s="12" t="inlineStr">
        <is>
          <t>2/C</t>
        </is>
      </c>
      <c r="M5323" s="12" t="inlineStr">
        <is>
          <t>14</t>
        </is>
      </c>
      <c r="N5323" s="12" t="n">
        <v>2</v>
      </c>
      <c r="O5323" s="12" t="n">
        <v>1</v>
      </c>
      <c r="P5323" s="12" t="n"/>
      <c r="Q5323" s="12" t="n"/>
      <c r="R5323" s="12" t="n"/>
      <c r="S5323" s="12" t="inlineStr">
        <is>
          <t>Tray / conduit</t>
        </is>
      </c>
      <c r="T5323" s="16" t="n">
        <v>41</v>
      </c>
      <c r="U5323" s="16" t="n">
        <v>10</v>
      </c>
      <c r="V5323" s="16">
        <f>ROUNDUP((T5323+U5323+2*'Read Me'!$B$13)*(1+'Read Me'!$B$12),-1)</f>
        <v/>
      </c>
      <c r="W5323" s="16">
        <f>V5323*N5323*O5323</f>
        <v/>
      </c>
      <c r="X5323" s="12">
        <f>IF(LEFT(I5323,2)="MV",2*N5323*IF(L5323="1/C",O5323,1),0)</f>
        <v/>
      </c>
      <c r="Y5323" s="12">
        <f>IF(OR(LEFT(K5323,4)="LVAX",LEFT(K5323,6)="MV15AX",LEFT(K5323,4)="CTAX",LEFT(K5323,2)="W|"),2*N5323*O5323,0)</f>
        <v/>
      </c>
      <c r="Z5323" s="12" t="inlineStr">
        <is>
          <t>device-to-JB field wiring, one cable per device</t>
        </is>
      </c>
      <c r="AA5323" s="12">
        <f>N5323*O5323</f>
        <v/>
      </c>
    </row>
    <row r="5324">
      <c r="A5324" s="12" t="inlineStr">
        <is>
          <t>K-C-0030</t>
        </is>
      </c>
      <c r="B5324" s="12" t="inlineStr">
        <is>
          <t>K</t>
        </is>
      </c>
      <c r="C5324" s="12" t="inlineStr">
        <is>
          <t>Fuel supply (adjacent market)</t>
        </is>
      </c>
      <c r="D5324" s="12" t="inlineStr">
        <is>
          <t>Home run JB-H2 21: rectifier t-SOL01 to the control / marshalling room</t>
        </is>
      </c>
      <c r="E5324" s="12" t="inlineStr"/>
      <c r="F5324" s="12" t="inlineStr">
        <is>
          <t>H2 20: 13.8 kV e-house</t>
        </is>
      </c>
      <c r="G5324" s="12" t="inlineStr">
        <is>
          <t>JB-H2 21: rectifier t-SOL01</t>
        </is>
      </c>
      <c r="H5324" s="12" t="inlineStr">
        <is>
          <t>H2 21: rectifier transformer 4 (7 MVA)</t>
        </is>
      </c>
      <c r="I5324" s="12" t="inlineStr">
        <is>
          <t>Control</t>
        </is>
      </c>
      <c r="J5324" s="12" t="inlineStr">
        <is>
          <t>ARMOR-X MC-HL 600 V control, Cu #14 AWG (Class I Div 2)</t>
        </is>
      </c>
      <c r="K5324" s="12" t="inlineStr">
        <is>
          <t>CTAX|25/C|14</t>
        </is>
      </c>
      <c r="L5324" s="12" t="inlineStr">
        <is>
          <t>25/C</t>
        </is>
      </c>
      <c r="M5324" s="12" t="inlineStr">
        <is>
          <t>14</t>
        </is>
      </c>
      <c r="N5324" s="12" t="n">
        <v>1</v>
      </c>
      <c r="O5324" s="12" t="n">
        <v>1</v>
      </c>
      <c r="P5324" s="12" t="n"/>
      <c r="Q5324" s="12" t="n"/>
      <c r="R5324" s="12" t="n"/>
      <c r="S5324" s="12" t="inlineStr">
        <is>
          <t>Duct bank</t>
        </is>
      </c>
      <c r="T5324" s="16" t="n">
        <v>312</v>
      </c>
      <c r="U5324" s="16" t="n">
        <v>32</v>
      </c>
      <c r="V5324" s="16">
        <f>ROUNDUP((T5324+U5324+2*'Read Me'!$B$13)*(1+'Read Me'!$B$12),-1)</f>
        <v/>
      </c>
      <c r="W5324" s="16">
        <f>V5324*N5324*O5324</f>
        <v/>
      </c>
      <c r="X5324" s="12">
        <f>IF(LEFT(I5324,2)="MV",2*N5324*IF(L5324="1/C",O5324,1),0)</f>
        <v/>
      </c>
      <c r="Y5324" s="12">
        <f>IF(OR(LEFT(K5324,4)="LVAX",LEFT(K5324,6)="MV15AX",LEFT(K5324,4)="CTAX",LEFT(K5324,2)="W|"),2*N5324*O5324,0)</f>
        <v/>
      </c>
      <c r="Z5324" s="12" t="inlineStr"/>
      <c r="AA5324" s="12">
        <f>N5324*O5324</f>
        <v/>
      </c>
    </row>
    <row r="5325">
      <c r="A5325" s="12" t="inlineStr">
        <is>
          <t>K-C-0031</t>
        </is>
      </c>
      <c r="B5325" s="12" t="inlineStr">
        <is>
          <t>K</t>
        </is>
      </c>
      <c r="C5325" s="12" t="inlineStr">
        <is>
          <t>Fuel supply (adjacent market)</t>
        </is>
      </c>
      <c r="D5325" s="12" t="inlineStr">
        <is>
          <t>Control</t>
        </is>
      </c>
      <c r="E5325" s="12" t="inlineStr"/>
      <c r="F5325" s="12" t="inlineStr">
        <is>
          <t>H2 20: 13.8 kV e-house</t>
        </is>
      </c>
      <c r="G5325" s="12" t="inlineStr"/>
      <c r="H5325" s="12" t="inlineStr">
        <is>
          <t>H2 21: rectifier transformer 4 (7 MVA)</t>
        </is>
      </c>
      <c r="I5325" s="12" t="inlineStr">
        <is>
          <t>Control</t>
        </is>
      </c>
      <c r="J5325" s="12" t="inlineStr">
        <is>
          <t>ARMOR-X MC-HL 600 V control, Cu #14 AWG (Class I Div 2)</t>
        </is>
      </c>
      <c r="K5325" s="12" t="inlineStr">
        <is>
          <t>CTAX|7/C|14</t>
        </is>
      </c>
      <c r="L5325" s="12" t="inlineStr">
        <is>
          <t>7/C</t>
        </is>
      </c>
      <c r="M5325" s="12" t="inlineStr">
        <is>
          <t>14</t>
        </is>
      </c>
      <c r="N5325" s="12" t="n">
        <v>1</v>
      </c>
      <c r="O5325" s="12" t="n">
        <v>1</v>
      </c>
      <c r="P5325" s="12" t="n"/>
      <c r="Q5325" s="12" t="n"/>
      <c r="R5325" s="12" t="n"/>
      <c r="S5325" s="12" t="inlineStr">
        <is>
          <t>Duct bank</t>
        </is>
      </c>
      <c r="T5325" s="16" t="n">
        <v>312</v>
      </c>
      <c r="U5325" s="16" t="n">
        <v>32</v>
      </c>
      <c r="V5325" s="16">
        <f>ROUNDUP((T5325+U5325+2*'Read Me'!$B$13)*(1+'Read Me'!$B$12),-1)</f>
        <v/>
      </c>
      <c r="W5325" s="16">
        <f>V5325*N5325*O5325</f>
        <v/>
      </c>
      <c r="X5325" s="12">
        <f>IF(LEFT(I5325,2)="MV",2*N5325*IF(L5325="1/C",O5325,1),0)</f>
        <v/>
      </c>
      <c r="Y5325" s="12">
        <f>IF(OR(LEFT(K5325,4)="LVAX",LEFT(K5325,6)="MV15AX",LEFT(K5325,4)="CTAX",LEFT(K5325,2)="W|"),2*N5325*O5325,0)</f>
        <v/>
      </c>
      <c r="Z5325" s="12" t="inlineStr"/>
      <c r="AA5325" s="12">
        <f>N5325*O5325</f>
        <v/>
      </c>
    </row>
    <row r="5326">
      <c r="A5326" s="12" t="inlineStr">
        <is>
          <t>K-C-0032</t>
        </is>
      </c>
      <c r="B5326" s="12" t="inlineStr">
        <is>
          <t>K</t>
        </is>
      </c>
      <c r="C5326" s="12" t="inlineStr">
        <is>
          <t>Fuel supply (adjacent market)</t>
        </is>
      </c>
      <c r="D5326" s="12" t="inlineStr">
        <is>
          <t>Control</t>
        </is>
      </c>
      <c r="E5326" s="12" t="inlineStr"/>
      <c r="F5326" s="12" t="inlineStr">
        <is>
          <t>H2 20: 13.8 kV e-house</t>
        </is>
      </c>
      <c r="G5326" s="12" t="inlineStr"/>
      <c r="H5326" s="12" t="inlineStr">
        <is>
          <t>H2 21: rectifier transformer 4 (7 MVA)</t>
        </is>
      </c>
      <c r="I5326" s="12" t="inlineStr">
        <is>
          <t>Control</t>
        </is>
      </c>
      <c r="J5326" s="12" t="inlineStr">
        <is>
          <t>ARMOR-X MC-HL 600 V control, Cu #14 AWG (Class I Div 2)</t>
        </is>
      </c>
      <c r="K5326" s="12" t="inlineStr">
        <is>
          <t>CTAX|12/C|14</t>
        </is>
      </c>
      <c r="L5326" s="12" t="inlineStr">
        <is>
          <t>12/C</t>
        </is>
      </c>
      <c r="M5326" s="12" t="inlineStr">
        <is>
          <t>14</t>
        </is>
      </c>
      <c r="N5326" s="12" t="n">
        <v>1</v>
      </c>
      <c r="O5326" s="12" t="n">
        <v>1</v>
      </c>
      <c r="P5326" s="12" t="n"/>
      <c r="Q5326" s="12" t="n"/>
      <c r="R5326" s="12" t="n"/>
      <c r="S5326" s="12" t="inlineStr">
        <is>
          <t>Duct bank</t>
        </is>
      </c>
      <c r="T5326" s="16" t="n">
        <v>312</v>
      </c>
      <c r="U5326" s="16" t="n">
        <v>32</v>
      </c>
      <c r="V5326" s="16">
        <f>ROUNDUP((T5326+U5326+2*'Read Me'!$B$13)*(1+'Read Me'!$B$12),-1)</f>
        <v/>
      </c>
      <c r="W5326" s="16">
        <f>V5326*N5326*O5326</f>
        <v/>
      </c>
      <c r="X5326" s="12">
        <f>IF(LEFT(I5326,2)="MV",2*N5326*IF(L5326="1/C",O5326,1),0)</f>
        <v/>
      </c>
      <c r="Y5326" s="12">
        <f>IF(OR(LEFT(K5326,4)="LVAX",LEFT(K5326,6)="MV15AX",LEFT(K5326,4)="CTAX",LEFT(K5326,2)="W|"),2*N5326*O5326,0)</f>
        <v/>
      </c>
      <c r="Z5326" s="12" t="inlineStr"/>
      <c r="AA5326" s="12">
        <f>N5326*O5326</f>
        <v/>
      </c>
    </row>
    <row r="5327">
      <c r="A5327" s="12" t="inlineStr">
        <is>
          <t>K-C-0033</t>
        </is>
      </c>
      <c r="B5327" s="12" t="inlineStr">
        <is>
          <t>K</t>
        </is>
      </c>
      <c r="C5327" s="12" t="inlineStr">
        <is>
          <t>Fuel supply (adjacent market)</t>
        </is>
      </c>
      <c r="D5327" s="12" t="inlineStr">
        <is>
          <t>CT / VT</t>
        </is>
      </c>
      <c r="E5327" s="12" t="inlineStr"/>
      <c r="F5327" s="12" t="inlineStr">
        <is>
          <t>H2 20: 13.8 kV e-house</t>
        </is>
      </c>
      <c r="G5327" s="12" t="inlineStr"/>
      <c r="H5327" s="12" t="inlineStr">
        <is>
          <t>H2 21: rectifier transformer 4 (7 MVA)</t>
        </is>
      </c>
      <c r="I5327" s="12" t="inlineStr">
        <is>
          <t>Control</t>
        </is>
      </c>
      <c r="J5327" s="12" t="inlineStr">
        <is>
          <t>Control cable 600 V Type TC-ER, Cu #10 AWG (CT / VT circuits)</t>
        </is>
      </c>
      <c r="K5327" s="12" t="inlineStr">
        <is>
          <t>CTCT|4/C|10</t>
        </is>
      </c>
      <c r="L5327" s="12" t="inlineStr">
        <is>
          <t>4/C</t>
        </is>
      </c>
      <c r="M5327" s="12" t="inlineStr">
        <is>
          <t>10</t>
        </is>
      </c>
      <c r="N5327" s="12" t="n">
        <v>1</v>
      </c>
      <c r="O5327" s="12" t="n">
        <v>1</v>
      </c>
      <c r="P5327" s="12" t="n"/>
      <c r="Q5327" s="12" t="n"/>
      <c r="R5327" s="12" t="n"/>
      <c r="S5327" s="12" t="inlineStr">
        <is>
          <t>Duct bank</t>
        </is>
      </c>
      <c r="T5327" s="16" t="n">
        <v>312</v>
      </c>
      <c r="U5327" s="16" t="n">
        <v>32</v>
      </c>
      <c r="V5327" s="16">
        <f>ROUNDUP((T5327+U5327+2*'Read Me'!$B$13)*(1+'Read Me'!$B$12),-1)</f>
        <v/>
      </c>
      <c r="W5327" s="16">
        <f>V5327*N5327*O5327</f>
        <v/>
      </c>
      <c r="X5327" s="12">
        <f>IF(LEFT(I5327,2)="MV",2*N5327*IF(L5327="1/C",O5327,1),0)</f>
        <v/>
      </c>
      <c r="Y5327" s="12">
        <f>IF(OR(LEFT(K5327,4)="LVAX",LEFT(K5327,6)="MV15AX",LEFT(K5327,4)="CTAX",LEFT(K5327,2)="W|"),2*N5327*O5327,0)</f>
        <v/>
      </c>
      <c r="Z5327" s="12" t="inlineStr"/>
      <c r="AA5327" s="12">
        <f>N5327*O5327</f>
        <v/>
      </c>
    </row>
    <row r="5328">
      <c r="A5328" s="12" t="inlineStr">
        <is>
          <t>K-C-0034</t>
        </is>
      </c>
      <c r="B5328" s="12" t="inlineStr">
        <is>
          <t>K</t>
        </is>
      </c>
      <c r="C5328" s="12" t="inlineStr">
        <is>
          <t>Fuel supply (adjacent market)</t>
        </is>
      </c>
      <c r="D5328" s="12" t="inlineStr">
        <is>
          <t>CT / VT</t>
        </is>
      </c>
      <c r="E5328" s="12" t="inlineStr"/>
      <c r="F5328" s="12" t="inlineStr">
        <is>
          <t>H2 20: 13.8 kV e-house</t>
        </is>
      </c>
      <c r="G5328" s="12" t="inlineStr"/>
      <c r="H5328" s="12" t="inlineStr">
        <is>
          <t>H2 21: rectifier transformer 4 (7 MVA)</t>
        </is>
      </c>
      <c r="I5328" s="12" t="inlineStr">
        <is>
          <t>Control</t>
        </is>
      </c>
      <c r="J5328" s="12" t="inlineStr">
        <is>
          <t>Control cable 600 V Type TC-ER, Cu #10 AWG (CT / VT circuits)</t>
        </is>
      </c>
      <c r="K5328" s="12" t="inlineStr">
        <is>
          <t>CTCT|4/C|10</t>
        </is>
      </c>
      <c r="L5328" s="12" t="inlineStr">
        <is>
          <t>4/C</t>
        </is>
      </c>
      <c r="M5328" s="12" t="inlineStr">
        <is>
          <t>10</t>
        </is>
      </c>
      <c r="N5328" s="12" t="n">
        <v>1</v>
      </c>
      <c r="O5328" s="12" t="n">
        <v>1</v>
      </c>
      <c r="P5328" s="12" t="n"/>
      <c r="Q5328" s="12" t="n"/>
      <c r="R5328" s="12" t="n"/>
      <c r="S5328" s="12" t="inlineStr">
        <is>
          <t>Duct bank</t>
        </is>
      </c>
      <c r="T5328" s="16" t="n">
        <v>312</v>
      </c>
      <c r="U5328" s="16" t="n">
        <v>32</v>
      </c>
      <c r="V5328" s="16">
        <f>ROUNDUP((T5328+U5328+2*'Read Me'!$B$13)*(1+'Read Me'!$B$12),-1)</f>
        <v/>
      </c>
      <c r="W5328" s="16">
        <f>V5328*N5328*O5328</f>
        <v/>
      </c>
      <c r="X5328" s="12">
        <f>IF(LEFT(I5328,2)="MV",2*N5328*IF(L5328="1/C",O5328,1),0)</f>
        <v/>
      </c>
      <c r="Y5328" s="12">
        <f>IF(OR(LEFT(K5328,4)="LVAX",LEFT(K5328,6)="MV15AX",LEFT(K5328,4)="CTAX",LEFT(K5328,2)="W|"),2*N5328*O5328,0)</f>
        <v/>
      </c>
      <c r="Z5328" s="12" t="inlineStr"/>
      <c r="AA5328" s="12">
        <f>N5328*O5328</f>
        <v/>
      </c>
    </row>
    <row r="5329">
      <c r="A5329" s="12" t="inlineStr">
        <is>
          <t>K-C-0035</t>
        </is>
      </c>
      <c r="B5329" s="12" t="inlineStr">
        <is>
          <t>K</t>
        </is>
      </c>
      <c r="C5329" s="12" t="inlineStr">
        <is>
          <t>Fuel supply (adjacent market)</t>
        </is>
      </c>
      <c r="D5329" s="12" t="inlineStr">
        <is>
          <t>Motor 1 of 1: control / local station</t>
        </is>
      </c>
      <c r="E5329" s="12" t="inlineStr"/>
      <c r="F5329" s="12" t="inlineStr">
        <is>
          <t>H2 20: 13.8 kV e-house</t>
        </is>
      </c>
      <c r="G5329" s="12" t="inlineStr"/>
      <c r="H5329" s="12" t="inlineStr">
        <is>
          <t>H2 21: rectifier transformer 5 (7 MVA)</t>
        </is>
      </c>
      <c r="I5329" s="12" t="inlineStr">
        <is>
          <t>Control</t>
        </is>
      </c>
      <c r="J5329" s="12" t="inlineStr">
        <is>
          <t>ARMOR-X MC-HL 600 V control, Cu #14 AWG (Class I Div 2)</t>
        </is>
      </c>
      <c r="K5329" s="12" t="inlineStr">
        <is>
          <t>CTAX|7/C|14</t>
        </is>
      </c>
      <c r="L5329" s="12" t="inlineStr">
        <is>
          <t>7/C</t>
        </is>
      </c>
      <c r="M5329" s="12" t="inlineStr">
        <is>
          <t>14</t>
        </is>
      </c>
      <c r="N5329" s="12" t="n">
        <v>1</v>
      </c>
      <c r="O5329" s="12" t="n">
        <v>1</v>
      </c>
      <c r="P5329" s="12" t="n"/>
      <c r="Q5329" s="12" t="n"/>
      <c r="R5329" s="12" t="n"/>
      <c r="S5329" s="12" t="inlineStr">
        <is>
          <t>Duct bank</t>
        </is>
      </c>
      <c r="T5329" s="16" t="n">
        <v>254</v>
      </c>
      <c r="U5329" s="16" t="n">
        <v>32</v>
      </c>
      <c r="V5329" s="16">
        <f>ROUNDUP((T5329+U5329+2*'Read Me'!$B$13)*(1+'Read Me'!$B$12),-1)</f>
        <v/>
      </c>
      <c r="W5329" s="16">
        <f>V5329*N5329*O5329</f>
        <v/>
      </c>
      <c r="X5329" s="12">
        <f>IF(LEFT(I5329,2)="MV",2*N5329*IF(L5329="1/C",O5329,1),0)</f>
        <v/>
      </c>
      <c r="Y5329" s="12">
        <f>IF(OR(LEFT(K5329,4)="LVAX",LEFT(K5329,6)="MV15AX",LEFT(K5329,4)="CTAX",LEFT(K5329,2)="W|"),2*N5329*O5329,0)</f>
        <v/>
      </c>
      <c r="Z5329" s="12" t="inlineStr"/>
      <c r="AA5329" s="12">
        <f>N5329*O5329</f>
        <v/>
      </c>
    </row>
    <row r="5330">
      <c r="A5330" s="12" t="inlineStr">
        <is>
          <t>K-C-0036</t>
        </is>
      </c>
      <c r="B5330" s="12" t="inlineStr">
        <is>
          <t>K</t>
        </is>
      </c>
      <c r="C5330" s="12" t="inlineStr">
        <is>
          <t>Fuel supply (adjacent market)</t>
        </is>
      </c>
      <c r="D5330" s="12" t="inlineStr">
        <is>
          <t>Solenoid to JB JB-H2 21: rectifier t-SOL01: 2 x 2/C (field cables)</t>
        </is>
      </c>
      <c r="E5330" s="12" t="inlineStr"/>
      <c r="F5330" s="12" t="inlineStr">
        <is>
          <t>H2 21: rectifier transformer 5 (7 MVA)</t>
        </is>
      </c>
      <c r="G5330" s="12" t="inlineStr">
        <is>
          <t>JB-H2 21: rectifier t-SOL01</t>
        </is>
      </c>
      <c r="H5330" s="12" t="inlineStr">
        <is>
          <t>H2 21: rectifier transformer 5 (7 MVA)</t>
        </is>
      </c>
      <c r="I5330" s="12" t="inlineStr">
        <is>
          <t>Control</t>
        </is>
      </c>
      <c r="J5330" s="12" t="inlineStr">
        <is>
          <t>ARMOR-X MC-HL 600 V control, Cu #14 AWG (Class I Div 2)</t>
        </is>
      </c>
      <c r="K5330" s="12" t="inlineStr">
        <is>
          <t>CTAX|2/C|14</t>
        </is>
      </c>
      <c r="L5330" s="12" t="inlineStr">
        <is>
          <t>2/C</t>
        </is>
      </c>
      <c r="M5330" s="12" t="inlineStr">
        <is>
          <t>14</t>
        </is>
      </c>
      <c r="N5330" s="12" t="n">
        <v>2</v>
      </c>
      <c r="O5330" s="12" t="n">
        <v>1</v>
      </c>
      <c r="P5330" s="12" t="n"/>
      <c r="Q5330" s="12" t="n"/>
      <c r="R5330" s="12" t="n"/>
      <c r="S5330" s="12" t="inlineStr">
        <is>
          <t>Tray / conduit</t>
        </is>
      </c>
      <c r="T5330" s="16" t="n">
        <v>41</v>
      </c>
      <c r="U5330" s="16" t="n">
        <v>10</v>
      </c>
      <c r="V5330" s="16">
        <f>ROUNDUP((T5330+U5330+2*'Read Me'!$B$13)*(1+'Read Me'!$B$12),-1)</f>
        <v/>
      </c>
      <c r="W5330" s="16">
        <f>V5330*N5330*O5330</f>
        <v/>
      </c>
      <c r="X5330" s="12">
        <f>IF(LEFT(I5330,2)="MV",2*N5330*IF(L5330="1/C",O5330,1),0)</f>
        <v/>
      </c>
      <c r="Y5330" s="12">
        <f>IF(OR(LEFT(K5330,4)="LVAX",LEFT(K5330,6)="MV15AX",LEFT(K5330,4)="CTAX",LEFT(K5330,2)="W|"),2*N5330*O5330,0)</f>
        <v/>
      </c>
      <c r="Z5330" s="12" t="inlineStr">
        <is>
          <t>device-to-JB field wiring, one cable per device</t>
        </is>
      </c>
      <c r="AA5330" s="12">
        <f>N5330*O5330</f>
        <v/>
      </c>
    </row>
    <row r="5331">
      <c r="A5331" s="12" t="inlineStr">
        <is>
          <t>K-C-0037</t>
        </is>
      </c>
      <c r="B5331" s="12" t="inlineStr">
        <is>
          <t>K</t>
        </is>
      </c>
      <c r="C5331" s="12" t="inlineStr">
        <is>
          <t>Fuel supply (adjacent market)</t>
        </is>
      </c>
      <c r="D5331" s="12" t="inlineStr">
        <is>
          <t>Home run JB-H2 21: rectifier t-SOL01 to the control / marshalling room</t>
        </is>
      </c>
      <c r="E5331" s="12" t="inlineStr"/>
      <c r="F5331" s="12" t="inlineStr">
        <is>
          <t>H2 20: 13.8 kV e-house</t>
        </is>
      </c>
      <c r="G5331" s="12" t="inlineStr">
        <is>
          <t>JB-H2 21: rectifier t-SOL01</t>
        </is>
      </c>
      <c r="H5331" s="12" t="inlineStr">
        <is>
          <t>H2 21: rectifier transformer 5 (7 MVA)</t>
        </is>
      </c>
      <c r="I5331" s="12" t="inlineStr">
        <is>
          <t>Control</t>
        </is>
      </c>
      <c r="J5331" s="12" t="inlineStr">
        <is>
          <t>ARMOR-X MC-HL 600 V control, Cu #14 AWG (Class I Div 2)</t>
        </is>
      </c>
      <c r="K5331" s="12" t="inlineStr">
        <is>
          <t>CTAX|25/C|14</t>
        </is>
      </c>
      <c r="L5331" s="12" t="inlineStr">
        <is>
          <t>25/C</t>
        </is>
      </c>
      <c r="M5331" s="12" t="inlineStr">
        <is>
          <t>14</t>
        </is>
      </c>
      <c r="N5331" s="12" t="n">
        <v>1</v>
      </c>
      <c r="O5331" s="12" t="n">
        <v>1</v>
      </c>
      <c r="P5331" s="12" t="n"/>
      <c r="Q5331" s="12" t="n"/>
      <c r="R5331" s="12" t="n"/>
      <c r="S5331" s="12" t="inlineStr">
        <is>
          <t>Duct bank</t>
        </is>
      </c>
      <c r="T5331" s="16" t="n">
        <v>254</v>
      </c>
      <c r="U5331" s="16" t="n">
        <v>32</v>
      </c>
      <c r="V5331" s="16">
        <f>ROUNDUP((T5331+U5331+2*'Read Me'!$B$13)*(1+'Read Me'!$B$12),-1)</f>
        <v/>
      </c>
      <c r="W5331" s="16">
        <f>V5331*N5331*O5331</f>
        <v/>
      </c>
      <c r="X5331" s="12">
        <f>IF(LEFT(I5331,2)="MV",2*N5331*IF(L5331="1/C",O5331,1),0)</f>
        <v/>
      </c>
      <c r="Y5331" s="12">
        <f>IF(OR(LEFT(K5331,4)="LVAX",LEFT(K5331,6)="MV15AX",LEFT(K5331,4)="CTAX",LEFT(K5331,2)="W|"),2*N5331*O5331,0)</f>
        <v/>
      </c>
      <c r="Z5331" s="12" t="inlineStr"/>
      <c r="AA5331" s="12">
        <f>N5331*O5331</f>
        <v/>
      </c>
    </row>
    <row r="5332">
      <c r="A5332" s="12" t="inlineStr">
        <is>
          <t>K-C-0038</t>
        </is>
      </c>
      <c r="B5332" s="12" t="inlineStr">
        <is>
          <t>K</t>
        </is>
      </c>
      <c r="C5332" s="12" t="inlineStr">
        <is>
          <t>Fuel supply (adjacent market)</t>
        </is>
      </c>
      <c r="D5332" s="12" t="inlineStr">
        <is>
          <t>Control</t>
        </is>
      </c>
      <c r="E5332" s="12" t="inlineStr"/>
      <c r="F5332" s="12" t="inlineStr">
        <is>
          <t>H2 20: 13.8 kV e-house</t>
        </is>
      </c>
      <c r="G5332" s="12" t="inlineStr"/>
      <c r="H5332" s="12" t="inlineStr">
        <is>
          <t>H2 21: rectifier transformer 5 (7 MVA)</t>
        </is>
      </c>
      <c r="I5332" s="12" t="inlineStr">
        <is>
          <t>Control</t>
        </is>
      </c>
      <c r="J5332" s="12" t="inlineStr">
        <is>
          <t>ARMOR-X MC-HL 600 V control, Cu #14 AWG (Class I Div 2)</t>
        </is>
      </c>
      <c r="K5332" s="12" t="inlineStr">
        <is>
          <t>CTAX|7/C|14</t>
        </is>
      </c>
      <c r="L5332" s="12" t="inlineStr">
        <is>
          <t>7/C</t>
        </is>
      </c>
      <c r="M5332" s="12" t="inlineStr">
        <is>
          <t>14</t>
        </is>
      </c>
      <c r="N5332" s="12" t="n">
        <v>1</v>
      </c>
      <c r="O5332" s="12" t="n">
        <v>1</v>
      </c>
      <c r="P5332" s="12" t="n"/>
      <c r="Q5332" s="12" t="n"/>
      <c r="R5332" s="12" t="n"/>
      <c r="S5332" s="12" t="inlineStr">
        <is>
          <t>Duct bank</t>
        </is>
      </c>
      <c r="T5332" s="16" t="n">
        <v>254</v>
      </c>
      <c r="U5332" s="16" t="n">
        <v>32</v>
      </c>
      <c r="V5332" s="16">
        <f>ROUNDUP((T5332+U5332+2*'Read Me'!$B$13)*(1+'Read Me'!$B$12),-1)</f>
        <v/>
      </c>
      <c r="W5332" s="16">
        <f>V5332*N5332*O5332</f>
        <v/>
      </c>
      <c r="X5332" s="12">
        <f>IF(LEFT(I5332,2)="MV",2*N5332*IF(L5332="1/C",O5332,1),0)</f>
        <v/>
      </c>
      <c r="Y5332" s="12">
        <f>IF(OR(LEFT(K5332,4)="LVAX",LEFT(K5332,6)="MV15AX",LEFT(K5332,4)="CTAX",LEFT(K5332,2)="W|"),2*N5332*O5332,0)</f>
        <v/>
      </c>
      <c r="Z5332" s="12" t="inlineStr"/>
      <c r="AA5332" s="12">
        <f>N5332*O5332</f>
        <v/>
      </c>
    </row>
    <row r="5333">
      <c r="A5333" s="12" t="inlineStr">
        <is>
          <t>K-C-0039</t>
        </is>
      </c>
      <c r="B5333" s="12" t="inlineStr">
        <is>
          <t>K</t>
        </is>
      </c>
      <c r="C5333" s="12" t="inlineStr">
        <is>
          <t>Fuel supply (adjacent market)</t>
        </is>
      </c>
      <c r="D5333" s="12" t="inlineStr">
        <is>
          <t>Control</t>
        </is>
      </c>
      <c r="E5333" s="12" t="inlineStr"/>
      <c r="F5333" s="12" t="inlineStr">
        <is>
          <t>H2 20: 13.8 kV e-house</t>
        </is>
      </c>
      <c r="G5333" s="12" t="inlineStr"/>
      <c r="H5333" s="12" t="inlineStr">
        <is>
          <t>H2 21: rectifier transformer 5 (7 MVA)</t>
        </is>
      </c>
      <c r="I5333" s="12" t="inlineStr">
        <is>
          <t>Control</t>
        </is>
      </c>
      <c r="J5333" s="12" t="inlineStr">
        <is>
          <t>ARMOR-X MC-HL 600 V control, Cu #14 AWG (Class I Div 2)</t>
        </is>
      </c>
      <c r="K5333" s="12" t="inlineStr">
        <is>
          <t>CTAX|12/C|14</t>
        </is>
      </c>
      <c r="L5333" s="12" t="inlineStr">
        <is>
          <t>12/C</t>
        </is>
      </c>
      <c r="M5333" s="12" t="inlineStr">
        <is>
          <t>14</t>
        </is>
      </c>
      <c r="N5333" s="12" t="n">
        <v>1</v>
      </c>
      <c r="O5333" s="12" t="n">
        <v>1</v>
      </c>
      <c r="P5333" s="12" t="n"/>
      <c r="Q5333" s="12" t="n"/>
      <c r="R5333" s="12" t="n"/>
      <c r="S5333" s="12" t="inlineStr">
        <is>
          <t>Duct bank</t>
        </is>
      </c>
      <c r="T5333" s="16" t="n">
        <v>254</v>
      </c>
      <c r="U5333" s="16" t="n">
        <v>32</v>
      </c>
      <c r="V5333" s="16">
        <f>ROUNDUP((T5333+U5333+2*'Read Me'!$B$13)*(1+'Read Me'!$B$12),-1)</f>
        <v/>
      </c>
      <c r="W5333" s="16">
        <f>V5333*N5333*O5333</f>
        <v/>
      </c>
      <c r="X5333" s="12">
        <f>IF(LEFT(I5333,2)="MV",2*N5333*IF(L5333="1/C",O5333,1),0)</f>
        <v/>
      </c>
      <c r="Y5333" s="12">
        <f>IF(OR(LEFT(K5333,4)="LVAX",LEFT(K5333,6)="MV15AX",LEFT(K5333,4)="CTAX",LEFT(K5333,2)="W|"),2*N5333*O5333,0)</f>
        <v/>
      </c>
      <c r="Z5333" s="12" t="inlineStr"/>
      <c r="AA5333" s="12">
        <f>N5333*O5333</f>
        <v/>
      </c>
    </row>
    <row r="5334">
      <c r="A5334" s="12" t="inlineStr">
        <is>
          <t>K-C-0040</t>
        </is>
      </c>
      <c r="B5334" s="12" t="inlineStr">
        <is>
          <t>K</t>
        </is>
      </c>
      <c r="C5334" s="12" t="inlineStr">
        <is>
          <t>Fuel supply (adjacent market)</t>
        </is>
      </c>
      <c r="D5334" s="12" t="inlineStr">
        <is>
          <t>CT / VT</t>
        </is>
      </c>
      <c r="E5334" s="12" t="inlineStr"/>
      <c r="F5334" s="12" t="inlineStr">
        <is>
          <t>H2 20: 13.8 kV e-house</t>
        </is>
      </c>
      <c r="G5334" s="12" t="inlineStr"/>
      <c r="H5334" s="12" t="inlineStr">
        <is>
          <t>H2 21: rectifier transformer 5 (7 MVA)</t>
        </is>
      </c>
      <c r="I5334" s="12" t="inlineStr">
        <is>
          <t>Control</t>
        </is>
      </c>
      <c r="J5334" s="12" t="inlineStr">
        <is>
          <t>Control cable 600 V Type TC-ER, Cu #10 AWG (CT / VT circuits)</t>
        </is>
      </c>
      <c r="K5334" s="12" t="inlineStr">
        <is>
          <t>CTCT|4/C|10</t>
        </is>
      </c>
      <c r="L5334" s="12" t="inlineStr">
        <is>
          <t>4/C</t>
        </is>
      </c>
      <c r="M5334" s="12" t="inlineStr">
        <is>
          <t>10</t>
        </is>
      </c>
      <c r="N5334" s="12" t="n">
        <v>1</v>
      </c>
      <c r="O5334" s="12" t="n">
        <v>1</v>
      </c>
      <c r="P5334" s="12" t="n"/>
      <c r="Q5334" s="12" t="n"/>
      <c r="R5334" s="12" t="n"/>
      <c r="S5334" s="12" t="inlineStr">
        <is>
          <t>Duct bank</t>
        </is>
      </c>
      <c r="T5334" s="16" t="n">
        <v>254</v>
      </c>
      <c r="U5334" s="16" t="n">
        <v>32</v>
      </c>
      <c r="V5334" s="16">
        <f>ROUNDUP((T5334+U5334+2*'Read Me'!$B$13)*(1+'Read Me'!$B$12),-1)</f>
        <v/>
      </c>
      <c r="W5334" s="16">
        <f>V5334*N5334*O5334</f>
        <v/>
      </c>
      <c r="X5334" s="12">
        <f>IF(LEFT(I5334,2)="MV",2*N5334*IF(L5334="1/C",O5334,1),0)</f>
        <v/>
      </c>
      <c r="Y5334" s="12">
        <f>IF(OR(LEFT(K5334,4)="LVAX",LEFT(K5334,6)="MV15AX",LEFT(K5334,4)="CTAX",LEFT(K5334,2)="W|"),2*N5334*O5334,0)</f>
        <v/>
      </c>
      <c r="Z5334" s="12" t="inlineStr"/>
      <c r="AA5334" s="12">
        <f>N5334*O5334</f>
        <v/>
      </c>
    </row>
    <row r="5335">
      <c r="A5335" s="12" t="inlineStr">
        <is>
          <t>K-C-0041</t>
        </is>
      </c>
      <c r="B5335" s="12" t="inlineStr">
        <is>
          <t>K</t>
        </is>
      </c>
      <c r="C5335" s="12" t="inlineStr">
        <is>
          <t>Fuel supply (adjacent market)</t>
        </is>
      </c>
      <c r="D5335" s="12" t="inlineStr">
        <is>
          <t>CT / VT</t>
        </is>
      </c>
      <c r="E5335" s="12" t="inlineStr"/>
      <c r="F5335" s="12" t="inlineStr">
        <is>
          <t>H2 20: 13.8 kV e-house</t>
        </is>
      </c>
      <c r="G5335" s="12" t="inlineStr"/>
      <c r="H5335" s="12" t="inlineStr">
        <is>
          <t>H2 21: rectifier transformer 5 (7 MVA)</t>
        </is>
      </c>
      <c r="I5335" s="12" t="inlineStr">
        <is>
          <t>Control</t>
        </is>
      </c>
      <c r="J5335" s="12" t="inlineStr">
        <is>
          <t>Control cable 600 V Type TC-ER, Cu #10 AWG (CT / VT circuits)</t>
        </is>
      </c>
      <c r="K5335" s="12" t="inlineStr">
        <is>
          <t>CTCT|4/C|10</t>
        </is>
      </c>
      <c r="L5335" s="12" t="inlineStr">
        <is>
          <t>4/C</t>
        </is>
      </c>
      <c r="M5335" s="12" t="inlineStr">
        <is>
          <t>10</t>
        </is>
      </c>
      <c r="N5335" s="12" t="n">
        <v>1</v>
      </c>
      <c r="O5335" s="12" t="n">
        <v>1</v>
      </c>
      <c r="P5335" s="12" t="n"/>
      <c r="Q5335" s="12" t="n"/>
      <c r="R5335" s="12" t="n"/>
      <c r="S5335" s="12" t="inlineStr">
        <is>
          <t>Duct bank</t>
        </is>
      </c>
      <c r="T5335" s="16" t="n">
        <v>254</v>
      </c>
      <c r="U5335" s="16" t="n">
        <v>32</v>
      </c>
      <c r="V5335" s="16">
        <f>ROUNDUP((T5335+U5335+2*'Read Me'!$B$13)*(1+'Read Me'!$B$12),-1)</f>
        <v/>
      </c>
      <c r="W5335" s="16">
        <f>V5335*N5335*O5335</f>
        <v/>
      </c>
      <c r="X5335" s="12">
        <f>IF(LEFT(I5335,2)="MV",2*N5335*IF(L5335="1/C",O5335,1),0)</f>
        <v/>
      </c>
      <c r="Y5335" s="12">
        <f>IF(OR(LEFT(K5335,4)="LVAX",LEFT(K5335,6)="MV15AX",LEFT(K5335,4)="CTAX",LEFT(K5335,2)="W|"),2*N5335*O5335,0)</f>
        <v/>
      </c>
      <c r="Z5335" s="12" t="inlineStr"/>
      <c r="AA5335" s="12">
        <f>N5335*O5335</f>
        <v/>
      </c>
    </row>
    <row r="5336">
      <c r="A5336" s="12" t="inlineStr">
        <is>
          <t>K-C-0042</t>
        </is>
      </c>
      <c r="B5336" s="12" t="inlineStr">
        <is>
          <t>K</t>
        </is>
      </c>
      <c r="C5336" s="12" t="inlineStr">
        <is>
          <t>Fuel supply (adjacent market)</t>
        </is>
      </c>
      <c r="D5336" s="12" t="inlineStr">
        <is>
          <t>Motor 1 of 1: control / local station</t>
        </is>
      </c>
      <c r="E5336" s="12" t="inlineStr"/>
      <c r="F5336" s="12" t="inlineStr">
        <is>
          <t>H2 20: 13.8 kV e-house</t>
        </is>
      </c>
      <c r="G5336" s="12" t="inlineStr">
        <is>
          <t>H2-EL</t>
        </is>
      </c>
      <c r="H5336" s="12" t="inlineStr">
        <is>
          <t>H2 22: electrolyzer building (5 x HyLYZER-1000 + 5 rectifiers)</t>
        </is>
      </c>
      <c r="I5336" s="12" t="inlineStr">
        <is>
          <t>Control</t>
        </is>
      </c>
      <c r="J5336" s="12" t="inlineStr">
        <is>
          <t>ARMOR-X MC-HL 600 V control, Cu #14 AWG (Class I Div 2)</t>
        </is>
      </c>
      <c r="K5336" s="12" t="inlineStr">
        <is>
          <t>CTAX|7/C|14</t>
        </is>
      </c>
      <c r="L5336" s="12" t="inlineStr">
        <is>
          <t>7/C</t>
        </is>
      </c>
      <c r="M5336" s="12" t="inlineStr">
        <is>
          <t>14</t>
        </is>
      </c>
      <c r="N5336" s="12" t="n">
        <v>1</v>
      </c>
      <c r="O5336" s="12" t="n">
        <v>1</v>
      </c>
      <c r="P5336" s="12" t="n"/>
      <c r="Q5336" s="12" t="n"/>
      <c r="R5336" s="12" t="n"/>
      <c r="S5336" s="12" t="inlineStr">
        <is>
          <t>Duct bank</t>
        </is>
      </c>
      <c r="T5336" s="16" t="n">
        <v>346</v>
      </c>
      <c r="U5336" s="16" t="n">
        <v>32</v>
      </c>
      <c r="V5336" s="16">
        <f>ROUNDUP((T5336+U5336+2*'Read Me'!$B$13)*(1+'Read Me'!$B$12),-1)</f>
        <v/>
      </c>
      <c r="W5336" s="16">
        <f>V5336*N5336*O5336</f>
        <v/>
      </c>
      <c r="X5336" s="12">
        <f>IF(LEFT(I5336,2)="MV",2*N5336*IF(L5336="1/C",O5336,1),0)</f>
        <v/>
      </c>
      <c r="Y5336" s="12">
        <f>IF(OR(LEFT(K5336,4)="LVAX",LEFT(K5336,6)="MV15AX",LEFT(K5336,4)="CTAX",LEFT(K5336,2)="W|"),2*N5336*O5336,0)</f>
        <v/>
      </c>
      <c r="Z5336" s="12" t="inlineStr"/>
      <c r="AA5336" s="12">
        <f>N5336*O5336</f>
        <v/>
      </c>
    </row>
    <row r="5337">
      <c r="A5337" s="12" t="inlineStr">
        <is>
          <t>K-C-0043</t>
        </is>
      </c>
      <c r="B5337" s="12" t="inlineStr">
        <is>
          <t>K</t>
        </is>
      </c>
      <c r="C5337" s="12" t="inlineStr">
        <is>
          <t>Fuel supply (adjacent market)</t>
        </is>
      </c>
      <c r="D5337" s="12" t="inlineStr">
        <is>
          <t>Solenoid to JB JB-H2-EL-SOL01: 2 x 2/C (field cables)</t>
        </is>
      </c>
      <c r="E5337" s="12" t="inlineStr">
        <is>
          <t>H2-EL</t>
        </is>
      </c>
      <c r="F5337" s="12" t="inlineStr">
        <is>
          <t>H2 22: electrolyzer building (5 x HyLYZER-1000 + 5 rectifiers)</t>
        </is>
      </c>
      <c r="G5337" s="12" t="inlineStr">
        <is>
          <t>JB-H2-EL-SOL01</t>
        </is>
      </c>
      <c r="H5337" s="12" t="inlineStr">
        <is>
          <t>H2 22: electrolyzer building (5 x HyLYZER-1000 + 5 rectifiers)</t>
        </is>
      </c>
      <c r="I5337" s="12" t="inlineStr">
        <is>
          <t>Control</t>
        </is>
      </c>
      <c r="J5337" s="12" t="inlineStr">
        <is>
          <t>ARMOR-X MC-HL 600 V control, Cu #14 AWG (Class I Div 2)</t>
        </is>
      </c>
      <c r="K5337" s="12" t="inlineStr">
        <is>
          <t>CTAX|2/C|14</t>
        </is>
      </c>
      <c r="L5337" s="12" t="inlineStr">
        <is>
          <t>2/C</t>
        </is>
      </c>
      <c r="M5337" s="12" t="inlineStr">
        <is>
          <t>14</t>
        </is>
      </c>
      <c r="N5337" s="12" t="n">
        <v>2</v>
      </c>
      <c r="O5337" s="12" t="n">
        <v>1</v>
      </c>
      <c r="P5337" s="12" t="n"/>
      <c r="Q5337" s="12" t="n"/>
      <c r="R5337" s="12" t="n"/>
      <c r="S5337" s="12" t="inlineStr">
        <is>
          <t>Tray / conduit</t>
        </is>
      </c>
      <c r="T5337" s="16" t="n">
        <v>157</v>
      </c>
      <c r="U5337" s="16" t="n">
        <v>10</v>
      </c>
      <c r="V5337" s="16">
        <f>ROUNDUP((T5337+U5337+2*'Read Me'!$B$13)*(1+'Read Me'!$B$12),-1)</f>
        <v/>
      </c>
      <c r="W5337" s="16">
        <f>V5337*N5337*O5337</f>
        <v/>
      </c>
      <c r="X5337" s="12">
        <f>IF(LEFT(I5337,2)="MV",2*N5337*IF(L5337="1/C",O5337,1),0)</f>
        <v/>
      </c>
      <c r="Y5337" s="12">
        <f>IF(OR(LEFT(K5337,4)="LVAX",LEFT(K5337,6)="MV15AX",LEFT(K5337,4)="CTAX",LEFT(K5337,2)="W|"),2*N5337*O5337,0)</f>
        <v/>
      </c>
      <c r="Z5337" s="12" t="inlineStr">
        <is>
          <t>device-to-JB field wiring, one cable per device</t>
        </is>
      </c>
      <c r="AA5337" s="12">
        <f>N5337*O5337</f>
        <v/>
      </c>
    </row>
    <row r="5338">
      <c r="A5338" s="12" t="inlineStr">
        <is>
          <t>K-C-0044</t>
        </is>
      </c>
      <c r="B5338" s="12" t="inlineStr">
        <is>
          <t>K</t>
        </is>
      </c>
      <c r="C5338" s="12" t="inlineStr">
        <is>
          <t>Fuel supply (adjacent market)</t>
        </is>
      </c>
      <c r="D5338" s="12" t="inlineStr">
        <is>
          <t>Home run JB-H2-EL-SOL01 to the control / marshalling room</t>
        </is>
      </c>
      <c r="E5338" s="12" t="inlineStr"/>
      <c r="F5338" s="12" t="inlineStr">
        <is>
          <t>H2 20: 13.8 kV e-house</t>
        </is>
      </c>
      <c r="G5338" s="12" t="inlineStr">
        <is>
          <t>JB-H2-EL-SOL01</t>
        </is>
      </c>
      <c r="H5338" s="12" t="inlineStr">
        <is>
          <t>H2 22: electrolyzer building (5 x HyLYZER-1000 + 5 rectifiers)</t>
        </is>
      </c>
      <c r="I5338" s="12" t="inlineStr">
        <is>
          <t>Control</t>
        </is>
      </c>
      <c r="J5338" s="12" t="inlineStr">
        <is>
          <t>ARMOR-X MC-HL 600 V control, Cu #14 AWG (Class I Div 2)</t>
        </is>
      </c>
      <c r="K5338" s="12" t="inlineStr">
        <is>
          <t>CTAX|25/C|14</t>
        </is>
      </c>
      <c r="L5338" s="12" t="inlineStr">
        <is>
          <t>25/C</t>
        </is>
      </c>
      <c r="M5338" s="12" t="inlineStr">
        <is>
          <t>14</t>
        </is>
      </c>
      <c r="N5338" s="12" t="n">
        <v>1</v>
      </c>
      <c r="O5338" s="12" t="n">
        <v>1</v>
      </c>
      <c r="P5338" s="12" t="n"/>
      <c r="Q5338" s="12" t="n"/>
      <c r="R5338" s="12" t="n"/>
      <c r="S5338" s="12" t="inlineStr">
        <is>
          <t>Duct bank</t>
        </is>
      </c>
      <c r="T5338" s="16" t="n">
        <v>346</v>
      </c>
      <c r="U5338" s="16" t="n">
        <v>32</v>
      </c>
      <c r="V5338" s="16">
        <f>ROUNDUP((T5338+U5338+2*'Read Me'!$B$13)*(1+'Read Me'!$B$12),-1)</f>
        <v/>
      </c>
      <c r="W5338" s="16">
        <f>V5338*N5338*O5338</f>
        <v/>
      </c>
      <c r="X5338" s="12">
        <f>IF(LEFT(I5338,2)="MV",2*N5338*IF(L5338="1/C",O5338,1),0)</f>
        <v/>
      </c>
      <c r="Y5338" s="12">
        <f>IF(OR(LEFT(K5338,4)="LVAX",LEFT(K5338,6)="MV15AX",LEFT(K5338,4)="CTAX",LEFT(K5338,2)="W|"),2*N5338*O5338,0)</f>
        <v/>
      </c>
      <c r="Z5338" s="12" t="inlineStr"/>
      <c r="AA5338" s="12">
        <f>N5338*O5338</f>
        <v/>
      </c>
    </row>
    <row r="5339">
      <c r="A5339" s="12" t="inlineStr">
        <is>
          <t>K-C-0045</t>
        </is>
      </c>
      <c r="B5339" s="12" t="inlineStr">
        <is>
          <t>K</t>
        </is>
      </c>
      <c r="C5339" s="12" t="inlineStr">
        <is>
          <t>Fuel supply (adjacent market)</t>
        </is>
      </c>
      <c r="D5339" s="12" t="inlineStr">
        <is>
          <t>Motor 1 of 1: control / local station</t>
        </is>
      </c>
      <c r="E5339" s="12" t="inlineStr"/>
      <c r="F5339" s="12" t="inlineStr">
        <is>
          <t>H2 20: 13.8 kV e-house</t>
        </is>
      </c>
      <c r="G5339" s="12" t="inlineStr"/>
      <c r="H5339" s="12" t="inlineStr">
        <is>
          <t>H2 23: dry coolers</t>
        </is>
      </c>
      <c r="I5339" s="12" t="inlineStr">
        <is>
          <t>Control</t>
        </is>
      </c>
      <c r="J5339" s="12" t="inlineStr">
        <is>
          <t>ARMOR-X MC-HL 600 V control, Cu #14 AWG (Class I Div 2)</t>
        </is>
      </c>
      <c r="K5339" s="12" t="inlineStr">
        <is>
          <t>CTAX|7/C|14</t>
        </is>
      </c>
      <c r="L5339" s="12" t="inlineStr">
        <is>
          <t>7/C</t>
        </is>
      </c>
      <c r="M5339" s="12" t="inlineStr">
        <is>
          <t>14</t>
        </is>
      </c>
      <c r="N5339" s="12" t="n">
        <v>1</v>
      </c>
      <c r="O5339" s="12" t="n">
        <v>1</v>
      </c>
      <c r="P5339" s="12" t="n"/>
      <c r="Q5339" s="12" t="n"/>
      <c r="R5339" s="12" t="n"/>
      <c r="S5339" s="12" t="inlineStr">
        <is>
          <t>Duct bank</t>
        </is>
      </c>
      <c r="T5339" s="16" t="n">
        <v>100</v>
      </c>
      <c r="U5339" s="16" t="n">
        <v>32</v>
      </c>
      <c r="V5339" s="16">
        <f>ROUNDUP((T5339+U5339+2*'Read Me'!$B$13)*(1+'Read Me'!$B$12),-1)</f>
        <v/>
      </c>
      <c r="W5339" s="16">
        <f>V5339*N5339*O5339</f>
        <v/>
      </c>
      <c r="X5339" s="12">
        <f>IF(LEFT(I5339,2)="MV",2*N5339*IF(L5339="1/C",O5339,1),0)</f>
        <v/>
      </c>
      <c r="Y5339" s="12">
        <f>IF(OR(LEFT(K5339,4)="LVAX",LEFT(K5339,6)="MV15AX",LEFT(K5339,4)="CTAX",LEFT(K5339,2)="W|"),2*N5339*O5339,0)</f>
        <v/>
      </c>
      <c r="Z5339" s="12" t="inlineStr"/>
      <c r="AA5339" s="12">
        <f>N5339*O5339</f>
        <v/>
      </c>
    </row>
    <row r="5340">
      <c r="A5340" s="12" t="inlineStr">
        <is>
          <t>K-C-0046</t>
        </is>
      </c>
      <c r="B5340" s="12" t="inlineStr">
        <is>
          <t>K</t>
        </is>
      </c>
      <c r="C5340" s="12" t="inlineStr">
        <is>
          <t>Fuel supply (adjacent market)</t>
        </is>
      </c>
      <c r="D5340" s="12" t="inlineStr">
        <is>
          <t>Solenoid to JB JB-H2 23: dry coolers-SOL01: 2 x 2/C (field cables)</t>
        </is>
      </c>
      <c r="E5340" s="12" t="inlineStr"/>
      <c r="F5340" s="12" t="inlineStr">
        <is>
          <t>H2 23: dry coolers</t>
        </is>
      </c>
      <c r="G5340" s="12" t="inlineStr">
        <is>
          <t>JB-H2 23: dry coolers-SOL01</t>
        </is>
      </c>
      <c r="H5340" s="12" t="inlineStr">
        <is>
          <t>H2 23: dry coolers</t>
        </is>
      </c>
      <c r="I5340" s="12" t="inlineStr">
        <is>
          <t>Control</t>
        </is>
      </c>
      <c r="J5340" s="12" t="inlineStr">
        <is>
          <t>ARMOR-X MC-HL 600 V control, Cu #14 AWG (Class I Div 2)</t>
        </is>
      </c>
      <c r="K5340" s="12" t="inlineStr">
        <is>
          <t>CTAX|2/C|14</t>
        </is>
      </c>
      <c r="L5340" s="12" t="inlineStr">
        <is>
          <t>2/C</t>
        </is>
      </c>
      <c r="M5340" s="12" t="inlineStr">
        <is>
          <t>14</t>
        </is>
      </c>
      <c r="N5340" s="12" t="n">
        <v>2</v>
      </c>
      <c r="O5340" s="12" t="n">
        <v>1</v>
      </c>
      <c r="P5340" s="12" t="n"/>
      <c r="Q5340" s="12" t="n"/>
      <c r="R5340" s="12" t="n"/>
      <c r="S5340" s="12" t="inlineStr">
        <is>
          <t>Tray / conduit</t>
        </is>
      </c>
      <c r="T5340" s="16" t="n">
        <v>111</v>
      </c>
      <c r="U5340" s="16" t="n">
        <v>10</v>
      </c>
      <c r="V5340" s="16">
        <f>ROUNDUP((T5340+U5340+2*'Read Me'!$B$13)*(1+'Read Me'!$B$12),-1)</f>
        <v/>
      </c>
      <c r="W5340" s="16">
        <f>V5340*N5340*O5340</f>
        <v/>
      </c>
      <c r="X5340" s="12">
        <f>IF(LEFT(I5340,2)="MV",2*N5340*IF(L5340="1/C",O5340,1),0)</f>
        <v/>
      </c>
      <c r="Y5340" s="12">
        <f>IF(OR(LEFT(K5340,4)="LVAX",LEFT(K5340,6)="MV15AX",LEFT(K5340,4)="CTAX",LEFT(K5340,2)="W|"),2*N5340*O5340,0)</f>
        <v/>
      </c>
      <c r="Z5340" s="12" t="inlineStr">
        <is>
          <t>device-to-JB field wiring, one cable per device</t>
        </is>
      </c>
      <c r="AA5340" s="12">
        <f>N5340*O5340</f>
        <v/>
      </c>
    </row>
    <row r="5341">
      <c r="A5341" s="12" t="inlineStr">
        <is>
          <t>K-C-0047</t>
        </is>
      </c>
      <c r="B5341" s="12" t="inlineStr">
        <is>
          <t>K</t>
        </is>
      </c>
      <c r="C5341" s="12" t="inlineStr">
        <is>
          <t>Fuel supply (adjacent market)</t>
        </is>
      </c>
      <c r="D5341" s="12" t="inlineStr">
        <is>
          <t>Home run JB-H2 23: dry coolers-SOL01 to the control / marshalling room</t>
        </is>
      </c>
      <c r="E5341" s="12" t="inlineStr"/>
      <c r="F5341" s="12" t="inlineStr">
        <is>
          <t>H2 20: 13.8 kV e-house</t>
        </is>
      </c>
      <c r="G5341" s="12" t="inlineStr">
        <is>
          <t>JB-H2 23: dry coolers-SOL01</t>
        </is>
      </c>
      <c r="H5341" s="12" t="inlineStr">
        <is>
          <t>H2 23: dry coolers</t>
        </is>
      </c>
      <c r="I5341" s="12" t="inlineStr">
        <is>
          <t>Control</t>
        </is>
      </c>
      <c r="J5341" s="12" t="inlineStr">
        <is>
          <t>ARMOR-X MC-HL 600 V control, Cu #14 AWG (Class I Div 2)</t>
        </is>
      </c>
      <c r="K5341" s="12" t="inlineStr">
        <is>
          <t>CTAX|25/C|14</t>
        </is>
      </c>
      <c r="L5341" s="12" t="inlineStr">
        <is>
          <t>25/C</t>
        </is>
      </c>
      <c r="M5341" s="12" t="inlineStr">
        <is>
          <t>14</t>
        </is>
      </c>
      <c r="N5341" s="12" t="n">
        <v>1</v>
      </c>
      <c r="O5341" s="12" t="n">
        <v>1</v>
      </c>
      <c r="P5341" s="12" t="n"/>
      <c r="Q5341" s="12" t="n"/>
      <c r="R5341" s="12" t="n"/>
      <c r="S5341" s="12" t="inlineStr">
        <is>
          <t>Duct bank</t>
        </is>
      </c>
      <c r="T5341" s="16" t="n">
        <v>100</v>
      </c>
      <c r="U5341" s="16" t="n">
        <v>32</v>
      </c>
      <c r="V5341" s="16">
        <f>ROUNDUP((T5341+U5341+2*'Read Me'!$B$13)*(1+'Read Me'!$B$12),-1)</f>
        <v/>
      </c>
      <c r="W5341" s="16">
        <f>V5341*N5341*O5341</f>
        <v/>
      </c>
      <c r="X5341" s="12">
        <f>IF(LEFT(I5341,2)="MV",2*N5341*IF(L5341="1/C",O5341,1),0)</f>
        <v/>
      </c>
      <c r="Y5341" s="12">
        <f>IF(OR(LEFT(K5341,4)="LVAX",LEFT(K5341,6)="MV15AX",LEFT(K5341,4)="CTAX",LEFT(K5341,2)="W|"),2*N5341*O5341,0)</f>
        <v/>
      </c>
      <c r="Z5341" s="12" t="inlineStr"/>
      <c r="AA5341" s="12">
        <f>N5341*O5341</f>
        <v/>
      </c>
    </row>
    <row r="5342">
      <c r="A5342" s="12" t="inlineStr">
        <is>
          <t>K-C-0048</t>
        </is>
      </c>
      <c r="B5342" s="12" t="inlineStr">
        <is>
          <t>K</t>
        </is>
      </c>
      <c r="C5342" s="12" t="inlineStr">
        <is>
          <t>Fuel supply (adjacent market)</t>
        </is>
      </c>
      <c r="D5342" s="12" t="inlineStr">
        <is>
          <t>Motor 1 of 1: control / local station</t>
        </is>
      </c>
      <c r="E5342" s="12" t="inlineStr"/>
      <c r="F5342" s="12" t="inlineStr">
        <is>
          <t>H2 20: 13.8 kV e-house</t>
        </is>
      </c>
      <c r="G5342" s="12" t="inlineStr"/>
      <c r="H5342" s="12" t="inlineStr">
        <is>
          <t>H2 24: water purification (RO / EDI)</t>
        </is>
      </c>
      <c r="I5342" s="12" t="inlineStr">
        <is>
          <t>Control</t>
        </is>
      </c>
      <c r="J5342" s="12" t="inlineStr">
        <is>
          <t>ARMOR-X MC-HL 600 V control, Cu #14 AWG (Class I Div 2)</t>
        </is>
      </c>
      <c r="K5342" s="12" t="inlineStr">
        <is>
          <t>CTAX|7/C|14</t>
        </is>
      </c>
      <c r="L5342" s="12" t="inlineStr">
        <is>
          <t>7/C</t>
        </is>
      </c>
      <c r="M5342" s="12" t="inlineStr">
        <is>
          <t>14</t>
        </is>
      </c>
      <c r="N5342" s="12" t="n">
        <v>1</v>
      </c>
      <c r="O5342" s="12" t="n">
        <v>1</v>
      </c>
      <c r="P5342" s="12" t="n"/>
      <c r="Q5342" s="12" t="n"/>
      <c r="R5342" s="12" t="n"/>
      <c r="S5342" s="12" t="inlineStr">
        <is>
          <t>Duct bank</t>
        </is>
      </c>
      <c r="T5342" s="16" t="n">
        <v>146</v>
      </c>
      <c r="U5342" s="16" t="n">
        <v>32</v>
      </c>
      <c r="V5342" s="16">
        <f>ROUNDUP((T5342+U5342+2*'Read Me'!$B$13)*(1+'Read Me'!$B$12),-1)</f>
        <v/>
      </c>
      <c r="W5342" s="16">
        <f>V5342*N5342*O5342</f>
        <v/>
      </c>
      <c r="X5342" s="12">
        <f>IF(LEFT(I5342,2)="MV",2*N5342*IF(L5342="1/C",O5342,1),0)</f>
        <v/>
      </c>
      <c r="Y5342" s="12">
        <f>IF(OR(LEFT(K5342,4)="LVAX",LEFT(K5342,6)="MV15AX",LEFT(K5342,4)="CTAX",LEFT(K5342,2)="W|"),2*N5342*O5342,0)</f>
        <v/>
      </c>
      <c r="Z5342" s="12" t="inlineStr"/>
      <c r="AA5342" s="12">
        <f>N5342*O5342</f>
        <v/>
      </c>
    </row>
    <row r="5343">
      <c r="A5343" s="12" t="inlineStr">
        <is>
          <t>K-C-0049</t>
        </is>
      </c>
      <c r="B5343" s="12" t="inlineStr">
        <is>
          <t>K</t>
        </is>
      </c>
      <c r="C5343" s="12" t="inlineStr">
        <is>
          <t>Fuel supply (adjacent market)</t>
        </is>
      </c>
      <c r="D5343" s="12" t="inlineStr">
        <is>
          <t>Solenoid to JB JB-H2 24: water purif-SOL01: 2 x 2/C (field cables)</t>
        </is>
      </c>
      <c r="E5343" s="12" t="inlineStr"/>
      <c r="F5343" s="12" t="inlineStr">
        <is>
          <t>H2 24: water purification (RO / EDI)</t>
        </is>
      </c>
      <c r="G5343" s="12" t="inlineStr">
        <is>
          <t>JB-H2 24: water purif-SOL01</t>
        </is>
      </c>
      <c r="H5343" s="12" t="inlineStr">
        <is>
          <t>H2 24: water purification (RO / EDI)</t>
        </is>
      </c>
      <c r="I5343" s="12" t="inlineStr">
        <is>
          <t>Control</t>
        </is>
      </c>
      <c r="J5343" s="12" t="inlineStr">
        <is>
          <t>ARMOR-X MC-HL 600 V control, Cu #14 AWG (Class I Div 2)</t>
        </is>
      </c>
      <c r="K5343" s="12" t="inlineStr">
        <is>
          <t>CTAX|2/C|14</t>
        </is>
      </c>
      <c r="L5343" s="12" t="inlineStr">
        <is>
          <t>2/C</t>
        </is>
      </c>
      <c r="M5343" s="12" t="inlineStr">
        <is>
          <t>14</t>
        </is>
      </c>
      <c r="N5343" s="12" t="n">
        <v>2</v>
      </c>
      <c r="O5343" s="12" t="n">
        <v>1</v>
      </c>
      <c r="P5343" s="12" t="n"/>
      <c r="Q5343" s="12" t="n"/>
      <c r="R5343" s="12" t="n"/>
      <c r="S5343" s="12" t="inlineStr">
        <is>
          <t>Tray / conduit</t>
        </is>
      </c>
      <c r="T5343" s="16" t="n">
        <v>60</v>
      </c>
      <c r="U5343" s="16" t="n">
        <v>10</v>
      </c>
      <c r="V5343" s="16">
        <f>ROUNDUP((T5343+U5343+2*'Read Me'!$B$13)*(1+'Read Me'!$B$12),-1)</f>
        <v/>
      </c>
      <c r="W5343" s="16">
        <f>V5343*N5343*O5343</f>
        <v/>
      </c>
      <c r="X5343" s="12">
        <f>IF(LEFT(I5343,2)="MV",2*N5343*IF(L5343="1/C",O5343,1),0)</f>
        <v/>
      </c>
      <c r="Y5343" s="12">
        <f>IF(OR(LEFT(K5343,4)="LVAX",LEFT(K5343,6)="MV15AX",LEFT(K5343,4)="CTAX",LEFT(K5343,2)="W|"),2*N5343*O5343,0)</f>
        <v/>
      </c>
      <c r="Z5343" s="12" t="inlineStr">
        <is>
          <t>device-to-JB field wiring, one cable per device</t>
        </is>
      </c>
      <c r="AA5343" s="12">
        <f>N5343*O5343</f>
        <v/>
      </c>
    </row>
    <row r="5344">
      <c r="A5344" s="12" t="inlineStr">
        <is>
          <t>K-C-0050</t>
        </is>
      </c>
      <c r="B5344" s="12" t="inlineStr">
        <is>
          <t>K</t>
        </is>
      </c>
      <c r="C5344" s="12" t="inlineStr">
        <is>
          <t>Fuel supply (adjacent market)</t>
        </is>
      </c>
      <c r="D5344" s="12" t="inlineStr">
        <is>
          <t>Home run JB-H2 24: water purif-SOL01 to the control / marshalling room</t>
        </is>
      </c>
      <c r="E5344" s="12" t="inlineStr"/>
      <c r="F5344" s="12" t="inlineStr">
        <is>
          <t>H2 20: 13.8 kV e-house</t>
        </is>
      </c>
      <c r="G5344" s="12" t="inlineStr">
        <is>
          <t>JB-H2 24: water purif-SOL01</t>
        </is>
      </c>
      <c r="H5344" s="12" t="inlineStr">
        <is>
          <t>H2 24: water purification (RO / EDI)</t>
        </is>
      </c>
      <c r="I5344" s="12" t="inlineStr">
        <is>
          <t>Control</t>
        </is>
      </c>
      <c r="J5344" s="12" t="inlineStr">
        <is>
          <t>ARMOR-X MC-HL 600 V control, Cu #14 AWG (Class I Div 2)</t>
        </is>
      </c>
      <c r="K5344" s="12" t="inlineStr">
        <is>
          <t>CTAX|25/C|14</t>
        </is>
      </c>
      <c r="L5344" s="12" t="inlineStr">
        <is>
          <t>25/C</t>
        </is>
      </c>
      <c r="M5344" s="12" t="inlineStr">
        <is>
          <t>14</t>
        </is>
      </c>
      <c r="N5344" s="12" t="n">
        <v>1</v>
      </c>
      <c r="O5344" s="12" t="n">
        <v>1</v>
      </c>
      <c r="P5344" s="12" t="n"/>
      <c r="Q5344" s="12" t="n"/>
      <c r="R5344" s="12" t="n"/>
      <c r="S5344" s="12" t="inlineStr">
        <is>
          <t>Duct bank</t>
        </is>
      </c>
      <c r="T5344" s="16" t="n">
        <v>146</v>
      </c>
      <c r="U5344" s="16" t="n">
        <v>32</v>
      </c>
      <c r="V5344" s="16">
        <f>ROUNDUP((T5344+U5344+2*'Read Me'!$B$13)*(1+'Read Me'!$B$12),-1)</f>
        <v/>
      </c>
      <c r="W5344" s="16">
        <f>V5344*N5344*O5344</f>
        <v/>
      </c>
      <c r="X5344" s="12">
        <f>IF(LEFT(I5344,2)="MV",2*N5344*IF(L5344="1/C",O5344,1),0)</f>
        <v/>
      </c>
      <c r="Y5344" s="12">
        <f>IF(OR(LEFT(K5344,4)="LVAX",LEFT(K5344,6)="MV15AX",LEFT(K5344,4)="CTAX",LEFT(K5344,2)="W|"),2*N5344*O5344,0)</f>
        <v/>
      </c>
      <c r="Z5344" s="12" t="inlineStr"/>
      <c r="AA5344" s="12">
        <f>N5344*O5344</f>
        <v/>
      </c>
    </row>
    <row r="5345">
      <c r="A5345" s="12" t="inlineStr">
        <is>
          <t>K-C-0051</t>
        </is>
      </c>
      <c r="B5345" s="12" t="inlineStr">
        <is>
          <t>K</t>
        </is>
      </c>
      <c r="C5345" s="12" t="inlineStr">
        <is>
          <t>Fuel supply (adjacent market)</t>
        </is>
      </c>
      <c r="D5345" s="12" t="inlineStr">
        <is>
          <t>Motor 1 of 1: control / local station</t>
        </is>
      </c>
      <c r="E5345" s="12" t="inlineStr"/>
      <c r="F5345" s="12" t="inlineStr">
        <is>
          <t>H2 20: 13.8 kV e-house</t>
        </is>
      </c>
      <c r="G5345" s="12" t="inlineStr"/>
      <c r="H5345" s="12" t="inlineStr">
        <is>
          <t>H2 25: H2 dryer / purification</t>
        </is>
      </c>
      <c r="I5345" s="12" t="inlineStr">
        <is>
          <t>Control</t>
        </is>
      </c>
      <c r="J5345" s="12" t="inlineStr">
        <is>
          <t>ARMOR-X MC-HL 600 V control, Cu #14 AWG (Class I Div 2)</t>
        </is>
      </c>
      <c r="K5345" s="12" t="inlineStr">
        <is>
          <t>CTAX|7/C|14</t>
        </is>
      </c>
      <c r="L5345" s="12" t="inlineStr">
        <is>
          <t>7/C</t>
        </is>
      </c>
      <c r="M5345" s="12" t="inlineStr">
        <is>
          <t>14</t>
        </is>
      </c>
      <c r="N5345" s="12" t="n">
        <v>1</v>
      </c>
      <c r="O5345" s="12" t="n">
        <v>1</v>
      </c>
      <c r="P5345" s="12" t="n"/>
      <c r="Q5345" s="12" t="n"/>
      <c r="R5345" s="12" t="n"/>
      <c r="S5345" s="12" t="inlineStr">
        <is>
          <t>Duct bank</t>
        </is>
      </c>
      <c r="T5345" s="16" t="n">
        <v>0</v>
      </c>
      <c r="U5345" s="16" t="n">
        <v>49</v>
      </c>
      <c r="V5345" s="16">
        <f>ROUNDUP((T5345+U5345+2*'Read Me'!$B$13)*(1+'Read Me'!$B$12),-1)</f>
        <v/>
      </c>
      <c r="W5345" s="16">
        <f>V5345*N5345*O5345</f>
        <v/>
      </c>
      <c r="X5345" s="12">
        <f>IF(LEFT(I5345,2)="MV",2*N5345*IF(L5345="1/C",O5345,1),0)</f>
        <v/>
      </c>
      <c r="Y5345" s="12">
        <f>IF(OR(LEFT(K5345,4)="LVAX",LEFT(K5345,6)="MV15AX",LEFT(K5345,4)="CTAX",LEFT(K5345,2)="W|"),2*N5345*O5345,0)</f>
        <v/>
      </c>
      <c r="Z5345" s="12" t="inlineStr"/>
      <c r="AA5345" s="12">
        <f>N5345*O5345</f>
        <v/>
      </c>
    </row>
    <row r="5346">
      <c r="A5346" s="12" t="inlineStr">
        <is>
          <t>K-C-0052</t>
        </is>
      </c>
      <c r="B5346" s="12" t="inlineStr">
        <is>
          <t>K</t>
        </is>
      </c>
      <c r="C5346" s="12" t="inlineStr">
        <is>
          <t>Fuel supply (adjacent market)</t>
        </is>
      </c>
      <c r="D5346" s="12" t="inlineStr">
        <is>
          <t>Solenoid to JB JB-H2 25: H2 dryer / -SOL01: 2 x 2/C (field cables)</t>
        </is>
      </c>
      <c r="E5346" s="12" t="inlineStr"/>
      <c r="F5346" s="12" t="inlineStr">
        <is>
          <t>H2 25: H2 dryer / purification</t>
        </is>
      </c>
      <c r="G5346" s="12" t="inlineStr">
        <is>
          <t>JB-H2 25: H2 dryer / -SOL01</t>
        </is>
      </c>
      <c r="H5346" s="12" t="inlineStr">
        <is>
          <t>H2 25: H2 dryer / purification</t>
        </is>
      </c>
      <c r="I5346" s="12" t="inlineStr">
        <is>
          <t>Control</t>
        </is>
      </c>
      <c r="J5346" s="12" t="inlineStr">
        <is>
          <t>ARMOR-X MC-HL 600 V control, Cu #14 AWG (Class I Div 2)</t>
        </is>
      </c>
      <c r="K5346" s="12" t="inlineStr">
        <is>
          <t>CTAX|2/C|14</t>
        </is>
      </c>
      <c r="L5346" s="12" t="inlineStr">
        <is>
          <t>2/C</t>
        </is>
      </c>
      <c r="M5346" s="12" t="inlineStr">
        <is>
          <t>14</t>
        </is>
      </c>
      <c r="N5346" s="12" t="n">
        <v>2</v>
      </c>
      <c r="O5346" s="12" t="n">
        <v>1</v>
      </c>
      <c r="P5346" s="12" t="n"/>
      <c r="Q5346" s="12" t="n"/>
      <c r="R5346" s="12" t="n"/>
      <c r="S5346" s="12" t="inlineStr">
        <is>
          <t>Tray / conduit</t>
        </is>
      </c>
      <c r="T5346" s="16" t="n">
        <v>60</v>
      </c>
      <c r="U5346" s="16" t="n">
        <v>10</v>
      </c>
      <c r="V5346" s="16">
        <f>ROUNDUP((T5346+U5346+2*'Read Me'!$B$13)*(1+'Read Me'!$B$12),-1)</f>
        <v/>
      </c>
      <c r="W5346" s="16">
        <f>V5346*N5346*O5346</f>
        <v/>
      </c>
      <c r="X5346" s="12">
        <f>IF(LEFT(I5346,2)="MV",2*N5346*IF(L5346="1/C",O5346,1),0)</f>
        <v/>
      </c>
      <c r="Y5346" s="12">
        <f>IF(OR(LEFT(K5346,4)="LVAX",LEFT(K5346,6)="MV15AX",LEFT(K5346,4)="CTAX",LEFT(K5346,2)="W|"),2*N5346*O5346,0)</f>
        <v/>
      </c>
      <c r="Z5346" s="12" t="inlineStr">
        <is>
          <t>device-to-JB field wiring, one cable per device</t>
        </is>
      </c>
      <c r="AA5346" s="12">
        <f>N5346*O5346</f>
        <v/>
      </c>
    </row>
    <row r="5347">
      <c r="A5347" s="12" t="inlineStr">
        <is>
          <t>K-C-0053</t>
        </is>
      </c>
      <c r="B5347" s="12" t="inlineStr">
        <is>
          <t>K</t>
        </is>
      </c>
      <c r="C5347" s="12" t="inlineStr">
        <is>
          <t>Fuel supply (adjacent market)</t>
        </is>
      </c>
      <c r="D5347" s="12" t="inlineStr">
        <is>
          <t>Home run JB-H2 25: H2 dryer / -SOL01 to the control / marshalling room</t>
        </is>
      </c>
      <c r="E5347" s="12" t="inlineStr"/>
      <c r="F5347" s="12" t="inlineStr">
        <is>
          <t>H2 20: 13.8 kV e-house</t>
        </is>
      </c>
      <c r="G5347" s="12" t="inlineStr">
        <is>
          <t>JB-H2 25: H2 dryer / -SOL01</t>
        </is>
      </c>
      <c r="H5347" s="12" t="inlineStr">
        <is>
          <t>H2 25: H2 dryer / purification</t>
        </is>
      </c>
      <c r="I5347" s="12" t="inlineStr">
        <is>
          <t>Control</t>
        </is>
      </c>
      <c r="J5347" s="12" t="inlineStr">
        <is>
          <t>ARMOR-X MC-HL 600 V control, Cu #14 AWG (Class I Div 2)</t>
        </is>
      </c>
      <c r="K5347" s="12" t="inlineStr">
        <is>
          <t>CTAX|25/C|14</t>
        </is>
      </c>
      <c r="L5347" s="12" t="inlineStr">
        <is>
          <t>25/C</t>
        </is>
      </c>
      <c r="M5347" s="12" t="inlineStr">
        <is>
          <t>14</t>
        </is>
      </c>
      <c r="N5347" s="12" t="n">
        <v>1</v>
      </c>
      <c r="O5347" s="12" t="n">
        <v>1</v>
      </c>
      <c r="P5347" s="12" t="n"/>
      <c r="Q5347" s="12" t="n"/>
      <c r="R5347" s="12" t="n"/>
      <c r="S5347" s="12" t="inlineStr">
        <is>
          <t>Duct bank</t>
        </is>
      </c>
      <c r="T5347" s="16" t="n">
        <v>0</v>
      </c>
      <c r="U5347" s="16" t="n">
        <v>49</v>
      </c>
      <c r="V5347" s="16">
        <f>ROUNDUP((T5347+U5347+2*'Read Me'!$B$13)*(1+'Read Me'!$B$12),-1)</f>
        <v/>
      </c>
      <c r="W5347" s="16">
        <f>V5347*N5347*O5347</f>
        <v/>
      </c>
      <c r="X5347" s="12">
        <f>IF(LEFT(I5347,2)="MV",2*N5347*IF(L5347="1/C",O5347,1),0)</f>
        <v/>
      </c>
      <c r="Y5347" s="12">
        <f>IF(OR(LEFT(K5347,4)="LVAX",LEFT(K5347,6)="MV15AX",LEFT(K5347,4)="CTAX",LEFT(K5347,2)="W|"),2*N5347*O5347,0)</f>
        <v/>
      </c>
      <c r="Z5347" s="12" t="inlineStr"/>
      <c r="AA5347" s="12">
        <f>N5347*O5347</f>
        <v/>
      </c>
    </row>
    <row r="5348">
      <c r="A5348" s="12" t="inlineStr">
        <is>
          <t>K-C-0054</t>
        </is>
      </c>
      <c r="B5348" s="12" t="inlineStr">
        <is>
          <t>K</t>
        </is>
      </c>
      <c r="C5348" s="12" t="inlineStr">
        <is>
          <t>Fuel supply (adjacent market)</t>
        </is>
      </c>
      <c r="D5348" s="12" t="inlineStr">
        <is>
          <t>Motor 1 of 1: control / local station</t>
        </is>
      </c>
      <c r="E5348" s="12" t="inlineStr"/>
      <c r="F5348" s="12" t="inlineStr">
        <is>
          <t>H2 20: 13.8 kV e-house</t>
        </is>
      </c>
      <c r="G5348" s="12" t="inlineStr"/>
      <c r="H5348" s="12" t="inlineStr">
        <is>
          <t>H2 26: H2 compressor 1 (40 ft ISO)</t>
        </is>
      </c>
      <c r="I5348" s="12" t="inlineStr">
        <is>
          <t>Control</t>
        </is>
      </c>
      <c r="J5348" s="12" t="inlineStr">
        <is>
          <t>ARMOR-X MC-HL 600 V control, Cu #14 AWG (Class I Div 2)</t>
        </is>
      </c>
      <c r="K5348" s="12" t="inlineStr">
        <is>
          <t>CTAX|7/C|14</t>
        </is>
      </c>
      <c r="L5348" s="12" t="inlineStr">
        <is>
          <t>7/C</t>
        </is>
      </c>
      <c r="M5348" s="12" t="inlineStr">
        <is>
          <t>14</t>
        </is>
      </c>
      <c r="N5348" s="12" t="n">
        <v>1</v>
      </c>
      <c r="O5348" s="12" t="n">
        <v>1</v>
      </c>
      <c r="P5348" s="12" t="n"/>
      <c r="Q5348" s="12" t="n"/>
      <c r="R5348" s="12" t="n"/>
      <c r="S5348" s="12" t="inlineStr">
        <is>
          <t>Duct bank</t>
        </is>
      </c>
      <c r="T5348" s="16" t="n">
        <v>50</v>
      </c>
      <c r="U5348" s="16" t="n">
        <v>32</v>
      </c>
      <c r="V5348" s="16">
        <f>ROUNDUP((T5348+U5348+2*'Read Me'!$B$13)*(1+'Read Me'!$B$12),-1)</f>
        <v/>
      </c>
      <c r="W5348" s="16">
        <f>V5348*N5348*O5348</f>
        <v/>
      </c>
      <c r="X5348" s="12">
        <f>IF(LEFT(I5348,2)="MV",2*N5348*IF(L5348="1/C",O5348,1),0)</f>
        <v/>
      </c>
      <c r="Y5348" s="12">
        <f>IF(OR(LEFT(K5348,4)="LVAX",LEFT(K5348,6)="MV15AX",LEFT(K5348,4)="CTAX",LEFT(K5348,2)="W|"),2*N5348*O5348,0)</f>
        <v/>
      </c>
      <c r="Z5348" s="12" t="inlineStr"/>
      <c r="AA5348" s="12">
        <f>N5348*O5348</f>
        <v/>
      </c>
    </row>
    <row r="5349">
      <c r="A5349" s="12" t="inlineStr">
        <is>
          <t>K-C-0055</t>
        </is>
      </c>
      <c r="B5349" s="12" t="inlineStr">
        <is>
          <t>K</t>
        </is>
      </c>
      <c r="C5349" s="12" t="inlineStr">
        <is>
          <t>Fuel supply (adjacent market)</t>
        </is>
      </c>
      <c r="D5349" s="12" t="inlineStr">
        <is>
          <t>Solenoid to JB JB-H2 26: H2 compress-SOL01: 2 x 2/C (field cables)</t>
        </is>
      </c>
      <c r="E5349" s="12" t="inlineStr"/>
      <c r="F5349" s="12" t="inlineStr">
        <is>
          <t>H2 26: H2 compressor 1 (40 ft ISO)</t>
        </is>
      </c>
      <c r="G5349" s="12" t="inlineStr">
        <is>
          <t>JB-H2 26: H2 compress-SOL01</t>
        </is>
      </c>
      <c r="H5349" s="12" t="inlineStr">
        <is>
          <t>H2 26: H2 compressor 1 (40 ft ISO)</t>
        </is>
      </c>
      <c r="I5349" s="12" t="inlineStr">
        <is>
          <t>Control</t>
        </is>
      </c>
      <c r="J5349" s="12" t="inlineStr">
        <is>
          <t>ARMOR-X MC-HL 600 V control, Cu #14 AWG (Class I Div 2)</t>
        </is>
      </c>
      <c r="K5349" s="12" t="inlineStr">
        <is>
          <t>CTAX|2/C|14</t>
        </is>
      </c>
      <c r="L5349" s="12" t="inlineStr">
        <is>
          <t>2/C</t>
        </is>
      </c>
      <c r="M5349" s="12" t="inlineStr">
        <is>
          <t>14</t>
        </is>
      </c>
      <c r="N5349" s="12" t="n">
        <v>2</v>
      </c>
      <c r="O5349" s="12" t="n">
        <v>1</v>
      </c>
      <c r="P5349" s="12" t="n"/>
      <c r="Q5349" s="12" t="n"/>
      <c r="R5349" s="12" t="n"/>
      <c r="S5349" s="12" t="inlineStr">
        <is>
          <t>Tray / conduit</t>
        </is>
      </c>
      <c r="T5349" s="16" t="n">
        <v>53</v>
      </c>
      <c r="U5349" s="16" t="n">
        <v>10</v>
      </c>
      <c r="V5349" s="16">
        <f>ROUNDUP((T5349+U5349+2*'Read Me'!$B$13)*(1+'Read Me'!$B$12),-1)</f>
        <v/>
      </c>
      <c r="W5349" s="16">
        <f>V5349*N5349*O5349</f>
        <v/>
      </c>
      <c r="X5349" s="12">
        <f>IF(LEFT(I5349,2)="MV",2*N5349*IF(L5349="1/C",O5349,1),0)</f>
        <v/>
      </c>
      <c r="Y5349" s="12">
        <f>IF(OR(LEFT(K5349,4)="LVAX",LEFT(K5349,6)="MV15AX",LEFT(K5349,4)="CTAX",LEFT(K5349,2)="W|"),2*N5349*O5349,0)</f>
        <v/>
      </c>
      <c r="Z5349" s="12" t="inlineStr">
        <is>
          <t>device-to-JB field wiring, one cable per device</t>
        </is>
      </c>
      <c r="AA5349" s="12">
        <f>N5349*O5349</f>
        <v/>
      </c>
    </row>
    <row r="5350">
      <c r="A5350" s="12" t="inlineStr">
        <is>
          <t>K-C-0056</t>
        </is>
      </c>
      <c r="B5350" s="12" t="inlineStr">
        <is>
          <t>K</t>
        </is>
      </c>
      <c r="C5350" s="12" t="inlineStr">
        <is>
          <t>Fuel supply (adjacent market)</t>
        </is>
      </c>
      <c r="D5350" s="12" t="inlineStr">
        <is>
          <t>Home run JB-H2 26: H2 compress-SOL01 to the control / marshalling room</t>
        </is>
      </c>
      <c r="E5350" s="12" t="inlineStr"/>
      <c r="F5350" s="12" t="inlineStr">
        <is>
          <t>H2 20: 13.8 kV e-house</t>
        </is>
      </c>
      <c r="G5350" s="12" t="inlineStr">
        <is>
          <t>JB-H2 26: H2 compress-SOL01</t>
        </is>
      </c>
      <c r="H5350" s="12" t="inlineStr">
        <is>
          <t>H2 26: H2 compressor 1 (40 ft ISO)</t>
        </is>
      </c>
      <c r="I5350" s="12" t="inlineStr">
        <is>
          <t>Control</t>
        </is>
      </c>
      <c r="J5350" s="12" t="inlineStr">
        <is>
          <t>ARMOR-X MC-HL 600 V control, Cu #14 AWG (Class I Div 2)</t>
        </is>
      </c>
      <c r="K5350" s="12" t="inlineStr">
        <is>
          <t>CTAX|25/C|14</t>
        </is>
      </c>
      <c r="L5350" s="12" t="inlineStr">
        <is>
          <t>25/C</t>
        </is>
      </c>
      <c r="M5350" s="12" t="inlineStr">
        <is>
          <t>14</t>
        </is>
      </c>
      <c r="N5350" s="12" t="n">
        <v>1</v>
      </c>
      <c r="O5350" s="12" t="n">
        <v>1</v>
      </c>
      <c r="P5350" s="12" t="n"/>
      <c r="Q5350" s="12" t="n"/>
      <c r="R5350" s="12" t="n"/>
      <c r="S5350" s="12" t="inlineStr">
        <is>
          <t>Duct bank</t>
        </is>
      </c>
      <c r="T5350" s="16" t="n">
        <v>50</v>
      </c>
      <c r="U5350" s="16" t="n">
        <v>32</v>
      </c>
      <c r="V5350" s="16">
        <f>ROUNDUP((T5350+U5350+2*'Read Me'!$B$13)*(1+'Read Me'!$B$12),-1)</f>
        <v/>
      </c>
      <c r="W5350" s="16">
        <f>V5350*N5350*O5350</f>
        <v/>
      </c>
      <c r="X5350" s="12">
        <f>IF(LEFT(I5350,2)="MV",2*N5350*IF(L5350="1/C",O5350,1),0)</f>
        <v/>
      </c>
      <c r="Y5350" s="12">
        <f>IF(OR(LEFT(K5350,4)="LVAX",LEFT(K5350,6)="MV15AX",LEFT(K5350,4)="CTAX",LEFT(K5350,2)="W|"),2*N5350*O5350,0)</f>
        <v/>
      </c>
      <c r="Z5350" s="12" t="inlineStr"/>
      <c r="AA5350" s="12">
        <f>N5350*O5350</f>
        <v/>
      </c>
    </row>
    <row r="5351">
      <c r="A5351" s="12" t="inlineStr">
        <is>
          <t>K-C-0057</t>
        </is>
      </c>
      <c r="B5351" s="12" t="inlineStr">
        <is>
          <t>K</t>
        </is>
      </c>
      <c r="C5351" s="12" t="inlineStr">
        <is>
          <t>Fuel supply (adjacent market)</t>
        </is>
      </c>
      <c r="D5351" s="12" t="inlineStr">
        <is>
          <t>Motor 1 of 1: control / local station</t>
        </is>
      </c>
      <c r="E5351" s="12" t="inlineStr"/>
      <c r="F5351" s="12" t="inlineStr">
        <is>
          <t>H2 20: 13.8 kV e-house</t>
        </is>
      </c>
      <c r="G5351" s="12" t="inlineStr"/>
      <c r="H5351" s="12" t="inlineStr">
        <is>
          <t>H2 26: H2 compressor 2 (40 ft ISO)</t>
        </is>
      </c>
      <c r="I5351" s="12" t="inlineStr">
        <is>
          <t>Control</t>
        </is>
      </c>
      <c r="J5351" s="12" t="inlineStr">
        <is>
          <t>ARMOR-X MC-HL 600 V control, Cu #14 AWG (Class I Div 2)</t>
        </is>
      </c>
      <c r="K5351" s="12" t="inlineStr">
        <is>
          <t>CTAX|7/C|14</t>
        </is>
      </c>
      <c r="L5351" s="12" t="inlineStr">
        <is>
          <t>7/C</t>
        </is>
      </c>
      <c r="M5351" s="12" t="inlineStr">
        <is>
          <t>14</t>
        </is>
      </c>
      <c r="N5351" s="12" t="n">
        <v>1</v>
      </c>
      <c r="O5351" s="12" t="n">
        <v>1</v>
      </c>
      <c r="P5351" s="12" t="n"/>
      <c r="Q5351" s="12" t="n"/>
      <c r="R5351" s="12" t="n"/>
      <c r="S5351" s="12" t="inlineStr">
        <is>
          <t>Duct bank</t>
        </is>
      </c>
      <c r="T5351" s="16" t="n">
        <v>50</v>
      </c>
      <c r="U5351" s="16" t="n">
        <v>47</v>
      </c>
      <c r="V5351" s="16">
        <f>ROUNDUP((T5351+U5351+2*'Read Me'!$B$13)*(1+'Read Me'!$B$12),-1)</f>
        <v/>
      </c>
      <c r="W5351" s="16">
        <f>V5351*N5351*O5351</f>
        <v/>
      </c>
      <c r="X5351" s="12">
        <f>IF(LEFT(I5351,2)="MV",2*N5351*IF(L5351="1/C",O5351,1),0)</f>
        <v/>
      </c>
      <c r="Y5351" s="12">
        <f>IF(OR(LEFT(K5351,4)="LVAX",LEFT(K5351,6)="MV15AX",LEFT(K5351,4)="CTAX",LEFT(K5351,2)="W|"),2*N5351*O5351,0)</f>
        <v/>
      </c>
      <c r="Z5351" s="12" t="inlineStr"/>
      <c r="AA5351" s="12">
        <f>N5351*O5351</f>
        <v/>
      </c>
    </row>
    <row r="5352">
      <c r="A5352" s="12" t="inlineStr">
        <is>
          <t>K-C-0058</t>
        </is>
      </c>
      <c r="B5352" s="12" t="inlineStr">
        <is>
          <t>K</t>
        </is>
      </c>
      <c r="C5352" s="12" t="inlineStr">
        <is>
          <t>Fuel supply (adjacent market)</t>
        </is>
      </c>
      <c r="D5352" s="12" t="inlineStr">
        <is>
          <t>Solenoid to JB JB-H2 26: H2 compress-SOL01: 2 x 2/C (field cables)</t>
        </is>
      </c>
      <c r="E5352" s="12" t="inlineStr"/>
      <c r="F5352" s="12" t="inlineStr">
        <is>
          <t>H2 26: H2 compressor 2 (40 ft ISO)</t>
        </is>
      </c>
      <c r="G5352" s="12" t="inlineStr">
        <is>
          <t>JB-H2 26: H2 compress-SOL01</t>
        </is>
      </c>
      <c r="H5352" s="12" t="inlineStr">
        <is>
          <t>H2 26: H2 compressor 2 (40 ft ISO)</t>
        </is>
      </c>
      <c r="I5352" s="12" t="inlineStr">
        <is>
          <t>Control</t>
        </is>
      </c>
      <c r="J5352" s="12" t="inlineStr">
        <is>
          <t>ARMOR-X MC-HL 600 V control, Cu #14 AWG (Class I Div 2)</t>
        </is>
      </c>
      <c r="K5352" s="12" t="inlineStr">
        <is>
          <t>CTAX|2/C|14</t>
        </is>
      </c>
      <c r="L5352" s="12" t="inlineStr">
        <is>
          <t>2/C</t>
        </is>
      </c>
      <c r="M5352" s="12" t="inlineStr">
        <is>
          <t>14</t>
        </is>
      </c>
      <c r="N5352" s="12" t="n">
        <v>2</v>
      </c>
      <c r="O5352" s="12" t="n">
        <v>1</v>
      </c>
      <c r="P5352" s="12" t="n"/>
      <c r="Q5352" s="12" t="n"/>
      <c r="R5352" s="12" t="n"/>
      <c r="S5352" s="12" t="inlineStr">
        <is>
          <t>Tray / conduit</t>
        </is>
      </c>
      <c r="T5352" s="16" t="n">
        <v>53</v>
      </c>
      <c r="U5352" s="16" t="n">
        <v>10</v>
      </c>
      <c r="V5352" s="16">
        <f>ROUNDUP((T5352+U5352+2*'Read Me'!$B$13)*(1+'Read Me'!$B$12),-1)</f>
        <v/>
      </c>
      <c r="W5352" s="16">
        <f>V5352*N5352*O5352</f>
        <v/>
      </c>
      <c r="X5352" s="12">
        <f>IF(LEFT(I5352,2)="MV",2*N5352*IF(L5352="1/C",O5352,1),0)</f>
        <v/>
      </c>
      <c r="Y5352" s="12">
        <f>IF(OR(LEFT(K5352,4)="LVAX",LEFT(K5352,6)="MV15AX",LEFT(K5352,4)="CTAX",LEFT(K5352,2)="W|"),2*N5352*O5352,0)</f>
        <v/>
      </c>
      <c r="Z5352" s="12" t="inlineStr">
        <is>
          <t>device-to-JB field wiring, one cable per device</t>
        </is>
      </c>
      <c r="AA5352" s="12">
        <f>N5352*O5352</f>
        <v/>
      </c>
    </row>
    <row r="5353">
      <c r="A5353" s="12" t="inlineStr">
        <is>
          <t>K-C-0059</t>
        </is>
      </c>
      <c r="B5353" s="12" t="inlineStr">
        <is>
          <t>K</t>
        </is>
      </c>
      <c r="C5353" s="12" t="inlineStr">
        <is>
          <t>Fuel supply (adjacent market)</t>
        </is>
      </c>
      <c r="D5353" s="12" t="inlineStr">
        <is>
          <t>Home run JB-H2 26: H2 compress-SOL01 to the control / marshalling room</t>
        </is>
      </c>
      <c r="E5353" s="12" t="inlineStr"/>
      <c r="F5353" s="12" t="inlineStr">
        <is>
          <t>H2 20: 13.8 kV e-house</t>
        </is>
      </c>
      <c r="G5353" s="12" t="inlineStr">
        <is>
          <t>JB-H2 26: H2 compress-SOL01</t>
        </is>
      </c>
      <c r="H5353" s="12" t="inlineStr">
        <is>
          <t>H2 26: H2 compressor 2 (40 ft ISO)</t>
        </is>
      </c>
      <c r="I5353" s="12" t="inlineStr">
        <is>
          <t>Control</t>
        </is>
      </c>
      <c r="J5353" s="12" t="inlineStr">
        <is>
          <t>ARMOR-X MC-HL 600 V control, Cu #14 AWG (Class I Div 2)</t>
        </is>
      </c>
      <c r="K5353" s="12" t="inlineStr">
        <is>
          <t>CTAX|25/C|14</t>
        </is>
      </c>
      <c r="L5353" s="12" t="inlineStr">
        <is>
          <t>25/C</t>
        </is>
      </c>
      <c r="M5353" s="12" t="inlineStr">
        <is>
          <t>14</t>
        </is>
      </c>
      <c r="N5353" s="12" t="n">
        <v>1</v>
      </c>
      <c r="O5353" s="12" t="n">
        <v>1</v>
      </c>
      <c r="P5353" s="12" t="n"/>
      <c r="Q5353" s="12" t="n"/>
      <c r="R5353" s="12" t="n"/>
      <c r="S5353" s="12" t="inlineStr">
        <is>
          <t>Duct bank</t>
        </is>
      </c>
      <c r="T5353" s="16" t="n">
        <v>50</v>
      </c>
      <c r="U5353" s="16" t="n">
        <v>47</v>
      </c>
      <c r="V5353" s="16">
        <f>ROUNDUP((T5353+U5353+2*'Read Me'!$B$13)*(1+'Read Me'!$B$12),-1)</f>
        <v/>
      </c>
      <c r="W5353" s="16">
        <f>V5353*N5353*O5353</f>
        <v/>
      </c>
      <c r="X5353" s="12">
        <f>IF(LEFT(I5353,2)="MV",2*N5353*IF(L5353="1/C",O5353,1),0)</f>
        <v/>
      </c>
      <c r="Y5353" s="12">
        <f>IF(OR(LEFT(K5353,4)="LVAX",LEFT(K5353,6)="MV15AX",LEFT(K5353,4)="CTAX",LEFT(K5353,2)="W|"),2*N5353*O5353,0)</f>
        <v/>
      </c>
      <c r="Z5353" s="12" t="inlineStr"/>
      <c r="AA5353" s="12">
        <f>N5353*O5353</f>
        <v/>
      </c>
    </row>
    <row r="5354">
      <c r="A5354" s="12" t="inlineStr">
        <is>
          <t>K-C-0060</t>
        </is>
      </c>
      <c r="B5354" s="12" t="inlineStr">
        <is>
          <t>K</t>
        </is>
      </c>
      <c r="C5354" s="12" t="inlineStr">
        <is>
          <t>Fuel supply (adjacent market)</t>
        </is>
      </c>
      <c r="D5354" s="12" t="inlineStr">
        <is>
          <t>Motor 1 of 1: control / local station</t>
        </is>
      </c>
      <c r="E5354" s="12" t="inlineStr"/>
      <c r="F5354" s="12" t="inlineStr">
        <is>
          <t>H2 20: 13.8 kV e-house</t>
        </is>
      </c>
      <c r="G5354" s="12" t="inlineStr"/>
      <c r="H5354" s="12" t="inlineStr">
        <is>
          <t>H2 27: storage tube bank (~40 ft tubes)</t>
        </is>
      </c>
      <c r="I5354" s="12" t="inlineStr">
        <is>
          <t>Control</t>
        </is>
      </c>
      <c r="J5354" s="12" t="inlineStr">
        <is>
          <t>ARMOR-X MC-HL 600 V control, Cu #14 AWG (Class I Div 2)</t>
        </is>
      </c>
      <c r="K5354" s="12" t="inlineStr">
        <is>
          <t>CTAX|7/C|14</t>
        </is>
      </c>
      <c r="L5354" s="12" t="inlineStr">
        <is>
          <t>7/C</t>
        </is>
      </c>
      <c r="M5354" s="12" t="inlineStr">
        <is>
          <t>14</t>
        </is>
      </c>
      <c r="N5354" s="12" t="n">
        <v>1</v>
      </c>
      <c r="O5354" s="12" t="n">
        <v>1</v>
      </c>
      <c r="P5354" s="12" t="n"/>
      <c r="Q5354" s="12" t="n"/>
      <c r="R5354" s="12" t="n"/>
      <c r="S5354" s="12" t="inlineStr">
        <is>
          <t>Duct bank</t>
        </is>
      </c>
      <c r="T5354" s="16" t="n">
        <v>50</v>
      </c>
      <c r="U5354" s="16" t="n">
        <v>97</v>
      </c>
      <c r="V5354" s="16">
        <f>ROUNDUP((T5354+U5354+2*'Read Me'!$B$13)*(1+'Read Me'!$B$12),-1)</f>
        <v/>
      </c>
      <c r="W5354" s="16">
        <f>V5354*N5354*O5354</f>
        <v/>
      </c>
      <c r="X5354" s="12">
        <f>IF(LEFT(I5354,2)="MV",2*N5354*IF(L5354="1/C",O5354,1),0)</f>
        <v/>
      </c>
      <c r="Y5354" s="12">
        <f>IF(OR(LEFT(K5354,4)="LVAX",LEFT(K5354,6)="MV15AX",LEFT(K5354,4)="CTAX",LEFT(K5354,2)="W|"),2*N5354*O5354,0)</f>
        <v/>
      </c>
      <c r="Z5354" s="12" t="inlineStr"/>
      <c r="AA5354" s="12">
        <f>N5354*O5354</f>
        <v/>
      </c>
    </row>
    <row r="5355">
      <c r="A5355" s="12" t="inlineStr">
        <is>
          <t>K-C-0061</t>
        </is>
      </c>
      <c r="B5355" s="12" t="inlineStr">
        <is>
          <t>K</t>
        </is>
      </c>
      <c r="C5355" s="12" t="inlineStr">
        <is>
          <t>Fuel supply (adjacent market)</t>
        </is>
      </c>
      <c r="D5355" s="12" t="inlineStr">
        <is>
          <t>Solenoid to JB JB-H2 27: storage tub-SOL01: 2 x 2/C (field cables)</t>
        </is>
      </c>
      <c r="E5355" s="12" t="inlineStr"/>
      <c r="F5355" s="12" t="inlineStr">
        <is>
          <t>H2 27: storage tube bank (~40 ft tubes)</t>
        </is>
      </c>
      <c r="G5355" s="12" t="inlineStr">
        <is>
          <t>JB-H2 27: storage tub-SOL01</t>
        </is>
      </c>
      <c r="H5355" s="12" t="inlineStr">
        <is>
          <t>H2 27: storage tube bank (~40 ft tubes)</t>
        </is>
      </c>
      <c r="I5355" s="12" t="inlineStr">
        <is>
          <t>Control</t>
        </is>
      </c>
      <c r="J5355" s="12" t="inlineStr">
        <is>
          <t>ARMOR-X MC-HL 600 V control, Cu #14 AWG (Class I Div 2)</t>
        </is>
      </c>
      <c r="K5355" s="12" t="inlineStr">
        <is>
          <t>CTAX|2/C|14</t>
        </is>
      </c>
      <c r="L5355" s="12" t="inlineStr">
        <is>
          <t>2/C</t>
        </is>
      </c>
      <c r="M5355" s="12" t="inlineStr">
        <is>
          <t>14</t>
        </is>
      </c>
      <c r="N5355" s="12" t="n">
        <v>2</v>
      </c>
      <c r="O5355" s="12" t="n">
        <v>1</v>
      </c>
      <c r="P5355" s="12" t="n"/>
      <c r="Q5355" s="12" t="n"/>
      <c r="R5355" s="12" t="n"/>
      <c r="S5355" s="12" t="inlineStr">
        <is>
          <t>Tray / conduit</t>
        </is>
      </c>
      <c r="T5355" s="16" t="n">
        <v>54</v>
      </c>
      <c r="U5355" s="16" t="n">
        <v>10</v>
      </c>
      <c r="V5355" s="16">
        <f>ROUNDUP((T5355+U5355+2*'Read Me'!$B$13)*(1+'Read Me'!$B$12),-1)</f>
        <v/>
      </c>
      <c r="W5355" s="16">
        <f>V5355*N5355*O5355</f>
        <v/>
      </c>
      <c r="X5355" s="12">
        <f>IF(LEFT(I5355,2)="MV",2*N5355*IF(L5355="1/C",O5355,1),0)</f>
        <v/>
      </c>
      <c r="Y5355" s="12">
        <f>IF(OR(LEFT(K5355,4)="LVAX",LEFT(K5355,6)="MV15AX",LEFT(K5355,4)="CTAX",LEFT(K5355,2)="W|"),2*N5355*O5355,0)</f>
        <v/>
      </c>
      <c r="Z5355" s="12" t="inlineStr">
        <is>
          <t>device-to-JB field wiring, one cable per device</t>
        </is>
      </c>
      <c r="AA5355" s="12">
        <f>N5355*O5355</f>
        <v/>
      </c>
    </row>
    <row r="5356">
      <c r="A5356" s="12" t="inlineStr">
        <is>
          <t>K-C-0062</t>
        </is>
      </c>
      <c r="B5356" s="12" t="inlineStr">
        <is>
          <t>K</t>
        </is>
      </c>
      <c r="C5356" s="12" t="inlineStr">
        <is>
          <t>Fuel supply (adjacent market)</t>
        </is>
      </c>
      <c r="D5356" s="12" t="inlineStr">
        <is>
          <t>Home run JB-H2 27: storage tub-SOL01 to the control / marshalling room</t>
        </is>
      </c>
      <c r="E5356" s="12" t="inlineStr"/>
      <c r="F5356" s="12" t="inlineStr">
        <is>
          <t>H2 20: 13.8 kV e-house</t>
        </is>
      </c>
      <c r="G5356" s="12" t="inlineStr">
        <is>
          <t>JB-H2 27: storage tub-SOL01</t>
        </is>
      </c>
      <c r="H5356" s="12" t="inlineStr">
        <is>
          <t>H2 27: storage tube bank (~40 ft tubes)</t>
        </is>
      </c>
      <c r="I5356" s="12" t="inlineStr">
        <is>
          <t>Control</t>
        </is>
      </c>
      <c r="J5356" s="12" t="inlineStr">
        <is>
          <t>ARMOR-X MC-HL 600 V control, Cu #14 AWG (Class I Div 2)</t>
        </is>
      </c>
      <c r="K5356" s="12" t="inlineStr">
        <is>
          <t>CTAX|25/C|14</t>
        </is>
      </c>
      <c r="L5356" s="12" t="inlineStr">
        <is>
          <t>25/C</t>
        </is>
      </c>
      <c r="M5356" s="12" t="inlineStr">
        <is>
          <t>14</t>
        </is>
      </c>
      <c r="N5356" s="12" t="n">
        <v>1</v>
      </c>
      <c r="O5356" s="12" t="n">
        <v>1</v>
      </c>
      <c r="P5356" s="12" t="n"/>
      <c r="Q5356" s="12" t="n"/>
      <c r="R5356" s="12" t="n"/>
      <c r="S5356" s="12" t="inlineStr">
        <is>
          <t>Duct bank</t>
        </is>
      </c>
      <c r="T5356" s="16" t="n">
        <v>50</v>
      </c>
      <c r="U5356" s="16" t="n">
        <v>97</v>
      </c>
      <c r="V5356" s="16">
        <f>ROUNDUP((T5356+U5356+2*'Read Me'!$B$13)*(1+'Read Me'!$B$12),-1)</f>
        <v/>
      </c>
      <c r="W5356" s="16">
        <f>V5356*N5356*O5356</f>
        <v/>
      </c>
      <c r="X5356" s="12">
        <f>IF(LEFT(I5356,2)="MV",2*N5356*IF(L5356="1/C",O5356,1),0)</f>
        <v/>
      </c>
      <c r="Y5356" s="12">
        <f>IF(OR(LEFT(K5356,4)="LVAX",LEFT(K5356,6)="MV15AX",LEFT(K5356,4)="CTAX",LEFT(K5356,2)="W|"),2*N5356*O5356,0)</f>
        <v/>
      </c>
      <c r="Z5356" s="12" t="inlineStr"/>
      <c r="AA5356" s="12">
        <f>N5356*O5356</f>
        <v/>
      </c>
    </row>
    <row r="5357">
      <c r="A5357" s="12" t="inlineStr">
        <is>
          <t>K-C-0063</t>
        </is>
      </c>
      <c r="B5357" s="12" t="inlineStr">
        <is>
          <t>K</t>
        </is>
      </c>
      <c r="C5357" s="12" t="inlineStr">
        <is>
          <t>Fuel supply (adjacent market)</t>
        </is>
      </c>
      <c r="D5357" s="12" t="inlineStr">
        <is>
          <t>Motor 1 of 1: control / local station</t>
        </is>
      </c>
      <c r="E5357" s="12" t="inlineStr"/>
      <c r="F5357" s="12" t="inlineStr">
        <is>
          <t>H2 20: 13.8 kV e-house</t>
        </is>
      </c>
      <c r="G5357" s="12" t="inlineStr"/>
      <c r="H5357" s="12" t="inlineStr">
        <is>
          <t>H2 27: storage tube bank (~40 ft tubes)</t>
        </is>
      </c>
      <c r="I5357" s="12" t="inlineStr">
        <is>
          <t>Control</t>
        </is>
      </c>
      <c r="J5357" s="12" t="inlineStr">
        <is>
          <t>ARMOR-X MC-HL 600 V control, Cu #14 AWG (Class I Div 2)</t>
        </is>
      </c>
      <c r="K5357" s="12" t="inlineStr">
        <is>
          <t>CTAX|7/C|14</t>
        </is>
      </c>
      <c r="L5357" s="12" t="inlineStr">
        <is>
          <t>7/C</t>
        </is>
      </c>
      <c r="M5357" s="12" t="inlineStr">
        <is>
          <t>14</t>
        </is>
      </c>
      <c r="N5357" s="12" t="n">
        <v>1</v>
      </c>
      <c r="O5357" s="12" t="n">
        <v>1</v>
      </c>
      <c r="P5357" s="12" t="n"/>
      <c r="Q5357" s="12" t="n"/>
      <c r="R5357" s="12" t="n"/>
      <c r="S5357" s="12" t="inlineStr">
        <is>
          <t>Duct bank</t>
        </is>
      </c>
      <c r="T5357" s="16" t="n">
        <v>50</v>
      </c>
      <c r="U5357" s="16" t="n">
        <v>117</v>
      </c>
      <c r="V5357" s="16">
        <f>ROUNDUP((T5357+U5357+2*'Read Me'!$B$13)*(1+'Read Me'!$B$12),-1)</f>
        <v/>
      </c>
      <c r="W5357" s="16">
        <f>V5357*N5357*O5357</f>
        <v/>
      </c>
      <c r="X5357" s="12">
        <f>IF(LEFT(I5357,2)="MV",2*N5357*IF(L5357="1/C",O5357,1),0)</f>
        <v/>
      </c>
      <c r="Y5357" s="12">
        <f>IF(OR(LEFT(K5357,4)="LVAX",LEFT(K5357,6)="MV15AX",LEFT(K5357,4)="CTAX",LEFT(K5357,2)="W|"),2*N5357*O5357,0)</f>
        <v/>
      </c>
      <c r="Z5357" s="12" t="inlineStr"/>
      <c r="AA5357" s="12">
        <f>N5357*O5357</f>
        <v/>
      </c>
    </row>
    <row r="5358">
      <c r="A5358" s="12" t="inlineStr">
        <is>
          <t>K-C-0064</t>
        </is>
      </c>
      <c r="B5358" s="12" t="inlineStr">
        <is>
          <t>K</t>
        </is>
      </c>
      <c r="C5358" s="12" t="inlineStr">
        <is>
          <t>Fuel supply (adjacent market)</t>
        </is>
      </c>
      <c r="D5358" s="12" t="inlineStr">
        <is>
          <t>Solenoid to JB JB-H2 27: storage tub-SOL01: 2 x 2/C (field cables)</t>
        </is>
      </c>
      <c r="E5358" s="12" t="inlineStr"/>
      <c r="F5358" s="12" t="inlineStr">
        <is>
          <t>H2 27: storage tube bank (~40 ft tubes)</t>
        </is>
      </c>
      <c r="G5358" s="12" t="inlineStr">
        <is>
          <t>JB-H2 27: storage tub-SOL01</t>
        </is>
      </c>
      <c r="H5358" s="12" t="inlineStr">
        <is>
          <t>H2 27: storage tube bank (~40 ft tubes)</t>
        </is>
      </c>
      <c r="I5358" s="12" t="inlineStr">
        <is>
          <t>Control</t>
        </is>
      </c>
      <c r="J5358" s="12" t="inlineStr">
        <is>
          <t>ARMOR-X MC-HL 600 V control, Cu #14 AWG (Class I Div 2)</t>
        </is>
      </c>
      <c r="K5358" s="12" t="inlineStr">
        <is>
          <t>CTAX|2/C|14</t>
        </is>
      </c>
      <c r="L5358" s="12" t="inlineStr">
        <is>
          <t>2/C</t>
        </is>
      </c>
      <c r="M5358" s="12" t="inlineStr">
        <is>
          <t>14</t>
        </is>
      </c>
      <c r="N5358" s="12" t="n">
        <v>2</v>
      </c>
      <c r="O5358" s="12" t="n">
        <v>1</v>
      </c>
      <c r="P5358" s="12" t="n"/>
      <c r="Q5358" s="12" t="n"/>
      <c r="R5358" s="12" t="n"/>
      <c r="S5358" s="12" t="inlineStr">
        <is>
          <t>Tray / conduit</t>
        </is>
      </c>
      <c r="T5358" s="16" t="n">
        <v>54</v>
      </c>
      <c r="U5358" s="16" t="n">
        <v>10</v>
      </c>
      <c r="V5358" s="16">
        <f>ROUNDUP((T5358+U5358+2*'Read Me'!$B$13)*(1+'Read Me'!$B$12),-1)</f>
        <v/>
      </c>
      <c r="W5358" s="16">
        <f>V5358*N5358*O5358</f>
        <v/>
      </c>
      <c r="X5358" s="12">
        <f>IF(LEFT(I5358,2)="MV",2*N5358*IF(L5358="1/C",O5358,1),0)</f>
        <v/>
      </c>
      <c r="Y5358" s="12">
        <f>IF(OR(LEFT(K5358,4)="LVAX",LEFT(K5358,6)="MV15AX",LEFT(K5358,4)="CTAX",LEFT(K5358,2)="W|"),2*N5358*O5358,0)</f>
        <v/>
      </c>
      <c r="Z5358" s="12" t="inlineStr">
        <is>
          <t>device-to-JB field wiring, one cable per device</t>
        </is>
      </c>
      <c r="AA5358" s="12">
        <f>N5358*O5358</f>
        <v/>
      </c>
    </row>
    <row r="5359">
      <c r="A5359" s="12" t="inlineStr">
        <is>
          <t>K-C-0065</t>
        </is>
      </c>
      <c r="B5359" s="12" t="inlineStr">
        <is>
          <t>K</t>
        </is>
      </c>
      <c r="C5359" s="12" t="inlineStr">
        <is>
          <t>Fuel supply (adjacent market)</t>
        </is>
      </c>
      <c r="D5359" s="12" t="inlineStr">
        <is>
          <t>Home run JB-H2 27: storage tub-SOL01 to the control / marshalling room</t>
        </is>
      </c>
      <c r="E5359" s="12" t="inlineStr"/>
      <c r="F5359" s="12" t="inlineStr">
        <is>
          <t>H2 20: 13.8 kV e-house</t>
        </is>
      </c>
      <c r="G5359" s="12" t="inlineStr">
        <is>
          <t>JB-H2 27: storage tub-SOL01</t>
        </is>
      </c>
      <c r="H5359" s="12" t="inlineStr">
        <is>
          <t>H2 27: storage tube bank (~40 ft tubes)</t>
        </is>
      </c>
      <c r="I5359" s="12" t="inlineStr">
        <is>
          <t>Control</t>
        </is>
      </c>
      <c r="J5359" s="12" t="inlineStr">
        <is>
          <t>ARMOR-X MC-HL 600 V control, Cu #14 AWG (Class I Div 2)</t>
        </is>
      </c>
      <c r="K5359" s="12" t="inlineStr">
        <is>
          <t>CTAX|25/C|14</t>
        </is>
      </c>
      <c r="L5359" s="12" t="inlineStr">
        <is>
          <t>25/C</t>
        </is>
      </c>
      <c r="M5359" s="12" t="inlineStr">
        <is>
          <t>14</t>
        </is>
      </c>
      <c r="N5359" s="12" t="n">
        <v>1</v>
      </c>
      <c r="O5359" s="12" t="n">
        <v>1</v>
      </c>
      <c r="P5359" s="12" t="n"/>
      <c r="Q5359" s="12" t="n"/>
      <c r="R5359" s="12" t="n"/>
      <c r="S5359" s="12" t="inlineStr">
        <is>
          <t>Duct bank</t>
        </is>
      </c>
      <c r="T5359" s="16" t="n">
        <v>50</v>
      </c>
      <c r="U5359" s="16" t="n">
        <v>117</v>
      </c>
      <c r="V5359" s="16">
        <f>ROUNDUP((T5359+U5359+2*'Read Me'!$B$13)*(1+'Read Me'!$B$12),-1)</f>
        <v/>
      </c>
      <c r="W5359" s="16">
        <f>V5359*N5359*O5359</f>
        <v/>
      </c>
      <c r="X5359" s="12">
        <f>IF(LEFT(I5359,2)="MV",2*N5359*IF(L5359="1/C",O5359,1),0)</f>
        <v/>
      </c>
      <c r="Y5359" s="12">
        <f>IF(OR(LEFT(K5359,4)="LVAX",LEFT(K5359,6)="MV15AX",LEFT(K5359,4)="CTAX",LEFT(K5359,2)="W|"),2*N5359*O5359,0)</f>
        <v/>
      </c>
      <c r="Z5359" s="12" t="inlineStr"/>
      <c r="AA5359" s="12">
        <f>N5359*O5359</f>
        <v/>
      </c>
    </row>
    <row r="5360">
      <c r="A5360" s="12" t="inlineStr">
        <is>
          <t>K-C-0066</t>
        </is>
      </c>
      <c r="B5360" s="12" t="inlineStr">
        <is>
          <t>K</t>
        </is>
      </c>
      <c r="C5360" s="12" t="inlineStr">
        <is>
          <t>Fuel supply (adjacent market)</t>
        </is>
      </c>
      <c r="D5360" s="12" t="inlineStr">
        <is>
          <t>Motor 1 of 1: control / local station</t>
        </is>
      </c>
      <c r="E5360" s="12" t="inlineStr"/>
      <c r="F5360" s="12" t="inlineStr">
        <is>
          <t>H2 20: 13.8 kV e-house</t>
        </is>
      </c>
      <c r="G5360" s="12" t="inlineStr"/>
      <c r="H5360" s="12" t="inlineStr">
        <is>
          <t>H2 27: storage tube bank (~40 ft tubes)</t>
        </is>
      </c>
      <c r="I5360" s="12" t="inlineStr">
        <is>
          <t>Control</t>
        </is>
      </c>
      <c r="J5360" s="12" t="inlineStr">
        <is>
          <t>ARMOR-X MC-HL 600 V control, Cu #14 AWG (Class I Div 2)</t>
        </is>
      </c>
      <c r="K5360" s="12" t="inlineStr">
        <is>
          <t>CTAX|7/C|14</t>
        </is>
      </c>
      <c r="L5360" s="12" t="inlineStr">
        <is>
          <t>7/C</t>
        </is>
      </c>
      <c r="M5360" s="12" t="inlineStr">
        <is>
          <t>14</t>
        </is>
      </c>
      <c r="N5360" s="12" t="n">
        <v>1</v>
      </c>
      <c r="O5360" s="12" t="n">
        <v>1</v>
      </c>
      <c r="P5360" s="12" t="n"/>
      <c r="Q5360" s="12" t="n"/>
      <c r="R5360" s="12" t="n"/>
      <c r="S5360" s="12" t="inlineStr">
        <is>
          <t>Duct bank</t>
        </is>
      </c>
      <c r="T5360" s="16" t="n">
        <v>50</v>
      </c>
      <c r="U5360" s="16" t="n">
        <v>97</v>
      </c>
      <c r="V5360" s="16">
        <f>ROUNDUP((T5360+U5360+2*'Read Me'!$B$13)*(1+'Read Me'!$B$12),-1)</f>
        <v/>
      </c>
      <c r="W5360" s="16">
        <f>V5360*N5360*O5360</f>
        <v/>
      </c>
      <c r="X5360" s="12">
        <f>IF(LEFT(I5360,2)="MV",2*N5360*IF(L5360="1/C",O5360,1),0)</f>
        <v/>
      </c>
      <c r="Y5360" s="12">
        <f>IF(OR(LEFT(K5360,4)="LVAX",LEFT(K5360,6)="MV15AX",LEFT(K5360,4)="CTAX",LEFT(K5360,2)="W|"),2*N5360*O5360,0)</f>
        <v/>
      </c>
      <c r="Z5360" s="12" t="inlineStr"/>
      <c r="AA5360" s="12">
        <f>N5360*O5360</f>
        <v/>
      </c>
    </row>
    <row r="5361">
      <c r="A5361" s="12" t="inlineStr">
        <is>
          <t>K-C-0067</t>
        </is>
      </c>
      <c r="B5361" s="12" t="inlineStr">
        <is>
          <t>K</t>
        </is>
      </c>
      <c r="C5361" s="12" t="inlineStr">
        <is>
          <t>Fuel supply (adjacent market)</t>
        </is>
      </c>
      <c r="D5361" s="12" t="inlineStr">
        <is>
          <t>Solenoid to JB JB-H2 27: storage tub-SOL01: 2 x 2/C (field cables)</t>
        </is>
      </c>
      <c r="E5361" s="12" t="inlineStr"/>
      <c r="F5361" s="12" t="inlineStr">
        <is>
          <t>H2 27: storage tube bank (~40 ft tubes)</t>
        </is>
      </c>
      <c r="G5361" s="12" t="inlineStr">
        <is>
          <t>JB-H2 27: storage tub-SOL01</t>
        </is>
      </c>
      <c r="H5361" s="12" t="inlineStr">
        <is>
          <t>H2 27: storage tube bank (~40 ft tubes)</t>
        </is>
      </c>
      <c r="I5361" s="12" t="inlineStr">
        <is>
          <t>Control</t>
        </is>
      </c>
      <c r="J5361" s="12" t="inlineStr">
        <is>
          <t>ARMOR-X MC-HL 600 V control, Cu #14 AWG (Class I Div 2)</t>
        </is>
      </c>
      <c r="K5361" s="12" t="inlineStr">
        <is>
          <t>CTAX|2/C|14</t>
        </is>
      </c>
      <c r="L5361" s="12" t="inlineStr">
        <is>
          <t>2/C</t>
        </is>
      </c>
      <c r="M5361" s="12" t="inlineStr">
        <is>
          <t>14</t>
        </is>
      </c>
      <c r="N5361" s="12" t="n">
        <v>2</v>
      </c>
      <c r="O5361" s="12" t="n">
        <v>1</v>
      </c>
      <c r="P5361" s="12" t="n"/>
      <c r="Q5361" s="12" t="n"/>
      <c r="R5361" s="12" t="n"/>
      <c r="S5361" s="12" t="inlineStr">
        <is>
          <t>Tray / conduit</t>
        </is>
      </c>
      <c r="T5361" s="16" t="n">
        <v>54</v>
      </c>
      <c r="U5361" s="16" t="n">
        <v>10</v>
      </c>
      <c r="V5361" s="16">
        <f>ROUNDUP((T5361+U5361+2*'Read Me'!$B$13)*(1+'Read Me'!$B$12),-1)</f>
        <v/>
      </c>
      <c r="W5361" s="16">
        <f>V5361*N5361*O5361</f>
        <v/>
      </c>
      <c r="X5361" s="12">
        <f>IF(LEFT(I5361,2)="MV",2*N5361*IF(L5361="1/C",O5361,1),0)</f>
        <v/>
      </c>
      <c r="Y5361" s="12">
        <f>IF(OR(LEFT(K5361,4)="LVAX",LEFT(K5361,6)="MV15AX",LEFT(K5361,4)="CTAX",LEFT(K5361,2)="W|"),2*N5361*O5361,0)</f>
        <v/>
      </c>
      <c r="Z5361" s="12" t="inlineStr">
        <is>
          <t>device-to-JB field wiring, one cable per device</t>
        </is>
      </c>
      <c r="AA5361" s="12">
        <f>N5361*O5361</f>
        <v/>
      </c>
    </row>
    <row r="5362">
      <c r="A5362" s="12" t="inlineStr">
        <is>
          <t>K-C-0068</t>
        </is>
      </c>
      <c r="B5362" s="12" t="inlineStr">
        <is>
          <t>K</t>
        </is>
      </c>
      <c r="C5362" s="12" t="inlineStr">
        <is>
          <t>Fuel supply (adjacent market)</t>
        </is>
      </c>
      <c r="D5362" s="12" t="inlineStr">
        <is>
          <t>Home run JB-H2 27: storage tub-SOL01 to the control / marshalling room</t>
        </is>
      </c>
      <c r="E5362" s="12" t="inlineStr"/>
      <c r="F5362" s="12" t="inlineStr">
        <is>
          <t>H2 20: 13.8 kV e-house</t>
        </is>
      </c>
      <c r="G5362" s="12" t="inlineStr">
        <is>
          <t>JB-H2 27: storage tub-SOL01</t>
        </is>
      </c>
      <c r="H5362" s="12" t="inlineStr">
        <is>
          <t>H2 27: storage tube bank (~40 ft tubes)</t>
        </is>
      </c>
      <c r="I5362" s="12" t="inlineStr">
        <is>
          <t>Control</t>
        </is>
      </c>
      <c r="J5362" s="12" t="inlineStr">
        <is>
          <t>ARMOR-X MC-HL 600 V control, Cu #14 AWG (Class I Div 2)</t>
        </is>
      </c>
      <c r="K5362" s="12" t="inlineStr">
        <is>
          <t>CTAX|25/C|14</t>
        </is>
      </c>
      <c r="L5362" s="12" t="inlineStr">
        <is>
          <t>25/C</t>
        </is>
      </c>
      <c r="M5362" s="12" t="inlineStr">
        <is>
          <t>14</t>
        </is>
      </c>
      <c r="N5362" s="12" t="n">
        <v>1</v>
      </c>
      <c r="O5362" s="12" t="n">
        <v>1</v>
      </c>
      <c r="P5362" s="12" t="n"/>
      <c r="Q5362" s="12" t="n"/>
      <c r="R5362" s="12" t="n"/>
      <c r="S5362" s="12" t="inlineStr">
        <is>
          <t>Duct bank</t>
        </is>
      </c>
      <c r="T5362" s="16" t="n">
        <v>50</v>
      </c>
      <c r="U5362" s="16" t="n">
        <v>97</v>
      </c>
      <c r="V5362" s="16">
        <f>ROUNDUP((T5362+U5362+2*'Read Me'!$B$13)*(1+'Read Me'!$B$12),-1)</f>
        <v/>
      </c>
      <c r="W5362" s="16">
        <f>V5362*N5362*O5362</f>
        <v/>
      </c>
      <c r="X5362" s="12">
        <f>IF(LEFT(I5362,2)="MV",2*N5362*IF(L5362="1/C",O5362,1),0)</f>
        <v/>
      </c>
      <c r="Y5362" s="12">
        <f>IF(OR(LEFT(K5362,4)="LVAX",LEFT(K5362,6)="MV15AX",LEFT(K5362,4)="CTAX",LEFT(K5362,2)="W|"),2*N5362*O5362,0)</f>
        <v/>
      </c>
      <c r="Z5362" s="12" t="inlineStr"/>
      <c r="AA5362" s="12">
        <f>N5362*O5362</f>
        <v/>
      </c>
    </row>
    <row r="5363">
      <c r="A5363" s="12" t="inlineStr">
        <is>
          <t>K-C-0069</t>
        </is>
      </c>
      <c r="B5363" s="12" t="inlineStr">
        <is>
          <t>K</t>
        </is>
      </c>
      <c r="C5363" s="12" t="inlineStr">
        <is>
          <t>Fuel supply (adjacent market)</t>
        </is>
      </c>
      <c r="D5363" s="12" t="inlineStr">
        <is>
          <t>Motor 1 of 1: control / local station</t>
        </is>
      </c>
      <c r="E5363" s="12" t="inlineStr"/>
      <c r="F5363" s="12" t="inlineStr">
        <is>
          <t>H2 20: 13.8 kV e-house</t>
        </is>
      </c>
      <c r="G5363" s="12" t="inlineStr"/>
      <c r="H5363" s="12" t="inlineStr">
        <is>
          <t>H2 27: storage tube bank (~40 ft tubes)</t>
        </is>
      </c>
      <c r="I5363" s="12" t="inlineStr">
        <is>
          <t>Control</t>
        </is>
      </c>
      <c r="J5363" s="12" t="inlineStr">
        <is>
          <t>ARMOR-X MC-HL 600 V control, Cu #14 AWG (Class I Div 2)</t>
        </is>
      </c>
      <c r="K5363" s="12" t="inlineStr">
        <is>
          <t>CTAX|7/C|14</t>
        </is>
      </c>
      <c r="L5363" s="12" t="inlineStr">
        <is>
          <t>7/C</t>
        </is>
      </c>
      <c r="M5363" s="12" t="inlineStr">
        <is>
          <t>14</t>
        </is>
      </c>
      <c r="N5363" s="12" t="n">
        <v>1</v>
      </c>
      <c r="O5363" s="12" t="n">
        <v>1</v>
      </c>
      <c r="P5363" s="12" t="n"/>
      <c r="Q5363" s="12" t="n"/>
      <c r="R5363" s="12" t="n"/>
      <c r="S5363" s="12" t="inlineStr">
        <is>
          <t>Duct bank</t>
        </is>
      </c>
      <c r="T5363" s="16" t="n">
        <v>50</v>
      </c>
      <c r="U5363" s="16" t="n">
        <v>117</v>
      </c>
      <c r="V5363" s="16">
        <f>ROUNDUP((T5363+U5363+2*'Read Me'!$B$13)*(1+'Read Me'!$B$12),-1)</f>
        <v/>
      </c>
      <c r="W5363" s="16">
        <f>V5363*N5363*O5363</f>
        <v/>
      </c>
      <c r="X5363" s="12">
        <f>IF(LEFT(I5363,2)="MV",2*N5363*IF(L5363="1/C",O5363,1),0)</f>
        <v/>
      </c>
      <c r="Y5363" s="12">
        <f>IF(OR(LEFT(K5363,4)="LVAX",LEFT(K5363,6)="MV15AX",LEFT(K5363,4)="CTAX",LEFT(K5363,2)="W|"),2*N5363*O5363,0)</f>
        <v/>
      </c>
      <c r="Z5363" s="12" t="inlineStr"/>
      <c r="AA5363" s="12">
        <f>N5363*O5363</f>
        <v/>
      </c>
    </row>
    <row r="5364">
      <c r="A5364" s="12" t="inlineStr">
        <is>
          <t>K-C-0070</t>
        </is>
      </c>
      <c r="B5364" s="12" t="inlineStr">
        <is>
          <t>K</t>
        </is>
      </c>
      <c r="C5364" s="12" t="inlineStr">
        <is>
          <t>Fuel supply (adjacent market)</t>
        </is>
      </c>
      <c r="D5364" s="12" t="inlineStr">
        <is>
          <t>Solenoid to JB JB-H2 27: storage tub-SOL01: 2 x 2/C (field cables)</t>
        </is>
      </c>
      <c r="E5364" s="12" t="inlineStr"/>
      <c r="F5364" s="12" t="inlineStr">
        <is>
          <t>H2 27: storage tube bank (~40 ft tubes)</t>
        </is>
      </c>
      <c r="G5364" s="12" t="inlineStr">
        <is>
          <t>JB-H2 27: storage tub-SOL01</t>
        </is>
      </c>
      <c r="H5364" s="12" t="inlineStr">
        <is>
          <t>H2 27: storage tube bank (~40 ft tubes)</t>
        </is>
      </c>
      <c r="I5364" s="12" t="inlineStr">
        <is>
          <t>Control</t>
        </is>
      </c>
      <c r="J5364" s="12" t="inlineStr">
        <is>
          <t>ARMOR-X MC-HL 600 V control, Cu #14 AWG (Class I Div 2)</t>
        </is>
      </c>
      <c r="K5364" s="12" t="inlineStr">
        <is>
          <t>CTAX|2/C|14</t>
        </is>
      </c>
      <c r="L5364" s="12" t="inlineStr">
        <is>
          <t>2/C</t>
        </is>
      </c>
      <c r="M5364" s="12" t="inlineStr">
        <is>
          <t>14</t>
        </is>
      </c>
      <c r="N5364" s="12" t="n">
        <v>2</v>
      </c>
      <c r="O5364" s="12" t="n">
        <v>1</v>
      </c>
      <c r="P5364" s="12" t="n"/>
      <c r="Q5364" s="12" t="n"/>
      <c r="R5364" s="12" t="n"/>
      <c r="S5364" s="12" t="inlineStr">
        <is>
          <t>Tray / conduit</t>
        </is>
      </c>
      <c r="T5364" s="16" t="n">
        <v>54</v>
      </c>
      <c r="U5364" s="16" t="n">
        <v>10</v>
      </c>
      <c r="V5364" s="16">
        <f>ROUNDUP((T5364+U5364+2*'Read Me'!$B$13)*(1+'Read Me'!$B$12),-1)</f>
        <v/>
      </c>
      <c r="W5364" s="16">
        <f>V5364*N5364*O5364</f>
        <v/>
      </c>
      <c r="X5364" s="12">
        <f>IF(LEFT(I5364,2)="MV",2*N5364*IF(L5364="1/C",O5364,1),0)</f>
        <v/>
      </c>
      <c r="Y5364" s="12">
        <f>IF(OR(LEFT(K5364,4)="LVAX",LEFT(K5364,6)="MV15AX",LEFT(K5364,4)="CTAX",LEFT(K5364,2)="W|"),2*N5364*O5364,0)</f>
        <v/>
      </c>
      <c r="Z5364" s="12" t="inlineStr">
        <is>
          <t>device-to-JB field wiring, one cable per device</t>
        </is>
      </c>
      <c r="AA5364" s="12">
        <f>N5364*O5364</f>
        <v/>
      </c>
    </row>
    <row r="5365">
      <c r="A5365" s="12" t="inlineStr">
        <is>
          <t>K-C-0071</t>
        </is>
      </c>
      <c r="B5365" s="12" t="inlineStr">
        <is>
          <t>K</t>
        </is>
      </c>
      <c r="C5365" s="12" t="inlineStr">
        <is>
          <t>Fuel supply (adjacent market)</t>
        </is>
      </c>
      <c r="D5365" s="12" t="inlineStr">
        <is>
          <t>Home run JB-H2 27: storage tub-SOL01 to the control / marshalling room</t>
        </is>
      </c>
      <c r="E5365" s="12" t="inlineStr"/>
      <c r="F5365" s="12" t="inlineStr">
        <is>
          <t>H2 20: 13.8 kV e-house</t>
        </is>
      </c>
      <c r="G5365" s="12" t="inlineStr">
        <is>
          <t>JB-H2 27: storage tub-SOL01</t>
        </is>
      </c>
      <c r="H5365" s="12" t="inlineStr">
        <is>
          <t>H2 27: storage tube bank (~40 ft tubes)</t>
        </is>
      </c>
      <c r="I5365" s="12" t="inlineStr">
        <is>
          <t>Control</t>
        </is>
      </c>
      <c r="J5365" s="12" t="inlineStr">
        <is>
          <t>ARMOR-X MC-HL 600 V control, Cu #14 AWG (Class I Div 2)</t>
        </is>
      </c>
      <c r="K5365" s="12" t="inlineStr">
        <is>
          <t>CTAX|25/C|14</t>
        </is>
      </c>
      <c r="L5365" s="12" t="inlineStr">
        <is>
          <t>25/C</t>
        </is>
      </c>
      <c r="M5365" s="12" t="inlineStr">
        <is>
          <t>14</t>
        </is>
      </c>
      <c r="N5365" s="12" t="n">
        <v>1</v>
      </c>
      <c r="O5365" s="12" t="n">
        <v>1</v>
      </c>
      <c r="P5365" s="12" t="n"/>
      <c r="Q5365" s="12" t="n"/>
      <c r="R5365" s="12" t="n"/>
      <c r="S5365" s="12" t="inlineStr">
        <is>
          <t>Duct bank</t>
        </is>
      </c>
      <c r="T5365" s="16" t="n">
        <v>50</v>
      </c>
      <c r="U5365" s="16" t="n">
        <v>117</v>
      </c>
      <c r="V5365" s="16">
        <f>ROUNDUP((T5365+U5365+2*'Read Me'!$B$13)*(1+'Read Me'!$B$12),-1)</f>
        <v/>
      </c>
      <c r="W5365" s="16">
        <f>V5365*N5365*O5365</f>
        <v/>
      </c>
      <c r="X5365" s="12">
        <f>IF(LEFT(I5365,2)="MV",2*N5365*IF(L5365="1/C",O5365,1),0)</f>
        <v/>
      </c>
      <c r="Y5365" s="12">
        <f>IF(OR(LEFT(K5365,4)="LVAX",LEFT(K5365,6)="MV15AX",LEFT(K5365,4)="CTAX",LEFT(K5365,2)="W|"),2*N5365*O5365,0)</f>
        <v/>
      </c>
      <c r="Z5365" s="12" t="inlineStr"/>
      <c r="AA5365" s="12">
        <f>N5365*O5365</f>
        <v/>
      </c>
    </row>
    <row r="5366">
      <c r="A5366" s="12" t="inlineStr">
        <is>
          <t>K-C-0072</t>
        </is>
      </c>
      <c r="B5366" s="12" t="inlineStr">
        <is>
          <t>K</t>
        </is>
      </c>
      <c r="C5366" s="12" t="inlineStr">
        <is>
          <t>Fuel supply (adjacent market)</t>
        </is>
      </c>
      <c r="D5366" s="12" t="inlineStr">
        <is>
          <t>Motor 1 of 1: control / local station</t>
        </is>
      </c>
      <c r="E5366" s="12" t="inlineStr"/>
      <c r="F5366" s="12" t="inlineStr">
        <is>
          <t>H2 20: 13.8 kV e-house</t>
        </is>
      </c>
      <c r="G5366" s="12" t="inlineStr"/>
      <c r="H5366" s="12" t="inlineStr">
        <is>
          <t>H2 28: N2 purge supply</t>
        </is>
      </c>
      <c r="I5366" s="12" t="inlineStr">
        <is>
          <t>Control</t>
        </is>
      </c>
      <c r="J5366" s="12" t="inlineStr">
        <is>
          <t>ARMOR-X MC-HL 600 V control, Cu #14 AWG (Class I Div 2)</t>
        </is>
      </c>
      <c r="K5366" s="12" t="inlineStr">
        <is>
          <t>CTAX|7/C|14</t>
        </is>
      </c>
      <c r="L5366" s="12" t="inlineStr">
        <is>
          <t>7/C</t>
        </is>
      </c>
      <c r="M5366" s="12" t="inlineStr">
        <is>
          <t>14</t>
        </is>
      </c>
      <c r="N5366" s="12" t="n">
        <v>1</v>
      </c>
      <c r="O5366" s="12" t="n">
        <v>1</v>
      </c>
      <c r="P5366" s="12" t="n"/>
      <c r="Q5366" s="12" t="n"/>
      <c r="R5366" s="12" t="n"/>
      <c r="S5366" s="12" t="inlineStr">
        <is>
          <t>Duct bank</t>
        </is>
      </c>
      <c r="T5366" s="16" t="n">
        <v>53</v>
      </c>
      <c r="U5366" s="16" t="n">
        <v>36</v>
      </c>
      <c r="V5366" s="16">
        <f>ROUNDUP((T5366+U5366+2*'Read Me'!$B$13)*(1+'Read Me'!$B$12),-1)</f>
        <v/>
      </c>
      <c r="W5366" s="16">
        <f>V5366*N5366*O5366</f>
        <v/>
      </c>
      <c r="X5366" s="12">
        <f>IF(LEFT(I5366,2)="MV",2*N5366*IF(L5366="1/C",O5366,1),0)</f>
        <v/>
      </c>
      <c r="Y5366" s="12">
        <f>IF(OR(LEFT(K5366,4)="LVAX",LEFT(K5366,6)="MV15AX",LEFT(K5366,4)="CTAX",LEFT(K5366,2)="W|"),2*N5366*O5366,0)</f>
        <v/>
      </c>
      <c r="Z5366" s="12" t="inlineStr"/>
      <c r="AA5366" s="12">
        <f>N5366*O5366</f>
        <v/>
      </c>
    </row>
    <row r="5367">
      <c r="A5367" s="12" t="inlineStr">
        <is>
          <t>K-C-0073</t>
        </is>
      </c>
      <c r="B5367" s="12" t="inlineStr">
        <is>
          <t>K</t>
        </is>
      </c>
      <c r="C5367" s="12" t="inlineStr">
        <is>
          <t>Fuel supply (adjacent market)</t>
        </is>
      </c>
      <c r="D5367" s="12" t="inlineStr">
        <is>
          <t>Solenoid to JB JB-H2 28: N2 purge su-SOL01: 2 x 2/C (field cables)</t>
        </is>
      </c>
      <c r="E5367" s="12" t="inlineStr"/>
      <c r="F5367" s="12" t="inlineStr">
        <is>
          <t>H2 28: N2 purge supply</t>
        </is>
      </c>
      <c r="G5367" s="12" t="inlineStr">
        <is>
          <t>JB-H2 28: N2 purge su-SOL01</t>
        </is>
      </c>
      <c r="H5367" s="12" t="inlineStr">
        <is>
          <t>H2 28: N2 purge supply</t>
        </is>
      </c>
      <c r="I5367" s="12" t="inlineStr">
        <is>
          <t>Control</t>
        </is>
      </c>
      <c r="J5367" s="12" t="inlineStr">
        <is>
          <t>ARMOR-X MC-HL 600 V control, Cu #14 AWG (Class I Div 2)</t>
        </is>
      </c>
      <c r="K5367" s="12" t="inlineStr">
        <is>
          <t>CTAX|2/C|14</t>
        </is>
      </c>
      <c r="L5367" s="12" t="inlineStr">
        <is>
          <t>2/C</t>
        </is>
      </c>
      <c r="M5367" s="12" t="inlineStr">
        <is>
          <t>14</t>
        </is>
      </c>
      <c r="N5367" s="12" t="n">
        <v>2</v>
      </c>
      <c r="O5367" s="12" t="n">
        <v>1</v>
      </c>
      <c r="P5367" s="12" t="n"/>
      <c r="Q5367" s="12" t="n"/>
      <c r="R5367" s="12" t="n"/>
      <c r="S5367" s="12" t="inlineStr">
        <is>
          <t>Tray / conduit</t>
        </is>
      </c>
      <c r="T5367" s="16" t="n">
        <v>56</v>
      </c>
      <c r="U5367" s="16" t="n">
        <v>10</v>
      </c>
      <c r="V5367" s="16">
        <f>ROUNDUP((T5367+U5367+2*'Read Me'!$B$13)*(1+'Read Me'!$B$12),-1)</f>
        <v/>
      </c>
      <c r="W5367" s="16">
        <f>V5367*N5367*O5367</f>
        <v/>
      </c>
      <c r="X5367" s="12">
        <f>IF(LEFT(I5367,2)="MV",2*N5367*IF(L5367="1/C",O5367,1),0)</f>
        <v/>
      </c>
      <c r="Y5367" s="12">
        <f>IF(OR(LEFT(K5367,4)="LVAX",LEFT(K5367,6)="MV15AX",LEFT(K5367,4)="CTAX",LEFT(K5367,2)="W|"),2*N5367*O5367,0)</f>
        <v/>
      </c>
      <c r="Z5367" s="12" t="inlineStr">
        <is>
          <t>device-to-JB field wiring, one cable per device</t>
        </is>
      </c>
      <c r="AA5367" s="12">
        <f>N5367*O5367</f>
        <v/>
      </c>
    </row>
    <row r="5368">
      <c r="A5368" s="12" t="inlineStr">
        <is>
          <t>K-C-0074</t>
        </is>
      </c>
      <c r="B5368" s="12" t="inlineStr">
        <is>
          <t>K</t>
        </is>
      </c>
      <c r="C5368" s="12" t="inlineStr">
        <is>
          <t>Fuel supply (adjacent market)</t>
        </is>
      </c>
      <c r="D5368" s="12" t="inlineStr">
        <is>
          <t>Home run JB-H2 28: N2 purge su-SOL01 to the control / marshalling room</t>
        </is>
      </c>
      <c r="E5368" s="12" t="inlineStr"/>
      <c r="F5368" s="12" t="inlineStr">
        <is>
          <t>H2 20: 13.8 kV e-house</t>
        </is>
      </c>
      <c r="G5368" s="12" t="inlineStr">
        <is>
          <t>JB-H2 28: N2 purge su-SOL01</t>
        </is>
      </c>
      <c r="H5368" s="12" t="inlineStr">
        <is>
          <t>H2 28: N2 purge supply</t>
        </is>
      </c>
      <c r="I5368" s="12" t="inlineStr">
        <is>
          <t>Control</t>
        </is>
      </c>
      <c r="J5368" s="12" t="inlineStr">
        <is>
          <t>ARMOR-X MC-HL 600 V control, Cu #14 AWG (Class I Div 2)</t>
        </is>
      </c>
      <c r="K5368" s="12" t="inlineStr">
        <is>
          <t>CTAX|25/C|14</t>
        </is>
      </c>
      <c r="L5368" s="12" t="inlineStr">
        <is>
          <t>25/C</t>
        </is>
      </c>
      <c r="M5368" s="12" t="inlineStr">
        <is>
          <t>14</t>
        </is>
      </c>
      <c r="N5368" s="12" t="n">
        <v>1</v>
      </c>
      <c r="O5368" s="12" t="n">
        <v>1</v>
      </c>
      <c r="P5368" s="12" t="n"/>
      <c r="Q5368" s="12" t="n"/>
      <c r="R5368" s="12" t="n"/>
      <c r="S5368" s="12" t="inlineStr">
        <is>
          <t>Duct bank</t>
        </is>
      </c>
      <c r="T5368" s="16" t="n">
        <v>53</v>
      </c>
      <c r="U5368" s="16" t="n">
        <v>36</v>
      </c>
      <c r="V5368" s="16">
        <f>ROUNDUP((T5368+U5368+2*'Read Me'!$B$13)*(1+'Read Me'!$B$12),-1)</f>
        <v/>
      </c>
      <c r="W5368" s="16">
        <f>V5368*N5368*O5368</f>
        <v/>
      </c>
      <c r="X5368" s="12">
        <f>IF(LEFT(I5368,2)="MV",2*N5368*IF(L5368="1/C",O5368,1),0)</f>
        <v/>
      </c>
      <c r="Y5368" s="12">
        <f>IF(OR(LEFT(K5368,4)="LVAX",LEFT(K5368,6)="MV15AX",LEFT(K5368,4)="CTAX",LEFT(K5368,2)="W|"),2*N5368*O5368,0)</f>
        <v/>
      </c>
      <c r="Z5368" s="12" t="inlineStr"/>
      <c r="AA5368" s="12">
        <f>N5368*O5368</f>
        <v/>
      </c>
    </row>
    <row r="5369">
      <c r="A5369" s="12" t="inlineStr">
        <is>
          <t>K-C-0075</t>
        </is>
      </c>
      <c r="B5369" s="12" t="inlineStr">
        <is>
          <t>K</t>
        </is>
      </c>
      <c r="C5369" s="12" t="inlineStr">
        <is>
          <t>Fuel supply (adjacent market)</t>
        </is>
      </c>
      <c r="D5369" s="12" t="inlineStr">
        <is>
          <t>Motor 1 of 1: control / local station</t>
        </is>
      </c>
      <c r="E5369" s="12" t="inlineStr"/>
      <c r="F5369" s="12" t="inlineStr">
        <is>
          <t>H2 20: 13.8 kV e-house</t>
        </is>
      </c>
      <c r="G5369" s="12" t="inlineStr"/>
      <c r="H5369" s="12" t="inlineStr">
        <is>
          <t>H2 29: vent stack</t>
        </is>
      </c>
      <c r="I5369" s="12" t="inlineStr">
        <is>
          <t>Control</t>
        </is>
      </c>
      <c r="J5369" s="12" t="inlineStr">
        <is>
          <t>ARMOR-X MC-HL 600 V control, Cu #14 AWG (Class I Div 2)</t>
        </is>
      </c>
      <c r="K5369" s="12" t="inlineStr">
        <is>
          <t>CTAX|7/C|14</t>
        </is>
      </c>
      <c r="L5369" s="12" t="inlineStr">
        <is>
          <t>7/C</t>
        </is>
      </c>
      <c r="M5369" s="12" t="inlineStr">
        <is>
          <t>14</t>
        </is>
      </c>
      <c r="N5369" s="12" t="n">
        <v>1</v>
      </c>
      <c r="O5369" s="12" t="n">
        <v>1</v>
      </c>
      <c r="P5369" s="12" t="n"/>
      <c r="Q5369" s="12" t="n"/>
      <c r="R5369" s="12" t="n"/>
      <c r="S5369" s="12" t="inlineStr">
        <is>
          <t>Duct bank</t>
        </is>
      </c>
      <c r="T5369" s="16" t="n">
        <v>55</v>
      </c>
      <c r="U5369" s="16" t="n">
        <v>205</v>
      </c>
      <c r="V5369" s="16">
        <f>ROUNDUP((T5369+U5369+2*'Read Me'!$B$13)*(1+'Read Me'!$B$12),-1)</f>
        <v/>
      </c>
      <c r="W5369" s="16">
        <f>V5369*N5369*O5369</f>
        <v/>
      </c>
      <c r="X5369" s="12">
        <f>IF(LEFT(I5369,2)="MV",2*N5369*IF(L5369="1/C",O5369,1),0)</f>
        <v/>
      </c>
      <c r="Y5369" s="12">
        <f>IF(OR(LEFT(K5369,4)="LVAX",LEFT(K5369,6)="MV15AX",LEFT(K5369,4)="CTAX",LEFT(K5369,2)="W|"),2*N5369*O5369,0)</f>
        <v/>
      </c>
      <c r="Z5369" s="12" t="inlineStr"/>
      <c r="AA5369" s="12">
        <f>N5369*O5369</f>
        <v/>
      </c>
    </row>
    <row r="5370">
      <c r="A5370" s="12" t="inlineStr">
        <is>
          <t>K-C-0076</t>
        </is>
      </c>
      <c r="B5370" s="12" t="inlineStr">
        <is>
          <t>K</t>
        </is>
      </c>
      <c r="C5370" s="12" t="inlineStr">
        <is>
          <t>Fuel supply (adjacent market)</t>
        </is>
      </c>
      <c r="D5370" s="12" t="inlineStr">
        <is>
          <t>Solenoid to JB JB-H2 29: vent stack-SOL01: 2 x 2/C (field cables)</t>
        </is>
      </c>
      <c r="E5370" s="12" t="inlineStr"/>
      <c r="F5370" s="12" t="inlineStr">
        <is>
          <t>H2 29: vent stack</t>
        </is>
      </c>
      <c r="G5370" s="12" t="inlineStr">
        <is>
          <t>JB-H2 29: vent stack-SOL01</t>
        </is>
      </c>
      <c r="H5370" s="12" t="inlineStr">
        <is>
          <t>H2 29: vent stack</t>
        </is>
      </c>
      <c r="I5370" s="12" t="inlineStr">
        <is>
          <t>Control</t>
        </is>
      </c>
      <c r="J5370" s="12" t="inlineStr">
        <is>
          <t>ARMOR-X MC-HL 600 V control, Cu #14 AWG (Class I Div 2)</t>
        </is>
      </c>
      <c r="K5370" s="12" t="inlineStr">
        <is>
          <t>CTAX|2/C|14</t>
        </is>
      </c>
      <c r="L5370" s="12" t="inlineStr">
        <is>
          <t>2/C</t>
        </is>
      </c>
      <c r="M5370" s="12" t="inlineStr">
        <is>
          <t>14</t>
        </is>
      </c>
      <c r="N5370" s="12" t="n">
        <v>2</v>
      </c>
      <c r="O5370" s="12" t="n">
        <v>1</v>
      </c>
      <c r="P5370" s="12" t="n"/>
      <c r="Q5370" s="12" t="n"/>
      <c r="R5370" s="12" t="n"/>
      <c r="S5370" s="12" t="inlineStr">
        <is>
          <t>Tray / conduit</t>
        </is>
      </c>
      <c r="T5370" s="16" t="n">
        <v>45</v>
      </c>
      <c r="U5370" s="16" t="n">
        <v>10</v>
      </c>
      <c r="V5370" s="16">
        <f>ROUNDUP((T5370+U5370+2*'Read Me'!$B$13)*(1+'Read Me'!$B$12),-1)</f>
        <v/>
      </c>
      <c r="W5370" s="16">
        <f>V5370*N5370*O5370</f>
        <v/>
      </c>
      <c r="X5370" s="12">
        <f>IF(LEFT(I5370,2)="MV",2*N5370*IF(L5370="1/C",O5370,1),0)</f>
        <v/>
      </c>
      <c r="Y5370" s="12">
        <f>IF(OR(LEFT(K5370,4)="LVAX",LEFT(K5370,6)="MV15AX",LEFT(K5370,4)="CTAX",LEFT(K5370,2)="W|"),2*N5370*O5370,0)</f>
        <v/>
      </c>
      <c r="Z5370" s="12" t="inlineStr">
        <is>
          <t>device-to-JB field wiring, one cable per device</t>
        </is>
      </c>
      <c r="AA5370" s="12">
        <f>N5370*O5370</f>
        <v/>
      </c>
    </row>
    <row r="5371">
      <c r="A5371" s="12" t="inlineStr">
        <is>
          <t>K-C-0077</t>
        </is>
      </c>
      <c r="B5371" s="12" t="inlineStr">
        <is>
          <t>K</t>
        </is>
      </c>
      <c r="C5371" s="12" t="inlineStr">
        <is>
          <t>Fuel supply (adjacent market)</t>
        </is>
      </c>
      <c r="D5371" s="12" t="inlineStr">
        <is>
          <t>Home run JB-H2 29: vent stack-SOL01 to the control / marshalling room</t>
        </is>
      </c>
      <c r="E5371" s="12" t="inlineStr"/>
      <c r="F5371" s="12" t="inlineStr">
        <is>
          <t>H2 20: 13.8 kV e-house</t>
        </is>
      </c>
      <c r="G5371" s="12" t="inlineStr">
        <is>
          <t>JB-H2 29: vent stack-SOL01</t>
        </is>
      </c>
      <c r="H5371" s="12" t="inlineStr">
        <is>
          <t>H2 29: vent stack</t>
        </is>
      </c>
      <c r="I5371" s="12" t="inlineStr">
        <is>
          <t>Control</t>
        </is>
      </c>
      <c r="J5371" s="12" t="inlineStr">
        <is>
          <t>ARMOR-X MC-HL 600 V control, Cu #14 AWG (Class I Div 2)</t>
        </is>
      </c>
      <c r="K5371" s="12" t="inlineStr">
        <is>
          <t>CTAX|25/C|14</t>
        </is>
      </c>
      <c r="L5371" s="12" t="inlineStr">
        <is>
          <t>25/C</t>
        </is>
      </c>
      <c r="M5371" s="12" t="inlineStr">
        <is>
          <t>14</t>
        </is>
      </c>
      <c r="N5371" s="12" t="n">
        <v>1</v>
      </c>
      <c r="O5371" s="12" t="n">
        <v>1</v>
      </c>
      <c r="P5371" s="12" t="n"/>
      <c r="Q5371" s="12" t="n"/>
      <c r="R5371" s="12" t="n"/>
      <c r="S5371" s="12" t="inlineStr">
        <is>
          <t>Duct bank</t>
        </is>
      </c>
      <c r="T5371" s="16" t="n">
        <v>55</v>
      </c>
      <c r="U5371" s="16" t="n">
        <v>205</v>
      </c>
      <c r="V5371" s="16">
        <f>ROUNDUP((T5371+U5371+2*'Read Me'!$B$13)*(1+'Read Me'!$B$12),-1)</f>
        <v/>
      </c>
      <c r="W5371" s="16">
        <f>V5371*N5371*O5371</f>
        <v/>
      </c>
      <c r="X5371" s="12">
        <f>IF(LEFT(I5371,2)="MV",2*N5371*IF(L5371="1/C",O5371,1),0)</f>
        <v/>
      </c>
      <c r="Y5371" s="12">
        <f>IF(OR(LEFT(K5371,4)="LVAX",LEFT(K5371,6)="MV15AX",LEFT(K5371,4)="CTAX",LEFT(K5371,2)="W|"),2*N5371*O5371,0)</f>
        <v/>
      </c>
      <c r="Z5371" s="12" t="inlineStr"/>
      <c r="AA5371" s="12">
        <f>N5371*O5371</f>
        <v/>
      </c>
    </row>
    <row r="5372">
      <c r="A5372" s="12" t="inlineStr">
        <is>
          <t>K-C-0078</t>
        </is>
      </c>
      <c r="B5372" s="12" t="inlineStr">
        <is>
          <t>K</t>
        </is>
      </c>
      <c r="C5372" s="12" t="inlineStr">
        <is>
          <t>Fuel supply (adjacent market)</t>
        </is>
      </c>
      <c r="D5372" s="12" t="inlineStr">
        <is>
          <t>Motor 1 of 1: control / local station</t>
        </is>
      </c>
      <c r="E5372" s="12" t="inlineStr"/>
      <c r="F5372" s="12" t="inlineStr">
        <is>
          <t>LNG 17: LNG e-house (13.8 kV / 480 V)</t>
        </is>
      </c>
      <c r="G5372" s="12" t="inlineStr"/>
      <c r="H5372" s="12" t="inlineStr">
        <is>
          <t>H2 30: H2 / gas blending station (plant gas yard)</t>
        </is>
      </c>
      <c r="I5372" s="12" t="inlineStr">
        <is>
          <t>Control</t>
        </is>
      </c>
      <c r="J5372" s="12" t="inlineStr">
        <is>
          <t>ARMOR-X MC-HL 600 V control, Cu #14 AWG (Class I Div 2)</t>
        </is>
      </c>
      <c r="K5372" s="12" t="inlineStr">
        <is>
          <t>CTAX|7/C|14</t>
        </is>
      </c>
      <c r="L5372" s="12" t="inlineStr">
        <is>
          <t>7/C</t>
        </is>
      </c>
      <c r="M5372" s="12" t="inlineStr">
        <is>
          <t>14</t>
        </is>
      </c>
      <c r="N5372" s="12" t="n">
        <v>1</v>
      </c>
      <c r="O5372" s="12" t="n">
        <v>1</v>
      </c>
      <c r="P5372" s="12" t="n"/>
      <c r="Q5372" s="12" t="n"/>
      <c r="R5372" s="12" t="n"/>
      <c r="S5372" s="12" t="inlineStr">
        <is>
          <t>Duct bank</t>
        </is>
      </c>
      <c r="T5372" s="16" t="n">
        <v>994</v>
      </c>
      <c r="U5372" s="16" t="n">
        <v>114</v>
      </c>
      <c r="V5372" s="16">
        <f>ROUNDUP((T5372+U5372+2*'Read Me'!$B$13)*(1+'Read Me'!$B$12),-1)</f>
        <v/>
      </c>
      <c r="W5372" s="16">
        <f>V5372*N5372*O5372</f>
        <v/>
      </c>
      <c r="X5372" s="12">
        <f>IF(LEFT(I5372,2)="MV",2*N5372*IF(L5372="1/C",O5372,1),0)</f>
        <v/>
      </c>
      <c r="Y5372" s="12">
        <f>IF(OR(LEFT(K5372,4)="LVAX",LEFT(K5372,6)="MV15AX",LEFT(K5372,4)="CTAX",LEFT(K5372,2)="W|"),2*N5372*O5372,0)</f>
        <v/>
      </c>
      <c r="Z5372" s="12" t="inlineStr"/>
      <c r="AA5372" s="12">
        <f>N5372*O5372</f>
        <v/>
      </c>
    </row>
    <row r="5373">
      <c r="A5373" s="12" t="inlineStr">
        <is>
          <t>K-C-0079</t>
        </is>
      </c>
      <c r="B5373" s="12" t="inlineStr">
        <is>
          <t>K</t>
        </is>
      </c>
      <c r="C5373" s="12" t="inlineStr">
        <is>
          <t>Fuel supply (adjacent market)</t>
        </is>
      </c>
      <c r="D5373" s="12" t="inlineStr">
        <is>
          <t>Solenoid to JB JB-H2 30: H2 / gas bl-SOL01: 2 x 2/C (field cables)</t>
        </is>
      </c>
      <c r="E5373" s="12" t="inlineStr"/>
      <c r="F5373" s="12" t="inlineStr">
        <is>
          <t>H2 30: H2 / gas blending station (plant gas yard)</t>
        </is>
      </c>
      <c r="G5373" s="12" t="inlineStr">
        <is>
          <t>JB-H2 30: H2 / gas bl-SOL01</t>
        </is>
      </c>
      <c r="H5373" s="12" t="inlineStr">
        <is>
          <t>H2 30: H2 / gas blending station (plant gas yard)</t>
        </is>
      </c>
      <c r="I5373" s="12" t="inlineStr">
        <is>
          <t>Control</t>
        </is>
      </c>
      <c r="J5373" s="12" t="inlineStr">
        <is>
          <t>ARMOR-X MC-HL 600 V control, Cu #14 AWG (Class I Div 2)</t>
        </is>
      </c>
      <c r="K5373" s="12" t="inlineStr">
        <is>
          <t>CTAX|2/C|14</t>
        </is>
      </c>
      <c r="L5373" s="12" t="inlineStr">
        <is>
          <t>2/C</t>
        </is>
      </c>
      <c r="M5373" s="12" t="inlineStr">
        <is>
          <t>14</t>
        </is>
      </c>
      <c r="N5373" s="12" t="n">
        <v>2</v>
      </c>
      <c r="O5373" s="12" t="n">
        <v>1</v>
      </c>
      <c r="P5373" s="12" t="n"/>
      <c r="Q5373" s="12" t="n"/>
      <c r="R5373" s="12" t="n"/>
      <c r="S5373" s="12" t="inlineStr">
        <is>
          <t>Tray / conduit</t>
        </is>
      </c>
      <c r="T5373" s="16" t="n">
        <v>129</v>
      </c>
      <c r="U5373" s="16" t="n">
        <v>10</v>
      </c>
      <c r="V5373" s="16">
        <f>ROUNDUP((T5373+U5373+2*'Read Me'!$B$13)*(1+'Read Me'!$B$12),-1)</f>
        <v/>
      </c>
      <c r="W5373" s="16">
        <f>V5373*N5373*O5373</f>
        <v/>
      </c>
      <c r="X5373" s="12">
        <f>IF(LEFT(I5373,2)="MV",2*N5373*IF(L5373="1/C",O5373,1),0)</f>
        <v/>
      </c>
      <c r="Y5373" s="12">
        <f>IF(OR(LEFT(K5373,4)="LVAX",LEFT(K5373,6)="MV15AX",LEFT(K5373,4)="CTAX",LEFT(K5373,2)="W|"),2*N5373*O5373,0)</f>
        <v/>
      </c>
      <c r="Z5373" s="12" t="inlineStr">
        <is>
          <t>device-to-JB field wiring, one cable per device</t>
        </is>
      </c>
      <c r="AA5373" s="12">
        <f>N5373*O5373</f>
        <v/>
      </c>
    </row>
    <row r="5374">
      <c r="A5374" s="12" t="inlineStr">
        <is>
          <t>K-C-0080</t>
        </is>
      </c>
      <c r="B5374" s="12" t="inlineStr">
        <is>
          <t>K</t>
        </is>
      </c>
      <c r="C5374" s="12" t="inlineStr">
        <is>
          <t>Fuel supply (adjacent market)</t>
        </is>
      </c>
      <c r="D5374" s="12" t="inlineStr">
        <is>
          <t>Home run JB-H2 30: H2 / gas bl-SOL01 to the control / marshalling room</t>
        </is>
      </c>
      <c r="E5374" s="12" t="inlineStr"/>
      <c r="F5374" s="12" t="inlineStr">
        <is>
          <t>LNG 17: LNG e-house (13.8 kV / 480 V)</t>
        </is>
      </c>
      <c r="G5374" s="12" t="inlineStr">
        <is>
          <t>JB-H2 30: H2 / gas bl-SOL01</t>
        </is>
      </c>
      <c r="H5374" s="12" t="inlineStr">
        <is>
          <t>H2 30: H2 / gas blending station (plant gas yard)</t>
        </is>
      </c>
      <c r="I5374" s="12" t="inlineStr">
        <is>
          <t>Control</t>
        </is>
      </c>
      <c r="J5374" s="12" t="inlineStr">
        <is>
          <t>ARMOR-X MC-HL 600 V control, Cu #14 AWG (Class I Div 2)</t>
        </is>
      </c>
      <c r="K5374" s="12" t="inlineStr">
        <is>
          <t>CTAX|25/C|14</t>
        </is>
      </c>
      <c r="L5374" s="12" t="inlineStr">
        <is>
          <t>25/C</t>
        </is>
      </c>
      <c r="M5374" s="12" t="inlineStr">
        <is>
          <t>14</t>
        </is>
      </c>
      <c r="N5374" s="12" t="n">
        <v>1</v>
      </c>
      <c r="O5374" s="12" t="n">
        <v>1</v>
      </c>
      <c r="P5374" s="12" t="n"/>
      <c r="Q5374" s="12" t="n"/>
      <c r="R5374" s="12" t="n"/>
      <c r="S5374" s="12" t="inlineStr">
        <is>
          <t>Duct bank</t>
        </is>
      </c>
      <c r="T5374" s="16" t="n">
        <v>994</v>
      </c>
      <c r="U5374" s="16" t="n">
        <v>114</v>
      </c>
      <c r="V5374" s="16">
        <f>ROUNDUP((T5374+U5374+2*'Read Me'!$B$13)*(1+'Read Me'!$B$12),-1)</f>
        <v/>
      </c>
      <c r="W5374" s="16">
        <f>V5374*N5374*O5374</f>
        <v/>
      </c>
      <c r="X5374" s="12">
        <f>IF(LEFT(I5374,2)="MV",2*N5374*IF(L5374="1/C",O5374,1),0)</f>
        <v/>
      </c>
      <c r="Y5374" s="12">
        <f>IF(OR(LEFT(K5374,4)="LVAX",LEFT(K5374,6)="MV15AX",LEFT(K5374,4)="CTAX",LEFT(K5374,2)="W|"),2*N5374*O5374,0)</f>
        <v/>
      </c>
      <c r="Z5374" s="12" t="inlineStr"/>
      <c r="AA5374" s="12">
        <f>N5374*O5374</f>
        <v/>
      </c>
    </row>
    <row r="5375">
      <c r="A5375" s="12" t="inlineStr">
        <is>
          <t>K-C-0081</t>
        </is>
      </c>
      <c r="B5375" s="12" t="inlineStr">
        <is>
          <t>K</t>
        </is>
      </c>
      <c r="C5375" s="12" t="inlineStr">
        <is>
          <t>Fuel supply (adjacent market)</t>
        </is>
      </c>
      <c r="D5375" s="12" t="inlineStr">
        <is>
          <t>Motor 1 of 2: control / local station</t>
        </is>
      </c>
      <c r="E5375" s="12" t="inlineStr"/>
      <c r="F5375" s="12" t="inlineStr">
        <is>
          <t>H2 20: 13.8 kV e-house</t>
        </is>
      </c>
      <c r="G5375" s="12" t="inlineStr"/>
      <c r="H5375" s="12" t="inlineStr">
        <is>
          <t>H2 pipe track and cable trench, hall -&gt; dryer / compressors (N2, instr</t>
        </is>
      </c>
      <c r="I5375" s="12" t="inlineStr">
        <is>
          <t>Control</t>
        </is>
      </c>
      <c r="J5375" s="12" t="inlineStr">
        <is>
          <t>ARMOR-X MC-HL 600 V control, Cu #14 AWG (Class I Div 2)</t>
        </is>
      </c>
      <c r="K5375" s="12" t="inlineStr">
        <is>
          <t>CTAX|7/C|14</t>
        </is>
      </c>
      <c r="L5375" s="12" t="inlineStr">
        <is>
          <t>7/C</t>
        </is>
      </c>
      <c r="M5375" s="12" t="inlineStr">
        <is>
          <t>14</t>
        </is>
      </c>
      <c r="N5375" s="12" t="n">
        <v>1</v>
      </c>
      <c r="O5375" s="12" t="n">
        <v>1</v>
      </c>
      <c r="P5375" s="12" t="n"/>
      <c r="Q5375" s="12" t="n"/>
      <c r="R5375" s="12" t="n"/>
      <c r="S5375" s="12" t="inlineStr">
        <is>
          <t>Duct bank</t>
        </is>
      </c>
      <c r="T5375" s="16" t="n">
        <v>53</v>
      </c>
      <c r="U5375" s="16" t="n">
        <v>62</v>
      </c>
      <c r="V5375" s="16">
        <f>ROUNDUP((T5375+U5375+2*'Read Me'!$B$13)*(1+'Read Me'!$B$12),-1)</f>
        <v/>
      </c>
      <c r="W5375" s="16">
        <f>V5375*N5375*O5375</f>
        <v/>
      </c>
      <c r="X5375" s="12">
        <f>IF(LEFT(I5375,2)="MV",2*N5375*IF(L5375="1/C",O5375,1),0)</f>
        <v/>
      </c>
      <c r="Y5375" s="12">
        <f>IF(OR(LEFT(K5375,4)="LVAX",LEFT(K5375,6)="MV15AX",LEFT(K5375,4)="CTAX",LEFT(K5375,2)="W|"),2*N5375*O5375,0)</f>
        <v/>
      </c>
      <c r="Z5375" s="12" t="inlineStr"/>
      <c r="AA5375" s="12">
        <f>N5375*O5375</f>
        <v/>
      </c>
    </row>
    <row r="5376">
      <c r="A5376" s="12" t="inlineStr">
        <is>
          <t>K-C-0082</t>
        </is>
      </c>
      <c r="B5376" s="12" t="inlineStr">
        <is>
          <t>K</t>
        </is>
      </c>
      <c r="C5376" s="12" t="inlineStr">
        <is>
          <t>Fuel supply (adjacent market)</t>
        </is>
      </c>
      <c r="D5376" s="12" t="inlineStr">
        <is>
          <t>Motor 2 of 2: control / local station</t>
        </is>
      </c>
      <c r="E5376" s="12" t="inlineStr"/>
      <c r="F5376" s="12" t="inlineStr">
        <is>
          <t>H2 20: 13.8 kV e-house</t>
        </is>
      </c>
      <c r="G5376" s="12" t="inlineStr"/>
      <c r="H5376" s="12" t="inlineStr">
        <is>
          <t>H2 pipe track and cable trench, hall -&gt; dryer / compressors (N2, instr</t>
        </is>
      </c>
      <c r="I5376" s="12" t="inlineStr">
        <is>
          <t>Control</t>
        </is>
      </c>
      <c r="J5376" s="12" t="inlineStr">
        <is>
          <t>ARMOR-X MC-HL 600 V control, Cu #14 AWG (Class I Div 2)</t>
        </is>
      </c>
      <c r="K5376" s="12" t="inlineStr">
        <is>
          <t>CTAX|7/C|14</t>
        </is>
      </c>
      <c r="L5376" s="12" t="inlineStr">
        <is>
          <t>7/C</t>
        </is>
      </c>
      <c r="M5376" s="12" t="inlineStr">
        <is>
          <t>14</t>
        </is>
      </c>
      <c r="N5376" s="12" t="n">
        <v>1</v>
      </c>
      <c r="O5376" s="12" t="n">
        <v>1</v>
      </c>
      <c r="P5376" s="12" t="n"/>
      <c r="Q5376" s="12" t="n"/>
      <c r="R5376" s="12" t="n"/>
      <c r="S5376" s="12" t="inlineStr">
        <is>
          <t>Duct bank</t>
        </is>
      </c>
      <c r="T5376" s="16" t="n">
        <v>53</v>
      </c>
      <c r="U5376" s="16" t="n">
        <v>62</v>
      </c>
      <c r="V5376" s="16">
        <f>ROUNDUP((T5376+U5376+2*'Read Me'!$B$13)*(1+'Read Me'!$B$12),-1)</f>
        <v/>
      </c>
      <c r="W5376" s="16">
        <f>V5376*N5376*O5376</f>
        <v/>
      </c>
      <c r="X5376" s="12">
        <f>IF(LEFT(I5376,2)="MV",2*N5376*IF(L5376="1/C",O5376,1),0)</f>
        <v/>
      </c>
      <c r="Y5376" s="12">
        <f>IF(OR(LEFT(K5376,4)="LVAX",LEFT(K5376,6)="MV15AX",LEFT(K5376,4)="CTAX",LEFT(K5376,2)="W|"),2*N5376*O5376,0)</f>
        <v/>
      </c>
      <c r="Z5376" s="12" t="inlineStr"/>
      <c r="AA5376" s="12">
        <f>N5376*O5376</f>
        <v/>
      </c>
    </row>
    <row r="5377">
      <c r="A5377" s="12" t="inlineStr">
        <is>
          <t>K-C-0083</t>
        </is>
      </c>
      <c r="B5377" s="12" t="inlineStr">
        <is>
          <t>K</t>
        </is>
      </c>
      <c r="C5377" s="12" t="inlineStr">
        <is>
          <t>Fuel supply (adjacent market)</t>
        </is>
      </c>
      <c r="D5377" s="12" t="inlineStr">
        <is>
          <t>Control</t>
        </is>
      </c>
      <c r="E5377" s="12" t="inlineStr"/>
      <c r="F5377" s="12" t="inlineStr">
        <is>
          <t>H2 20: 13.8 kV e-house</t>
        </is>
      </c>
      <c r="G5377" s="12" t="inlineStr">
        <is>
          <t>H2-ST</t>
        </is>
      </c>
      <c r="H5377" s="12" t="inlineStr">
        <is>
          <t>H2 storage tube banks x4</t>
        </is>
      </c>
      <c r="I5377" s="12" t="inlineStr">
        <is>
          <t>Control</t>
        </is>
      </c>
      <c r="J5377" s="12" t="inlineStr">
        <is>
          <t>ARMOR-X MC-HL 600 V control, Cu #14 AWG (Class I Div 2)</t>
        </is>
      </c>
      <c r="K5377" s="12" t="inlineStr">
        <is>
          <t>CTAX|7/C|14</t>
        </is>
      </c>
      <c r="L5377" s="12" t="inlineStr">
        <is>
          <t>7/C</t>
        </is>
      </c>
      <c r="M5377" s="12" t="inlineStr">
        <is>
          <t>14</t>
        </is>
      </c>
      <c r="N5377" s="12" t="n">
        <v>1</v>
      </c>
      <c r="O5377" s="12" t="n">
        <v>1</v>
      </c>
      <c r="P5377" s="12" t="n"/>
      <c r="Q5377" s="12" t="n"/>
      <c r="R5377" s="12" t="n"/>
      <c r="S5377" s="12" t="inlineStr">
        <is>
          <t>Duct bank</t>
        </is>
      </c>
      <c r="T5377" s="16" t="n">
        <v>50</v>
      </c>
      <c r="U5377" s="16" t="n">
        <v>92</v>
      </c>
      <c r="V5377" s="16">
        <f>ROUNDUP((T5377+U5377+2*'Read Me'!$B$13)*(1+'Read Me'!$B$12),-1)</f>
        <v/>
      </c>
      <c r="W5377" s="16">
        <f>V5377*N5377*O5377</f>
        <v/>
      </c>
      <c r="X5377" s="12">
        <f>IF(LEFT(I5377,2)="MV",2*N5377*IF(L5377="1/C",O5377,1),0)</f>
        <v/>
      </c>
      <c r="Y5377" s="12">
        <f>IF(OR(LEFT(K5377,4)="LVAX",LEFT(K5377,6)="MV15AX",LEFT(K5377,4)="CTAX",LEFT(K5377,2)="W|"),2*N5377*O5377,0)</f>
        <v/>
      </c>
      <c r="Z5377" s="12" t="inlineStr"/>
      <c r="AA5377" s="12">
        <f>N5377*O5377</f>
        <v/>
      </c>
    </row>
    <row r="5378">
      <c r="A5378" s="12" t="inlineStr">
        <is>
          <t>K-C-0084</t>
        </is>
      </c>
      <c r="B5378" s="12" t="inlineStr">
        <is>
          <t>K</t>
        </is>
      </c>
      <c r="C5378" s="12" t="inlineStr">
        <is>
          <t>Fuel supply (adjacent market)</t>
        </is>
      </c>
      <c r="D5378" s="12" t="inlineStr">
        <is>
          <t>Motor 1 of 1: control / local station</t>
        </is>
      </c>
      <c r="E5378" s="12" t="inlineStr"/>
      <c r="F5378" s="12" t="inlineStr">
        <is>
          <t>LNG 17: LNG e-house (13.8 kV / 480 V)</t>
        </is>
      </c>
      <c r="G5378" s="12" t="inlineStr"/>
      <c r="H5378" s="12" t="inlineStr">
        <is>
          <t>LNG 10: truck unloading bay 1</t>
        </is>
      </c>
      <c r="I5378" s="12" t="inlineStr">
        <is>
          <t>Control</t>
        </is>
      </c>
      <c r="J5378" s="12" t="inlineStr">
        <is>
          <t>ARMOR-X MC-HL 600 V control, Cu #14 AWG (Class I Div 2)</t>
        </is>
      </c>
      <c r="K5378" s="12" t="inlineStr">
        <is>
          <t>CTAX|7/C|14</t>
        </is>
      </c>
      <c r="L5378" s="12" t="inlineStr">
        <is>
          <t>7/C</t>
        </is>
      </c>
      <c r="M5378" s="12" t="inlineStr">
        <is>
          <t>14</t>
        </is>
      </c>
      <c r="N5378" s="12" t="n">
        <v>1</v>
      </c>
      <c r="O5378" s="12" t="n">
        <v>1</v>
      </c>
      <c r="P5378" s="12" t="n"/>
      <c r="Q5378" s="12" t="n"/>
      <c r="R5378" s="12" t="n"/>
      <c r="S5378" s="12" t="inlineStr">
        <is>
          <t>Duct bank</t>
        </is>
      </c>
      <c r="T5378" s="16" t="n">
        <v>237</v>
      </c>
      <c r="U5378" s="16" t="n">
        <v>61</v>
      </c>
      <c r="V5378" s="16">
        <f>ROUNDUP((T5378+U5378+2*'Read Me'!$B$13)*(1+'Read Me'!$B$12),-1)</f>
        <v/>
      </c>
      <c r="W5378" s="16">
        <f>V5378*N5378*O5378</f>
        <v/>
      </c>
      <c r="X5378" s="12">
        <f>IF(LEFT(I5378,2)="MV",2*N5378*IF(L5378="1/C",O5378,1),0)</f>
        <v/>
      </c>
      <c r="Y5378" s="12">
        <f>IF(OR(LEFT(K5378,4)="LVAX",LEFT(K5378,6)="MV15AX",LEFT(K5378,4)="CTAX",LEFT(K5378,2)="W|"),2*N5378*O5378,0)</f>
        <v/>
      </c>
      <c r="Z5378" s="12" t="inlineStr"/>
      <c r="AA5378" s="12">
        <f>N5378*O5378</f>
        <v/>
      </c>
    </row>
    <row r="5379">
      <c r="A5379" s="12" t="inlineStr">
        <is>
          <t>K-C-0085</t>
        </is>
      </c>
      <c r="B5379" s="12" t="inlineStr">
        <is>
          <t>K</t>
        </is>
      </c>
      <c r="C5379" s="12" t="inlineStr">
        <is>
          <t>Fuel supply (adjacent market)</t>
        </is>
      </c>
      <c r="D5379" s="12" t="inlineStr">
        <is>
          <t>Solenoid to JB JB-LNG 10: truck unlo-SOL01: 2 x 2/C (field cables)</t>
        </is>
      </c>
      <c r="E5379" s="12" t="inlineStr"/>
      <c r="F5379" s="12" t="inlineStr">
        <is>
          <t>LNG 10: truck unloading bay 1</t>
        </is>
      </c>
      <c r="G5379" s="12" t="inlineStr">
        <is>
          <t>JB-LNG 10: truck unlo-SOL01</t>
        </is>
      </c>
      <c r="H5379" s="12" t="inlineStr">
        <is>
          <t>LNG 10: truck unloading bay 1</t>
        </is>
      </c>
      <c r="I5379" s="12" t="inlineStr">
        <is>
          <t>Control</t>
        </is>
      </c>
      <c r="J5379" s="12" t="inlineStr">
        <is>
          <t>ARMOR-X MC-HL 600 V control, Cu #14 AWG (Class I Div 2)</t>
        </is>
      </c>
      <c r="K5379" s="12" t="inlineStr">
        <is>
          <t>CTAX|2/C|14</t>
        </is>
      </c>
      <c r="L5379" s="12" t="inlineStr">
        <is>
          <t>2/C</t>
        </is>
      </c>
      <c r="M5379" s="12" t="inlineStr">
        <is>
          <t>14</t>
        </is>
      </c>
      <c r="N5379" s="12" t="n">
        <v>2</v>
      </c>
      <c r="O5379" s="12" t="n">
        <v>1</v>
      </c>
      <c r="P5379" s="12" t="n"/>
      <c r="Q5379" s="12" t="n"/>
      <c r="R5379" s="12" t="n"/>
      <c r="S5379" s="12" t="inlineStr">
        <is>
          <t>Tray / conduit</t>
        </is>
      </c>
      <c r="T5379" s="16" t="n">
        <v>72</v>
      </c>
      <c r="U5379" s="16" t="n">
        <v>10</v>
      </c>
      <c r="V5379" s="16">
        <f>ROUNDUP((T5379+U5379+2*'Read Me'!$B$13)*(1+'Read Me'!$B$12),-1)</f>
        <v/>
      </c>
      <c r="W5379" s="16">
        <f>V5379*N5379*O5379</f>
        <v/>
      </c>
      <c r="X5379" s="12">
        <f>IF(LEFT(I5379,2)="MV",2*N5379*IF(L5379="1/C",O5379,1),0)</f>
        <v/>
      </c>
      <c r="Y5379" s="12">
        <f>IF(OR(LEFT(K5379,4)="LVAX",LEFT(K5379,6)="MV15AX",LEFT(K5379,4)="CTAX",LEFT(K5379,2)="W|"),2*N5379*O5379,0)</f>
        <v/>
      </c>
      <c r="Z5379" s="12" t="inlineStr">
        <is>
          <t>device-to-JB field wiring, one cable per device</t>
        </is>
      </c>
      <c r="AA5379" s="12">
        <f>N5379*O5379</f>
        <v/>
      </c>
    </row>
    <row r="5380">
      <c r="A5380" s="12" t="inlineStr">
        <is>
          <t>K-C-0086</t>
        </is>
      </c>
      <c r="B5380" s="12" t="inlineStr">
        <is>
          <t>K</t>
        </is>
      </c>
      <c r="C5380" s="12" t="inlineStr">
        <is>
          <t>Fuel supply (adjacent market)</t>
        </is>
      </c>
      <c r="D5380" s="12" t="inlineStr">
        <is>
          <t>Home run JB-LNG 10: truck unlo-SOL01 to the control / marshalling room</t>
        </is>
      </c>
      <c r="E5380" s="12" t="inlineStr"/>
      <c r="F5380" s="12" t="inlineStr">
        <is>
          <t>LNG 17: LNG e-house (13.8 kV / 480 V)</t>
        </is>
      </c>
      <c r="G5380" s="12" t="inlineStr">
        <is>
          <t>JB-LNG 10: truck unlo-SOL01</t>
        </is>
      </c>
      <c r="H5380" s="12" t="inlineStr">
        <is>
          <t>LNG 10: truck unloading bay 1</t>
        </is>
      </c>
      <c r="I5380" s="12" t="inlineStr">
        <is>
          <t>Control</t>
        </is>
      </c>
      <c r="J5380" s="12" t="inlineStr">
        <is>
          <t>ARMOR-X MC-HL 600 V control, Cu #14 AWG (Class I Div 2)</t>
        </is>
      </c>
      <c r="K5380" s="12" t="inlineStr">
        <is>
          <t>CTAX|25/C|14</t>
        </is>
      </c>
      <c r="L5380" s="12" t="inlineStr">
        <is>
          <t>25/C</t>
        </is>
      </c>
      <c r="M5380" s="12" t="inlineStr">
        <is>
          <t>14</t>
        </is>
      </c>
      <c r="N5380" s="12" t="n">
        <v>1</v>
      </c>
      <c r="O5380" s="12" t="n">
        <v>1</v>
      </c>
      <c r="P5380" s="12" t="n"/>
      <c r="Q5380" s="12" t="n"/>
      <c r="R5380" s="12" t="n"/>
      <c r="S5380" s="12" t="inlineStr">
        <is>
          <t>Duct bank</t>
        </is>
      </c>
      <c r="T5380" s="16" t="n">
        <v>237</v>
      </c>
      <c r="U5380" s="16" t="n">
        <v>61</v>
      </c>
      <c r="V5380" s="16">
        <f>ROUNDUP((T5380+U5380+2*'Read Me'!$B$13)*(1+'Read Me'!$B$12),-1)</f>
        <v/>
      </c>
      <c r="W5380" s="16">
        <f>V5380*N5380*O5380</f>
        <v/>
      </c>
      <c r="X5380" s="12">
        <f>IF(LEFT(I5380,2)="MV",2*N5380*IF(L5380="1/C",O5380,1),0)</f>
        <v/>
      </c>
      <c r="Y5380" s="12">
        <f>IF(OR(LEFT(K5380,4)="LVAX",LEFT(K5380,6)="MV15AX",LEFT(K5380,4)="CTAX",LEFT(K5380,2)="W|"),2*N5380*O5380,0)</f>
        <v/>
      </c>
      <c r="Z5380" s="12" t="inlineStr"/>
      <c r="AA5380" s="12">
        <f>N5380*O5380</f>
        <v/>
      </c>
    </row>
    <row r="5381">
      <c r="A5381" s="12" t="inlineStr">
        <is>
          <t>K-C-0087</t>
        </is>
      </c>
      <c r="B5381" s="12" t="inlineStr">
        <is>
          <t>K</t>
        </is>
      </c>
      <c r="C5381" s="12" t="inlineStr">
        <is>
          <t>Fuel supply (adjacent market)</t>
        </is>
      </c>
      <c r="D5381" s="12" t="inlineStr">
        <is>
          <t>Motor 1 of 1: control / local station</t>
        </is>
      </c>
      <c r="E5381" s="12" t="inlineStr"/>
      <c r="F5381" s="12" t="inlineStr">
        <is>
          <t>LNG 17: LNG e-house (13.8 kV / 480 V)</t>
        </is>
      </c>
      <c r="G5381" s="12" t="inlineStr"/>
      <c r="H5381" s="12" t="inlineStr">
        <is>
          <t>LNG 10: truck unloading bay 2</t>
        </is>
      </c>
      <c r="I5381" s="12" t="inlineStr">
        <is>
          <t>Control</t>
        </is>
      </c>
      <c r="J5381" s="12" t="inlineStr">
        <is>
          <t>ARMOR-X MC-HL 600 V control, Cu #14 AWG (Class I Div 2)</t>
        </is>
      </c>
      <c r="K5381" s="12" t="inlineStr">
        <is>
          <t>CTAX|7/C|14</t>
        </is>
      </c>
      <c r="L5381" s="12" t="inlineStr">
        <is>
          <t>7/C</t>
        </is>
      </c>
      <c r="M5381" s="12" t="inlineStr">
        <is>
          <t>14</t>
        </is>
      </c>
      <c r="N5381" s="12" t="n">
        <v>1</v>
      </c>
      <c r="O5381" s="12" t="n">
        <v>1</v>
      </c>
      <c r="P5381" s="12" t="n"/>
      <c r="Q5381" s="12" t="n"/>
      <c r="R5381" s="12" t="n"/>
      <c r="S5381" s="12" t="inlineStr">
        <is>
          <t>Duct bank</t>
        </is>
      </c>
      <c r="T5381" s="16" t="n">
        <v>147</v>
      </c>
      <c r="U5381" s="16" t="n">
        <v>66</v>
      </c>
      <c r="V5381" s="16">
        <f>ROUNDUP((T5381+U5381+2*'Read Me'!$B$13)*(1+'Read Me'!$B$12),-1)</f>
        <v/>
      </c>
      <c r="W5381" s="16">
        <f>V5381*N5381*O5381</f>
        <v/>
      </c>
      <c r="X5381" s="12">
        <f>IF(LEFT(I5381,2)="MV",2*N5381*IF(L5381="1/C",O5381,1),0)</f>
        <v/>
      </c>
      <c r="Y5381" s="12">
        <f>IF(OR(LEFT(K5381,4)="LVAX",LEFT(K5381,6)="MV15AX",LEFT(K5381,4)="CTAX",LEFT(K5381,2)="W|"),2*N5381*O5381,0)</f>
        <v/>
      </c>
      <c r="Z5381" s="12" t="inlineStr"/>
      <c r="AA5381" s="12">
        <f>N5381*O5381</f>
        <v/>
      </c>
    </row>
    <row r="5382">
      <c r="A5382" s="12" t="inlineStr">
        <is>
          <t>K-C-0088</t>
        </is>
      </c>
      <c r="B5382" s="12" t="inlineStr">
        <is>
          <t>K</t>
        </is>
      </c>
      <c r="C5382" s="12" t="inlineStr">
        <is>
          <t>Fuel supply (adjacent market)</t>
        </is>
      </c>
      <c r="D5382" s="12" t="inlineStr">
        <is>
          <t>Solenoid to JB JB-LNG 10: truck unlo-SOL01: 2 x 2/C (field cables)</t>
        </is>
      </c>
      <c r="E5382" s="12" t="inlineStr"/>
      <c r="F5382" s="12" t="inlineStr">
        <is>
          <t>LNG 10: truck unloading bay 2</t>
        </is>
      </c>
      <c r="G5382" s="12" t="inlineStr">
        <is>
          <t>JB-LNG 10: truck unlo-SOL01</t>
        </is>
      </c>
      <c r="H5382" s="12" t="inlineStr">
        <is>
          <t>LNG 10: truck unloading bay 2</t>
        </is>
      </c>
      <c r="I5382" s="12" t="inlineStr">
        <is>
          <t>Control</t>
        </is>
      </c>
      <c r="J5382" s="12" t="inlineStr">
        <is>
          <t>ARMOR-X MC-HL 600 V control, Cu #14 AWG (Class I Div 2)</t>
        </is>
      </c>
      <c r="K5382" s="12" t="inlineStr">
        <is>
          <t>CTAX|2/C|14</t>
        </is>
      </c>
      <c r="L5382" s="12" t="inlineStr">
        <is>
          <t>2/C</t>
        </is>
      </c>
      <c r="M5382" s="12" t="inlineStr">
        <is>
          <t>14</t>
        </is>
      </c>
      <c r="N5382" s="12" t="n">
        <v>2</v>
      </c>
      <c r="O5382" s="12" t="n">
        <v>1</v>
      </c>
      <c r="P5382" s="12" t="n"/>
      <c r="Q5382" s="12" t="n"/>
      <c r="R5382" s="12" t="n"/>
      <c r="S5382" s="12" t="inlineStr">
        <is>
          <t>Tray / conduit</t>
        </is>
      </c>
      <c r="T5382" s="16" t="n">
        <v>72</v>
      </c>
      <c r="U5382" s="16" t="n">
        <v>10</v>
      </c>
      <c r="V5382" s="16">
        <f>ROUNDUP((T5382+U5382+2*'Read Me'!$B$13)*(1+'Read Me'!$B$12),-1)</f>
        <v/>
      </c>
      <c r="W5382" s="16">
        <f>V5382*N5382*O5382</f>
        <v/>
      </c>
      <c r="X5382" s="12">
        <f>IF(LEFT(I5382,2)="MV",2*N5382*IF(L5382="1/C",O5382,1),0)</f>
        <v/>
      </c>
      <c r="Y5382" s="12">
        <f>IF(OR(LEFT(K5382,4)="LVAX",LEFT(K5382,6)="MV15AX",LEFT(K5382,4)="CTAX",LEFT(K5382,2)="W|"),2*N5382*O5382,0)</f>
        <v/>
      </c>
      <c r="Z5382" s="12" t="inlineStr">
        <is>
          <t>device-to-JB field wiring, one cable per device</t>
        </is>
      </c>
      <c r="AA5382" s="12">
        <f>N5382*O5382</f>
        <v/>
      </c>
    </row>
    <row r="5383">
      <c r="A5383" s="12" t="inlineStr">
        <is>
          <t>K-C-0089</t>
        </is>
      </c>
      <c r="B5383" s="12" t="inlineStr">
        <is>
          <t>K</t>
        </is>
      </c>
      <c r="C5383" s="12" t="inlineStr">
        <is>
          <t>Fuel supply (adjacent market)</t>
        </is>
      </c>
      <c r="D5383" s="12" t="inlineStr">
        <is>
          <t>Home run JB-LNG 10: truck unlo-SOL01 to the control / marshalling room</t>
        </is>
      </c>
      <c r="E5383" s="12" t="inlineStr"/>
      <c r="F5383" s="12" t="inlineStr">
        <is>
          <t>LNG 17: LNG e-house (13.8 kV / 480 V)</t>
        </is>
      </c>
      <c r="G5383" s="12" t="inlineStr">
        <is>
          <t>JB-LNG 10: truck unlo-SOL01</t>
        </is>
      </c>
      <c r="H5383" s="12" t="inlineStr">
        <is>
          <t>LNG 10: truck unloading bay 2</t>
        </is>
      </c>
      <c r="I5383" s="12" t="inlineStr">
        <is>
          <t>Control</t>
        </is>
      </c>
      <c r="J5383" s="12" t="inlineStr">
        <is>
          <t>ARMOR-X MC-HL 600 V control, Cu #14 AWG (Class I Div 2)</t>
        </is>
      </c>
      <c r="K5383" s="12" t="inlineStr">
        <is>
          <t>CTAX|25/C|14</t>
        </is>
      </c>
      <c r="L5383" s="12" t="inlineStr">
        <is>
          <t>25/C</t>
        </is>
      </c>
      <c r="M5383" s="12" t="inlineStr">
        <is>
          <t>14</t>
        </is>
      </c>
      <c r="N5383" s="12" t="n">
        <v>1</v>
      </c>
      <c r="O5383" s="12" t="n">
        <v>1</v>
      </c>
      <c r="P5383" s="12" t="n"/>
      <c r="Q5383" s="12" t="n"/>
      <c r="R5383" s="12" t="n"/>
      <c r="S5383" s="12" t="inlineStr">
        <is>
          <t>Duct bank</t>
        </is>
      </c>
      <c r="T5383" s="16" t="n">
        <v>147</v>
      </c>
      <c r="U5383" s="16" t="n">
        <v>66</v>
      </c>
      <c r="V5383" s="16">
        <f>ROUNDUP((T5383+U5383+2*'Read Me'!$B$13)*(1+'Read Me'!$B$12),-1)</f>
        <v/>
      </c>
      <c r="W5383" s="16">
        <f>V5383*N5383*O5383</f>
        <v/>
      </c>
      <c r="X5383" s="12">
        <f>IF(LEFT(I5383,2)="MV",2*N5383*IF(L5383="1/C",O5383,1),0)</f>
        <v/>
      </c>
      <c r="Y5383" s="12">
        <f>IF(OR(LEFT(K5383,4)="LVAX",LEFT(K5383,6)="MV15AX",LEFT(K5383,4)="CTAX",LEFT(K5383,2)="W|"),2*N5383*O5383,0)</f>
        <v/>
      </c>
      <c r="Z5383" s="12" t="inlineStr"/>
      <c r="AA5383" s="12">
        <f>N5383*O5383</f>
        <v/>
      </c>
    </row>
    <row r="5384">
      <c r="A5384" s="12" t="inlineStr">
        <is>
          <t>K-C-0090</t>
        </is>
      </c>
      <c r="B5384" s="12" t="inlineStr">
        <is>
          <t>K</t>
        </is>
      </c>
      <c r="C5384" s="12" t="inlineStr">
        <is>
          <t>Fuel supply (adjacent market)</t>
        </is>
      </c>
      <c r="D5384" s="12" t="inlineStr">
        <is>
          <t>Motor 1 of 1: control / local station</t>
        </is>
      </c>
      <c r="E5384" s="12" t="inlineStr"/>
      <c r="F5384" s="12" t="inlineStr">
        <is>
          <t>LNG 17: LNG e-house (13.8 kV / 480 V)</t>
        </is>
      </c>
      <c r="G5384" s="12" t="inlineStr"/>
      <c r="H5384" s="12" t="inlineStr">
        <is>
          <t>LNG 10: unloading skid</t>
        </is>
      </c>
      <c r="I5384" s="12" t="inlineStr">
        <is>
          <t>Control</t>
        </is>
      </c>
      <c r="J5384" s="12" t="inlineStr">
        <is>
          <t>ARMOR-X MC-HL 600 V control, Cu #14 AWG (Class I Div 2)</t>
        </is>
      </c>
      <c r="K5384" s="12" t="inlineStr">
        <is>
          <t>CTAX|7/C|14</t>
        </is>
      </c>
      <c r="L5384" s="12" t="inlineStr">
        <is>
          <t>7/C</t>
        </is>
      </c>
      <c r="M5384" s="12" t="inlineStr">
        <is>
          <t>14</t>
        </is>
      </c>
      <c r="N5384" s="12" t="n">
        <v>1</v>
      </c>
      <c r="O5384" s="12" t="n">
        <v>1</v>
      </c>
      <c r="P5384" s="12" t="n"/>
      <c r="Q5384" s="12" t="n"/>
      <c r="R5384" s="12" t="n"/>
      <c r="S5384" s="12" t="inlineStr">
        <is>
          <t>Duct bank</t>
        </is>
      </c>
      <c r="T5384" s="16" t="n">
        <v>237</v>
      </c>
      <c r="U5384" s="16" t="n">
        <v>32</v>
      </c>
      <c r="V5384" s="16">
        <f>ROUNDUP((T5384+U5384+2*'Read Me'!$B$13)*(1+'Read Me'!$B$12),-1)</f>
        <v/>
      </c>
      <c r="W5384" s="16">
        <f>V5384*N5384*O5384</f>
        <v/>
      </c>
      <c r="X5384" s="12">
        <f>IF(LEFT(I5384,2)="MV",2*N5384*IF(L5384="1/C",O5384,1),0)</f>
        <v/>
      </c>
      <c r="Y5384" s="12">
        <f>IF(OR(LEFT(K5384,4)="LVAX",LEFT(K5384,6)="MV15AX",LEFT(K5384,4)="CTAX",LEFT(K5384,2)="W|"),2*N5384*O5384,0)</f>
        <v/>
      </c>
      <c r="Z5384" s="12" t="inlineStr"/>
      <c r="AA5384" s="12">
        <f>N5384*O5384</f>
        <v/>
      </c>
    </row>
    <row r="5385">
      <c r="A5385" s="12" t="inlineStr">
        <is>
          <t>K-C-0091</t>
        </is>
      </c>
      <c r="B5385" s="12" t="inlineStr">
        <is>
          <t>K</t>
        </is>
      </c>
      <c r="C5385" s="12" t="inlineStr">
        <is>
          <t>Fuel supply (adjacent market)</t>
        </is>
      </c>
      <c r="D5385" s="12" t="inlineStr">
        <is>
          <t>Solenoid to JB JB-LNG 10: unloading -SOL01: 2 x 2/C (field cables)</t>
        </is>
      </c>
      <c r="E5385" s="12" t="inlineStr"/>
      <c r="F5385" s="12" t="inlineStr">
        <is>
          <t>LNG 10: unloading skid</t>
        </is>
      </c>
      <c r="G5385" s="12" t="inlineStr">
        <is>
          <t>JB-LNG 10: unloading -SOL01</t>
        </is>
      </c>
      <c r="H5385" s="12" t="inlineStr">
        <is>
          <t>LNG 10: unloading skid</t>
        </is>
      </c>
      <c r="I5385" s="12" t="inlineStr">
        <is>
          <t>Control</t>
        </is>
      </c>
      <c r="J5385" s="12" t="inlineStr">
        <is>
          <t>ARMOR-X MC-HL 600 V control, Cu #14 AWG (Class I Div 2)</t>
        </is>
      </c>
      <c r="K5385" s="12" t="inlineStr">
        <is>
          <t>CTAX|2/C|14</t>
        </is>
      </c>
      <c r="L5385" s="12" t="inlineStr">
        <is>
          <t>2/C</t>
        </is>
      </c>
      <c r="M5385" s="12" t="inlineStr">
        <is>
          <t>14</t>
        </is>
      </c>
      <c r="N5385" s="12" t="n">
        <v>2</v>
      </c>
      <c r="O5385" s="12" t="n">
        <v>1</v>
      </c>
      <c r="P5385" s="12" t="n"/>
      <c r="Q5385" s="12" t="n"/>
      <c r="R5385" s="12" t="n"/>
      <c r="S5385" s="12" t="inlineStr">
        <is>
          <t>Tray / conduit</t>
        </is>
      </c>
      <c r="T5385" s="16" t="n">
        <v>54</v>
      </c>
      <c r="U5385" s="16" t="n">
        <v>10</v>
      </c>
      <c r="V5385" s="16">
        <f>ROUNDUP((T5385+U5385+2*'Read Me'!$B$13)*(1+'Read Me'!$B$12),-1)</f>
        <v/>
      </c>
      <c r="W5385" s="16">
        <f>V5385*N5385*O5385</f>
        <v/>
      </c>
      <c r="X5385" s="12">
        <f>IF(LEFT(I5385,2)="MV",2*N5385*IF(L5385="1/C",O5385,1),0)</f>
        <v/>
      </c>
      <c r="Y5385" s="12">
        <f>IF(OR(LEFT(K5385,4)="LVAX",LEFT(K5385,6)="MV15AX",LEFT(K5385,4)="CTAX",LEFT(K5385,2)="W|"),2*N5385*O5385,0)</f>
        <v/>
      </c>
      <c r="Z5385" s="12" t="inlineStr">
        <is>
          <t>device-to-JB field wiring, one cable per device</t>
        </is>
      </c>
      <c r="AA5385" s="12">
        <f>N5385*O5385</f>
        <v/>
      </c>
    </row>
    <row r="5386">
      <c r="A5386" s="12" t="inlineStr">
        <is>
          <t>K-C-0092</t>
        </is>
      </c>
      <c r="B5386" s="12" t="inlineStr">
        <is>
          <t>K</t>
        </is>
      </c>
      <c r="C5386" s="12" t="inlineStr">
        <is>
          <t>Fuel supply (adjacent market)</t>
        </is>
      </c>
      <c r="D5386" s="12" t="inlineStr">
        <is>
          <t>Home run JB-LNG 10: unloading -SOL01 to the control / marshalling room</t>
        </is>
      </c>
      <c r="E5386" s="12" t="inlineStr"/>
      <c r="F5386" s="12" t="inlineStr">
        <is>
          <t>LNG 17: LNG e-house (13.8 kV / 480 V)</t>
        </is>
      </c>
      <c r="G5386" s="12" t="inlineStr">
        <is>
          <t>JB-LNG 10: unloading -SOL01</t>
        </is>
      </c>
      <c r="H5386" s="12" t="inlineStr">
        <is>
          <t>LNG 10: unloading skid</t>
        </is>
      </c>
      <c r="I5386" s="12" t="inlineStr">
        <is>
          <t>Control</t>
        </is>
      </c>
      <c r="J5386" s="12" t="inlineStr">
        <is>
          <t>ARMOR-X MC-HL 600 V control, Cu #14 AWG (Class I Div 2)</t>
        </is>
      </c>
      <c r="K5386" s="12" t="inlineStr">
        <is>
          <t>CTAX|25/C|14</t>
        </is>
      </c>
      <c r="L5386" s="12" t="inlineStr">
        <is>
          <t>25/C</t>
        </is>
      </c>
      <c r="M5386" s="12" t="inlineStr">
        <is>
          <t>14</t>
        </is>
      </c>
      <c r="N5386" s="12" t="n">
        <v>1</v>
      </c>
      <c r="O5386" s="12" t="n">
        <v>1</v>
      </c>
      <c r="P5386" s="12" t="n"/>
      <c r="Q5386" s="12" t="n"/>
      <c r="R5386" s="12" t="n"/>
      <c r="S5386" s="12" t="inlineStr">
        <is>
          <t>Duct bank</t>
        </is>
      </c>
      <c r="T5386" s="16" t="n">
        <v>237</v>
      </c>
      <c r="U5386" s="16" t="n">
        <v>32</v>
      </c>
      <c r="V5386" s="16">
        <f>ROUNDUP((T5386+U5386+2*'Read Me'!$B$13)*(1+'Read Me'!$B$12),-1)</f>
        <v/>
      </c>
      <c r="W5386" s="16">
        <f>V5386*N5386*O5386</f>
        <v/>
      </c>
      <c r="X5386" s="12">
        <f>IF(LEFT(I5386,2)="MV",2*N5386*IF(L5386="1/C",O5386,1),0)</f>
        <v/>
      </c>
      <c r="Y5386" s="12">
        <f>IF(OR(LEFT(K5386,4)="LVAX",LEFT(K5386,6)="MV15AX",LEFT(K5386,4)="CTAX",LEFT(K5386,2)="W|"),2*N5386*O5386,0)</f>
        <v/>
      </c>
      <c r="Z5386" s="12" t="inlineStr"/>
      <c r="AA5386" s="12">
        <f>N5386*O5386</f>
        <v/>
      </c>
    </row>
    <row r="5387">
      <c r="A5387" s="12" t="inlineStr">
        <is>
          <t>K-C-0093</t>
        </is>
      </c>
      <c r="B5387" s="12" t="inlineStr">
        <is>
          <t>K</t>
        </is>
      </c>
      <c r="C5387" s="12" t="inlineStr">
        <is>
          <t>Fuel supply (adjacent market)</t>
        </is>
      </c>
      <c r="D5387" s="12" t="inlineStr">
        <is>
          <t>Motor 1 of 1: control / local station</t>
        </is>
      </c>
      <c r="E5387" s="12" t="inlineStr"/>
      <c r="F5387" s="12" t="inlineStr">
        <is>
          <t>LNG 17: LNG e-house (13.8 kV / 480 V)</t>
        </is>
      </c>
      <c r="G5387" s="12" t="inlineStr"/>
      <c r="H5387" s="12" t="inlineStr">
        <is>
          <t>LNG 12: spill impoundment (NFPA 59A, to verify)</t>
        </is>
      </c>
      <c r="I5387" s="12" t="inlineStr">
        <is>
          <t>Control</t>
        </is>
      </c>
      <c r="J5387" s="12" t="inlineStr">
        <is>
          <t>ARMOR-X MC-HL 600 V control, Cu #14 AWG (Class I Div 2)</t>
        </is>
      </c>
      <c r="K5387" s="12" t="inlineStr">
        <is>
          <t>CTAX|7/C|14</t>
        </is>
      </c>
      <c r="L5387" s="12" t="inlineStr">
        <is>
          <t>7/C</t>
        </is>
      </c>
      <c r="M5387" s="12" t="inlineStr">
        <is>
          <t>14</t>
        </is>
      </c>
      <c r="N5387" s="12" t="n">
        <v>1</v>
      </c>
      <c r="O5387" s="12" t="n">
        <v>1</v>
      </c>
      <c r="P5387" s="12" t="n"/>
      <c r="Q5387" s="12" t="n"/>
      <c r="R5387" s="12" t="n"/>
      <c r="S5387" s="12" t="inlineStr">
        <is>
          <t>Duct bank</t>
        </is>
      </c>
      <c r="T5387" s="16" t="n">
        <v>230</v>
      </c>
      <c r="U5387" s="16" t="n">
        <v>32</v>
      </c>
      <c r="V5387" s="16">
        <f>ROUNDUP((T5387+U5387+2*'Read Me'!$B$13)*(1+'Read Me'!$B$12),-1)</f>
        <v/>
      </c>
      <c r="W5387" s="16">
        <f>V5387*N5387*O5387</f>
        <v/>
      </c>
      <c r="X5387" s="12">
        <f>IF(LEFT(I5387,2)="MV",2*N5387*IF(L5387="1/C",O5387,1),0)</f>
        <v/>
      </c>
      <c r="Y5387" s="12">
        <f>IF(OR(LEFT(K5387,4)="LVAX",LEFT(K5387,6)="MV15AX",LEFT(K5387,4)="CTAX",LEFT(K5387,2)="W|"),2*N5387*O5387,0)</f>
        <v/>
      </c>
      <c r="Z5387" s="12" t="inlineStr"/>
      <c r="AA5387" s="12">
        <f>N5387*O5387</f>
        <v/>
      </c>
    </row>
    <row r="5388">
      <c r="A5388" s="12" t="inlineStr">
        <is>
          <t>K-C-0094</t>
        </is>
      </c>
      <c r="B5388" s="12" t="inlineStr">
        <is>
          <t>K</t>
        </is>
      </c>
      <c r="C5388" s="12" t="inlineStr">
        <is>
          <t>Fuel supply (adjacent market)</t>
        </is>
      </c>
      <c r="D5388" s="12" t="inlineStr">
        <is>
          <t>Solenoid to JB JB-LNG 12: spill impo-SOL01: 2 x 2/C (field cables)</t>
        </is>
      </c>
      <c r="E5388" s="12" t="inlineStr"/>
      <c r="F5388" s="12" t="inlineStr">
        <is>
          <t>LNG 12: spill impoundment (NFPA 59A, to verify)</t>
        </is>
      </c>
      <c r="G5388" s="12" t="inlineStr">
        <is>
          <t>JB-LNG 12: spill impo-SOL01</t>
        </is>
      </c>
      <c r="H5388" s="12" t="inlineStr">
        <is>
          <t>LNG 12: spill impoundment (NFPA 59A, to verify)</t>
        </is>
      </c>
      <c r="I5388" s="12" t="inlineStr">
        <is>
          <t>Control</t>
        </is>
      </c>
      <c r="J5388" s="12" t="inlineStr">
        <is>
          <t>ARMOR-X MC-HL 600 V control, Cu #14 AWG (Class I Div 2)</t>
        </is>
      </c>
      <c r="K5388" s="12" t="inlineStr">
        <is>
          <t>CTAX|2/C|14</t>
        </is>
      </c>
      <c r="L5388" s="12" t="inlineStr">
        <is>
          <t>2/C</t>
        </is>
      </c>
      <c r="M5388" s="12" t="inlineStr">
        <is>
          <t>14</t>
        </is>
      </c>
      <c r="N5388" s="12" t="n">
        <v>2</v>
      </c>
      <c r="O5388" s="12" t="n">
        <v>1</v>
      </c>
      <c r="P5388" s="12" t="n"/>
      <c r="Q5388" s="12" t="n"/>
      <c r="R5388" s="12" t="n"/>
      <c r="S5388" s="12" t="inlineStr">
        <is>
          <t>Tray / conduit</t>
        </is>
      </c>
      <c r="T5388" s="16" t="n">
        <v>170</v>
      </c>
      <c r="U5388" s="16" t="n">
        <v>10</v>
      </c>
      <c r="V5388" s="16">
        <f>ROUNDUP((T5388+U5388+2*'Read Me'!$B$13)*(1+'Read Me'!$B$12),-1)</f>
        <v/>
      </c>
      <c r="W5388" s="16">
        <f>V5388*N5388*O5388</f>
        <v/>
      </c>
      <c r="X5388" s="12">
        <f>IF(LEFT(I5388,2)="MV",2*N5388*IF(L5388="1/C",O5388,1),0)</f>
        <v/>
      </c>
      <c r="Y5388" s="12">
        <f>IF(OR(LEFT(K5388,4)="LVAX",LEFT(K5388,6)="MV15AX",LEFT(K5388,4)="CTAX",LEFT(K5388,2)="W|"),2*N5388*O5388,0)</f>
        <v/>
      </c>
      <c r="Z5388" s="12" t="inlineStr">
        <is>
          <t>device-to-JB field wiring, one cable per device</t>
        </is>
      </c>
      <c r="AA5388" s="12">
        <f>N5388*O5388</f>
        <v/>
      </c>
    </row>
    <row r="5389">
      <c r="A5389" s="12" t="inlineStr">
        <is>
          <t>K-C-0095</t>
        </is>
      </c>
      <c r="B5389" s="12" t="inlineStr">
        <is>
          <t>K</t>
        </is>
      </c>
      <c r="C5389" s="12" t="inlineStr">
        <is>
          <t>Fuel supply (adjacent market)</t>
        </is>
      </c>
      <c r="D5389" s="12" t="inlineStr">
        <is>
          <t>Home run JB-LNG 12: spill impo-SOL01 to the control / marshalling room</t>
        </is>
      </c>
      <c r="E5389" s="12" t="inlineStr"/>
      <c r="F5389" s="12" t="inlineStr">
        <is>
          <t>LNG 17: LNG e-house (13.8 kV / 480 V)</t>
        </is>
      </c>
      <c r="G5389" s="12" t="inlineStr">
        <is>
          <t>JB-LNG 12: spill impo-SOL01</t>
        </is>
      </c>
      <c r="H5389" s="12" t="inlineStr">
        <is>
          <t>LNG 12: spill impoundment (NFPA 59A, to verify)</t>
        </is>
      </c>
      <c r="I5389" s="12" t="inlineStr">
        <is>
          <t>Control</t>
        </is>
      </c>
      <c r="J5389" s="12" t="inlineStr">
        <is>
          <t>ARMOR-X MC-HL 600 V control, Cu #14 AWG (Class I Div 2)</t>
        </is>
      </c>
      <c r="K5389" s="12" t="inlineStr">
        <is>
          <t>CTAX|25/C|14</t>
        </is>
      </c>
      <c r="L5389" s="12" t="inlineStr">
        <is>
          <t>25/C</t>
        </is>
      </c>
      <c r="M5389" s="12" t="inlineStr">
        <is>
          <t>14</t>
        </is>
      </c>
      <c r="N5389" s="12" t="n">
        <v>1</v>
      </c>
      <c r="O5389" s="12" t="n">
        <v>1</v>
      </c>
      <c r="P5389" s="12" t="n"/>
      <c r="Q5389" s="12" t="n"/>
      <c r="R5389" s="12" t="n"/>
      <c r="S5389" s="12" t="inlineStr">
        <is>
          <t>Duct bank</t>
        </is>
      </c>
      <c r="T5389" s="16" t="n">
        <v>230</v>
      </c>
      <c r="U5389" s="16" t="n">
        <v>32</v>
      </c>
      <c r="V5389" s="16">
        <f>ROUNDUP((T5389+U5389+2*'Read Me'!$B$13)*(1+'Read Me'!$B$12),-1)</f>
        <v/>
      </c>
      <c r="W5389" s="16">
        <f>V5389*N5389*O5389</f>
        <v/>
      </c>
      <c r="X5389" s="12">
        <f>IF(LEFT(I5389,2)="MV",2*N5389*IF(L5389="1/C",O5389,1),0)</f>
        <v/>
      </c>
      <c r="Y5389" s="12">
        <f>IF(OR(LEFT(K5389,4)="LVAX",LEFT(K5389,6)="MV15AX",LEFT(K5389,4)="CTAX",LEFT(K5389,2)="W|"),2*N5389*O5389,0)</f>
        <v/>
      </c>
      <c r="Z5389" s="12" t="inlineStr"/>
      <c r="AA5389" s="12">
        <f>N5389*O5389</f>
        <v/>
      </c>
    </row>
    <row r="5390">
      <c r="A5390" s="12" t="inlineStr">
        <is>
          <t>K-C-0096</t>
        </is>
      </c>
      <c r="B5390" s="12" t="inlineStr">
        <is>
          <t>K</t>
        </is>
      </c>
      <c r="C5390" s="12" t="inlineStr">
        <is>
          <t>Fuel supply (adjacent market)</t>
        </is>
      </c>
      <c r="D5390" s="12" t="inlineStr">
        <is>
          <t>Motor 1 of 1: control / local station</t>
        </is>
      </c>
      <c r="E5390" s="12" t="inlineStr"/>
      <c r="F5390" s="12" t="inlineStr">
        <is>
          <t>LNG 17: LNG e-house (13.8 kV / 480 V)</t>
        </is>
      </c>
      <c r="G5390" s="12" t="inlineStr"/>
      <c r="H5390" s="12" t="inlineStr">
        <is>
          <t>LNG 13: send-out pumps 2 x 100%</t>
        </is>
      </c>
      <c r="I5390" s="12" t="inlineStr">
        <is>
          <t>Control</t>
        </is>
      </c>
      <c r="J5390" s="12" t="inlineStr">
        <is>
          <t>ARMOR-X MC-HL 600 V control, Cu #14 AWG (Class I Div 2)</t>
        </is>
      </c>
      <c r="K5390" s="12" t="inlineStr">
        <is>
          <t>CTAX|7/C|14</t>
        </is>
      </c>
      <c r="L5390" s="12" t="inlineStr">
        <is>
          <t>7/C</t>
        </is>
      </c>
      <c r="M5390" s="12" t="inlineStr">
        <is>
          <t>14</t>
        </is>
      </c>
      <c r="N5390" s="12" t="n">
        <v>1</v>
      </c>
      <c r="O5390" s="12" t="n">
        <v>1</v>
      </c>
      <c r="P5390" s="12" t="n"/>
      <c r="Q5390" s="12" t="n"/>
      <c r="R5390" s="12" t="n"/>
      <c r="S5390" s="12" t="inlineStr">
        <is>
          <t>Duct bank</t>
        </is>
      </c>
      <c r="T5390" s="16" t="n">
        <v>110</v>
      </c>
      <c r="U5390" s="16" t="n">
        <v>32</v>
      </c>
      <c r="V5390" s="16">
        <f>ROUNDUP((T5390+U5390+2*'Read Me'!$B$13)*(1+'Read Me'!$B$12),-1)</f>
        <v/>
      </c>
      <c r="W5390" s="16">
        <f>V5390*N5390*O5390</f>
        <v/>
      </c>
      <c r="X5390" s="12">
        <f>IF(LEFT(I5390,2)="MV",2*N5390*IF(L5390="1/C",O5390,1),0)</f>
        <v/>
      </c>
      <c r="Y5390" s="12">
        <f>IF(OR(LEFT(K5390,4)="LVAX",LEFT(K5390,6)="MV15AX",LEFT(K5390,4)="CTAX",LEFT(K5390,2)="W|"),2*N5390*O5390,0)</f>
        <v/>
      </c>
      <c r="Z5390" s="12" t="inlineStr"/>
      <c r="AA5390" s="12">
        <f>N5390*O5390</f>
        <v/>
      </c>
    </row>
    <row r="5391">
      <c r="A5391" s="12" t="inlineStr">
        <is>
          <t>K-C-0097</t>
        </is>
      </c>
      <c r="B5391" s="12" t="inlineStr">
        <is>
          <t>K</t>
        </is>
      </c>
      <c r="C5391" s="12" t="inlineStr">
        <is>
          <t>Fuel supply (adjacent market)</t>
        </is>
      </c>
      <c r="D5391" s="12" t="inlineStr">
        <is>
          <t>Solenoid to JB JB-LNG 13: send-out p-SOL01: 2 x 2/C (field cables)</t>
        </is>
      </c>
      <c r="E5391" s="12" t="inlineStr"/>
      <c r="F5391" s="12" t="inlineStr">
        <is>
          <t>LNG 13: send-out pumps 2 x 100%</t>
        </is>
      </c>
      <c r="G5391" s="12" t="inlineStr">
        <is>
          <t>JB-LNG 13: send-out p-SOL01</t>
        </is>
      </c>
      <c r="H5391" s="12" t="inlineStr">
        <is>
          <t>LNG 13: send-out pumps 2 x 100%</t>
        </is>
      </c>
      <c r="I5391" s="12" t="inlineStr">
        <is>
          <t>Control</t>
        </is>
      </c>
      <c r="J5391" s="12" t="inlineStr">
        <is>
          <t>ARMOR-X MC-HL 600 V control, Cu #14 AWG (Class I Div 2)</t>
        </is>
      </c>
      <c r="K5391" s="12" t="inlineStr">
        <is>
          <t>CTAX|2/C|14</t>
        </is>
      </c>
      <c r="L5391" s="12" t="inlineStr">
        <is>
          <t>2/C</t>
        </is>
      </c>
      <c r="M5391" s="12" t="inlineStr">
        <is>
          <t>14</t>
        </is>
      </c>
      <c r="N5391" s="12" t="n">
        <v>2</v>
      </c>
      <c r="O5391" s="12" t="n">
        <v>1</v>
      </c>
      <c r="P5391" s="12" t="n"/>
      <c r="Q5391" s="12" t="n"/>
      <c r="R5391" s="12" t="n"/>
      <c r="S5391" s="12" t="inlineStr">
        <is>
          <t>Tray / conduit</t>
        </is>
      </c>
      <c r="T5391" s="16" t="n">
        <v>63</v>
      </c>
      <c r="U5391" s="16" t="n">
        <v>10</v>
      </c>
      <c r="V5391" s="16">
        <f>ROUNDUP((T5391+U5391+2*'Read Me'!$B$13)*(1+'Read Me'!$B$12),-1)</f>
        <v/>
      </c>
      <c r="W5391" s="16">
        <f>V5391*N5391*O5391</f>
        <v/>
      </c>
      <c r="X5391" s="12">
        <f>IF(LEFT(I5391,2)="MV",2*N5391*IF(L5391="1/C",O5391,1),0)</f>
        <v/>
      </c>
      <c r="Y5391" s="12">
        <f>IF(OR(LEFT(K5391,4)="LVAX",LEFT(K5391,6)="MV15AX",LEFT(K5391,4)="CTAX",LEFT(K5391,2)="W|"),2*N5391*O5391,0)</f>
        <v/>
      </c>
      <c r="Z5391" s="12" t="inlineStr">
        <is>
          <t>device-to-JB field wiring, one cable per device</t>
        </is>
      </c>
      <c r="AA5391" s="12">
        <f>N5391*O5391</f>
        <v/>
      </c>
    </row>
    <row r="5392">
      <c r="A5392" s="12" t="inlineStr">
        <is>
          <t>K-C-0098</t>
        </is>
      </c>
      <c r="B5392" s="12" t="inlineStr">
        <is>
          <t>K</t>
        </is>
      </c>
      <c r="C5392" s="12" t="inlineStr">
        <is>
          <t>Fuel supply (adjacent market)</t>
        </is>
      </c>
      <c r="D5392" s="12" t="inlineStr">
        <is>
          <t>Home run JB-LNG 13: send-out p-SOL01 to the control / marshalling room</t>
        </is>
      </c>
      <c r="E5392" s="12" t="inlineStr"/>
      <c r="F5392" s="12" t="inlineStr">
        <is>
          <t>LNG 17: LNG e-house (13.8 kV / 480 V)</t>
        </is>
      </c>
      <c r="G5392" s="12" t="inlineStr">
        <is>
          <t>JB-LNG 13: send-out p-SOL01</t>
        </is>
      </c>
      <c r="H5392" s="12" t="inlineStr">
        <is>
          <t>LNG 13: send-out pumps 2 x 100%</t>
        </is>
      </c>
      <c r="I5392" s="12" t="inlineStr">
        <is>
          <t>Control</t>
        </is>
      </c>
      <c r="J5392" s="12" t="inlineStr">
        <is>
          <t>ARMOR-X MC-HL 600 V control, Cu #14 AWG (Class I Div 2)</t>
        </is>
      </c>
      <c r="K5392" s="12" t="inlineStr">
        <is>
          <t>CTAX|25/C|14</t>
        </is>
      </c>
      <c r="L5392" s="12" t="inlineStr">
        <is>
          <t>25/C</t>
        </is>
      </c>
      <c r="M5392" s="12" t="inlineStr">
        <is>
          <t>14</t>
        </is>
      </c>
      <c r="N5392" s="12" t="n">
        <v>1</v>
      </c>
      <c r="O5392" s="12" t="n">
        <v>1</v>
      </c>
      <c r="P5392" s="12" t="n"/>
      <c r="Q5392" s="12" t="n"/>
      <c r="R5392" s="12" t="n"/>
      <c r="S5392" s="12" t="inlineStr">
        <is>
          <t>Duct bank</t>
        </is>
      </c>
      <c r="T5392" s="16" t="n">
        <v>110</v>
      </c>
      <c r="U5392" s="16" t="n">
        <v>32</v>
      </c>
      <c r="V5392" s="16">
        <f>ROUNDUP((T5392+U5392+2*'Read Me'!$B$13)*(1+'Read Me'!$B$12),-1)</f>
        <v/>
      </c>
      <c r="W5392" s="16">
        <f>V5392*N5392*O5392</f>
        <v/>
      </c>
      <c r="X5392" s="12">
        <f>IF(LEFT(I5392,2)="MV",2*N5392*IF(L5392="1/C",O5392,1),0)</f>
        <v/>
      </c>
      <c r="Y5392" s="12">
        <f>IF(OR(LEFT(K5392,4)="LVAX",LEFT(K5392,6)="MV15AX",LEFT(K5392,4)="CTAX",LEFT(K5392,2)="W|"),2*N5392*O5392,0)</f>
        <v/>
      </c>
      <c r="Z5392" s="12" t="inlineStr"/>
      <c r="AA5392" s="12">
        <f>N5392*O5392</f>
        <v/>
      </c>
    </row>
    <row r="5393">
      <c r="A5393" s="12" t="inlineStr">
        <is>
          <t>K-C-0099</t>
        </is>
      </c>
      <c r="B5393" s="12" t="inlineStr">
        <is>
          <t>K</t>
        </is>
      </c>
      <c r="C5393" s="12" t="inlineStr">
        <is>
          <t>Fuel supply (adjacent market)</t>
        </is>
      </c>
      <c r="D5393" s="12" t="inlineStr">
        <is>
          <t>Motor 1 of 1: control / local station</t>
        </is>
      </c>
      <c r="E5393" s="12" t="inlineStr"/>
      <c r="F5393" s="12" t="inlineStr">
        <is>
          <t>LNG 17: LNG e-house (13.8 kV / 480 V)</t>
        </is>
      </c>
      <c r="G5393" s="12" t="inlineStr"/>
      <c r="H5393" s="12" t="inlineStr">
        <is>
          <t>LNG 14: vaporizers + glycol heater</t>
        </is>
      </c>
      <c r="I5393" s="12" t="inlineStr">
        <is>
          <t>Control</t>
        </is>
      </c>
      <c r="J5393" s="12" t="inlineStr">
        <is>
          <t>ARMOR-X MC-HL 600 V control, Cu #14 AWG (Class I Div 2)</t>
        </is>
      </c>
      <c r="K5393" s="12" t="inlineStr">
        <is>
          <t>CTAX|7/C|14</t>
        </is>
      </c>
      <c r="L5393" s="12" t="inlineStr">
        <is>
          <t>7/C</t>
        </is>
      </c>
      <c r="M5393" s="12" t="inlineStr">
        <is>
          <t>14</t>
        </is>
      </c>
      <c r="N5393" s="12" t="n">
        <v>1</v>
      </c>
      <c r="O5393" s="12" t="n">
        <v>1</v>
      </c>
      <c r="P5393" s="12" t="n"/>
      <c r="Q5393" s="12" t="n"/>
      <c r="R5393" s="12" t="n"/>
      <c r="S5393" s="12" t="inlineStr">
        <is>
          <t>Duct bank</t>
        </is>
      </c>
      <c r="T5393" s="16" t="n">
        <v>259</v>
      </c>
      <c r="U5393" s="16" t="n">
        <v>32</v>
      </c>
      <c r="V5393" s="16">
        <f>ROUNDUP((T5393+U5393+2*'Read Me'!$B$13)*(1+'Read Me'!$B$12),-1)</f>
        <v/>
      </c>
      <c r="W5393" s="16">
        <f>V5393*N5393*O5393</f>
        <v/>
      </c>
      <c r="X5393" s="12">
        <f>IF(LEFT(I5393,2)="MV",2*N5393*IF(L5393="1/C",O5393,1),0)</f>
        <v/>
      </c>
      <c r="Y5393" s="12">
        <f>IF(OR(LEFT(K5393,4)="LVAX",LEFT(K5393,6)="MV15AX",LEFT(K5393,4)="CTAX",LEFT(K5393,2)="W|"),2*N5393*O5393,0)</f>
        <v/>
      </c>
      <c r="Z5393" s="12" t="inlineStr"/>
      <c r="AA5393" s="12">
        <f>N5393*O5393</f>
        <v/>
      </c>
    </row>
    <row r="5394">
      <c r="A5394" s="12" t="inlineStr">
        <is>
          <t>K-C-0100</t>
        </is>
      </c>
      <c r="B5394" s="12" t="inlineStr">
        <is>
          <t>K</t>
        </is>
      </c>
      <c r="C5394" s="12" t="inlineStr">
        <is>
          <t>Fuel supply (adjacent market)</t>
        </is>
      </c>
      <c r="D5394" s="12" t="inlineStr">
        <is>
          <t>Solenoid to JB JB-LNG 14: vaporizers-SOL01: 2 x 2/C (field cables)</t>
        </is>
      </c>
      <c r="E5394" s="12" t="inlineStr"/>
      <c r="F5394" s="12" t="inlineStr">
        <is>
          <t>LNG 14: vaporizers + glycol heater</t>
        </is>
      </c>
      <c r="G5394" s="12" t="inlineStr">
        <is>
          <t>JB-LNG 14: vaporizers-SOL01</t>
        </is>
      </c>
      <c r="H5394" s="12" t="inlineStr">
        <is>
          <t>LNG 14: vaporizers + glycol heater</t>
        </is>
      </c>
      <c r="I5394" s="12" t="inlineStr">
        <is>
          <t>Control</t>
        </is>
      </c>
      <c r="J5394" s="12" t="inlineStr">
        <is>
          <t>ARMOR-X MC-HL 600 V control, Cu #14 AWG (Class I Div 2)</t>
        </is>
      </c>
      <c r="K5394" s="12" t="inlineStr">
        <is>
          <t>CTAX|2/C|14</t>
        </is>
      </c>
      <c r="L5394" s="12" t="inlineStr">
        <is>
          <t>2/C</t>
        </is>
      </c>
      <c r="M5394" s="12" t="inlineStr">
        <is>
          <t>14</t>
        </is>
      </c>
      <c r="N5394" s="12" t="n">
        <v>2</v>
      </c>
      <c r="O5394" s="12" t="n">
        <v>1</v>
      </c>
      <c r="P5394" s="12" t="n"/>
      <c r="Q5394" s="12" t="n"/>
      <c r="R5394" s="12" t="n"/>
      <c r="S5394" s="12" t="inlineStr">
        <is>
          <t>Tray / conduit</t>
        </is>
      </c>
      <c r="T5394" s="16" t="n">
        <v>122</v>
      </c>
      <c r="U5394" s="16" t="n">
        <v>10</v>
      </c>
      <c r="V5394" s="16">
        <f>ROUNDUP((T5394+U5394+2*'Read Me'!$B$13)*(1+'Read Me'!$B$12),-1)</f>
        <v/>
      </c>
      <c r="W5394" s="16">
        <f>V5394*N5394*O5394</f>
        <v/>
      </c>
      <c r="X5394" s="12">
        <f>IF(LEFT(I5394,2)="MV",2*N5394*IF(L5394="1/C",O5394,1),0)</f>
        <v/>
      </c>
      <c r="Y5394" s="12">
        <f>IF(OR(LEFT(K5394,4)="LVAX",LEFT(K5394,6)="MV15AX",LEFT(K5394,4)="CTAX",LEFT(K5394,2)="W|"),2*N5394*O5394,0)</f>
        <v/>
      </c>
      <c r="Z5394" s="12" t="inlineStr">
        <is>
          <t>device-to-JB field wiring, one cable per device</t>
        </is>
      </c>
      <c r="AA5394" s="12">
        <f>N5394*O5394</f>
        <v/>
      </c>
    </row>
    <row r="5395">
      <c r="A5395" s="12" t="inlineStr">
        <is>
          <t>K-C-0101</t>
        </is>
      </c>
      <c r="B5395" s="12" t="inlineStr">
        <is>
          <t>K</t>
        </is>
      </c>
      <c r="C5395" s="12" t="inlineStr">
        <is>
          <t>Fuel supply (adjacent market)</t>
        </is>
      </c>
      <c r="D5395" s="12" t="inlineStr">
        <is>
          <t>Home run JB-LNG 14: vaporizers-SOL01 to the control / marshalling room</t>
        </is>
      </c>
      <c r="E5395" s="12" t="inlineStr"/>
      <c r="F5395" s="12" t="inlineStr">
        <is>
          <t>LNG 17: LNG e-house (13.8 kV / 480 V)</t>
        </is>
      </c>
      <c r="G5395" s="12" t="inlineStr">
        <is>
          <t>JB-LNG 14: vaporizers-SOL01</t>
        </is>
      </c>
      <c r="H5395" s="12" t="inlineStr">
        <is>
          <t>LNG 14: vaporizers + glycol heater</t>
        </is>
      </c>
      <c r="I5395" s="12" t="inlineStr">
        <is>
          <t>Control</t>
        </is>
      </c>
      <c r="J5395" s="12" t="inlineStr">
        <is>
          <t>ARMOR-X MC-HL 600 V control, Cu #14 AWG (Class I Div 2)</t>
        </is>
      </c>
      <c r="K5395" s="12" t="inlineStr">
        <is>
          <t>CTAX|25/C|14</t>
        </is>
      </c>
      <c r="L5395" s="12" t="inlineStr">
        <is>
          <t>25/C</t>
        </is>
      </c>
      <c r="M5395" s="12" t="inlineStr">
        <is>
          <t>14</t>
        </is>
      </c>
      <c r="N5395" s="12" t="n">
        <v>1</v>
      </c>
      <c r="O5395" s="12" t="n">
        <v>1</v>
      </c>
      <c r="P5395" s="12" t="n"/>
      <c r="Q5395" s="12" t="n"/>
      <c r="R5395" s="12" t="n"/>
      <c r="S5395" s="12" t="inlineStr">
        <is>
          <t>Duct bank</t>
        </is>
      </c>
      <c r="T5395" s="16" t="n">
        <v>259</v>
      </c>
      <c r="U5395" s="16" t="n">
        <v>32</v>
      </c>
      <c r="V5395" s="16">
        <f>ROUNDUP((T5395+U5395+2*'Read Me'!$B$13)*(1+'Read Me'!$B$12),-1)</f>
        <v/>
      </c>
      <c r="W5395" s="16">
        <f>V5395*N5395*O5395</f>
        <v/>
      </c>
      <c r="X5395" s="12">
        <f>IF(LEFT(I5395,2)="MV",2*N5395*IF(L5395="1/C",O5395,1),0)</f>
        <v/>
      </c>
      <c r="Y5395" s="12">
        <f>IF(OR(LEFT(K5395,4)="LVAX",LEFT(K5395,6)="MV15AX",LEFT(K5395,4)="CTAX",LEFT(K5395,2)="W|"),2*N5395*O5395,0)</f>
        <v/>
      </c>
      <c r="Z5395" s="12" t="inlineStr"/>
      <c r="AA5395" s="12">
        <f>N5395*O5395</f>
        <v/>
      </c>
    </row>
    <row r="5396">
      <c r="A5396" s="12" t="inlineStr">
        <is>
          <t>K-C-0102</t>
        </is>
      </c>
      <c r="B5396" s="12" t="inlineStr">
        <is>
          <t>K</t>
        </is>
      </c>
      <c r="C5396" s="12" t="inlineStr">
        <is>
          <t>Fuel supply (adjacent market)</t>
        </is>
      </c>
      <c r="D5396" s="12" t="inlineStr">
        <is>
          <t>Motor 1 of 1: control / local station</t>
        </is>
      </c>
      <c r="E5396" s="12" t="inlineStr"/>
      <c r="F5396" s="12" t="inlineStr">
        <is>
          <t>LNG 17: LNG e-house (13.8 kV / 480 V)</t>
        </is>
      </c>
      <c r="G5396" s="12" t="inlineStr"/>
      <c r="H5396" s="12" t="inlineStr">
        <is>
          <t>LNG 15: boil-off gas compressor</t>
        </is>
      </c>
      <c r="I5396" s="12" t="inlineStr">
        <is>
          <t>Control</t>
        </is>
      </c>
      <c r="J5396" s="12" t="inlineStr">
        <is>
          <t>ARMOR-X MC-HL 600 V control, Cu #14 AWG (Class I Div 2)</t>
        </is>
      </c>
      <c r="K5396" s="12" t="inlineStr">
        <is>
          <t>CTAX|7/C|14</t>
        </is>
      </c>
      <c r="L5396" s="12" t="inlineStr">
        <is>
          <t>7/C</t>
        </is>
      </c>
      <c r="M5396" s="12" t="inlineStr">
        <is>
          <t>14</t>
        </is>
      </c>
      <c r="N5396" s="12" t="n">
        <v>1</v>
      </c>
      <c r="O5396" s="12" t="n">
        <v>1</v>
      </c>
      <c r="P5396" s="12" t="n"/>
      <c r="Q5396" s="12" t="n"/>
      <c r="R5396" s="12" t="n"/>
      <c r="S5396" s="12" t="inlineStr">
        <is>
          <t>Duct bank</t>
        </is>
      </c>
      <c r="T5396" s="16" t="n">
        <v>25</v>
      </c>
      <c r="U5396" s="16" t="n">
        <v>54</v>
      </c>
      <c r="V5396" s="16">
        <f>ROUNDUP((T5396+U5396+2*'Read Me'!$B$13)*(1+'Read Me'!$B$12),-1)</f>
        <v/>
      </c>
      <c r="W5396" s="16">
        <f>V5396*N5396*O5396</f>
        <v/>
      </c>
      <c r="X5396" s="12">
        <f>IF(LEFT(I5396,2)="MV",2*N5396*IF(L5396="1/C",O5396,1),0)</f>
        <v/>
      </c>
      <c r="Y5396" s="12">
        <f>IF(OR(LEFT(K5396,4)="LVAX",LEFT(K5396,6)="MV15AX",LEFT(K5396,4)="CTAX",LEFT(K5396,2)="W|"),2*N5396*O5396,0)</f>
        <v/>
      </c>
      <c r="Z5396" s="12" t="inlineStr"/>
      <c r="AA5396" s="12">
        <f>N5396*O5396</f>
        <v/>
      </c>
    </row>
    <row r="5397">
      <c r="A5397" s="12" t="inlineStr">
        <is>
          <t>K-C-0103</t>
        </is>
      </c>
      <c r="B5397" s="12" t="inlineStr">
        <is>
          <t>K</t>
        </is>
      </c>
      <c r="C5397" s="12" t="inlineStr">
        <is>
          <t>Fuel supply (adjacent market)</t>
        </is>
      </c>
      <c r="D5397" s="12" t="inlineStr">
        <is>
          <t>Solenoid to JB JB-LNG 15: boil-off g-SOL01: 2 x 2/C (field cables)</t>
        </is>
      </c>
      <c r="E5397" s="12" t="inlineStr"/>
      <c r="F5397" s="12" t="inlineStr">
        <is>
          <t>LNG 15: boil-off gas compressor</t>
        </is>
      </c>
      <c r="G5397" s="12" t="inlineStr">
        <is>
          <t>JB-LNG 15: boil-off g-SOL01</t>
        </is>
      </c>
      <c r="H5397" s="12" t="inlineStr">
        <is>
          <t>LNG 15: boil-off gas compressor</t>
        </is>
      </c>
      <c r="I5397" s="12" t="inlineStr">
        <is>
          <t>Control</t>
        </is>
      </c>
      <c r="J5397" s="12" t="inlineStr">
        <is>
          <t>ARMOR-X MC-HL 600 V control, Cu #14 AWG (Class I Div 2)</t>
        </is>
      </c>
      <c r="K5397" s="12" t="inlineStr">
        <is>
          <t>CTAX|2/C|14</t>
        </is>
      </c>
      <c r="L5397" s="12" t="inlineStr">
        <is>
          <t>2/C</t>
        </is>
      </c>
      <c r="M5397" s="12" t="inlineStr">
        <is>
          <t>14</t>
        </is>
      </c>
      <c r="N5397" s="12" t="n">
        <v>2</v>
      </c>
      <c r="O5397" s="12" t="n">
        <v>1</v>
      </c>
      <c r="P5397" s="12" t="n"/>
      <c r="Q5397" s="12" t="n"/>
      <c r="R5397" s="12" t="n"/>
      <c r="S5397" s="12" t="inlineStr">
        <is>
          <t>Tray / conduit</t>
        </is>
      </c>
      <c r="T5397" s="16" t="n">
        <v>67</v>
      </c>
      <c r="U5397" s="16" t="n">
        <v>10</v>
      </c>
      <c r="V5397" s="16">
        <f>ROUNDUP((T5397+U5397+2*'Read Me'!$B$13)*(1+'Read Me'!$B$12),-1)</f>
        <v/>
      </c>
      <c r="W5397" s="16">
        <f>V5397*N5397*O5397</f>
        <v/>
      </c>
      <c r="X5397" s="12">
        <f>IF(LEFT(I5397,2)="MV",2*N5397*IF(L5397="1/C",O5397,1),0)</f>
        <v/>
      </c>
      <c r="Y5397" s="12">
        <f>IF(OR(LEFT(K5397,4)="LVAX",LEFT(K5397,6)="MV15AX",LEFT(K5397,4)="CTAX",LEFT(K5397,2)="W|"),2*N5397*O5397,0)</f>
        <v/>
      </c>
      <c r="Z5397" s="12" t="inlineStr">
        <is>
          <t>device-to-JB field wiring, one cable per device</t>
        </is>
      </c>
      <c r="AA5397" s="12">
        <f>N5397*O5397</f>
        <v/>
      </c>
    </row>
    <row r="5398">
      <c r="A5398" s="12" t="inlineStr">
        <is>
          <t>K-C-0104</t>
        </is>
      </c>
      <c r="B5398" s="12" t="inlineStr">
        <is>
          <t>K</t>
        </is>
      </c>
      <c r="C5398" s="12" t="inlineStr">
        <is>
          <t>Fuel supply (adjacent market)</t>
        </is>
      </c>
      <c r="D5398" s="12" t="inlineStr">
        <is>
          <t>Home run JB-LNG 15: boil-off g-SOL01 to the control / marshalling room</t>
        </is>
      </c>
      <c r="E5398" s="12" t="inlineStr"/>
      <c r="F5398" s="12" t="inlineStr">
        <is>
          <t>LNG 17: LNG e-house (13.8 kV / 480 V)</t>
        </is>
      </c>
      <c r="G5398" s="12" t="inlineStr">
        <is>
          <t>JB-LNG 15: boil-off g-SOL01</t>
        </is>
      </c>
      <c r="H5398" s="12" t="inlineStr">
        <is>
          <t>LNG 15: boil-off gas compressor</t>
        </is>
      </c>
      <c r="I5398" s="12" t="inlineStr">
        <is>
          <t>Control</t>
        </is>
      </c>
      <c r="J5398" s="12" t="inlineStr">
        <is>
          <t>ARMOR-X MC-HL 600 V control, Cu #14 AWG (Class I Div 2)</t>
        </is>
      </c>
      <c r="K5398" s="12" t="inlineStr">
        <is>
          <t>CTAX|25/C|14</t>
        </is>
      </c>
      <c r="L5398" s="12" t="inlineStr">
        <is>
          <t>25/C</t>
        </is>
      </c>
      <c r="M5398" s="12" t="inlineStr">
        <is>
          <t>14</t>
        </is>
      </c>
      <c r="N5398" s="12" t="n">
        <v>1</v>
      </c>
      <c r="O5398" s="12" t="n">
        <v>1</v>
      </c>
      <c r="P5398" s="12" t="n"/>
      <c r="Q5398" s="12" t="n"/>
      <c r="R5398" s="12" t="n"/>
      <c r="S5398" s="12" t="inlineStr">
        <is>
          <t>Duct bank</t>
        </is>
      </c>
      <c r="T5398" s="16" t="n">
        <v>25</v>
      </c>
      <c r="U5398" s="16" t="n">
        <v>54</v>
      </c>
      <c r="V5398" s="16">
        <f>ROUNDUP((T5398+U5398+2*'Read Me'!$B$13)*(1+'Read Me'!$B$12),-1)</f>
        <v/>
      </c>
      <c r="W5398" s="16">
        <f>V5398*N5398*O5398</f>
        <v/>
      </c>
      <c r="X5398" s="12">
        <f>IF(LEFT(I5398,2)="MV",2*N5398*IF(L5398="1/C",O5398,1),0)</f>
        <v/>
      </c>
      <c r="Y5398" s="12">
        <f>IF(OR(LEFT(K5398,4)="LVAX",LEFT(K5398,6)="MV15AX",LEFT(K5398,4)="CTAX",LEFT(K5398,2)="W|"),2*N5398*O5398,0)</f>
        <v/>
      </c>
      <c r="Z5398" s="12" t="inlineStr"/>
      <c r="AA5398" s="12">
        <f>N5398*O5398</f>
        <v/>
      </c>
    </row>
    <row r="5399">
      <c r="A5399" s="12" t="inlineStr">
        <is>
          <t>K-C-0105</t>
        </is>
      </c>
      <c r="B5399" s="12" t="inlineStr">
        <is>
          <t>K</t>
        </is>
      </c>
      <c r="C5399" s="12" t="inlineStr">
        <is>
          <t>Fuel supply (adjacent market)</t>
        </is>
      </c>
      <c r="D5399" s="12" t="inlineStr">
        <is>
          <t>Motor 1 of 1: control / local station</t>
        </is>
      </c>
      <c r="E5399" s="12" t="inlineStr"/>
      <c r="F5399" s="12" t="inlineStr">
        <is>
          <t>LNG 17: LNG e-house (13.8 kV / 480 V)</t>
        </is>
      </c>
      <c r="G5399" s="12" t="inlineStr"/>
      <c r="H5399" s="12" t="inlineStr">
        <is>
          <t>LNG 16: send-out metering + pressure control</t>
        </is>
      </c>
      <c r="I5399" s="12" t="inlineStr">
        <is>
          <t>Control</t>
        </is>
      </c>
      <c r="J5399" s="12" t="inlineStr">
        <is>
          <t>ARMOR-X MC-HL 600 V control, Cu #14 AWG (Class I Div 2)</t>
        </is>
      </c>
      <c r="K5399" s="12" t="inlineStr">
        <is>
          <t>CTAX|7/C|14</t>
        </is>
      </c>
      <c r="L5399" s="12" t="inlineStr">
        <is>
          <t>7/C</t>
        </is>
      </c>
      <c r="M5399" s="12" t="inlineStr">
        <is>
          <t>14</t>
        </is>
      </c>
      <c r="N5399" s="12" t="n">
        <v>1</v>
      </c>
      <c r="O5399" s="12" t="n">
        <v>1</v>
      </c>
      <c r="P5399" s="12" t="n"/>
      <c r="Q5399" s="12" t="n"/>
      <c r="R5399" s="12" t="n"/>
      <c r="S5399" s="12" t="inlineStr">
        <is>
          <t>Duct bank</t>
        </is>
      </c>
      <c r="T5399" s="16" t="n">
        <v>20</v>
      </c>
      <c r="U5399" s="16" t="n">
        <v>32</v>
      </c>
      <c r="V5399" s="16">
        <f>ROUNDUP((T5399+U5399+2*'Read Me'!$B$13)*(1+'Read Me'!$B$12),-1)</f>
        <v/>
      </c>
      <c r="W5399" s="16">
        <f>V5399*N5399*O5399</f>
        <v/>
      </c>
      <c r="X5399" s="12">
        <f>IF(LEFT(I5399,2)="MV",2*N5399*IF(L5399="1/C",O5399,1),0)</f>
        <v/>
      </c>
      <c r="Y5399" s="12">
        <f>IF(OR(LEFT(K5399,4)="LVAX",LEFT(K5399,6)="MV15AX",LEFT(K5399,4)="CTAX",LEFT(K5399,2)="W|"),2*N5399*O5399,0)</f>
        <v/>
      </c>
      <c r="Z5399" s="12" t="inlineStr"/>
      <c r="AA5399" s="12">
        <f>N5399*O5399</f>
        <v/>
      </c>
    </row>
    <row r="5400">
      <c r="A5400" s="12" t="inlineStr">
        <is>
          <t>K-C-0106</t>
        </is>
      </c>
      <c r="B5400" s="12" t="inlineStr">
        <is>
          <t>K</t>
        </is>
      </c>
      <c r="C5400" s="12" t="inlineStr">
        <is>
          <t>Fuel supply (adjacent market)</t>
        </is>
      </c>
      <c r="D5400" s="12" t="inlineStr">
        <is>
          <t>Solenoid to JB JB-LNG 16: send-out m-SOL01: 2 x 2/C (field cables)</t>
        </is>
      </c>
      <c r="E5400" s="12" t="inlineStr"/>
      <c r="F5400" s="12" t="inlineStr">
        <is>
          <t>LNG 16: send-out metering + pressure control</t>
        </is>
      </c>
      <c r="G5400" s="12" t="inlineStr">
        <is>
          <t>JB-LNG 16: send-out m-SOL01</t>
        </is>
      </c>
      <c r="H5400" s="12" t="inlineStr">
        <is>
          <t>LNG 16: send-out metering + pressure control</t>
        </is>
      </c>
      <c r="I5400" s="12" t="inlineStr">
        <is>
          <t>Control</t>
        </is>
      </c>
      <c r="J5400" s="12" t="inlineStr">
        <is>
          <t>ARMOR-X MC-HL 600 V control, Cu #14 AWG (Class I Div 2)</t>
        </is>
      </c>
      <c r="K5400" s="12" t="inlineStr">
        <is>
          <t>CTAX|2/C|14</t>
        </is>
      </c>
      <c r="L5400" s="12" t="inlineStr">
        <is>
          <t>2/C</t>
        </is>
      </c>
      <c r="M5400" s="12" t="inlineStr">
        <is>
          <t>14</t>
        </is>
      </c>
      <c r="N5400" s="12" t="n">
        <v>2</v>
      </c>
      <c r="O5400" s="12" t="n">
        <v>1</v>
      </c>
      <c r="P5400" s="12" t="n"/>
      <c r="Q5400" s="12" t="n"/>
      <c r="R5400" s="12" t="n"/>
      <c r="S5400" s="12" t="inlineStr">
        <is>
          <t>Tray / conduit</t>
        </is>
      </c>
      <c r="T5400" s="16" t="n">
        <v>74</v>
      </c>
      <c r="U5400" s="16" t="n">
        <v>10</v>
      </c>
      <c r="V5400" s="16">
        <f>ROUNDUP((T5400+U5400+2*'Read Me'!$B$13)*(1+'Read Me'!$B$12),-1)</f>
        <v/>
      </c>
      <c r="W5400" s="16">
        <f>V5400*N5400*O5400</f>
        <v/>
      </c>
      <c r="X5400" s="12">
        <f>IF(LEFT(I5400,2)="MV",2*N5400*IF(L5400="1/C",O5400,1),0)</f>
        <v/>
      </c>
      <c r="Y5400" s="12">
        <f>IF(OR(LEFT(K5400,4)="LVAX",LEFT(K5400,6)="MV15AX",LEFT(K5400,4)="CTAX",LEFT(K5400,2)="W|"),2*N5400*O5400,0)</f>
        <v/>
      </c>
      <c r="Z5400" s="12" t="inlineStr">
        <is>
          <t>device-to-JB field wiring, one cable per device</t>
        </is>
      </c>
      <c r="AA5400" s="12">
        <f>N5400*O5400</f>
        <v/>
      </c>
    </row>
    <row r="5401">
      <c r="A5401" s="12" t="inlineStr">
        <is>
          <t>K-C-0107</t>
        </is>
      </c>
      <c r="B5401" s="12" t="inlineStr">
        <is>
          <t>K</t>
        </is>
      </c>
      <c r="C5401" s="12" t="inlineStr">
        <is>
          <t>Fuel supply (adjacent market)</t>
        </is>
      </c>
      <c r="D5401" s="12" t="inlineStr">
        <is>
          <t>Home run JB-LNG 16: send-out m-SOL01 to the control / marshalling room</t>
        </is>
      </c>
      <c r="E5401" s="12" t="inlineStr"/>
      <c r="F5401" s="12" t="inlineStr">
        <is>
          <t>LNG 17: LNG e-house (13.8 kV / 480 V)</t>
        </is>
      </c>
      <c r="G5401" s="12" t="inlineStr">
        <is>
          <t>JB-LNG 16: send-out m-SOL01</t>
        </is>
      </c>
      <c r="H5401" s="12" t="inlineStr">
        <is>
          <t>LNG 16: send-out metering + pressure control</t>
        </is>
      </c>
      <c r="I5401" s="12" t="inlineStr">
        <is>
          <t>Control</t>
        </is>
      </c>
      <c r="J5401" s="12" t="inlineStr">
        <is>
          <t>ARMOR-X MC-HL 600 V control, Cu #14 AWG (Class I Div 2)</t>
        </is>
      </c>
      <c r="K5401" s="12" t="inlineStr">
        <is>
          <t>CTAX|25/C|14</t>
        </is>
      </c>
      <c r="L5401" s="12" t="inlineStr">
        <is>
          <t>25/C</t>
        </is>
      </c>
      <c r="M5401" s="12" t="inlineStr">
        <is>
          <t>14</t>
        </is>
      </c>
      <c r="N5401" s="12" t="n">
        <v>1</v>
      </c>
      <c r="O5401" s="12" t="n">
        <v>1</v>
      </c>
      <c r="P5401" s="12" t="n"/>
      <c r="Q5401" s="12" t="n"/>
      <c r="R5401" s="12" t="n"/>
      <c r="S5401" s="12" t="inlineStr">
        <is>
          <t>Duct bank</t>
        </is>
      </c>
      <c r="T5401" s="16" t="n">
        <v>20</v>
      </c>
      <c r="U5401" s="16" t="n">
        <v>32</v>
      </c>
      <c r="V5401" s="16">
        <f>ROUNDUP((T5401+U5401+2*'Read Me'!$B$13)*(1+'Read Me'!$B$12),-1)</f>
        <v/>
      </c>
      <c r="W5401" s="16">
        <f>V5401*N5401*O5401</f>
        <v/>
      </c>
      <c r="X5401" s="12">
        <f>IF(LEFT(I5401,2)="MV",2*N5401*IF(L5401="1/C",O5401,1),0)</f>
        <v/>
      </c>
      <c r="Y5401" s="12">
        <f>IF(OR(LEFT(K5401,4)="LVAX",LEFT(K5401,6)="MV15AX",LEFT(K5401,4)="CTAX",LEFT(K5401,2)="W|"),2*N5401*O5401,0)</f>
        <v/>
      </c>
      <c r="Z5401" s="12" t="inlineStr"/>
      <c r="AA5401" s="12">
        <f>N5401*O5401</f>
        <v/>
      </c>
    </row>
    <row r="5402">
      <c r="A5402" s="12" t="inlineStr">
        <is>
          <t>K-C-0108</t>
        </is>
      </c>
      <c r="B5402" s="12" t="inlineStr">
        <is>
          <t>K</t>
        </is>
      </c>
      <c r="C5402" s="12" t="inlineStr">
        <is>
          <t>Fuel supply (adjacent market)</t>
        </is>
      </c>
      <c r="D5402" s="12" t="inlineStr">
        <is>
          <t>Motor 1 of 1: control / local station</t>
        </is>
      </c>
      <c r="E5402" s="12" t="inlineStr"/>
      <c r="F5402" s="12" t="inlineStr">
        <is>
          <t>LNG 17: LNG e-house (13.8 kV / 480 V)</t>
        </is>
      </c>
      <c r="G5402" s="12" t="inlineStr"/>
      <c r="H5402" s="12" t="inlineStr">
        <is>
          <t>LNG 17: LNG e-house (13.8 kV / 480 V)</t>
        </is>
      </c>
      <c r="I5402" s="12" t="inlineStr">
        <is>
          <t>Control</t>
        </is>
      </c>
      <c r="J5402" s="12" t="inlineStr">
        <is>
          <t>ARMOR-X MC-HL 600 V control, Cu #14 AWG (Class I Div 2)</t>
        </is>
      </c>
      <c r="K5402" s="12" t="inlineStr">
        <is>
          <t>CTAX|7/C|14</t>
        </is>
      </c>
      <c r="L5402" s="12" t="inlineStr">
        <is>
          <t>7/C</t>
        </is>
      </c>
      <c r="M5402" s="12" t="inlineStr">
        <is>
          <t>14</t>
        </is>
      </c>
      <c r="N5402" s="12" t="n">
        <v>1</v>
      </c>
      <c r="O5402" s="12" t="n">
        <v>1</v>
      </c>
      <c r="P5402" s="12" t="n"/>
      <c r="Q5402" s="12" t="n"/>
      <c r="R5402" s="12" t="n"/>
      <c r="S5402" s="12" t="inlineStr">
        <is>
          <t>Tray</t>
        </is>
      </c>
      <c r="T5402" s="16" t="n">
        <v>0</v>
      </c>
      <c r="U5402" s="16" t="n">
        <v>32</v>
      </c>
      <c r="V5402" s="16">
        <f>ROUNDUP((T5402+U5402+2*'Read Me'!$B$13)*(1+'Read Me'!$B$12),-1)</f>
        <v/>
      </c>
      <c r="W5402" s="16">
        <f>V5402*N5402*O5402</f>
        <v/>
      </c>
      <c r="X5402" s="12">
        <f>IF(LEFT(I5402,2)="MV",2*N5402*IF(L5402="1/C",O5402,1),0)</f>
        <v/>
      </c>
      <c r="Y5402" s="12">
        <f>IF(OR(LEFT(K5402,4)="LVAX",LEFT(K5402,6)="MV15AX",LEFT(K5402,4)="CTAX",LEFT(K5402,2)="W|"),2*N5402*O5402,0)</f>
        <v/>
      </c>
      <c r="Z5402" s="12" t="inlineStr"/>
      <c r="AA5402" s="12">
        <f>N5402*O5402</f>
        <v/>
      </c>
    </row>
    <row r="5403">
      <c r="A5403" s="12" t="inlineStr">
        <is>
          <t>K-C-0109</t>
        </is>
      </c>
      <c r="B5403" s="12" t="inlineStr">
        <is>
          <t>K</t>
        </is>
      </c>
      <c r="C5403" s="12" t="inlineStr">
        <is>
          <t>Fuel supply (adjacent market)</t>
        </is>
      </c>
      <c r="D5403" s="12" t="inlineStr">
        <is>
          <t>Solenoid to JB JB-LNG 17: LNG e-hous-SOL01: 2 x 2/C (field cables)</t>
        </is>
      </c>
      <c r="E5403" s="12" t="inlineStr"/>
      <c r="F5403" s="12" t="inlineStr">
        <is>
          <t>LNG 17: LNG e-house (13.8 kV / 480 V)</t>
        </is>
      </c>
      <c r="G5403" s="12" t="inlineStr">
        <is>
          <t>JB-LNG 17: LNG e-hous-SOL01</t>
        </is>
      </c>
      <c r="H5403" s="12" t="inlineStr">
        <is>
          <t>LNG 17: LNG e-house (13.8 kV / 480 V)</t>
        </is>
      </c>
      <c r="I5403" s="12" t="inlineStr">
        <is>
          <t>Control</t>
        </is>
      </c>
      <c r="J5403" s="12" t="inlineStr">
        <is>
          <t>ARMOR-X MC-HL 600 V control, Cu #14 AWG (Class I Div 2)</t>
        </is>
      </c>
      <c r="K5403" s="12" t="inlineStr">
        <is>
          <t>CTAX|2/C|14</t>
        </is>
      </c>
      <c r="L5403" s="12" t="inlineStr">
        <is>
          <t>2/C</t>
        </is>
      </c>
      <c r="M5403" s="12" t="inlineStr">
        <is>
          <t>14</t>
        </is>
      </c>
      <c r="N5403" s="12" t="n">
        <v>2</v>
      </c>
      <c r="O5403" s="12" t="n">
        <v>1</v>
      </c>
      <c r="P5403" s="12" t="n"/>
      <c r="Q5403" s="12" t="n"/>
      <c r="R5403" s="12" t="n"/>
      <c r="S5403" s="12" t="inlineStr">
        <is>
          <t>Tray / conduit</t>
        </is>
      </c>
      <c r="T5403" s="16" t="n">
        <v>58</v>
      </c>
      <c r="U5403" s="16" t="n">
        <v>10</v>
      </c>
      <c r="V5403" s="16">
        <f>ROUNDUP((T5403+U5403+2*'Read Me'!$B$13)*(1+'Read Me'!$B$12),-1)</f>
        <v/>
      </c>
      <c r="W5403" s="16">
        <f>V5403*N5403*O5403</f>
        <v/>
      </c>
      <c r="X5403" s="12">
        <f>IF(LEFT(I5403,2)="MV",2*N5403*IF(L5403="1/C",O5403,1),0)</f>
        <v/>
      </c>
      <c r="Y5403" s="12">
        <f>IF(OR(LEFT(K5403,4)="LVAX",LEFT(K5403,6)="MV15AX",LEFT(K5403,4)="CTAX",LEFT(K5403,2)="W|"),2*N5403*O5403,0)</f>
        <v/>
      </c>
      <c r="Z5403" s="12" t="inlineStr">
        <is>
          <t>device-to-JB field wiring, one cable per device</t>
        </is>
      </c>
      <c r="AA5403" s="12">
        <f>N5403*O5403</f>
        <v/>
      </c>
    </row>
    <row r="5404">
      <c r="A5404" s="12" t="inlineStr">
        <is>
          <t>K-C-0110</t>
        </is>
      </c>
      <c r="B5404" s="12" t="inlineStr">
        <is>
          <t>K</t>
        </is>
      </c>
      <c r="C5404" s="12" t="inlineStr">
        <is>
          <t>Fuel supply (adjacent market)</t>
        </is>
      </c>
      <c r="D5404" s="12" t="inlineStr">
        <is>
          <t>Home run JB-LNG 17: LNG e-hous-SOL01 to the control / marshalling room</t>
        </is>
      </c>
      <c r="E5404" s="12" t="inlineStr"/>
      <c r="F5404" s="12" t="inlineStr">
        <is>
          <t>LNG 17: LNG e-house (13.8 kV / 480 V)</t>
        </is>
      </c>
      <c r="G5404" s="12" t="inlineStr">
        <is>
          <t>JB-LNG 17: LNG e-hous-SOL01</t>
        </is>
      </c>
      <c r="H5404" s="12" t="inlineStr">
        <is>
          <t>LNG 17: LNG e-house (13.8 kV / 480 V)</t>
        </is>
      </c>
      <c r="I5404" s="12" t="inlineStr">
        <is>
          <t>Control</t>
        </is>
      </c>
      <c r="J5404" s="12" t="inlineStr">
        <is>
          <t>ARMOR-X MC-HL 600 V control, Cu #14 AWG (Class I Div 2)</t>
        </is>
      </c>
      <c r="K5404" s="12" t="inlineStr">
        <is>
          <t>CTAX|25/C|14</t>
        </is>
      </c>
      <c r="L5404" s="12" t="inlineStr">
        <is>
          <t>25/C</t>
        </is>
      </c>
      <c r="M5404" s="12" t="inlineStr">
        <is>
          <t>14</t>
        </is>
      </c>
      <c r="N5404" s="12" t="n">
        <v>1</v>
      </c>
      <c r="O5404" s="12" t="n">
        <v>1</v>
      </c>
      <c r="P5404" s="12" t="n"/>
      <c r="Q5404" s="12" t="n"/>
      <c r="R5404" s="12" t="n"/>
      <c r="S5404" s="12" t="inlineStr">
        <is>
          <t>Tray</t>
        </is>
      </c>
      <c r="T5404" s="16" t="n">
        <v>0</v>
      </c>
      <c r="U5404" s="16" t="n">
        <v>32</v>
      </c>
      <c r="V5404" s="16">
        <f>ROUNDUP((T5404+U5404+2*'Read Me'!$B$13)*(1+'Read Me'!$B$12),-1)</f>
        <v/>
      </c>
      <c r="W5404" s="16">
        <f>V5404*N5404*O5404</f>
        <v/>
      </c>
      <c r="X5404" s="12">
        <f>IF(LEFT(I5404,2)="MV",2*N5404*IF(L5404="1/C",O5404,1),0)</f>
        <v/>
      </c>
      <c r="Y5404" s="12">
        <f>IF(OR(LEFT(K5404,4)="LVAX",LEFT(K5404,6)="MV15AX",LEFT(K5404,4)="CTAX",LEFT(K5404,2)="W|"),2*N5404*O5404,0)</f>
        <v/>
      </c>
      <c r="Z5404" s="12" t="inlineStr"/>
      <c r="AA5404" s="12">
        <f>N5404*O5404</f>
        <v/>
      </c>
    </row>
    <row r="5405">
      <c r="A5405" s="12" t="inlineStr">
        <is>
          <t>K-C-0111</t>
        </is>
      </c>
      <c r="B5405" s="12" t="inlineStr">
        <is>
          <t>K</t>
        </is>
      </c>
      <c r="C5405" s="12" t="inlineStr">
        <is>
          <t>Fuel supply (adjacent market)</t>
        </is>
      </c>
      <c r="D5405" s="12" t="inlineStr">
        <is>
          <t>Motor 1 of 1: control / local station</t>
        </is>
      </c>
      <c r="E5405" s="12" t="inlineStr"/>
      <c r="F5405" s="12" t="inlineStr">
        <is>
          <t>LNG 17: LNG e-house (13.8 kV / 480 V)</t>
        </is>
      </c>
      <c r="G5405" s="12" t="inlineStr"/>
      <c r="H5405" s="12" t="inlineStr">
        <is>
          <t>LNG 18: vent stack</t>
        </is>
      </c>
      <c r="I5405" s="12" t="inlineStr">
        <is>
          <t>Control</t>
        </is>
      </c>
      <c r="J5405" s="12" t="inlineStr">
        <is>
          <t>ARMOR-X MC-HL 600 V control, Cu #14 AWG (Class I Div 2)</t>
        </is>
      </c>
      <c r="K5405" s="12" t="inlineStr">
        <is>
          <t>CTAX|7/C|14</t>
        </is>
      </c>
      <c r="L5405" s="12" t="inlineStr">
        <is>
          <t>7/C</t>
        </is>
      </c>
      <c r="M5405" s="12" t="inlineStr">
        <is>
          <t>14</t>
        </is>
      </c>
      <c r="N5405" s="12" t="n">
        <v>1</v>
      </c>
      <c r="O5405" s="12" t="n">
        <v>1</v>
      </c>
      <c r="P5405" s="12" t="n"/>
      <c r="Q5405" s="12" t="n"/>
      <c r="R5405" s="12" t="n"/>
      <c r="S5405" s="12" t="inlineStr">
        <is>
          <t>Duct bank</t>
        </is>
      </c>
      <c r="T5405" s="16" t="n">
        <v>25</v>
      </c>
      <c r="U5405" s="16" t="n">
        <v>117</v>
      </c>
      <c r="V5405" s="16">
        <f>ROUNDUP((T5405+U5405+2*'Read Me'!$B$13)*(1+'Read Me'!$B$12),-1)</f>
        <v/>
      </c>
      <c r="W5405" s="16">
        <f>V5405*N5405*O5405</f>
        <v/>
      </c>
      <c r="X5405" s="12">
        <f>IF(LEFT(I5405,2)="MV",2*N5405*IF(L5405="1/C",O5405,1),0)</f>
        <v/>
      </c>
      <c r="Y5405" s="12">
        <f>IF(OR(LEFT(K5405,4)="LVAX",LEFT(K5405,6)="MV15AX",LEFT(K5405,4)="CTAX",LEFT(K5405,2)="W|"),2*N5405*O5405,0)</f>
        <v/>
      </c>
      <c r="Z5405" s="12" t="inlineStr"/>
      <c r="AA5405" s="12">
        <f>N5405*O5405</f>
        <v/>
      </c>
    </row>
    <row r="5406">
      <c r="A5406" s="12" t="inlineStr">
        <is>
          <t>K-C-0112</t>
        </is>
      </c>
      <c r="B5406" s="12" t="inlineStr">
        <is>
          <t>K</t>
        </is>
      </c>
      <c r="C5406" s="12" t="inlineStr">
        <is>
          <t>Fuel supply (adjacent market)</t>
        </is>
      </c>
      <c r="D5406" s="12" t="inlineStr">
        <is>
          <t>Solenoid to JB JB-LNG 18: vent stack-SOL01: 2 x 2/C (field cables)</t>
        </is>
      </c>
      <c r="E5406" s="12" t="inlineStr"/>
      <c r="F5406" s="12" t="inlineStr">
        <is>
          <t>LNG 18: vent stack</t>
        </is>
      </c>
      <c r="G5406" s="12" t="inlineStr">
        <is>
          <t>JB-LNG 18: vent stack-SOL01</t>
        </is>
      </c>
      <c r="H5406" s="12" t="inlineStr">
        <is>
          <t>LNG 18: vent stack</t>
        </is>
      </c>
      <c r="I5406" s="12" t="inlineStr">
        <is>
          <t>Control</t>
        </is>
      </c>
      <c r="J5406" s="12" t="inlineStr">
        <is>
          <t>ARMOR-X MC-HL 600 V control, Cu #14 AWG (Class I Div 2)</t>
        </is>
      </c>
      <c r="K5406" s="12" t="inlineStr">
        <is>
          <t>CTAX|2/C|14</t>
        </is>
      </c>
      <c r="L5406" s="12" t="inlineStr">
        <is>
          <t>2/C</t>
        </is>
      </c>
      <c r="M5406" s="12" t="inlineStr">
        <is>
          <t>14</t>
        </is>
      </c>
      <c r="N5406" s="12" t="n">
        <v>2</v>
      </c>
      <c r="O5406" s="12" t="n">
        <v>1</v>
      </c>
      <c r="P5406" s="12" t="n"/>
      <c r="Q5406" s="12" t="n"/>
      <c r="R5406" s="12" t="n"/>
      <c r="S5406" s="12" t="inlineStr">
        <is>
          <t>Tray / conduit</t>
        </is>
      </c>
      <c r="T5406" s="16" t="n">
        <v>55</v>
      </c>
      <c r="U5406" s="16" t="n">
        <v>10</v>
      </c>
      <c r="V5406" s="16">
        <f>ROUNDUP((T5406+U5406+2*'Read Me'!$B$13)*(1+'Read Me'!$B$12),-1)</f>
        <v/>
      </c>
      <c r="W5406" s="16">
        <f>V5406*N5406*O5406</f>
        <v/>
      </c>
      <c r="X5406" s="12">
        <f>IF(LEFT(I5406,2)="MV",2*N5406*IF(L5406="1/C",O5406,1),0)</f>
        <v/>
      </c>
      <c r="Y5406" s="12">
        <f>IF(OR(LEFT(K5406,4)="LVAX",LEFT(K5406,6)="MV15AX",LEFT(K5406,4)="CTAX",LEFT(K5406,2)="W|"),2*N5406*O5406,0)</f>
        <v/>
      </c>
      <c r="Z5406" s="12" t="inlineStr">
        <is>
          <t>device-to-JB field wiring, one cable per device</t>
        </is>
      </c>
      <c r="AA5406" s="12">
        <f>N5406*O5406</f>
        <v/>
      </c>
    </row>
    <row r="5407">
      <c r="A5407" s="12" t="inlineStr">
        <is>
          <t>K-C-0113</t>
        </is>
      </c>
      <c r="B5407" s="12" t="inlineStr">
        <is>
          <t>K</t>
        </is>
      </c>
      <c r="C5407" s="12" t="inlineStr">
        <is>
          <t>Fuel supply (adjacent market)</t>
        </is>
      </c>
      <c r="D5407" s="12" t="inlineStr">
        <is>
          <t>Home run JB-LNG 18: vent stack-SOL01 to the control / marshalling room</t>
        </is>
      </c>
      <c r="E5407" s="12" t="inlineStr"/>
      <c r="F5407" s="12" t="inlineStr">
        <is>
          <t>LNG 17: LNG e-house (13.8 kV / 480 V)</t>
        </is>
      </c>
      <c r="G5407" s="12" t="inlineStr">
        <is>
          <t>JB-LNG 18: vent stack-SOL01</t>
        </is>
      </c>
      <c r="H5407" s="12" t="inlineStr">
        <is>
          <t>LNG 18: vent stack</t>
        </is>
      </c>
      <c r="I5407" s="12" t="inlineStr">
        <is>
          <t>Control</t>
        </is>
      </c>
      <c r="J5407" s="12" t="inlineStr">
        <is>
          <t>ARMOR-X MC-HL 600 V control, Cu #14 AWG (Class I Div 2)</t>
        </is>
      </c>
      <c r="K5407" s="12" t="inlineStr">
        <is>
          <t>CTAX|25/C|14</t>
        </is>
      </c>
      <c r="L5407" s="12" t="inlineStr">
        <is>
          <t>25/C</t>
        </is>
      </c>
      <c r="M5407" s="12" t="inlineStr">
        <is>
          <t>14</t>
        </is>
      </c>
      <c r="N5407" s="12" t="n">
        <v>1</v>
      </c>
      <c r="O5407" s="12" t="n">
        <v>1</v>
      </c>
      <c r="P5407" s="12" t="n"/>
      <c r="Q5407" s="12" t="n"/>
      <c r="R5407" s="12" t="n"/>
      <c r="S5407" s="12" t="inlineStr">
        <is>
          <t>Duct bank</t>
        </is>
      </c>
      <c r="T5407" s="16" t="n">
        <v>25</v>
      </c>
      <c r="U5407" s="16" t="n">
        <v>117</v>
      </c>
      <c r="V5407" s="16">
        <f>ROUNDUP((T5407+U5407+2*'Read Me'!$B$13)*(1+'Read Me'!$B$12),-1)</f>
        <v/>
      </c>
      <c r="W5407" s="16">
        <f>V5407*N5407*O5407</f>
        <v/>
      </c>
      <c r="X5407" s="12">
        <f>IF(LEFT(I5407,2)="MV",2*N5407*IF(L5407="1/C",O5407,1),0)</f>
        <v/>
      </c>
      <c r="Y5407" s="12">
        <f>IF(OR(LEFT(K5407,4)="LVAX",LEFT(K5407,6)="MV15AX",LEFT(K5407,4)="CTAX",LEFT(K5407,2)="W|"),2*N5407*O5407,0)</f>
        <v/>
      </c>
      <c r="Z5407" s="12" t="inlineStr"/>
      <c r="AA5407" s="12">
        <f>N5407*O5407</f>
        <v/>
      </c>
    </row>
    <row r="5408">
      <c r="A5408" s="12" t="inlineStr">
        <is>
          <t>K-C-0114</t>
        </is>
      </c>
      <c r="B5408" s="12" t="inlineStr">
        <is>
          <t>K</t>
        </is>
      </c>
      <c r="C5408" s="12" t="inlineStr">
        <is>
          <t>Fuel supply (adjacent market)</t>
        </is>
      </c>
      <c r="D5408" s="12" t="inlineStr">
        <is>
          <t>Solenoid to JB JB-M&amp;R 2: insulating -SOL01: 4 x 2/C (field cables)</t>
        </is>
      </c>
      <c r="E5408" s="12" t="inlineStr"/>
      <c r="F5408" s="12" t="inlineStr">
        <is>
          <t>M&amp;R 2: insulating joint + ESD valve</t>
        </is>
      </c>
      <c r="G5408" s="12" t="inlineStr">
        <is>
          <t>JB-M&amp;R 2: insulating -SOL01</t>
        </is>
      </c>
      <c r="H5408" s="12" t="inlineStr">
        <is>
          <t>M&amp;R 2: insulating joint + ESD valve</t>
        </is>
      </c>
      <c r="I5408" s="12" t="inlineStr">
        <is>
          <t>Control</t>
        </is>
      </c>
      <c r="J5408" s="12" t="inlineStr">
        <is>
          <t>ARMOR-X MC-HL 600 V control, Cu #14 AWG (Class I Div 2)</t>
        </is>
      </c>
      <c r="K5408" s="12" t="inlineStr">
        <is>
          <t>CTAX|2/C|14</t>
        </is>
      </c>
      <c r="L5408" s="12" t="inlineStr">
        <is>
          <t>2/C</t>
        </is>
      </c>
      <c r="M5408" s="12" t="inlineStr">
        <is>
          <t>14</t>
        </is>
      </c>
      <c r="N5408" s="12" t="n">
        <v>4</v>
      </c>
      <c r="O5408" s="12" t="n">
        <v>1</v>
      </c>
      <c r="P5408" s="12" t="n"/>
      <c r="Q5408" s="12" t="n"/>
      <c r="R5408" s="12" t="n"/>
      <c r="S5408" s="12" t="inlineStr">
        <is>
          <t>Tray / conduit</t>
        </is>
      </c>
      <c r="T5408" s="16" t="n">
        <v>40</v>
      </c>
      <c r="U5408" s="16" t="n">
        <v>10</v>
      </c>
      <c r="V5408" s="16">
        <f>ROUNDUP((T5408+U5408+2*'Read Me'!$B$13)*(1+'Read Me'!$B$12),-1)</f>
        <v/>
      </c>
      <c r="W5408" s="16">
        <f>V5408*N5408*O5408</f>
        <v/>
      </c>
      <c r="X5408" s="12">
        <f>IF(LEFT(I5408,2)="MV",2*N5408*IF(L5408="1/C",O5408,1),0)</f>
        <v/>
      </c>
      <c r="Y5408" s="12">
        <f>IF(OR(LEFT(K5408,4)="LVAX",LEFT(K5408,6)="MV15AX",LEFT(K5408,4)="CTAX",LEFT(K5408,2)="W|"),2*N5408*O5408,0)</f>
        <v/>
      </c>
      <c r="Z5408" s="12" t="inlineStr">
        <is>
          <t>device-to-JB field wiring, one cable per device</t>
        </is>
      </c>
      <c r="AA5408" s="12">
        <f>N5408*O5408</f>
        <v/>
      </c>
    </row>
    <row r="5409">
      <c r="A5409" s="12" t="inlineStr">
        <is>
          <t>K-C-0115</t>
        </is>
      </c>
      <c r="B5409" s="12" t="inlineStr">
        <is>
          <t>K</t>
        </is>
      </c>
      <c r="C5409" s="12" t="inlineStr">
        <is>
          <t>Fuel supply (adjacent market)</t>
        </is>
      </c>
      <c r="D5409" s="12" t="inlineStr">
        <is>
          <t>Home run JB-M&amp;R 2: insulating -SOL01 to the control / marshalling room</t>
        </is>
      </c>
      <c r="E5409" s="12" t="inlineStr"/>
      <c r="F5409" s="12" t="inlineStr">
        <is>
          <t>LNG 17: LNG e-house (13.8 kV / 480 V)</t>
        </is>
      </c>
      <c r="G5409" s="12" t="inlineStr">
        <is>
          <t>JB-M&amp;R 2: insulating -SOL01</t>
        </is>
      </c>
      <c r="H5409" s="12" t="inlineStr">
        <is>
          <t>M&amp;R 2: insulating joint + ESD valve</t>
        </is>
      </c>
      <c r="I5409" s="12" t="inlineStr">
        <is>
          <t>Control</t>
        </is>
      </c>
      <c r="J5409" s="12" t="inlineStr">
        <is>
          <t>ARMOR-X MC-HL 600 V control, Cu #14 AWG (Class I Div 2)</t>
        </is>
      </c>
      <c r="K5409" s="12" t="inlineStr">
        <is>
          <t>CTAX|25/C|14</t>
        </is>
      </c>
      <c r="L5409" s="12" t="inlineStr">
        <is>
          <t>25/C</t>
        </is>
      </c>
      <c r="M5409" s="12" t="inlineStr">
        <is>
          <t>14</t>
        </is>
      </c>
      <c r="N5409" s="12" t="n">
        <v>1</v>
      </c>
      <c r="O5409" s="12" t="n">
        <v>1</v>
      </c>
      <c r="P5409" s="12" t="n"/>
      <c r="Q5409" s="12" t="n"/>
      <c r="R5409" s="12" t="n"/>
      <c r="S5409" s="12" t="inlineStr">
        <is>
          <t>Duct bank</t>
        </is>
      </c>
      <c r="T5409" s="16" t="n">
        <v>758</v>
      </c>
      <c r="U5409" s="16" t="n">
        <v>32</v>
      </c>
      <c r="V5409" s="16">
        <f>ROUNDUP((T5409+U5409+2*'Read Me'!$B$13)*(1+'Read Me'!$B$12),-1)</f>
        <v/>
      </c>
      <c r="W5409" s="16">
        <f>V5409*N5409*O5409</f>
        <v/>
      </c>
      <c r="X5409" s="12">
        <f>IF(LEFT(I5409,2)="MV",2*N5409*IF(L5409="1/C",O5409,1),0)</f>
        <v/>
      </c>
      <c r="Y5409" s="12">
        <f>IF(OR(LEFT(K5409,4)="LVAX",LEFT(K5409,6)="MV15AX",LEFT(K5409,4)="CTAX",LEFT(K5409,2)="W|"),2*N5409*O5409,0)</f>
        <v/>
      </c>
      <c r="Z5409" s="12" t="inlineStr"/>
      <c r="AA5409" s="12">
        <f>N5409*O5409</f>
        <v/>
      </c>
    </row>
    <row r="5410">
      <c r="A5410" s="12" t="inlineStr">
        <is>
          <t>K-C-0116</t>
        </is>
      </c>
      <c r="B5410" s="12" t="inlineStr">
        <is>
          <t>K</t>
        </is>
      </c>
      <c r="C5410" s="12" t="inlineStr">
        <is>
          <t>Fuel supply (adjacent market)</t>
        </is>
      </c>
      <c r="D5410" s="12" t="inlineStr">
        <is>
          <t>Solenoid to JB JB-M&amp;R 3: horizontal -SOL01: 4 x 2/C (field cables)</t>
        </is>
      </c>
      <c r="E5410" s="12" t="inlineStr"/>
      <c r="F5410" s="12" t="inlineStr">
        <is>
          <t>M&amp;R 3: horizontal filter-separator</t>
        </is>
      </c>
      <c r="G5410" s="12" t="inlineStr">
        <is>
          <t>JB-M&amp;R 3: horizontal -SOL01</t>
        </is>
      </c>
      <c r="H5410" s="12" t="inlineStr">
        <is>
          <t>M&amp;R 3: horizontal filter-separator</t>
        </is>
      </c>
      <c r="I5410" s="12" t="inlineStr">
        <is>
          <t>Control</t>
        </is>
      </c>
      <c r="J5410" s="12" t="inlineStr">
        <is>
          <t>ARMOR-X MC-HL 600 V control, Cu #14 AWG (Class I Div 2)</t>
        </is>
      </c>
      <c r="K5410" s="12" t="inlineStr">
        <is>
          <t>CTAX|2/C|14</t>
        </is>
      </c>
      <c r="L5410" s="12" t="inlineStr">
        <is>
          <t>2/C</t>
        </is>
      </c>
      <c r="M5410" s="12" t="inlineStr">
        <is>
          <t>14</t>
        </is>
      </c>
      <c r="N5410" s="12" t="n">
        <v>4</v>
      </c>
      <c r="O5410" s="12" t="n">
        <v>1</v>
      </c>
      <c r="P5410" s="12" t="n"/>
      <c r="Q5410" s="12" t="n"/>
      <c r="R5410" s="12" t="n"/>
      <c r="S5410" s="12" t="inlineStr">
        <is>
          <t>Tray / conduit</t>
        </is>
      </c>
      <c r="T5410" s="16" t="n">
        <v>53</v>
      </c>
      <c r="U5410" s="16" t="n">
        <v>10</v>
      </c>
      <c r="V5410" s="16">
        <f>ROUNDUP((T5410+U5410+2*'Read Me'!$B$13)*(1+'Read Me'!$B$12),-1)</f>
        <v/>
      </c>
      <c r="W5410" s="16">
        <f>V5410*N5410*O5410</f>
        <v/>
      </c>
      <c r="X5410" s="12">
        <f>IF(LEFT(I5410,2)="MV",2*N5410*IF(L5410="1/C",O5410,1),0)</f>
        <v/>
      </c>
      <c r="Y5410" s="12">
        <f>IF(OR(LEFT(K5410,4)="LVAX",LEFT(K5410,6)="MV15AX",LEFT(K5410,4)="CTAX",LEFT(K5410,2)="W|"),2*N5410*O5410,0)</f>
        <v/>
      </c>
      <c r="Z5410" s="12" t="inlineStr">
        <is>
          <t>device-to-JB field wiring, one cable per device</t>
        </is>
      </c>
      <c r="AA5410" s="12">
        <f>N5410*O5410</f>
        <v/>
      </c>
    </row>
    <row r="5411">
      <c r="A5411" s="12" t="inlineStr">
        <is>
          <t>K-C-0117</t>
        </is>
      </c>
      <c r="B5411" s="12" t="inlineStr">
        <is>
          <t>K</t>
        </is>
      </c>
      <c r="C5411" s="12" t="inlineStr">
        <is>
          <t>Fuel supply (adjacent market)</t>
        </is>
      </c>
      <c r="D5411" s="12" t="inlineStr">
        <is>
          <t>Home run JB-M&amp;R 3: horizontal -SOL01 to the control / marshalling room</t>
        </is>
      </c>
      <c r="E5411" s="12" t="inlineStr"/>
      <c r="F5411" s="12" t="inlineStr">
        <is>
          <t>LNG 17: LNG e-house (13.8 kV / 480 V)</t>
        </is>
      </c>
      <c r="G5411" s="12" t="inlineStr">
        <is>
          <t>JB-M&amp;R 3: horizontal -SOL01</t>
        </is>
      </c>
      <c r="H5411" s="12" t="inlineStr">
        <is>
          <t>M&amp;R 3: horizontal filter-separator</t>
        </is>
      </c>
      <c r="I5411" s="12" t="inlineStr">
        <is>
          <t>Control</t>
        </is>
      </c>
      <c r="J5411" s="12" t="inlineStr">
        <is>
          <t>ARMOR-X MC-HL 600 V control, Cu #14 AWG (Class I Div 2)</t>
        </is>
      </c>
      <c r="K5411" s="12" t="inlineStr">
        <is>
          <t>CTAX|25/C|14</t>
        </is>
      </c>
      <c r="L5411" s="12" t="inlineStr">
        <is>
          <t>25/C</t>
        </is>
      </c>
      <c r="M5411" s="12" t="inlineStr">
        <is>
          <t>14</t>
        </is>
      </c>
      <c r="N5411" s="12" t="n">
        <v>1</v>
      </c>
      <c r="O5411" s="12" t="n">
        <v>1</v>
      </c>
      <c r="P5411" s="12" t="n"/>
      <c r="Q5411" s="12" t="n"/>
      <c r="R5411" s="12" t="n"/>
      <c r="S5411" s="12" t="inlineStr">
        <is>
          <t>Duct bank</t>
        </is>
      </c>
      <c r="T5411" s="16" t="n">
        <v>797</v>
      </c>
      <c r="U5411" s="16" t="n">
        <v>32</v>
      </c>
      <c r="V5411" s="16">
        <f>ROUNDUP((T5411+U5411+2*'Read Me'!$B$13)*(1+'Read Me'!$B$12),-1)</f>
        <v/>
      </c>
      <c r="W5411" s="16">
        <f>V5411*N5411*O5411</f>
        <v/>
      </c>
      <c r="X5411" s="12">
        <f>IF(LEFT(I5411,2)="MV",2*N5411*IF(L5411="1/C",O5411,1),0)</f>
        <v/>
      </c>
      <c r="Y5411" s="12">
        <f>IF(OR(LEFT(K5411,4)="LVAX",LEFT(K5411,6)="MV15AX",LEFT(K5411,4)="CTAX",LEFT(K5411,2)="W|"),2*N5411*O5411,0)</f>
        <v/>
      </c>
      <c r="Z5411" s="12" t="inlineStr"/>
      <c r="AA5411" s="12">
        <f>N5411*O5411</f>
        <v/>
      </c>
    </row>
    <row r="5412">
      <c r="A5412" s="12" t="inlineStr">
        <is>
          <t>K-C-0118</t>
        </is>
      </c>
      <c r="B5412" s="12" t="inlineStr">
        <is>
          <t>K</t>
        </is>
      </c>
      <c r="C5412" s="12" t="inlineStr">
        <is>
          <t>Fuel supply (adjacent market)</t>
        </is>
      </c>
      <c r="D5412" s="12" t="inlineStr">
        <is>
          <t>Control</t>
        </is>
      </c>
      <c r="E5412" s="12" t="inlineStr"/>
      <c r="F5412" s="12" t="inlineStr">
        <is>
          <t>LNG 17: LNG e-house (13.8 kV / 480 V)</t>
        </is>
      </c>
      <c r="G5412" s="12" t="inlineStr"/>
      <c r="H5412" s="12" t="inlineStr">
        <is>
          <t>M&amp;R 4: line heater 1 (water bath)</t>
        </is>
      </c>
      <c r="I5412" s="12" t="inlineStr">
        <is>
          <t>Control</t>
        </is>
      </c>
      <c r="J5412" s="12" t="inlineStr">
        <is>
          <t>ARMOR-X MC-HL 600 V control, Cu #14 AWG (Class I Div 2)</t>
        </is>
      </c>
      <c r="K5412" s="12" t="inlineStr">
        <is>
          <t>CTAX|7/C|14</t>
        </is>
      </c>
      <c r="L5412" s="12" t="inlineStr">
        <is>
          <t>7/C</t>
        </is>
      </c>
      <c r="M5412" s="12" t="inlineStr">
        <is>
          <t>14</t>
        </is>
      </c>
      <c r="N5412" s="12" t="n">
        <v>1</v>
      </c>
      <c r="O5412" s="12" t="n">
        <v>1</v>
      </c>
      <c r="P5412" s="12" t="n"/>
      <c r="Q5412" s="12" t="n"/>
      <c r="R5412" s="12" t="n"/>
      <c r="S5412" s="12" t="inlineStr">
        <is>
          <t>Duct bank</t>
        </is>
      </c>
      <c r="T5412" s="16" t="n">
        <v>593</v>
      </c>
      <c r="U5412" s="16" t="n">
        <v>32</v>
      </c>
      <c r="V5412" s="16">
        <f>ROUNDUP((T5412+U5412+2*'Read Me'!$B$13)*(1+'Read Me'!$B$12),-1)</f>
        <v/>
      </c>
      <c r="W5412" s="16">
        <f>V5412*N5412*O5412</f>
        <v/>
      </c>
      <c r="X5412" s="12">
        <f>IF(LEFT(I5412,2)="MV",2*N5412*IF(L5412="1/C",O5412,1),0)</f>
        <v/>
      </c>
      <c r="Y5412" s="12">
        <f>IF(OR(LEFT(K5412,4)="LVAX",LEFT(K5412,6)="MV15AX",LEFT(K5412,4)="CTAX",LEFT(K5412,2)="W|"),2*N5412*O5412,0)</f>
        <v/>
      </c>
      <c r="Z5412" s="12" t="inlineStr"/>
      <c r="AA5412" s="12">
        <f>N5412*O5412</f>
        <v/>
      </c>
    </row>
    <row r="5413">
      <c r="A5413" s="12" t="inlineStr">
        <is>
          <t>K-C-0119</t>
        </is>
      </c>
      <c r="B5413" s="12" t="inlineStr">
        <is>
          <t>K</t>
        </is>
      </c>
      <c r="C5413" s="12" t="inlineStr">
        <is>
          <t>Fuel supply (adjacent market)</t>
        </is>
      </c>
      <c r="D5413" s="12" t="inlineStr">
        <is>
          <t>Control</t>
        </is>
      </c>
      <c r="E5413" s="12" t="inlineStr"/>
      <c r="F5413" s="12" t="inlineStr">
        <is>
          <t>LNG 17: LNG e-house (13.8 kV / 480 V)</t>
        </is>
      </c>
      <c r="G5413" s="12" t="inlineStr"/>
      <c r="H5413" s="12" t="inlineStr">
        <is>
          <t>M&amp;R 4: line heater 2 (water bath)</t>
        </is>
      </c>
      <c r="I5413" s="12" t="inlineStr">
        <is>
          <t>Control</t>
        </is>
      </c>
      <c r="J5413" s="12" t="inlineStr">
        <is>
          <t>ARMOR-X MC-HL 600 V control, Cu #14 AWG (Class I Div 2)</t>
        </is>
      </c>
      <c r="K5413" s="12" t="inlineStr">
        <is>
          <t>CTAX|7/C|14</t>
        </is>
      </c>
      <c r="L5413" s="12" t="inlineStr">
        <is>
          <t>7/C</t>
        </is>
      </c>
      <c r="M5413" s="12" t="inlineStr">
        <is>
          <t>14</t>
        </is>
      </c>
      <c r="N5413" s="12" t="n">
        <v>1</v>
      </c>
      <c r="O5413" s="12" t="n">
        <v>1</v>
      </c>
      <c r="P5413" s="12" t="n"/>
      <c r="Q5413" s="12" t="n"/>
      <c r="R5413" s="12" t="n"/>
      <c r="S5413" s="12" t="inlineStr">
        <is>
          <t>Duct bank</t>
        </is>
      </c>
      <c r="T5413" s="16" t="n">
        <v>593</v>
      </c>
      <c r="U5413" s="16" t="n">
        <v>50</v>
      </c>
      <c r="V5413" s="16">
        <f>ROUNDUP((T5413+U5413+2*'Read Me'!$B$13)*(1+'Read Me'!$B$12),-1)</f>
        <v/>
      </c>
      <c r="W5413" s="16">
        <f>V5413*N5413*O5413</f>
        <v/>
      </c>
      <c r="X5413" s="12">
        <f>IF(LEFT(I5413,2)="MV",2*N5413*IF(L5413="1/C",O5413,1),0)</f>
        <v/>
      </c>
      <c r="Y5413" s="12">
        <f>IF(OR(LEFT(K5413,4)="LVAX",LEFT(K5413,6)="MV15AX",LEFT(K5413,4)="CTAX",LEFT(K5413,2)="W|"),2*N5413*O5413,0)</f>
        <v/>
      </c>
      <c r="Z5413" s="12" t="inlineStr"/>
      <c r="AA5413" s="12">
        <f>N5413*O5413</f>
        <v/>
      </c>
    </row>
    <row r="5414">
      <c r="A5414" s="12" t="inlineStr">
        <is>
          <t>K-C-0120</t>
        </is>
      </c>
      <c r="B5414" s="12" t="inlineStr">
        <is>
          <t>K</t>
        </is>
      </c>
      <c r="C5414" s="12" t="inlineStr">
        <is>
          <t>Fuel supply (adjacent market)</t>
        </is>
      </c>
      <c r="D5414" s="12" t="inlineStr">
        <is>
          <t>Control</t>
        </is>
      </c>
      <c r="E5414" s="12" t="inlineStr"/>
      <c r="F5414" s="12" t="inlineStr">
        <is>
          <t>LNG 17: LNG e-house (13.8 kV / 480 V)</t>
        </is>
      </c>
      <c r="G5414" s="12" t="inlineStr"/>
      <c r="H5414" s="12" t="inlineStr">
        <is>
          <t>M&amp;R 4: line heater 3 (water bath)</t>
        </is>
      </c>
      <c r="I5414" s="12" t="inlineStr">
        <is>
          <t>Control</t>
        </is>
      </c>
      <c r="J5414" s="12" t="inlineStr">
        <is>
          <t>ARMOR-X MC-HL 600 V control, Cu #14 AWG (Class I Div 2)</t>
        </is>
      </c>
      <c r="K5414" s="12" t="inlineStr">
        <is>
          <t>CTAX|7/C|14</t>
        </is>
      </c>
      <c r="L5414" s="12" t="inlineStr">
        <is>
          <t>7/C</t>
        </is>
      </c>
      <c r="M5414" s="12" t="inlineStr">
        <is>
          <t>14</t>
        </is>
      </c>
      <c r="N5414" s="12" t="n">
        <v>1</v>
      </c>
      <c r="O5414" s="12" t="n">
        <v>1</v>
      </c>
      <c r="P5414" s="12" t="n"/>
      <c r="Q5414" s="12" t="n"/>
      <c r="R5414" s="12" t="n"/>
      <c r="S5414" s="12" t="inlineStr">
        <is>
          <t>Duct bank</t>
        </is>
      </c>
      <c r="T5414" s="16" t="n">
        <v>593</v>
      </c>
      <c r="U5414" s="16" t="n">
        <v>68</v>
      </c>
      <c r="V5414" s="16">
        <f>ROUNDUP((T5414+U5414+2*'Read Me'!$B$13)*(1+'Read Me'!$B$12),-1)</f>
        <v/>
      </c>
      <c r="W5414" s="16">
        <f>V5414*N5414*O5414</f>
        <v/>
      </c>
      <c r="X5414" s="12">
        <f>IF(LEFT(I5414,2)="MV",2*N5414*IF(L5414="1/C",O5414,1),0)</f>
        <v/>
      </c>
      <c r="Y5414" s="12">
        <f>IF(OR(LEFT(K5414,4)="LVAX",LEFT(K5414,6)="MV15AX",LEFT(K5414,4)="CTAX",LEFT(K5414,2)="W|"),2*N5414*O5414,0)</f>
        <v/>
      </c>
      <c r="Z5414" s="12" t="inlineStr"/>
      <c r="AA5414" s="12">
        <f>N5414*O5414</f>
        <v/>
      </c>
    </row>
    <row r="5415">
      <c r="A5415" s="12" t="inlineStr">
        <is>
          <t>K-C-0121</t>
        </is>
      </c>
      <c r="B5415" s="12" t="inlineStr">
        <is>
          <t>K</t>
        </is>
      </c>
      <c r="C5415" s="12" t="inlineStr">
        <is>
          <t>Fuel supply (adjacent market)</t>
        </is>
      </c>
      <c r="D5415" s="12" t="inlineStr">
        <is>
          <t>Solenoid to JB JB-M&amp;R 6: regulation -SOL01: 6 x 2/C (field cables)</t>
        </is>
      </c>
      <c r="E5415" s="12" t="inlineStr"/>
      <c r="F5415" s="12" t="inlineStr">
        <is>
          <t>M&amp;R 6: regulation / flow control building</t>
        </is>
      </c>
      <c r="G5415" s="12" t="inlineStr">
        <is>
          <t>JB-M&amp;R 6: regulation -SOL01</t>
        </is>
      </c>
      <c r="H5415" s="12" t="inlineStr">
        <is>
          <t>M&amp;R 6: regulation / flow control building</t>
        </is>
      </c>
      <c r="I5415" s="12" t="inlineStr">
        <is>
          <t>Control</t>
        </is>
      </c>
      <c r="J5415" s="12" t="inlineStr">
        <is>
          <t>ARMOR-X MC-HL 600 V control, Cu #14 AWG (Class I Div 2)</t>
        </is>
      </c>
      <c r="K5415" s="12" t="inlineStr">
        <is>
          <t>CTAX|2/C|14</t>
        </is>
      </c>
      <c r="L5415" s="12" t="inlineStr">
        <is>
          <t>2/C</t>
        </is>
      </c>
      <c r="M5415" s="12" t="inlineStr">
        <is>
          <t>14</t>
        </is>
      </c>
      <c r="N5415" s="12" t="n">
        <v>6</v>
      </c>
      <c r="O5415" s="12" t="n">
        <v>1</v>
      </c>
      <c r="P5415" s="12" t="n"/>
      <c r="Q5415" s="12" t="n"/>
      <c r="R5415" s="12" t="n"/>
      <c r="S5415" s="12" t="inlineStr">
        <is>
          <t>Tray / conduit</t>
        </is>
      </c>
      <c r="T5415" s="16" t="n">
        <v>61</v>
      </c>
      <c r="U5415" s="16" t="n">
        <v>10</v>
      </c>
      <c r="V5415" s="16">
        <f>ROUNDUP((T5415+U5415+2*'Read Me'!$B$13)*(1+'Read Me'!$B$12),-1)</f>
        <v/>
      </c>
      <c r="W5415" s="16">
        <f>V5415*N5415*O5415</f>
        <v/>
      </c>
      <c r="X5415" s="12">
        <f>IF(LEFT(I5415,2)="MV",2*N5415*IF(L5415="1/C",O5415,1),0)</f>
        <v/>
      </c>
      <c r="Y5415" s="12">
        <f>IF(OR(LEFT(K5415,4)="LVAX",LEFT(K5415,6)="MV15AX",LEFT(K5415,4)="CTAX",LEFT(K5415,2)="W|"),2*N5415*O5415,0)</f>
        <v/>
      </c>
      <c r="Z5415" s="12" t="inlineStr">
        <is>
          <t>device-to-JB field wiring, one cable per device</t>
        </is>
      </c>
      <c r="AA5415" s="12">
        <f>N5415*O5415</f>
        <v/>
      </c>
    </row>
    <row r="5416">
      <c r="A5416" s="12" t="inlineStr">
        <is>
          <t>K-C-0122</t>
        </is>
      </c>
      <c r="B5416" s="12" t="inlineStr">
        <is>
          <t>K</t>
        </is>
      </c>
      <c r="C5416" s="12" t="inlineStr">
        <is>
          <t>Fuel supply (adjacent market)</t>
        </is>
      </c>
      <c r="D5416" s="12" t="inlineStr">
        <is>
          <t>Home run JB-M&amp;R 6: regulation -SOL01 to the control / marshalling room</t>
        </is>
      </c>
      <c r="E5416" s="12" t="inlineStr"/>
      <c r="F5416" s="12" t="inlineStr">
        <is>
          <t>LNG 17: LNG e-house (13.8 kV / 480 V)</t>
        </is>
      </c>
      <c r="G5416" s="12" t="inlineStr">
        <is>
          <t>JB-M&amp;R 6: regulation -SOL01</t>
        </is>
      </c>
      <c r="H5416" s="12" t="inlineStr">
        <is>
          <t>M&amp;R 6: regulation / flow control building</t>
        </is>
      </c>
      <c r="I5416" s="12" t="inlineStr">
        <is>
          <t>Control</t>
        </is>
      </c>
      <c r="J5416" s="12" t="inlineStr">
        <is>
          <t>ARMOR-X MC-HL 600 V control, Cu #14 AWG (Class I Div 2)</t>
        </is>
      </c>
      <c r="K5416" s="12" t="inlineStr">
        <is>
          <t>CTAX|25/C|14</t>
        </is>
      </c>
      <c r="L5416" s="12" t="inlineStr">
        <is>
          <t>25/C</t>
        </is>
      </c>
      <c r="M5416" s="12" t="inlineStr">
        <is>
          <t>14</t>
        </is>
      </c>
      <c r="N5416" s="12" t="n">
        <v>1</v>
      </c>
      <c r="O5416" s="12" t="n">
        <v>1</v>
      </c>
      <c r="P5416" s="12" t="n"/>
      <c r="Q5416" s="12" t="n"/>
      <c r="R5416" s="12" t="n"/>
      <c r="S5416" s="12" t="inlineStr">
        <is>
          <t>Duct bank</t>
        </is>
      </c>
      <c r="T5416" s="16" t="n">
        <v>470</v>
      </c>
      <c r="U5416" s="16" t="n">
        <v>70</v>
      </c>
      <c r="V5416" s="16">
        <f>ROUNDUP((T5416+U5416+2*'Read Me'!$B$13)*(1+'Read Me'!$B$12),-1)</f>
        <v/>
      </c>
      <c r="W5416" s="16">
        <f>V5416*N5416*O5416</f>
        <v/>
      </c>
      <c r="X5416" s="12">
        <f>IF(LEFT(I5416,2)="MV",2*N5416*IF(L5416="1/C",O5416,1),0)</f>
        <v/>
      </c>
      <c r="Y5416" s="12">
        <f>IF(OR(LEFT(K5416,4)="LVAX",LEFT(K5416,6)="MV15AX",LEFT(K5416,4)="CTAX",LEFT(K5416,2)="W|"),2*N5416*O5416,0)</f>
        <v/>
      </c>
      <c r="Z5416" s="12" t="inlineStr"/>
      <c r="AA5416" s="12">
        <f>N5416*O5416</f>
        <v/>
      </c>
    </row>
    <row r="5417">
      <c r="A5417" s="12" t="inlineStr">
        <is>
          <t>K-C-0123</t>
        </is>
      </c>
      <c r="B5417" s="12" t="inlineStr">
        <is>
          <t>K</t>
        </is>
      </c>
      <c r="C5417" s="12" t="inlineStr">
        <is>
          <t>Fuel supply (adjacent market)</t>
        </is>
      </c>
      <c r="D5417" s="12" t="inlineStr">
        <is>
          <t>Control</t>
        </is>
      </c>
      <c r="E5417" s="12" t="inlineStr"/>
      <c r="F5417" s="12" t="inlineStr">
        <is>
          <t>LNG 17: LNG e-house (13.8 kV / 480 V)</t>
        </is>
      </c>
      <c r="G5417" s="12" t="inlineStr"/>
      <c r="H5417" s="12" t="inlineStr">
        <is>
          <t>M&amp;R 9: service panel + UPS, SCADA RTU, CP</t>
        </is>
      </c>
      <c r="I5417" s="12" t="inlineStr">
        <is>
          <t>Control</t>
        </is>
      </c>
      <c r="J5417" s="12" t="inlineStr">
        <is>
          <t>ARMOR-X MC-HL 600 V control, Cu #14 AWG (Class I Div 2)</t>
        </is>
      </c>
      <c r="K5417" s="12" t="inlineStr">
        <is>
          <t>CTAX|7/C|14</t>
        </is>
      </c>
      <c r="L5417" s="12" t="inlineStr">
        <is>
          <t>7/C</t>
        </is>
      </c>
      <c r="M5417" s="12" t="inlineStr">
        <is>
          <t>14</t>
        </is>
      </c>
      <c r="N5417" s="12" t="n">
        <v>1</v>
      </c>
      <c r="O5417" s="12" t="n">
        <v>1</v>
      </c>
      <c r="P5417" s="12" t="n"/>
      <c r="Q5417" s="12" t="n"/>
      <c r="R5417" s="12" t="n"/>
      <c r="S5417" s="12" t="inlineStr">
        <is>
          <t>Duct bank</t>
        </is>
      </c>
      <c r="T5417" s="16" t="n">
        <v>466</v>
      </c>
      <c r="U5417" s="16" t="n">
        <v>32</v>
      </c>
      <c r="V5417" s="16">
        <f>ROUNDUP((T5417+U5417+2*'Read Me'!$B$13)*(1+'Read Me'!$B$12),-1)</f>
        <v/>
      </c>
      <c r="W5417" s="16">
        <f>V5417*N5417*O5417</f>
        <v/>
      </c>
      <c r="X5417" s="12">
        <f>IF(LEFT(I5417,2)="MV",2*N5417*IF(L5417="1/C",O5417,1),0)</f>
        <v/>
      </c>
      <c r="Y5417" s="12">
        <f>IF(OR(LEFT(K5417,4)="LVAX",LEFT(K5417,6)="MV15AX",LEFT(K5417,4)="CTAX",LEFT(K5417,2)="W|"),2*N5417*O5417,0)</f>
        <v/>
      </c>
      <c r="Z5417" s="12" t="inlineStr"/>
      <c r="AA5417" s="12">
        <f>N5417*O5417</f>
        <v/>
      </c>
    </row>
    <row r="5418">
      <c r="A5418" s="12" t="inlineStr">
        <is>
          <t>K-C-0124</t>
        </is>
      </c>
      <c r="B5418" s="12" t="inlineStr">
        <is>
          <t>K</t>
        </is>
      </c>
      <c r="C5418" s="12" t="inlineStr">
        <is>
          <t>Fuel supply (adjacent market)</t>
        </is>
      </c>
      <c r="D5418" s="12" t="inlineStr">
        <is>
          <t>Control</t>
        </is>
      </c>
      <c r="E5418" s="12" t="inlineStr"/>
      <c r="F5418" s="12" t="inlineStr">
        <is>
          <t>LNG 17: LNG e-house (13.8 kV / 480 V)</t>
        </is>
      </c>
      <c r="G5418" s="12" t="inlineStr"/>
      <c r="H5418" s="12" t="inlineStr">
        <is>
          <t>M&amp;R CP test station (as drawn)</t>
        </is>
      </c>
      <c r="I5418" s="12" t="inlineStr">
        <is>
          <t>Control</t>
        </is>
      </c>
      <c r="J5418" s="12" t="inlineStr">
        <is>
          <t>ARMOR-X MC-HL 600 V control, Cu #14 AWG (Class I Div 2)</t>
        </is>
      </c>
      <c r="K5418" s="12" t="inlineStr">
        <is>
          <t>CTAX|7/C|14</t>
        </is>
      </c>
      <c r="L5418" s="12" t="inlineStr">
        <is>
          <t>7/C</t>
        </is>
      </c>
      <c r="M5418" s="12" t="inlineStr">
        <is>
          <t>14</t>
        </is>
      </c>
      <c r="N5418" s="12" t="n">
        <v>1</v>
      </c>
      <c r="O5418" s="12" t="n">
        <v>1</v>
      </c>
      <c r="P5418" s="12" t="n"/>
      <c r="Q5418" s="12" t="n"/>
      <c r="R5418" s="12" t="n"/>
      <c r="S5418" s="12" t="inlineStr">
        <is>
          <t>Duct bank</t>
        </is>
      </c>
      <c r="T5418" s="16" t="n">
        <v>441</v>
      </c>
      <c r="U5418" s="16" t="n">
        <v>42</v>
      </c>
      <c r="V5418" s="16">
        <f>ROUNDUP((T5418+U5418+2*'Read Me'!$B$13)*(1+'Read Me'!$B$12),-1)</f>
        <v/>
      </c>
      <c r="W5418" s="16">
        <f>V5418*N5418*O5418</f>
        <v/>
      </c>
      <c r="X5418" s="12">
        <f>IF(LEFT(I5418,2)="MV",2*N5418*IF(L5418="1/C",O5418,1),0)</f>
        <v/>
      </c>
      <c r="Y5418" s="12">
        <f>IF(OR(LEFT(K5418,4)="LVAX",LEFT(K5418,6)="MV15AX",LEFT(K5418,4)="CTAX",LEFT(K5418,2)="W|"),2*N5418*O5418,0)</f>
        <v/>
      </c>
      <c r="Z5418" s="12" t="inlineStr"/>
      <c r="AA5418" s="12">
        <f>N5418*O5418</f>
        <v/>
      </c>
    </row>
    <row r="5419">
      <c r="A5419" s="12" t="inlineStr">
        <is>
          <t>K-C-0125</t>
        </is>
      </c>
      <c r="B5419" s="12" t="inlineStr">
        <is>
          <t>K</t>
        </is>
      </c>
      <c r="C5419" s="12" t="inlineStr">
        <is>
          <t>Fuel supply (adjacent market)</t>
        </is>
      </c>
      <c r="D5419" s="12" t="inlineStr">
        <is>
          <t>Control</t>
        </is>
      </c>
      <c r="E5419" s="12" t="inlineStr"/>
      <c r="F5419" s="12" t="inlineStr">
        <is>
          <t>LNG 17: LNG e-house (13.8 kV / 480 V)</t>
        </is>
      </c>
      <c r="G5419" s="12" t="inlineStr"/>
      <c r="H5419" s="12" t="inlineStr">
        <is>
          <t>M&amp;R SCADA antenna mast base (as drawn)</t>
        </is>
      </c>
      <c r="I5419" s="12" t="inlineStr">
        <is>
          <t>Control</t>
        </is>
      </c>
      <c r="J5419" s="12" t="inlineStr">
        <is>
          <t>ARMOR-X MC-HL 600 V control, Cu #14 AWG (Class I Div 2)</t>
        </is>
      </c>
      <c r="K5419" s="12" t="inlineStr">
        <is>
          <t>CTAX|7/C|14</t>
        </is>
      </c>
      <c r="L5419" s="12" t="inlineStr">
        <is>
          <t>7/C</t>
        </is>
      </c>
      <c r="M5419" s="12" t="inlineStr">
        <is>
          <t>14</t>
        </is>
      </c>
      <c r="N5419" s="12" t="n">
        <v>1</v>
      </c>
      <c r="O5419" s="12" t="n">
        <v>1</v>
      </c>
      <c r="P5419" s="12" t="n"/>
      <c r="Q5419" s="12" t="n"/>
      <c r="R5419" s="12" t="n"/>
      <c r="S5419" s="12" t="inlineStr">
        <is>
          <t>Duct bank</t>
        </is>
      </c>
      <c r="T5419" s="16" t="n">
        <v>433</v>
      </c>
      <c r="U5419" s="16" t="n">
        <v>32</v>
      </c>
      <c r="V5419" s="16">
        <f>ROUNDUP((T5419+U5419+2*'Read Me'!$B$13)*(1+'Read Me'!$B$12),-1)</f>
        <v/>
      </c>
      <c r="W5419" s="16">
        <f>V5419*N5419*O5419</f>
        <v/>
      </c>
      <c r="X5419" s="12">
        <f>IF(LEFT(I5419,2)="MV",2*N5419*IF(L5419="1/C",O5419,1),0)</f>
        <v/>
      </c>
      <c r="Y5419" s="12">
        <f>IF(OR(LEFT(K5419,4)="LVAX",LEFT(K5419,6)="MV15AX",LEFT(K5419,4)="CTAX",LEFT(K5419,2)="W|"),2*N5419*O5419,0)</f>
        <v/>
      </c>
      <c r="Z5419" s="12" t="inlineStr"/>
      <c r="AA5419" s="12">
        <f>N5419*O5419</f>
        <v/>
      </c>
    </row>
    <row r="5420">
      <c r="A5420" s="12" t="inlineStr">
        <is>
          <t>K-C-0126</t>
        </is>
      </c>
      <c r="B5420" s="12" t="inlineStr">
        <is>
          <t>K</t>
        </is>
      </c>
      <c r="C5420" s="12" t="inlineStr">
        <is>
          <t>Fuel supply (adjacent market)</t>
        </is>
      </c>
      <c r="D5420" s="12" t="inlineStr">
        <is>
          <t>Control</t>
        </is>
      </c>
      <c r="E5420" s="12" t="inlineStr"/>
      <c r="F5420" s="12" t="inlineStr">
        <is>
          <t>H2 20: 13.8 kV e-house</t>
        </is>
      </c>
      <c r="G5420" s="12" t="inlineStr"/>
      <c r="H5420" s="12" t="inlineStr">
        <is>
          <t>PEM electrolyzer 1 (HyLYZER-1000)</t>
        </is>
      </c>
      <c r="I5420" s="12" t="inlineStr">
        <is>
          <t>Control</t>
        </is>
      </c>
      <c r="J5420" s="12" t="inlineStr">
        <is>
          <t>ARMOR-X MC-HL 600 V control, Cu #14 AWG (Class I Div 2)</t>
        </is>
      </c>
      <c r="K5420" s="12" t="inlineStr">
        <is>
          <t>CTAX|7/C|14</t>
        </is>
      </c>
      <c r="L5420" s="12" t="inlineStr">
        <is>
          <t>7/C</t>
        </is>
      </c>
      <c r="M5420" s="12" t="inlineStr">
        <is>
          <t>14</t>
        </is>
      </c>
      <c r="N5420" s="12" t="n">
        <v>1</v>
      </c>
      <c r="O5420" s="12" t="n">
        <v>1</v>
      </c>
      <c r="P5420" s="12" t="n"/>
      <c r="Q5420" s="12" t="n"/>
      <c r="R5420" s="12" t="n"/>
      <c r="S5420" s="12" t="inlineStr">
        <is>
          <t>Duct bank</t>
        </is>
      </c>
      <c r="T5420" s="16" t="n">
        <v>358</v>
      </c>
      <c r="U5420" s="16" t="n">
        <v>32</v>
      </c>
      <c r="V5420" s="16">
        <f>ROUNDUP((T5420+U5420+2*'Read Me'!$B$13)*(1+'Read Me'!$B$12),-1)</f>
        <v/>
      </c>
      <c r="W5420" s="16">
        <f>V5420*N5420*O5420</f>
        <v/>
      </c>
      <c r="X5420" s="12">
        <f>IF(LEFT(I5420,2)="MV",2*N5420*IF(L5420="1/C",O5420,1),0)</f>
        <v/>
      </c>
      <c r="Y5420" s="12">
        <f>IF(OR(LEFT(K5420,4)="LVAX",LEFT(K5420,6)="MV15AX",LEFT(K5420,4)="CTAX",LEFT(K5420,2)="W|"),2*N5420*O5420,0)</f>
        <v/>
      </c>
      <c r="Z5420" s="12" t="inlineStr"/>
      <c r="AA5420" s="12">
        <f>N5420*O5420</f>
        <v/>
      </c>
    </row>
    <row r="5421">
      <c r="A5421" s="12" t="inlineStr">
        <is>
          <t>K-C-0127</t>
        </is>
      </c>
      <c r="B5421" s="12" t="inlineStr">
        <is>
          <t>K</t>
        </is>
      </c>
      <c r="C5421" s="12" t="inlineStr">
        <is>
          <t>Fuel supply (adjacent market)</t>
        </is>
      </c>
      <c r="D5421" s="12" t="inlineStr">
        <is>
          <t>Control</t>
        </is>
      </c>
      <c r="E5421" s="12" t="inlineStr"/>
      <c r="F5421" s="12" t="inlineStr">
        <is>
          <t>H2 20: 13.8 kV e-house</t>
        </is>
      </c>
      <c r="G5421" s="12" t="inlineStr"/>
      <c r="H5421" s="12" t="inlineStr">
        <is>
          <t>PEM electrolyzer 2 (HyLYZER-1000)</t>
        </is>
      </c>
      <c r="I5421" s="12" t="inlineStr">
        <is>
          <t>Control</t>
        </is>
      </c>
      <c r="J5421" s="12" t="inlineStr">
        <is>
          <t>ARMOR-X MC-HL 600 V control, Cu #14 AWG (Class I Div 2)</t>
        </is>
      </c>
      <c r="K5421" s="12" t="inlineStr">
        <is>
          <t>CTAX|7/C|14</t>
        </is>
      </c>
      <c r="L5421" s="12" t="inlineStr">
        <is>
          <t>7/C</t>
        </is>
      </c>
      <c r="M5421" s="12" t="inlineStr">
        <is>
          <t>14</t>
        </is>
      </c>
      <c r="N5421" s="12" t="n">
        <v>1</v>
      </c>
      <c r="O5421" s="12" t="n">
        <v>1</v>
      </c>
      <c r="P5421" s="12" t="n"/>
      <c r="Q5421" s="12" t="n"/>
      <c r="R5421" s="12" t="n"/>
      <c r="S5421" s="12" t="inlineStr">
        <is>
          <t>Duct bank</t>
        </is>
      </c>
      <c r="T5421" s="16" t="n">
        <v>358</v>
      </c>
      <c r="U5421" s="16" t="n">
        <v>48</v>
      </c>
      <c r="V5421" s="16">
        <f>ROUNDUP((T5421+U5421+2*'Read Me'!$B$13)*(1+'Read Me'!$B$12),-1)</f>
        <v/>
      </c>
      <c r="W5421" s="16">
        <f>V5421*N5421*O5421</f>
        <v/>
      </c>
      <c r="X5421" s="12">
        <f>IF(LEFT(I5421,2)="MV",2*N5421*IF(L5421="1/C",O5421,1),0)</f>
        <v/>
      </c>
      <c r="Y5421" s="12">
        <f>IF(OR(LEFT(K5421,4)="LVAX",LEFT(K5421,6)="MV15AX",LEFT(K5421,4)="CTAX",LEFT(K5421,2)="W|"),2*N5421*O5421,0)</f>
        <v/>
      </c>
      <c r="Z5421" s="12" t="inlineStr"/>
      <c r="AA5421" s="12">
        <f>N5421*O5421</f>
        <v/>
      </c>
    </row>
    <row r="5422">
      <c r="A5422" s="12" t="inlineStr">
        <is>
          <t>K-C-0128</t>
        </is>
      </c>
      <c r="B5422" s="12" t="inlineStr">
        <is>
          <t>K</t>
        </is>
      </c>
      <c r="C5422" s="12" t="inlineStr">
        <is>
          <t>Fuel supply (adjacent market)</t>
        </is>
      </c>
      <c r="D5422" s="12" t="inlineStr">
        <is>
          <t>Control</t>
        </is>
      </c>
      <c r="E5422" s="12" t="inlineStr"/>
      <c r="F5422" s="12" t="inlineStr">
        <is>
          <t>H2 20: 13.8 kV e-house</t>
        </is>
      </c>
      <c r="G5422" s="12" t="inlineStr"/>
      <c r="H5422" s="12" t="inlineStr">
        <is>
          <t>PEM electrolyzer 3 (HyLYZER-1000)</t>
        </is>
      </c>
      <c r="I5422" s="12" t="inlineStr">
        <is>
          <t>Control</t>
        </is>
      </c>
      <c r="J5422" s="12" t="inlineStr">
        <is>
          <t>ARMOR-X MC-HL 600 V control, Cu #14 AWG (Class I Div 2)</t>
        </is>
      </c>
      <c r="K5422" s="12" t="inlineStr">
        <is>
          <t>CTAX|7/C|14</t>
        </is>
      </c>
      <c r="L5422" s="12" t="inlineStr">
        <is>
          <t>7/C</t>
        </is>
      </c>
      <c r="M5422" s="12" t="inlineStr">
        <is>
          <t>14</t>
        </is>
      </c>
      <c r="N5422" s="12" t="n">
        <v>1</v>
      </c>
      <c r="O5422" s="12" t="n">
        <v>1</v>
      </c>
      <c r="P5422" s="12" t="n"/>
      <c r="Q5422" s="12" t="n"/>
      <c r="R5422" s="12" t="n"/>
      <c r="S5422" s="12" t="inlineStr">
        <is>
          <t>Duct bank</t>
        </is>
      </c>
      <c r="T5422" s="16" t="n">
        <v>348</v>
      </c>
      <c r="U5422" s="16" t="n">
        <v>49</v>
      </c>
      <c r="V5422" s="16">
        <f>ROUNDUP((T5422+U5422+2*'Read Me'!$B$13)*(1+'Read Me'!$B$12),-1)</f>
        <v/>
      </c>
      <c r="W5422" s="16">
        <f>V5422*N5422*O5422</f>
        <v/>
      </c>
      <c r="X5422" s="12">
        <f>IF(LEFT(I5422,2)="MV",2*N5422*IF(L5422="1/C",O5422,1),0)</f>
        <v/>
      </c>
      <c r="Y5422" s="12">
        <f>IF(OR(LEFT(K5422,4)="LVAX",LEFT(K5422,6)="MV15AX",LEFT(K5422,4)="CTAX",LEFT(K5422,2)="W|"),2*N5422*O5422,0)</f>
        <v/>
      </c>
      <c r="Z5422" s="12" t="inlineStr"/>
      <c r="AA5422" s="12">
        <f>N5422*O5422</f>
        <v/>
      </c>
    </row>
    <row r="5423">
      <c r="A5423" s="12" t="inlineStr">
        <is>
          <t>K-C-0129</t>
        </is>
      </c>
      <c r="B5423" s="12" t="inlineStr">
        <is>
          <t>K</t>
        </is>
      </c>
      <c r="C5423" s="12" t="inlineStr">
        <is>
          <t>Fuel supply (adjacent market)</t>
        </is>
      </c>
      <c r="D5423" s="12" t="inlineStr">
        <is>
          <t>Control</t>
        </is>
      </c>
      <c r="E5423" s="12" t="inlineStr"/>
      <c r="F5423" s="12" t="inlineStr">
        <is>
          <t>H2 20: 13.8 kV e-house</t>
        </is>
      </c>
      <c r="G5423" s="12" t="inlineStr"/>
      <c r="H5423" s="12" t="inlineStr">
        <is>
          <t>PEM electrolyzer 4 (HyLYZER-1000)</t>
        </is>
      </c>
      <c r="I5423" s="12" t="inlineStr">
        <is>
          <t>Control</t>
        </is>
      </c>
      <c r="J5423" s="12" t="inlineStr">
        <is>
          <t>ARMOR-X MC-HL 600 V control, Cu #14 AWG (Class I Div 2)</t>
        </is>
      </c>
      <c r="K5423" s="12" t="inlineStr">
        <is>
          <t>CTAX|7/C|14</t>
        </is>
      </c>
      <c r="L5423" s="12" t="inlineStr">
        <is>
          <t>7/C</t>
        </is>
      </c>
      <c r="M5423" s="12" t="inlineStr">
        <is>
          <t>14</t>
        </is>
      </c>
      <c r="N5423" s="12" t="n">
        <v>1</v>
      </c>
      <c r="O5423" s="12" t="n">
        <v>1</v>
      </c>
      <c r="P5423" s="12" t="n"/>
      <c r="Q5423" s="12" t="n"/>
      <c r="R5423" s="12" t="n"/>
      <c r="S5423" s="12" t="inlineStr">
        <is>
          <t>Duct bank</t>
        </is>
      </c>
      <c r="T5423" s="16" t="n">
        <v>328</v>
      </c>
      <c r="U5423" s="16" t="n">
        <v>49</v>
      </c>
      <c r="V5423" s="16">
        <f>ROUNDUP((T5423+U5423+2*'Read Me'!$B$13)*(1+'Read Me'!$B$12),-1)</f>
        <v/>
      </c>
      <c r="W5423" s="16">
        <f>V5423*N5423*O5423</f>
        <v/>
      </c>
      <c r="X5423" s="12">
        <f>IF(LEFT(I5423,2)="MV",2*N5423*IF(L5423="1/C",O5423,1),0)</f>
        <v/>
      </c>
      <c r="Y5423" s="12">
        <f>IF(OR(LEFT(K5423,4)="LVAX",LEFT(K5423,6)="MV15AX",LEFT(K5423,4)="CTAX",LEFT(K5423,2)="W|"),2*N5423*O5423,0)</f>
        <v/>
      </c>
      <c r="Z5423" s="12" t="inlineStr"/>
      <c r="AA5423" s="12">
        <f>N5423*O5423</f>
        <v/>
      </c>
    </row>
    <row r="5424">
      <c r="A5424" s="12" t="inlineStr">
        <is>
          <t>K-C-0130</t>
        </is>
      </c>
      <c r="B5424" s="12" t="inlineStr">
        <is>
          <t>K</t>
        </is>
      </c>
      <c r="C5424" s="12" t="inlineStr">
        <is>
          <t>Fuel supply (adjacent market)</t>
        </is>
      </c>
      <c r="D5424" s="12" t="inlineStr">
        <is>
          <t>Control</t>
        </is>
      </c>
      <c r="E5424" s="12" t="inlineStr"/>
      <c r="F5424" s="12" t="inlineStr">
        <is>
          <t>H2 20: 13.8 kV e-house</t>
        </is>
      </c>
      <c r="G5424" s="12" t="inlineStr"/>
      <c r="H5424" s="12" t="inlineStr">
        <is>
          <t>PEM electrolyzer 5 (HyLYZER-1000)</t>
        </is>
      </c>
      <c r="I5424" s="12" t="inlineStr">
        <is>
          <t>Control</t>
        </is>
      </c>
      <c r="J5424" s="12" t="inlineStr">
        <is>
          <t>ARMOR-X MC-HL 600 V control, Cu #14 AWG (Class I Div 2)</t>
        </is>
      </c>
      <c r="K5424" s="12" t="inlineStr">
        <is>
          <t>CTAX|7/C|14</t>
        </is>
      </c>
      <c r="L5424" s="12" t="inlineStr">
        <is>
          <t>7/C</t>
        </is>
      </c>
      <c r="M5424" s="12" t="inlineStr">
        <is>
          <t>14</t>
        </is>
      </c>
      <c r="N5424" s="12" t="n">
        <v>1</v>
      </c>
      <c r="O5424" s="12" t="n">
        <v>1</v>
      </c>
      <c r="P5424" s="12" t="n"/>
      <c r="Q5424" s="12" t="n"/>
      <c r="R5424" s="12" t="n"/>
      <c r="S5424" s="12" t="inlineStr">
        <is>
          <t>Duct bank</t>
        </is>
      </c>
      <c r="T5424" s="16" t="n">
        <v>328</v>
      </c>
      <c r="U5424" s="16" t="n">
        <v>32</v>
      </c>
      <c r="V5424" s="16">
        <f>ROUNDUP((T5424+U5424+2*'Read Me'!$B$13)*(1+'Read Me'!$B$12),-1)</f>
        <v/>
      </c>
      <c r="W5424" s="16">
        <f>V5424*N5424*O5424</f>
        <v/>
      </c>
      <c r="X5424" s="12">
        <f>IF(LEFT(I5424,2)="MV",2*N5424*IF(L5424="1/C",O5424,1),0)</f>
        <v/>
      </c>
      <c r="Y5424" s="12">
        <f>IF(OR(LEFT(K5424,4)="LVAX",LEFT(K5424,6)="MV15AX",LEFT(K5424,4)="CTAX",LEFT(K5424,2)="W|"),2*N5424*O5424,0)</f>
        <v/>
      </c>
      <c r="Z5424" s="12" t="inlineStr"/>
      <c r="AA5424" s="12">
        <f>N5424*O5424</f>
        <v/>
      </c>
    </row>
    <row r="5425">
      <c r="A5425" s="12" t="inlineStr">
        <is>
          <t>K-C-0131</t>
        </is>
      </c>
      <c r="B5425" s="12" t="inlineStr">
        <is>
          <t>K</t>
        </is>
      </c>
      <c r="C5425" s="12" t="inlineStr">
        <is>
          <t>Fuel supply (adjacent market)</t>
        </is>
      </c>
      <c r="D5425" s="12" t="inlineStr">
        <is>
          <t>Control</t>
        </is>
      </c>
      <c r="E5425" s="12" t="inlineStr"/>
      <c r="F5425" s="12" t="inlineStr">
        <is>
          <t>H2 20: 13.8 kV e-house</t>
        </is>
      </c>
      <c r="G5425" s="12" t="inlineStr"/>
      <c r="H5425" s="12" t="inlineStr">
        <is>
          <t>Rectifier 1 (7 MVA)</t>
        </is>
      </c>
      <c r="I5425" s="12" t="inlineStr">
        <is>
          <t>Control</t>
        </is>
      </c>
      <c r="J5425" s="12" t="inlineStr">
        <is>
          <t>Control cable 600 V Type TC-ER, Cu #14 AWG, PVC jacket</t>
        </is>
      </c>
      <c r="K5425" s="12" t="inlineStr">
        <is>
          <t>CT|7/C|14</t>
        </is>
      </c>
      <c r="L5425" s="12" t="inlineStr">
        <is>
          <t>7/C</t>
        </is>
      </c>
      <c r="M5425" s="12" t="inlineStr">
        <is>
          <t>14</t>
        </is>
      </c>
      <c r="N5425" s="12" t="n">
        <v>1</v>
      </c>
      <c r="O5425" s="12" t="n">
        <v>1</v>
      </c>
      <c r="P5425" s="12" t="n"/>
      <c r="Q5425" s="12" t="n"/>
      <c r="R5425" s="12" t="n"/>
      <c r="S5425" s="12" t="inlineStr">
        <is>
          <t>Duct bank</t>
        </is>
      </c>
      <c r="T5425" s="16" t="n">
        <v>346</v>
      </c>
      <c r="U5425" s="16" t="n">
        <v>32</v>
      </c>
      <c r="V5425" s="16">
        <f>ROUNDUP((T5425+U5425+2*'Read Me'!$B$13)*(1+'Read Me'!$B$12),-1)</f>
        <v/>
      </c>
      <c r="W5425" s="16">
        <f>V5425*N5425*O5425</f>
        <v/>
      </c>
      <c r="X5425" s="12">
        <f>IF(LEFT(I5425,2)="MV",2*N5425*IF(L5425="1/C",O5425,1),0)</f>
        <v/>
      </c>
      <c r="Y5425" s="12">
        <f>IF(OR(LEFT(K5425,4)="LVAX",LEFT(K5425,6)="MV15AX",LEFT(K5425,4)="CTAX",LEFT(K5425,2)="W|"),2*N5425*O5425,0)</f>
        <v/>
      </c>
      <c r="Z5425" s="12" t="inlineStr"/>
      <c r="AA5425" s="12">
        <f>N5425*O5425</f>
        <v/>
      </c>
    </row>
    <row r="5426">
      <c r="A5426" s="12" t="inlineStr">
        <is>
          <t>K-C-0132</t>
        </is>
      </c>
      <c r="B5426" s="12" t="inlineStr">
        <is>
          <t>K</t>
        </is>
      </c>
      <c r="C5426" s="12" t="inlineStr">
        <is>
          <t>Fuel supply (adjacent market)</t>
        </is>
      </c>
      <c r="D5426" s="12" t="inlineStr">
        <is>
          <t>Control</t>
        </is>
      </c>
      <c r="E5426" s="12" t="inlineStr"/>
      <c r="F5426" s="12" t="inlineStr">
        <is>
          <t>H2 20: 13.8 kV e-house</t>
        </is>
      </c>
      <c r="G5426" s="12" t="inlineStr"/>
      <c r="H5426" s="12" t="inlineStr">
        <is>
          <t>Rectifier 2 (7 MVA)</t>
        </is>
      </c>
      <c r="I5426" s="12" t="inlineStr">
        <is>
          <t>Control</t>
        </is>
      </c>
      <c r="J5426" s="12" t="inlineStr">
        <is>
          <t>Control cable 600 V Type TC-ER, Cu #14 AWG, PVC jacket</t>
        </is>
      </c>
      <c r="K5426" s="12" t="inlineStr">
        <is>
          <t>CT|7/C|14</t>
        </is>
      </c>
      <c r="L5426" s="12" t="inlineStr">
        <is>
          <t>7/C</t>
        </is>
      </c>
      <c r="M5426" s="12" t="inlineStr">
        <is>
          <t>14</t>
        </is>
      </c>
      <c r="N5426" s="12" t="n">
        <v>1</v>
      </c>
      <c r="O5426" s="12" t="n">
        <v>1</v>
      </c>
      <c r="P5426" s="12" t="n"/>
      <c r="Q5426" s="12" t="n"/>
      <c r="R5426" s="12" t="n"/>
      <c r="S5426" s="12" t="inlineStr">
        <is>
          <t>Duct bank</t>
        </is>
      </c>
      <c r="T5426" s="16" t="n">
        <v>361</v>
      </c>
      <c r="U5426" s="16" t="n">
        <v>32</v>
      </c>
      <c r="V5426" s="16">
        <f>ROUNDUP((T5426+U5426+2*'Read Me'!$B$13)*(1+'Read Me'!$B$12),-1)</f>
        <v/>
      </c>
      <c r="W5426" s="16">
        <f>V5426*N5426*O5426</f>
        <v/>
      </c>
      <c r="X5426" s="12">
        <f>IF(LEFT(I5426,2)="MV",2*N5426*IF(L5426="1/C",O5426,1),0)</f>
        <v/>
      </c>
      <c r="Y5426" s="12">
        <f>IF(OR(LEFT(K5426,4)="LVAX",LEFT(K5426,6)="MV15AX",LEFT(K5426,4)="CTAX",LEFT(K5426,2)="W|"),2*N5426*O5426,0)</f>
        <v/>
      </c>
      <c r="Z5426" s="12" t="inlineStr"/>
      <c r="AA5426" s="12">
        <f>N5426*O5426</f>
        <v/>
      </c>
    </row>
    <row r="5427">
      <c r="A5427" s="12" t="inlineStr">
        <is>
          <t>K-C-0133</t>
        </is>
      </c>
      <c r="B5427" s="12" t="inlineStr">
        <is>
          <t>K</t>
        </is>
      </c>
      <c r="C5427" s="12" t="inlineStr">
        <is>
          <t>Fuel supply (adjacent market)</t>
        </is>
      </c>
      <c r="D5427" s="12" t="inlineStr">
        <is>
          <t>Control</t>
        </is>
      </c>
      <c r="E5427" s="12" t="inlineStr"/>
      <c r="F5427" s="12" t="inlineStr">
        <is>
          <t>H2 20: 13.8 kV e-house</t>
        </is>
      </c>
      <c r="G5427" s="12" t="inlineStr"/>
      <c r="H5427" s="12" t="inlineStr">
        <is>
          <t>Rectifier 3 (7 MVA)</t>
        </is>
      </c>
      <c r="I5427" s="12" t="inlineStr">
        <is>
          <t>Control</t>
        </is>
      </c>
      <c r="J5427" s="12" t="inlineStr">
        <is>
          <t>Control cable 600 V Type TC-ER, Cu #14 AWG, PVC jacket</t>
        </is>
      </c>
      <c r="K5427" s="12" t="inlineStr">
        <is>
          <t>CT|7/C|14</t>
        </is>
      </c>
      <c r="L5427" s="12" t="inlineStr">
        <is>
          <t>7/C</t>
        </is>
      </c>
      <c r="M5427" s="12" t="inlineStr">
        <is>
          <t>14</t>
        </is>
      </c>
      <c r="N5427" s="12" t="n">
        <v>1</v>
      </c>
      <c r="O5427" s="12" t="n">
        <v>1</v>
      </c>
      <c r="P5427" s="12" t="n"/>
      <c r="Q5427" s="12" t="n"/>
      <c r="R5427" s="12" t="n"/>
      <c r="S5427" s="12" t="inlineStr">
        <is>
          <t>Duct bank</t>
        </is>
      </c>
      <c r="T5427" s="16" t="n">
        <v>341</v>
      </c>
      <c r="U5427" s="16" t="n">
        <v>32</v>
      </c>
      <c r="V5427" s="16">
        <f>ROUNDUP((T5427+U5427+2*'Read Me'!$B$13)*(1+'Read Me'!$B$12),-1)</f>
        <v/>
      </c>
      <c r="W5427" s="16">
        <f>V5427*N5427*O5427</f>
        <v/>
      </c>
      <c r="X5427" s="12">
        <f>IF(LEFT(I5427,2)="MV",2*N5427*IF(L5427="1/C",O5427,1),0)</f>
        <v/>
      </c>
      <c r="Y5427" s="12">
        <f>IF(OR(LEFT(K5427,4)="LVAX",LEFT(K5427,6)="MV15AX",LEFT(K5427,4)="CTAX",LEFT(K5427,2)="W|"),2*N5427*O5427,0)</f>
        <v/>
      </c>
      <c r="Z5427" s="12" t="inlineStr"/>
      <c r="AA5427" s="12">
        <f>N5427*O5427</f>
        <v/>
      </c>
    </row>
    <row r="5428">
      <c r="A5428" s="12" t="inlineStr">
        <is>
          <t>K-C-0134</t>
        </is>
      </c>
      <c r="B5428" s="12" t="inlineStr">
        <is>
          <t>K</t>
        </is>
      </c>
      <c r="C5428" s="12" t="inlineStr">
        <is>
          <t>Fuel supply (adjacent market)</t>
        </is>
      </c>
      <c r="D5428" s="12" t="inlineStr">
        <is>
          <t>Control</t>
        </is>
      </c>
      <c r="E5428" s="12" t="inlineStr"/>
      <c r="F5428" s="12" t="inlineStr">
        <is>
          <t>H2 20: 13.8 kV e-house</t>
        </is>
      </c>
      <c r="G5428" s="12" t="inlineStr"/>
      <c r="H5428" s="12" t="inlineStr">
        <is>
          <t>Rectifier 4 (7 MVA)</t>
        </is>
      </c>
      <c r="I5428" s="12" t="inlineStr">
        <is>
          <t>Control</t>
        </is>
      </c>
      <c r="J5428" s="12" t="inlineStr">
        <is>
          <t>Control cable 600 V Type TC-ER, Cu #14 AWG, PVC jacket</t>
        </is>
      </c>
      <c r="K5428" s="12" t="inlineStr">
        <is>
          <t>CT|7/C|14</t>
        </is>
      </c>
      <c r="L5428" s="12" t="inlineStr">
        <is>
          <t>7/C</t>
        </is>
      </c>
      <c r="M5428" s="12" t="inlineStr">
        <is>
          <t>14</t>
        </is>
      </c>
      <c r="N5428" s="12" t="n">
        <v>1</v>
      </c>
      <c r="O5428" s="12" t="n">
        <v>1</v>
      </c>
      <c r="P5428" s="12" t="n"/>
      <c r="Q5428" s="12" t="n"/>
      <c r="R5428" s="12" t="n"/>
      <c r="S5428" s="12" t="inlineStr">
        <is>
          <t>Duct bank</t>
        </is>
      </c>
      <c r="T5428" s="16" t="n">
        <v>321</v>
      </c>
      <c r="U5428" s="16" t="n">
        <v>32</v>
      </c>
      <c r="V5428" s="16">
        <f>ROUNDUP((T5428+U5428+2*'Read Me'!$B$13)*(1+'Read Me'!$B$12),-1)</f>
        <v/>
      </c>
      <c r="W5428" s="16">
        <f>V5428*N5428*O5428</f>
        <v/>
      </c>
      <c r="X5428" s="12">
        <f>IF(LEFT(I5428,2)="MV",2*N5428*IF(L5428="1/C",O5428,1),0)</f>
        <v/>
      </c>
      <c r="Y5428" s="12">
        <f>IF(OR(LEFT(K5428,4)="LVAX",LEFT(K5428,6)="MV15AX",LEFT(K5428,4)="CTAX",LEFT(K5428,2)="W|"),2*N5428*O5428,0)</f>
        <v/>
      </c>
      <c r="Z5428" s="12" t="inlineStr"/>
      <c r="AA5428" s="12">
        <f>N5428*O5428</f>
        <v/>
      </c>
    </row>
    <row r="5429">
      <c r="A5429" s="12" t="inlineStr">
        <is>
          <t>K-C-0135</t>
        </is>
      </c>
      <c r="B5429" s="12" t="inlineStr">
        <is>
          <t>K</t>
        </is>
      </c>
      <c r="C5429" s="12" t="inlineStr">
        <is>
          <t>Fuel supply (adjacent market)</t>
        </is>
      </c>
      <c r="D5429" s="12" t="inlineStr">
        <is>
          <t>Control</t>
        </is>
      </c>
      <c r="E5429" s="12" t="inlineStr"/>
      <c r="F5429" s="12" t="inlineStr">
        <is>
          <t>H2 20: 13.8 kV e-house</t>
        </is>
      </c>
      <c r="G5429" s="12" t="inlineStr"/>
      <c r="H5429" s="12" t="inlineStr">
        <is>
          <t>Rectifier 5 (7 MVA)</t>
        </is>
      </c>
      <c r="I5429" s="12" t="inlineStr">
        <is>
          <t>Control</t>
        </is>
      </c>
      <c r="J5429" s="12" t="inlineStr">
        <is>
          <t>Control cable 600 V Type TC-ER, Cu #14 AWG, PVC jacket</t>
        </is>
      </c>
      <c r="K5429" s="12" t="inlineStr">
        <is>
          <t>CT|7/C|14</t>
        </is>
      </c>
      <c r="L5429" s="12" t="inlineStr">
        <is>
          <t>7/C</t>
        </is>
      </c>
      <c r="M5429" s="12" t="inlineStr">
        <is>
          <t>14</t>
        </is>
      </c>
      <c r="N5429" s="12" t="n">
        <v>1</v>
      </c>
      <c r="O5429" s="12" t="n">
        <v>1</v>
      </c>
      <c r="P5429" s="12" t="n"/>
      <c r="Q5429" s="12" t="n"/>
      <c r="R5429" s="12" t="n"/>
      <c r="S5429" s="12" t="inlineStr">
        <is>
          <t>Duct bank</t>
        </is>
      </c>
      <c r="T5429" s="16" t="n">
        <v>301</v>
      </c>
      <c r="U5429" s="16" t="n">
        <v>32</v>
      </c>
      <c r="V5429" s="16">
        <f>ROUNDUP((T5429+U5429+2*'Read Me'!$B$13)*(1+'Read Me'!$B$12),-1)</f>
        <v/>
      </c>
      <c r="W5429" s="16">
        <f>V5429*N5429*O5429</f>
        <v/>
      </c>
      <c r="X5429" s="12">
        <f>IF(LEFT(I5429,2)="MV",2*N5429*IF(L5429="1/C",O5429,1),0)</f>
        <v/>
      </c>
      <c r="Y5429" s="12">
        <f>IF(OR(LEFT(K5429,4)="LVAX",LEFT(K5429,6)="MV15AX",LEFT(K5429,4)="CTAX",LEFT(K5429,2)="W|"),2*N5429*O5429,0)</f>
        <v/>
      </c>
      <c r="Z5429" s="12" t="inlineStr"/>
      <c r="AA5429" s="12">
        <f>N5429*O5429</f>
        <v/>
      </c>
    </row>
    <row r="5430">
      <c r="A5430" s="12" t="inlineStr">
        <is>
          <t>K-F-0001</t>
        </is>
      </c>
      <c r="B5430" s="12" t="inlineStr">
        <is>
          <t>K</t>
        </is>
      </c>
      <c r="C5430" s="12" t="inlineStr">
        <is>
          <t>Fuel supply (adjacent market)</t>
        </is>
      </c>
      <c r="D5430" s="12" t="inlineStr">
        <is>
          <t>Plant network / DCS fibre</t>
        </is>
      </c>
      <c r="E5430" s="12" t="inlineStr">
        <is>
          <t>CR</t>
        </is>
      </c>
      <c r="F5430" s="12" t="inlineStr">
        <is>
          <t>Control / admin building (main control room)</t>
        </is>
      </c>
      <c r="G5430" s="12" t="inlineStr"/>
      <c r="H5430" s="12" t="inlineStr">
        <is>
          <t>H2 20: 13.8 kV e-house</t>
        </is>
      </c>
      <c r="I5430" s="12" t="inlineStr">
        <is>
          <t>Fibre / data</t>
        </is>
      </c>
      <c r="J5430" s="12" t="inlineStr">
        <is>
          <t>Fibre optic, single-mode, 12-fibre, armored, orange jacket</t>
        </is>
      </c>
      <c r="K5430" s="12" t="inlineStr">
        <is>
          <t>FO|12 SM|-</t>
        </is>
      </c>
      <c r="L5430" s="12" t="inlineStr">
        <is>
          <t>12 SM</t>
        </is>
      </c>
      <c r="M5430" s="12" t="inlineStr">
        <is>
          <t>-</t>
        </is>
      </c>
      <c r="N5430" s="12" t="n">
        <v>1</v>
      </c>
      <c r="O5430" s="12" t="n">
        <v>1</v>
      </c>
      <c r="P5430" s="12" t="n"/>
      <c r="Q5430" s="12" t="n"/>
      <c r="R5430" s="12" t="n"/>
      <c r="S5430" s="12" t="inlineStr">
        <is>
          <t>Trench</t>
        </is>
      </c>
      <c r="T5430" s="16" t="n">
        <v>4293</v>
      </c>
      <c r="U5430" s="16" t="n">
        <v>36</v>
      </c>
      <c r="V5430" s="16">
        <f>ROUNDUP((T5430+U5430+2*'Read Me'!$B$13)*(1+'Read Me'!$B$12),-1)</f>
        <v/>
      </c>
      <c r="W5430" s="16">
        <f>V5430*N5430*O5430</f>
        <v/>
      </c>
      <c r="X5430" s="12">
        <f>IF(LEFT(I5430,2)="MV",2*N5430*IF(L5430="1/C",O5430,1),0)</f>
        <v/>
      </c>
      <c r="Y5430" s="12">
        <f>IF(OR(LEFT(K5430,4)="LVAX",LEFT(K5430,6)="MV15AX",LEFT(K5430,4)="CTAX",LEFT(K5430,2)="W|"),2*N5430*O5430,0)</f>
        <v/>
      </c>
      <c r="Z5430" s="12" t="inlineStr"/>
      <c r="AA5430" s="12">
        <f>N5430*O5430</f>
        <v/>
      </c>
    </row>
    <row r="5431">
      <c r="A5431" s="12" t="inlineStr">
        <is>
          <t>K-F-0002</t>
        </is>
      </c>
      <c r="B5431" s="12" t="inlineStr">
        <is>
          <t>K</t>
        </is>
      </c>
      <c r="C5431" s="12" t="inlineStr">
        <is>
          <t>Fuel supply (adjacent market)</t>
        </is>
      </c>
      <c r="D5431" s="12" t="inlineStr">
        <is>
          <t>Plant network / DCS fibre</t>
        </is>
      </c>
      <c r="E5431" s="12" t="inlineStr">
        <is>
          <t>CR</t>
        </is>
      </c>
      <c r="F5431" s="12" t="inlineStr">
        <is>
          <t>Control / admin building (main control room)</t>
        </is>
      </c>
      <c r="G5431" s="12" t="inlineStr"/>
      <c r="H5431" s="12" t="inlineStr">
        <is>
          <t>LNG 17: LNG e-house (13.8 kV / 480 V)</t>
        </is>
      </c>
      <c r="I5431" s="12" t="inlineStr">
        <is>
          <t>Fibre / data</t>
        </is>
      </c>
      <c r="J5431" s="12" t="inlineStr">
        <is>
          <t>Fibre optic, single-mode, 12-fibre, armored, orange jacket</t>
        </is>
      </c>
      <c r="K5431" s="12" t="inlineStr">
        <is>
          <t>FO|12 SM|-</t>
        </is>
      </c>
      <c r="L5431" s="12" t="inlineStr">
        <is>
          <t>12 SM</t>
        </is>
      </c>
      <c r="M5431" s="12" t="inlineStr">
        <is>
          <t>-</t>
        </is>
      </c>
      <c r="N5431" s="12" t="n">
        <v>1</v>
      </c>
      <c r="O5431" s="12" t="n">
        <v>1</v>
      </c>
      <c r="P5431" s="12" t="n"/>
      <c r="Q5431" s="12" t="n"/>
      <c r="R5431" s="12" t="n"/>
      <c r="S5431" s="12" t="inlineStr">
        <is>
          <t>Duct bank</t>
        </is>
      </c>
      <c r="T5431" s="16" t="n">
        <v>3499</v>
      </c>
      <c r="U5431" s="16" t="n">
        <v>359</v>
      </c>
      <c r="V5431" s="16">
        <f>ROUNDUP((T5431+U5431+2*'Read Me'!$B$13)*(1+'Read Me'!$B$12),-1)</f>
        <v/>
      </c>
      <c r="W5431" s="16">
        <f>V5431*N5431*O5431</f>
        <v/>
      </c>
      <c r="X5431" s="12">
        <f>IF(LEFT(I5431,2)="MV",2*N5431*IF(L5431="1/C",O5431,1),0)</f>
        <v/>
      </c>
      <c r="Y5431" s="12">
        <f>IF(OR(LEFT(K5431,4)="LVAX",LEFT(K5431,6)="MV15AX",LEFT(K5431,4)="CTAX",LEFT(K5431,2)="W|"),2*N5431*O5431,0)</f>
        <v/>
      </c>
      <c r="Z5431" s="12" t="inlineStr"/>
      <c r="AA5431" s="12">
        <f>N5431*O5431</f>
        <v/>
      </c>
    </row>
    <row r="5432">
      <c r="A5432" s="12" t="inlineStr">
        <is>
          <t>K-F-0003</t>
        </is>
      </c>
      <c r="B5432" s="12" t="inlineStr">
        <is>
          <t>K</t>
        </is>
      </c>
      <c r="C5432" s="12" t="inlineStr">
        <is>
          <t>Fuel supply (adjacent market)</t>
        </is>
      </c>
      <c r="D5432" s="12" t="inlineStr">
        <is>
          <t>Plant network / DCS fibre</t>
        </is>
      </c>
      <c r="E5432" s="12" t="inlineStr">
        <is>
          <t>CR</t>
        </is>
      </c>
      <c r="F5432" s="12" t="inlineStr">
        <is>
          <t>Control / admin building (main control room)</t>
        </is>
      </c>
      <c r="G5432" s="12" t="inlineStr"/>
      <c r="H5432" s="12" t="inlineStr">
        <is>
          <t>M&amp;R 6: regulation / flow control building</t>
        </is>
      </c>
      <c r="I5432" s="12" t="inlineStr">
        <is>
          <t>Fibre / data</t>
        </is>
      </c>
      <c r="J5432" s="12" t="inlineStr">
        <is>
          <t>Fibre optic, single-mode, 12-fibre, armored, orange jacket</t>
        </is>
      </c>
      <c r="K5432" s="12" t="inlineStr">
        <is>
          <t>FO|12 SM|-</t>
        </is>
      </c>
      <c r="L5432" s="12" t="inlineStr">
        <is>
          <t>12 SM</t>
        </is>
      </c>
      <c r="M5432" s="12" t="inlineStr">
        <is>
          <t>-</t>
        </is>
      </c>
      <c r="N5432" s="12" t="n">
        <v>1</v>
      </c>
      <c r="O5432" s="12" t="n">
        <v>1</v>
      </c>
      <c r="P5432" s="12" t="n"/>
      <c r="Q5432" s="12" t="n"/>
      <c r="R5432" s="12" t="n"/>
      <c r="S5432" s="12" t="inlineStr">
        <is>
          <t>Duct bank</t>
        </is>
      </c>
      <c r="T5432" s="16" t="n">
        <v>3128</v>
      </c>
      <c r="U5432" s="16" t="n">
        <v>302</v>
      </c>
      <c r="V5432" s="16">
        <f>ROUNDUP((T5432+U5432+2*'Read Me'!$B$13)*(1+'Read Me'!$B$12),-1)</f>
        <v/>
      </c>
      <c r="W5432" s="16">
        <f>V5432*N5432*O5432</f>
        <v/>
      </c>
      <c r="X5432" s="12">
        <f>IF(LEFT(I5432,2)="MV",2*N5432*IF(L5432="1/C",O5432,1),0)</f>
        <v/>
      </c>
      <c r="Y5432" s="12">
        <f>IF(OR(LEFT(K5432,4)="LVAX",LEFT(K5432,6)="MV15AX",LEFT(K5432,4)="CTAX",LEFT(K5432,2)="W|"),2*N5432*O5432,0)</f>
        <v/>
      </c>
      <c r="Z5432" s="12" t="inlineStr"/>
      <c r="AA5432" s="12">
        <f>N5432*O5432</f>
        <v/>
      </c>
    </row>
    <row r="5433">
      <c r="A5433" s="12" t="inlineStr">
        <is>
          <t>K-F-0004</t>
        </is>
      </c>
      <c r="B5433" s="12" t="inlineStr">
        <is>
          <t>K</t>
        </is>
      </c>
      <c r="C5433" s="12" t="inlineStr">
        <is>
          <t>Fuel supply (adjacent market)</t>
        </is>
      </c>
      <c r="D5433" s="12" t="inlineStr">
        <is>
          <t>Plant network / DCS fibre</t>
        </is>
      </c>
      <c r="E5433" s="12" t="inlineStr">
        <is>
          <t>CR</t>
        </is>
      </c>
      <c r="F5433" s="12" t="inlineStr">
        <is>
          <t>Control / admin building (main control room)</t>
        </is>
      </c>
      <c r="G5433" s="12" t="inlineStr"/>
      <c r="H5433" s="12" t="inlineStr">
        <is>
          <t>M&amp;R 7: gas quality + measurement building</t>
        </is>
      </c>
      <c r="I5433" s="12" t="inlineStr">
        <is>
          <t>Fibre / data</t>
        </is>
      </c>
      <c r="J5433" s="12" t="inlineStr">
        <is>
          <t>Fibre optic, single-mode, 12-fibre, armored, orange jacket</t>
        </is>
      </c>
      <c r="K5433" s="12" t="inlineStr">
        <is>
          <t>FO|12 SM|-</t>
        </is>
      </c>
      <c r="L5433" s="12" t="inlineStr">
        <is>
          <t>12 SM</t>
        </is>
      </c>
      <c r="M5433" s="12" t="inlineStr">
        <is>
          <t>-</t>
        </is>
      </c>
      <c r="N5433" s="12" t="n">
        <v>1</v>
      </c>
      <c r="O5433" s="12" t="n">
        <v>1</v>
      </c>
      <c r="P5433" s="12" t="n"/>
      <c r="Q5433" s="12" t="n"/>
      <c r="R5433" s="12" t="n"/>
      <c r="S5433" s="12" t="inlineStr">
        <is>
          <t>Duct bank</t>
        </is>
      </c>
      <c r="T5433" s="16" t="n">
        <v>2978</v>
      </c>
      <c r="U5433" s="16" t="n">
        <v>284</v>
      </c>
      <c r="V5433" s="16">
        <f>ROUNDUP((T5433+U5433+2*'Read Me'!$B$13)*(1+'Read Me'!$B$12),-1)</f>
        <v/>
      </c>
      <c r="W5433" s="16">
        <f>V5433*N5433*O5433</f>
        <v/>
      </c>
      <c r="X5433" s="12">
        <f>IF(LEFT(I5433,2)="MV",2*N5433*IF(L5433="1/C",O5433,1),0)</f>
        <v/>
      </c>
      <c r="Y5433" s="12">
        <f>IF(OR(LEFT(K5433,4)="LVAX",LEFT(K5433,6)="MV15AX",LEFT(K5433,4)="CTAX",LEFT(K5433,2)="W|"),2*N5433*O5433,0)</f>
        <v/>
      </c>
      <c r="Z5433" s="12" t="inlineStr"/>
      <c r="AA5433" s="12">
        <f>N5433*O5433</f>
        <v/>
      </c>
    </row>
    <row r="5434">
      <c r="A5434" s="12" t="inlineStr">
        <is>
          <t>K-FA-0001</t>
        </is>
      </c>
      <c r="B5434" s="12" t="inlineStr">
        <is>
          <t>K</t>
        </is>
      </c>
      <c r="C5434" s="12" t="inlineStr">
        <is>
          <t>Fuel supply (adjacent market)</t>
        </is>
      </c>
      <c r="D5434" s="12" t="inlineStr">
        <is>
          <t>Fire alarm / F&amp;G loop (to the local FACP / F&amp;G node)</t>
        </is>
      </c>
      <c r="E5434" s="12" t="inlineStr"/>
      <c r="F5434" s="12" t="inlineStr">
        <is>
          <t>H2 20: 13.8 kV e-house</t>
        </is>
      </c>
      <c r="G5434" s="12" t="inlineStr"/>
      <c r="H5434" s="12" t="inlineStr">
        <is>
          <t>H2 20: 13.8 kV e-house</t>
        </is>
      </c>
      <c r="I5434" s="12" t="inlineStr">
        <is>
          <t>Fire alarm</t>
        </is>
      </c>
      <c r="J5434" s="12" t="inlineStr">
        <is>
          <t>Fire alarm FPLR 2/C #14 shielded, red jacket (NEC 760)</t>
        </is>
      </c>
      <c r="K5434" s="12" t="inlineStr">
        <is>
          <t>FA|2/C|14</t>
        </is>
      </c>
      <c r="L5434" s="12" t="inlineStr">
        <is>
          <t>2/C</t>
        </is>
      </c>
      <c r="M5434" s="12" t="inlineStr">
        <is>
          <t>14</t>
        </is>
      </c>
      <c r="N5434" s="12" t="n">
        <v>1</v>
      </c>
      <c r="O5434" s="12" t="n">
        <v>1</v>
      </c>
      <c r="P5434" s="12" t="n"/>
      <c r="Q5434" s="12" t="n"/>
      <c r="R5434" s="12" t="n"/>
      <c r="S5434" s="12" t="inlineStr">
        <is>
          <t>Tray</t>
        </is>
      </c>
      <c r="T5434" s="16" t="n">
        <v>0</v>
      </c>
      <c r="U5434" s="16" t="n">
        <v>32</v>
      </c>
      <c r="V5434" s="16">
        <f>ROUNDUP((T5434+U5434+2*'Read Me'!$B$13)*(1+'Read Me'!$B$12),-1)</f>
        <v/>
      </c>
      <c r="W5434" s="16">
        <f>V5434*N5434*O5434</f>
        <v/>
      </c>
      <c r="X5434" s="12">
        <f>IF(LEFT(I5434,2)="MV",2*N5434*IF(L5434="1/C",O5434,1),0)</f>
        <v/>
      </c>
      <c r="Y5434" s="12">
        <f>IF(OR(LEFT(K5434,4)="LVAX",LEFT(K5434,6)="MV15AX",LEFT(K5434,4)="CTAX",LEFT(K5434,2)="W|"),2*N5434*O5434,0)</f>
        <v/>
      </c>
      <c r="Z5434" s="12" t="inlineStr"/>
      <c r="AA5434" s="12">
        <f>N5434*O5434</f>
        <v/>
      </c>
    </row>
    <row r="5435">
      <c r="A5435" s="12" t="inlineStr">
        <is>
          <t>K-FA-0002</t>
        </is>
      </c>
      <c r="B5435" s="12" t="inlineStr">
        <is>
          <t>K</t>
        </is>
      </c>
      <c r="C5435" s="12" t="inlineStr">
        <is>
          <t>Fuel supply (adjacent market)</t>
        </is>
      </c>
      <c r="D5435" s="12" t="inlineStr">
        <is>
          <t>Fire alarm / F&amp;G loop (to the local FACP / F&amp;G node)</t>
        </is>
      </c>
      <c r="E5435" s="12" t="inlineStr"/>
      <c r="F5435" s="12" t="inlineStr">
        <is>
          <t>LNG 17: LNG e-house (13.8 kV / 480 V)</t>
        </is>
      </c>
      <c r="G5435" s="12" t="inlineStr"/>
      <c r="H5435" s="12" t="inlineStr">
        <is>
          <t>LNG 17: LNG e-house (13.8 kV / 480 V)</t>
        </is>
      </c>
      <c r="I5435" s="12" t="inlineStr">
        <is>
          <t>Fire alarm</t>
        </is>
      </c>
      <c r="J5435" s="12" t="inlineStr">
        <is>
          <t>Fire alarm FPLR 2/C #14 shielded, red jacket (NEC 760)</t>
        </is>
      </c>
      <c r="K5435" s="12" t="inlineStr">
        <is>
          <t>FA|2/C|14</t>
        </is>
      </c>
      <c r="L5435" s="12" t="inlineStr">
        <is>
          <t>2/C</t>
        </is>
      </c>
      <c r="M5435" s="12" t="inlineStr">
        <is>
          <t>14</t>
        </is>
      </c>
      <c r="N5435" s="12" t="n">
        <v>1</v>
      </c>
      <c r="O5435" s="12" t="n">
        <v>1</v>
      </c>
      <c r="P5435" s="12" t="n"/>
      <c r="Q5435" s="12" t="n"/>
      <c r="R5435" s="12" t="n"/>
      <c r="S5435" s="12" t="inlineStr">
        <is>
          <t>Tray</t>
        </is>
      </c>
      <c r="T5435" s="16" t="n">
        <v>0</v>
      </c>
      <c r="U5435" s="16" t="n">
        <v>32</v>
      </c>
      <c r="V5435" s="16">
        <f>ROUNDUP((T5435+U5435+2*'Read Me'!$B$13)*(1+'Read Me'!$B$12),-1)</f>
        <v/>
      </c>
      <c r="W5435" s="16">
        <f>V5435*N5435*O5435</f>
        <v/>
      </c>
      <c r="X5435" s="12">
        <f>IF(LEFT(I5435,2)="MV",2*N5435*IF(L5435="1/C",O5435,1),0)</f>
        <v/>
      </c>
      <c r="Y5435" s="12">
        <f>IF(OR(LEFT(K5435,4)="LVAX",LEFT(K5435,6)="MV15AX",LEFT(K5435,4)="CTAX",LEFT(K5435,2)="W|"),2*N5435*O5435,0)</f>
        <v/>
      </c>
      <c r="Z5435" s="12" t="inlineStr"/>
      <c r="AA5435" s="12">
        <f>N5435*O5435</f>
        <v/>
      </c>
    </row>
    <row r="5436">
      <c r="A5436" s="12" t="inlineStr">
        <is>
          <t>K-FA-0003</t>
        </is>
      </c>
      <c r="B5436" s="12" t="inlineStr">
        <is>
          <t>K</t>
        </is>
      </c>
      <c r="C5436" s="12" t="inlineStr">
        <is>
          <t>Fuel supply (adjacent market)</t>
        </is>
      </c>
      <c r="D5436" s="12" t="inlineStr">
        <is>
          <t>Fire alarm / F&amp;G loop (to the local FACP / F&amp;G node)</t>
        </is>
      </c>
      <c r="E5436" s="12" t="inlineStr"/>
      <c r="F5436" s="12" t="inlineStr">
        <is>
          <t>LNG 17: LNG e-house (13.8 kV / 480 V)</t>
        </is>
      </c>
      <c r="G5436" s="12" t="inlineStr"/>
      <c r="H5436" s="12" t="inlineStr">
        <is>
          <t>M&amp;R 6: regulation / flow control building</t>
        </is>
      </c>
      <c r="I5436" s="12" t="inlineStr">
        <is>
          <t>Fire alarm</t>
        </is>
      </c>
      <c r="J5436" s="12" t="inlineStr">
        <is>
          <t>Fire alarm FPLR 2/C #14 shielded, red jacket (NEC 760)</t>
        </is>
      </c>
      <c r="K5436" s="12" t="inlineStr">
        <is>
          <t>FA|2/C|14</t>
        </is>
      </c>
      <c r="L5436" s="12" t="inlineStr">
        <is>
          <t>2/C</t>
        </is>
      </c>
      <c r="M5436" s="12" t="inlineStr">
        <is>
          <t>14</t>
        </is>
      </c>
      <c r="N5436" s="12" t="n">
        <v>1</v>
      </c>
      <c r="O5436" s="12" t="n">
        <v>1</v>
      </c>
      <c r="P5436" s="12" t="n"/>
      <c r="Q5436" s="12" t="n"/>
      <c r="R5436" s="12" t="n"/>
      <c r="S5436" s="12" t="inlineStr">
        <is>
          <t>Duct bank</t>
        </is>
      </c>
      <c r="T5436" s="16" t="n">
        <v>470</v>
      </c>
      <c r="U5436" s="16" t="n">
        <v>70</v>
      </c>
      <c r="V5436" s="16">
        <f>ROUNDUP((T5436+U5436+2*'Read Me'!$B$13)*(1+'Read Me'!$B$12),-1)</f>
        <v/>
      </c>
      <c r="W5436" s="16">
        <f>V5436*N5436*O5436</f>
        <v/>
      </c>
      <c r="X5436" s="12">
        <f>IF(LEFT(I5436,2)="MV",2*N5436*IF(L5436="1/C",O5436,1),0)</f>
        <v/>
      </c>
      <c r="Y5436" s="12">
        <f>IF(OR(LEFT(K5436,4)="LVAX",LEFT(K5436,6)="MV15AX",LEFT(K5436,4)="CTAX",LEFT(K5436,2)="W|"),2*N5436*O5436,0)</f>
        <v/>
      </c>
      <c r="Z5436" s="12" t="inlineStr"/>
      <c r="AA5436" s="12">
        <f>N5436*O5436</f>
        <v/>
      </c>
    </row>
    <row r="5437">
      <c r="A5437" s="12" t="inlineStr">
        <is>
          <t>K-FA-0004</t>
        </is>
      </c>
      <c r="B5437" s="12" t="inlineStr">
        <is>
          <t>K</t>
        </is>
      </c>
      <c r="C5437" s="12" t="inlineStr">
        <is>
          <t>Fuel supply (adjacent market)</t>
        </is>
      </c>
      <c r="D5437" s="12" t="inlineStr">
        <is>
          <t>Fire alarm / F&amp;G loop (to the local FACP / F&amp;G node)</t>
        </is>
      </c>
      <c r="E5437" s="12" t="inlineStr"/>
      <c r="F5437" s="12" t="inlineStr">
        <is>
          <t>LNG 17: LNG e-house (13.8 kV / 480 V)</t>
        </is>
      </c>
      <c r="G5437" s="12" t="inlineStr"/>
      <c r="H5437" s="12" t="inlineStr">
        <is>
          <t>M&amp;R 9: service panel + UPS, SCADA RTU, CP</t>
        </is>
      </c>
      <c r="I5437" s="12" t="inlineStr">
        <is>
          <t>Fire alarm</t>
        </is>
      </c>
      <c r="J5437" s="12" t="inlineStr">
        <is>
          <t>Fire alarm FPLR 2/C #14 shielded, red jacket (NEC 760)</t>
        </is>
      </c>
      <c r="K5437" s="12" t="inlineStr">
        <is>
          <t>FA|2/C|14</t>
        </is>
      </c>
      <c r="L5437" s="12" t="inlineStr">
        <is>
          <t>2/C</t>
        </is>
      </c>
      <c r="M5437" s="12" t="inlineStr">
        <is>
          <t>14</t>
        </is>
      </c>
      <c r="N5437" s="12" t="n">
        <v>1</v>
      </c>
      <c r="O5437" s="12" t="n">
        <v>1</v>
      </c>
      <c r="P5437" s="12" t="n"/>
      <c r="Q5437" s="12" t="n"/>
      <c r="R5437" s="12" t="n"/>
      <c r="S5437" s="12" t="inlineStr">
        <is>
          <t>Duct bank</t>
        </is>
      </c>
      <c r="T5437" s="16" t="n">
        <v>466</v>
      </c>
      <c r="U5437" s="16" t="n">
        <v>32</v>
      </c>
      <c r="V5437" s="16">
        <f>ROUNDUP((T5437+U5437+2*'Read Me'!$B$13)*(1+'Read Me'!$B$12),-1)</f>
        <v/>
      </c>
      <c r="W5437" s="16">
        <f>V5437*N5437*O5437</f>
        <v/>
      </c>
      <c r="X5437" s="12">
        <f>IF(LEFT(I5437,2)="MV",2*N5437*IF(L5437="1/C",O5437,1),0)</f>
        <v/>
      </c>
      <c r="Y5437" s="12">
        <f>IF(OR(LEFT(K5437,4)="LVAX",LEFT(K5437,6)="MV15AX",LEFT(K5437,4)="CTAX",LEFT(K5437,2)="W|"),2*N5437*O5437,0)</f>
        <v/>
      </c>
      <c r="Z5437" s="12" t="inlineStr"/>
      <c r="AA5437" s="12">
        <f>N5437*O5437</f>
        <v/>
      </c>
    </row>
    <row r="5438">
      <c r="A5438" s="12" t="inlineStr">
        <is>
          <t>K-FA-0005</t>
        </is>
      </c>
      <c r="B5438" s="12" t="inlineStr">
        <is>
          <t>K</t>
        </is>
      </c>
      <c r="C5438" s="12" t="inlineStr">
        <is>
          <t>Fuel supply (adjacent market)</t>
        </is>
      </c>
      <c r="D5438" s="12" t="inlineStr">
        <is>
          <t>Fire alarm / F&amp;G loop (to the local FACP / F&amp;G node)</t>
        </is>
      </c>
      <c r="E5438" s="12" t="inlineStr"/>
      <c r="F5438" s="12" t="inlineStr">
        <is>
          <t>LNG 17: LNG e-house (13.8 kV / 480 V)</t>
        </is>
      </c>
      <c r="G5438" s="12" t="inlineStr"/>
      <c r="H5438" s="12" t="inlineStr">
        <is>
          <t>M&amp;R SCADA antenna mast base (as drawn)</t>
        </is>
      </c>
      <c r="I5438" s="12" t="inlineStr">
        <is>
          <t>Fire alarm</t>
        </is>
      </c>
      <c r="J5438" s="12" t="inlineStr">
        <is>
          <t>Fire alarm FPLR 2/C #14 shielded, red jacket (NEC 760)</t>
        </is>
      </c>
      <c r="K5438" s="12" t="inlineStr">
        <is>
          <t>FA|2/C|14</t>
        </is>
      </c>
      <c r="L5438" s="12" t="inlineStr">
        <is>
          <t>2/C</t>
        </is>
      </c>
      <c r="M5438" s="12" t="inlineStr">
        <is>
          <t>14</t>
        </is>
      </c>
      <c r="N5438" s="12" t="n">
        <v>1</v>
      </c>
      <c r="O5438" s="12" t="n">
        <v>1</v>
      </c>
      <c r="P5438" s="12" t="n"/>
      <c r="Q5438" s="12" t="n"/>
      <c r="R5438" s="12" t="n"/>
      <c r="S5438" s="12" t="inlineStr">
        <is>
          <t>Duct bank</t>
        </is>
      </c>
      <c r="T5438" s="16" t="n">
        <v>433</v>
      </c>
      <c r="U5438" s="16" t="n">
        <v>32</v>
      </c>
      <c r="V5438" s="16">
        <f>ROUNDUP((T5438+U5438+2*'Read Me'!$B$13)*(1+'Read Me'!$B$12),-1)</f>
        <v/>
      </c>
      <c r="W5438" s="16">
        <f>V5438*N5438*O5438</f>
        <v/>
      </c>
      <c r="X5438" s="12">
        <f>IF(LEFT(I5438,2)="MV",2*N5438*IF(L5438="1/C",O5438,1),0)</f>
        <v/>
      </c>
      <c r="Y5438" s="12">
        <f>IF(OR(LEFT(K5438,4)="LVAX",LEFT(K5438,6)="MV15AX",LEFT(K5438,4)="CTAX",LEFT(K5438,2)="W|"),2*N5438*O5438,0)</f>
        <v/>
      </c>
      <c r="Z5438" s="12" t="inlineStr"/>
      <c r="AA5438" s="12">
        <f>N5438*O5438</f>
        <v/>
      </c>
    </row>
    <row r="5439">
      <c r="A5439" s="12" t="inlineStr">
        <is>
          <t>K-I-0001</t>
        </is>
      </c>
      <c r="B5439" s="12" t="inlineStr">
        <is>
          <t>K</t>
        </is>
      </c>
      <c r="C5439" s="12" t="inlineStr">
        <is>
          <t>Fuel supply (adjacent market)</t>
        </is>
      </c>
      <c r="D5439" s="12" t="inlineStr">
        <is>
          <t>Analog instrument to JB JB-T-H2-AI01: 12 x 1 pr (field cables)</t>
        </is>
      </c>
      <c r="E5439" s="12" t="inlineStr">
        <is>
          <t>T-H2</t>
        </is>
      </c>
      <c r="F5439" s="12" t="inlineStr">
        <is>
          <t>H2 19: T-H2 230/13.8 kV (about 40 MVA)</t>
        </is>
      </c>
      <c r="G5439" s="12" t="inlineStr">
        <is>
          <t>JB-T-H2-AI01</t>
        </is>
      </c>
      <c r="H5439" s="12" t="inlineStr">
        <is>
          <t>H2 19: T-H2 230/13.8 kV (about 40 MVA)</t>
        </is>
      </c>
      <c r="I5439" s="12" t="inlineStr">
        <is>
          <t>Instrumentation</t>
        </is>
      </c>
      <c r="J5439" s="12" t="inlineStr">
        <is>
          <t>Instrumentation ITC / PLTC, IS, #18 shielded pairs, blue jacket</t>
        </is>
      </c>
      <c r="K5439" s="12" t="inlineStr">
        <is>
          <t>ITC|1 pr|16</t>
        </is>
      </c>
      <c r="L5439" s="12" t="inlineStr">
        <is>
          <t>1 pr</t>
        </is>
      </c>
      <c r="M5439" s="12" t="inlineStr">
        <is>
          <t>16</t>
        </is>
      </c>
      <c r="N5439" s="12" t="n">
        <v>12</v>
      </c>
      <c r="O5439" s="12" t="n">
        <v>1</v>
      </c>
      <c r="P5439" s="12" t="n"/>
      <c r="Q5439" s="12" t="n"/>
      <c r="R5439" s="12" t="n"/>
      <c r="S5439" s="12" t="inlineStr">
        <is>
          <t>Tray / conduit</t>
        </is>
      </c>
      <c r="T5439" s="16" t="n">
        <v>80</v>
      </c>
      <c r="U5439" s="16" t="n">
        <v>10</v>
      </c>
      <c r="V5439" s="16">
        <f>ROUNDUP((T5439+U5439+2*'Read Me'!$B$13)*(1+'Read Me'!$B$12),-1)</f>
        <v/>
      </c>
      <c r="W5439" s="16">
        <f>V5439*N5439*O5439</f>
        <v/>
      </c>
      <c r="X5439" s="12">
        <f>IF(LEFT(I5439,2)="MV",2*N5439*IF(L5439="1/C",O5439,1),0)</f>
        <v/>
      </c>
      <c r="Y5439" s="12">
        <f>IF(OR(LEFT(K5439,4)="LVAX",LEFT(K5439,6)="MV15AX",LEFT(K5439,4)="CTAX",LEFT(K5439,2)="W|"),2*N5439*O5439,0)</f>
        <v/>
      </c>
      <c r="Z5439" s="12" t="inlineStr">
        <is>
          <t>device-to-JB field wiring, one cable per device</t>
        </is>
      </c>
      <c r="AA5439" s="12">
        <f>N5439*O5439</f>
        <v/>
      </c>
    </row>
    <row r="5440">
      <c r="A5440" s="12" t="inlineStr">
        <is>
          <t>K-I-0002</t>
        </is>
      </c>
      <c r="B5440" s="12" t="inlineStr">
        <is>
          <t>K</t>
        </is>
      </c>
      <c r="C5440" s="12" t="inlineStr">
        <is>
          <t>Fuel supply (adjacent market)</t>
        </is>
      </c>
      <c r="D5440" s="12" t="inlineStr">
        <is>
          <t>Home run JB-T-H2-AI01 to the control / marshalling room</t>
        </is>
      </c>
      <c r="E5440" s="12" t="inlineStr"/>
      <c r="F5440" s="12" t="inlineStr">
        <is>
          <t>H2 20: 13.8 kV e-house</t>
        </is>
      </c>
      <c r="G5440" s="12" t="inlineStr">
        <is>
          <t>JB-T-H2-AI01</t>
        </is>
      </c>
      <c r="H5440" s="12" t="inlineStr">
        <is>
          <t>H2 19: T-H2 230/13.8 kV (about 40 MVA)</t>
        </is>
      </c>
      <c r="I5440" s="12" t="inlineStr">
        <is>
          <t>Instrumentation</t>
        </is>
      </c>
      <c r="J5440" s="12" t="inlineStr">
        <is>
          <t>Instrumentation ITC / PLTC, IS, #18 shielded pairs, blue jacket</t>
        </is>
      </c>
      <c r="K5440" s="12" t="inlineStr">
        <is>
          <t>ITC|24 pr|18</t>
        </is>
      </c>
      <c r="L5440" s="12" t="inlineStr">
        <is>
          <t>24 pr</t>
        </is>
      </c>
      <c r="M5440" s="12" t="inlineStr">
        <is>
          <t>18</t>
        </is>
      </c>
      <c r="N5440" s="12" t="n">
        <v>1</v>
      </c>
      <c r="O5440" s="12" t="n">
        <v>1</v>
      </c>
      <c r="P5440" s="12" t="n"/>
      <c r="Q5440" s="12" t="n"/>
      <c r="R5440" s="12" t="n"/>
      <c r="S5440" s="12" t="inlineStr">
        <is>
          <t>Duct bank</t>
        </is>
      </c>
      <c r="T5440" s="16" t="n">
        <v>35</v>
      </c>
      <c r="U5440" s="16" t="n">
        <v>32</v>
      </c>
      <c r="V5440" s="16">
        <f>ROUNDUP((T5440+U5440+2*'Read Me'!$B$13)*(1+'Read Me'!$B$12),-1)</f>
        <v/>
      </c>
      <c r="W5440" s="16">
        <f>V5440*N5440*O5440</f>
        <v/>
      </c>
      <c r="X5440" s="12">
        <f>IF(LEFT(I5440,2)="MV",2*N5440*IF(L5440="1/C",O5440,1),0)</f>
        <v/>
      </c>
      <c r="Y5440" s="12">
        <f>IF(OR(LEFT(K5440,4)="LVAX",LEFT(K5440,6)="MV15AX",LEFT(K5440,4)="CTAX",LEFT(K5440,2)="W|"),2*N5440*O5440,0)</f>
        <v/>
      </c>
      <c r="Z5440" s="12" t="inlineStr"/>
      <c r="AA5440" s="12">
        <f>N5440*O5440</f>
        <v/>
      </c>
    </row>
    <row r="5441">
      <c r="A5441" s="12" t="inlineStr">
        <is>
          <t>K-I-0003</t>
        </is>
      </c>
      <c r="B5441" s="12" t="inlineStr">
        <is>
          <t>K</t>
        </is>
      </c>
      <c r="C5441" s="12" t="inlineStr">
        <is>
          <t>Fuel supply (adjacent market)</t>
        </is>
      </c>
      <c r="D5441" s="12" t="inlineStr">
        <is>
          <t>Discrete device to JB JB-T-H2-DI01: 12 x 1 pr (field cables)</t>
        </is>
      </c>
      <c r="E5441" s="12" t="inlineStr">
        <is>
          <t>T-H2</t>
        </is>
      </c>
      <c r="F5441" s="12" t="inlineStr">
        <is>
          <t>H2 19: T-H2 230/13.8 kV (about 40 MVA)</t>
        </is>
      </c>
      <c r="G5441" s="12" t="inlineStr">
        <is>
          <t>JB-T-H2-DI01</t>
        </is>
      </c>
      <c r="H5441" s="12" t="inlineStr">
        <is>
          <t>H2 19: T-H2 230/13.8 kV (about 40 MVA)</t>
        </is>
      </c>
      <c r="I5441" s="12" t="inlineStr">
        <is>
          <t>Instrumentation</t>
        </is>
      </c>
      <c r="J5441" s="12" t="inlineStr">
        <is>
          <t>Instrumentation ITC / PLTC, IS, #18 shielded pairs, blue jacket</t>
        </is>
      </c>
      <c r="K5441" s="12" t="inlineStr">
        <is>
          <t>ITC|1 pr|16</t>
        </is>
      </c>
      <c r="L5441" s="12" t="inlineStr">
        <is>
          <t>1 pr</t>
        </is>
      </c>
      <c r="M5441" s="12" t="inlineStr">
        <is>
          <t>16</t>
        </is>
      </c>
      <c r="N5441" s="12" t="n">
        <v>12</v>
      </c>
      <c r="O5441" s="12" t="n">
        <v>1</v>
      </c>
      <c r="P5441" s="12" t="n"/>
      <c r="Q5441" s="12" t="n"/>
      <c r="R5441" s="12" t="n"/>
      <c r="S5441" s="12" t="inlineStr">
        <is>
          <t>Tray / conduit</t>
        </is>
      </c>
      <c r="T5441" s="16" t="n">
        <v>80</v>
      </c>
      <c r="U5441" s="16" t="n">
        <v>10</v>
      </c>
      <c r="V5441" s="16">
        <f>ROUNDUP((T5441+U5441+2*'Read Me'!$B$13)*(1+'Read Me'!$B$12),-1)</f>
        <v/>
      </c>
      <c r="W5441" s="16">
        <f>V5441*N5441*O5441</f>
        <v/>
      </c>
      <c r="X5441" s="12">
        <f>IF(LEFT(I5441,2)="MV",2*N5441*IF(L5441="1/C",O5441,1),0)</f>
        <v/>
      </c>
      <c r="Y5441" s="12">
        <f>IF(OR(LEFT(K5441,4)="LVAX",LEFT(K5441,6)="MV15AX",LEFT(K5441,4)="CTAX",LEFT(K5441,2)="W|"),2*N5441*O5441,0)</f>
        <v/>
      </c>
      <c r="Z5441" s="12" t="inlineStr">
        <is>
          <t>device-to-JB field wiring, one cable per device</t>
        </is>
      </c>
      <c r="AA5441" s="12">
        <f>N5441*O5441</f>
        <v/>
      </c>
    </row>
    <row r="5442">
      <c r="A5442" s="12" t="inlineStr">
        <is>
          <t>K-I-0004</t>
        </is>
      </c>
      <c r="B5442" s="12" t="inlineStr">
        <is>
          <t>K</t>
        </is>
      </c>
      <c r="C5442" s="12" t="inlineStr">
        <is>
          <t>Fuel supply (adjacent market)</t>
        </is>
      </c>
      <c r="D5442" s="12" t="inlineStr">
        <is>
          <t>Home run JB-T-H2-DI01 to the control / marshalling room</t>
        </is>
      </c>
      <c r="E5442" s="12" t="inlineStr"/>
      <c r="F5442" s="12" t="inlineStr">
        <is>
          <t>H2 20: 13.8 kV e-house</t>
        </is>
      </c>
      <c r="G5442" s="12" t="inlineStr">
        <is>
          <t>JB-T-H2-DI01</t>
        </is>
      </c>
      <c r="H5442" s="12" t="inlineStr">
        <is>
          <t>H2 19: T-H2 230/13.8 kV (about 40 MVA)</t>
        </is>
      </c>
      <c r="I5442" s="12" t="inlineStr">
        <is>
          <t>Instrumentation</t>
        </is>
      </c>
      <c r="J5442" s="12" t="inlineStr">
        <is>
          <t>Instrumentation ITC / PLTC, IS, #18 shielded pairs, blue jacket</t>
        </is>
      </c>
      <c r="K5442" s="12" t="inlineStr">
        <is>
          <t>ITC|24 pr|18</t>
        </is>
      </c>
      <c r="L5442" s="12" t="inlineStr">
        <is>
          <t>24 pr</t>
        </is>
      </c>
      <c r="M5442" s="12" t="inlineStr">
        <is>
          <t>18</t>
        </is>
      </c>
      <c r="N5442" s="12" t="n">
        <v>1</v>
      </c>
      <c r="O5442" s="12" t="n">
        <v>1</v>
      </c>
      <c r="P5442" s="12" t="n"/>
      <c r="Q5442" s="12" t="n"/>
      <c r="R5442" s="12" t="n"/>
      <c r="S5442" s="12" t="inlineStr">
        <is>
          <t>Duct bank</t>
        </is>
      </c>
      <c r="T5442" s="16" t="n">
        <v>35</v>
      </c>
      <c r="U5442" s="16" t="n">
        <v>32</v>
      </c>
      <c r="V5442" s="16">
        <f>ROUNDUP((T5442+U5442+2*'Read Me'!$B$13)*(1+'Read Me'!$B$12),-1)</f>
        <v/>
      </c>
      <c r="W5442" s="16">
        <f>V5442*N5442*O5442</f>
        <v/>
      </c>
      <c r="X5442" s="12">
        <f>IF(LEFT(I5442,2)="MV",2*N5442*IF(L5442="1/C",O5442,1),0)</f>
        <v/>
      </c>
      <c r="Y5442" s="12">
        <f>IF(OR(LEFT(K5442,4)="LVAX",LEFT(K5442,6)="MV15AX",LEFT(K5442,4)="CTAX",LEFT(K5442,2)="W|"),2*N5442*O5442,0)</f>
        <v/>
      </c>
      <c r="Z5442" s="12" t="inlineStr"/>
      <c r="AA5442" s="12">
        <f>N5442*O5442</f>
        <v/>
      </c>
    </row>
    <row r="5443">
      <c r="A5443" s="12" t="inlineStr">
        <is>
          <t>K-I-0005</t>
        </is>
      </c>
      <c r="B5443" s="12" t="inlineStr">
        <is>
          <t>K</t>
        </is>
      </c>
      <c r="C5443" s="12" t="inlineStr">
        <is>
          <t>Fuel supply (adjacent market)</t>
        </is>
      </c>
      <c r="D5443" s="12" t="inlineStr">
        <is>
          <t>Analog instrument to JB JB-H2 20: 13.8 kV e-h-AI01: 12 x 1 pr (field cables)</t>
        </is>
      </c>
      <c r="E5443" s="12" t="inlineStr"/>
      <c r="F5443" s="12" t="inlineStr">
        <is>
          <t>H2 20: 13.8 kV e-house</t>
        </is>
      </c>
      <c r="G5443" s="12" t="inlineStr">
        <is>
          <t>JB-H2 20: 13.8 kV e-h-AI01</t>
        </is>
      </c>
      <c r="H5443" s="12" t="inlineStr">
        <is>
          <t>H2 20: 13.8 kV e-house</t>
        </is>
      </c>
      <c r="I5443" s="12" t="inlineStr">
        <is>
          <t>Instrumentation</t>
        </is>
      </c>
      <c r="J5443" s="12" t="inlineStr">
        <is>
          <t>Instrumentation ITC / PLTC, IS, #18 shielded pairs, blue jacket</t>
        </is>
      </c>
      <c r="K5443" s="12" t="inlineStr">
        <is>
          <t>ITC|1 pr|16</t>
        </is>
      </c>
      <c r="L5443" s="12" t="inlineStr">
        <is>
          <t>1 pr</t>
        </is>
      </c>
      <c r="M5443" s="12" t="inlineStr">
        <is>
          <t>16</t>
        </is>
      </c>
      <c r="N5443" s="12" t="n">
        <v>12</v>
      </c>
      <c r="O5443" s="12" t="n">
        <v>1</v>
      </c>
      <c r="P5443" s="12" t="n"/>
      <c r="Q5443" s="12" t="n"/>
      <c r="R5443" s="12" t="n"/>
      <c r="S5443" s="12" t="inlineStr">
        <is>
          <t>Tray / conduit</t>
        </is>
      </c>
      <c r="T5443" s="16" t="n">
        <v>69</v>
      </c>
      <c r="U5443" s="16" t="n">
        <v>10</v>
      </c>
      <c r="V5443" s="16">
        <f>ROUNDUP((T5443+U5443+2*'Read Me'!$B$13)*(1+'Read Me'!$B$12),-1)</f>
        <v/>
      </c>
      <c r="W5443" s="16">
        <f>V5443*N5443*O5443</f>
        <v/>
      </c>
      <c r="X5443" s="12">
        <f>IF(LEFT(I5443,2)="MV",2*N5443*IF(L5443="1/C",O5443,1),0)</f>
        <v/>
      </c>
      <c r="Y5443" s="12">
        <f>IF(OR(LEFT(K5443,4)="LVAX",LEFT(K5443,6)="MV15AX",LEFT(K5443,4)="CTAX",LEFT(K5443,2)="W|"),2*N5443*O5443,0)</f>
        <v/>
      </c>
      <c r="Z5443" s="12" t="inlineStr">
        <is>
          <t>device-to-JB field wiring, one cable per device</t>
        </is>
      </c>
      <c r="AA5443" s="12">
        <f>N5443*O5443</f>
        <v/>
      </c>
    </row>
    <row r="5444">
      <c r="A5444" s="12" t="inlineStr">
        <is>
          <t>K-I-0006</t>
        </is>
      </c>
      <c r="B5444" s="12" t="inlineStr">
        <is>
          <t>K</t>
        </is>
      </c>
      <c r="C5444" s="12" t="inlineStr">
        <is>
          <t>Fuel supply (adjacent market)</t>
        </is>
      </c>
      <c r="D5444" s="12" t="inlineStr">
        <is>
          <t>Home run JB-H2 20: 13.8 kV e-h-AI01 to the control / marshalling room</t>
        </is>
      </c>
      <c r="E5444" s="12" t="inlineStr"/>
      <c r="F5444" s="12" t="inlineStr">
        <is>
          <t>H2 20: 13.8 kV e-house</t>
        </is>
      </c>
      <c r="G5444" s="12" t="inlineStr">
        <is>
          <t>JB-H2 20: 13.8 kV e-h-AI01</t>
        </is>
      </c>
      <c r="H5444" s="12" t="inlineStr">
        <is>
          <t>H2 20: 13.8 kV e-house</t>
        </is>
      </c>
      <c r="I5444" s="12" t="inlineStr">
        <is>
          <t>Instrumentation</t>
        </is>
      </c>
      <c r="J5444" s="12" t="inlineStr">
        <is>
          <t>Instrumentation ITC / PLTC, IS, #18 shielded pairs, blue jacket</t>
        </is>
      </c>
      <c r="K5444" s="12" t="inlineStr">
        <is>
          <t>ITC|24 pr|18</t>
        </is>
      </c>
      <c r="L5444" s="12" t="inlineStr">
        <is>
          <t>24 pr</t>
        </is>
      </c>
      <c r="M5444" s="12" t="inlineStr">
        <is>
          <t>18</t>
        </is>
      </c>
      <c r="N5444" s="12" t="n">
        <v>1</v>
      </c>
      <c r="O5444" s="12" t="n">
        <v>1</v>
      </c>
      <c r="P5444" s="12" t="n"/>
      <c r="Q5444" s="12" t="n"/>
      <c r="R5444" s="12" t="n"/>
      <c r="S5444" s="12" t="inlineStr">
        <is>
          <t>Tray</t>
        </is>
      </c>
      <c r="T5444" s="16" t="n">
        <v>0</v>
      </c>
      <c r="U5444" s="16" t="n">
        <v>32</v>
      </c>
      <c r="V5444" s="16">
        <f>ROUNDUP((T5444+U5444+2*'Read Me'!$B$13)*(1+'Read Me'!$B$12),-1)</f>
        <v/>
      </c>
      <c r="W5444" s="16">
        <f>V5444*N5444*O5444</f>
        <v/>
      </c>
      <c r="X5444" s="12">
        <f>IF(LEFT(I5444,2)="MV",2*N5444*IF(L5444="1/C",O5444,1),0)</f>
        <v/>
      </c>
      <c r="Y5444" s="12">
        <f>IF(OR(LEFT(K5444,4)="LVAX",LEFT(K5444,6)="MV15AX",LEFT(K5444,4)="CTAX",LEFT(K5444,2)="W|"),2*N5444*O5444,0)</f>
        <v/>
      </c>
      <c r="Z5444" s="12" t="inlineStr"/>
      <c r="AA5444" s="12">
        <f>N5444*O5444</f>
        <v/>
      </c>
    </row>
    <row r="5445">
      <c r="A5445" s="12" t="inlineStr">
        <is>
          <t>K-I-0007</t>
        </is>
      </c>
      <c r="B5445" s="12" t="inlineStr">
        <is>
          <t>K</t>
        </is>
      </c>
      <c r="C5445" s="12" t="inlineStr">
        <is>
          <t>Fuel supply (adjacent market)</t>
        </is>
      </c>
      <c r="D5445" s="12" t="inlineStr">
        <is>
          <t>Discrete device to JB JB-H2 20: 13.8 kV e-h-DI01: 12 x 1 pr (field cables)</t>
        </is>
      </c>
      <c r="E5445" s="12" t="inlineStr"/>
      <c r="F5445" s="12" t="inlineStr">
        <is>
          <t>H2 20: 13.8 kV e-house</t>
        </is>
      </c>
      <c r="G5445" s="12" t="inlineStr">
        <is>
          <t>JB-H2 20: 13.8 kV e-h-DI01</t>
        </is>
      </c>
      <c r="H5445" s="12" t="inlineStr">
        <is>
          <t>H2 20: 13.8 kV e-house</t>
        </is>
      </c>
      <c r="I5445" s="12" t="inlineStr">
        <is>
          <t>Instrumentation</t>
        </is>
      </c>
      <c r="J5445" s="12" t="inlineStr">
        <is>
          <t>Instrumentation ITC / PLTC, IS, #18 shielded pairs, blue jacket</t>
        </is>
      </c>
      <c r="K5445" s="12" t="inlineStr">
        <is>
          <t>ITC|1 pr|16</t>
        </is>
      </c>
      <c r="L5445" s="12" t="inlineStr">
        <is>
          <t>1 pr</t>
        </is>
      </c>
      <c r="M5445" s="12" t="inlineStr">
        <is>
          <t>16</t>
        </is>
      </c>
      <c r="N5445" s="12" t="n">
        <v>12</v>
      </c>
      <c r="O5445" s="12" t="n">
        <v>1</v>
      </c>
      <c r="P5445" s="12" t="n"/>
      <c r="Q5445" s="12" t="n"/>
      <c r="R5445" s="12" t="n"/>
      <c r="S5445" s="12" t="inlineStr">
        <is>
          <t>Tray / conduit</t>
        </is>
      </c>
      <c r="T5445" s="16" t="n">
        <v>69</v>
      </c>
      <c r="U5445" s="16" t="n">
        <v>10</v>
      </c>
      <c r="V5445" s="16">
        <f>ROUNDUP((T5445+U5445+2*'Read Me'!$B$13)*(1+'Read Me'!$B$12),-1)</f>
        <v/>
      </c>
      <c r="W5445" s="16">
        <f>V5445*N5445*O5445</f>
        <v/>
      </c>
      <c r="X5445" s="12">
        <f>IF(LEFT(I5445,2)="MV",2*N5445*IF(L5445="1/C",O5445,1),0)</f>
        <v/>
      </c>
      <c r="Y5445" s="12">
        <f>IF(OR(LEFT(K5445,4)="LVAX",LEFT(K5445,6)="MV15AX",LEFT(K5445,4)="CTAX",LEFT(K5445,2)="W|"),2*N5445*O5445,0)</f>
        <v/>
      </c>
      <c r="Z5445" s="12" t="inlineStr">
        <is>
          <t>device-to-JB field wiring, one cable per device</t>
        </is>
      </c>
      <c r="AA5445" s="12">
        <f>N5445*O5445</f>
        <v/>
      </c>
    </row>
    <row r="5446">
      <c r="A5446" s="12" t="inlineStr">
        <is>
          <t>K-I-0008</t>
        </is>
      </c>
      <c r="B5446" s="12" t="inlineStr">
        <is>
          <t>K</t>
        </is>
      </c>
      <c r="C5446" s="12" t="inlineStr">
        <is>
          <t>Fuel supply (adjacent market)</t>
        </is>
      </c>
      <c r="D5446" s="12" t="inlineStr">
        <is>
          <t>Home run JB-H2 20: 13.8 kV e-h-DI01 to the control / marshalling room</t>
        </is>
      </c>
      <c r="E5446" s="12" t="inlineStr"/>
      <c r="F5446" s="12" t="inlineStr">
        <is>
          <t>H2 20: 13.8 kV e-house</t>
        </is>
      </c>
      <c r="G5446" s="12" t="inlineStr">
        <is>
          <t>JB-H2 20: 13.8 kV e-h-DI01</t>
        </is>
      </c>
      <c r="H5446" s="12" t="inlineStr">
        <is>
          <t>H2 20: 13.8 kV e-house</t>
        </is>
      </c>
      <c r="I5446" s="12" t="inlineStr">
        <is>
          <t>Instrumentation</t>
        </is>
      </c>
      <c r="J5446" s="12" t="inlineStr">
        <is>
          <t>Instrumentation ITC / PLTC, IS, #18 shielded pairs, blue jacket</t>
        </is>
      </c>
      <c r="K5446" s="12" t="inlineStr">
        <is>
          <t>ITC|24 pr|18</t>
        </is>
      </c>
      <c r="L5446" s="12" t="inlineStr">
        <is>
          <t>24 pr</t>
        </is>
      </c>
      <c r="M5446" s="12" t="inlineStr">
        <is>
          <t>18</t>
        </is>
      </c>
      <c r="N5446" s="12" t="n">
        <v>1</v>
      </c>
      <c r="O5446" s="12" t="n">
        <v>1</v>
      </c>
      <c r="P5446" s="12" t="n"/>
      <c r="Q5446" s="12" t="n"/>
      <c r="R5446" s="12" t="n"/>
      <c r="S5446" s="12" t="inlineStr">
        <is>
          <t>Tray</t>
        </is>
      </c>
      <c r="T5446" s="16" t="n">
        <v>0</v>
      </c>
      <c r="U5446" s="16" t="n">
        <v>32</v>
      </c>
      <c r="V5446" s="16">
        <f>ROUNDUP((T5446+U5446+2*'Read Me'!$B$13)*(1+'Read Me'!$B$12),-1)</f>
        <v/>
      </c>
      <c r="W5446" s="16">
        <f>V5446*N5446*O5446</f>
        <v/>
      </c>
      <c r="X5446" s="12">
        <f>IF(LEFT(I5446,2)="MV",2*N5446*IF(L5446="1/C",O5446,1),0)</f>
        <v/>
      </c>
      <c r="Y5446" s="12">
        <f>IF(OR(LEFT(K5446,4)="LVAX",LEFT(K5446,6)="MV15AX",LEFT(K5446,4)="CTAX",LEFT(K5446,2)="W|"),2*N5446*O5446,0)</f>
        <v/>
      </c>
      <c r="Z5446" s="12" t="inlineStr"/>
      <c r="AA5446" s="12">
        <f>N5446*O5446</f>
        <v/>
      </c>
    </row>
    <row r="5447">
      <c r="A5447" s="12" t="inlineStr">
        <is>
          <t>K-I-0009</t>
        </is>
      </c>
      <c r="B5447" s="12" t="inlineStr">
        <is>
          <t>K</t>
        </is>
      </c>
      <c r="C5447" s="12" t="inlineStr">
        <is>
          <t>Fuel supply (adjacent market)</t>
        </is>
      </c>
      <c r="D5447" s="12" t="inlineStr">
        <is>
          <t>Analog instrument to JB JB-H2 21: rectifier t-AI01: 12 x 1 pr (field cables)</t>
        </is>
      </c>
      <c r="E5447" s="12" t="inlineStr"/>
      <c r="F5447" s="12" t="inlineStr">
        <is>
          <t>H2 21: rectifier transformer 1 (7 MVA)</t>
        </is>
      </c>
      <c r="G5447" s="12" t="inlineStr">
        <is>
          <t>JB-H2 21: rectifier t-AI01</t>
        </is>
      </c>
      <c r="H5447" s="12" t="inlineStr">
        <is>
          <t>H2 21: rectifier transformer 1 (7 MVA)</t>
        </is>
      </c>
      <c r="I5447" s="12" t="inlineStr">
        <is>
          <t>Instrumentation</t>
        </is>
      </c>
      <c r="J5447" s="12" t="inlineStr">
        <is>
          <t>Instrumentation ITC / PLTC, IS, #18 shielded pairs, blue jacket</t>
        </is>
      </c>
      <c r="K5447" s="12" t="inlineStr">
        <is>
          <t>ITC|1 pr|16</t>
        </is>
      </c>
      <c r="L5447" s="12" t="inlineStr">
        <is>
          <t>1 pr</t>
        </is>
      </c>
      <c r="M5447" s="12" t="inlineStr">
        <is>
          <t>16</t>
        </is>
      </c>
      <c r="N5447" s="12" t="n">
        <v>12</v>
      </c>
      <c r="O5447" s="12" t="n">
        <v>1</v>
      </c>
      <c r="P5447" s="12" t="n"/>
      <c r="Q5447" s="12" t="n"/>
      <c r="R5447" s="12" t="n"/>
      <c r="S5447" s="12" t="inlineStr">
        <is>
          <t>Tray / conduit</t>
        </is>
      </c>
      <c r="T5447" s="16" t="n">
        <v>41</v>
      </c>
      <c r="U5447" s="16" t="n">
        <v>10</v>
      </c>
      <c r="V5447" s="16">
        <f>ROUNDUP((T5447+U5447+2*'Read Me'!$B$13)*(1+'Read Me'!$B$12),-1)</f>
        <v/>
      </c>
      <c r="W5447" s="16">
        <f>V5447*N5447*O5447</f>
        <v/>
      </c>
      <c r="X5447" s="12">
        <f>IF(LEFT(I5447,2)="MV",2*N5447*IF(L5447="1/C",O5447,1),0)</f>
        <v/>
      </c>
      <c r="Y5447" s="12">
        <f>IF(OR(LEFT(K5447,4)="LVAX",LEFT(K5447,6)="MV15AX",LEFT(K5447,4)="CTAX",LEFT(K5447,2)="W|"),2*N5447*O5447,0)</f>
        <v/>
      </c>
      <c r="Z5447" s="12" t="inlineStr">
        <is>
          <t>device-to-JB field wiring, one cable per device</t>
        </is>
      </c>
      <c r="AA5447" s="12">
        <f>N5447*O5447</f>
        <v/>
      </c>
    </row>
    <row r="5448">
      <c r="A5448" s="12" t="inlineStr">
        <is>
          <t>K-I-0010</t>
        </is>
      </c>
      <c r="B5448" s="12" t="inlineStr">
        <is>
          <t>K</t>
        </is>
      </c>
      <c r="C5448" s="12" t="inlineStr">
        <is>
          <t>Fuel supply (adjacent market)</t>
        </is>
      </c>
      <c r="D5448" s="12" t="inlineStr">
        <is>
          <t>Home run JB-H2 21: rectifier t-AI01 to the control / marshalling room</t>
        </is>
      </c>
      <c r="E5448" s="12" t="inlineStr"/>
      <c r="F5448" s="12" t="inlineStr">
        <is>
          <t>H2 20: 13.8 kV e-house</t>
        </is>
      </c>
      <c r="G5448" s="12" t="inlineStr">
        <is>
          <t>JB-H2 21: rectifier t-AI01</t>
        </is>
      </c>
      <c r="H5448" s="12" t="inlineStr">
        <is>
          <t>H2 21: rectifier transformer 1 (7 MVA)</t>
        </is>
      </c>
      <c r="I5448" s="12" t="inlineStr">
        <is>
          <t>Instrumentation</t>
        </is>
      </c>
      <c r="J5448" s="12" t="inlineStr">
        <is>
          <t>Instrumentation ITC / PLTC, IS, #18 shielded pairs, blue jacket</t>
        </is>
      </c>
      <c r="K5448" s="12" t="inlineStr">
        <is>
          <t>ITC|24 pr|18</t>
        </is>
      </c>
      <c r="L5448" s="12" t="inlineStr">
        <is>
          <t>24 pr</t>
        </is>
      </c>
      <c r="M5448" s="12" t="inlineStr">
        <is>
          <t>18</t>
        </is>
      </c>
      <c r="N5448" s="12" t="n">
        <v>1</v>
      </c>
      <c r="O5448" s="12" t="n">
        <v>1</v>
      </c>
      <c r="P5448" s="12" t="n"/>
      <c r="Q5448" s="12" t="n"/>
      <c r="R5448" s="12" t="n"/>
      <c r="S5448" s="12" t="inlineStr">
        <is>
          <t>Duct bank</t>
        </is>
      </c>
      <c r="T5448" s="16" t="n">
        <v>356</v>
      </c>
      <c r="U5448" s="16" t="n">
        <v>48</v>
      </c>
      <c r="V5448" s="16">
        <f>ROUNDUP((T5448+U5448+2*'Read Me'!$B$13)*(1+'Read Me'!$B$12),-1)</f>
        <v/>
      </c>
      <c r="W5448" s="16">
        <f>V5448*N5448*O5448</f>
        <v/>
      </c>
      <c r="X5448" s="12">
        <f>IF(LEFT(I5448,2)="MV",2*N5448*IF(L5448="1/C",O5448,1),0)</f>
        <v/>
      </c>
      <c r="Y5448" s="12">
        <f>IF(OR(LEFT(K5448,4)="LVAX",LEFT(K5448,6)="MV15AX",LEFT(K5448,4)="CTAX",LEFT(K5448,2)="W|"),2*N5448*O5448,0)</f>
        <v/>
      </c>
      <c r="Z5448" s="12" t="inlineStr"/>
      <c r="AA5448" s="12">
        <f>N5448*O5448</f>
        <v/>
      </c>
    </row>
    <row r="5449">
      <c r="A5449" s="12" t="inlineStr">
        <is>
          <t>K-I-0011</t>
        </is>
      </c>
      <c r="B5449" s="12" t="inlineStr">
        <is>
          <t>K</t>
        </is>
      </c>
      <c r="C5449" s="12" t="inlineStr">
        <is>
          <t>Fuel supply (adjacent market)</t>
        </is>
      </c>
      <c r="D5449" s="12" t="inlineStr">
        <is>
          <t>Discrete device to JB JB-H2 21: rectifier t-DI01: 12 x 1 pr (field cables)</t>
        </is>
      </c>
      <c r="E5449" s="12" t="inlineStr"/>
      <c r="F5449" s="12" t="inlineStr">
        <is>
          <t>H2 21: rectifier transformer 1 (7 MVA)</t>
        </is>
      </c>
      <c r="G5449" s="12" t="inlineStr">
        <is>
          <t>JB-H2 21: rectifier t-DI01</t>
        </is>
      </c>
      <c r="H5449" s="12" t="inlineStr">
        <is>
          <t>H2 21: rectifier transformer 1 (7 MVA)</t>
        </is>
      </c>
      <c r="I5449" s="12" t="inlineStr">
        <is>
          <t>Instrumentation</t>
        </is>
      </c>
      <c r="J5449" s="12" t="inlineStr">
        <is>
          <t>Instrumentation ITC / PLTC, IS, #18 shielded pairs, blue jacket</t>
        </is>
      </c>
      <c r="K5449" s="12" t="inlineStr">
        <is>
          <t>ITC|1 pr|16</t>
        </is>
      </c>
      <c r="L5449" s="12" t="inlineStr">
        <is>
          <t>1 pr</t>
        </is>
      </c>
      <c r="M5449" s="12" t="inlineStr">
        <is>
          <t>16</t>
        </is>
      </c>
      <c r="N5449" s="12" t="n">
        <v>12</v>
      </c>
      <c r="O5449" s="12" t="n">
        <v>1</v>
      </c>
      <c r="P5449" s="12" t="n"/>
      <c r="Q5449" s="12" t="n"/>
      <c r="R5449" s="12" t="n"/>
      <c r="S5449" s="12" t="inlineStr">
        <is>
          <t>Tray / conduit</t>
        </is>
      </c>
      <c r="T5449" s="16" t="n">
        <v>41</v>
      </c>
      <c r="U5449" s="16" t="n">
        <v>10</v>
      </c>
      <c r="V5449" s="16">
        <f>ROUNDUP((T5449+U5449+2*'Read Me'!$B$13)*(1+'Read Me'!$B$12),-1)</f>
        <v/>
      </c>
      <c r="W5449" s="16">
        <f>V5449*N5449*O5449</f>
        <v/>
      </c>
      <c r="X5449" s="12">
        <f>IF(LEFT(I5449,2)="MV",2*N5449*IF(L5449="1/C",O5449,1),0)</f>
        <v/>
      </c>
      <c r="Y5449" s="12">
        <f>IF(OR(LEFT(K5449,4)="LVAX",LEFT(K5449,6)="MV15AX",LEFT(K5449,4)="CTAX",LEFT(K5449,2)="W|"),2*N5449*O5449,0)</f>
        <v/>
      </c>
      <c r="Z5449" s="12" t="inlineStr">
        <is>
          <t>device-to-JB field wiring, one cable per device</t>
        </is>
      </c>
      <c r="AA5449" s="12">
        <f>N5449*O5449</f>
        <v/>
      </c>
    </row>
    <row r="5450">
      <c r="A5450" s="12" t="inlineStr">
        <is>
          <t>K-I-0012</t>
        </is>
      </c>
      <c r="B5450" s="12" t="inlineStr">
        <is>
          <t>K</t>
        </is>
      </c>
      <c r="C5450" s="12" t="inlineStr">
        <is>
          <t>Fuel supply (adjacent market)</t>
        </is>
      </c>
      <c r="D5450" s="12" t="inlineStr">
        <is>
          <t>Home run JB-H2 21: rectifier t-DI01 to the control / marshalling room</t>
        </is>
      </c>
      <c r="E5450" s="12" t="inlineStr"/>
      <c r="F5450" s="12" t="inlineStr">
        <is>
          <t>H2 20: 13.8 kV e-house</t>
        </is>
      </c>
      <c r="G5450" s="12" t="inlineStr">
        <is>
          <t>JB-H2 21: rectifier t-DI01</t>
        </is>
      </c>
      <c r="H5450" s="12" t="inlineStr">
        <is>
          <t>H2 21: rectifier transformer 1 (7 MVA)</t>
        </is>
      </c>
      <c r="I5450" s="12" t="inlineStr">
        <is>
          <t>Instrumentation</t>
        </is>
      </c>
      <c r="J5450" s="12" t="inlineStr">
        <is>
          <t>Instrumentation ITC / PLTC, IS, #18 shielded pairs, blue jacket</t>
        </is>
      </c>
      <c r="K5450" s="12" t="inlineStr">
        <is>
          <t>ITC|24 pr|18</t>
        </is>
      </c>
      <c r="L5450" s="12" t="inlineStr">
        <is>
          <t>24 pr</t>
        </is>
      </c>
      <c r="M5450" s="12" t="inlineStr">
        <is>
          <t>18</t>
        </is>
      </c>
      <c r="N5450" s="12" t="n">
        <v>1</v>
      </c>
      <c r="O5450" s="12" t="n">
        <v>1</v>
      </c>
      <c r="P5450" s="12" t="n"/>
      <c r="Q5450" s="12" t="n"/>
      <c r="R5450" s="12" t="n"/>
      <c r="S5450" s="12" t="inlineStr">
        <is>
          <t>Duct bank</t>
        </is>
      </c>
      <c r="T5450" s="16" t="n">
        <v>356</v>
      </c>
      <c r="U5450" s="16" t="n">
        <v>48</v>
      </c>
      <c r="V5450" s="16">
        <f>ROUNDUP((T5450+U5450+2*'Read Me'!$B$13)*(1+'Read Me'!$B$12),-1)</f>
        <v/>
      </c>
      <c r="W5450" s="16">
        <f>V5450*N5450*O5450</f>
        <v/>
      </c>
      <c r="X5450" s="12">
        <f>IF(LEFT(I5450,2)="MV",2*N5450*IF(L5450="1/C",O5450,1),0)</f>
        <v/>
      </c>
      <c r="Y5450" s="12">
        <f>IF(OR(LEFT(K5450,4)="LVAX",LEFT(K5450,6)="MV15AX",LEFT(K5450,4)="CTAX",LEFT(K5450,2)="W|"),2*N5450*O5450,0)</f>
        <v/>
      </c>
      <c r="Z5450" s="12" t="inlineStr"/>
      <c r="AA5450" s="12">
        <f>N5450*O5450</f>
        <v/>
      </c>
    </row>
    <row r="5451">
      <c r="A5451" s="12" t="inlineStr">
        <is>
          <t>K-I-0013</t>
        </is>
      </c>
      <c r="B5451" s="12" t="inlineStr">
        <is>
          <t>K</t>
        </is>
      </c>
      <c r="C5451" s="12" t="inlineStr">
        <is>
          <t>Fuel supply (adjacent market)</t>
        </is>
      </c>
      <c r="D5451" s="12" t="inlineStr">
        <is>
          <t>Analog instrument to JB JB-H2 21: rectifier t-AI01: 12 x 1 pr (field cables)</t>
        </is>
      </c>
      <c r="E5451" s="12" t="inlineStr"/>
      <c r="F5451" s="12" t="inlineStr">
        <is>
          <t>H2 21: rectifier transformer 2 (7 MVA)</t>
        </is>
      </c>
      <c r="G5451" s="12" t="inlineStr">
        <is>
          <t>JB-H2 21: rectifier t-AI01</t>
        </is>
      </c>
      <c r="H5451" s="12" t="inlineStr">
        <is>
          <t>H2 21: rectifier transformer 2 (7 MVA)</t>
        </is>
      </c>
      <c r="I5451" s="12" t="inlineStr">
        <is>
          <t>Instrumentation</t>
        </is>
      </c>
      <c r="J5451" s="12" t="inlineStr">
        <is>
          <t>Instrumentation ITC / PLTC, IS, #18 shielded pairs, blue jacket</t>
        </is>
      </c>
      <c r="K5451" s="12" t="inlineStr">
        <is>
          <t>ITC|1 pr|16</t>
        </is>
      </c>
      <c r="L5451" s="12" t="inlineStr">
        <is>
          <t>1 pr</t>
        </is>
      </c>
      <c r="M5451" s="12" t="inlineStr">
        <is>
          <t>16</t>
        </is>
      </c>
      <c r="N5451" s="12" t="n">
        <v>12</v>
      </c>
      <c r="O5451" s="12" t="n">
        <v>1</v>
      </c>
      <c r="P5451" s="12" t="n"/>
      <c r="Q5451" s="12" t="n"/>
      <c r="R5451" s="12" t="n"/>
      <c r="S5451" s="12" t="inlineStr">
        <is>
          <t>Tray / conduit</t>
        </is>
      </c>
      <c r="T5451" s="16" t="n">
        <v>41</v>
      </c>
      <c r="U5451" s="16" t="n">
        <v>10</v>
      </c>
      <c r="V5451" s="16">
        <f>ROUNDUP((T5451+U5451+2*'Read Me'!$B$13)*(1+'Read Me'!$B$12),-1)</f>
        <v/>
      </c>
      <c r="W5451" s="16">
        <f>V5451*N5451*O5451</f>
        <v/>
      </c>
      <c r="X5451" s="12">
        <f>IF(LEFT(I5451,2)="MV",2*N5451*IF(L5451="1/C",O5451,1),0)</f>
        <v/>
      </c>
      <c r="Y5451" s="12">
        <f>IF(OR(LEFT(K5451,4)="LVAX",LEFT(K5451,6)="MV15AX",LEFT(K5451,4)="CTAX",LEFT(K5451,2)="W|"),2*N5451*O5451,0)</f>
        <v/>
      </c>
      <c r="Z5451" s="12" t="inlineStr">
        <is>
          <t>device-to-JB field wiring, one cable per device</t>
        </is>
      </c>
      <c r="AA5451" s="12">
        <f>N5451*O5451</f>
        <v/>
      </c>
    </row>
    <row r="5452">
      <c r="A5452" s="12" t="inlineStr">
        <is>
          <t>K-I-0014</t>
        </is>
      </c>
      <c r="B5452" s="12" t="inlineStr">
        <is>
          <t>K</t>
        </is>
      </c>
      <c r="C5452" s="12" t="inlineStr">
        <is>
          <t>Fuel supply (adjacent market)</t>
        </is>
      </c>
      <c r="D5452" s="12" t="inlineStr">
        <is>
          <t>Home run JB-H2 21: rectifier t-AI01 to the control / marshalling room</t>
        </is>
      </c>
      <c r="E5452" s="12" t="inlineStr"/>
      <c r="F5452" s="12" t="inlineStr">
        <is>
          <t>H2 20: 13.8 kV e-house</t>
        </is>
      </c>
      <c r="G5452" s="12" t="inlineStr">
        <is>
          <t>JB-H2 21: rectifier t-AI01</t>
        </is>
      </c>
      <c r="H5452" s="12" t="inlineStr">
        <is>
          <t>H2 21: rectifier transformer 2 (7 MVA)</t>
        </is>
      </c>
      <c r="I5452" s="12" t="inlineStr">
        <is>
          <t>Instrumentation</t>
        </is>
      </c>
      <c r="J5452" s="12" t="inlineStr">
        <is>
          <t>Instrumentation ITC / PLTC, IS, #18 shielded pairs, blue jacket</t>
        </is>
      </c>
      <c r="K5452" s="12" t="inlineStr">
        <is>
          <t>ITC|24 pr|18</t>
        </is>
      </c>
      <c r="L5452" s="12" t="inlineStr">
        <is>
          <t>24 pr</t>
        </is>
      </c>
      <c r="M5452" s="12" t="inlineStr">
        <is>
          <t>18</t>
        </is>
      </c>
      <c r="N5452" s="12" t="n">
        <v>1</v>
      </c>
      <c r="O5452" s="12" t="n">
        <v>1</v>
      </c>
      <c r="P5452" s="12" t="n"/>
      <c r="Q5452" s="12" t="n"/>
      <c r="R5452" s="12" t="n"/>
      <c r="S5452" s="12" t="inlineStr">
        <is>
          <t>Duct bank</t>
        </is>
      </c>
      <c r="T5452" s="16" t="n">
        <v>356</v>
      </c>
      <c r="U5452" s="16" t="n">
        <v>32</v>
      </c>
      <c r="V5452" s="16">
        <f>ROUNDUP((T5452+U5452+2*'Read Me'!$B$13)*(1+'Read Me'!$B$12),-1)</f>
        <v/>
      </c>
      <c r="W5452" s="16">
        <f>V5452*N5452*O5452</f>
        <v/>
      </c>
      <c r="X5452" s="12">
        <f>IF(LEFT(I5452,2)="MV",2*N5452*IF(L5452="1/C",O5452,1),0)</f>
        <v/>
      </c>
      <c r="Y5452" s="12">
        <f>IF(OR(LEFT(K5452,4)="LVAX",LEFT(K5452,6)="MV15AX",LEFT(K5452,4)="CTAX",LEFT(K5452,2)="W|"),2*N5452*O5452,0)</f>
        <v/>
      </c>
      <c r="Z5452" s="12" t="inlineStr"/>
      <c r="AA5452" s="12">
        <f>N5452*O5452</f>
        <v/>
      </c>
    </row>
    <row r="5453">
      <c r="A5453" s="12" t="inlineStr">
        <is>
          <t>K-I-0015</t>
        </is>
      </c>
      <c r="B5453" s="12" t="inlineStr">
        <is>
          <t>K</t>
        </is>
      </c>
      <c r="C5453" s="12" t="inlineStr">
        <is>
          <t>Fuel supply (adjacent market)</t>
        </is>
      </c>
      <c r="D5453" s="12" t="inlineStr">
        <is>
          <t>Discrete device to JB JB-H2 21: rectifier t-DI01: 12 x 1 pr (field cables)</t>
        </is>
      </c>
      <c r="E5453" s="12" t="inlineStr"/>
      <c r="F5453" s="12" t="inlineStr">
        <is>
          <t>H2 21: rectifier transformer 2 (7 MVA)</t>
        </is>
      </c>
      <c r="G5453" s="12" t="inlineStr">
        <is>
          <t>JB-H2 21: rectifier t-DI01</t>
        </is>
      </c>
      <c r="H5453" s="12" t="inlineStr">
        <is>
          <t>H2 21: rectifier transformer 2 (7 MVA)</t>
        </is>
      </c>
      <c r="I5453" s="12" t="inlineStr">
        <is>
          <t>Instrumentation</t>
        </is>
      </c>
      <c r="J5453" s="12" t="inlineStr">
        <is>
          <t>Instrumentation ITC / PLTC, IS, #18 shielded pairs, blue jacket</t>
        </is>
      </c>
      <c r="K5453" s="12" t="inlineStr">
        <is>
          <t>ITC|1 pr|16</t>
        </is>
      </c>
      <c r="L5453" s="12" t="inlineStr">
        <is>
          <t>1 pr</t>
        </is>
      </c>
      <c r="M5453" s="12" t="inlineStr">
        <is>
          <t>16</t>
        </is>
      </c>
      <c r="N5453" s="12" t="n">
        <v>12</v>
      </c>
      <c r="O5453" s="12" t="n">
        <v>1</v>
      </c>
      <c r="P5453" s="12" t="n"/>
      <c r="Q5453" s="12" t="n"/>
      <c r="R5453" s="12" t="n"/>
      <c r="S5453" s="12" t="inlineStr">
        <is>
          <t>Tray / conduit</t>
        </is>
      </c>
      <c r="T5453" s="16" t="n">
        <v>41</v>
      </c>
      <c r="U5453" s="16" t="n">
        <v>10</v>
      </c>
      <c r="V5453" s="16">
        <f>ROUNDUP((T5453+U5453+2*'Read Me'!$B$13)*(1+'Read Me'!$B$12),-1)</f>
        <v/>
      </c>
      <c r="W5453" s="16">
        <f>V5453*N5453*O5453</f>
        <v/>
      </c>
      <c r="X5453" s="12">
        <f>IF(LEFT(I5453,2)="MV",2*N5453*IF(L5453="1/C",O5453,1),0)</f>
        <v/>
      </c>
      <c r="Y5453" s="12">
        <f>IF(OR(LEFT(K5453,4)="LVAX",LEFT(K5453,6)="MV15AX",LEFT(K5453,4)="CTAX",LEFT(K5453,2)="W|"),2*N5453*O5453,0)</f>
        <v/>
      </c>
      <c r="Z5453" s="12" t="inlineStr">
        <is>
          <t>device-to-JB field wiring, one cable per device</t>
        </is>
      </c>
      <c r="AA5453" s="12">
        <f>N5453*O5453</f>
        <v/>
      </c>
    </row>
    <row r="5454">
      <c r="A5454" s="12" t="inlineStr">
        <is>
          <t>K-I-0016</t>
        </is>
      </c>
      <c r="B5454" s="12" t="inlineStr">
        <is>
          <t>K</t>
        </is>
      </c>
      <c r="C5454" s="12" t="inlineStr">
        <is>
          <t>Fuel supply (adjacent market)</t>
        </is>
      </c>
      <c r="D5454" s="12" t="inlineStr">
        <is>
          <t>Home run JB-H2 21: rectifier t-DI01 to the control / marshalling room</t>
        </is>
      </c>
      <c r="E5454" s="12" t="inlineStr"/>
      <c r="F5454" s="12" t="inlineStr">
        <is>
          <t>H2 20: 13.8 kV e-house</t>
        </is>
      </c>
      <c r="G5454" s="12" t="inlineStr">
        <is>
          <t>JB-H2 21: rectifier t-DI01</t>
        </is>
      </c>
      <c r="H5454" s="12" t="inlineStr">
        <is>
          <t>H2 21: rectifier transformer 2 (7 MVA)</t>
        </is>
      </c>
      <c r="I5454" s="12" t="inlineStr">
        <is>
          <t>Instrumentation</t>
        </is>
      </c>
      <c r="J5454" s="12" t="inlineStr">
        <is>
          <t>Instrumentation ITC / PLTC, IS, #18 shielded pairs, blue jacket</t>
        </is>
      </c>
      <c r="K5454" s="12" t="inlineStr">
        <is>
          <t>ITC|24 pr|18</t>
        </is>
      </c>
      <c r="L5454" s="12" t="inlineStr">
        <is>
          <t>24 pr</t>
        </is>
      </c>
      <c r="M5454" s="12" t="inlineStr">
        <is>
          <t>18</t>
        </is>
      </c>
      <c r="N5454" s="12" t="n">
        <v>1</v>
      </c>
      <c r="O5454" s="12" t="n">
        <v>1</v>
      </c>
      <c r="P5454" s="12" t="n"/>
      <c r="Q5454" s="12" t="n"/>
      <c r="R5454" s="12" t="n"/>
      <c r="S5454" s="12" t="inlineStr">
        <is>
          <t>Duct bank</t>
        </is>
      </c>
      <c r="T5454" s="16" t="n">
        <v>356</v>
      </c>
      <c r="U5454" s="16" t="n">
        <v>32</v>
      </c>
      <c r="V5454" s="16">
        <f>ROUNDUP((T5454+U5454+2*'Read Me'!$B$13)*(1+'Read Me'!$B$12),-1)</f>
        <v/>
      </c>
      <c r="W5454" s="16">
        <f>V5454*N5454*O5454</f>
        <v/>
      </c>
      <c r="X5454" s="12">
        <f>IF(LEFT(I5454,2)="MV",2*N5454*IF(L5454="1/C",O5454,1),0)</f>
        <v/>
      </c>
      <c r="Y5454" s="12">
        <f>IF(OR(LEFT(K5454,4)="LVAX",LEFT(K5454,6)="MV15AX",LEFT(K5454,4)="CTAX",LEFT(K5454,2)="W|"),2*N5454*O5454,0)</f>
        <v/>
      </c>
      <c r="Z5454" s="12" t="inlineStr"/>
      <c r="AA5454" s="12">
        <f>N5454*O5454</f>
        <v/>
      </c>
    </row>
    <row r="5455">
      <c r="A5455" s="12" t="inlineStr">
        <is>
          <t>K-I-0017</t>
        </is>
      </c>
      <c r="B5455" s="12" t="inlineStr">
        <is>
          <t>K</t>
        </is>
      </c>
      <c r="C5455" s="12" t="inlineStr">
        <is>
          <t>Fuel supply (adjacent market)</t>
        </is>
      </c>
      <c r="D5455" s="12" t="inlineStr">
        <is>
          <t>Analog instrument to JB JB-H2 21: rectifier t-AI01: 12 x 1 pr (field cables)</t>
        </is>
      </c>
      <c r="E5455" s="12" t="inlineStr"/>
      <c r="F5455" s="12" t="inlineStr">
        <is>
          <t>H2 21: rectifier transformer 3 (7 MVA)</t>
        </is>
      </c>
      <c r="G5455" s="12" t="inlineStr">
        <is>
          <t>JB-H2 21: rectifier t-AI01</t>
        </is>
      </c>
      <c r="H5455" s="12" t="inlineStr">
        <is>
          <t>H2 21: rectifier transformer 3 (7 MVA)</t>
        </is>
      </c>
      <c r="I5455" s="12" t="inlineStr">
        <is>
          <t>Instrumentation</t>
        </is>
      </c>
      <c r="J5455" s="12" t="inlineStr">
        <is>
          <t>Instrumentation ITC / PLTC, IS, #18 shielded pairs, blue jacket</t>
        </is>
      </c>
      <c r="K5455" s="12" t="inlineStr">
        <is>
          <t>ITC|1 pr|16</t>
        </is>
      </c>
      <c r="L5455" s="12" t="inlineStr">
        <is>
          <t>1 pr</t>
        </is>
      </c>
      <c r="M5455" s="12" t="inlineStr">
        <is>
          <t>16</t>
        </is>
      </c>
      <c r="N5455" s="12" t="n">
        <v>12</v>
      </c>
      <c r="O5455" s="12" t="n">
        <v>1</v>
      </c>
      <c r="P5455" s="12" t="n"/>
      <c r="Q5455" s="12" t="n"/>
      <c r="R5455" s="12" t="n"/>
      <c r="S5455" s="12" t="inlineStr">
        <is>
          <t>Tray / conduit</t>
        </is>
      </c>
      <c r="T5455" s="16" t="n">
        <v>41</v>
      </c>
      <c r="U5455" s="16" t="n">
        <v>10</v>
      </c>
      <c r="V5455" s="16">
        <f>ROUNDUP((T5455+U5455+2*'Read Me'!$B$13)*(1+'Read Me'!$B$12),-1)</f>
        <v/>
      </c>
      <c r="W5455" s="16">
        <f>V5455*N5455*O5455</f>
        <v/>
      </c>
      <c r="X5455" s="12">
        <f>IF(LEFT(I5455,2)="MV",2*N5455*IF(L5455="1/C",O5455,1),0)</f>
        <v/>
      </c>
      <c r="Y5455" s="12">
        <f>IF(OR(LEFT(K5455,4)="LVAX",LEFT(K5455,6)="MV15AX",LEFT(K5455,4)="CTAX",LEFT(K5455,2)="W|"),2*N5455*O5455,0)</f>
        <v/>
      </c>
      <c r="Z5455" s="12" t="inlineStr">
        <is>
          <t>device-to-JB field wiring, one cable per device</t>
        </is>
      </c>
      <c r="AA5455" s="12">
        <f>N5455*O5455</f>
        <v/>
      </c>
    </row>
    <row r="5456">
      <c r="A5456" s="12" t="inlineStr">
        <is>
          <t>K-I-0018</t>
        </is>
      </c>
      <c r="B5456" s="12" t="inlineStr">
        <is>
          <t>K</t>
        </is>
      </c>
      <c r="C5456" s="12" t="inlineStr">
        <is>
          <t>Fuel supply (adjacent market)</t>
        </is>
      </c>
      <c r="D5456" s="12" t="inlineStr">
        <is>
          <t>Home run JB-H2 21: rectifier t-AI01 to the control / marshalling room</t>
        </is>
      </c>
      <c r="E5456" s="12" t="inlineStr"/>
      <c r="F5456" s="12" t="inlineStr">
        <is>
          <t>H2 20: 13.8 kV e-house</t>
        </is>
      </c>
      <c r="G5456" s="12" t="inlineStr">
        <is>
          <t>JB-H2 21: rectifier t-AI01</t>
        </is>
      </c>
      <c r="H5456" s="12" t="inlineStr">
        <is>
          <t>H2 21: rectifier transformer 3 (7 MVA)</t>
        </is>
      </c>
      <c r="I5456" s="12" t="inlineStr">
        <is>
          <t>Instrumentation</t>
        </is>
      </c>
      <c r="J5456" s="12" t="inlineStr">
        <is>
          <t>Instrumentation ITC / PLTC, IS, #18 shielded pairs, blue jacket</t>
        </is>
      </c>
      <c r="K5456" s="12" t="inlineStr">
        <is>
          <t>ITC|24 pr|18</t>
        </is>
      </c>
      <c r="L5456" s="12" t="inlineStr">
        <is>
          <t>24 pr</t>
        </is>
      </c>
      <c r="M5456" s="12" t="inlineStr">
        <is>
          <t>18</t>
        </is>
      </c>
      <c r="N5456" s="12" t="n">
        <v>1</v>
      </c>
      <c r="O5456" s="12" t="n">
        <v>1</v>
      </c>
      <c r="P5456" s="12" t="n"/>
      <c r="Q5456" s="12" t="n"/>
      <c r="R5456" s="12" t="n"/>
      <c r="S5456" s="12" t="inlineStr">
        <is>
          <t>Duct bank</t>
        </is>
      </c>
      <c r="T5456" s="16" t="n">
        <v>334</v>
      </c>
      <c r="U5456" s="16" t="n">
        <v>32</v>
      </c>
      <c r="V5456" s="16">
        <f>ROUNDUP((T5456+U5456+2*'Read Me'!$B$13)*(1+'Read Me'!$B$12),-1)</f>
        <v/>
      </c>
      <c r="W5456" s="16">
        <f>V5456*N5456*O5456</f>
        <v/>
      </c>
      <c r="X5456" s="12">
        <f>IF(LEFT(I5456,2)="MV",2*N5456*IF(L5456="1/C",O5456,1),0)</f>
        <v/>
      </c>
      <c r="Y5456" s="12">
        <f>IF(OR(LEFT(K5456,4)="LVAX",LEFT(K5456,6)="MV15AX",LEFT(K5456,4)="CTAX",LEFT(K5456,2)="W|"),2*N5456*O5456,0)</f>
        <v/>
      </c>
      <c r="Z5456" s="12" t="inlineStr"/>
      <c r="AA5456" s="12">
        <f>N5456*O5456</f>
        <v/>
      </c>
    </row>
    <row r="5457">
      <c r="A5457" s="12" t="inlineStr">
        <is>
          <t>K-I-0019</t>
        </is>
      </c>
      <c r="B5457" s="12" t="inlineStr">
        <is>
          <t>K</t>
        </is>
      </c>
      <c r="C5457" s="12" t="inlineStr">
        <is>
          <t>Fuel supply (adjacent market)</t>
        </is>
      </c>
      <c r="D5457" s="12" t="inlineStr">
        <is>
          <t>Discrete device to JB JB-H2 21: rectifier t-DI01: 12 x 1 pr (field cables)</t>
        </is>
      </c>
      <c r="E5457" s="12" t="inlineStr"/>
      <c r="F5457" s="12" t="inlineStr">
        <is>
          <t>H2 21: rectifier transformer 3 (7 MVA)</t>
        </is>
      </c>
      <c r="G5457" s="12" t="inlineStr">
        <is>
          <t>JB-H2 21: rectifier t-DI01</t>
        </is>
      </c>
      <c r="H5457" s="12" t="inlineStr">
        <is>
          <t>H2 21: rectifier transformer 3 (7 MVA)</t>
        </is>
      </c>
      <c r="I5457" s="12" t="inlineStr">
        <is>
          <t>Instrumentation</t>
        </is>
      </c>
      <c r="J5457" s="12" t="inlineStr">
        <is>
          <t>Instrumentation ITC / PLTC, IS, #18 shielded pairs, blue jacket</t>
        </is>
      </c>
      <c r="K5457" s="12" t="inlineStr">
        <is>
          <t>ITC|1 pr|16</t>
        </is>
      </c>
      <c r="L5457" s="12" t="inlineStr">
        <is>
          <t>1 pr</t>
        </is>
      </c>
      <c r="M5457" s="12" t="inlineStr">
        <is>
          <t>16</t>
        </is>
      </c>
      <c r="N5457" s="12" t="n">
        <v>12</v>
      </c>
      <c r="O5457" s="12" t="n">
        <v>1</v>
      </c>
      <c r="P5457" s="12" t="n"/>
      <c r="Q5457" s="12" t="n"/>
      <c r="R5457" s="12" t="n"/>
      <c r="S5457" s="12" t="inlineStr">
        <is>
          <t>Tray / conduit</t>
        </is>
      </c>
      <c r="T5457" s="16" t="n">
        <v>41</v>
      </c>
      <c r="U5457" s="16" t="n">
        <v>10</v>
      </c>
      <c r="V5457" s="16">
        <f>ROUNDUP((T5457+U5457+2*'Read Me'!$B$13)*(1+'Read Me'!$B$12),-1)</f>
        <v/>
      </c>
      <c r="W5457" s="16">
        <f>V5457*N5457*O5457</f>
        <v/>
      </c>
      <c r="X5457" s="12">
        <f>IF(LEFT(I5457,2)="MV",2*N5457*IF(L5457="1/C",O5457,1),0)</f>
        <v/>
      </c>
      <c r="Y5457" s="12">
        <f>IF(OR(LEFT(K5457,4)="LVAX",LEFT(K5457,6)="MV15AX",LEFT(K5457,4)="CTAX",LEFT(K5457,2)="W|"),2*N5457*O5457,0)</f>
        <v/>
      </c>
      <c r="Z5457" s="12" t="inlineStr">
        <is>
          <t>device-to-JB field wiring, one cable per device</t>
        </is>
      </c>
      <c r="AA5457" s="12">
        <f>N5457*O5457</f>
        <v/>
      </c>
    </row>
    <row r="5458">
      <c r="A5458" s="12" t="inlineStr">
        <is>
          <t>K-I-0020</t>
        </is>
      </c>
      <c r="B5458" s="12" t="inlineStr">
        <is>
          <t>K</t>
        </is>
      </c>
      <c r="C5458" s="12" t="inlineStr">
        <is>
          <t>Fuel supply (adjacent market)</t>
        </is>
      </c>
      <c r="D5458" s="12" t="inlineStr">
        <is>
          <t>Home run JB-H2 21: rectifier t-DI01 to the control / marshalling room</t>
        </is>
      </c>
      <c r="E5458" s="12" t="inlineStr"/>
      <c r="F5458" s="12" t="inlineStr">
        <is>
          <t>H2 20: 13.8 kV e-house</t>
        </is>
      </c>
      <c r="G5458" s="12" t="inlineStr">
        <is>
          <t>JB-H2 21: rectifier t-DI01</t>
        </is>
      </c>
      <c r="H5458" s="12" t="inlineStr">
        <is>
          <t>H2 21: rectifier transformer 3 (7 MVA)</t>
        </is>
      </c>
      <c r="I5458" s="12" t="inlineStr">
        <is>
          <t>Instrumentation</t>
        </is>
      </c>
      <c r="J5458" s="12" t="inlineStr">
        <is>
          <t>Instrumentation ITC / PLTC, IS, #18 shielded pairs, blue jacket</t>
        </is>
      </c>
      <c r="K5458" s="12" t="inlineStr">
        <is>
          <t>ITC|24 pr|18</t>
        </is>
      </c>
      <c r="L5458" s="12" t="inlineStr">
        <is>
          <t>24 pr</t>
        </is>
      </c>
      <c r="M5458" s="12" t="inlineStr">
        <is>
          <t>18</t>
        </is>
      </c>
      <c r="N5458" s="12" t="n">
        <v>1</v>
      </c>
      <c r="O5458" s="12" t="n">
        <v>1</v>
      </c>
      <c r="P5458" s="12" t="n"/>
      <c r="Q5458" s="12" t="n"/>
      <c r="R5458" s="12" t="n"/>
      <c r="S5458" s="12" t="inlineStr">
        <is>
          <t>Duct bank</t>
        </is>
      </c>
      <c r="T5458" s="16" t="n">
        <v>334</v>
      </c>
      <c r="U5458" s="16" t="n">
        <v>32</v>
      </c>
      <c r="V5458" s="16">
        <f>ROUNDUP((T5458+U5458+2*'Read Me'!$B$13)*(1+'Read Me'!$B$12),-1)</f>
        <v/>
      </c>
      <c r="W5458" s="16">
        <f>V5458*N5458*O5458</f>
        <v/>
      </c>
      <c r="X5458" s="12">
        <f>IF(LEFT(I5458,2)="MV",2*N5458*IF(L5458="1/C",O5458,1),0)</f>
        <v/>
      </c>
      <c r="Y5458" s="12">
        <f>IF(OR(LEFT(K5458,4)="LVAX",LEFT(K5458,6)="MV15AX",LEFT(K5458,4)="CTAX",LEFT(K5458,2)="W|"),2*N5458*O5458,0)</f>
        <v/>
      </c>
      <c r="Z5458" s="12" t="inlineStr"/>
      <c r="AA5458" s="12">
        <f>N5458*O5458</f>
        <v/>
      </c>
    </row>
    <row r="5459">
      <c r="A5459" s="12" t="inlineStr">
        <is>
          <t>K-I-0021</t>
        </is>
      </c>
      <c r="B5459" s="12" t="inlineStr">
        <is>
          <t>K</t>
        </is>
      </c>
      <c r="C5459" s="12" t="inlineStr">
        <is>
          <t>Fuel supply (adjacent market)</t>
        </is>
      </c>
      <c r="D5459" s="12" t="inlineStr">
        <is>
          <t>Analog instrument to JB JB-H2 21: rectifier t-AI01: 12 x 1 pr (field cables)</t>
        </is>
      </c>
      <c r="E5459" s="12" t="inlineStr"/>
      <c r="F5459" s="12" t="inlineStr">
        <is>
          <t>H2 21: rectifier transformer 4 (7 MVA)</t>
        </is>
      </c>
      <c r="G5459" s="12" t="inlineStr">
        <is>
          <t>JB-H2 21: rectifier t-AI01</t>
        </is>
      </c>
      <c r="H5459" s="12" t="inlineStr">
        <is>
          <t>H2 21: rectifier transformer 4 (7 MVA)</t>
        </is>
      </c>
      <c r="I5459" s="12" t="inlineStr">
        <is>
          <t>Instrumentation</t>
        </is>
      </c>
      <c r="J5459" s="12" t="inlineStr">
        <is>
          <t>Instrumentation ITC / PLTC, IS, #18 shielded pairs, blue jacket</t>
        </is>
      </c>
      <c r="K5459" s="12" t="inlineStr">
        <is>
          <t>ITC|1 pr|16</t>
        </is>
      </c>
      <c r="L5459" s="12" t="inlineStr">
        <is>
          <t>1 pr</t>
        </is>
      </c>
      <c r="M5459" s="12" t="inlineStr">
        <is>
          <t>16</t>
        </is>
      </c>
      <c r="N5459" s="12" t="n">
        <v>12</v>
      </c>
      <c r="O5459" s="12" t="n">
        <v>1</v>
      </c>
      <c r="P5459" s="12" t="n"/>
      <c r="Q5459" s="12" t="n"/>
      <c r="R5459" s="12" t="n"/>
      <c r="S5459" s="12" t="inlineStr">
        <is>
          <t>Tray / conduit</t>
        </is>
      </c>
      <c r="T5459" s="16" t="n">
        <v>41</v>
      </c>
      <c r="U5459" s="16" t="n">
        <v>10</v>
      </c>
      <c r="V5459" s="16">
        <f>ROUNDUP((T5459+U5459+2*'Read Me'!$B$13)*(1+'Read Me'!$B$12),-1)</f>
        <v/>
      </c>
      <c r="W5459" s="16">
        <f>V5459*N5459*O5459</f>
        <v/>
      </c>
      <c r="X5459" s="12">
        <f>IF(LEFT(I5459,2)="MV",2*N5459*IF(L5459="1/C",O5459,1),0)</f>
        <v/>
      </c>
      <c r="Y5459" s="12">
        <f>IF(OR(LEFT(K5459,4)="LVAX",LEFT(K5459,6)="MV15AX",LEFT(K5459,4)="CTAX",LEFT(K5459,2)="W|"),2*N5459*O5459,0)</f>
        <v/>
      </c>
      <c r="Z5459" s="12" t="inlineStr">
        <is>
          <t>device-to-JB field wiring, one cable per device</t>
        </is>
      </c>
      <c r="AA5459" s="12">
        <f>N5459*O5459</f>
        <v/>
      </c>
    </row>
    <row r="5460">
      <c r="A5460" s="12" t="inlineStr">
        <is>
          <t>K-I-0022</t>
        </is>
      </c>
      <c r="B5460" s="12" t="inlineStr">
        <is>
          <t>K</t>
        </is>
      </c>
      <c r="C5460" s="12" t="inlineStr">
        <is>
          <t>Fuel supply (adjacent market)</t>
        </is>
      </c>
      <c r="D5460" s="12" t="inlineStr">
        <is>
          <t>Home run JB-H2 21: rectifier t-AI01 to the control / marshalling room</t>
        </is>
      </c>
      <c r="E5460" s="12" t="inlineStr"/>
      <c r="F5460" s="12" t="inlineStr">
        <is>
          <t>H2 20: 13.8 kV e-house</t>
        </is>
      </c>
      <c r="G5460" s="12" t="inlineStr">
        <is>
          <t>JB-H2 21: rectifier t-AI01</t>
        </is>
      </c>
      <c r="H5460" s="12" t="inlineStr">
        <is>
          <t>H2 21: rectifier transformer 4 (7 MVA)</t>
        </is>
      </c>
      <c r="I5460" s="12" t="inlineStr">
        <is>
          <t>Instrumentation</t>
        </is>
      </c>
      <c r="J5460" s="12" t="inlineStr">
        <is>
          <t>Instrumentation ITC / PLTC, IS, #18 shielded pairs, blue jacket</t>
        </is>
      </c>
      <c r="K5460" s="12" t="inlineStr">
        <is>
          <t>ITC|24 pr|18</t>
        </is>
      </c>
      <c r="L5460" s="12" t="inlineStr">
        <is>
          <t>24 pr</t>
        </is>
      </c>
      <c r="M5460" s="12" t="inlineStr">
        <is>
          <t>18</t>
        </is>
      </c>
      <c r="N5460" s="12" t="n">
        <v>1</v>
      </c>
      <c r="O5460" s="12" t="n">
        <v>1</v>
      </c>
      <c r="P5460" s="12" t="n"/>
      <c r="Q5460" s="12" t="n"/>
      <c r="R5460" s="12" t="n"/>
      <c r="S5460" s="12" t="inlineStr">
        <is>
          <t>Duct bank</t>
        </is>
      </c>
      <c r="T5460" s="16" t="n">
        <v>312</v>
      </c>
      <c r="U5460" s="16" t="n">
        <v>32</v>
      </c>
      <c r="V5460" s="16">
        <f>ROUNDUP((T5460+U5460+2*'Read Me'!$B$13)*(1+'Read Me'!$B$12),-1)</f>
        <v/>
      </c>
      <c r="W5460" s="16">
        <f>V5460*N5460*O5460</f>
        <v/>
      </c>
      <c r="X5460" s="12">
        <f>IF(LEFT(I5460,2)="MV",2*N5460*IF(L5460="1/C",O5460,1),0)</f>
        <v/>
      </c>
      <c r="Y5460" s="12">
        <f>IF(OR(LEFT(K5460,4)="LVAX",LEFT(K5460,6)="MV15AX",LEFT(K5460,4)="CTAX",LEFT(K5460,2)="W|"),2*N5460*O5460,0)</f>
        <v/>
      </c>
      <c r="Z5460" s="12" t="inlineStr"/>
      <c r="AA5460" s="12">
        <f>N5460*O5460</f>
        <v/>
      </c>
    </row>
    <row r="5461">
      <c r="A5461" s="12" t="inlineStr">
        <is>
          <t>K-I-0023</t>
        </is>
      </c>
      <c r="B5461" s="12" t="inlineStr">
        <is>
          <t>K</t>
        </is>
      </c>
      <c r="C5461" s="12" t="inlineStr">
        <is>
          <t>Fuel supply (adjacent market)</t>
        </is>
      </c>
      <c r="D5461" s="12" t="inlineStr">
        <is>
          <t>Discrete device to JB JB-H2 21: rectifier t-DI01: 12 x 1 pr (field cables)</t>
        </is>
      </c>
      <c r="E5461" s="12" t="inlineStr"/>
      <c r="F5461" s="12" t="inlineStr">
        <is>
          <t>H2 21: rectifier transformer 4 (7 MVA)</t>
        </is>
      </c>
      <c r="G5461" s="12" t="inlineStr">
        <is>
          <t>JB-H2 21: rectifier t-DI01</t>
        </is>
      </c>
      <c r="H5461" s="12" t="inlineStr">
        <is>
          <t>H2 21: rectifier transformer 4 (7 MVA)</t>
        </is>
      </c>
      <c r="I5461" s="12" t="inlineStr">
        <is>
          <t>Instrumentation</t>
        </is>
      </c>
      <c r="J5461" s="12" t="inlineStr">
        <is>
          <t>Instrumentation ITC / PLTC, IS, #18 shielded pairs, blue jacket</t>
        </is>
      </c>
      <c r="K5461" s="12" t="inlineStr">
        <is>
          <t>ITC|1 pr|16</t>
        </is>
      </c>
      <c r="L5461" s="12" t="inlineStr">
        <is>
          <t>1 pr</t>
        </is>
      </c>
      <c r="M5461" s="12" t="inlineStr">
        <is>
          <t>16</t>
        </is>
      </c>
      <c r="N5461" s="12" t="n">
        <v>12</v>
      </c>
      <c r="O5461" s="12" t="n">
        <v>1</v>
      </c>
      <c r="P5461" s="12" t="n"/>
      <c r="Q5461" s="12" t="n"/>
      <c r="R5461" s="12" t="n"/>
      <c r="S5461" s="12" t="inlineStr">
        <is>
          <t>Tray / conduit</t>
        </is>
      </c>
      <c r="T5461" s="16" t="n">
        <v>41</v>
      </c>
      <c r="U5461" s="16" t="n">
        <v>10</v>
      </c>
      <c r="V5461" s="16">
        <f>ROUNDUP((T5461+U5461+2*'Read Me'!$B$13)*(1+'Read Me'!$B$12),-1)</f>
        <v/>
      </c>
      <c r="W5461" s="16">
        <f>V5461*N5461*O5461</f>
        <v/>
      </c>
      <c r="X5461" s="12">
        <f>IF(LEFT(I5461,2)="MV",2*N5461*IF(L5461="1/C",O5461,1),0)</f>
        <v/>
      </c>
      <c r="Y5461" s="12">
        <f>IF(OR(LEFT(K5461,4)="LVAX",LEFT(K5461,6)="MV15AX",LEFT(K5461,4)="CTAX",LEFT(K5461,2)="W|"),2*N5461*O5461,0)</f>
        <v/>
      </c>
      <c r="Z5461" s="12" t="inlineStr">
        <is>
          <t>device-to-JB field wiring, one cable per device</t>
        </is>
      </c>
      <c r="AA5461" s="12">
        <f>N5461*O5461</f>
        <v/>
      </c>
    </row>
    <row r="5462">
      <c r="A5462" s="12" t="inlineStr">
        <is>
          <t>K-I-0024</t>
        </is>
      </c>
      <c r="B5462" s="12" t="inlineStr">
        <is>
          <t>K</t>
        </is>
      </c>
      <c r="C5462" s="12" t="inlineStr">
        <is>
          <t>Fuel supply (adjacent market)</t>
        </is>
      </c>
      <c r="D5462" s="12" t="inlineStr">
        <is>
          <t>Home run JB-H2 21: rectifier t-DI01 to the control / marshalling room</t>
        </is>
      </c>
      <c r="E5462" s="12" t="inlineStr"/>
      <c r="F5462" s="12" t="inlineStr">
        <is>
          <t>H2 20: 13.8 kV e-house</t>
        </is>
      </c>
      <c r="G5462" s="12" t="inlineStr">
        <is>
          <t>JB-H2 21: rectifier t-DI01</t>
        </is>
      </c>
      <c r="H5462" s="12" t="inlineStr">
        <is>
          <t>H2 21: rectifier transformer 4 (7 MVA)</t>
        </is>
      </c>
      <c r="I5462" s="12" t="inlineStr">
        <is>
          <t>Instrumentation</t>
        </is>
      </c>
      <c r="J5462" s="12" t="inlineStr">
        <is>
          <t>Instrumentation ITC / PLTC, IS, #18 shielded pairs, blue jacket</t>
        </is>
      </c>
      <c r="K5462" s="12" t="inlineStr">
        <is>
          <t>ITC|24 pr|18</t>
        </is>
      </c>
      <c r="L5462" s="12" t="inlineStr">
        <is>
          <t>24 pr</t>
        </is>
      </c>
      <c r="M5462" s="12" t="inlineStr">
        <is>
          <t>18</t>
        </is>
      </c>
      <c r="N5462" s="12" t="n">
        <v>1</v>
      </c>
      <c r="O5462" s="12" t="n">
        <v>1</v>
      </c>
      <c r="P5462" s="12" t="n"/>
      <c r="Q5462" s="12" t="n"/>
      <c r="R5462" s="12" t="n"/>
      <c r="S5462" s="12" t="inlineStr">
        <is>
          <t>Duct bank</t>
        </is>
      </c>
      <c r="T5462" s="16" t="n">
        <v>312</v>
      </c>
      <c r="U5462" s="16" t="n">
        <v>32</v>
      </c>
      <c r="V5462" s="16">
        <f>ROUNDUP((T5462+U5462+2*'Read Me'!$B$13)*(1+'Read Me'!$B$12),-1)</f>
        <v/>
      </c>
      <c r="W5462" s="16">
        <f>V5462*N5462*O5462</f>
        <v/>
      </c>
      <c r="X5462" s="12">
        <f>IF(LEFT(I5462,2)="MV",2*N5462*IF(L5462="1/C",O5462,1),0)</f>
        <v/>
      </c>
      <c r="Y5462" s="12">
        <f>IF(OR(LEFT(K5462,4)="LVAX",LEFT(K5462,6)="MV15AX",LEFT(K5462,4)="CTAX",LEFT(K5462,2)="W|"),2*N5462*O5462,0)</f>
        <v/>
      </c>
      <c r="Z5462" s="12" t="inlineStr"/>
      <c r="AA5462" s="12">
        <f>N5462*O5462</f>
        <v/>
      </c>
    </row>
    <row r="5463">
      <c r="A5463" s="12" t="inlineStr">
        <is>
          <t>K-I-0025</t>
        </is>
      </c>
      <c r="B5463" s="12" t="inlineStr">
        <is>
          <t>K</t>
        </is>
      </c>
      <c r="C5463" s="12" t="inlineStr">
        <is>
          <t>Fuel supply (adjacent market)</t>
        </is>
      </c>
      <c r="D5463" s="12" t="inlineStr">
        <is>
          <t>Analog instrument to JB JB-H2 21: rectifier t-AI01: 12 x 1 pr (field cables)</t>
        </is>
      </c>
      <c r="E5463" s="12" t="inlineStr"/>
      <c r="F5463" s="12" t="inlineStr">
        <is>
          <t>H2 21: rectifier transformer 5 (7 MVA)</t>
        </is>
      </c>
      <c r="G5463" s="12" t="inlineStr">
        <is>
          <t>JB-H2 21: rectifier t-AI01</t>
        </is>
      </c>
      <c r="H5463" s="12" t="inlineStr">
        <is>
          <t>H2 21: rectifier transformer 5 (7 MVA)</t>
        </is>
      </c>
      <c r="I5463" s="12" t="inlineStr">
        <is>
          <t>Instrumentation</t>
        </is>
      </c>
      <c r="J5463" s="12" t="inlineStr">
        <is>
          <t>Instrumentation ITC / PLTC, IS, #18 shielded pairs, blue jacket</t>
        </is>
      </c>
      <c r="K5463" s="12" t="inlineStr">
        <is>
          <t>ITC|1 pr|16</t>
        </is>
      </c>
      <c r="L5463" s="12" t="inlineStr">
        <is>
          <t>1 pr</t>
        </is>
      </c>
      <c r="M5463" s="12" t="inlineStr">
        <is>
          <t>16</t>
        </is>
      </c>
      <c r="N5463" s="12" t="n">
        <v>12</v>
      </c>
      <c r="O5463" s="12" t="n">
        <v>1</v>
      </c>
      <c r="P5463" s="12" t="n"/>
      <c r="Q5463" s="12" t="n"/>
      <c r="R5463" s="12" t="n"/>
      <c r="S5463" s="12" t="inlineStr">
        <is>
          <t>Tray / conduit</t>
        </is>
      </c>
      <c r="T5463" s="16" t="n">
        <v>41</v>
      </c>
      <c r="U5463" s="16" t="n">
        <v>10</v>
      </c>
      <c r="V5463" s="16">
        <f>ROUNDUP((T5463+U5463+2*'Read Me'!$B$13)*(1+'Read Me'!$B$12),-1)</f>
        <v/>
      </c>
      <c r="W5463" s="16">
        <f>V5463*N5463*O5463</f>
        <v/>
      </c>
      <c r="X5463" s="12">
        <f>IF(LEFT(I5463,2)="MV",2*N5463*IF(L5463="1/C",O5463,1),0)</f>
        <v/>
      </c>
      <c r="Y5463" s="12">
        <f>IF(OR(LEFT(K5463,4)="LVAX",LEFT(K5463,6)="MV15AX",LEFT(K5463,4)="CTAX",LEFT(K5463,2)="W|"),2*N5463*O5463,0)</f>
        <v/>
      </c>
      <c r="Z5463" s="12" t="inlineStr">
        <is>
          <t>device-to-JB field wiring, one cable per device</t>
        </is>
      </c>
      <c r="AA5463" s="12">
        <f>N5463*O5463</f>
        <v/>
      </c>
    </row>
    <row r="5464">
      <c r="A5464" s="12" t="inlineStr">
        <is>
          <t>K-I-0026</t>
        </is>
      </c>
      <c r="B5464" s="12" t="inlineStr">
        <is>
          <t>K</t>
        </is>
      </c>
      <c r="C5464" s="12" t="inlineStr">
        <is>
          <t>Fuel supply (adjacent market)</t>
        </is>
      </c>
      <c r="D5464" s="12" t="inlineStr">
        <is>
          <t>Home run JB-H2 21: rectifier t-AI01 to the control / marshalling room</t>
        </is>
      </c>
      <c r="E5464" s="12" t="inlineStr"/>
      <c r="F5464" s="12" t="inlineStr">
        <is>
          <t>H2 20: 13.8 kV e-house</t>
        </is>
      </c>
      <c r="G5464" s="12" t="inlineStr">
        <is>
          <t>JB-H2 21: rectifier t-AI01</t>
        </is>
      </c>
      <c r="H5464" s="12" t="inlineStr">
        <is>
          <t>H2 21: rectifier transformer 5 (7 MVA)</t>
        </is>
      </c>
      <c r="I5464" s="12" t="inlineStr">
        <is>
          <t>Instrumentation</t>
        </is>
      </c>
      <c r="J5464" s="12" t="inlineStr">
        <is>
          <t>Instrumentation ITC / PLTC, IS, #18 shielded pairs, blue jacket</t>
        </is>
      </c>
      <c r="K5464" s="12" t="inlineStr">
        <is>
          <t>ITC|24 pr|18</t>
        </is>
      </c>
      <c r="L5464" s="12" t="inlineStr">
        <is>
          <t>24 pr</t>
        </is>
      </c>
      <c r="M5464" s="12" t="inlineStr">
        <is>
          <t>18</t>
        </is>
      </c>
      <c r="N5464" s="12" t="n">
        <v>1</v>
      </c>
      <c r="O5464" s="12" t="n">
        <v>1</v>
      </c>
      <c r="P5464" s="12" t="n"/>
      <c r="Q5464" s="12" t="n"/>
      <c r="R5464" s="12" t="n"/>
      <c r="S5464" s="12" t="inlineStr">
        <is>
          <t>Duct bank</t>
        </is>
      </c>
      <c r="T5464" s="16" t="n">
        <v>254</v>
      </c>
      <c r="U5464" s="16" t="n">
        <v>32</v>
      </c>
      <c r="V5464" s="16">
        <f>ROUNDUP((T5464+U5464+2*'Read Me'!$B$13)*(1+'Read Me'!$B$12),-1)</f>
        <v/>
      </c>
      <c r="W5464" s="16">
        <f>V5464*N5464*O5464</f>
        <v/>
      </c>
      <c r="X5464" s="12">
        <f>IF(LEFT(I5464,2)="MV",2*N5464*IF(L5464="1/C",O5464,1),0)</f>
        <v/>
      </c>
      <c r="Y5464" s="12">
        <f>IF(OR(LEFT(K5464,4)="LVAX",LEFT(K5464,6)="MV15AX",LEFT(K5464,4)="CTAX",LEFT(K5464,2)="W|"),2*N5464*O5464,0)</f>
        <v/>
      </c>
      <c r="Z5464" s="12" t="inlineStr"/>
      <c r="AA5464" s="12">
        <f>N5464*O5464</f>
        <v/>
      </c>
    </row>
    <row r="5465">
      <c r="A5465" s="12" t="inlineStr">
        <is>
          <t>K-I-0027</t>
        </is>
      </c>
      <c r="B5465" s="12" t="inlineStr">
        <is>
          <t>K</t>
        </is>
      </c>
      <c r="C5465" s="12" t="inlineStr">
        <is>
          <t>Fuel supply (adjacent market)</t>
        </is>
      </c>
      <c r="D5465" s="12" t="inlineStr">
        <is>
          <t>Discrete device to JB JB-H2 21: rectifier t-DI01: 12 x 1 pr (field cables)</t>
        </is>
      </c>
      <c r="E5465" s="12" t="inlineStr"/>
      <c r="F5465" s="12" t="inlineStr">
        <is>
          <t>H2 21: rectifier transformer 5 (7 MVA)</t>
        </is>
      </c>
      <c r="G5465" s="12" t="inlineStr">
        <is>
          <t>JB-H2 21: rectifier t-DI01</t>
        </is>
      </c>
      <c r="H5465" s="12" t="inlineStr">
        <is>
          <t>H2 21: rectifier transformer 5 (7 MVA)</t>
        </is>
      </c>
      <c r="I5465" s="12" t="inlineStr">
        <is>
          <t>Instrumentation</t>
        </is>
      </c>
      <c r="J5465" s="12" t="inlineStr">
        <is>
          <t>Instrumentation ITC / PLTC, IS, #18 shielded pairs, blue jacket</t>
        </is>
      </c>
      <c r="K5465" s="12" t="inlineStr">
        <is>
          <t>ITC|1 pr|16</t>
        </is>
      </c>
      <c r="L5465" s="12" t="inlineStr">
        <is>
          <t>1 pr</t>
        </is>
      </c>
      <c r="M5465" s="12" t="inlineStr">
        <is>
          <t>16</t>
        </is>
      </c>
      <c r="N5465" s="12" t="n">
        <v>12</v>
      </c>
      <c r="O5465" s="12" t="n">
        <v>1</v>
      </c>
      <c r="P5465" s="12" t="n"/>
      <c r="Q5465" s="12" t="n"/>
      <c r="R5465" s="12" t="n"/>
      <c r="S5465" s="12" t="inlineStr">
        <is>
          <t>Tray / conduit</t>
        </is>
      </c>
      <c r="T5465" s="16" t="n">
        <v>41</v>
      </c>
      <c r="U5465" s="16" t="n">
        <v>10</v>
      </c>
      <c r="V5465" s="16">
        <f>ROUNDUP((T5465+U5465+2*'Read Me'!$B$13)*(1+'Read Me'!$B$12),-1)</f>
        <v/>
      </c>
      <c r="W5465" s="16">
        <f>V5465*N5465*O5465</f>
        <v/>
      </c>
      <c r="X5465" s="12">
        <f>IF(LEFT(I5465,2)="MV",2*N5465*IF(L5465="1/C",O5465,1),0)</f>
        <v/>
      </c>
      <c r="Y5465" s="12">
        <f>IF(OR(LEFT(K5465,4)="LVAX",LEFT(K5465,6)="MV15AX",LEFT(K5465,4)="CTAX",LEFT(K5465,2)="W|"),2*N5465*O5465,0)</f>
        <v/>
      </c>
      <c r="Z5465" s="12" t="inlineStr">
        <is>
          <t>device-to-JB field wiring, one cable per device</t>
        </is>
      </c>
      <c r="AA5465" s="12">
        <f>N5465*O5465</f>
        <v/>
      </c>
    </row>
    <row r="5466">
      <c r="A5466" s="12" t="inlineStr">
        <is>
          <t>K-I-0028</t>
        </is>
      </c>
      <c r="B5466" s="12" t="inlineStr">
        <is>
          <t>K</t>
        </is>
      </c>
      <c r="C5466" s="12" t="inlineStr">
        <is>
          <t>Fuel supply (adjacent market)</t>
        </is>
      </c>
      <c r="D5466" s="12" t="inlineStr">
        <is>
          <t>Home run JB-H2 21: rectifier t-DI01 to the control / marshalling room</t>
        </is>
      </c>
      <c r="E5466" s="12" t="inlineStr"/>
      <c r="F5466" s="12" t="inlineStr">
        <is>
          <t>H2 20: 13.8 kV e-house</t>
        </is>
      </c>
      <c r="G5466" s="12" t="inlineStr">
        <is>
          <t>JB-H2 21: rectifier t-DI01</t>
        </is>
      </c>
      <c r="H5466" s="12" t="inlineStr">
        <is>
          <t>H2 21: rectifier transformer 5 (7 MVA)</t>
        </is>
      </c>
      <c r="I5466" s="12" t="inlineStr">
        <is>
          <t>Instrumentation</t>
        </is>
      </c>
      <c r="J5466" s="12" t="inlineStr">
        <is>
          <t>Instrumentation ITC / PLTC, IS, #18 shielded pairs, blue jacket</t>
        </is>
      </c>
      <c r="K5466" s="12" t="inlineStr">
        <is>
          <t>ITC|24 pr|18</t>
        </is>
      </c>
      <c r="L5466" s="12" t="inlineStr">
        <is>
          <t>24 pr</t>
        </is>
      </c>
      <c r="M5466" s="12" t="inlineStr">
        <is>
          <t>18</t>
        </is>
      </c>
      <c r="N5466" s="12" t="n">
        <v>1</v>
      </c>
      <c r="O5466" s="12" t="n">
        <v>1</v>
      </c>
      <c r="P5466" s="12" t="n"/>
      <c r="Q5466" s="12" t="n"/>
      <c r="R5466" s="12" t="n"/>
      <c r="S5466" s="12" t="inlineStr">
        <is>
          <t>Duct bank</t>
        </is>
      </c>
      <c r="T5466" s="16" t="n">
        <v>254</v>
      </c>
      <c r="U5466" s="16" t="n">
        <v>32</v>
      </c>
      <c r="V5466" s="16">
        <f>ROUNDUP((T5466+U5466+2*'Read Me'!$B$13)*(1+'Read Me'!$B$12),-1)</f>
        <v/>
      </c>
      <c r="W5466" s="16">
        <f>V5466*N5466*O5466</f>
        <v/>
      </c>
      <c r="X5466" s="12">
        <f>IF(LEFT(I5466,2)="MV",2*N5466*IF(L5466="1/C",O5466,1),0)</f>
        <v/>
      </c>
      <c r="Y5466" s="12">
        <f>IF(OR(LEFT(K5466,4)="LVAX",LEFT(K5466,6)="MV15AX",LEFT(K5466,4)="CTAX",LEFT(K5466,2)="W|"),2*N5466*O5466,0)</f>
        <v/>
      </c>
      <c r="Z5466" s="12" t="inlineStr"/>
      <c r="AA5466" s="12">
        <f>N5466*O5466</f>
        <v/>
      </c>
    </row>
    <row r="5467">
      <c r="A5467" s="12" t="inlineStr">
        <is>
          <t>K-I-0029</t>
        </is>
      </c>
      <c r="B5467" s="12" t="inlineStr">
        <is>
          <t>K</t>
        </is>
      </c>
      <c r="C5467" s="12" t="inlineStr">
        <is>
          <t>Fuel supply (adjacent market)</t>
        </is>
      </c>
      <c r="D5467" s="12" t="inlineStr">
        <is>
          <t>Analog instrument to JB JB-H2-EL-AI01: 12 x 1 pr (field cables)</t>
        </is>
      </c>
      <c r="E5467" s="12" t="inlineStr">
        <is>
          <t>H2-EL</t>
        </is>
      </c>
      <c r="F5467" s="12" t="inlineStr">
        <is>
          <t>H2 22: electrolyzer building (5 x HyLYZER-1000 + 5 rectifiers)</t>
        </is>
      </c>
      <c r="G5467" s="12" t="inlineStr">
        <is>
          <t>JB-H2-EL-AI01</t>
        </is>
      </c>
      <c r="H5467" s="12" t="inlineStr">
        <is>
          <t>H2 22: electrolyzer building (5 x HyLYZER-1000 + 5 rectifiers)</t>
        </is>
      </c>
      <c r="I5467" s="12" t="inlineStr">
        <is>
          <t>Instrumentation</t>
        </is>
      </c>
      <c r="J5467" s="12" t="inlineStr">
        <is>
          <t>Instrumentation ITC / PLTC, IS, #18 shielded pairs, blue jacket</t>
        </is>
      </c>
      <c r="K5467" s="12" t="inlineStr">
        <is>
          <t>ITC|1 pr|16</t>
        </is>
      </c>
      <c r="L5467" s="12" t="inlineStr">
        <is>
          <t>1 pr</t>
        </is>
      </c>
      <c r="M5467" s="12" t="inlineStr">
        <is>
          <t>16</t>
        </is>
      </c>
      <c r="N5467" s="12" t="n">
        <v>12</v>
      </c>
      <c r="O5467" s="12" t="n">
        <v>1</v>
      </c>
      <c r="P5467" s="12" t="n"/>
      <c r="Q5467" s="12" t="n"/>
      <c r="R5467" s="12" t="n"/>
      <c r="S5467" s="12" t="inlineStr">
        <is>
          <t>Tray / conduit</t>
        </is>
      </c>
      <c r="T5467" s="16" t="n">
        <v>157</v>
      </c>
      <c r="U5467" s="16" t="n">
        <v>10</v>
      </c>
      <c r="V5467" s="16">
        <f>ROUNDUP((T5467+U5467+2*'Read Me'!$B$13)*(1+'Read Me'!$B$12),-1)</f>
        <v/>
      </c>
      <c r="W5467" s="16">
        <f>V5467*N5467*O5467</f>
        <v/>
      </c>
      <c r="X5467" s="12">
        <f>IF(LEFT(I5467,2)="MV",2*N5467*IF(L5467="1/C",O5467,1),0)</f>
        <v/>
      </c>
      <c r="Y5467" s="12">
        <f>IF(OR(LEFT(K5467,4)="LVAX",LEFT(K5467,6)="MV15AX",LEFT(K5467,4)="CTAX",LEFT(K5467,2)="W|"),2*N5467*O5467,0)</f>
        <v/>
      </c>
      <c r="Z5467" s="12" t="inlineStr">
        <is>
          <t>device-to-JB field wiring, one cable per device</t>
        </is>
      </c>
      <c r="AA5467" s="12">
        <f>N5467*O5467</f>
        <v/>
      </c>
    </row>
    <row r="5468">
      <c r="A5468" s="12" t="inlineStr">
        <is>
          <t>K-I-0030</t>
        </is>
      </c>
      <c r="B5468" s="12" t="inlineStr">
        <is>
          <t>K</t>
        </is>
      </c>
      <c r="C5468" s="12" t="inlineStr">
        <is>
          <t>Fuel supply (adjacent market)</t>
        </is>
      </c>
      <c r="D5468" s="12" t="inlineStr">
        <is>
          <t>Home run JB-H2-EL-AI01 to the control / marshalling room</t>
        </is>
      </c>
      <c r="E5468" s="12" t="inlineStr"/>
      <c r="F5468" s="12" t="inlineStr">
        <is>
          <t>H2 20: 13.8 kV e-house</t>
        </is>
      </c>
      <c r="G5468" s="12" t="inlineStr">
        <is>
          <t>JB-H2-EL-AI01</t>
        </is>
      </c>
      <c r="H5468" s="12" t="inlineStr">
        <is>
          <t>H2 22: electrolyzer building (5 x HyLYZER-1000 + 5 rectifiers)</t>
        </is>
      </c>
      <c r="I5468" s="12" t="inlineStr">
        <is>
          <t>Instrumentation</t>
        </is>
      </c>
      <c r="J5468" s="12" t="inlineStr">
        <is>
          <t>Instrumentation ITC / PLTC, IS, #18 shielded pairs, blue jacket</t>
        </is>
      </c>
      <c r="K5468" s="12" t="inlineStr">
        <is>
          <t>ITC|24 pr|18</t>
        </is>
      </c>
      <c r="L5468" s="12" t="inlineStr">
        <is>
          <t>24 pr</t>
        </is>
      </c>
      <c r="M5468" s="12" t="inlineStr">
        <is>
          <t>18</t>
        </is>
      </c>
      <c r="N5468" s="12" t="n">
        <v>1</v>
      </c>
      <c r="O5468" s="12" t="n">
        <v>1</v>
      </c>
      <c r="P5468" s="12" t="n"/>
      <c r="Q5468" s="12" t="n"/>
      <c r="R5468" s="12" t="n"/>
      <c r="S5468" s="12" t="inlineStr">
        <is>
          <t>Duct bank</t>
        </is>
      </c>
      <c r="T5468" s="16" t="n">
        <v>346</v>
      </c>
      <c r="U5468" s="16" t="n">
        <v>32</v>
      </c>
      <c r="V5468" s="16">
        <f>ROUNDUP((T5468+U5468+2*'Read Me'!$B$13)*(1+'Read Me'!$B$12),-1)</f>
        <v/>
      </c>
      <c r="W5468" s="16">
        <f>V5468*N5468*O5468</f>
        <v/>
      </c>
      <c r="X5468" s="12">
        <f>IF(LEFT(I5468,2)="MV",2*N5468*IF(L5468="1/C",O5468,1),0)</f>
        <v/>
      </c>
      <c r="Y5468" s="12">
        <f>IF(OR(LEFT(K5468,4)="LVAX",LEFT(K5468,6)="MV15AX",LEFT(K5468,4)="CTAX",LEFT(K5468,2)="W|"),2*N5468*O5468,0)</f>
        <v/>
      </c>
      <c r="Z5468" s="12" t="inlineStr"/>
      <c r="AA5468" s="12">
        <f>N5468*O5468</f>
        <v/>
      </c>
    </row>
    <row r="5469">
      <c r="A5469" s="12" t="inlineStr">
        <is>
          <t>K-I-0031</t>
        </is>
      </c>
      <c r="B5469" s="12" t="inlineStr">
        <is>
          <t>K</t>
        </is>
      </c>
      <c r="C5469" s="12" t="inlineStr">
        <is>
          <t>Fuel supply (adjacent market)</t>
        </is>
      </c>
      <c r="D5469" s="12" t="inlineStr">
        <is>
          <t>Discrete device to JB JB-H2-EL-DI01: 12 x 1 pr (field cables)</t>
        </is>
      </c>
      <c r="E5469" s="12" t="inlineStr">
        <is>
          <t>H2-EL</t>
        </is>
      </c>
      <c r="F5469" s="12" t="inlineStr">
        <is>
          <t>H2 22: electrolyzer building (5 x HyLYZER-1000 + 5 rectifiers)</t>
        </is>
      </c>
      <c r="G5469" s="12" t="inlineStr">
        <is>
          <t>JB-H2-EL-DI01</t>
        </is>
      </c>
      <c r="H5469" s="12" t="inlineStr">
        <is>
          <t>H2 22: electrolyzer building (5 x HyLYZER-1000 + 5 rectifiers)</t>
        </is>
      </c>
      <c r="I5469" s="12" t="inlineStr">
        <is>
          <t>Instrumentation</t>
        </is>
      </c>
      <c r="J5469" s="12" t="inlineStr">
        <is>
          <t>Instrumentation ITC / PLTC, IS, #18 shielded pairs, blue jacket</t>
        </is>
      </c>
      <c r="K5469" s="12" t="inlineStr">
        <is>
          <t>ITC|1 pr|16</t>
        </is>
      </c>
      <c r="L5469" s="12" t="inlineStr">
        <is>
          <t>1 pr</t>
        </is>
      </c>
      <c r="M5469" s="12" t="inlineStr">
        <is>
          <t>16</t>
        </is>
      </c>
      <c r="N5469" s="12" t="n">
        <v>12</v>
      </c>
      <c r="O5469" s="12" t="n">
        <v>1</v>
      </c>
      <c r="P5469" s="12" t="n"/>
      <c r="Q5469" s="12" t="n"/>
      <c r="R5469" s="12" t="n"/>
      <c r="S5469" s="12" t="inlineStr">
        <is>
          <t>Tray / conduit</t>
        </is>
      </c>
      <c r="T5469" s="16" t="n">
        <v>157</v>
      </c>
      <c r="U5469" s="16" t="n">
        <v>10</v>
      </c>
      <c r="V5469" s="16">
        <f>ROUNDUP((T5469+U5469+2*'Read Me'!$B$13)*(1+'Read Me'!$B$12),-1)</f>
        <v/>
      </c>
      <c r="W5469" s="16">
        <f>V5469*N5469*O5469</f>
        <v/>
      </c>
      <c r="X5469" s="12">
        <f>IF(LEFT(I5469,2)="MV",2*N5469*IF(L5469="1/C",O5469,1),0)</f>
        <v/>
      </c>
      <c r="Y5469" s="12">
        <f>IF(OR(LEFT(K5469,4)="LVAX",LEFT(K5469,6)="MV15AX",LEFT(K5469,4)="CTAX",LEFT(K5469,2)="W|"),2*N5469*O5469,0)</f>
        <v/>
      </c>
      <c r="Z5469" s="12" t="inlineStr">
        <is>
          <t>device-to-JB field wiring, one cable per device</t>
        </is>
      </c>
      <c r="AA5469" s="12">
        <f>N5469*O5469</f>
        <v/>
      </c>
    </row>
    <row r="5470">
      <c r="A5470" s="12" t="inlineStr">
        <is>
          <t>K-I-0032</t>
        </is>
      </c>
      <c r="B5470" s="12" t="inlineStr">
        <is>
          <t>K</t>
        </is>
      </c>
      <c r="C5470" s="12" t="inlineStr">
        <is>
          <t>Fuel supply (adjacent market)</t>
        </is>
      </c>
      <c r="D5470" s="12" t="inlineStr">
        <is>
          <t>Home run JB-H2-EL-DI01 to the control / marshalling room</t>
        </is>
      </c>
      <c r="E5470" s="12" t="inlineStr"/>
      <c r="F5470" s="12" t="inlineStr">
        <is>
          <t>H2 20: 13.8 kV e-house</t>
        </is>
      </c>
      <c r="G5470" s="12" t="inlineStr">
        <is>
          <t>JB-H2-EL-DI01</t>
        </is>
      </c>
      <c r="H5470" s="12" t="inlineStr">
        <is>
          <t>H2 22: electrolyzer building (5 x HyLYZER-1000 + 5 rectifiers)</t>
        </is>
      </c>
      <c r="I5470" s="12" t="inlineStr">
        <is>
          <t>Instrumentation</t>
        </is>
      </c>
      <c r="J5470" s="12" t="inlineStr">
        <is>
          <t>Instrumentation ITC / PLTC, IS, #18 shielded pairs, blue jacket</t>
        </is>
      </c>
      <c r="K5470" s="12" t="inlineStr">
        <is>
          <t>ITC|24 pr|18</t>
        </is>
      </c>
      <c r="L5470" s="12" t="inlineStr">
        <is>
          <t>24 pr</t>
        </is>
      </c>
      <c r="M5470" s="12" t="inlineStr">
        <is>
          <t>18</t>
        </is>
      </c>
      <c r="N5470" s="12" t="n">
        <v>1</v>
      </c>
      <c r="O5470" s="12" t="n">
        <v>1</v>
      </c>
      <c r="P5470" s="12" t="n"/>
      <c r="Q5470" s="12" t="n"/>
      <c r="R5470" s="12" t="n"/>
      <c r="S5470" s="12" t="inlineStr">
        <is>
          <t>Duct bank</t>
        </is>
      </c>
      <c r="T5470" s="16" t="n">
        <v>346</v>
      </c>
      <c r="U5470" s="16" t="n">
        <v>32</v>
      </c>
      <c r="V5470" s="16">
        <f>ROUNDUP((T5470+U5470+2*'Read Me'!$B$13)*(1+'Read Me'!$B$12),-1)</f>
        <v/>
      </c>
      <c r="W5470" s="16">
        <f>V5470*N5470*O5470</f>
        <v/>
      </c>
      <c r="X5470" s="12">
        <f>IF(LEFT(I5470,2)="MV",2*N5470*IF(L5470="1/C",O5470,1),0)</f>
        <v/>
      </c>
      <c r="Y5470" s="12">
        <f>IF(OR(LEFT(K5470,4)="LVAX",LEFT(K5470,6)="MV15AX",LEFT(K5470,4)="CTAX",LEFT(K5470,2)="W|"),2*N5470*O5470,0)</f>
        <v/>
      </c>
      <c r="Z5470" s="12" t="inlineStr"/>
      <c r="AA5470" s="12">
        <f>N5470*O5470</f>
        <v/>
      </c>
    </row>
    <row r="5471">
      <c r="A5471" s="12" t="inlineStr">
        <is>
          <t>K-I-0033</t>
        </is>
      </c>
      <c r="B5471" s="12" t="inlineStr">
        <is>
          <t>K</t>
        </is>
      </c>
      <c r="C5471" s="12" t="inlineStr">
        <is>
          <t>Fuel supply (adjacent market)</t>
        </is>
      </c>
      <c r="D5471" s="12" t="inlineStr">
        <is>
          <t>Analog instrument to JB JB-H2 23: dry coolers-AI01: 12 x 1 pr (field cables)</t>
        </is>
      </c>
      <c r="E5471" s="12" t="inlineStr"/>
      <c r="F5471" s="12" t="inlineStr">
        <is>
          <t>H2 23: dry coolers</t>
        </is>
      </c>
      <c r="G5471" s="12" t="inlineStr">
        <is>
          <t>JB-H2 23: dry coolers-AI01</t>
        </is>
      </c>
      <c r="H5471" s="12" t="inlineStr">
        <is>
          <t>H2 23: dry coolers</t>
        </is>
      </c>
      <c r="I5471" s="12" t="inlineStr">
        <is>
          <t>Instrumentation</t>
        </is>
      </c>
      <c r="J5471" s="12" t="inlineStr">
        <is>
          <t>Instrumentation ITC / PLTC, IS, #18 shielded pairs, blue jacket</t>
        </is>
      </c>
      <c r="K5471" s="12" t="inlineStr">
        <is>
          <t>ITC|1 pr|16</t>
        </is>
      </c>
      <c r="L5471" s="12" t="inlineStr">
        <is>
          <t>1 pr</t>
        </is>
      </c>
      <c r="M5471" s="12" t="inlineStr">
        <is>
          <t>16</t>
        </is>
      </c>
      <c r="N5471" s="12" t="n">
        <v>12</v>
      </c>
      <c r="O5471" s="12" t="n">
        <v>1</v>
      </c>
      <c r="P5471" s="12" t="n"/>
      <c r="Q5471" s="12" t="n"/>
      <c r="R5471" s="12" t="n"/>
      <c r="S5471" s="12" t="inlineStr">
        <is>
          <t>Tray / conduit</t>
        </is>
      </c>
      <c r="T5471" s="16" t="n">
        <v>111</v>
      </c>
      <c r="U5471" s="16" t="n">
        <v>10</v>
      </c>
      <c r="V5471" s="16">
        <f>ROUNDUP((T5471+U5471+2*'Read Me'!$B$13)*(1+'Read Me'!$B$12),-1)</f>
        <v/>
      </c>
      <c r="W5471" s="16">
        <f>V5471*N5471*O5471</f>
        <v/>
      </c>
      <c r="X5471" s="12">
        <f>IF(LEFT(I5471,2)="MV",2*N5471*IF(L5471="1/C",O5471,1),0)</f>
        <v/>
      </c>
      <c r="Y5471" s="12">
        <f>IF(OR(LEFT(K5471,4)="LVAX",LEFT(K5471,6)="MV15AX",LEFT(K5471,4)="CTAX",LEFT(K5471,2)="W|"),2*N5471*O5471,0)</f>
        <v/>
      </c>
      <c r="Z5471" s="12" t="inlineStr">
        <is>
          <t>device-to-JB field wiring, one cable per device</t>
        </is>
      </c>
      <c r="AA5471" s="12">
        <f>N5471*O5471</f>
        <v/>
      </c>
    </row>
    <row r="5472">
      <c r="A5472" s="12" t="inlineStr">
        <is>
          <t>K-I-0034</t>
        </is>
      </c>
      <c r="B5472" s="12" t="inlineStr">
        <is>
          <t>K</t>
        </is>
      </c>
      <c r="C5472" s="12" t="inlineStr">
        <is>
          <t>Fuel supply (adjacent market)</t>
        </is>
      </c>
      <c r="D5472" s="12" t="inlineStr">
        <is>
          <t>Home run JB-H2 23: dry coolers-AI01 to the control / marshalling room</t>
        </is>
      </c>
      <c r="E5472" s="12" t="inlineStr"/>
      <c r="F5472" s="12" t="inlineStr">
        <is>
          <t>H2 20: 13.8 kV e-house</t>
        </is>
      </c>
      <c r="G5472" s="12" t="inlineStr">
        <is>
          <t>JB-H2 23: dry coolers-AI01</t>
        </is>
      </c>
      <c r="H5472" s="12" t="inlineStr">
        <is>
          <t>H2 23: dry coolers</t>
        </is>
      </c>
      <c r="I5472" s="12" t="inlineStr">
        <is>
          <t>Instrumentation</t>
        </is>
      </c>
      <c r="J5472" s="12" t="inlineStr">
        <is>
          <t>Instrumentation ITC / PLTC, IS, #18 shielded pairs, blue jacket</t>
        </is>
      </c>
      <c r="K5472" s="12" t="inlineStr">
        <is>
          <t>ITC|24 pr|18</t>
        </is>
      </c>
      <c r="L5472" s="12" t="inlineStr">
        <is>
          <t>24 pr</t>
        </is>
      </c>
      <c r="M5472" s="12" t="inlineStr">
        <is>
          <t>18</t>
        </is>
      </c>
      <c r="N5472" s="12" t="n">
        <v>1</v>
      </c>
      <c r="O5472" s="12" t="n">
        <v>1</v>
      </c>
      <c r="P5472" s="12" t="n"/>
      <c r="Q5472" s="12" t="n"/>
      <c r="R5472" s="12" t="n"/>
      <c r="S5472" s="12" t="inlineStr">
        <is>
          <t>Duct bank</t>
        </is>
      </c>
      <c r="T5472" s="16" t="n">
        <v>100</v>
      </c>
      <c r="U5472" s="16" t="n">
        <v>32</v>
      </c>
      <c r="V5472" s="16">
        <f>ROUNDUP((T5472+U5472+2*'Read Me'!$B$13)*(1+'Read Me'!$B$12),-1)</f>
        <v/>
      </c>
      <c r="W5472" s="16">
        <f>V5472*N5472*O5472</f>
        <v/>
      </c>
      <c r="X5472" s="12">
        <f>IF(LEFT(I5472,2)="MV",2*N5472*IF(L5472="1/C",O5472,1),0)</f>
        <v/>
      </c>
      <c r="Y5472" s="12">
        <f>IF(OR(LEFT(K5472,4)="LVAX",LEFT(K5472,6)="MV15AX",LEFT(K5472,4)="CTAX",LEFT(K5472,2)="W|"),2*N5472*O5472,0)</f>
        <v/>
      </c>
      <c r="Z5472" s="12" t="inlineStr"/>
      <c r="AA5472" s="12">
        <f>N5472*O5472</f>
        <v/>
      </c>
    </row>
    <row r="5473">
      <c r="A5473" s="12" t="inlineStr">
        <is>
          <t>K-I-0035</t>
        </is>
      </c>
      <c r="B5473" s="12" t="inlineStr">
        <is>
          <t>K</t>
        </is>
      </c>
      <c r="C5473" s="12" t="inlineStr">
        <is>
          <t>Fuel supply (adjacent market)</t>
        </is>
      </c>
      <c r="D5473" s="12" t="inlineStr">
        <is>
          <t>Discrete device to JB JB-H2 23: dry coolers-DI01: 12 x 1 pr (field cables)</t>
        </is>
      </c>
      <c r="E5473" s="12" t="inlineStr"/>
      <c r="F5473" s="12" t="inlineStr">
        <is>
          <t>H2 23: dry coolers</t>
        </is>
      </c>
      <c r="G5473" s="12" t="inlineStr">
        <is>
          <t>JB-H2 23: dry coolers-DI01</t>
        </is>
      </c>
      <c r="H5473" s="12" t="inlineStr">
        <is>
          <t>H2 23: dry coolers</t>
        </is>
      </c>
      <c r="I5473" s="12" t="inlineStr">
        <is>
          <t>Instrumentation</t>
        </is>
      </c>
      <c r="J5473" s="12" t="inlineStr">
        <is>
          <t>Instrumentation ITC / PLTC, IS, #18 shielded pairs, blue jacket</t>
        </is>
      </c>
      <c r="K5473" s="12" t="inlineStr">
        <is>
          <t>ITC|1 pr|16</t>
        </is>
      </c>
      <c r="L5473" s="12" t="inlineStr">
        <is>
          <t>1 pr</t>
        </is>
      </c>
      <c r="M5473" s="12" t="inlineStr">
        <is>
          <t>16</t>
        </is>
      </c>
      <c r="N5473" s="12" t="n">
        <v>12</v>
      </c>
      <c r="O5473" s="12" t="n">
        <v>1</v>
      </c>
      <c r="P5473" s="12" t="n"/>
      <c r="Q5473" s="12" t="n"/>
      <c r="R5473" s="12" t="n"/>
      <c r="S5473" s="12" t="inlineStr">
        <is>
          <t>Tray / conduit</t>
        </is>
      </c>
      <c r="T5473" s="16" t="n">
        <v>111</v>
      </c>
      <c r="U5473" s="16" t="n">
        <v>10</v>
      </c>
      <c r="V5473" s="16">
        <f>ROUNDUP((T5473+U5473+2*'Read Me'!$B$13)*(1+'Read Me'!$B$12),-1)</f>
        <v/>
      </c>
      <c r="W5473" s="16">
        <f>V5473*N5473*O5473</f>
        <v/>
      </c>
      <c r="X5473" s="12">
        <f>IF(LEFT(I5473,2)="MV",2*N5473*IF(L5473="1/C",O5473,1),0)</f>
        <v/>
      </c>
      <c r="Y5473" s="12">
        <f>IF(OR(LEFT(K5473,4)="LVAX",LEFT(K5473,6)="MV15AX",LEFT(K5473,4)="CTAX",LEFT(K5473,2)="W|"),2*N5473*O5473,0)</f>
        <v/>
      </c>
      <c r="Z5473" s="12" t="inlineStr">
        <is>
          <t>device-to-JB field wiring, one cable per device</t>
        </is>
      </c>
      <c r="AA5473" s="12">
        <f>N5473*O5473</f>
        <v/>
      </c>
    </row>
    <row r="5474">
      <c r="A5474" s="12" t="inlineStr">
        <is>
          <t>K-I-0036</t>
        </is>
      </c>
      <c r="B5474" s="12" t="inlineStr">
        <is>
          <t>K</t>
        </is>
      </c>
      <c r="C5474" s="12" t="inlineStr">
        <is>
          <t>Fuel supply (adjacent market)</t>
        </is>
      </c>
      <c r="D5474" s="12" t="inlineStr">
        <is>
          <t>Home run JB-H2 23: dry coolers-DI01 to the control / marshalling room</t>
        </is>
      </c>
      <c r="E5474" s="12" t="inlineStr"/>
      <c r="F5474" s="12" t="inlineStr">
        <is>
          <t>H2 20: 13.8 kV e-house</t>
        </is>
      </c>
      <c r="G5474" s="12" t="inlineStr">
        <is>
          <t>JB-H2 23: dry coolers-DI01</t>
        </is>
      </c>
      <c r="H5474" s="12" t="inlineStr">
        <is>
          <t>H2 23: dry coolers</t>
        </is>
      </c>
      <c r="I5474" s="12" t="inlineStr">
        <is>
          <t>Instrumentation</t>
        </is>
      </c>
      <c r="J5474" s="12" t="inlineStr">
        <is>
          <t>Instrumentation ITC / PLTC, IS, #18 shielded pairs, blue jacket</t>
        </is>
      </c>
      <c r="K5474" s="12" t="inlineStr">
        <is>
          <t>ITC|24 pr|18</t>
        </is>
      </c>
      <c r="L5474" s="12" t="inlineStr">
        <is>
          <t>24 pr</t>
        </is>
      </c>
      <c r="M5474" s="12" t="inlineStr">
        <is>
          <t>18</t>
        </is>
      </c>
      <c r="N5474" s="12" t="n">
        <v>1</v>
      </c>
      <c r="O5474" s="12" t="n">
        <v>1</v>
      </c>
      <c r="P5474" s="12" t="n"/>
      <c r="Q5474" s="12" t="n"/>
      <c r="R5474" s="12" t="n"/>
      <c r="S5474" s="12" t="inlineStr">
        <is>
          <t>Duct bank</t>
        </is>
      </c>
      <c r="T5474" s="16" t="n">
        <v>100</v>
      </c>
      <c r="U5474" s="16" t="n">
        <v>32</v>
      </c>
      <c r="V5474" s="16">
        <f>ROUNDUP((T5474+U5474+2*'Read Me'!$B$13)*(1+'Read Me'!$B$12),-1)</f>
        <v/>
      </c>
      <c r="W5474" s="16">
        <f>V5474*N5474*O5474</f>
        <v/>
      </c>
      <c r="X5474" s="12">
        <f>IF(LEFT(I5474,2)="MV",2*N5474*IF(L5474="1/C",O5474,1),0)</f>
        <v/>
      </c>
      <c r="Y5474" s="12">
        <f>IF(OR(LEFT(K5474,4)="LVAX",LEFT(K5474,6)="MV15AX",LEFT(K5474,4)="CTAX",LEFT(K5474,2)="W|"),2*N5474*O5474,0)</f>
        <v/>
      </c>
      <c r="Z5474" s="12" t="inlineStr"/>
      <c r="AA5474" s="12">
        <f>N5474*O5474</f>
        <v/>
      </c>
    </row>
    <row r="5475">
      <c r="A5475" s="12" t="inlineStr">
        <is>
          <t>K-I-0037</t>
        </is>
      </c>
      <c r="B5475" s="12" t="inlineStr">
        <is>
          <t>K</t>
        </is>
      </c>
      <c r="C5475" s="12" t="inlineStr">
        <is>
          <t>Fuel supply (adjacent market)</t>
        </is>
      </c>
      <c r="D5475" s="12" t="inlineStr">
        <is>
          <t>Analog instrument to JB JB-H2 24: water purif-AI01: 12 x 1 pr (field cables)</t>
        </is>
      </c>
      <c r="E5475" s="12" t="inlineStr"/>
      <c r="F5475" s="12" t="inlineStr">
        <is>
          <t>H2 24: water purification (RO / EDI)</t>
        </is>
      </c>
      <c r="G5475" s="12" t="inlineStr">
        <is>
          <t>JB-H2 24: water purif-AI01</t>
        </is>
      </c>
      <c r="H5475" s="12" t="inlineStr">
        <is>
          <t>H2 24: water purification (RO / EDI)</t>
        </is>
      </c>
      <c r="I5475" s="12" t="inlineStr">
        <is>
          <t>Instrumentation</t>
        </is>
      </c>
      <c r="J5475" s="12" t="inlineStr">
        <is>
          <t>Instrumentation ITC / PLTC, IS, #18 shielded pairs, blue jacket</t>
        </is>
      </c>
      <c r="K5475" s="12" t="inlineStr">
        <is>
          <t>ITC|1 pr|16</t>
        </is>
      </c>
      <c r="L5475" s="12" t="inlineStr">
        <is>
          <t>1 pr</t>
        </is>
      </c>
      <c r="M5475" s="12" t="inlineStr">
        <is>
          <t>16</t>
        </is>
      </c>
      <c r="N5475" s="12" t="n">
        <v>12</v>
      </c>
      <c r="O5475" s="12" t="n">
        <v>1</v>
      </c>
      <c r="P5475" s="12" t="n"/>
      <c r="Q5475" s="12" t="n"/>
      <c r="R5475" s="12" t="n"/>
      <c r="S5475" s="12" t="inlineStr">
        <is>
          <t>Tray / conduit</t>
        </is>
      </c>
      <c r="T5475" s="16" t="n">
        <v>60</v>
      </c>
      <c r="U5475" s="16" t="n">
        <v>10</v>
      </c>
      <c r="V5475" s="16">
        <f>ROUNDUP((T5475+U5475+2*'Read Me'!$B$13)*(1+'Read Me'!$B$12),-1)</f>
        <v/>
      </c>
      <c r="W5475" s="16">
        <f>V5475*N5475*O5475</f>
        <v/>
      </c>
      <c r="X5475" s="12">
        <f>IF(LEFT(I5475,2)="MV",2*N5475*IF(L5475="1/C",O5475,1),0)</f>
        <v/>
      </c>
      <c r="Y5475" s="12">
        <f>IF(OR(LEFT(K5475,4)="LVAX",LEFT(K5475,6)="MV15AX",LEFT(K5475,4)="CTAX",LEFT(K5475,2)="W|"),2*N5475*O5475,0)</f>
        <v/>
      </c>
      <c r="Z5475" s="12" t="inlineStr">
        <is>
          <t>device-to-JB field wiring, one cable per device</t>
        </is>
      </c>
      <c r="AA5475" s="12">
        <f>N5475*O5475</f>
        <v/>
      </c>
    </row>
    <row r="5476">
      <c r="A5476" s="12" t="inlineStr">
        <is>
          <t>K-I-0038</t>
        </is>
      </c>
      <c r="B5476" s="12" t="inlineStr">
        <is>
          <t>K</t>
        </is>
      </c>
      <c r="C5476" s="12" t="inlineStr">
        <is>
          <t>Fuel supply (adjacent market)</t>
        </is>
      </c>
      <c r="D5476" s="12" t="inlineStr">
        <is>
          <t>Home run JB-H2 24: water purif-AI01 to the control / marshalling room</t>
        </is>
      </c>
      <c r="E5476" s="12" t="inlineStr"/>
      <c r="F5476" s="12" t="inlineStr">
        <is>
          <t>H2 20: 13.8 kV e-house</t>
        </is>
      </c>
      <c r="G5476" s="12" t="inlineStr">
        <is>
          <t>JB-H2 24: water purif-AI01</t>
        </is>
      </c>
      <c r="H5476" s="12" t="inlineStr">
        <is>
          <t>H2 24: water purification (RO / EDI)</t>
        </is>
      </c>
      <c r="I5476" s="12" t="inlineStr">
        <is>
          <t>Instrumentation</t>
        </is>
      </c>
      <c r="J5476" s="12" t="inlineStr">
        <is>
          <t>Instrumentation ITC / PLTC, IS, #18 shielded pairs, blue jacket</t>
        </is>
      </c>
      <c r="K5476" s="12" t="inlineStr">
        <is>
          <t>ITC|24 pr|18</t>
        </is>
      </c>
      <c r="L5476" s="12" t="inlineStr">
        <is>
          <t>24 pr</t>
        </is>
      </c>
      <c r="M5476" s="12" t="inlineStr">
        <is>
          <t>18</t>
        </is>
      </c>
      <c r="N5476" s="12" t="n">
        <v>1</v>
      </c>
      <c r="O5476" s="12" t="n">
        <v>1</v>
      </c>
      <c r="P5476" s="12" t="n"/>
      <c r="Q5476" s="12" t="n"/>
      <c r="R5476" s="12" t="n"/>
      <c r="S5476" s="12" t="inlineStr">
        <is>
          <t>Duct bank</t>
        </is>
      </c>
      <c r="T5476" s="16" t="n">
        <v>146</v>
      </c>
      <c r="U5476" s="16" t="n">
        <v>32</v>
      </c>
      <c r="V5476" s="16">
        <f>ROUNDUP((T5476+U5476+2*'Read Me'!$B$13)*(1+'Read Me'!$B$12),-1)</f>
        <v/>
      </c>
      <c r="W5476" s="16">
        <f>V5476*N5476*O5476</f>
        <v/>
      </c>
      <c r="X5476" s="12">
        <f>IF(LEFT(I5476,2)="MV",2*N5476*IF(L5476="1/C",O5476,1),0)</f>
        <v/>
      </c>
      <c r="Y5476" s="12">
        <f>IF(OR(LEFT(K5476,4)="LVAX",LEFT(K5476,6)="MV15AX",LEFT(K5476,4)="CTAX",LEFT(K5476,2)="W|"),2*N5476*O5476,0)</f>
        <v/>
      </c>
      <c r="Z5476" s="12" t="inlineStr"/>
      <c r="AA5476" s="12">
        <f>N5476*O5476</f>
        <v/>
      </c>
    </row>
    <row r="5477">
      <c r="A5477" s="12" t="inlineStr">
        <is>
          <t>K-I-0039</t>
        </is>
      </c>
      <c r="B5477" s="12" t="inlineStr">
        <is>
          <t>K</t>
        </is>
      </c>
      <c r="C5477" s="12" t="inlineStr">
        <is>
          <t>Fuel supply (adjacent market)</t>
        </is>
      </c>
      <c r="D5477" s="12" t="inlineStr">
        <is>
          <t>Discrete device to JB JB-H2 24: water purif-DI01: 12 x 1 pr (field cables)</t>
        </is>
      </c>
      <c r="E5477" s="12" t="inlineStr"/>
      <c r="F5477" s="12" t="inlineStr">
        <is>
          <t>H2 24: water purification (RO / EDI)</t>
        </is>
      </c>
      <c r="G5477" s="12" t="inlineStr">
        <is>
          <t>JB-H2 24: water purif-DI01</t>
        </is>
      </c>
      <c r="H5477" s="12" t="inlineStr">
        <is>
          <t>H2 24: water purification (RO / EDI)</t>
        </is>
      </c>
      <c r="I5477" s="12" t="inlineStr">
        <is>
          <t>Instrumentation</t>
        </is>
      </c>
      <c r="J5477" s="12" t="inlineStr">
        <is>
          <t>Instrumentation ITC / PLTC, IS, #18 shielded pairs, blue jacket</t>
        </is>
      </c>
      <c r="K5477" s="12" t="inlineStr">
        <is>
          <t>ITC|1 pr|16</t>
        </is>
      </c>
      <c r="L5477" s="12" t="inlineStr">
        <is>
          <t>1 pr</t>
        </is>
      </c>
      <c r="M5477" s="12" t="inlineStr">
        <is>
          <t>16</t>
        </is>
      </c>
      <c r="N5477" s="12" t="n">
        <v>12</v>
      </c>
      <c r="O5477" s="12" t="n">
        <v>1</v>
      </c>
      <c r="P5477" s="12" t="n"/>
      <c r="Q5477" s="12" t="n"/>
      <c r="R5477" s="12" t="n"/>
      <c r="S5477" s="12" t="inlineStr">
        <is>
          <t>Tray / conduit</t>
        </is>
      </c>
      <c r="T5477" s="16" t="n">
        <v>60</v>
      </c>
      <c r="U5477" s="16" t="n">
        <v>10</v>
      </c>
      <c r="V5477" s="16">
        <f>ROUNDUP((T5477+U5477+2*'Read Me'!$B$13)*(1+'Read Me'!$B$12),-1)</f>
        <v/>
      </c>
      <c r="W5477" s="16">
        <f>V5477*N5477*O5477</f>
        <v/>
      </c>
      <c r="X5477" s="12">
        <f>IF(LEFT(I5477,2)="MV",2*N5477*IF(L5477="1/C",O5477,1),0)</f>
        <v/>
      </c>
      <c r="Y5477" s="12">
        <f>IF(OR(LEFT(K5477,4)="LVAX",LEFT(K5477,6)="MV15AX",LEFT(K5477,4)="CTAX",LEFT(K5477,2)="W|"),2*N5477*O5477,0)</f>
        <v/>
      </c>
      <c r="Z5477" s="12" t="inlineStr">
        <is>
          <t>device-to-JB field wiring, one cable per device</t>
        </is>
      </c>
      <c r="AA5477" s="12">
        <f>N5477*O5477</f>
        <v/>
      </c>
    </row>
    <row r="5478">
      <c r="A5478" s="12" t="inlineStr">
        <is>
          <t>K-I-0040</t>
        </is>
      </c>
      <c r="B5478" s="12" t="inlineStr">
        <is>
          <t>K</t>
        </is>
      </c>
      <c r="C5478" s="12" t="inlineStr">
        <is>
          <t>Fuel supply (adjacent market)</t>
        </is>
      </c>
      <c r="D5478" s="12" t="inlineStr">
        <is>
          <t>Home run JB-H2 24: water purif-DI01 to the control / marshalling room</t>
        </is>
      </c>
      <c r="E5478" s="12" t="inlineStr"/>
      <c r="F5478" s="12" t="inlineStr">
        <is>
          <t>H2 20: 13.8 kV e-house</t>
        </is>
      </c>
      <c r="G5478" s="12" t="inlineStr">
        <is>
          <t>JB-H2 24: water purif-DI01</t>
        </is>
      </c>
      <c r="H5478" s="12" t="inlineStr">
        <is>
          <t>H2 24: water purification (RO / EDI)</t>
        </is>
      </c>
      <c r="I5478" s="12" t="inlineStr">
        <is>
          <t>Instrumentation</t>
        </is>
      </c>
      <c r="J5478" s="12" t="inlineStr">
        <is>
          <t>Instrumentation ITC / PLTC, IS, #18 shielded pairs, blue jacket</t>
        </is>
      </c>
      <c r="K5478" s="12" t="inlineStr">
        <is>
          <t>ITC|24 pr|18</t>
        </is>
      </c>
      <c r="L5478" s="12" t="inlineStr">
        <is>
          <t>24 pr</t>
        </is>
      </c>
      <c r="M5478" s="12" t="inlineStr">
        <is>
          <t>18</t>
        </is>
      </c>
      <c r="N5478" s="12" t="n">
        <v>1</v>
      </c>
      <c r="O5478" s="12" t="n">
        <v>1</v>
      </c>
      <c r="P5478" s="12" t="n"/>
      <c r="Q5478" s="12" t="n"/>
      <c r="R5478" s="12" t="n"/>
      <c r="S5478" s="12" t="inlineStr">
        <is>
          <t>Duct bank</t>
        </is>
      </c>
      <c r="T5478" s="16" t="n">
        <v>146</v>
      </c>
      <c r="U5478" s="16" t="n">
        <v>32</v>
      </c>
      <c r="V5478" s="16">
        <f>ROUNDUP((T5478+U5478+2*'Read Me'!$B$13)*(1+'Read Me'!$B$12),-1)</f>
        <v/>
      </c>
      <c r="W5478" s="16">
        <f>V5478*N5478*O5478</f>
        <v/>
      </c>
      <c r="X5478" s="12">
        <f>IF(LEFT(I5478,2)="MV",2*N5478*IF(L5478="1/C",O5478,1),0)</f>
        <v/>
      </c>
      <c r="Y5478" s="12">
        <f>IF(OR(LEFT(K5478,4)="LVAX",LEFT(K5478,6)="MV15AX",LEFT(K5478,4)="CTAX",LEFT(K5478,2)="W|"),2*N5478*O5478,0)</f>
        <v/>
      </c>
      <c r="Z5478" s="12" t="inlineStr"/>
      <c r="AA5478" s="12">
        <f>N5478*O5478</f>
        <v/>
      </c>
    </row>
    <row r="5479">
      <c r="A5479" s="12" t="inlineStr">
        <is>
          <t>K-I-0041</t>
        </is>
      </c>
      <c r="B5479" s="12" t="inlineStr">
        <is>
          <t>K</t>
        </is>
      </c>
      <c r="C5479" s="12" t="inlineStr">
        <is>
          <t>Fuel supply (adjacent market)</t>
        </is>
      </c>
      <c r="D5479" s="12" t="inlineStr">
        <is>
          <t>Analog instrument to JB JB-H2 25: H2 dryer / -AI01: 12 x 1 pr (field cables)</t>
        </is>
      </c>
      <c r="E5479" s="12" t="inlineStr"/>
      <c r="F5479" s="12" t="inlineStr">
        <is>
          <t>H2 25: H2 dryer / purification</t>
        </is>
      </c>
      <c r="G5479" s="12" t="inlineStr">
        <is>
          <t>JB-H2 25: H2 dryer / -AI01</t>
        </is>
      </c>
      <c r="H5479" s="12" t="inlineStr">
        <is>
          <t>H2 25: H2 dryer / purification</t>
        </is>
      </c>
      <c r="I5479" s="12" t="inlineStr">
        <is>
          <t>Instrumentation</t>
        </is>
      </c>
      <c r="J5479" s="12" t="inlineStr">
        <is>
          <t>Instrumentation ITC / PLTC, IS, #18 shielded pairs, blue jacket</t>
        </is>
      </c>
      <c r="K5479" s="12" t="inlineStr">
        <is>
          <t>ITC|1 pr|16</t>
        </is>
      </c>
      <c r="L5479" s="12" t="inlineStr">
        <is>
          <t>1 pr</t>
        </is>
      </c>
      <c r="M5479" s="12" t="inlineStr">
        <is>
          <t>16</t>
        </is>
      </c>
      <c r="N5479" s="12" t="n">
        <v>12</v>
      </c>
      <c r="O5479" s="12" t="n">
        <v>1</v>
      </c>
      <c r="P5479" s="12" t="n"/>
      <c r="Q5479" s="12" t="n"/>
      <c r="R5479" s="12" t="n"/>
      <c r="S5479" s="12" t="inlineStr">
        <is>
          <t>Tray / conduit</t>
        </is>
      </c>
      <c r="T5479" s="16" t="n">
        <v>60</v>
      </c>
      <c r="U5479" s="16" t="n">
        <v>10</v>
      </c>
      <c r="V5479" s="16">
        <f>ROUNDUP((T5479+U5479+2*'Read Me'!$B$13)*(1+'Read Me'!$B$12),-1)</f>
        <v/>
      </c>
      <c r="W5479" s="16">
        <f>V5479*N5479*O5479</f>
        <v/>
      </c>
      <c r="X5479" s="12">
        <f>IF(LEFT(I5479,2)="MV",2*N5479*IF(L5479="1/C",O5479,1),0)</f>
        <v/>
      </c>
      <c r="Y5479" s="12">
        <f>IF(OR(LEFT(K5479,4)="LVAX",LEFT(K5479,6)="MV15AX",LEFT(K5479,4)="CTAX",LEFT(K5479,2)="W|"),2*N5479*O5479,0)</f>
        <v/>
      </c>
      <c r="Z5479" s="12" t="inlineStr">
        <is>
          <t>device-to-JB field wiring, one cable per device</t>
        </is>
      </c>
      <c r="AA5479" s="12">
        <f>N5479*O5479</f>
        <v/>
      </c>
    </row>
    <row r="5480">
      <c r="A5480" s="12" t="inlineStr">
        <is>
          <t>K-I-0042</t>
        </is>
      </c>
      <c r="B5480" s="12" t="inlineStr">
        <is>
          <t>K</t>
        </is>
      </c>
      <c r="C5480" s="12" t="inlineStr">
        <is>
          <t>Fuel supply (adjacent market)</t>
        </is>
      </c>
      <c r="D5480" s="12" t="inlineStr">
        <is>
          <t>Home run JB-H2 25: H2 dryer / -AI01 to the control / marshalling room</t>
        </is>
      </c>
      <c r="E5480" s="12" t="inlineStr"/>
      <c r="F5480" s="12" t="inlineStr">
        <is>
          <t>H2 20: 13.8 kV e-house</t>
        </is>
      </c>
      <c r="G5480" s="12" t="inlineStr">
        <is>
          <t>JB-H2 25: H2 dryer / -AI01</t>
        </is>
      </c>
      <c r="H5480" s="12" t="inlineStr">
        <is>
          <t>H2 25: H2 dryer / purification</t>
        </is>
      </c>
      <c r="I5480" s="12" t="inlineStr">
        <is>
          <t>Instrumentation</t>
        </is>
      </c>
      <c r="J5480" s="12" t="inlineStr">
        <is>
          <t>Instrumentation ITC / PLTC, IS, #18 shielded pairs, blue jacket</t>
        </is>
      </c>
      <c r="K5480" s="12" t="inlineStr">
        <is>
          <t>ITC|24 pr|18</t>
        </is>
      </c>
      <c r="L5480" s="12" t="inlineStr">
        <is>
          <t>24 pr</t>
        </is>
      </c>
      <c r="M5480" s="12" t="inlineStr">
        <is>
          <t>18</t>
        </is>
      </c>
      <c r="N5480" s="12" t="n">
        <v>1</v>
      </c>
      <c r="O5480" s="12" t="n">
        <v>1</v>
      </c>
      <c r="P5480" s="12" t="n"/>
      <c r="Q5480" s="12" t="n"/>
      <c r="R5480" s="12" t="n"/>
      <c r="S5480" s="12" t="inlineStr">
        <is>
          <t>Duct bank</t>
        </is>
      </c>
      <c r="T5480" s="16" t="n">
        <v>0</v>
      </c>
      <c r="U5480" s="16" t="n">
        <v>49</v>
      </c>
      <c r="V5480" s="16">
        <f>ROUNDUP((T5480+U5480+2*'Read Me'!$B$13)*(1+'Read Me'!$B$12),-1)</f>
        <v/>
      </c>
      <c r="W5480" s="16">
        <f>V5480*N5480*O5480</f>
        <v/>
      </c>
      <c r="X5480" s="12">
        <f>IF(LEFT(I5480,2)="MV",2*N5480*IF(L5480="1/C",O5480,1),0)</f>
        <v/>
      </c>
      <c r="Y5480" s="12">
        <f>IF(OR(LEFT(K5480,4)="LVAX",LEFT(K5480,6)="MV15AX",LEFT(K5480,4)="CTAX",LEFT(K5480,2)="W|"),2*N5480*O5480,0)</f>
        <v/>
      </c>
      <c r="Z5480" s="12" t="inlineStr"/>
      <c r="AA5480" s="12">
        <f>N5480*O5480</f>
        <v/>
      </c>
    </row>
    <row r="5481">
      <c r="A5481" s="12" t="inlineStr">
        <is>
          <t>K-I-0043</t>
        </is>
      </c>
      <c r="B5481" s="12" t="inlineStr">
        <is>
          <t>K</t>
        </is>
      </c>
      <c r="C5481" s="12" t="inlineStr">
        <is>
          <t>Fuel supply (adjacent market)</t>
        </is>
      </c>
      <c r="D5481" s="12" t="inlineStr">
        <is>
          <t>Discrete device to JB JB-H2 25: H2 dryer / -DI01: 12 x 1 pr (field cables)</t>
        </is>
      </c>
      <c r="E5481" s="12" t="inlineStr"/>
      <c r="F5481" s="12" t="inlineStr">
        <is>
          <t>H2 25: H2 dryer / purification</t>
        </is>
      </c>
      <c r="G5481" s="12" t="inlineStr">
        <is>
          <t>JB-H2 25: H2 dryer / -DI01</t>
        </is>
      </c>
      <c r="H5481" s="12" t="inlineStr">
        <is>
          <t>H2 25: H2 dryer / purification</t>
        </is>
      </c>
      <c r="I5481" s="12" t="inlineStr">
        <is>
          <t>Instrumentation</t>
        </is>
      </c>
      <c r="J5481" s="12" t="inlineStr">
        <is>
          <t>Instrumentation ITC / PLTC, IS, #18 shielded pairs, blue jacket</t>
        </is>
      </c>
      <c r="K5481" s="12" t="inlineStr">
        <is>
          <t>ITC|1 pr|16</t>
        </is>
      </c>
      <c r="L5481" s="12" t="inlineStr">
        <is>
          <t>1 pr</t>
        </is>
      </c>
      <c r="M5481" s="12" t="inlineStr">
        <is>
          <t>16</t>
        </is>
      </c>
      <c r="N5481" s="12" t="n">
        <v>12</v>
      </c>
      <c r="O5481" s="12" t="n">
        <v>1</v>
      </c>
      <c r="P5481" s="12" t="n"/>
      <c r="Q5481" s="12" t="n"/>
      <c r="R5481" s="12" t="n"/>
      <c r="S5481" s="12" t="inlineStr">
        <is>
          <t>Tray / conduit</t>
        </is>
      </c>
      <c r="T5481" s="16" t="n">
        <v>60</v>
      </c>
      <c r="U5481" s="16" t="n">
        <v>10</v>
      </c>
      <c r="V5481" s="16">
        <f>ROUNDUP((T5481+U5481+2*'Read Me'!$B$13)*(1+'Read Me'!$B$12),-1)</f>
        <v/>
      </c>
      <c r="W5481" s="16">
        <f>V5481*N5481*O5481</f>
        <v/>
      </c>
      <c r="X5481" s="12">
        <f>IF(LEFT(I5481,2)="MV",2*N5481*IF(L5481="1/C",O5481,1),0)</f>
        <v/>
      </c>
      <c r="Y5481" s="12">
        <f>IF(OR(LEFT(K5481,4)="LVAX",LEFT(K5481,6)="MV15AX",LEFT(K5481,4)="CTAX",LEFT(K5481,2)="W|"),2*N5481*O5481,0)</f>
        <v/>
      </c>
      <c r="Z5481" s="12" t="inlineStr">
        <is>
          <t>device-to-JB field wiring, one cable per device</t>
        </is>
      </c>
      <c r="AA5481" s="12">
        <f>N5481*O5481</f>
        <v/>
      </c>
    </row>
    <row r="5482">
      <c r="A5482" s="12" t="inlineStr">
        <is>
          <t>K-I-0044</t>
        </is>
      </c>
      <c r="B5482" s="12" t="inlineStr">
        <is>
          <t>K</t>
        </is>
      </c>
      <c r="C5482" s="12" t="inlineStr">
        <is>
          <t>Fuel supply (adjacent market)</t>
        </is>
      </c>
      <c r="D5482" s="12" t="inlineStr">
        <is>
          <t>Home run JB-H2 25: H2 dryer / -DI01 to the control / marshalling room</t>
        </is>
      </c>
      <c r="E5482" s="12" t="inlineStr"/>
      <c r="F5482" s="12" t="inlineStr">
        <is>
          <t>H2 20: 13.8 kV e-house</t>
        </is>
      </c>
      <c r="G5482" s="12" t="inlineStr">
        <is>
          <t>JB-H2 25: H2 dryer / -DI01</t>
        </is>
      </c>
      <c r="H5482" s="12" t="inlineStr">
        <is>
          <t>H2 25: H2 dryer / purification</t>
        </is>
      </c>
      <c r="I5482" s="12" t="inlineStr">
        <is>
          <t>Instrumentation</t>
        </is>
      </c>
      <c r="J5482" s="12" t="inlineStr">
        <is>
          <t>Instrumentation ITC / PLTC, IS, #18 shielded pairs, blue jacket</t>
        </is>
      </c>
      <c r="K5482" s="12" t="inlineStr">
        <is>
          <t>ITC|24 pr|18</t>
        </is>
      </c>
      <c r="L5482" s="12" t="inlineStr">
        <is>
          <t>24 pr</t>
        </is>
      </c>
      <c r="M5482" s="12" t="inlineStr">
        <is>
          <t>18</t>
        </is>
      </c>
      <c r="N5482" s="12" t="n">
        <v>1</v>
      </c>
      <c r="O5482" s="12" t="n">
        <v>1</v>
      </c>
      <c r="P5482" s="12" t="n"/>
      <c r="Q5482" s="12" t="n"/>
      <c r="R5482" s="12" t="n"/>
      <c r="S5482" s="12" t="inlineStr">
        <is>
          <t>Duct bank</t>
        </is>
      </c>
      <c r="T5482" s="16" t="n">
        <v>0</v>
      </c>
      <c r="U5482" s="16" t="n">
        <v>49</v>
      </c>
      <c r="V5482" s="16">
        <f>ROUNDUP((T5482+U5482+2*'Read Me'!$B$13)*(1+'Read Me'!$B$12),-1)</f>
        <v/>
      </c>
      <c r="W5482" s="16">
        <f>V5482*N5482*O5482</f>
        <v/>
      </c>
      <c r="X5482" s="12">
        <f>IF(LEFT(I5482,2)="MV",2*N5482*IF(L5482="1/C",O5482,1),0)</f>
        <v/>
      </c>
      <c r="Y5482" s="12">
        <f>IF(OR(LEFT(K5482,4)="LVAX",LEFT(K5482,6)="MV15AX",LEFT(K5482,4)="CTAX",LEFT(K5482,2)="W|"),2*N5482*O5482,0)</f>
        <v/>
      </c>
      <c r="Z5482" s="12" t="inlineStr"/>
      <c r="AA5482" s="12">
        <f>N5482*O5482</f>
        <v/>
      </c>
    </row>
    <row r="5483">
      <c r="A5483" s="12" t="inlineStr">
        <is>
          <t>K-I-0045</t>
        </is>
      </c>
      <c r="B5483" s="12" t="inlineStr">
        <is>
          <t>K</t>
        </is>
      </c>
      <c r="C5483" s="12" t="inlineStr">
        <is>
          <t>Fuel supply (adjacent market)</t>
        </is>
      </c>
      <c r="D5483" s="12" t="inlineStr">
        <is>
          <t>Analog instrument to JB JB-H2 26: H2 compress-AI01: 12 x 1 pr (field cables)</t>
        </is>
      </c>
      <c r="E5483" s="12" t="inlineStr"/>
      <c r="F5483" s="12" t="inlineStr">
        <is>
          <t>H2 26: H2 compressor 1 (40 ft ISO)</t>
        </is>
      </c>
      <c r="G5483" s="12" t="inlineStr">
        <is>
          <t>JB-H2 26: H2 compress-AI01</t>
        </is>
      </c>
      <c r="H5483" s="12" t="inlineStr">
        <is>
          <t>H2 26: H2 compressor 1 (40 ft ISO)</t>
        </is>
      </c>
      <c r="I5483" s="12" t="inlineStr">
        <is>
          <t>Instrumentation</t>
        </is>
      </c>
      <c r="J5483" s="12" t="inlineStr">
        <is>
          <t>Instrumentation ITC / PLTC, IS, #18 shielded pairs, blue jacket</t>
        </is>
      </c>
      <c r="K5483" s="12" t="inlineStr">
        <is>
          <t>ITC|1 pr|16</t>
        </is>
      </c>
      <c r="L5483" s="12" t="inlineStr">
        <is>
          <t>1 pr</t>
        </is>
      </c>
      <c r="M5483" s="12" t="inlineStr">
        <is>
          <t>16</t>
        </is>
      </c>
      <c r="N5483" s="12" t="n">
        <v>12</v>
      </c>
      <c r="O5483" s="12" t="n">
        <v>1</v>
      </c>
      <c r="P5483" s="12" t="n"/>
      <c r="Q5483" s="12" t="n"/>
      <c r="R5483" s="12" t="n"/>
      <c r="S5483" s="12" t="inlineStr">
        <is>
          <t>Tray / conduit</t>
        </is>
      </c>
      <c r="T5483" s="16" t="n">
        <v>53</v>
      </c>
      <c r="U5483" s="16" t="n">
        <v>10</v>
      </c>
      <c r="V5483" s="16">
        <f>ROUNDUP((T5483+U5483+2*'Read Me'!$B$13)*(1+'Read Me'!$B$12),-1)</f>
        <v/>
      </c>
      <c r="W5483" s="16">
        <f>V5483*N5483*O5483</f>
        <v/>
      </c>
      <c r="X5483" s="12">
        <f>IF(LEFT(I5483,2)="MV",2*N5483*IF(L5483="1/C",O5483,1),0)</f>
        <v/>
      </c>
      <c r="Y5483" s="12">
        <f>IF(OR(LEFT(K5483,4)="LVAX",LEFT(K5483,6)="MV15AX",LEFT(K5483,4)="CTAX",LEFT(K5483,2)="W|"),2*N5483*O5483,0)</f>
        <v/>
      </c>
      <c r="Z5483" s="12" t="inlineStr">
        <is>
          <t>device-to-JB field wiring, one cable per device</t>
        </is>
      </c>
      <c r="AA5483" s="12">
        <f>N5483*O5483</f>
        <v/>
      </c>
    </row>
    <row r="5484">
      <c r="A5484" s="12" t="inlineStr">
        <is>
          <t>K-I-0046</t>
        </is>
      </c>
      <c r="B5484" s="12" t="inlineStr">
        <is>
          <t>K</t>
        </is>
      </c>
      <c r="C5484" s="12" t="inlineStr">
        <is>
          <t>Fuel supply (adjacent market)</t>
        </is>
      </c>
      <c r="D5484" s="12" t="inlineStr">
        <is>
          <t>Home run JB-H2 26: H2 compress-AI01 to the control / marshalling room</t>
        </is>
      </c>
      <c r="E5484" s="12" t="inlineStr"/>
      <c r="F5484" s="12" t="inlineStr">
        <is>
          <t>H2 20: 13.8 kV e-house</t>
        </is>
      </c>
      <c r="G5484" s="12" t="inlineStr">
        <is>
          <t>JB-H2 26: H2 compress-AI01</t>
        </is>
      </c>
      <c r="H5484" s="12" t="inlineStr">
        <is>
          <t>H2 26: H2 compressor 1 (40 ft ISO)</t>
        </is>
      </c>
      <c r="I5484" s="12" t="inlineStr">
        <is>
          <t>Instrumentation</t>
        </is>
      </c>
      <c r="J5484" s="12" t="inlineStr">
        <is>
          <t>Instrumentation ITC / PLTC, IS, #18 shielded pairs, blue jacket</t>
        </is>
      </c>
      <c r="K5484" s="12" t="inlineStr">
        <is>
          <t>ITC|24 pr|18</t>
        </is>
      </c>
      <c r="L5484" s="12" t="inlineStr">
        <is>
          <t>24 pr</t>
        </is>
      </c>
      <c r="M5484" s="12" t="inlineStr">
        <is>
          <t>18</t>
        </is>
      </c>
      <c r="N5484" s="12" t="n">
        <v>1</v>
      </c>
      <c r="O5484" s="12" t="n">
        <v>1</v>
      </c>
      <c r="P5484" s="12" t="n"/>
      <c r="Q5484" s="12" t="n"/>
      <c r="R5484" s="12" t="n"/>
      <c r="S5484" s="12" t="inlineStr">
        <is>
          <t>Duct bank</t>
        </is>
      </c>
      <c r="T5484" s="16" t="n">
        <v>50</v>
      </c>
      <c r="U5484" s="16" t="n">
        <v>32</v>
      </c>
      <c r="V5484" s="16">
        <f>ROUNDUP((T5484+U5484+2*'Read Me'!$B$13)*(1+'Read Me'!$B$12),-1)</f>
        <v/>
      </c>
      <c r="W5484" s="16">
        <f>V5484*N5484*O5484</f>
        <v/>
      </c>
      <c r="X5484" s="12">
        <f>IF(LEFT(I5484,2)="MV",2*N5484*IF(L5484="1/C",O5484,1),0)</f>
        <v/>
      </c>
      <c r="Y5484" s="12">
        <f>IF(OR(LEFT(K5484,4)="LVAX",LEFT(K5484,6)="MV15AX",LEFT(K5484,4)="CTAX",LEFT(K5484,2)="W|"),2*N5484*O5484,0)</f>
        <v/>
      </c>
      <c r="Z5484" s="12" t="inlineStr"/>
      <c r="AA5484" s="12">
        <f>N5484*O5484</f>
        <v/>
      </c>
    </row>
    <row r="5485">
      <c r="A5485" s="12" t="inlineStr">
        <is>
          <t>K-I-0047</t>
        </is>
      </c>
      <c r="B5485" s="12" t="inlineStr">
        <is>
          <t>K</t>
        </is>
      </c>
      <c r="C5485" s="12" t="inlineStr">
        <is>
          <t>Fuel supply (adjacent market)</t>
        </is>
      </c>
      <c r="D5485" s="12" t="inlineStr">
        <is>
          <t>Discrete device to JB JB-H2 26: H2 compress-DI01: 12 x 1 pr (field cables)</t>
        </is>
      </c>
      <c r="E5485" s="12" t="inlineStr"/>
      <c r="F5485" s="12" t="inlineStr">
        <is>
          <t>H2 26: H2 compressor 1 (40 ft ISO)</t>
        </is>
      </c>
      <c r="G5485" s="12" t="inlineStr">
        <is>
          <t>JB-H2 26: H2 compress-DI01</t>
        </is>
      </c>
      <c r="H5485" s="12" t="inlineStr">
        <is>
          <t>H2 26: H2 compressor 1 (40 ft ISO)</t>
        </is>
      </c>
      <c r="I5485" s="12" t="inlineStr">
        <is>
          <t>Instrumentation</t>
        </is>
      </c>
      <c r="J5485" s="12" t="inlineStr">
        <is>
          <t>Instrumentation ITC / PLTC, IS, #18 shielded pairs, blue jacket</t>
        </is>
      </c>
      <c r="K5485" s="12" t="inlineStr">
        <is>
          <t>ITC|1 pr|16</t>
        </is>
      </c>
      <c r="L5485" s="12" t="inlineStr">
        <is>
          <t>1 pr</t>
        </is>
      </c>
      <c r="M5485" s="12" t="inlineStr">
        <is>
          <t>16</t>
        </is>
      </c>
      <c r="N5485" s="12" t="n">
        <v>12</v>
      </c>
      <c r="O5485" s="12" t="n">
        <v>1</v>
      </c>
      <c r="P5485" s="12" t="n"/>
      <c r="Q5485" s="12" t="n"/>
      <c r="R5485" s="12" t="n"/>
      <c r="S5485" s="12" t="inlineStr">
        <is>
          <t>Tray / conduit</t>
        </is>
      </c>
      <c r="T5485" s="16" t="n">
        <v>53</v>
      </c>
      <c r="U5485" s="16" t="n">
        <v>10</v>
      </c>
      <c r="V5485" s="16">
        <f>ROUNDUP((T5485+U5485+2*'Read Me'!$B$13)*(1+'Read Me'!$B$12),-1)</f>
        <v/>
      </c>
      <c r="W5485" s="16">
        <f>V5485*N5485*O5485</f>
        <v/>
      </c>
      <c r="X5485" s="12">
        <f>IF(LEFT(I5485,2)="MV",2*N5485*IF(L5485="1/C",O5485,1),0)</f>
        <v/>
      </c>
      <c r="Y5485" s="12">
        <f>IF(OR(LEFT(K5485,4)="LVAX",LEFT(K5485,6)="MV15AX",LEFT(K5485,4)="CTAX",LEFT(K5485,2)="W|"),2*N5485*O5485,0)</f>
        <v/>
      </c>
      <c r="Z5485" s="12" t="inlineStr">
        <is>
          <t>device-to-JB field wiring, one cable per device</t>
        </is>
      </c>
      <c r="AA5485" s="12">
        <f>N5485*O5485</f>
        <v/>
      </c>
    </row>
    <row r="5486">
      <c r="A5486" s="12" t="inlineStr">
        <is>
          <t>K-I-0048</t>
        </is>
      </c>
      <c r="B5486" s="12" t="inlineStr">
        <is>
          <t>K</t>
        </is>
      </c>
      <c r="C5486" s="12" t="inlineStr">
        <is>
          <t>Fuel supply (adjacent market)</t>
        </is>
      </c>
      <c r="D5486" s="12" t="inlineStr">
        <is>
          <t>Home run JB-H2 26: H2 compress-DI01 to the control / marshalling room</t>
        </is>
      </c>
      <c r="E5486" s="12" t="inlineStr"/>
      <c r="F5486" s="12" t="inlineStr">
        <is>
          <t>H2 20: 13.8 kV e-house</t>
        </is>
      </c>
      <c r="G5486" s="12" t="inlineStr">
        <is>
          <t>JB-H2 26: H2 compress-DI01</t>
        </is>
      </c>
      <c r="H5486" s="12" t="inlineStr">
        <is>
          <t>H2 26: H2 compressor 1 (40 ft ISO)</t>
        </is>
      </c>
      <c r="I5486" s="12" t="inlineStr">
        <is>
          <t>Instrumentation</t>
        </is>
      </c>
      <c r="J5486" s="12" t="inlineStr">
        <is>
          <t>Instrumentation ITC / PLTC, IS, #18 shielded pairs, blue jacket</t>
        </is>
      </c>
      <c r="K5486" s="12" t="inlineStr">
        <is>
          <t>ITC|24 pr|18</t>
        </is>
      </c>
      <c r="L5486" s="12" t="inlineStr">
        <is>
          <t>24 pr</t>
        </is>
      </c>
      <c r="M5486" s="12" t="inlineStr">
        <is>
          <t>18</t>
        </is>
      </c>
      <c r="N5486" s="12" t="n">
        <v>1</v>
      </c>
      <c r="O5486" s="12" t="n">
        <v>1</v>
      </c>
      <c r="P5486" s="12" t="n"/>
      <c r="Q5486" s="12" t="n"/>
      <c r="R5486" s="12" t="n"/>
      <c r="S5486" s="12" t="inlineStr">
        <is>
          <t>Duct bank</t>
        </is>
      </c>
      <c r="T5486" s="16" t="n">
        <v>50</v>
      </c>
      <c r="U5486" s="16" t="n">
        <v>32</v>
      </c>
      <c r="V5486" s="16">
        <f>ROUNDUP((T5486+U5486+2*'Read Me'!$B$13)*(1+'Read Me'!$B$12),-1)</f>
        <v/>
      </c>
      <c r="W5486" s="16">
        <f>V5486*N5486*O5486</f>
        <v/>
      </c>
      <c r="X5486" s="12">
        <f>IF(LEFT(I5486,2)="MV",2*N5486*IF(L5486="1/C",O5486,1),0)</f>
        <v/>
      </c>
      <c r="Y5486" s="12">
        <f>IF(OR(LEFT(K5486,4)="LVAX",LEFT(K5486,6)="MV15AX",LEFT(K5486,4)="CTAX",LEFT(K5486,2)="W|"),2*N5486*O5486,0)</f>
        <v/>
      </c>
      <c r="Z5486" s="12" t="inlineStr"/>
      <c r="AA5486" s="12">
        <f>N5486*O5486</f>
        <v/>
      </c>
    </row>
    <row r="5487">
      <c r="A5487" s="12" t="inlineStr">
        <is>
          <t>K-I-0049</t>
        </is>
      </c>
      <c r="B5487" s="12" t="inlineStr">
        <is>
          <t>K</t>
        </is>
      </c>
      <c r="C5487" s="12" t="inlineStr">
        <is>
          <t>Fuel supply (adjacent market)</t>
        </is>
      </c>
      <c r="D5487" s="12" t="inlineStr">
        <is>
          <t>Analog instrument to JB JB-H2 26: H2 compress-AI01: 12 x 1 pr (field cables)</t>
        </is>
      </c>
      <c r="E5487" s="12" t="inlineStr"/>
      <c r="F5487" s="12" t="inlineStr">
        <is>
          <t>H2 26: H2 compressor 2 (40 ft ISO)</t>
        </is>
      </c>
      <c r="G5487" s="12" t="inlineStr">
        <is>
          <t>JB-H2 26: H2 compress-AI01</t>
        </is>
      </c>
      <c r="H5487" s="12" t="inlineStr">
        <is>
          <t>H2 26: H2 compressor 2 (40 ft ISO)</t>
        </is>
      </c>
      <c r="I5487" s="12" t="inlineStr">
        <is>
          <t>Instrumentation</t>
        </is>
      </c>
      <c r="J5487" s="12" t="inlineStr">
        <is>
          <t>Instrumentation ITC / PLTC, IS, #18 shielded pairs, blue jacket</t>
        </is>
      </c>
      <c r="K5487" s="12" t="inlineStr">
        <is>
          <t>ITC|1 pr|16</t>
        </is>
      </c>
      <c r="L5487" s="12" t="inlineStr">
        <is>
          <t>1 pr</t>
        </is>
      </c>
      <c r="M5487" s="12" t="inlineStr">
        <is>
          <t>16</t>
        </is>
      </c>
      <c r="N5487" s="12" t="n">
        <v>12</v>
      </c>
      <c r="O5487" s="12" t="n">
        <v>1</v>
      </c>
      <c r="P5487" s="12" t="n"/>
      <c r="Q5487" s="12" t="n"/>
      <c r="R5487" s="12" t="n"/>
      <c r="S5487" s="12" t="inlineStr">
        <is>
          <t>Tray / conduit</t>
        </is>
      </c>
      <c r="T5487" s="16" t="n">
        <v>53</v>
      </c>
      <c r="U5487" s="16" t="n">
        <v>10</v>
      </c>
      <c r="V5487" s="16">
        <f>ROUNDUP((T5487+U5487+2*'Read Me'!$B$13)*(1+'Read Me'!$B$12),-1)</f>
        <v/>
      </c>
      <c r="W5487" s="16">
        <f>V5487*N5487*O5487</f>
        <v/>
      </c>
      <c r="X5487" s="12">
        <f>IF(LEFT(I5487,2)="MV",2*N5487*IF(L5487="1/C",O5487,1),0)</f>
        <v/>
      </c>
      <c r="Y5487" s="12">
        <f>IF(OR(LEFT(K5487,4)="LVAX",LEFT(K5487,6)="MV15AX",LEFT(K5487,4)="CTAX",LEFT(K5487,2)="W|"),2*N5487*O5487,0)</f>
        <v/>
      </c>
      <c r="Z5487" s="12" t="inlineStr">
        <is>
          <t>device-to-JB field wiring, one cable per device</t>
        </is>
      </c>
      <c r="AA5487" s="12">
        <f>N5487*O5487</f>
        <v/>
      </c>
    </row>
    <row r="5488">
      <c r="A5488" s="12" t="inlineStr">
        <is>
          <t>K-I-0050</t>
        </is>
      </c>
      <c r="B5488" s="12" t="inlineStr">
        <is>
          <t>K</t>
        </is>
      </c>
      <c r="C5488" s="12" t="inlineStr">
        <is>
          <t>Fuel supply (adjacent market)</t>
        </is>
      </c>
      <c r="D5488" s="12" t="inlineStr">
        <is>
          <t>Home run JB-H2 26: H2 compress-AI01 to the control / marshalling room</t>
        </is>
      </c>
      <c r="E5488" s="12" t="inlineStr"/>
      <c r="F5488" s="12" t="inlineStr">
        <is>
          <t>H2 20: 13.8 kV e-house</t>
        </is>
      </c>
      <c r="G5488" s="12" t="inlineStr">
        <is>
          <t>JB-H2 26: H2 compress-AI01</t>
        </is>
      </c>
      <c r="H5488" s="12" t="inlineStr">
        <is>
          <t>H2 26: H2 compressor 2 (40 ft ISO)</t>
        </is>
      </c>
      <c r="I5488" s="12" t="inlineStr">
        <is>
          <t>Instrumentation</t>
        </is>
      </c>
      <c r="J5488" s="12" t="inlineStr">
        <is>
          <t>Instrumentation ITC / PLTC, IS, #18 shielded pairs, blue jacket</t>
        </is>
      </c>
      <c r="K5488" s="12" t="inlineStr">
        <is>
          <t>ITC|24 pr|18</t>
        </is>
      </c>
      <c r="L5488" s="12" t="inlineStr">
        <is>
          <t>24 pr</t>
        </is>
      </c>
      <c r="M5488" s="12" t="inlineStr">
        <is>
          <t>18</t>
        </is>
      </c>
      <c r="N5488" s="12" t="n">
        <v>1</v>
      </c>
      <c r="O5488" s="12" t="n">
        <v>1</v>
      </c>
      <c r="P5488" s="12" t="n"/>
      <c r="Q5488" s="12" t="n"/>
      <c r="R5488" s="12" t="n"/>
      <c r="S5488" s="12" t="inlineStr">
        <is>
          <t>Duct bank</t>
        </is>
      </c>
      <c r="T5488" s="16" t="n">
        <v>50</v>
      </c>
      <c r="U5488" s="16" t="n">
        <v>47</v>
      </c>
      <c r="V5488" s="16">
        <f>ROUNDUP((T5488+U5488+2*'Read Me'!$B$13)*(1+'Read Me'!$B$12),-1)</f>
        <v/>
      </c>
      <c r="W5488" s="16">
        <f>V5488*N5488*O5488</f>
        <v/>
      </c>
      <c r="X5488" s="12">
        <f>IF(LEFT(I5488,2)="MV",2*N5488*IF(L5488="1/C",O5488,1),0)</f>
        <v/>
      </c>
      <c r="Y5488" s="12">
        <f>IF(OR(LEFT(K5488,4)="LVAX",LEFT(K5488,6)="MV15AX",LEFT(K5488,4)="CTAX",LEFT(K5488,2)="W|"),2*N5488*O5488,0)</f>
        <v/>
      </c>
      <c r="Z5488" s="12" t="inlineStr"/>
      <c r="AA5488" s="12">
        <f>N5488*O5488</f>
        <v/>
      </c>
    </row>
    <row r="5489">
      <c r="A5489" s="12" t="inlineStr">
        <is>
          <t>K-I-0051</t>
        </is>
      </c>
      <c r="B5489" s="12" t="inlineStr">
        <is>
          <t>K</t>
        </is>
      </c>
      <c r="C5489" s="12" t="inlineStr">
        <is>
          <t>Fuel supply (adjacent market)</t>
        </is>
      </c>
      <c r="D5489" s="12" t="inlineStr">
        <is>
          <t>Discrete device to JB JB-H2 26: H2 compress-DI01: 12 x 1 pr (field cables)</t>
        </is>
      </c>
      <c r="E5489" s="12" t="inlineStr"/>
      <c r="F5489" s="12" t="inlineStr">
        <is>
          <t>H2 26: H2 compressor 2 (40 ft ISO)</t>
        </is>
      </c>
      <c r="G5489" s="12" t="inlineStr">
        <is>
          <t>JB-H2 26: H2 compress-DI01</t>
        </is>
      </c>
      <c r="H5489" s="12" t="inlineStr">
        <is>
          <t>H2 26: H2 compressor 2 (40 ft ISO)</t>
        </is>
      </c>
      <c r="I5489" s="12" t="inlineStr">
        <is>
          <t>Instrumentation</t>
        </is>
      </c>
      <c r="J5489" s="12" t="inlineStr">
        <is>
          <t>Instrumentation ITC / PLTC, IS, #18 shielded pairs, blue jacket</t>
        </is>
      </c>
      <c r="K5489" s="12" t="inlineStr">
        <is>
          <t>ITC|1 pr|16</t>
        </is>
      </c>
      <c r="L5489" s="12" t="inlineStr">
        <is>
          <t>1 pr</t>
        </is>
      </c>
      <c r="M5489" s="12" t="inlineStr">
        <is>
          <t>16</t>
        </is>
      </c>
      <c r="N5489" s="12" t="n">
        <v>12</v>
      </c>
      <c r="O5489" s="12" t="n">
        <v>1</v>
      </c>
      <c r="P5489" s="12" t="n"/>
      <c r="Q5489" s="12" t="n"/>
      <c r="R5489" s="12" t="n"/>
      <c r="S5489" s="12" t="inlineStr">
        <is>
          <t>Tray / conduit</t>
        </is>
      </c>
      <c r="T5489" s="16" t="n">
        <v>53</v>
      </c>
      <c r="U5489" s="16" t="n">
        <v>10</v>
      </c>
      <c r="V5489" s="16">
        <f>ROUNDUP((T5489+U5489+2*'Read Me'!$B$13)*(1+'Read Me'!$B$12),-1)</f>
        <v/>
      </c>
      <c r="W5489" s="16">
        <f>V5489*N5489*O5489</f>
        <v/>
      </c>
      <c r="X5489" s="12">
        <f>IF(LEFT(I5489,2)="MV",2*N5489*IF(L5489="1/C",O5489,1),0)</f>
        <v/>
      </c>
      <c r="Y5489" s="12">
        <f>IF(OR(LEFT(K5489,4)="LVAX",LEFT(K5489,6)="MV15AX",LEFT(K5489,4)="CTAX",LEFT(K5489,2)="W|"),2*N5489*O5489,0)</f>
        <v/>
      </c>
      <c r="Z5489" s="12" t="inlineStr">
        <is>
          <t>device-to-JB field wiring, one cable per device</t>
        </is>
      </c>
      <c r="AA5489" s="12">
        <f>N5489*O5489</f>
        <v/>
      </c>
    </row>
    <row r="5490">
      <c r="A5490" s="12" t="inlineStr">
        <is>
          <t>K-I-0052</t>
        </is>
      </c>
      <c r="B5490" s="12" t="inlineStr">
        <is>
          <t>K</t>
        </is>
      </c>
      <c r="C5490" s="12" t="inlineStr">
        <is>
          <t>Fuel supply (adjacent market)</t>
        </is>
      </c>
      <c r="D5490" s="12" t="inlineStr">
        <is>
          <t>Home run JB-H2 26: H2 compress-DI01 to the control / marshalling room</t>
        </is>
      </c>
      <c r="E5490" s="12" t="inlineStr"/>
      <c r="F5490" s="12" t="inlineStr">
        <is>
          <t>H2 20: 13.8 kV e-house</t>
        </is>
      </c>
      <c r="G5490" s="12" t="inlineStr">
        <is>
          <t>JB-H2 26: H2 compress-DI01</t>
        </is>
      </c>
      <c r="H5490" s="12" t="inlineStr">
        <is>
          <t>H2 26: H2 compressor 2 (40 ft ISO)</t>
        </is>
      </c>
      <c r="I5490" s="12" t="inlineStr">
        <is>
          <t>Instrumentation</t>
        </is>
      </c>
      <c r="J5490" s="12" t="inlineStr">
        <is>
          <t>Instrumentation ITC / PLTC, IS, #18 shielded pairs, blue jacket</t>
        </is>
      </c>
      <c r="K5490" s="12" t="inlineStr">
        <is>
          <t>ITC|24 pr|18</t>
        </is>
      </c>
      <c r="L5490" s="12" t="inlineStr">
        <is>
          <t>24 pr</t>
        </is>
      </c>
      <c r="M5490" s="12" t="inlineStr">
        <is>
          <t>18</t>
        </is>
      </c>
      <c r="N5490" s="12" t="n">
        <v>1</v>
      </c>
      <c r="O5490" s="12" t="n">
        <v>1</v>
      </c>
      <c r="P5490" s="12" t="n"/>
      <c r="Q5490" s="12" t="n"/>
      <c r="R5490" s="12" t="n"/>
      <c r="S5490" s="12" t="inlineStr">
        <is>
          <t>Duct bank</t>
        </is>
      </c>
      <c r="T5490" s="16" t="n">
        <v>50</v>
      </c>
      <c r="U5490" s="16" t="n">
        <v>47</v>
      </c>
      <c r="V5490" s="16">
        <f>ROUNDUP((T5490+U5490+2*'Read Me'!$B$13)*(1+'Read Me'!$B$12),-1)</f>
        <v/>
      </c>
      <c r="W5490" s="16">
        <f>V5490*N5490*O5490</f>
        <v/>
      </c>
      <c r="X5490" s="12">
        <f>IF(LEFT(I5490,2)="MV",2*N5490*IF(L5490="1/C",O5490,1),0)</f>
        <v/>
      </c>
      <c r="Y5490" s="12">
        <f>IF(OR(LEFT(K5490,4)="LVAX",LEFT(K5490,6)="MV15AX",LEFT(K5490,4)="CTAX",LEFT(K5490,2)="W|"),2*N5490*O5490,0)</f>
        <v/>
      </c>
      <c r="Z5490" s="12" t="inlineStr"/>
      <c r="AA5490" s="12">
        <f>N5490*O5490</f>
        <v/>
      </c>
    </row>
    <row r="5491">
      <c r="A5491" s="12" t="inlineStr">
        <is>
          <t>K-I-0053</t>
        </is>
      </c>
      <c r="B5491" s="12" t="inlineStr">
        <is>
          <t>K</t>
        </is>
      </c>
      <c r="C5491" s="12" t="inlineStr">
        <is>
          <t>Fuel supply (adjacent market)</t>
        </is>
      </c>
      <c r="D5491" s="12" t="inlineStr">
        <is>
          <t>Analog instrument to JB JB-H2 27: storage tub-AI01: 12 x 1 pr (field cables)</t>
        </is>
      </c>
      <c r="E5491" s="12" t="inlineStr"/>
      <c r="F5491" s="12" t="inlineStr">
        <is>
          <t>H2 27: storage tube bank (~40 ft tubes)</t>
        </is>
      </c>
      <c r="G5491" s="12" t="inlineStr">
        <is>
          <t>JB-H2 27: storage tub-AI01</t>
        </is>
      </c>
      <c r="H5491" s="12" t="inlineStr">
        <is>
          <t>H2 27: storage tube bank (~40 ft tubes)</t>
        </is>
      </c>
      <c r="I5491" s="12" t="inlineStr">
        <is>
          <t>Instrumentation</t>
        </is>
      </c>
      <c r="J5491" s="12" t="inlineStr">
        <is>
          <t>Instrumentation ITC / PLTC, IS, #18 shielded pairs, blue jacket</t>
        </is>
      </c>
      <c r="K5491" s="12" t="inlineStr">
        <is>
          <t>ITC|1 pr|16</t>
        </is>
      </c>
      <c r="L5491" s="12" t="inlineStr">
        <is>
          <t>1 pr</t>
        </is>
      </c>
      <c r="M5491" s="12" t="inlineStr">
        <is>
          <t>16</t>
        </is>
      </c>
      <c r="N5491" s="12" t="n">
        <v>12</v>
      </c>
      <c r="O5491" s="12" t="n">
        <v>1</v>
      </c>
      <c r="P5491" s="12" t="n"/>
      <c r="Q5491" s="12" t="n"/>
      <c r="R5491" s="12" t="n"/>
      <c r="S5491" s="12" t="inlineStr">
        <is>
          <t>Tray / conduit</t>
        </is>
      </c>
      <c r="T5491" s="16" t="n">
        <v>54</v>
      </c>
      <c r="U5491" s="16" t="n">
        <v>10</v>
      </c>
      <c r="V5491" s="16">
        <f>ROUNDUP((T5491+U5491+2*'Read Me'!$B$13)*(1+'Read Me'!$B$12),-1)</f>
        <v/>
      </c>
      <c r="W5491" s="16">
        <f>V5491*N5491*O5491</f>
        <v/>
      </c>
      <c r="X5491" s="12">
        <f>IF(LEFT(I5491,2)="MV",2*N5491*IF(L5491="1/C",O5491,1),0)</f>
        <v/>
      </c>
      <c r="Y5491" s="12">
        <f>IF(OR(LEFT(K5491,4)="LVAX",LEFT(K5491,6)="MV15AX",LEFT(K5491,4)="CTAX",LEFT(K5491,2)="W|"),2*N5491*O5491,0)</f>
        <v/>
      </c>
      <c r="Z5491" s="12" t="inlineStr">
        <is>
          <t>device-to-JB field wiring, one cable per device</t>
        </is>
      </c>
      <c r="AA5491" s="12">
        <f>N5491*O5491</f>
        <v/>
      </c>
    </row>
    <row r="5492">
      <c r="A5492" s="12" t="inlineStr">
        <is>
          <t>K-I-0054</t>
        </is>
      </c>
      <c r="B5492" s="12" t="inlineStr">
        <is>
          <t>K</t>
        </is>
      </c>
      <c r="C5492" s="12" t="inlineStr">
        <is>
          <t>Fuel supply (adjacent market)</t>
        </is>
      </c>
      <c r="D5492" s="12" t="inlineStr">
        <is>
          <t>Home run JB-H2 27: storage tub-AI01 to the control / marshalling room</t>
        </is>
      </c>
      <c r="E5492" s="12" t="inlineStr"/>
      <c r="F5492" s="12" t="inlineStr">
        <is>
          <t>H2 20: 13.8 kV e-house</t>
        </is>
      </c>
      <c r="G5492" s="12" t="inlineStr">
        <is>
          <t>JB-H2 27: storage tub-AI01</t>
        </is>
      </c>
      <c r="H5492" s="12" t="inlineStr">
        <is>
          <t>H2 27: storage tube bank (~40 ft tubes)</t>
        </is>
      </c>
      <c r="I5492" s="12" t="inlineStr">
        <is>
          <t>Instrumentation</t>
        </is>
      </c>
      <c r="J5492" s="12" t="inlineStr">
        <is>
          <t>Instrumentation ITC / PLTC, IS, #18 shielded pairs, blue jacket</t>
        </is>
      </c>
      <c r="K5492" s="12" t="inlineStr">
        <is>
          <t>ITC|24 pr|18</t>
        </is>
      </c>
      <c r="L5492" s="12" t="inlineStr">
        <is>
          <t>24 pr</t>
        </is>
      </c>
      <c r="M5492" s="12" t="inlineStr">
        <is>
          <t>18</t>
        </is>
      </c>
      <c r="N5492" s="12" t="n">
        <v>1</v>
      </c>
      <c r="O5492" s="12" t="n">
        <v>1</v>
      </c>
      <c r="P5492" s="12" t="n"/>
      <c r="Q5492" s="12" t="n"/>
      <c r="R5492" s="12" t="n"/>
      <c r="S5492" s="12" t="inlineStr">
        <is>
          <t>Duct bank</t>
        </is>
      </c>
      <c r="T5492" s="16" t="n">
        <v>50</v>
      </c>
      <c r="U5492" s="16" t="n">
        <v>97</v>
      </c>
      <c r="V5492" s="16">
        <f>ROUNDUP((T5492+U5492+2*'Read Me'!$B$13)*(1+'Read Me'!$B$12),-1)</f>
        <v/>
      </c>
      <c r="W5492" s="16">
        <f>V5492*N5492*O5492</f>
        <v/>
      </c>
      <c r="X5492" s="12">
        <f>IF(LEFT(I5492,2)="MV",2*N5492*IF(L5492="1/C",O5492,1),0)</f>
        <v/>
      </c>
      <c r="Y5492" s="12">
        <f>IF(OR(LEFT(K5492,4)="LVAX",LEFT(K5492,6)="MV15AX",LEFT(K5492,4)="CTAX",LEFT(K5492,2)="W|"),2*N5492*O5492,0)</f>
        <v/>
      </c>
      <c r="Z5492" s="12" t="inlineStr"/>
      <c r="AA5492" s="12">
        <f>N5492*O5492</f>
        <v/>
      </c>
    </row>
    <row r="5493">
      <c r="A5493" s="12" t="inlineStr">
        <is>
          <t>K-I-0055</t>
        </is>
      </c>
      <c r="B5493" s="12" t="inlineStr">
        <is>
          <t>K</t>
        </is>
      </c>
      <c r="C5493" s="12" t="inlineStr">
        <is>
          <t>Fuel supply (adjacent market)</t>
        </is>
      </c>
      <c r="D5493" s="12" t="inlineStr">
        <is>
          <t>Discrete device to JB JB-H2 27: storage tub-DI01: 12 x 1 pr (field cables)</t>
        </is>
      </c>
      <c r="E5493" s="12" t="inlineStr"/>
      <c r="F5493" s="12" t="inlineStr">
        <is>
          <t>H2 27: storage tube bank (~40 ft tubes)</t>
        </is>
      </c>
      <c r="G5493" s="12" t="inlineStr">
        <is>
          <t>JB-H2 27: storage tub-DI01</t>
        </is>
      </c>
      <c r="H5493" s="12" t="inlineStr">
        <is>
          <t>H2 27: storage tube bank (~40 ft tubes)</t>
        </is>
      </c>
      <c r="I5493" s="12" t="inlineStr">
        <is>
          <t>Instrumentation</t>
        </is>
      </c>
      <c r="J5493" s="12" t="inlineStr">
        <is>
          <t>Instrumentation ITC / PLTC, IS, #18 shielded pairs, blue jacket</t>
        </is>
      </c>
      <c r="K5493" s="12" t="inlineStr">
        <is>
          <t>ITC|1 pr|16</t>
        </is>
      </c>
      <c r="L5493" s="12" t="inlineStr">
        <is>
          <t>1 pr</t>
        </is>
      </c>
      <c r="M5493" s="12" t="inlineStr">
        <is>
          <t>16</t>
        </is>
      </c>
      <c r="N5493" s="12" t="n">
        <v>12</v>
      </c>
      <c r="O5493" s="12" t="n">
        <v>1</v>
      </c>
      <c r="P5493" s="12" t="n"/>
      <c r="Q5493" s="12" t="n"/>
      <c r="R5493" s="12" t="n"/>
      <c r="S5493" s="12" t="inlineStr">
        <is>
          <t>Tray / conduit</t>
        </is>
      </c>
      <c r="T5493" s="16" t="n">
        <v>54</v>
      </c>
      <c r="U5493" s="16" t="n">
        <v>10</v>
      </c>
      <c r="V5493" s="16">
        <f>ROUNDUP((T5493+U5493+2*'Read Me'!$B$13)*(1+'Read Me'!$B$12),-1)</f>
        <v/>
      </c>
      <c r="W5493" s="16">
        <f>V5493*N5493*O5493</f>
        <v/>
      </c>
      <c r="X5493" s="12">
        <f>IF(LEFT(I5493,2)="MV",2*N5493*IF(L5493="1/C",O5493,1),0)</f>
        <v/>
      </c>
      <c r="Y5493" s="12">
        <f>IF(OR(LEFT(K5493,4)="LVAX",LEFT(K5493,6)="MV15AX",LEFT(K5493,4)="CTAX",LEFT(K5493,2)="W|"),2*N5493*O5493,0)</f>
        <v/>
      </c>
      <c r="Z5493" s="12" t="inlineStr">
        <is>
          <t>device-to-JB field wiring, one cable per device</t>
        </is>
      </c>
      <c r="AA5493" s="12">
        <f>N5493*O5493</f>
        <v/>
      </c>
    </row>
    <row r="5494">
      <c r="A5494" s="12" t="inlineStr">
        <is>
          <t>K-I-0056</t>
        </is>
      </c>
      <c r="B5494" s="12" t="inlineStr">
        <is>
          <t>K</t>
        </is>
      </c>
      <c r="C5494" s="12" t="inlineStr">
        <is>
          <t>Fuel supply (adjacent market)</t>
        </is>
      </c>
      <c r="D5494" s="12" t="inlineStr">
        <is>
          <t>Home run JB-H2 27: storage tub-DI01 to the control / marshalling room</t>
        </is>
      </c>
      <c r="E5494" s="12" t="inlineStr"/>
      <c r="F5494" s="12" t="inlineStr">
        <is>
          <t>H2 20: 13.8 kV e-house</t>
        </is>
      </c>
      <c r="G5494" s="12" t="inlineStr">
        <is>
          <t>JB-H2 27: storage tub-DI01</t>
        </is>
      </c>
      <c r="H5494" s="12" t="inlineStr">
        <is>
          <t>H2 27: storage tube bank (~40 ft tubes)</t>
        </is>
      </c>
      <c r="I5494" s="12" t="inlineStr">
        <is>
          <t>Instrumentation</t>
        </is>
      </c>
      <c r="J5494" s="12" t="inlineStr">
        <is>
          <t>Instrumentation ITC / PLTC, IS, #18 shielded pairs, blue jacket</t>
        </is>
      </c>
      <c r="K5494" s="12" t="inlineStr">
        <is>
          <t>ITC|24 pr|18</t>
        </is>
      </c>
      <c r="L5494" s="12" t="inlineStr">
        <is>
          <t>24 pr</t>
        </is>
      </c>
      <c r="M5494" s="12" t="inlineStr">
        <is>
          <t>18</t>
        </is>
      </c>
      <c r="N5494" s="12" t="n">
        <v>1</v>
      </c>
      <c r="O5494" s="12" t="n">
        <v>1</v>
      </c>
      <c r="P5494" s="12" t="n"/>
      <c r="Q5494" s="12" t="n"/>
      <c r="R5494" s="12" t="n"/>
      <c r="S5494" s="12" t="inlineStr">
        <is>
          <t>Duct bank</t>
        </is>
      </c>
      <c r="T5494" s="16" t="n">
        <v>50</v>
      </c>
      <c r="U5494" s="16" t="n">
        <v>97</v>
      </c>
      <c r="V5494" s="16">
        <f>ROUNDUP((T5494+U5494+2*'Read Me'!$B$13)*(1+'Read Me'!$B$12),-1)</f>
        <v/>
      </c>
      <c r="W5494" s="16">
        <f>V5494*N5494*O5494</f>
        <v/>
      </c>
      <c r="X5494" s="12">
        <f>IF(LEFT(I5494,2)="MV",2*N5494*IF(L5494="1/C",O5494,1),0)</f>
        <v/>
      </c>
      <c r="Y5494" s="12">
        <f>IF(OR(LEFT(K5494,4)="LVAX",LEFT(K5494,6)="MV15AX",LEFT(K5494,4)="CTAX",LEFT(K5494,2)="W|"),2*N5494*O5494,0)</f>
        <v/>
      </c>
      <c r="Z5494" s="12" t="inlineStr"/>
      <c r="AA5494" s="12">
        <f>N5494*O5494</f>
        <v/>
      </c>
    </row>
    <row r="5495">
      <c r="A5495" s="12" t="inlineStr">
        <is>
          <t>K-I-0057</t>
        </is>
      </c>
      <c r="B5495" s="12" t="inlineStr">
        <is>
          <t>K</t>
        </is>
      </c>
      <c r="C5495" s="12" t="inlineStr">
        <is>
          <t>Fuel supply (adjacent market)</t>
        </is>
      </c>
      <c r="D5495" s="12" t="inlineStr">
        <is>
          <t>Analog instrument to JB JB-H2 27: storage tub-AI01: 12 x 1 pr (field cables)</t>
        </is>
      </c>
      <c r="E5495" s="12" t="inlineStr"/>
      <c r="F5495" s="12" t="inlineStr">
        <is>
          <t>H2 27: storage tube bank (~40 ft tubes)</t>
        </is>
      </c>
      <c r="G5495" s="12" t="inlineStr">
        <is>
          <t>JB-H2 27: storage tub-AI01</t>
        </is>
      </c>
      <c r="H5495" s="12" t="inlineStr">
        <is>
          <t>H2 27: storage tube bank (~40 ft tubes)</t>
        </is>
      </c>
      <c r="I5495" s="12" t="inlineStr">
        <is>
          <t>Instrumentation</t>
        </is>
      </c>
      <c r="J5495" s="12" t="inlineStr">
        <is>
          <t>Instrumentation ITC / PLTC, IS, #18 shielded pairs, blue jacket</t>
        </is>
      </c>
      <c r="K5495" s="12" t="inlineStr">
        <is>
          <t>ITC|1 pr|16</t>
        </is>
      </c>
      <c r="L5495" s="12" t="inlineStr">
        <is>
          <t>1 pr</t>
        </is>
      </c>
      <c r="M5495" s="12" t="inlineStr">
        <is>
          <t>16</t>
        </is>
      </c>
      <c r="N5495" s="12" t="n">
        <v>12</v>
      </c>
      <c r="O5495" s="12" t="n">
        <v>1</v>
      </c>
      <c r="P5495" s="12" t="n"/>
      <c r="Q5495" s="12" t="n"/>
      <c r="R5495" s="12" t="n"/>
      <c r="S5495" s="12" t="inlineStr">
        <is>
          <t>Tray / conduit</t>
        </is>
      </c>
      <c r="T5495" s="16" t="n">
        <v>54</v>
      </c>
      <c r="U5495" s="16" t="n">
        <v>10</v>
      </c>
      <c r="V5495" s="16">
        <f>ROUNDUP((T5495+U5495+2*'Read Me'!$B$13)*(1+'Read Me'!$B$12),-1)</f>
        <v/>
      </c>
      <c r="W5495" s="16">
        <f>V5495*N5495*O5495</f>
        <v/>
      </c>
      <c r="X5495" s="12">
        <f>IF(LEFT(I5495,2)="MV",2*N5495*IF(L5495="1/C",O5495,1),0)</f>
        <v/>
      </c>
      <c r="Y5495" s="12">
        <f>IF(OR(LEFT(K5495,4)="LVAX",LEFT(K5495,6)="MV15AX",LEFT(K5495,4)="CTAX",LEFT(K5495,2)="W|"),2*N5495*O5495,0)</f>
        <v/>
      </c>
      <c r="Z5495" s="12" t="inlineStr">
        <is>
          <t>device-to-JB field wiring, one cable per device</t>
        </is>
      </c>
      <c r="AA5495" s="12">
        <f>N5495*O5495</f>
        <v/>
      </c>
    </row>
    <row r="5496">
      <c r="A5496" s="12" t="inlineStr">
        <is>
          <t>K-I-0058</t>
        </is>
      </c>
      <c r="B5496" s="12" t="inlineStr">
        <is>
          <t>K</t>
        </is>
      </c>
      <c r="C5496" s="12" t="inlineStr">
        <is>
          <t>Fuel supply (adjacent market)</t>
        </is>
      </c>
      <c r="D5496" s="12" t="inlineStr">
        <is>
          <t>Home run JB-H2 27: storage tub-AI01 to the control / marshalling room</t>
        </is>
      </c>
      <c r="E5496" s="12" t="inlineStr"/>
      <c r="F5496" s="12" t="inlineStr">
        <is>
          <t>H2 20: 13.8 kV e-house</t>
        </is>
      </c>
      <c r="G5496" s="12" t="inlineStr">
        <is>
          <t>JB-H2 27: storage tub-AI01</t>
        </is>
      </c>
      <c r="H5496" s="12" t="inlineStr">
        <is>
          <t>H2 27: storage tube bank (~40 ft tubes)</t>
        </is>
      </c>
      <c r="I5496" s="12" t="inlineStr">
        <is>
          <t>Instrumentation</t>
        </is>
      </c>
      <c r="J5496" s="12" t="inlineStr">
        <is>
          <t>Instrumentation ITC / PLTC, IS, #18 shielded pairs, blue jacket</t>
        </is>
      </c>
      <c r="K5496" s="12" t="inlineStr">
        <is>
          <t>ITC|24 pr|18</t>
        </is>
      </c>
      <c r="L5496" s="12" t="inlineStr">
        <is>
          <t>24 pr</t>
        </is>
      </c>
      <c r="M5496" s="12" t="inlineStr">
        <is>
          <t>18</t>
        </is>
      </c>
      <c r="N5496" s="12" t="n">
        <v>1</v>
      </c>
      <c r="O5496" s="12" t="n">
        <v>1</v>
      </c>
      <c r="P5496" s="12" t="n"/>
      <c r="Q5496" s="12" t="n"/>
      <c r="R5496" s="12" t="n"/>
      <c r="S5496" s="12" t="inlineStr">
        <is>
          <t>Duct bank</t>
        </is>
      </c>
      <c r="T5496" s="16" t="n">
        <v>50</v>
      </c>
      <c r="U5496" s="16" t="n">
        <v>117</v>
      </c>
      <c r="V5496" s="16">
        <f>ROUNDUP((T5496+U5496+2*'Read Me'!$B$13)*(1+'Read Me'!$B$12),-1)</f>
        <v/>
      </c>
      <c r="W5496" s="16">
        <f>V5496*N5496*O5496</f>
        <v/>
      </c>
      <c r="X5496" s="12">
        <f>IF(LEFT(I5496,2)="MV",2*N5496*IF(L5496="1/C",O5496,1),0)</f>
        <v/>
      </c>
      <c r="Y5496" s="12">
        <f>IF(OR(LEFT(K5496,4)="LVAX",LEFT(K5496,6)="MV15AX",LEFT(K5496,4)="CTAX",LEFT(K5496,2)="W|"),2*N5496*O5496,0)</f>
        <v/>
      </c>
      <c r="Z5496" s="12" t="inlineStr"/>
      <c r="AA5496" s="12">
        <f>N5496*O5496</f>
        <v/>
      </c>
    </row>
    <row r="5497">
      <c r="A5497" s="12" t="inlineStr">
        <is>
          <t>K-I-0059</t>
        </is>
      </c>
      <c r="B5497" s="12" t="inlineStr">
        <is>
          <t>K</t>
        </is>
      </c>
      <c r="C5497" s="12" t="inlineStr">
        <is>
          <t>Fuel supply (adjacent market)</t>
        </is>
      </c>
      <c r="D5497" s="12" t="inlineStr">
        <is>
          <t>Discrete device to JB JB-H2 27: storage tub-DI01: 12 x 1 pr (field cables)</t>
        </is>
      </c>
      <c r="E5497" s="12" t="inlineStr"/>
      <c r="F5497" s="12" t="inlineStr">
        <is>
          <t>H2 27: storage tube bank (~40 ft tubes)</t>
        </is>
      </c>
      <c r="G5497" s="12" t="inlineStr">
        <is>
          <t>JB-H2 27: storage tub-DI01</t>
        </is>
      </c>
      <c r="H5497" s="12" t="inlineStr">
        <is>
          <t>H2 27: storage tube bank (~40 ft tubes)</t>
        </is>
      </c>
      <c r="I5497" s="12" t="inlineStr">
        <is>
          <t>Instrumentation</t>
        </is>
      </c>
      <c r="J5497" s="12" t="inlineStr">
        <is>
          <t>Instrumentation ITC / PLTC, IS, #18 shielded pairs, blue jacket</t>
        </is>
      </c>
      <c r="K5497" s="12" t="inlineStr">
        <is>
          <t>ITC|1 pr|16</t>
        </is>
      </c>
      <c r="L5497" s="12" t="inlineStr">
        <is>
          <t>1 pr</t>
        </is>
      </c>
      <c r="M5497" s="12" t="inlineStr">
        <is>
          <t>16</t>
        </is>
      </c>
      <c r="N5497" s="12" t="n">
        <v>12</v>
      </c>
      <c r="O5497" s="12" t="n">
        <v>1</v>
      </c>
      <c r="P5497" s="12" t="n"/>
      <c r="Q5497" s="12" t="n"/>
      <c r="R5497" s="12" t="n"/>
      <c r="S5497" s="12" t="inlineStr">
        <is>
          <t>Tray / conduit</t>
        </is>
      </c>
      <c r="T5497" s="16" t="n">
        <v>54</v>
      </c>
      <c r="U5497" s="16" t="n">
        <v>10</v>
      </c>
      <c r="V5497" s="16">
        <f>ROUNDUP((T5497+U5497+2*'Read Me'!$B$13)*(1+'Read Me'!$B$12),-1)</f>
        <v/>
      </c>
      <c r="W5497" s="16">
        <f>V5497*N5497*O5497</f>
        <v/>
      </c>
      <c r="X5497" s="12">
        <f>IF(LEFT(I5497,2)="MV",2*N5497*IF(L5497="1/C",O5497,1),0)</f>
        <v/>
      </c>
      <c r="Y5497" s="12">
        <f>IF(OR(LEFT(K5497,4)="LVAX",LEFT(K5497,6)="MV15AX",LEFT(K5497,4)="CTAX",LEFT(K5497,2)="W|"),2*N5497*O5497,0)</f>
        <v/>
      </c>
      <c r="Z5497" s="12" t="inlineStr">
        <is>
          <t>device-to-JB field wiring, one cable per device</t>
        </is>
      </c>
      <c r="AA5497" s="12">
        <f>N5497*O5497</f>
        <v/>
      </c>
    </row>
    <row r="5498">
      <c r="A5498" s="12" t="inlineStr">
        <is>
          <t>K-I-0060</t>
        </is>
      </c>
      <c r="B5498" s="12" t="inlineStr">
        <is>
          <t>K</t>
        </is>
      </c>
      <c r="C5498" s="12" t="inlineStr">
        <is>
          <t>Fuel supply (adjacent market)</t>
        </is>
      </c>
      <c r="D5498" s="12" t="inlineStr">
        <is>
          <t>Home run JB-H2 27: storage tub-DI01 to the control / marshalling room</t>
        </is>
      </c>
      <c r="E5498" s="12" t="inlineStr"/>
      <c r="F5498" s="12" t="inlineStr">
        <is>
          <t>H2 20: 13.8 kV e-house</t>
        </is>
      </c>
      <c r="G5498" s="12" t="inlineStr">
        <is>
          <t>JB-H2 27: storage tub-DI01</t>
        </is>
      </c>
      <c r="H5498" s="12" t="inlineStr">
        <is>
          <t>H2 27: storage tube bank (~40 ft tubes)</t>
        </is>
      </c>
      <c r="I5498" s="12" t="inlineStr">
        <is>
          <t>Instrumentation</t>
        </is>
      </c>
      <c r="J5498" s="12" t="inlineStr">
        <is>
          <t>Instrumentation ITC / PLTC, IS, #18 shielded pairs, blue jacket</t>
        </is>
      </c>
      <c r="K5498" s="12" t="inlineStr">
        <is>
          <t>ITC|24 pr|18</t>
        </is>
      </c>
      <c r="L5498" s="12" t="inlineStr">
        <is>
          <t>24 pr</t>
        </is>
      </c>
      <c r="M5498" s="12" t="inlineStr">
        <is>
          <t>18</t>
        </is>
      </c>
      <c r="N5498" s="12" t="n">
        <v>1</v>
      </c>
      <c r="O5498" s="12" t="n">
        <v>1</v>
      </c>
      <c r="P5498" s="12" t="n"/>
      <c r="Q5498" s="12" t="n"/>
      <c r="R5498" s="12" t="n"/>
      <c r="S5498" s="12" t="inlineStr">
        <is>
          <t>Duct bank</t>
        </is>
      </c>
      <c r="T5498" s="16" t="n">
        <v>50</v>
      </c>
      <c r="U5498" s="16" t="n">
        <v>117</v>
      </c>
      <c r="V5498" s="16">
        <f>ROUNDUP((T5498+U5498+2*'Read Me'!$B$13)*(1+'Read Me'!$B$12),-1)</f>
        <v/>
      </c>
      <c r="W5498" s="16">
        <f>V5498*N5498*O5498</f>
        <v/>
      </c>
      <c r="X5498" s="12">
        <f>IF(LEFT(I5498,2)="MV",2*N5498*IF(L5498="1/C",O5498,1),0)</f>
        <v/>
      </c>
      <c r="Y5498" s="12">
        <f>IF(OR(LEFT(K5498,4)="LVAX",LEFT(K5498,6)="MV15AX",LEFT(K5498,4)="CTAX",LEFT(K5498,2)="W|"),2*N5498*O5498,0)</f>
        <v/>
      </c>
      <c r="Z5498" s="12" t="inlineStr"/>
      <c r="AA5498" s="12">
        <f>N5498*O5498</f>
        <v/>
      </c>
    </row>
    <row r="5499">
      <c r="A5499" s="12" t="inlineStr">
        <is>
          <t>K-I-0061</t>
        </is>
      </c>
      <c r="B5499" s="12" t="inlineStr">
        <is>
          <t>K</t>
        </is>
      </c>
      <c r="C5499" s="12" t="inlineStr">
        <is>
          <t>Fuel supply (adjacent market)</t>
        </is>
      </c>
      <c r="D5499" s="12" t="inlineStr">
        <is>
          <t>Analog instrument to JB JB-H2 27: storage tub-AI01: 12 x 1 pr (field cables)</t>
        </is>
      </c>
      <c r="E5499" s="12" t="inlineStr"/>
      <c r="F5499" s="12" t="inlineStr">
        <is>
          <t>H2 27: storage tube bank (~40 ft tubes)</t>
        </is>
      </c>
      <c r="G5499" s="12" t="inlineStr">
        <is>
          <t>JB-H2 27: storage tub-AI01</t>
        </is>
      </c>
      <c r="H5499" s="12" t="inlineStr">
        <is>
          <t>H2 27: storage tube bank (~40 ft tubes)</t>
        </is>
      </c>
      <c r="I5499" s="12" t="inlineStr">
        <is>
          <t>Instrumentation</t>
        </is>
      </c>
      <c r="J5499" s="12" t="inlineStr">
        <is>
          <t>Instrumentation ITC / PLTC, IS, #18 shielded pairs, blue jacket</t>
        </is>
      </c>
      <c r="K5499" s="12" t="inlineStr">
        <is>
          <t>ITC|1 pr|16</t>
        </is>
      </c>
      <c r="L5499" s="12" t="inlineStr">
        <is>
          <t>1 pr</t>
        </is>
      </c>
      <c r="M5499" s="12" t="inlineStr">
        <is>
          <t>16</t>
        </is>
      </c>
      <c r="N5499" s="12" t="n">
        <v>12</v>
      </c>
      <c r="O5499" s="12" t="n">
        <v>1</v>
      </c>
      <c r="P5499" s="12" t="n"/>
      <c r="Q5499" s="12" t="n"/>
      <c r="R5499" s="12" t="n"/>
      <c r="S5499" s="12" t="inlineStr">
        <is>
          <t>Tray / conduit</t>
        </is>
      </c>
      <c r="T5499" s="16" t="n">
        <v>54</v>
      </c>
      <c r="U5499" s="16" t="n">
        <v>10</v>
      </c>
      <c r="V5499" s="16">
        <f>ROUNDUP((T5499+U5499+2*'Read Me'!$B$13)*(1+'Read Me'!$B$12),-1)</f>
        <v/>
      </c>
      <c r="W5499" s="16">
        <f>V5499*N5499*O5499</f>
        <v/>
      </c>
      <c r="X5499" s="12">
        <f>IF(LEFT(I5499,2)="MV",2*N5499*IF(L5499="1/C",O5499,1),0)</f>
        <v/>
      </c>
      <c r="Y5499" s="12">
        <f>IF(OR(LEFT(K5499,4)="LVAX",LEFT(K5499,6)="MV15AX",LEFT(K5499,4)="CTAX",LEFT(K5499,2)="W|"),2*N5499*O5499,0)</f>
        <v/>
      </c>
      <c r="Z5499" s="12" t="inlineStr">
        <is>
          <t>device-to-JB field wiring, one cable per device</t>
        </is>
      </c>
      <c r="AA5499" s="12">
        <f>N5499*O5499</f>
        <v/>
      </c>
    </row>
    <row r="5500">
      <c r="A5500" s="12" t="inlineStr">
        <is>
          <t>K-I-0062</t>
        </is>
      </c>
      <c r="B5500" s="12" t="inlineStr">
        <is>
          <t>K</t>
        </is>
      </c>
      <c r="C5500" s="12" t="inlineStr">
        <is>
          <t>Fuel supply (adjacent market)</t>
        </is>
      </c>
      <c r="D5500" s="12" t="inlineStr">
        <is>
          <t>Home run JB-H2 27: storage tub-AI01 to the control / marshalling room</t>
        </is>
      </c>
      <c r="E5500" s="12" t="inlineStr"/>
      <c r="F5500" s="12" t="inlineStr">
        <is>
          <t>H2 20: 13.8 kV e-house</t>
        </is>
      </c>
      <c r="G5500" s="12" t="inlineStr">
        <is>
          <t>JB-H2 27: storage tub-AI01</t>
        </is>
      </c>
      <c r="H5500" s="12" t="inlineStr">
        <is>
          <t>H2 27: storage tube bank (~40 ft tubes)</t>
        </is>
      </c>
      <c r="I5500" s="12" t="inlineStr">
        <is>
          <t>Instrumentation</t>
        </is>
      </c>
      <c r="J5500" s="12" t="inlineStr">
        <is>
          <t>Instrumentation ITC / PLTC, IS, #18 shielded pairs, blue jacket</t>
        </is>
      </c>
      <c r="K5500" s="12" t="inlineStr">
        <is>
          <t>ITC|24 pr|18</t>
        </is>
      </c>
      <c r="L5500" s="12" t="inlineStr">
        <is>
          <t>24 pr</t>
        </is>
      </c>
      <c r="M5500" s="12" t="inlineStr">
        <is>
          <t>18</t>
        </is>
      </c>
      <c r="N5500" s="12" t="n">
        <v>1</v>
      </c>
      <c r="O5500" s="12" t="n">
        <v>1</v>
      </c>
      <c r="P5500" s="12" t="n"/>
      <c r="Q5500" s="12" t="n"/>
      <c r="R5500" s="12" t="n"/>
      <c r="S5500" s="12" t="inlineStr">
        <is>
          <t>Duct bank</t>
        </is>
      </c>
      <c r="T5500" s="16" t="n">
        <v>50</v>
      </c>
      <c r="U5500" s="16" t="n">
        <v>97</v>
      </c>
      <c r="V5500" s="16">
        <f>ROUNDUP((T5500+U5500+2*'Read Me'!$B$13)*(1+'Read Me'!$B$12),-1)</f>
        <v/>
      </c>
      <c r="W5500" s="16">
        <f>V5500*N5500*O5500</f>
        <v/>
      </c>
      <c r="X5500" s="12">
        <f>IF(LEFT(I5500,2)="MV",2*N5500*IF(L5500="1/C",O5500,1),0)</f>
        <v/>
      </c>
      <c r="Y5500" s="12">
        <f>IF(OR(LEFT(K5500,4)="LVAX",LEFT(K5500,6)="MV15AX",LEFT(K5500,4)="CTAX",LEFT(K5500,2)="W|"),2*N5500*O5500,0)</f>
        <v/>
      </c>
      <c r="Z5500" s="12" t="inlineStr"/>
      <c r="AA5500" s="12">
        <f>N5500*O5500</f>
        <v/>
      </c>
    </row>
    <row r="5501">
      <c r="A5501" s="12" t="inlineStr">
        <is>
          <t>K-I-0063</t>
        </is>
      </c>
      <c r="B5501" s="12" t="inlineStr">
        <is>
          <t>K</t>
        </is>
      </c>
      <c r="C5501" s="12" t="inlineStr">
        <is>
          <t>Fuel supply (adjacent market)</t>
        </is>
      </c>
      <c r="D5501" s="12" t="inlineStr">
        <is>
          <t>Discrete device to JB JB-H2 27: storage tub-DI01: 12 x 1 pr (field cables)</t>
        </is>
      </c>
      <c r="E5501" s="12" t="inlineStr"/>
      <c r="F5501" s="12" t="inlineStr">
        <is>
          <t>H2 27: storage tube bank (~40 ft tubes)</t>
        </is>
      </c>
      <c r="G5501" s="12" t="inlineStr">
        <is>
          <t>JB-H2 27: storage tub-DI01</t>
        </is>
      </c>
      <c r="H5501" s="12" t="inlineStr">
        <is>
          <t>H2 27: storage tube bank (~40 ft tubes)</t>
        </is>
      </c>
      <c r="I5501" s="12" t="inlineStr">
        <is>
          <t>Instrumentation</t>
        </is>
      </c>
      <c r="J5501" s="12" t="inlineStr">
        <is>
          <t>Instrumentation ITC / PLTC, IS, #18 shielded pairs, blue jacket</t>
        </is>
      </c>
      <c r="K5501" s="12" t="inlineStr">
        <is>
          <t>ITC|1 pr|16</t>
        </is>
      </c>
      <c r="L5501" s="12" t="inlineStr">
        <is>
          <t>1 pr</t>
        </is>
      </c>
      <c r="M5501" s="12" t="inlineStr">
        <is>
          <t>16</t>
        </is>
      </c>
      <c r="N5501" s="12" t="n">
        <v>12</v>
      </c>
      <c r="O5501" s="12" t="n">
        <v>1</v>
      </c>
      <c r="P5501" s="12" t="n"/>
      <c r="Q5501" s="12" t="n"/>
      <c r="R5501" s="12" t="n"/>
      <c r="S5501" s="12" t="inlineStr">
        <is>
          <t>Tray / conduit</t>
        </is>
      </c>
      <c r="T5501" s="16" t="n">
        <v>54</v>
      </c>
      <c r="U5501" s="16" t="n">
        <v>10</v>
      </c>
      <c r="V5501" s="16">
        <f>ROUNDUP((T5501+U5501+2*'Read Me'!$B$13)*(1+'Read Me'!$B$12),-1)</f>
        <v/>
      </c>
      <c r="W5501" s="16">
        <f>V5501*N5501*O5501</f>
        <v/>
      </c>
      <c r="X5501" s="12">
        <f>IF(LEFT(I5501,2)="MV",2*N5501*IF(L5501="1/C",O5501,1),0)</f>
        <v/>
      </c>
      <c r="Y5501" s="12">
        <f>IF(OR(LEFT(K5501,4)="LVAX",LEFT(K5501,6)="MV15AX",LEFT(K5501,4)="CTAX",LEFT(K5501,2)="W|"),2*N5501*O5501,0)</f>
        <v/>
      </c>
      <c r="Z5501" s="12" t="inlineStr">
        <is>
          <t>device-to-JB field wiring, one cable per device</t>
        </is>
      </c>
      <c r="AA5501" s="12">
        <f>N5501*O5501</f>
        <v/>
      </c>
    </row>
    <row r="5502">
      <c r="A5502" s="12" t="inlineStr">
        <is>
          <t>K-I-0064</t>
        </is>
      </c>
      <c r="B5502" s="12" t="inlineStr">
        <is>
          <t>K</t>
        </is>
      </c>
      <c r="C5502" s="12" t="inlineStr">
        <is>
          <t>Fuel supply (adjacent market)</t>
        </is>
      </c>
      <c r="D5502" s="12" t="inlineStr">
        <is>
          <t>Home run JB-H2 27: storage tub-DI01 to the control / marshalling room</t>
        </is>
      </c>
      <c r="E5502" s="12" t="inlineStr"/>
      <c r="F5502" s="12" t="inlineStr">
        <is>
          <t>H2 20: 13.8 kV e-house</t>
        </is>
      </c>
      <c r="G5502" s="12" t="inlineStr">
        <is>
          <t>JB-H2 27: storage tub-DI01</t>
        </is>
      </c>
      <c r="H5502" s="12" t="inlineStr">
        <is>
          <t>H2 27: storage tube bank (~40 ft tubes)</t>
        </is>
      </c>
      <c r="I5502" s="12" t="inlineStr">
        <is>
          <t>Instrumentation</t>
        </is>
      </c>
      <c r="J5502" s="12" t="inlineStr">
        <is>
          <t>Instrumentation ITC / PLTC, IS, #18 shielded pairs, blue jacket</t>
        </is>
      </c>
      <c r="K5502" s="12" t="inlineStr">
        <is>
          <t>ITC|24 pr|18</t>
        </is>
      </c>
      <c r="L5502" s="12" t="inlineStr">
        <is>
          <t>24 pr</t>
        </is>
      </c>
      <c r="M5502" s="12" t="inlineStr">
        <is>
          <t>18</t>
        </is>
      </c>
      <c r="N5502" s="12" t="n">
        <v>1</v>
      </c>
      <c r="O5502" s="12" t="n">
        <v>1</v>
      </c>
      <c r="P5502" s="12" t="n"/>
      <c r="Q5502" s="12" t="n"/>
      <c r="R5502" s="12" t="n"/>
      <c r="S5502" s="12" t="inlineStr">
        <is>
          <t>Duct bank</t>
        </is>
      </c>
      <c r="T5502" s="16" t="n">
        <v>50</v>
      </c>
      <c r="U5502" s="16" t="n">
        <v>97</v>
      </c>
      <c r="V5502" s="16">
        <f>ROUNDUP((T5502+U5502+2*'Read Me'!$B$13)*(1+'Read Me'!$B$12),-1)</f>
        <v/>
      </c>
      <c r="W5502" s="16">
        <f>V5502*N5502*O5502</f>
        <v/>
      </c>
      <c r="X5502" s="12">
        <f>IF(LEFT(I5502,2)="MV",2*N5502*IF(L5502="1/C",O5502,1),0)</f>
        <v/>
      </c>
      <c r="Y5502" s="12">
        <f>IF(OR(LEFT(K5502,4)="LVAX",LEFT(K5502,6)="MV15AX",LEFT(K5502,4)="CTAX",LEFT(K5502,2)="W|"),2*N5502*O5502,0)</f>
        <v/>
      </c>
      <c r="Z5502" s="12" t="inlineStr"/>
      <c r="AA5502" s="12">
        <f>N5502*O5502</f>
        <v/>
      </c>
    </row>
    <row r="5503">
      <c r="A5503" s="12" t="inlineStr">
        <is>
          <t>K-I-0065</t>
        </is>
      </c>
      <c r="B5503" s="12" t="inlineStr">
        <is>
          <t>K</t>
        </is>
      </c>
      <c r="C5503" s="12" t="inlineStr">
        <is>
          <t>Fuel supply (adjacent market)</t>
        </is>
      </c>
      <c r="D5503" s="12" t="inlineStr">
        <is>
          <t>Analog instrument to JB JB-H2 27: storage tub-AI01: 12 x 1 pr (field cables)</t>
        </is>
      </c>
      <c r="E5503" s="12" t="inlineStr"/>
      <c r="F5503" s="12" t="inlineStr">
        <is>
          <t>H2 27: storage tube bank (~40 ft tubes)</t>
        </is>
      </c>
      <c r="G5503" s="12" t="inlineStr">
        <is>
          <t>JB-H2 27: storage tub-AI01</t>
        </is>
      </c>
      <c r="H5503" s="12" t="inlineStr">
        <is>
          <t>H2 27: storage tube bank (~40 ft tubes)</t>
        </is>
      </c>
      <c r="I5503" s="12" t="inlineStr">
        <is>
          <t>Instrumentation</t>
        </is>
      </c>
      <c r="J5503" s="12" t="inlineStr">
        <is>
          <t>Instrumentation ITC / PLTC, IS, #18 shielded pairs, blue jacket</t>
        </is>
      </c>
      <c r="K5503" s="12" t="inlineStr">
        <is>
          <t>ITC|1 pr|16</t>
        </is>
      </c>
      <c r="L5503" s="12" t="inlineStr">
        <is>
          <t>1 pr</t>
        </is>
      </c>
      <c r="M5503" s="12" t="inlineStr">
        <is>
          <t>16</t>
        </is>
      </c>
      <c r="N5503" s="12" t="n">
        <v>12</v>
      </c>
      <c r="O5503" s="12" t="n">
        <v>1</v>
      </c>
      <c r="P5503" s="12" t="n"/>
      <c r="Q5503" s="12" t="n"/>
      <c r="R5503" s="12" t="n"/>
      <c r="S5503" s="12" t="inlineStr">
        <is>
          <t>Tray / conduit</t>
        </is>
      </c>
      <c r="T5503" s="16" t="n">
        <v>54</v>
      </c>
      <c r="U5503" s="16" t="n">
        <v>10</v>
      </c>
      <c r="V5503" s="16">
        <f>ROUNDUP((T5503+U5503+2*'Read Me'!$B$13)*(1+'Read Me'!$B$12),-1)</f>
        <v/>
      </c>
      <c r="W5503" s="16">
        <f>V5503*N5503*O5503</f>
        <v/>
      </c>
      <c r="X5503" s="12">
        <f>IF(LEFT(I5503,2)="MV",2*N5503*IF(L5503="1/C",O5503,1),0)</f>
        <v/>
      </c>
      <c r="Y5503" s="12">
        <f>IF(OR(LEFT(K5503,4)="LVAX",LEFT(K5503,6)="MV15AX",LEFT(K5503,4)="CTAX",LEFT(K5503,2)="W|"),2*N5503*O5503,0)</f>
        <v/>
      </c>
      <c r="Z5503" s="12" t="inlineStr">
        <is>
          <t>device-to-JB field wiring, one cable per device</t>
        </is>
      </c>
      <c r="AA5503" s="12">
        <f>N5503*O5503</f>
        <v/>
      </c>
    </row>
    <row r="5504">
      <c r="A5504" s="12" t="inlineStr">
        <is>
          <t>K-I-0066</t>
        </is>
      </c>
      <c r="B5504" s="12" t="inlineStr">
        <is>
          <t>K</t>
        </is>
      </c>
      <c r="C5504" s="12" t="inlineStr">
        <is>
          <t>Fuel supply (adjacent market)</t>
        </is>
      </c>
      <c r="D5504" s="12" t="inlineStr">
        <is>
          <t>Home run JB-H2 27: storage tub-AI01 to the control / marshalling room</t>
        </is>
      </c>
      <c r="E5504" s="12" t="inlineStr"/>
      <c r="F5504" s="12" t="inlineStr">
        <is>
          <t>H2 20: 13.8 kV e-house</t>
        </is>
      </c>
      <c r="G5504" s="12" t="inlineStr">
        <is>
          <t>JB-H2 27: storage tub-AI01</t>
        </is>
      </c>
      <c r="H5504" s="12" t="inlineStr">
        <is>
          <t>H2 27: storage tube bank (~40 ft tubes)</t>
        </is>
      </c>
      <c r="I5504" s="12" t="inlineStr">
        <is>
          <t>Instrumentation</t>
        </is>
      </c>
      <c r="J5504" s="12" t="inlineStr">
        <is>
          <t>Instrumentation ITC / PLTC, IS, #18 shielded pairs, blue jacket</t>
        </is>
      </c>
      <c r="K5504" s="12" t="inlineStr">
        <is>
          <t>ITC|24 pr|18</t>
        </is>
      </c>
      <c r="L5504" s="12" t="inlineStr">
        <is>
          <t>24 pr</t>
        </is>
      </c>
      <c r="M5504" s="12" t="inlineStr">
        <is>
          <t>18</t>
        </is>
      </c>
      <c r="N5504" s="12" t="n">
        <v>1</v>
      </c>
      <c r="O5504" s="12" t="n">
        <v>1</v>
      </c>
      <c r="P5504" s="12" t="n"/>
      <c r="Q5504" s="12" t="n"/>
      <c r="R5504" s="12" t="n"/>
      <c r="S5504" s="12" t="inlineStr">
        <is>
          <t>Duct bank</t>
        </is>
      </c>
      <c r="T5504" s="16" t="n">
        <v>50</v>
      </c>
      <c r="U5504" s="16" t="n">
        <v>117</v>
      </c>
      <c r="V5504" s="16">
        <f>ROUNDUP((T5504+U5504+2*'Read Me'!$B$13)*(1+'Read Me'!$B$12),-1)</f>
        <v/>
      </c>
      <c r="W5504" s="16">
        <f>V5504*N5504*O5504</f>
        <v/>
      </c>
      <c r="X5504" s="12">
        <f>IF(LEFT(I5504,2)="MV",2*N5504*IF(L5504="1/C",O5504,1),0)</f>
        <v/>
      </c>
      <c r="Y5504" s="12">
        <f>IF(OR(LEFT(K5504,4)="LVAX",LEFT(K5504,6)="MV15AX",LEFT(K5504,4)="CTAX",LEFT(K5504,2)="W|"),2*N5504*O5504,0)</f>
        <v/>
      </c>
      <c r="Z5504" s="12" t="inlineStr"/>
      <c r="AA5504" s="12">
        <f>N5504*O5504</f>
        <v/>
      </c>
    </row>
    <row r="5505">
      <c r="A5505" s="12" t="inlineStr">
        <is>
          <t>K-I-0067</t>
        </is>
      </c>
      <c r="B5505" s="12" t="inlineStr">
        <is>
          <t>K</t>
        </is>
      </c>
      <c r="C5505" s="12" t="inlineStr">
        <is>
          <t>Fuel supply (adjacent market)</t>
        </is>
      </c>
      <c r="D5505" s="12" t="inlineStr">
        <is>
          <t>Discrete device to JB JB-H2 27: storage tub-DI01: 12 x 1 pr (field cables)</t>
        </is>
      </c>
      <c r="E5505" s="12" t="inlineStr"/>
      <c r="F5505" s="12" t="inlineStr">
        <is>
          <t>H2 27: storage tube bank (~40 ft tubes)</t>
        </is>
      </c>
      <c r="G5505" s="12" t="inlineStr">
        <is>
          <t>JB-H2 27: storage tub-DI01</t>
        </is>
      </c>
      <c r="H5505" s="12" t="inlineStr">
        <is>
          <t>H2 27: storage tube bank (~40 ft tubes)</t>
        </is>
      </c>
      <c r="I5505" s="12" t="inlineStr">
        <is>
          <t>Instrumentation</t>
        </is>
      </c>
      <c r="J5505" s="12" t="inlineStr">
        <is>
          <t>Instrumentation ITC / PLTC, IS, #18 shielded pairs, blue jacket</t>
        </is>
      </c>
      <c r="K5505" s="12" t="inlineStr">
        <is>
          <t>ITC|1 pr|16</t>
        </is>
      </c>
      <c r="L5505" s="12" t="inlineStr">
        <is>
          <t>1 pr</t>
        </is>
      </c>
      <c r="M5505" s="12" t="inlineStr">
        <is>
          <t>16</t>
        </is>
      </c>
      <c r="N5505" s="12" t="n">
        <v>12</v>
      </c>
      <c r="O5505" s="12" t="n">
        <v>1</v>
      </c>
      <c r="P5505" s="12" t="n"/>
      <c r="Q5505" s="12" t="n"/>
      <c r="R5505" s="12" t="n"/>
      <c r="S5505" s="12" t="inlineStr">
        <is>
          <t>Tray / conduit</t>
        </is>
      </c>
      <c r="T5505" s="16" t="n">
        <v>54</v>
      </c>
      <c r="U5505" s="16" t="n">
        <v>10</v>
      </c>
      <c r="V5505" s="16">
        <f>ROUNDUP((T5505+U5505+2*'Read Me'!$B$13)*(1+'Read Me'!$B$12),-1)</f>
        <v/>
      </c>
      <c r="W5505" s="16">
        <f>V5505*N5505*O5505</f>
        <v/>
      </c>
      <c r="X5505" s="12">
        <f>IF(LEFT(I5505,2)="MV",2*N5505*IF(L5505="1/C",O5505,1),0)</f>
        <v/>
      </c>
      <c r="Y5505" s="12">
        <f>IF(OR(LEFT(K5505,4)="LVAX",LEFT(K5505,6)="MV15AX",LEFT(K5505,4)="CTAX",LEFT(K5505,2)="W|"),2*N5505*O5505,0)</f>
        <v/>
      </c>
      <c r="Z5505" s="12" t="inlineStr">
        <is>
          <t>device-to-JB field wiring, one cable per device</t>
        </is>
      </c>
      <c r="AA5505" s="12">
        <f>N5505*O5505</f>
        <v/>
      </c>
    </row>
    <row r="5506">
      <c r="A5506" s="12" t="inlineStr">
        <is>
          <t>K-I-0068</t>
        </is>
      </c>
      <c r="B5506" s="12" t="inlineStr">
        <is>
          <t>K</t>
        </is>
      </c>
      <c r="C5506" s="12" t="inlineStr">
        <is>
          <t>Fuel supply (adjacent market)</t>
        </is>
      </c>
      <c r="D5506" s="12" t="inlineStr">
        <is>
          <t>Home run JB-H2 27: storage tub-DI01 to the control / marshalling room</t>
        </is>
      </c>
      <c r="E5506" s="12" t="inlineStr"/>
      <c r="F5506" s="12" t="inlineStr">
        <is>
          <t>H2 20: 13.8 kV e-house</t>
        </is>
      </c>
      <c r="G5506" s="12" t="inlineStr">
        <is>
          <t>JB-H2 27: storage tub-DI01</t>
        </is>
      </c>
      <c r="H5506" s="12" t="inlineStr">
        <is>
          <t>H2 27: storage tube bank (~40 ft tubes)</t>
        </is>
      </c>
      <c r="I5506" s="12" t="inlineStr">
        <is>
          <t>Instrumentation</t>
        </is>
      </c>
      <c r="J5506" s="12" t="inlineStr">
        <is>
          <t>Instrumentation ITC / PLTC, IS, #18 shielded pairs, blue jacket</t>
        </is>
      </c>
      <c r="K5506" s="12" t="inlineStr">
        <is>
          <t>ITC|24 pr|18</t>
        </is>
      </c>
      <c r="L5506" s="12" t="inlineStr">
        <is>
          <t>24 pr</t>
        </is>
      </c>
      <c r="M5506" s="12" t="inlineStr">
        <is>
          <t>18</t>
        </is>
      </c>
      <c r="N5506" s="12" t="n">
        <v>1</v>
      </c>
      <c r="O5506" s="12" t="n">
        <v>1</v>
      </c>
      <c r="P5506" s="12" t="n"/>
      <c r="Q5506" s="12" t="n"/>
      <c r="R5506" s="12" t="n"/>
      <c r="S5506" s="12" t="inlineStr">
        <is>
          <t>Duct bank</t>
        </is>
      </c>
      <c r="T5506" s="16" t="n">
        <v>50</v>
      </c>
      <c r="U5506" s="16" t="n">
        <v>117</v>
      </c>
      <c r="V5506" s="16">
        <f>ROUNDUP((T5506+U5506+2*'Read Me'!$B$13)*(1+'Read Me'!$B$12),-1)</f>
        <v/>
      </c>
      <c r="W5506" s="16">
        <f>V5506*N5506*O5506</f>
        <v/>
      </c>
      <c r="X5506" s="12">
        <f>IF(LEFT(I5506,2)="MV",2*N5506*IF(L5506="1/C",O5506,1),0)</f>
        <v/>
      </c>
      <c r="Y5506" s="12">
        <f>IF(OR(LEFT(K5506,4)="LVAX",LEFT(K5506,6)="MV15AX",LEFT(K5506,4)="CTAX",LEFT(K5506,2)="W|"),2*N5506*O5506,0)</f>
        <v/>
      </c>
      <c r="Z5506" s="12" t="inlineStr"/>
      <c r="AA5506" s="12">
        <f>N5506*O5506</f>
        <v/>
      </c>
    </row>
    <row r="5507">
      <c r="A5507" s="12" t="inlineStr">
        <is>
          <t>K-I-0069</t>
        </is>
      </c>
      <c r="B5507" s="12" t="inlineStr">
        <is>
          <t>K</t>
        </is>
      </c>
      <c r="C5507" s="12" t="inlineStr">
        <is>
          <t>Fuel supply (adjacent market)</t>
        </is>
      </c>
      <c r="D5507" s="12" t="inlineStr">
        <is>
          <t>Analog instrument to JB JB-H2 28: N2 purge su-AI01: 12 x 1 pr (field cables)</t>
        </is>
      </c>
      <c r="E5507" s="12" t="inlineStr"/>
      <c r="F5507" s="12" t="inlineStr">
        <is>
          <t>H2 28: N2 purge supply</t>
        </is>
      </c>
      <c r="G5507" s="12" t="inlineStr">
        <is>
          <t>JB-H2 28: N2 purge su-AI01</t>
        </is>
      </c>
      <c r="H5507" s="12" t="inlineStr">
        <is>
          <t>H2 28: N2 purge supply</t>
        </is>
      </c>
      <c r="I5507" s="12" t="inlineStr">
        <is>
          <t>Instrumentation</t>
        </is>
      </c>
      <c r="J5507" s="12" t="inlineStr">
        <is>
          <t>Instrumentation ITC / PLTC, IS, #18 shielded pairs, blue jacket</t>
        </is>
      </c>
      <c r="K5507" s="12" t="inlineStr">
        <is>
          <t>ITC|1 pr|16</t>
        </is>
      </c>
      <c r="L5507" s="12" t="inlineStr">
        <is>
          <t>1 pr</t>
        </is>
      </c>
      <c r="M5507" s="12" t="inlineStr">
        <is>
          <t>16</t>
        </is>
      </c>
      <c r="N5507" s="12" t="n">
        <v>12</v>
      </c>
      <c r="O5507" s="12" t="n">
        <v>1</v>
      </c>
      <c r="P5507" s="12" t="n"/>
      <c r="Q5507" s="12" t="n"/>
      <c r="R5507" s="12" t="n"/>
      <c r="S5507" s="12" t="inlineStr">
        <is>
          <t>Tray / conduit</t>
        </is>
      </c>
      <c r="T5507" s="16" t="n">
        <v>56</v>
      </c>
      <c r="U5507" s="16" t="n">
        <v>10</v>
      </c>
      <c r="V5507" s="16">
        <f>ROUNDUP((T5507+U5507+2*'Read Me'!$B$13)*(1+'Read Me'!$B$12),-1)</f>
        <v/>
      </c>
      <c r="W5507" s="16">
        <f>V5507*N5507*O5507</f>
        <v/>
      </c>
      <c r="X5507" s="12">
        <f>IF(LEFT(I5507,2)="MV",2*N5507*IF(L5507="1/C",O5507,1),0)</f>
        <v/>
      </c>
      <c r="Y5507" s="12">
        <f>IF(OR(LEFT(K5507,4)="LVAX",LEFT(K5507,6)="MV15AX",LEFT(K5507,4)="CTAX",LEFT(K5507,2)="W|"),2*N5507*O5507,0)</f>
        <v/>
      </c>
      <c r="Z5507" s="12" t="inlineStr">
        <is>
          <t>device-to-JB field wiring, one cable per device</t>
        </is>
      </c>
      <c r="AA5507" s="12">
        <f>N5507*O5507</f>
        <v/>
      </c>
    </row>
    <row r="5508">
      <c r="A5508" s="12" t="inlineStr">
        <is>
          <t>K-I-0070</t>
        </is>
      </c>
      <c r="B5508" s="12" t="inlineStr">
        <is>
          <t>K</t>
        </is>
      </c>
      <c r="C5508" s="12" t="inlineStr">
        <is>
          <t>Fuel supply (adjacent market)</t>
        </is>
      </c>
      <c r="D5508" s="12" t="inlineStr">
        <is>
          <t>Home run JB-H2 28: N2 purge su-AI01 to the control / marshalling room</t>
        </is>
      </c>
      <c r="E5508" s="12" t="inlineStr"/>
      <c r="F5508" s="12" t="inlineStr">
        <is>
          <t>H2 20: 13.8 kV e-house</t>
        </is>
      </c>
      <c r="G5508" s="12" t="inlineStr">
        <is>
          <t>JB-H2 28: N2 purge su-AI01</t>
        </is>
      </c>
      <c r="H5508" s="12" t="inlineStr">
        <is>
          <t>H2 28: N2 purge supply</t>
        </is>
      </c>
      <c r="I5508" s="12" t="inlineStr">
        <is>
          <t>Instrumentation</t>
        </is>
      </c>
      <c r="J5508" s="12" t="inlineStr">
        <is>
          <t>Instrumentation ITC / PLTC, IS, #18 shielded pairs, blue jacket</t>
        </is>
      </c>
      <c r="K5508" s="12" t="inlineStr">
        <is>
          <t>ITC|24 pr|18</t>
        </is>
      </c>
      <c r="L5508" s="12" t="inlineStr">
        <is>
          <t>24 pr</t>
        </is>
      </c>
      <c r="M5508" s="12" t="inlineStr">
        <is>
          <t>18</t>
        </is>
      </c>
      <c r="N5508" s="12" t="n">
        <v>1</v>
      </c>
      <c r="O5508" s="12" t="n">
        <v>1</v>
      </c>
      <c r="P5508" s="12" t="n"/>
      <c r="Q5508" s="12" t="n"/>
      <c r="R5508" s="12" t="n"/>
      <c r="S5508" s="12" t="inlineStr">
        <is>
          <t>Duct bank</t>
        </is>
      </c>
      <c r="T5508" s="16" t="n">
        <v>53</v>
      </c>
      <c r="U5508" s="16" t="n">
        <v>36</v>
      </c>
      <c r="V5508" s="16">
        <f>ROUNDUP((T5508+U5508+2*'Read Me'!$B$13)*(1+'Read Me'!$B$12),-1)</f>
        <v/>
      </c>
      <c r="W5508" s="16">
        <f>V5508*N5508*O5508</f>
        <v/>
      </c>
      <c r="X5508" s="12">
        <f>IF(LEFT(I5508,2)="MV",2*N5508*IF(L5508="1/C",O5508,1),0)</f>
        <v/>
      </c>
      <c r="Y5508" s="12">
        <f>IF(OR(LEFT(K5508,4)="LVAX",LEFT(K5508,6)="MV15AX",LEFT(K5508,4)="CTAX",LEFT(K5508,2)="W|"),2*N5508*O5508,0)</f>
        <v/>
      </c>
      <c r="Z5508" s="12" t="inlineStr"/>
      <c r="AA5508" s="12">
        <f>N5508*O5508</f>
        <v/>
      </c>
    </row>
    <row r="5509">
      <c r="A5509" s="12" t="inlineStr">
        <is>
          <t>K-I-0071</t>
        </is>
      </c>
      <c r="B5509" s="12" t="inlineStr">
        <is>
          <t>K</t>
        </is>
      </c>
      <c r="C5509" s="12" t="inlineStr">
        <is>
          <t>Fuel supply (adjacent market)</t>
        </is>
      </c>
      <c r="D5509" s="12" t="inlineStr">
        <is>
          <t>Discrete device to JB JB-H2 28: N2 purge su-DI01: 12 x 1 pr (field cables)</t>
        </is>
      </c>
      <c r="E5509" s="12" t="inlineStr"/>
      <c r="F5509" s="12" t="inlineStr">
        <is>
          <t>H2 28: N2 purge supply</t>
        </is>
      </c>
      <c r="G5509" s="12" t="inlineStr">
        <is>
          <t>JB-H2 28: N2 purge su-DI01</t>
        </is>
      </c>
      <c r="H5509" s="12" t="inlineStr">
        <is>
          <t>H2 28: N2 purge supply</t>
        </is>
      </c>
      <c r="I5509" s="12" t="inlineStr">
        <is>
          <t>Instrumentation</t>
        </is>
      </c>
      <c r="J5509" s="12" t="inlineStr">
        <is>
          <t>Instrumentation ITC / PLTC, IS, #18 shielded pairs, blue jacket</t>
        </is>
      </c>
      <c r="K5509" s="12" t="inlineStr">
        <is>
          <t>ITC|1 pr|16</t>
        </is>
      </c>
      <c r="L5509" s="12" t="inlineStr">
        <is>
          <t>1 pr</t>
        </is>
      </c>
      <c r="M5509" s="12" t="inlineStr">
        <is>
          <t>16</t>
        </is>
      </c>
      <c r="N5509" s="12" t="n">
        <v>12</v>
      </c>
      <c r="O5509" s="12" t="n">
        <v>1</v>
      </c>
      <c r="P5509" s="12" t="n"/>
      <c r="Q5509" s="12" t="n"/>
      <c r="R5509" s="12" t="n"/>
      <c r="S5509" s="12" t="inlineStr">
        <is>
          <t>Tray / conduit</t>
        </is>
      </c>
      <c r="T5509" s="16" t="n">
        <v>56</v>
      </c>
      <c r="U5509" s="16" t="n">
        <v>10</v>
      </c>
      <c r="V5509" s="16">
        <f>ROUNDUP((T5509+U5509+2*'Read Me'!$B$13)*(1+'Read Me'!$B$12),-1)</f>
        <v/>
      </c>
      <c r="W5509" s="16">
        <f>V5509*N5509*O5509</f>
        <v/>
      </c>
      <c r="X5509" s="12">
        <f>IF(LEFT(I5509,2)="MV",2*N5509*IF(L5509="1/C",O5509,1),0)</f>
        <v/>
      </c>
      <c r="Y5509" s="12">
        <f>IF(OR(LEFT(K5509,4)="LVAX",LEFT(K5509,6)="MV15AX",LEFT(K5509,4)="CTAX",LEFT(K5509,2)="W|"),2*N5509*O5509,0)</f>
        <v/>
      </c>
      <c r="Z5509" s="12" t="inlineStr">
        <is>
          <t>device-to-JB field wiring, one cable per device</t>
        </is>
      </c>
      <c r="AA5509" s="12">
        <f>N5509*O5509</f>
        <v/>
      </c>
    </row>
    <row r="5510">
      <c r="A5510" s="12" t="inlineStr">
        <is>
          <t>K-I-0072</t>
        </is>
      </c>
      <c r="B5510" s="12" t="inlineStr">
        <is>
          <t>K</t>
        </is>
      </c>
      <c r="C5510" s="12" t="inlineStr">
        <is>
          <t>Fuel supply (adjacent market)</t>
        </is>
      </c>
      <c r="D5510" s="12" t="inlineStr">
        <is>
          <t>Home run JB-H2 28: N2 purge su-DI01 to the control / marshalling room</t>
        </is>
      </c>
      <c r="E5510" s="12" t="inlineStr"/>
      <c r="F5510" s="12" t="inlineStr">
        <is>
          <t>H2 20: 13.8 kV e-house</t>
        </is>
      </c>
      <c r="G5510" s="12" t="inlineStr">
        <is>
          <t>JB-H2 28: N2 purge su-DI01</t>
        </is>
      </c>
      <c r="H5510" s="12" t="inlineStr">
        <is>
          <t>H2 28: N2 purge supply</t>
        </is>
      </c>
      <c r="I5510" s="12" t="inlineStr">
        <is>
          <t>Instrumentation</t>
        </is>
      </c>
      <c r="J5510" s="12" t="inlineStr">
        <is>
          <t>Instrumentation ITC / PLTC, IS, #18 shielded pairs, blue jacket</t>
        </is>
      </c>
      <c r="K5510" s="12" t="inlineStr">
        <is>
          <t>ITC|24 pr|18</t>
        </is>
      </c>
      <c r="L5510" s="12" t="inlineStr">
        <is>
          <t>24 pr</t>
        </is>
      </c>
      <c r="M5510" s="12" t="inlineStr">
        <is>
          <t>18</t>
        </is>
      </c>
      <c r="N5510" s="12" t="n">
        <v>1</v>
      </c>
      <c r="O5510" s="12" t="n">
        <v>1</v>
      </c>
      <c r="P5510" s="12" t="n"/>
      <c r="Q5510" s="12" t="n"/>
      <c r="R5510" s="12" t="n"/>
      <c r="S5510" s="12" t="inlineStr">
        <is>
          <t>Duct bank</t>
        </is>
      </c>
      <c r="T5510" s="16" t="n">
        <v>53</v>
      </c>
      <c r="U5510" s="16" t="n">
        <v>36</v>
      </c>
      <c r="V5510" s="16">
        <f>ROUNDUP((T5510+U5510+2*'Read Me'!$B$13)*(1+'Read Me'!$B$12),-1)</f>
        <v/>
      </c>
      <c r="W5510" s="16">
        <f>V5510*N5510*O5510</f>
        <v/>
      </c>
      <c r="X5510" s="12">
        <f>IF(LEFT(I5510,2)="MV",2*N5510*IF(L5510="1/C",O5510,1),0)</f>
        <v/>
      </c>
      <c r="Y5510" s="12">
        <f>IF(OR(LEFT(K5510,4)="LVAX",LEFT(K5510,6)="MV15AX",LEFT(K5510,4)="CTAX",LEFT(K5510,2)="W|"),2*N5510*O5510,0)</f>
        <v/>
      </c>
      <c r="Z5510" s="12" t="inlineStr"/>
      <c r="AA5510" s="12">
        <f>N5510*O5510</f>
        <v/>
      </c>
    </row>
    <row r="5511">
      <c r="A5511" s="12" t="inlineStr">
        <is>
          <t>K-I-0073</t>
        </is>
      </c>
      <c r="B5511" s="12" t="inlineStr">
        <is>
          <t>K</t>
        </is>
      </c>
      <c r="C5511" s="12" t="inlineStr">
        <is>
          <t>Fuel supply (adjacent market)</t>
        </is>
      </c>
      <c r="D5511" s="12" t="inlineStr">
        <is>
          <t>Analog instrument to JB JB-H2 29: vent stack-AI01: 12 x 1 pr (field cables)</t>
        </is>
      </c>
      <c r="E5511" s="12" t="inlineStr"/>
      <c r="F5511" s="12" t="inlineStr">
        <is>
          <t>H2 29: vent stack</t>
        </is>
      </c>
      <c r="G5511" s="12" t="inlineStr">
        <is>
          <t>JB-H2 29: vent stack-AI01</t>
        </is>
      </c>
      <c r="H5511" s="12" t="inlineStr">
        <is>
          <t>H2 29: vent stack</t>
        </is>
      </c>
      <c r="I5511" s="12" t="inlineStr">
        <is>
          <t>Instrumentation</t>
        </is>
      </c>
      <c r="J5511" s="12" t="inlineStr">
        <is>
          <t>Instrumentation ITC / PLTC, IS, #18 shielded pairs, blue jacket</t>
        </is>
      </c>
      <c r="K5511" s="12" t="inlineStr">
        <is>
          <t>ITC|1 pr|16</t>
        </is>
      </c>
      <c r="L5511" s="12" t="inlineStr">
        <is>
          <t>1 pr</t>
        </is>
      </c>
      <c r="M5511" s="12" t="inlineStr">
        <is>
          <t>16</t>
        </is>
      </c>
      <c r="N5511" s="12" t="n">
        <v>12</v>
      </c>
      <c r="O5511" s="12" t="n">
        <v>1</v>
      </c>
      <c r="P5511" s="12" t="n"/>
      <c r="Q5511" s="12" t="n"/>
      <c r="R5511" s="12" t="n"/>
      <c r="S5511" s="12" t="inlineStr">
        <is>
          <t>Tray / conduit</t>
        </is>
      </c>
      <c r="T5511" s="16" t="n">
        <v>45</v>
      </c>
      <c r="U5511" s="16" t="n">
        <v>10</v>
      </c>
      <c r="V5511" s="16">
        <f>ROUNDUP((T5511+U5511+2*'Read Me'!$B$13)*(1+'Read Me'!$B$12),-1)</f>
        <v/>
      </c>
      <c r="W5511" s="16">
        <f>V5511*N5511*O5511</f>
        <v/>
      </c>
      <c r="X5511" s="12">
        <f>IF(LEFT(I5511,2)="MV",2*N5511*IF(L5511="1/C",O5511,1),0)</f>
        <v/>
      </c>
      <c r="Y5511" s="12">
        <f>IF(OR(LEFT(K5511,4)="LVAX",LEFT(K5511,6)="MV15AX",LEFT(K5511,4)="CTAX",LEFT(K5511,2)="W|"),2*N5511*O5511,0)</f>
        <v/>
      </c>
      <c r="Z5511" s="12" t="inlineStr">
        <is>
          <t>device-to-JB field wiring, one cable per device</t>
        </is>
      </c>
      <c r="AA5511" s="12">
        <f>N5511*O5511</f>
        <v/>
      </c>
    </row>
    <row r="5512">
      <c r="A5512" s="12" t="inlineStr">
        <is>
          <t>K-I-0074</t>
        </is>
      </c>
      <c r="B5512" s="12" t="inlineStr">
        <is>
          <t>K</t>
        </is>
      </c>
      <c r="C5512" s="12" t="inlineStr">
        <is>
          <t>Fuel supply (adjacent market)</t>
        </is>
      </c>
      <c r="D5512" s="12" t="inlineStr">
        <is>
          <t>Home run JB-H2 29: vent stack-AI01 to the control / marshalling room</t>
        </is>
      </c>
      <c r="E5512" s="12" t="inlineStr"/>
      <c r="F5512" s="12" t="inlineStr">
        <is>
          <t>H2 20: 13.8 kV e-house</t>
        </is>
      </c>
      <c r="G5512" s="12" t="inlineStr">
        <is>
          <t>JB-H2 29: vent stack-AI01</t>
        </is>
      </c>
      <c r="H5512" s="12" t="inlineStr">
        <is>
          <t>H2 29: vent stack</t>
        </is>
      </c>
      <c r="I5512" s="12" t="inlineStr">
        <is>
          <t>Instrumentation</t>
        </is>
      </c>
      <c r="J5512" s="12" t="inlineStr">
        <is>
          <t>Instrumentation ITC / PLTC, IS, #18 shielded pairs, blue jacket</t>
        </is>
      </c>
      <c r="K5512" s="12" t="inlineStr">
        <is>
          <t>ITC|24 pr|18</t>
        </is>
      </c>
      <c r="L5512" s="12" t="inlineStr">
        <is>
          <t>24 pr</t>
        </is>
      </c>
      <c r="M5512" s="12" t="inlineStr">
        <is>
          <t>18</t>
        </is>
      </c>
      <c r="N5512" s="12" t="n">
        <v>1</v>
      </c>
      <c r="O5512" s="12" t="n">
        <v>1</v>
      </c>
      <c r="P5512" s="12" t="n"/>
      <c r="Q5512" s="12" t="n"/>
      <c r="R5512" s="12" t="n"/>
      <c r="S5512" s="12" t="inlineStr">
        <is>
          <t>Duct bank</t>
        </is>
      </c>
      <c r="T5512" s="16" t="n">
        <v>55</v>
      </c>
      <c r="U5512" s="16" t="n">
        <v>205</v>
      </c>
      <c r="V5512" s="16">
        <f>ROUNDUP((T5512+U5512+2*'Read Me'!$B$13)*(1+'Read Me'!$B$12),-1)</f>
        <v/>
      </c>
      <c r="W5512" s="16">
        <f>V5512*N5512*O5512</f>
        <v/>
      </c>
      <c r="X5512" s="12">
        <f>IF(LEFT(I5512,2)="MV",2*N5512*IF(L5512="1/C",O5512,1),0)</f>
        <v/>
      </c>
      <c r="Y5512" s="12">
        <f>IF(OR(LEFT(K5512,4)="LVAX",LEFT(K5512,6)="MV15AX",LEFT(K5512,4)="CTAX",LEFT(K5512,2)="W|"),2*N5512*O5512,0)</f>
        <v/>
      </c>
      <c r="Z5512" s="12" t="inlineStr"/>
      <c r="AA5512" s="12">
        <f>N5512*O5512</f>
        <v/>
      </c>
    </row>
    <row r="5513">
      <c r="A5513" s="12" t="inlineStr">
        <is>
          <t>K-I-0075</t>
        </is>
      </c>
      <c r="B5513" s="12" t="inlineStr">
        <is>
          <t>K</t>
        </is>
      </c>
      <c r="C5513" s="12" t="inlineStr">
        <is>
          <t>Fuel supply (adjacent market)</t>
        </is>
      </c>
      <c r="D5513" s="12" t="inlineStr">
        <is>
          <t>Discrete device to JB JB-H2 29: vent stack-DI01: 12 x 1 pr (field cables)</t>
        </is>
      </c>
      <c r="E5513" s="12" t="inlineStr"/>
      <c r="F5513" s="12" t="inlineStr">
        <is>
          <t>H2 29: vent stack</t>
        </is>
      </c>
      <c r="G5513" s="12" t="inlineStr">
        <is>
          <t>JB-H2 29: vent stack-DI01</t>
        </is>
      </c>
      <c r="H5513" s="12" t="inlineStr">
        <is>
          <t>H2 29: vent stack</t>
        </is>
      </c>
      <c r="I5513" s="12" t="inlineStr">
        <is>
          <t>Instrumentation</t>
        </is>
      </c>
      <c r="J5513" s="12" t="inlineStr">
        <is>
          <t>Instrumentation ITC / PLTC, IS, #18 shielded pairs, blue jacket</t>
        </is>
      </c>
      <c r="K5513" s="12" t="inlineStr">
        <is>
          <t>ITC|1 pr|16</t>
        </is>
      </c>
      <c r="L5513" s="12" t="inlineStr">
        <is>
          <t>1 pr</t>
        </is>
      </c>
      <c r="M5513" s="12" t="inlineStr">
        <is>
          <t>16</t>
        </is>
      </c>
      <c r="N5513" s="12" t="n">
        <v>12</v>
      </c>
      <c r="O5513" s="12" t="n">
        <v>1</v>
      </c>
      <c r="P5513" s="12" t="n"/>
      <c r="Q5513" s="12" t="n"/>
      <c r="R5513" s="12" t="n"/>
      <c r="S5513" s="12" t="inlineStr">
        <is>
          <t>Tray / conduit</t>
        </is>
      </c>
      <c r="T5513" s="16" t="n">
        <v>45</v>
      </c>
      <c r="U5513" s="16" t="n">
        <v>10</v>
      </c>
      <c r="V5513" s="16">
        <f>ROUNDUP((T5513+U5513+2*'Read Me'!$B$13)*(1+'Read Me'!$B$12),-1)</f>
        <v/>
      </c>
      <c r="W5513" s="16">
        <f>V5513*N5513*O5513</f>
        <v/>
      </c>
      <c r="X5513" s="12">
        <f>IF(LEFT(I5513,2)="MV",2*N5513*IF(L5513="1/C",O5513,1),0)</f>
        <v/>
      </c>
      <c r="Y5513" s="12">
        <f>IF(OR(LEFT(K5513,4)="LVAX",LEFT(K5513,6)="MV15AX",LEFT(K5513,4)="CTAX",LEFT(K5513,2)="W|"),2*N5513*O5513,0)</f>
        <v/>
      </c>
      <c r="Z5513" s="12" t="inlineStr">
        <is>
          <t>device-to-JB field wiring, one cable per device</t>
        </is>
      </c>
      <c r="AA5513" s="12">
        <f>N5513*O5513</f>
        <v/>
      </c>
    </row>
    <row r="5514">
      <c r="A5514" s="12" t="inlineStr">
        <is>
          <t>K-I-0076</t>
        </is>
      </c>
      <c r="B5514" s="12" t="inlineStr">
        <is>
          <t>K</t>
        </is>
      </c>
      <c r="C5514" s="12" t="inlineStr">
        <is>
          <t>Fuel supply (adjacent market)</t>
        </is>
      </c>
      <c r="D5514" s="12" t="inlineStr">
        <is>
          <t>Home run JB-H2 29: vent stack-DI01 to the control / marshalling room</t>
        </is>
      </c>
      <c r="E5514" s="12" t="inlineStr"/>
      <c r="F5514" s="12" t="inlineStr">
        <is>
          <t>H2 20: 13.8 kV e-house</t>
        </is>
      </c>
      <c r="G5514" s="12" t="inlineStr">
        <is>
          <t>JB-H2 29: vent stack-DI01</t>
        </is>
      </c>
      <c r="H5514" s="12" t="inlineStr">
        <is>
          <t>H2 29: vent stack</t>
        </is>
      </c>
      <c r="I5514" s="12" t="inlineStr">
        <is>
          <t>Instrumentation</t>
        </is>
      </c>
      <c r="J5514" s="12" t="inlineStr">
        <is>
          <t>Instrumentation ITC / PLTC, IS, #18 shielded pairs, blue jacket</t>
        </is>
      </c>
      <c r="K5514" s="12" t="inlineStr">
        <is>
          <t>ITC|24 pr|18</t>
        </is>
      </c>
      <c r="L5514" s="12" t="inlineStr">
        <is>
          <t>24 pr</t>
        </is>
      </c>
      <c r="M5514" s="12" t="inlineStr">
        <is>
          <t>18</t>
        </is>
      </c>
      <c r="N5514" s="12" t="n">
        <v>1</v>
      </c>
      <c r="O5514" s="12" t="n">
        <v>1</v>
      </c>
      <c r="P5514" s="12" t="n"/>
      <c r="Q5514" s="12" t="n"/>
      <c r="R5514" s="12" t="n"/>
      <c r="S5514" s="12" t="inlineStr">
        <is>
          <t>Duct bank</t>
        </is>
      </c>
      <c r="T5514" s="16" t="n">
        <v>55</v>
      </c>
      <c r="U5514" s="16" t="n">
        <v>205</v>
      </c>
      <c r="V5514" s="16">
        <f>ROUNDUP((T5514+U5514+2*'Read Me'!$B$13)*(1+'Read Me'!$B$12),-1)</f>
        <v/>
      </c>
      <c r="W5514" s="16">
        <f>V5514*N5514*O5514</f>
        <v/>
      </c>
      <c r="X5514" s="12">
        <f>IF(LEFT(I5514,2)="MV",2*N5514*IF(L5514="1/C",O5514,1),0)</f>
        <v/>
      </c>
      <c r="Y5514" s="12">
        <f>IF(OR(LEFT(K5514,4)="LVAX",LEFT(K5514,6)="MV15AX",LEFT(K5514,4)="CTAX",LEFT(K5514,2)="W|"),2*N5514*O5514,0)</f>
        <v/>
      </c>
      <c r="Z5514" s="12" t="inlineStr"/>
      <c r="AA5514" s="12">
        <f>N5514*O5514</f>
        <v/>
      </c>
    </row>
    <row r="5515">
      <c r="A5515" s="12" t="inlineStr">
        <is>
          <t>K-I-0077</t>
        </is>
      </c>
      <c r="B5515" s="12" t="inlineStr">
        <is>
          <t>K</t>
        </is>
      </c>
      <c r="C5515" s="12" t="inlineStr">
        <is>
          <t>Fuel supply (adjacent market)</t>
        </is>
      </c>
      <c r="D5515" s="12" t="inlineStr">
        <is>
          <t>Analog instrument to JB JB-H2 30: H2 / gas bl-AI01: 12 x 1 pr (field cables)</t>
        </is>
      </c>
      <c r="E5515" s="12" t="inlineStr"/>
      <c r="F5515" s="12" t="inlineStr">
        <is>
          <t>H2 30: H2 / gas blending station (plant gas yard)</t>
        </is>
      </c>
      <c r="G5515" s="12" t="inlineStr">
        <is>
          <t>JB-H2 30: H2 / gas bl-AI01</t>
        </is>
      </c>
      <c r="H5515" s="12" t="inlineStr">
        <is>
          <t>H2 30: H2 / gas blending station (plant gas yard)</t>
        </is>
      </c>
      <c r="I5515" s="12" t="inlineStr">
        <is>
          <t>Instrumentation</t>
        </is>
      </c>
      <c r="J5515" s="12" t="inlineStr">
        <is>
          <t>Instrumentation ITC / PLTC, IS, #18 shielded pairs, blue jacket</t>
        </is>
      </c>
      <c r="K5515" s="12" t="inlineStr">
        <is>
          <t>ITC|1 pr|16</t>
        </is>
      </c>
      <c r="L5515" s="12" t="inlineStr">
        <is>
          <t>1 pr</t>
        </is>
      </c>
      <c r="M5515" s="12" t="inlineStr">
        <is>
          <t>16</t>
        </is>
      </c>
      <c r="N5515" s="12" t="n">
        <v>12</v>
      </c>
      <c r="O5515" s="12" t="n">
        <v>1</v>
      </c>
      <c r="P5515" s="12" t="n"/>
      <c r="Q5515" s="12" t="n"/>
      <c r="R5515" s="12" t="n"/>
      <c r="S5515" s="12" t="inlineStr">
        <is>
          <t>Tray / conduit</t>
        </is>
      </c>
      <c r="T5515" s="16" t="n">
        <v>129</v>
      </c>
      <c r="U5515" s="16" t="n">
        <v>10</v>
      </c>
      <c r="V5515" s="16">
        <f>ROUNDUP((T5515+U5515+2*'Read Me'!$B$13)*(1+'Read Me'!$B$12),-1)</f>
        <v/>
      </c>
      <c r="W5515" s="16">
        <f>V5515*N5515*O5515</f>
        <v/>
      </c>
      <c r="X5515" s="12">
        <f>IF(LEFT(I5515,2)="MV",2*N5515*IF(L5515="1/C",O5515,1),0)</f>
        <v/>
      </c>
      <c r="Y5515" s="12">
        <f>IF(OR(LEFT(K5515,4)="LVAX",LEFT(K5515,6)="MV15AX",LEFT(K5515,4)="CTAX",LEFT(K5515,2)="W|"),2*N5515*O5515,0)</f>
        <v/>
      </c>
      <c r="Z5515" s="12" t="inlineStr">
        <is>
          <t>device-to-JB field wiring, one cable per device</t>
        </is>
      </c>
      <c r="AA5515" s="12">
        <f>N5515*O5515</f>
        <v/>
      </c>
    </row>
    <row r="5516">
      <c r="A5516" s="12" t="inlineStr">
        <is>
          <t>K-I-0078</t>
        </is>
      </c>
      <c r="B5516" s="12" t="inlineStr">
        <is>
          <t>K</t>
        </is>
      </c>
      <c r="C5516" s="12" t="inlineStr">
        <is>
          <t>Fuel supply (adjacent market)</t>
        </is>
      </c>
      <c r="D5516" s="12" t="inlineStr">
        <is>
          <t>Home run JB-H2 30: H2 / gas bl-AI01 to the control / marshalling room</t>
        </is>
      </c>
      <c r="E5516" s="12" t="inlineStr"/>
      <c r="F5516" s="12" t="inlineStr">
        <is>
          <t>LNG 17: LNG e-house (13.8 kV / 480 V)</t>
        </is>
      </c>
      <c r="G5516" s="12" t="inlineStr">
        <is>
          <t>JB-H2 30: H2 / gas bl-AI01</t>
        </is>
      </c>
      <c r="H5516" s="12" t="inlineStr">
        <is>
          <t>H2 30: H2 / gas blending station (plant gas yard)</t>
        </is>
      </c>
      <c r="I5516" s="12" t="inlineStr">
        <is>
          <t>Instrumentation</t>
        </is>
      </c>
      <c r="J5516" s="12" t="inlineStr">
        <is>
          <t>Instrumentation ITC / PLTC, IS, #18 shielded pairs, blue jacket</t>
        </is>
      </c>
      <c r="K5516" s="12" t="inlineStr">
        <is>
          <t>ITC|24 pr|18</t>
        </is>
      </c>
      <c r="L5516" s="12" t="inlineStr">
        <is>
          <t>24 pr</t>
        </is>
      </c>
      <c r="M5516" s="12" t="inlineStr">
        <is>
          <t>18</t>
        </is>
      </c>
      <c r="N5516" s="12" t="n">
        <v>1</v>
      </c>
      <c r="O5516" s="12" t="n">
        <v>1</v>
      </c>
      <c r="P5516" s="12" t="n"/>
      <c r="Q5516" s="12" t="n"/>
      <c r="R5516" s="12" t="n"/>
      <c r="S5516" s="12" t="inlineStr">
        <is>
          <t>Duct bank</t>
        </is>
      </c>
      <c r="T5516" s="16" t="n">
        <v>994</v>
      </c>
      <c r="U5516" s="16" t="n">
        <v>114</v>
      </c>
      <c r="V5516" s="16">
        <f>ROUNDUP((T5516+U5516+2*'Read Me'!$B$13)*(1+'Read Me'!$B$12),-1)</f>
        <v/>
      </c>
      <c r="W5516" s="16">
        <f>V5516*N5516*O5516</f>
        <v/>
      </c>
      <c r="X5516" s="12">
        <f>IF(LEFT(I5516,2)="MV",2*N5516*IF(L5516="1/C",O5516,1),0)</f>
        <v/>
      </c>
      <c r="Y5516" s="12">
        <f>IF(OR(LEFT(K5516,4)="LVAX",LEFT(K5516,6)="MV15AX",LEFT(K5516,4)="CTAX",LEFT(K5516,2)="W|"),2*N5516*O5516,0)</f>
        <v/>
      </c>
      <c r="Z5516" s="12" t="inlineStr"/>
      <c r="AA5516" s="12">
        <f>N5516*O5516</f>
        <v/>
      </c>
    </row>
    <row r="5517">
      <c r="A5517" s="12" t="inlineStr">
        <is>
          <t>K-I-0079</t>
        </is>
      </c>
      <c r="B5517" s="12" t="inlineStr">
        <is>
          <t>K</t>
        </is>
      </c>
      <c r="C5517" s="12" t="inlineStr">
        <is>
          <t>Fuel supply (adjacent market)</t>
        </is>
      </c>
      <c r="D5517" s="12" t="inlineStr">
        <is>
          <t>Discrete device to JB JB-H2 30: H2 / gas bl-DI01: 12 x 1 pr (field cables)</t>
        </is>
      </c>
      <c r="E5517" s="12" t="inlineStr"/>
      <c r="F5517" s="12" t="inlineStr">
        <is>
          <t>H2 30: H2 / gas blending station (plant gas yard)</t>
        </is>
      </c>
      <c r="G5517" s="12" t="inlineStr">
        <is>
          <t>JB-H2 30: H2 / gas bl-DI01</t>
        </is>
      </c>
      <c r="H5517" s="12" t="inlineStr">
        <is>
          <t>H2 30: H2 / gas blending station (plant gas yard)</t>
        </is>
      </c>
      <c r="I5517" s="12" t="inlineStr">
        <is>
          <t>Instrumentation</t>
        </is>
      </c>
      <c r="J5517" s="12" t="inlineStr">
        <is>
          <t>Instrumentation ITC / PLTC, IS, #18 shielded pairs, blue jacket</t>
        </is>
      </c>
      <c r="K5517" s="12" t="inlineStr">
        <is>
          <t>ITC|1 pr|16</t>
        </is>
      </c>
      <c r="L5517" s="12" t="inlineStr">
        <is>
          <t>1 pr</t>
        </is>
      </c>
      <c r="M5517" s="12" t="inlineStr">
        <is>
          <t>16</t>
        </is>
      </c>
      <c r="N5517" s="12" t="n">
        <v>12</v>
      </c>
      <c r="O5517" s="12" t="n">
        <v>1</v>
      </c>
      <c r="P5517" s="12" t="n"/>
      <c r="Q5517" s="12" t="n"/>
      <c r="R5517" s="12" t="n"/>
      <c r="S5517" s="12" t="inlineStr">
        <is>
          <t>Tray / conduit</t>
        </is>
      </c>
      <c r="T5517" s="16" t="n">
        <v>129</v>
      </c>
      <c r="U5517" s="16" t="n">
        <v>10</v>
      </c>
      <c r="V5517" s="16">
        <f>ROUNDUP((T5517+U5517+2*'Read Me'!$B$13)*(1+'Read Me'!$B$12),-1)</f>
        <v/>
      </c>
      <c r="W5517" s="16">
        <f>V5517*N5517*O5517</f>
        <v/>
      </c>
      <c r="X5517" s="12">
        <f>IF(LEFT(I5517,2)="MV",2*N5517*IF(L5517="1/C",O5517,1),0)</f>
        <v/>
      </c>
      <c r="Y5517" s="12">
        <f>IF(OR(LEFT(K5517,4)="LVAX",LEFT(K5517,6)="MV15AX",LEFT(K5517,4)="CTAX",LEFT(K5517,2)="W|"),2*N5517*O5517,0)</f>
        <v/>
      </c>
      <c r="Z5517" s="12" t="inlineStr">
        <is>
          <t>device-to-JB field wiring, one cable per device</t>
        </is>
      </c>
      <c r="AA5517" s="12">
        <f>N5517*O5517</f>
        <v/>
      </c>
    </row>
    <row r="5518">
      <c r="A5518" s="12" t="inlineStr">
        <is>
          <t>K-I-0080</t>
        </is>
      </c>
      <c r="B5518" s="12" t="inlineStr">
        <is>
          <t>K</t>
        </is>
      </c>
      <c r="C5518" s="12" t="inlineStr">
        <is>
          <t>Fuel supply (adjacent market)</t>
        </is>
      </c>
      <c r="D5518" s="12" t="inlineStr">
        <is>
          <t>Home run JB-H2 30: H2 / gas bl-DI01 to the control / marshalling room</t>
        </is>
      </c>
      <c r="E5518" s="12" t="inlineStr"/>
      <c r="F5518" s="12" t="inlineStr">
        <is>
          <t>LNG 17: LNG e-house (13.8 kV / 480 V)</t>
        </is>
      </c>
      <c r="G5518" s="12" t="inlineStr">
        <is>
          <t>JB-H2 30: H2 / gas bl-DI01</t>
        </is>
      </c>
      <c r="H5518" s="12" t="inlineStr">
        <is>
          <t>H2 30: H2 / gas blending station (plant gas yard)</t>
        </is>
      </c>
      <c r="I5518" s="12" t="inlineStr">
        <is>
          <t>Instrumentation</t>
        </is>
      </c>
      <c r="J5518" s="12" t="inlineStr">
        <is>
          <t>Instrumentation ITC / PLTC, IS, #18 shielded pairs, blue jacket</t>
        </is>
      </c>
      <c r="K5518" s="12" t="inlineStr">
        <is>
          <t>ITC|24 pr|18</t>
        </is>
      </c>
      <c r="L5518" s="12" t="inlineStr">
        <is>
          <t>24 pr</t>
        </is>
      </c>
      <c r="M5518" s="12" t="inlineStr">
        <is>
          <t>18</t>
        </is>
      </c>
      <c r="N5518" s="12" t="n">
        <v>1</v>
      </c>
      <c r="O5518" s="12" t="n">
        <v>1</v>
      </c>
      <c r="P5518" s="12" t="n"/>
      <c r="Q5518" s="12" t="n"/>
      <c r="R5518" s="12" t="n"/>
      <c r="S5518" s="12" t="inlineStr">
        <is>
          <t>Duct bank</t>
        </is>
      </c>
      <c r="T5518" s="16" t="n">
        <v>994</v>
      </c>
      <c r="U5518" s="16" t="n">
        <v>114</v>
      </c>
      <c r="V5518" s="16">
        <f>ROUNDUP((T5518+U5518+2*'Read Me'!$B$13)*(1+'Read Me'!$B$12),-1)</f>
        <v/>
      </c>
      <c r="W5518" s="16">
        <f>V5518*N5518*O5518</f>
        <v/>
      </c>
      <c r="X5518" s="12">
        <f>IF(LEFT(I5518,2)="MV",2*N5518*IF(L5518="1/C",O5518,1),0)</f>
        <v/>
      </c>
      <c r="Y5518" s="12">
        <f>IF(OR(LEFT(K5518,4)="LVAX",LEFT(K5518,6)="MV15AX",LEFT(K5518,4)="CTAX",LEFT(K5518,2)="W|"),2*N5518*O5518,0)</f>
        <v/>
      </c>
      <c r="Z5518" s="12" t="inlineStr"/>
      <c r="AA5518" s="12">
        <f>N5518*O5518</f>
        <v/>
      </c>
    </row>
    <row r="5519">
      <c r="A5519" s="12" t="inlineStr">
        <is>
          <t>K-I-0081</t>
        </is>
      </c>
      <c r="B5519" s="12" t="inlineStr">
        <is>
          <t>K</t>
        </is>
      </c>
      <c r="C5519" s="12" t="inlineStr">
        <is>
          <t>Fuel supply (adjacent market)</t>
        </is>
      </c>
      <c r="D5519" s="12" t="inlineStr">
        <is>
          <t>Analog instrument to JB JB-H2 pipe track and -AI01: 10 x 1 pr (field cables)</t>
        </is>
      </c>
      <c r="E5519" s="12" t="inlineStr"/>
      <c r="F5519" s="12" t="inlineStr">
        <is>
          <t>H2 pipe track and cable trench, hall -&gt; dryer / compressors (N2, instr</t>
        </is>
      </c>
      <c r="G5519" s="12" t="inlineStr">
        <is>
          <t>JB-H2 pipe track and -AI01</t>
        </is>
      </c>
      <c r="H5519" s="12" t="inlineStr">
        <is>
          <t>H2 pipe track and cable trench, hall -&gt; dryer / compressors (N2, instr</t>
        </is>
      </c>
      <c r="I5519" s="12" t="inlineStr">
        <is>
          <t>Instrumentation</t>
        </is>
      </c>
      <c r="J5519" s="12" t="inlineStr">
        <is>
          <t>Instrumentation ITC / PLTC, IS, #18 shielded pairs, blue jacket</t>
        </is>
      </c>
      <c r="K5519" s="12" t="inlineStr">
        <is>
          <t>ITC|1 pr|16</t>
        </is>
      </c>
      <c r="L5519" s="12" t="inlineStr">
        <is>
          <t>1 pr</t>
        </is>
      </c>
      <c r="M5519" s="12" t="inlineStr">
        <is>
          <t>16</t>
        </is>
      </c>
      <c r="N5519" s="12" t="n">
        <v>10</v>
      </c>
      <c r="O5519" s="12" t="n">
        <v>1</v>
      </c>
      <c r="P5519" s="12" t="n"/>
      <c r="Q5519" s="12" t="n"/>
      <c r="R5519" s="12" t="n"/>
      <c r="S5519" s="12" t="inlineStr">
        <is>
          <t>Tray / conduit</t>
        </is>
      </c>
      <c r="T5519" s="16" t="n">
        <v>70</v>
      </c>
      <c r="U5519" s="16" t="n">
        <v>10</v>
      </c>
      <c r="V5519" s="16">
        <f>ROUNDUP((T5519+U5519+2*'Read Me'!$B$13)*(1+'Read Me'!$B$12),-1)</f>
        <v/>
      </c>
      <c r="W5519" s="16">
        <f>V5519*N5519*O5519</f>
        <v/>
      </c>
      <c r="X5519" s="12">
        <f>IF(LEFT(I5519,2)="MV",2*N5519*IF(L5519="1/C",O5519,1),0)</f>
        <v/>
      </c>
      <c r="Y5519" s="12">
        <f>IF(OR(LEFT(K5519,4)="LVAX",LEFT(K5519,6)="MV15AX",LEFT(K5519,4)="CTAX",LEFT(K5519,2)="W|"),2*N5519*O5519,0)</f>
        <v/>
      </c>
      <c r="Z5519" s="12" t="inlineStr">
        <is>
          <t>device-to-JB field wiring, one cable per device</t>
        </is>
      </c>
      <c r="AA5519" s="12">
        <f>N5519*O5519</f>
        <v/>
      </c>
    </row>
    <row r="5520">
      <c r="A5520" s="12" t="inlineStr">
        <is>
          <t>K-I-0082</t>
        </is>
      </c>
      <c r="B5520" s="12" t="inlineStr">
        <is>
          <t>K</t>
        </is>
      </c>
      <c r="C5520" s="12" t="inlineStr">
        <is>
          <t>Fuel supply (adjacent market)</t>
        </is>
      </c>
      <c r="D5520" s="12" t="inlineStr">
        <is>
          <t>Home run JB-H2 pipe track and -AI01 to the control / marshalling room</t>
        </is>
      </c>
      <c r="E5520" s="12" t="inlineStr"/>
      <c r="F5520" s="12" t="inlineStr">
        <is>
          <t>H2 20: 13.8 kV e-house</t>
        </is>
      </c>
      <c r="G5520" s="12" t="inlineStr">
        <is>
          <t>JB-H2 pipe track and -AI01</t>
        </is>
      </c>
      <c r="H5520" s="12" t="inlineStr">
        <is>
          <t>H2 pipe track and cable trench, hall -&gt; dryer / compressors (N2, instr</t>
        </is>
      </c>
      <c r="I5520" s="12" t="inlineStr">
        <is>
          <t>Instrumentation</t>
        </is>
      </c>
      <c r="J5520" s="12" t="inlineStr">
        <is>
          <t>Instrumentation ITC / PLTC, IS, #18 shielded pairs, blue jacket</t>
        </is>
      </c>
      <c r="K5520" s="12" t="inlineStr">
        <is>
          <t>ITC|24 pr|18</t>
        </is>
      </c>
      <c r="L5520" s="12" t="inlineStr">
        <is>
          <t>24 pr</t>
        </is>
      </c>
      <c r="M5520" s="12" t="inlineStr">
        <is>
          <t>18</t>
        </is>
      </c>
      <c r="N5520" s="12" t="n">
        <v>1</v>
      </c>
      <c r="O5520" s="12" t="n">
        <v>1</v>
      </c>
      <c r="P5520" s="12" t="n"/>
      <c r="Q5520" s="12" t="n"/>
      <c r="R5520" s="12" t="n"/>
      <c r="S5520" s="12" t="inlineStr">
        <is>
          <t>Duct bank</t>
        </is>
      </c>
      <c r="T5520" s="16" t="n">
        <v>53</v>
      </c>
      <c r="U5520" s="16" t="n">
        <v>62</v>
      </c>
      <c r="V5520" s="16">
        <f>ROUNDUP((T5520+U5520+2*'Read Me'!$B$13)*(1+'Read Me'!$B$12),-1)</f>
        <v/>
      </c>
      <c r="W5520" s="16">
        <f>V5520*N5520*O5520</f>
        <v/>
      </c>
      <c r="X5520" s="12">
        <f>IF(LEFT(I5520,2)="MV",2*N5520*IF(L5520="1/C",O5520,1),0)</f>
        <v/>
      </c>
      <c r="Y5520" s="12">
        <f>IF(OR(LEFT(K5520,4)="LVAX",LEFT(K5520,6)="MV15AX",LEFT(K5520,4)="CTAX",LEFT(K5520,2)="W|"),2*N5520*O5520,0)</f>
        <v/>
      </c>
      <c r="Z5520" s="12" t="inlineStr"/>
      <c r="AA5520" s="12">
        <f>N5520*O5520</f>
        <v/>
      </c>
    </row>
    <row r="5521">
      <c r="A5521" s="12" t="inlineStr">
        <is>
          <t>K-I-0083</t>
        </is>
      </c>
      <c r="B5521" s="12" t="inlineStr">
        <is>
          <t>K</t>
        </is>
      </c>
      <c r="C5521" s="12" t="inlineStr">
        <is>
          <t>Fuel supply (adjacent market)</t>
        </is>
      </c>
      <c r="D5521" s="12" t="inlineStr">
        <is>
          <t>Discrete device to JB JB-H2 pipe track and -DI01: 10 x 1 pr (field cables)</t>
        </is>
      </c>
      <c r="E5521" s="12" t="inlineStr"/>
      <c r="F5521" s="12" t="inlineStr">
        <is>
          <t>H2 pipe track and cable trench, hall -&gt; dryer / compressors (N2, instr</t>
        </is>
      </c>
      <c r="G5521" s="12" t="inlineStr">
        <is>
          <t>JB-H2 pipe track and -DI01</t>
        </is>
      </c>
      <c r="H5521" s="12" t="inlineStr">
        <is>
          <t>H2 pipe track and cable trench, hall -&gt; dryer / compressors (N2, instr</t>
        </is>
      </c>
      <c r="I5521" s="12" t="inlineStr">
        <is>
          <t>Instrumentation</t>
        </is>
      </c>
      <c r="J5521" s="12" t="inlineStr">
        <is>
          <t>Instrumentation ITC / PLTC, IS, #18 shielded pairs, blue jacket</t>
        </is>
      </c>
      <c r="K5521" s="12" t="inlineStr">
        <is>
          <t>ITC|1 pr|16</t>
        </is>
      </c>
      <c r="L5521" s="12" t="inlineStr">
        <is>
          <t>1 pr</t>
        </is>
      </c>
      <c r="M5521" s="12" t="inlineStr">
        <is>
          <t>16</t>
        </is>
      </c>
      <c r="N5521" s="12" t="n">
        <v>10</v>
      </c>
      <c r="O5521" s="12" t="n">
        <v>1</v>
      </c>
      <c r="P5521" s="12" t="n"/>
      <c r="Q5521" s="12" t="n"/>
      <c r="R5521" s="12" t="n"/>
      <c r="S5521" s="12" t="inlineStr">
        <is>
          <t>Tray / conduit</t>
        </is>
      </c>
      <c r="T5521" s="16" t="n">
        <v>70</v>
      </c>
      <c r="U5521" s="16" t="n">
        <v>10</v>
      </c>
      <c r="V5521" s="16">
        <f>ROUNDUP((T5521+U5521+2*'Read Me'!$B$13)*(1+'Read Me'!$B$12),-1)</f>
        <v/>
      </c>
      <c r="W5521" s="16">
        <f>V5521*N5521*O5521</f>
        <v/>
      </c>
      <c r="X5521" s="12">
        <f>IF(LEFT(I5521,2)="MV",2*N5521*IF(L5521="1/C",O5521,1),0)</f>
        <v/>
      </c>
      <c r="Y5521" s="12">
        <f>IF(OR(LEFT(K5521,4)="LVAX",LEFT(K5521,6)="MV15AX",LEFT(K5521,4)="CTAX",LEFT(K5521,2)="W|"),2*N5521*O5521,0)</f>
        <v/>
      </c>
      <c r="Z5521" s="12" t="inlineStr">
        <is>
          <t>device-to-JB field wiring, one cable per device</t>
        </is>
      </c>
      <c r="AA5521" s="12">
        <f>N5521*O5521</f>
        <v/>
      </c>
    </row>
    <row r="5522">
      <c r="A5522" s="12" t="inlineStr">
        <is>
          <t>K-I-0084</t>
        </is>
      </c>
      <c r="B5522" s="12" t="inlineStr">
        <is>
          <t>K</t>
        </is>
      </c>
      <c r="C5522" s="12" t="inlineStr">
        <is>
          <t>Fuel supply (adjacent market)</t>
        </is>
      </c>
      <c r="D5522" s="12" t="inlineStr">
        <is>
          <t>Home run JB-H2 pipe track and -DI01 to the control / marshalling room</t>
        </is>
      </c>
      <c r="E5522" s="12" t="inlineStr"/>
      <c r="F5522" s="12" t="inlineStr">
        <is>
          <t>H2 20: 13.8 kV e-house</t>
        </is>
      </c>
      <c r="G5522" s="12" t="inlineStr">
        <is>
          <t>JB-H2 pipe track and -DI01</t>
        </is>
      </c>
      <c r="H5522" s="12" t="inlineStr">
        <is>
          <t>H2 pipe track and cable trench, hall -&gt; dryer / compressors (N2, instr</t>
        </is>
      </c>
      <c r="I5522" s="12" t="inlineStr">
        <is>
          <t>Instrumentation</t>
        </is>
      </c>
      <c r="J5522" s="12" t="inlineStr">
        <is>
          <t>Instrumentation ITC / PLTC, IS, #18 shielded pairs, blue jacket</t>
        </is>
      </c>
      <c r="K5522" s="12" t="inlineStr">
        <is>
          <t>ITC|24 pr|18</t>
        </is>
      </c>
      <c r="L5522" s="12" t="inlineStr">
        <is>
          <t>24 pr</t>
        </is>
      </c>
      <c r="M5522" s="12" t="inlineStr">
        <is>
          <t>18</t>
        </is>
      </c>
      <c r="N5522" s="12" t="n">
        <v>1</v>
      </c>
      <c r="O5522" s="12" t="n">
        <v>1</v>
      </c>
      <c r="P5522" s="12" t="n"/>
      <c r="Q5522" s="12" t="n"/>
      <c r="R5522" s="12" t="n"/>
      <c r="S5522" s="12" t="inlineStr">
        <is>
          <t>Duct bank</t>
        </is>
      </c>
      <c r="T5522" s="16" t="n">
        <v>53</v>
      </c>
      <c r="U5522" s="16" t="n">
        <v>62</v>
      </c>
      <c r="V5522" s="16">
        <f>ROUNDUP((T5522+U5522+2*'Read Me'!$B$13)*(1+'Read Me'!$B$12),-1)</f>
        <v/>
      </c>
      <c r="W5522" s="16">
        <f>V5522*N5522*O5522</f>
        <v/>
      </c>
      <c r="X5522" s="12">
        <f>IF(LEFT(I5522,2)="MV",2*N5522*IF(L5522="1/C",O5522,1),0)</f>
        <v/>
      </c>
      <c r="Y5522" s="12">
        <f>IF(OR(LEFT(K5522,4)="LVAX",LEFT(K5522,6)="MV15AX",LEFT(K5522,4)="CTAX",LEFT(K5522,2)="W|"),2*N5522*O5522,0)</f>
        <v/>
      </c>
      <c r="Z5522" s="12" t="inlineStr"/>
      <c r="AA5522" s="12">
        <f>N5522*O5522</f>
        <v/>
      </c>
    </row>
    <row r="5523">
      <c r="A5523" s="12" t="inlineStr">
        <is>
          <t>K-I-0085</t>
        </is>
      </c>
      <c r="B5523" s="12" t="inlineStr">
        <is>
          <t>K</t>
        </is>
      </c>
      <c r="C5523" s="12" t="inlineStr">
        <is>
          <t>Fuel supply (adjacent market)</t>
        </is>
      </c>
      <c r="D5523" s="12" t="inlineStr">
        <is>
          <t>Instrumentation</t>
        </is>
      </c>
      <c r="E5523" s="12" t="inlineStr"/>
      <c r="F5523" s="12" t="inlineStr">
        <is>
          <t>H2 20: 13.8 kV e-house</t>
        </is>
      </c>
      <c r="G5523" s="12" t="inlineStr">
        <is>
          <t>H2-ST</t>
        </is>
      </c>
      <c r="H5523" s="12" t="inlineStr">
        <is>
          <t>H2 storage tube banks x4</t>
        </is>
      </c>
      <c r="I5523" s="12" t="inlineStr">
        <is>
          <t>Instrumentation</t>
        </is>
      </c>
      <c r="J5523" s="12" t="inlineStr">
        <is>
          <t>Instrumentation ITC / PLTC, IS, #18 shielded pairs, blue jacket</t>
        </is>
      </c>
      <c r="K5523" s="12" t="inlineStr">
        <is>
          <t>ITC|4 pr|18</t>
        </is>
      </c>
      <c r="L5523" s="12" t="inlineStr">
        <is>
          <t>4 pr</t>
        </is>
      </c>
      <c r="M5523" s="12" t="inlineStr">
        <is>
          <t>18</t>
        </is>
      </c>
      <c r="N5523" s="12" t="n">
        <v>1</v>
      </c>
      <c r="O5523" s="12" t="n">
        <v>1</v>
      </c>
      <c r="P5523" s="12" t="n"/>
      <c r="Q5523" s="12" t="n"/>
      <c r="R5523" s="12" t="n"/>
      <c r="S5523" s="12" t="inlineStr">
        <is>
          <t>Duct bank</t>
        </is>
      </c>
      <c r="T5523" s="16" t="n">
        <v>50</v>
      </c>
      <c r="U5523" s="16" t="n">
        <v>92</v>
      </c>
      <c r="V5523" s="16">
        <f>ROUNDUP((T5523+U5523+2*'Read Me'!$B$13)*(1+'Read Me'!$B$12),-1)</f>
        <v/>
      </c>
      <c r="W5523" s="16">
        <f>V5523*N5523*O5523</f>
        <v/>
      </c>
      <c r="X5523" s="12">
        <f>IF(LEFT(I5523,2)="MV",2*N5523*IF(L5523="1/C",O5523,1),0)</f>
        <v/>
      </c>
      <c r="Y5523" s="12">
        <f>IF(OR(LEFT(K5523,4)="LVAX",LEFT(K5523,6)="MV15AX",LEFT(K5523,4)="CTAX",LEFT(K5523,2)="W|"),2*N5523*O5523,0)</f>
        <v/>
      </c>
      <c r="Z5523" s="12" t="inlineStr"/>
      <c r="AA5523" s="12">
        <f>N5523*O5523</f>
        <v/>
      </c>
    </row>
    <row r="5524">
      <c r="A5524" s="12" t="inlineStr">
        <is>
          <t>K-I-0086</t>
        </is>
      </c>
      <c r="B5524" s="12" t="inlineStr">
        <is>
          <t>K</t>
        </is>
      </c>
      <c r="C5524" s="12" t="inlineStr">
        <is>
          <t>Fuel supply (adjacent market)</t>
        </is>
      </c>
      <c r="D5524" s="12" t="inlineStr">
        <is>
          <t>Instrumentation</t>
        </is>
      </c>
      <c r="E5524" s="12" t="inlineStr"/>
      <c r="F5524" s="12" t="inlineStr">
        <is>
          <t>H2 20: 13.8 kV e-house</t>
        </is>
      </c>
      <c r="G5524" s="12" t="inlineStr">
        <is>
          <t>H2R</t>
        </is>
      </c>
      <c r="H5524" s="12" t="inlineStr">
        <is>
          <t>H2R: hydrogen pipeline receiving station (pig receiver, filters, meter</t>
        </is>
      </c>
      <c r="I5524" s="12" t="inlineStr">
        <is>
          <t>Instrumentation</t>
        </is>
      </c>
      <c r="J5524" s="12" t="inlineStr">
        <is>
          <t>Instrumentation ITC / PLTC, IS, #18 shielded pairs, blue jacket</t>
        </is>
      </c>
      <c r="K5524" s="12" t="inlineStr">
        <is>
          <t>ITC|4 pr|18</t>
        </is>
      </c>
      <c r="L5524" s="12" t="inlineStr">
        <is>
          <t>4 pr</t>
        </is>
      </c>
      <c r="M5524" s="12" t="inlineStr">
        <is>
          <t>18</t>
        </is>
      </c>
      <c r="N5524" s="12" t="n">
        <v>1</v>
      </c>
      <c r="O5524" s="12" t="n">
        <v>1</v>
      </c>
      <c r="P5524" s="12" t="n"/>
      <c r="Q5524" s="12" t="n"/>
      <c r="R5524" s="12" t="n"/>
      <c r="S5524" s="12" t="inlineStr">
        <is>
          <t>Duct bank</t>
        </is>
      </c>
      <c r="T5524" s="16" t="n">
        <v>40</v>
      </c>
      <c r="U5524" s="16" t="n">
        <v>32</v>
      </c>
      <c r="V5524" s="16">
        <f>ROUNDUP((T5524+U5524+2*'Read Me'!$B$13)*(1+'Read Me'!$B$12),-1)</f>
        <v/>
      </c>
      <c r="W5524" s="16">
        <f>V5524*N5524*O5524</f>
        <v/>
      </c>
      <c r="X5524" s="12">
        <f>IF(LEFT(I5524,2)="MV",2*N5524*IF(L5524="1/C",O5524,1),0)</f>
        <v/>
      </c>
      <c r="Y5524" s="12">
        <f>IF(OR(LEFT(K5524,4)="LVAX",LEFT(K5524,6)="MV15AX",LEFT(K5524,4)="CTAX",LEFT(K5524,2)="W|"),2*N5524*O5524,0)</f>
        <v/>
      </c>
      <c r="Z5524" s="12" t="inlineStr"/>
      <c r="AA5524" s="12">
        <f>N5524*O5524</f>
        <v/>
      </c>
    </row>
    <row r="5525">
      <c r="A5525" s="12" t="inlineStr">
        <is>
          <t>K-I-0087</t>
        </is>
      </c>
      <c r="B5525" s="12" t="inlineStr">
        <is>
          <t>K</t>
        </is>
      </c>
      <c r="C5525" s="12" t="inlineStr">
        <is>
          <t>Fuel supply (adjacent market)</t>
        </is>
      </c>
      <c r="D5525" s="12" t="inlineStr">
        <is>
          <t>Analog instrument to JB JB-LNG 10: truck unlo-AI01: 12 x 1 pr (field cables)</t>
        </is>
      </c>
      <c r="E5525" s="12" t="inlineStr"/>
      <c r="F5525" s="12" t="inlineStr">
        <is>
          <t>LNG 10: truck unloading bay 1</t>
        </is>
      </c>
      <c r="G5525" s="12" t="inlineStr">
        <is>
          <t>JB-LNG 10: truck unlo-AI01</t>
        </is>
      </c>
      <c r="H5525" s="12" t="inlineStr">
        <is>
          <t>LNG 10: truck unloading bay 1</t>
        </is>
      </c>
      <c r="I5525" s="12" t="inlineStr">
        <is>
          <t>Instrumentation</t>
        </is>
      </c>
      <c r="J5525" s="12" t="inlineStr">
        <is>
          <t>Instrumentation ITC / PLTC, IS, #18 shielded pairs, blue jacket</t>
        </is>
      </c>
      <c r="K5525" s="12" t="inlineStr">
        <is>
          <t>ITC|1 pr|16</t>
        </is>
      </c>
      <c r="L5525" s="12" t="inlineStr">
        <is>
          <t>1 pr</t>
        </is>
      </c>
      <c r="M5525" s="12" t="inlineStr">
        <is>
          <t>16</t>
        </is>
      </c>
      <c r="N5525" s="12" t="n">
        <v>12</v>
      </c>
      <c r="O5525" s="12" t="n">
        <v>1</v>
      </c>
      <c r="P5525" s="12" t="n"/>
      <c r="Q5525" s="12" t="n"/>
      <c r="R5525" s="12" t="n"/>
      <c r="S5525" s="12" t="inlineStr">
        <is>
          <t>Tray / conduit</t>
        </is>
      </c>
      <c r="T5525" s="16" t="n">
        <v>72</v>
      </c>
      <c r="U5525" s="16" t="n">
        <v>10</v>
      </c>
      <c r="V5525" s="16">
        <f>ROUNDUP((T5525+U5525+2*'Read Me'!$B$13)*(1+'Read Me'!$B$12),-1)</f>
        <v/>
      </c>
      <c r="W5525" s="16">
        <f>V5525*N5525*O5525</f>
        <v/>
      </c>
      <c r="X5525" s="12">
        <f>IF(LEFT(I5525,2)="MV",2*N5525*IF(L5525="1/C",O5525,1),0)</f>
        <v/>
      </c>
      <c r="Y5525" s="12">
        <f>IF(OR(LEFT(K5525,4)="LVAX",LEFT(K5525,6)="MV15AX",LEFT(K5525,4)="CTAX",LEFT(K5525,2)="W|"),2*N5525*O5525,0)</f>
        <v/>
      </c>
      <c r="Z5525" s="12" t="inlineStr">
        <is>
          <t>device-to-JB field wiring, one cable per device</t>
        </is>
      </c>
      <c r="AA5525" s="12">
        <f>N5525*O5525</f>
        <v/>
      </c>
    </row>
    <row r="5526">
      <c r="A5526" s="12" t="inlineStr">
        <is>
          <t>K-I-0088</t>
        </is>
      </c>
      <c r="B5526" s="12" t="inlineStr">
        <is>
          <t>K</t>
        </is>
      </c>
      <c r="C5526" s="12" t="inlineStr">
        <is>
          <t>Fuel supply (adjacent market)</t>
        </is>
      </c>
      <c r="D5526" s="12" t="inlineStr">
        <is>
          <t>Home run JB-LNG 10: truck unlo-AI01 to the control / marshalling room</t>
        </is>
      </c>
      <c r="E5526" s="12" t="inlineStr"/>
      <c r="F5526" s="12" t="inlineStr">
        <is>
          <t>LNG 17: LNG e-house (13.8 kV / 480 V)</t>
        </is>
      </c>
      <c r="G5526" s="12" t="inlineStr">
        <is>
          <t>JB-LNG 10: truck unlo-AI01</t>
        </is>
      </c>
      <c r="H5526" s="12" t="inlineStr">
        <is>
          <t>LNG 10: truck unloading bay 1</t>
        </is>
      </c>
      <c r="I5526" s="12" t="inlineStr">
        <is>
          <t>Instrumentation</t>
        </is>
      </c>
      <c r="J5526" s="12" t="inlineStr">
        <is>
          <t>Instrumentation ITC / PLTC, IS, #18 shielded pairs, blue jacket</t>
        </is>
      </c>
      <c r="K5526" s="12" t="inlineStr">
        <is>
          <t>ITC|24 pr|18</t>
        </is>
      </c>
      <c r="L5526" s="12" t="inlineStr">
        <is>
          <t>24 pr</t>
        </is>
      </c>
      <c r="M5526" s="12" t="inlineStr">
        <is>
          <t>18</t>
        </is>
      </c>
      <c r="N5526" s="12" t="n">
        <v>1</v>
      </c>
      <c r="O5526" s="12" t="n">
        <v>1</v>
      </c>
      <c r="P5526" s="12" t="n"/>
      <c r="Q5526" s="12" t="n"/>
      <c r="R5526" s="12" t="n"/>
      <c r="S5526" s="12" t="inlineStr">
        <is>
          <t>Duct bank</t>
        </is>
      </c>
      <c r="T5526" s="16" t="n">
        <v>237</v>
      </c>
      <c r="U5526" s="16" t="n">
        <v>61</v>
      </c>
      <c r="V5526" s="16">
        <f>ROUNDUP((T5526+U5526+2*'Read Me'!$B$13)*(1+'Read Me'!$B$12),-1)</f>
        <v/>
      </c>
      <c r="W5526" s="16">
        <f>V5526*N5526*O5526</f>
        <v/>
      </c>
      <c r="X5526" s="12">
        <f>IF(LEFT(I5526,2)="MV",2*N5526*IF(L5526="1/C",O5526,1),0)</f>
        <v/>
      </c>
      <c r="Y5526" s="12">
        <f>IF(OR(LEFT(K5526,4)="LVAX",LEFT(K5526,6)="MV15AX",LEFT(K5526,4)="CTAX",LEFT(K5526,2)="W|"),2*N5526*O5526,0)</f>
        <v/>
      </c>
      <c r="Z5526" s="12" t="inlineStr"/>
      <c r="AA5526" s="12">
        <f>N5526*O5526</f>
        <v/>
      </c>
    </row>
    <row r="5527">
      <c r="A5527" s="12" t="inlineStr">
        <is>
          <t>K-I-0089</t>
        </is>
      </c>
      <c r="B5527" s="12" t="inlineStr">
        <is>
          <t>K</t>
        </is>
      </c>
      <c r="C5527" s="12" t="inlineStr">
        <is>
          <t>Fuel supply (adjacent market)</t>
        </is>
      </c>
      <c r="D5527" s="12" t="inlineStr">
        <is>
          <t>Discrete device to JB JB-LNG 10: truck unlo-DI01: 12 x 1 pr (field cables)</t>
        </is>
      </c>
      <c r="E5527" s="12" t="inlineStr"/>
      <c r="F5527" s="12" t="inlineStr">
        <is>
          <t>LNG 10: truck unloading bay 1</t>
        </is>
      </c>
      <c r="G5527" s="12" t="inlineStr">
        <is>
          <t>JB-LNG 10: truck unlo-DI01</t>
        </is>
      </c>
      <c r="H5527" s="12" t="inlineStr">
        <is>
          <t>LNG 10: truck unloading bay 1</t>
        </is>
      </c>
      <c r="I5527" s="12" t="inlineStr">
        <is>
          <t>Instrumentation</t>
        </is>
      </c>
      <c r="J5527" s="12" t="inlineStr">
        <is>
          <t>Instrumentation ITC / PLTC, IS, #18 shielded pairs, blue jacket</t>
        </is>
      </c>
      <c r="K5527" s="12" t="inlineStr">
        <is>
          <t>ITC|1 pr|16</t>
        </is>
      </c>
      <c r="L5527" s="12" t="inlineStr">
        <is>
          <t>1 pr</t>
        </is>
      </c>
      <c r="M5527" s="12" t="inlineStr">
        <is>
          <t>16</t>
        </is>
      </c>
      <c r="N5527" s="12" t="n">
        <v>12</v>
      </c>
      <c r="O5527" s="12" t="n">
        <v>1</v>
      </c>
      <c r="P5527" s="12" t="n"/>
      <c r="Q5527" s="12" t="n"/>
      <c r="R5527" s="12" t="n"/>
      <c r="S5527" s="12" t="inlineStr">
        <is>
          <t>Tray / conduit</t>
        </is>
      </c>
      <c r="T5527" s="16" t="n">
        <v>72</v>
      </c>
      <c r="U5527" s="16" t="n">
        <v>10</v>
      </c>
      <c r="V5527" s="16">
        <f>ROUNDUP((T5527+U5527+2*'Read Me'!$B$13)*(1+'Read Me'!$B$12),-1)</f>
        <v/>
      </c>
      <c r="W5527" s="16">
        <f>V5527*N5527*O5527</f>
        <v/>
      </c>
      <c r="X5527" s="12">
        <f>IF(LEFT(I5527,2)="MV",2*N5527*IF(L5527="1/C",O5527,1),0)</f>
        <v/>
      </c>
      <c r="Y5527" s="12">
        <f>IF(OR(LEFT(K5527,4)="LVAX",LEFT(K5527,6)="MV15AX",LEFT(K5527,4)="CTAX",LEFT(K5527,2)="W|"),2*N5527*O5527,0)</f>
        <v/>
      </c>
      <c r="Z5527" s="12" t="inlineStr">
        <is>
          <t>device-to-JB field wiring, one cable per device</t>
        </is>
      </c>
      <c r="AA5527" s="12">
        <f>N5527*O5527</f>
        <v/>
      </c>
    </row>
    <row r="5528">
      <c r="A5528" s="12" t="inlineStr">
        <is>
          <t>K-I-0090</t>
        </is>
      </c>
      <c r="B5528" s="12" t="inlineStr">
        <is>
          <t>K</t>
        </is>
      </c>
      <c r="C5528" s="12" t="inlineStr">
        <is>
          <t>Fuel supply (adjacent market)</t>
        </is>
      </c>
      <c r="D5528" s="12" t="inlineStr">
        <is>
          <t>Home run JB-LNG 10: truck unlo-DI01 to the control / marshalling room</t>
        </is>
      </c>
      <c r="E5528" s="12" t="inlineStr"/>
      <c r="F5528" s="12" t="inlineStr">
        <is>
          <t>LNG 17: LNG e-house (13.8 kV / 480 V)</t>
        </is>
      </c>
      <c r="G5528" s="12" t="inlineStr">
        <is>
          <t>JB-LNG 10: truck unlo-DI01</t>
        </is>
      </c>
      <c r="H5528" s="12" t="inlineStr">
        <is>
          <t>LNG 10: truck unloading bay 1</t>
        </is>
      </c>
      <c r="I5528" s="12" t="inlineStr">
        <is>
          <t>Instrumentation</t>
        </is>
      </c>
      <c r="J5528" s="12" t="inlineStr">
        <is>
          <t>Instrumentation ITC / PLTC, IS, #18 shielded pairs, blue jacket</t>
        </is>
      </c>
      <c r="K5528" s="12" t="inlineStr">
        <is>
          <t>ITC|24 pr|18</t>
        </is>
      </c>
      <c r="L5528" s="12" t="inlineStr">
        <is>
          <t>24 pr</t>
        </is>
      </c>
      <c r="M5528" s="12" t="inlineStr">
        <is>
          <t>18</t>
        </is>
      </c>
      <c r="N5528" s="12" t="n">
        <v>1</v>
      </c>
      <c r="O5528" s="12" t="n">
        <v>1</v>
      </c>
      <c r="P5528" s="12" t="n"/>
      <c r="Q5528" s="12" t="n"/>
      <c r="R5528" s="12" t="n"/>
      <c r="S5528" s="12" t="inlineStr">
        <is>
          <t>Duct bank</t>
        </is>
      </c>
      <c r="T5528" s="16" t="n">
        <v>237</v>
      </c>
      <c r="U5528" s="16" t="n">
        <v>61</v>
      </c>
      <c r="V5528" s="16">
        <f>ROUNDUP((T5528+U5528+2*'Read Me'!$B$13)*(1+'Read Me'!$B$12),-1)</f>
        <v/>
      </c>
      <c r="W5528" s="16">
        <f>V5528*N5528*O5528</f>
        <v/>
      </c>
      <c r="X5528" s="12">
        <f>IF(LEFT(I5528,2)="MV",2*N5528*IF(L5528="1/C",O5528,1),0)</f>
        <v/>
      </c>
      <c r="Y5528" s="12">
        <f>IF(OR(LEFT(K5528,4)="LVAX",LEFT(K5528,6)="MV15AX",LEFT(K5528,4)="CTAX",LEFT(K5528,2)="W|"),2*N5528*O5528,0)</f>
        <v/>
      </c>
      <c r="Z5528" s="12" t="inlineStr"/>
      <c r="AA5528" s="12">
        <f>N5528*O5528</f>
        <v/>
      </c>
    </row>
    <row r="5529">
      <c r="A5529" s="12" t="inlineStr">
        <is>
          <t>K-I-0091</t>
        </is>
      </c>
      <c r="B5529" s="12" t="inlineStr">
        <is>
          <t>K</t>
        </is>
      </c>
      <c r="C5529" s="12" t="inlineStr">
        <is>
          <t>Fuel supply (adjacent market)</t>
        </is>
      </c>
      <c r="D5529" s="12" t="inlineStr">
        <is>
          <t>Analog instrument to JB JB-LNG 10: truck unlo-AI01: 12 x 1 pr (field cables)</t>
        </is>
      </c>
      <c r="E5529" s="12" t="inlineStr"/>
      <c r="F5529" s="12" t="inlineStr">
        <is>
          <t>LNG 10: truck unloading bay 2</t>
        </is>
      </c>
      <c r="G5529" s="12" t="inlineStr">
        <is>
          <t>JB-LNG 10: truck unlo-AI01</t>
        </is>
      </c>
      <c r="H5529" s="12" t="inlineStr">
        <is>
          <t>LNG 10: truck unloading bay 2</t>
        </is>
      </c>
      <c r="I5529" s="12" t="inlineStr">
        <is>
          <t>Instrumentation</t>
        </is>
      </c>
      <c r="J5529" s="12" t="inlineStr">
        <is>
          <t>Instrumentation ITC / PLTC, IS, #18 shielded pairs, blue jacket</t>
        </is>
      </c>
      <c r="K5529" s="12" t="inlineStr">
        <is>
          <t>ITC|1 pr|16</t>
        </is>
      </c>
      <c r="L5529" s="12" t="inlineStr">
        <is>
          <t>1 pr</t>
        </is>
      </c>
      <c r="M5529" s="12" t="inlineStr">
        <is>
          <t>16</t>
        </is>
      </c>
      <c r="N5529" s="12" t="n">
        <v>12</v>
      </c>
      <c r="O5529" s="12" t="n">
        <v>1</v>
      </c>
      <c r="P5529" s="12" t="n"/>
      <c r="Q5529" s="12" t="n"/>
      <c r="R5529" s="12" t="n"/>
      <c r="S5529" s="12" t="inlineStr">
        <is>
          <t>Tray / conduit</t>
        </is>
      </c>
      <c r="T5529" s="16" t="n">
        <v>72</v>
      </c>
      <c r="U5529" s="16" t="n">
        <v>10</v>
      </c>
      <c r="V5529" s="16">
        <f>ROUNDUP((T5529+U5529+2*'Read Me'!$B$13)*(1+'Read Me'!$B$12),-1)</f>
        <v/>
      </c>
      <c r="W5529" s="16">
        <f>V5529*N5529*O5529</f>
        <v/>
      </c>
      <c r="X5529" s="12">
        <f>IF(LEFT(I5529,2)="MV",2*N5529*IF(L5529="1/C",O5529,1),0)</f>
        <v/>
      </c>
      <c r="Y5529" s="12">
        <f>IF(OR(LEFT(K5529,4)="LVAX",LEFT(K5529,6)="MV15AX",LEFT(K5529,4)="CTAX",LEFT(K5529,2)="W|"),2*N5529*O5529,0)</f>
        <v/>
      </c>
      <c r="Z5529" s="12" t="inlineStr">
        <is>
          <t>device-to-JB field wiring, one cable per device</t>
        </is>
      </c>
      <c r="AA5529" s="12">
        <f>N5529*O5529</f>
        <v/>
      </c>
    </row>
    <row r="5530">
      <c r="A5530" s="12" t="inlineStr">
        <is>
          <t>K-I-0092</t>
        </is>
      </c>
      <c r="B5530" s="12" t="inlineStr">
        <is>
          <t>K</t>
        </is>
      </c>
      <c r="C5530" s="12" t="inlineStr">
        <is>
          <t>Fuel supply (adjacent market)</t>
        </is>
      </c>
      <c r="D5530" s="12" t="inlineStr">
        <is>
          <t>Home run JB-LNG 10: truck unlo-AI01 to the control / marshalling room</t>
        </is>
      </c>
      <c r="E5530" s="12" t="inlineStr"/>
      <c r="F5530" s="12" t="inlineStr">
        <is>
          <t>LNG 17: LNG e-house (13.8 kV / 480 V)</t>
        </is>
      </c>
      <c r="G5530" s="12" t="inlineStr">
        <is>
          <t>JB-LNG 10: truck unlo-AI01</t>
        </is>
      </c>
      <c r="H5530" s="12" t="inlineStr">
        <is>
          <t>LNG 10: truck unloading bay 2</t>
        </is>
      </c>
      <c r="I5530" s="12" t="inlineStr">
        <is>
          <t>Instrumentation</t>
        </is>
      </c>
      <c r="J5530" s="12" t="inlineStr">
        <is>
          <t>Instrumentation ITC / PLTC, IS, #18 shielded pairs, blue jacket</t>
        </is>
      </c>
      <c r="K5530" s="12" t="inlineStr">
        <is>
          <t>ITC|24 pr|18</t>
        </is>
      </c>
      <c r="L5530" s="12" t="inlineStr">
        <is>
          <t>24 pr</t>
        </is>
      </c>
      <c r="M5530" s="12" t="inlineStr">
        <is>
          <t>18</t>
        </is>
      </c>
      <c r="N5530" s="12" t="n">
        <v>1</v>
      </c>
      <c r="O5530" s="12" t="n">
        <v>1</v>
      </c>
      <c r="P5530" s="12" t="n"/>
      <c r="Q5530" s="12" t="n"/>
      <c r="R5530" s="12" t="n"/>
      <c r="S5530" s="12" t="inlineStr">
        <is>
          <t>Duct bank</t>
        </is>
      </c>
      <c r="T5530" s="16" t="n">
        <v>147</v>
      </c>
      <c r="U5530" s="16" t="n">
        <v>66</v>
      </c>
      <c r="V5530" s="16">
        <f>ROUNDUP((T5530+U5530+2*'Read Me'!$B$13)*(1+'Read Me'!$B$12),-1)</f>
        <v/>
      </c>
      <c r="W5530" s="16">
        <f>V5530*N5530*O5530</f>
        <v/>
      </c>
      <c r="X5530" s="12">
        <f>IF(LEFT(I5530,2)="MV",2*N5530*IF(L5530="1/C",O5530,1),0)</f>
        <v/>
      </c>
      <c r="Y5530" s="12">
        <f>IF(OR(LEFT(K5530,4)="LVAX",LEFT(K5530,6)="MV15AX",LEFT(K5530,4)="CTAX",LEFT(K5530,2)="W|"),2*N5530*O5530,0)</f>
        <v/>
      </c>
      <c r="Z5530" s="12" t="inlineStr"/>
      <c r="AA5530" s="12">
        <f>N5530*O5530</f>
        <v/>
      </c>
    </row>
    <row r="5531">
      <c r="A5531" s="12" t="inlineStr">
        <is>
          <t>K-I-0093</t>
        </is>
      </c>
      <c r="B5531" s="12" t="inlineStr">
        <is>
          <t>K</t>
        </is>
      </c>
      <c r="C5531" s="12" t="inlineStr">
        <is>
          <t>Fuel supply (adjacent market)</t>
        </is>
      </c>
      <c r="D5531" s="12" t="inlineStr">
        <is>
          <t>Discrete device to JB JB-LNG 10: truck unlo-DI01: 12 x 1 pr (field cables)</t>
        </is>
      </c>
      <c r="E5531" s="12" t="inlineStr"/>
      <c r="F5531" s="12" t="inlineStr">
        <is>
          <t>LNG 10: truck unloading bay 2</t>
        </is>
      </c>
      <c r="G5531" s="12" t="inlineStr">
        <is>
          <t>JB-LNG 10: truck unlo-DI01</t>
        </is>
      </c>
      <c r="H5531" s="12" t="inlineStr">
        <is>
          <t>LNG 10: truck unloading bay 2</t>
        </is>
      </c>
      <c r="I5531" s="12" t="inlineStr">
        <is>
          <t>Instrumentation</t>
        </is>
      </c>
      <c r="J5531" s="12" t="inlineStr">
        <is>
          <t>Instrumentation ITC / PLTC, IS, #18 shielded pairs, blue jacket</t>
        </is>
      </c>
      <c r="K5531" s="12" t="inlineStr">
        <is>
          <t>ITC|1 pr|16</t>
        </is>
      </c>
      <c r="L5531" s="12" t="inlineStr">
        <is>
          <t>1 pr</t>
        </is>
      </c>
      <c r="M5531" s="12" t="inlineStr">
        <is>
          <t>16</t>
        </is>
      </c>
      <c r="N5531" s="12" t="n">
        <v>12</v>
      </c>
      <c r="O5531" s="12" t="n">
        <v>1</v>
      </c>
      <c r="P5531" s="12" t="n"/>
      <c r="Q5531" s="12" t="n"/>
      <c r="R5531" s="12" t="n"/>
      <c r="S5531" s="12" t="inlineStr">
        <is>
          <t>Tray / conduit</t>
        </is>
      </c>
      <c r="T5531" s="16" t="n">
        <v>72</v>
      </c>
      <c r="U5531" s="16" t="n">
        <v>10</v>
      </c>
      <c r="V5531" s="16">
        <f>ROUNDUP((T5531+U5531+2*'Read Me'!$B$13)*(1+'Read Me'!$B$12),-1)</f>
        <v/>
      </c>
      <c r="W5531" s="16">
        <f>V5531*N5531*O5531</f>
        <v/>
      </c>
      <c r="X5531" s="12">
        <f>IF(LEFT(I5531,2)="MV",2*N5531*IF(L5531="1/C",O5531,1),0)</f>
        <v/>
      </c>
      <c r="Y5531" s="12">
        <f>IF(OR(LEFT(K5531,4)="LVAX",LEFT(K5531,6)="MV15AX",LEFT(K5531,4)="CTAX",LEFT(K5531,2)="W|"),2*N5531*O5531,0)</f>
        <v/>
      </c>
      <c r="Z5531" s="12" t="inlineStr">
        <is>
          <t>device-to-JB field wiring, one cable per device</t>
        </is>
      </c>
      <c r="AA5531" s="12">
        <f>N5531*O5531</f>
        <v/>
      </c>
    </row>
    <row r="5532">
      <c r="A5532" s="12" t="inlineStr">
        <is>
          <t>K-I-0094</t>
        </is>
      </c>
      <c r="B5532" s="12" t="inlineStr">
        <is>
          <t>K</t>
        </is>
      </c>
      <c r="C5532" s="12" t="inlineStr">
        <is>
          <t>Fuel supply (adjacent market)</t>
        </is>
      </c>
      <c r="D5532" s="12" t="inlineStr">
        <is>
          <t>Home run JB-LNG 10: truck unlo-DI01 to the control / marshalling room</t>
        </is>
      </c>
      <c r="E5532" s="12" t="inlineStr"/>
      <c r="F5532" s="12" t="inlineStr">
        <is>
          <t>LNG 17: LNG e-house (13.8 kV / 480 V)</t>
        </is>
      </c>
      <c r="G5532" s="12" t="inlineStr">
        <is>
          <t>JB-LNG 10: truck unlo-DI01</t>
        </is>
      </c>
      <c r="H5532" s="12" t="inlineStr">
        <is>
          <t>LNG 10: truck unloading bay 2</t>
        </is>
      </c>
      <c r="I5532" s="12" t="inlineStr">
        <is>
          <t>Instrumentation</t>
        </is>
      </c>
      <c r="J5532" s="12" t="inlineStr">
        <is>
          <t>Instrumentation ITC / PLTC, IS, #18 shielded pairs, blue jacket</t>
        </is>
      </c>
      <c r="K5532" s="12" t="inlineStr">
        <is>
          <t>ITC|24 pr|18</t>
        </is>
      </c>
      <c r="L5532" s="12" t="inlineStr">
        <is>
          <t>24 pr</t>
        </is>
      </c>
      <c r="M5532" s="12" t="inlineStr">
        <is>
          <t>18</t>
        </is>
      </c>
      <c r="N5532" s="12" t="n">
        <v>1</v>
      </c>
      <c r="O5532" s="12" t="n">
        <v>1</v>
      </c>
      <c r="P5532" s="12" t="n"/>
      <c r="Q5532" s="12" t="n"/>
      <c r="R5532" s="12" t="n"/>
      <c r="S5532" s="12" t="inlineStr">
        <is>
          <t>Duct bank</t>
        </is>
      </c>
      <c r="T5532" s="16" t="n">
        <v>147</v>
      </c>
      <c r="U5532" s="16" t="n">
        <v>66</v>
      </c>
      <c r="V5532" s="16">
        <f>ROUNDUP((T5532+U5532+2*'Read Me'!$B$13)*(1+'Read Me'!$B$12),-1)</f>
        <v/>
      </c>
      <c r="W5532" s="16">
        <f>V5532*N5532*O5532</f>
        <v/>
      </c>
      <c r="X5532" s="12">
        <f>IF(LEFT(I5532,2)="MV",2*N5532*IF(L5532="1/C",O5532,1),0)</f>
        <v/>
      </c>
      <c r="Y5532" s="12">
        <f>IF(OR(LEFT(K5532,4)="LVAX",LEFT(K5532,6)="MV15AX",LEFT(K5532,4)="CTAX",LEFT(K5532,2)="W|"),2*N5532*O5532,0)</f>
        <v/>
      </c>
      <c r="Z5532" s="12" t="inlineStr"/>
      <c r="AA5532" s="12">
        <f>N5532*O5532</f>
        <v/>
      </c>
    </row>
    <row r="5533">
      <c r="A5533" s="12" t="inlineStr">
        <is>
          <t>K-I-0095</t>
        </is>
      </c>
      <c r="B5533" s="12" t="inlineStr">
        <is>
          <t>K</t>
        </is>
      </c>
      <c r="C5533" s="12" t="inlineStr">
        <is>
          <t>Fuel supply (adjacent market)</t>
        </is>
      </c>
      <c r="D5533" s="12" t="inlineStr">
        <is>
          <t>Analog instrument to JB JB-LNG 10: unloading -AI01: 12 x 1 pr (field cables)</t>
        </is>
      </c>
      <c r="E5533" s="12" t="inlineStr"/>
      <c r="F5533" s="12" t="inlineStr">
        <is>
          <t>LNG 10: unloading skid</t>
        </is>
      </c>
      <c r="G5533" s="12" t="inlineStr">
        <is>
          <t>JB-LNG 10: unloading -AI01</t>
        </is>
      </c>
      <c r="H5533" s="12" t="inlineStr">
        <is>
          <t>LNG 10: unloading skid</t>
        </is>
      </c>
      <c r="I5533" s="12" t="inlineStr">
        <is>
          <t>Instrumentation</t>
        </is>
      </c>
      <c r="J5533" s="12" t="inlineStr">
        <is>
          <t>Instrumentation ITC / PLTC, IS, #18 shielded pairs, blue jacket</t>
        </is>
      </c>
      <c r="K5533" s="12" t="inlineStr">
        <is>
          <t>ITC|1 pr|16</t>
        </is>
      </c>
      <c r="L5533" s="12" t="inlineStr">
        <is>
          <t>1 pr</t>
        </is>
      </c>
      <c r="M5533" s="12" t="inlineStr">
        <is>
          <t>16</t>
        </is>
      </c>
      <c r="N5533" s="12" t="n">
        <v>12</v>
      </c>
      <c r="O5533" s="12" t="n">
        <v>1</v>
      </c>
      <c r="P5533" s="12" t="n"/>
      <c r="Q5533" s="12" t="n"/>
      <c r="R5533" s="12" t="n"/>
      <c r="S5533" s="12" t="inlineStr">
        <is>
          <t>Tray / conduit</t>
        </is>
      </c>
      <c r="T5533" s="16" t="n">
        <v>54</v>
      </c>
      <c r="U5533" s="16" t="n">
        <v>10</v>
      </c>
      <c r="V5533" s="16">
        <f>ROUNDUP((T5533+U5533+2*'Read Me'!$B$13)*(1+'Read Me'!$B$12),-1)</f>
        <v/>
      </c>
      <c r="W5533" s="16">
        <f>V5533*N5533*O5533</f>
        <v/>
      </c>
      <c r="X5533" s="12">
        <f>IF(LEFT(I5533,2)="MV",2*N5533*IF(L5533="1/C",O5533,1),0)</f>
        <v/>
      </c>
      <c r="Y5533" s="12">
        <f>IF(OR(LEFT(K5533,4)="LVAX",LEFT(K5533,6)="MV15AX",LEFT(K5533,4)="CTAX",LEFT(K5533,2)="W|"),2*N5533*O5533,0)</f>
        <v/>
      </c>
      <c r="Z5533" s="12" t="inlineStr">
        <is>
          <t>device-to-JB field wiring, one cable per device</t>
        </is>
      </c>
      <c r="AA5533" s="12">
        <f>N5533*O5533</f>
        <v/>
      </c>
    </row>
    <row r="5534">
      <c r="A5534" s="12" t="inlineStr">
        <is>
          <t>K-I-0096</t>
        </is>
      </c>
      <c r="B5534" s="12" t="inlineStr">
        <is>
          <t>K</t>
        </is>
      </c>
      <c r="C5534" s="12" t="inlineStr">
        <is>
          <t>Fuel supply (adjacent market)</t>
        </is>
      </c>
      <c r="D5534" s="12" t="inlineStr">
        <is>
          <t>Home run JB-LNG 10: unloading -AI01 to the control / marshalling room</t>
        </is>
      </c>
      <c r="E5534" s="12" t="inlineStr"/>
      <c r="F5534" s="12" t="inlineStr">
        <is>
          <t>LNG 17: LNG e-house (13.8 kV / 480 V)</t>
        </is>
      </c>
      <c r="G5534" s="12" t="inlineStr">
        <is>
          <t>JB-LNG 10: unloading -AI01</t>
        </is>
      </c>
      <c r="H5534" s="12" t="inlineStr">
        <is>
          <t>LNG 10: unloading skid</t>
        </is>
      </c>
      <c r="I5534" s="12" t="inlineStr">
        <is>
          <t>Instrumentation</t>
        </is>
      </c>
      <c r="J5534" s="12" t="inlineStr">
        <is>
          <t>Instrumentation ITC / PLTC, IS, #18 shielded pairs, blue jacket</t>
        </is>
      </c>
      <c r="K5534" s="12" t="inlineStr">
        <is>
          <t>ITC|24 pr|18</t>
        </is>
      </c>
      <c r="L5534" s="12" t="inlineStr">
        <is>
          <t>24 pr</t>
        </is>
      </c>
      <c r="M5534" s="12" t="inlineStr">
        <is>
          <t>18</t>
        </is>
      </c>
      <c r="N5534" s="12" t="n">
        <v>1</v>
      </c>
      <c r="O5534" s="12" t="n">
        <v>1</v>
      </c>
      <c r="P5534" s="12" t="n"/>
      <c r="Q5534" s="12" t="n"/>
      <c r="R5534" s="12" t="n"/>
      <c r="S5534" s="12" t="inlineStr">
        <is>
          <t>Duct bank</t>
        </is>
      </c>
      <c r="T5534" s="16" t="n">
        <v>237</v>
      </c>
      <c r="U5534" s="16" t="n">
        <v>32</v>
      </c>
      <c r="V5534" s="16">
        <f>ROUNDUP((T5534+U5534+2*'Read Me'!$B$13)*(1+'Read Me'!$B$12),-1)</f>
        <v/>
      </c>
      <c r="W5534" s="16">
        <f>V5534*N5534*O5534</f>
        <v/>
      </c>
      <c r="X5534" s="12">
        <f>IF(LEFT(I5534,2)="MV",2*N5534*IF(L5534="1/C",O5534,1),0)</f>
        <v/>
      </c>
      <c r="Y5534" s="12">
        <f>IF(OR(LEFT(K5534,4)="LVAX",LEFT(K5534,6)="MV15AX",LEFT(K5534,4)="CTAX",LEFT(K5534,2)="W|"),2*N5534*O5534,0)</f>
        <v/>
      </c>
      <c r="Z5534" s="12" t="inlineStr"/>
      <c r="AA5534" s="12">
        <f>N5534*O5534</f>
        <v/>
      </c>
    </row>
    <row r="5535">
      <c r="A5535" s="12" t="inlineStr">
        <is>
          <t>K-I-0097</t>
        </is>
      </c>
      <c r="B5535" s="12" t="inlineStr">
        <is>
          <t>K</t>
        </is>
      </c>
      <c r="C5535" s="12" t="inlineStr">
        <is>
          <t>Fuel supply (adjacent market)</t>
        </is>
      </c>
      <c r="D5535" s="12" t="inlineStr">
        <is>
          <t>Discrete device to JB JB-LNG 10: unloading -DI01: 12 x 1 pr (field cables)</t>
        </is>
      </c>
      <c r="E5535" s="12" t="inlineStr"/>
      <c r="F5535" s="12" t="inlineStr">
        <is>
          <t>LNG 10: unloading skid</t>
        </is>
      </c>
      <c r="G5535" s="12" t="inlineStr">
        <is>
          <t>JB-LNG 10: unloading -DI01</t>
        </is>
      </c>
      <c r="H5535" s="12" t="inlineStr">
        <is>
          <t>LNG 10: unloading skid</t>
        </is>
      </c>
      <c r="I5535" s="12" t="inlineStr">
        <is>
          <t>Instrumentation</t>
        </is>
      </c>
      <c r="J5535" s="12" t="inlineStr">
        <is>
          <t>Instrumentation ITC / PLTC, IS, #18 shielded pairs, blue jacket</t>
        </is>
      </c>
      <c r="K5535" s="12" t="inlineStr">
        <is>
          <t>ITC|1 pr|16</t>
        </is>
      </c>
      <c r="L5535" s="12" t="inlineStr">
        <is>
          <t>1 pr</t>
        </is>
      </c>
      <c r="M5535" s="12" t="inlineStr">
        <is>
          <t>16</t>
        </is>
      </c>
      <c r="N5535" s="12" t="n">
        <v>12</v>
      </c>
      <c r="O5535" s="12" t="n">
        <v>1</v>
      </c>
      <c r="P5535" s="12" t="n"/>
      <c r="Q5535" s="12" t="n"/>
      <c r="R5535" s="12" t="n"/>
      <c r="S5535" s="12" t="inlineStr">
        <is>
          <t>Tray / conduit</t>
        </is>
      </c>
      <c r="T5535" s="16" t="n">
        <v>54</v>
      </c>
      <c r="U5535" s="16" t="n">
        <v>10</v>
      </c>
      <c r="V5535" s="16">
        <f>ROUNDUP((T5535+U5535+2*'Read Me'!$B$13)*(1+'Read Me'!$B$12),-1)</f>
        <v/>
      </c>
      <c r="W5535" s="16">
        <f>V5535*N5535*O5535</f>
        <v/>
      </c>
      <c r="X5535" s="12">
        <f>IF(LEFT(I5535,2)="MV",2*N5535*IF(L5535="1/C",O5535,1),0)</f>
        <v/>
      </c>
      <c r="Y5535" s="12">
        <f>IF(OR(LEFT(K5535,4)="LVAX",LEFT(K5535,6)="MV15AX",LEFT(K5535,4)="CTAX",LEFT(K5535,2)="W|"),2*N5535*O5535,0)</f>
        <v/>
      </c>
      <c r="Z5535" s="12" t="inlineStr">
        <is>
          <t>device-to-JB field wiring, one cable per device</t>
        </is>
      </c>
      <c r="AA5535" s="12">
        <f>N5535*O5535</f>
        <v/>
      </c>
    </row>
    <row r="5536">
      <c r="A5536" s="12" t="inlineStr">
        <is>
          <t>K-I-0098</t>
        </is>
      </c>
      <c r="B5536" s="12" t="inlineStr">
        <is>
          <t>K</t>
        </is>
      </c>
      <c r="C5536" s="12" t="inlineStr">
        <is>
          <t>Fuel supply (adjacent market)</t>
        </is>
      </c>
      <c r="D5536" s="12" t="inlineStr">
        <is>
          <t>Home run JB-LNG 10: unloading -DI01 to the control / marshalling room</t>
        </is>
      </c>
      <c r="E5536" s="12" t="inlineStr"/>
      <c r="F5536" s="12" t="inlineStr">
        <is>
          <t>LNG 17: LNG e-house (13.8 kV / 480 V)</t>
        </is>
      </c>
      <c r="G5536" s="12" t="inlineStr">
        <is>
          <t>JB-LNG 10: unloading -DI01</t>
        </is>
      </c>
      <c r="H5536" s="12" t="inlineStr">
        <is>
          <t>LNG 10: unloading skid</t>
        </is>
      </c>
      <c r="I5536" s="12" t="inlineStr">
        <is>
          <t>Instrumentation</t>
        </is>
      </c>
      <c r="J5536" s="12" t="inlineStr">
        <is>
          <t>Instrumentation ITC / PLTC, IS, #18 shielded pairs, blue jacket</t>
        </is>
      </c>
      <c r="K5536" s="12" t="inlineStr">
        <is>
          <t>ITC|24 pr|18</t>
        </is>
      </c>
      <c r="L5536" s="12" t="inlineStr">
        <is>
          <t>24 pr</t>
        </is>
      </c>
      <c r="M5536" s="12" t="inlineStr">
        <is>
          <t>18</t>
        </is>
      </c>
      <c r="N5536" s="12" t="n">
        <v>1</v>
      </c>
      <c r="O5536" s="12" t="n">
        <v>1</v>
      </c>
      <c r="P5536" s="12" t="n"/>
      <c r="Q5536" s="12" t="n"/>
      <c r="R5536" s="12" t="n"/>
      <c r="S5536" s="12" t="inlineStr">
        <is>
          <t>Duct bank</t>
        </is>
      </c>
      <c r="T5536" s="16" t="n">
        <v>237</v>
      </c>
      <c r="U5536" s="16" t="n">
        <v>32</v>
      </c>
      <c r="V5536" s="16">
        <f>ROUNDUP((T5536+U5536+2*'Read Me'!$B$13)*(1+'Read Me'!$B$12),-1)</f>
        <v/>
      </c>
      <c r="W5536" s="16">
        <f>V5536*N5536*O5536</f>
        <v/>
      </c>
      <c r="X5536" s="12">
        <f>IF(LEFT(I5536,2)="MV",2*N5536*IF(L5536="1/C",O5536,1),0)</f>
        <v/>
      </c>
      <c r="Y5536" s="12">
        <f>IF(OR(LEFT(K5536,4)="LVAX",LEFT(K5536,6)="MV15AX",LEFT(K5536,4)="CTAX",LEFT(K5536,2)="W|"),2*N5536*O5536,0)</f>
        <v/>
      </c>
      <c r="Z5536" s="12" t="inlineStr"/>
      <c r="AA5536" s="12">
        <f>N5536*O5536</f>
        <v/>
      </c>
    </row>
    <row r="5537">
      <c r="A5537" s="12" t="inlineStr">
        <is>
          <t>K-I-0099</t>
        </is>
      </c>
      <c r="B5537" s="12" t="inlineStr">
        <is>
          <t>K</t>
        </is>
      </c>
      <c r="C5537" s="12" t="inlineStr">
        <is>
          <t>Fuel supply (adjacent market)</t>
        </is>
      </c>
      <c r="D5537" s="12" t="inlineStr">
        <is>
          <t>Analog instrument to JB JB-LNG-T1-AI01: 4 x 1 pr (field cables)</t>
        </is>
      </c>
      <c r="E5537" s="12" t="inlineStr">
        <is>
          <t>LNG-T1</t>
        </is>
      </c>
      <c r="F5537" s="12" t="inlineStr">
        <is>
          <t>LNG 11: tank 1, Chart HS 50000 (51,780 gal)</t>
        </is>
      </c>
      <c r="G5537" s="12" t="inlineStr">
        <is>
          <t>JB-LNG-T1-AI01</t>
        </is>
      </c>
      <c r="H5537" s="12" t="inlineStr">
        <is>
          <t>LNG 11: tank 1, Chart HS 50000 (51,780 gal)</t>
        </is>
      </c>
      <c r="I5537" s="12" t="inlineStr">
        <is>
          <t>Instrumentation</t>
        </is>
      </c>
      <c r="J5537" s="12" t="inlineStr">
        <is>
          <t>Instrumentation ITC / PLTC, IS, #18 shielded pairs, blue jacket</t>
        </is>
      </c>
      <c r="K5537" s="12" t="inlineStr">
        <is>
          <t>ITC|1 pr|16</t>
        </is>
      </c>
      <c r="L5537" s="12" t="inlineStr">
        <is>
          <t>1 pr</t>
        </is>
      </c>
      <c r="M5537" s="12" t="inlineStr">
        <is>
          <t>16</t>
        </is>
      </c>
      <c r="N5537" s="12" t="n">
        <v>4</v>
      </c>
      <c r="O5537" s="12" t="n">
        <v>1</v>
      </c>
      <c r="P5537" s="12" t="n"/>
      <c r="Q5537" s="12" t="n"/>
      <c r="R5537" s="12" t="n"/>
      <c r="S5537" s="12" t="inlineStr">
        <is>
          <t>Tray / conduit</t>
        </is>
      </c>
      <c r="T5537" s="16" t="n">
        <v>77</v>
      </c>
      <c r="U5537" s="16" t="n">
        <v>10</v>
      </c>
      <c r="V5537" s="16">
        <f>ROUNDUP((T5537+U5537+2*'Read Me'!$B$13)*(1+'Read Me'!$B$12),-1)</f>
        <v/>
      </c>
      <c r="W5537" s="16">
        <f>V5537*N5537*O5537</f>
        <v/>
      </c>
      <c r="X5537" s="12">
        <f>IF(LEFT(I5537,2)="MV",2*N5537*IF(L5537="1/C",O5537,1),0)</f>
        <v/>
      </c>
      <c r="Y5537" s="12">
        <f>IF(OR(LEFT(K5537,4)="LVAX",LEFT(K5537,6)="MV15AX",LEFT(K5537,4)="CTAX",LEFT(K5537,2)="W|"),2*N5537*O5537,0)</f>
        <v/>
      </c>
      <c r="Z5537" s="12" t="inlineStr">
        <is>
          <t>device-to-JB field wiring, one cable per device</t>
        </is>
      </c>
      <c r="AA5537" s="12">
        <f>N5537*O5537</f>
        <v/>
      </c>
    </row>
    <row r="5538">
      <c r="A5538" s="12" t="inlineStr">
        <is>
          <t>K-I-0100</t>
        </is>
      </c>
      <c r="B5538" s="12" t="inlineStr">
        <is>
          <t>K</t>
        </is>
      </c>
      <c r="C5538" s="12" t="inlineStr">
        <is>
          <t>Fuel supply (adjacent market)</t>
        </is>
      </c>
      <c r="D5538" s="12" t="inlineStr">
        <is>
          <t>Home run JB-LNG-T1-AI01 to the control / marshalling room</t>
        </is>
      </c>
      <c r="E5538" s="12" t="inlineStr"/>
      <c r="F5538" s="12" t="inlineStr">
        <is>
          <t>LNG 17: LNG e-house (13.8 kV / 480 V)</t>
        </is>
      </c>
      <c r="G5538" s="12" t="inlineStr">
        <is>
          <t>JB-LNG-T1-AI01</t>
        </is>
      </c>
      <c r="H5538" s="12" t="inlineStr">
        <is>
          <t>LNG 11: tank 1, Chart HS 50000 (51,780 gal)</t>
        </is>
      </c>
      <c r="I5538" s="12" t="inlineStr">
        <is>
          <t>Instrumentation</t>
        </is>
      </c>
      <c r="J5538" s="12" t="inlineStr">
        <is>
          <t>Instrumentation ITC / PLTC, IS, #18 shielded pairs, blue jacket</t>
        </is>
      </c>
      <c r="K5538" s="12" t="inlineStr">
        <is>
          <t>ITC|24 pr|18</t>
        </is>
      </c>
      <c r="L5538" s="12" t="inlineStr">
        <is>
          <t>24 pr</t>
        </is>
      </c>
      <c r="M5538" s="12" t="inlineStr">
        <is>
          <t>18</t>
        </is>
      </c>
      <c r="N5538" s="12" t="n">
        <v>1</v>
      </c>
      <c r="O5538" s="12" t="n">
        <v>1</v>
      </c>
      <c r="P5538" s="12" t="n"/>
      <c r="Q5538" s="12" t="n"/>
      <c r="R5538" s="12" t="n"/>
      <c r="S5538" s="12" t="inlineStr">
        <is>
          <t>Duct bank</t>
        </is>
      </c>
      <c r="T5538" s="16" t="n">
        <v>210</v>
      </c>
      <c r="U5538" s="16" t="n">
        <v>32</v>
      </c>
      <c r="V5538" s="16">
        <f>ROUNDUP((T5538+U5538+2*'Read Me'!$B$13)*(1+'Read Me'!$B$12),-1)</f>
        <v/>
      </c>
      <c r="W5538" s="16">
        <f>V5538*N5538*O5538</f>
        <v/>
      </c>
      <c r="X5538" s="12">
        <f>IF(LEFT(I5538,2)="MV",2*N5538*IF(L5538="1/C",O5538,1),0)</f>
        <v/>
      </c>
      <c r="Y5538" s="12">
        <f>IF(OR(LEFT(K5538,4)="LVAX",LEFT(K5538,6)="MV15AX",LEFT(K5538,4)="CTAX",LEFT(K5538,2)="W|"),2*N5538*O5538,0)</f>
        <v/>
      </c>
      <c r="Z5538" s="12" t="inlineStr"/>
      <c r="AA5538" s="12">
        <f>N5538*O5538</f>
        <v/>
      </c>
    </row>
    <row r="5539">
      <c r="A5539" s="12" t="inlineStr">
        <is>
          <t>K-I-0101</t>
        </is>
      </c>
      <c r="B5539" s="12" t="inlineStr">
        <is>
          <t>K</t>
        </is>
      </c>
      <c r="C5539" s="12" t="inlineStr">
        <is>
          <t>Fuel supply (adjacent market)</t>
        </is>
      </c>
      <c r="D5539" s="12" t="inlineStr">
        <is>
          <t>Discrete device to JB JB-LNG-T1-DI01: 4 x 1 pr (field cables)</t>
        </is>
      </c>
      <c r="E5539" s="12" t="inlineStr">
        <is>
          <t>LNG-T1</t>
        </is>
      </c>
      <c r="F5539" s="12" t="inlineStr">
        <is>
          <t>LNG 11: tank 1, Chart HS 50000 (51,780 gal)</t>
        </is>
      </c>
      <c r="G5539" s="12" t="inlineStr">
        <is>
          <t>JB-LNG-T1-DI01</t>
        </is>
      </c>
      <c r="H5539" s="12" t="inlineStr">
        <is>
          <t>LNG 11: tank 1, Chart HS 50000 (51,780 gal)</t>
        </is>
      </c>
      <c r="I5539" s="12" t="inlineStr">
        <is>
          <t>Instrumentation</t>
        </is>
      </c>
      <c r="J5539" s="12" t="inlineStr">
        <is>
          <t>Instrumentation ITC / PLTC, IS, #18 shielded pairs, blue jacket</t>
        </is>
      </c>
      <c r="K5539" s="12" t="inlineStr">
        <is>
          <t>ITC|1 pr|16</t>
        </is>
      </c>
      <c r="L5539" s="12" t="inlineStr">
        <is>
          <t>1 pr</t>
        </is>
      </c>
      <c r="M5539" s="12" t="inlineStr">
        <is>
          <t>16</t>
        </is>
      </c>
      <c r="N5539" s="12" t="n">
        <v>4</v>
      </c>
      <c r="O5539" s="12" t="n">
        <v>1</v>
      </c>
      <c r="P5539" s="12" t="n"/>
      <c r="Q5539" s="12" t="n"/>
      <c r="R5539" s="12" t="n"/>
      <c r="S5539" s="12" t="inlineStr">
        <is>
          <t>Tray / conduit</t>
        </is>
      </c>
      <c r="T5539" s="16" t="n">
        <v>77</v>
      </c>
      <c r="U5539" s="16" t="n">
        <v>10</v>
      </c>
      <c r="V5539" s="16">
        <f>ROUNDUP((T5539+U5539+2*'Read Me'!$B$13)*(1+'Read Me'!$B$12),-1)</f>
        <v/>
      </c>
      <c r="W5539" s="16">
        <f>V5539*N5539*O5539</f>
        <v/>
      </c>
      <c r="X5539" s="12">
        <f>IF(LEFT(I5539,2)="MV",2*N5539*IF(L5539="1/C",O5539,1),0)</f>
        <v/>
      </c>
      <c r="Y5539" s="12">
        <f>IF(OR(LEFT(K5539,4)="LVAX",LEFT(K5539,6)="MV15AX",LEFT(K5539,4)="CTAX",LEFT(K5539,2)="W|"),2*N5539*O5539,0)</f>
        <v/>
      </c>
      <c r="Z5539" s="12" t="inlineStr">
        <is>
          <t>device-to-JB field wiring, one cable per device</t>
        </is>
      </c>
      <c r="AA5539" s="12">
        <f>N5539*O5539</f>
        <v/>
      </c>
    </row>
    <row r="5540">
      <c r="A5540" s="12" t="inlineStr">
        <is>
          <t>K-I-0102</t>
        </is>
      </c>
      <c r="B5540" s="12" t="inlineStr">
        <is>
          <t>K</t>
        </is>
      </c>
      <c r="C5540" s="12" t="inlineStr">
        <is>
          <t>Fuel supply (adjacent market)</t>
        </is>
      </c>
      <c r="D5540" s="12" t="inlineStr">
        <is>
          <t>Home run JB-LNG-T1-DI01 to the control / marshalling room</t>
        </is>
      </c>
      <c r="E5540" s="12" t="inlineStr"/>
      <c r="F5540" s="12" t="inlineStr">
        <is>
          <t>LNG 17: LNG e-house (13.8 kV / 480 V)</t>
        </is>
      </c>
      <c r="G5540" s="12" t="inlineStr">
        <is>
          <t>JB-LNG-T1-DI01</t>
        </is>
      </c>
      <c r="H5540" s="12" t="inlineStr">
        <is>
          <t>LNG 11: tank 1, Chart HS 50000 (51,780 gal)</t>
        </is>
      </c>
      <c r="I5540" s="12" t="inlineStr">
        <is>
          <t>Instrumentation</t>
        </is>
      </c>
      <c r="J5540" s="12" t="inlineStr">
        <is>
          <t>Instrumentation ITC / PLTC, IS, #18 shielded pairs, blue jacket</t>
        </is>
      </c>
      <c r="K5540" s="12" t="inlineStr">
        <is>
          <t>ITC|24 pr|18</t>
        </is>
      </c>
      <c r="L5540" s="12" t="inlineStr">
        <is>
          <t>24 pr</t>
        </is>
      </c>
      <c r="M5540" s="12" t="inlineStr">
        <is>
          <t>18</t>
        </is>
      </c>
      <c r="N5540" s="12" t="n">
        <v>1</v>
      </c>
      <c r="O5540" s="12" t="n">
        <v>1</v>
      </c>
      <c r="P5540" s="12" t="n"/>
      <c r="Q5540" s="12" t="n"/>
      <c r="R5540" s="12" t="n"/>
      <c r="S5540" s="12" t="inlineStr">
        <is>
          <t>Duct bank</t>
        </is>
      </c>
      <c r="T5540" s="16" t="n">
        <v>210</v>
      </c>
      <c r="U5540" s="16" t="n">
        <v>32</v>
      </c>
      <c r="V5540" s="16">
        <f>ROUNDUP((T5540+U5540+2*'Read Me'!$B$13)*(1+'Read Me'!$B$12),-1)</f>
        <v/>
      </c>
      <c r="W5540" s="16">
        <f>V5540*N5540*O5540</f>
        <v/>
      </c>
      <c r="X5540" s="12">
        <f>IF(LEFT(I5540,2)="MV",2*N5540*IF(L5540="1/C",O5540,1),0)</f>
        <v/>
      </c>
      <c r="Y5540" s="12">
        <f>IF(OR(LEFT(K5540,4)="LVAX",LEFT(K5540,6)="MV15AX",LEFT(K5540,4)="CTAX",LEFT(K5540,2)="W|"),2*N5540*O5540,0)</f>
        <v/>
      </c>
      <c r="Z5540" s="12" t="inlineStr"/>
      <c r="AA5540" s="12">
        <f>N5540*O5540</f>
        <v/>
      </c>
    </row>
    <row r="5541">
      <c r="A5541" s="12" t="inlineStr">
        <is>
          <t>K-I-0103</t>
        </is>
      </c>
      <c r="B5541" s="12" t="inlineStr">
        <is>
          <t>K</t>
        </is>
      </c>
      <c r="C5541" s="12" t="inlineStr">
        <is>
          <t>Fuel supply (adjacent market)</t>
        </is>
      </c>
      <c r="D5541" s="12" t="inlineStr">
        <is>
          <t>Analog instrument to JB JB-LNG-T2-AI01: 4 x 1 pr (field cables)</t>
        </is>
      </c>
      <c r="E5541" s="12" t="inlineStr">
        <is>
          <t>LNG-T2</t>
        </is>
      </c>
      <c r="F5541" s="12" t="inlineStr">
        <is>
          <t>LNG 11: tank 2, Chart HS 50000 (51,780 gal)</t>
        </is>
      </c>
      <c r="G5541" s="12" t="inlineStr">
        <is>
          <t>JB-LNG-T2-AI01</t>
        </is>
      </c>
      <c r="H5541" s="12" t="inlineStr">
        <is>
          <t>LNG 11: tank 2, Chart HS 50000 (51,780 gal)</t>
        </is>
      </c>
      <c r="I5541" s="12" t="inlineStr">
        <is>
          <t>Instrumentation</t>
        </is>
      </c>
      <c r="J5541" s="12" t="inlineStr">
        <is>
          <t>Instrumentation ITC / PLTC, IS, #18 shielded pairs, blue jacket</t>
        </is>
      </c>
      <c r="K5541" s="12" t="inlineStr">
        <is>
          <t>ITC|1 pr|16</t>
        </is>
      </c>
      <c r="L5541" s="12" t="inlineStr">
        <is>
          <t>1 pr</t>
        </is>
      </c>
      <c r="M5541" s="12" t="inlineStr">
        <is>
          <t>16</t>
        </is>
      </c>
      <c r="N5541" s="12" t="n">
        <v>4</v>
      </c>
      <c r="O5541" s="12" t="n">
        <v>1</v>
      </c>
      <c r="P5541" s="12" t="n"/>
      <c r="Q5541" s="12" t="n"/>
      <c r="R5541" s="12" t="n"/>
      <c r="S5541" s="12" t="inlineStr">
        <is>
          <t>Tray / conduit</t>
        </is>
      </c>
      <c r="T5541" s="16" t="n">
        <v>77</v>
      </c>
      <c r="U5541" s="16" t="n">
        <v>10</v>
      </c>
      <c r="V5541" s="16">
        <f>ROUNDUP((T5541+U5541+2*'Read Me'!$B$13)*(1+'Read Me'!$B$12),-1)</f>
        <v/>
      </c>
      <c r="W5541" s="16">
        <f>V5541*N5541*O5541</f>
        <v/>
      </c>
      <c r="X5541" s="12">
        <f>IF(LEFT(I5541,2)="MV",2*N5541*IF(L5541="1/C",O5541,1),0)</f>
        <v/>
      </c>
      <c r="Y5541" s="12">
        <f>IF(OR(LEFT(K5541,4)="LVAX",LEFT(K5541,6)="MV15AX",LEFT(K5541,4)="CTAX",LEFT(K5541,2)="W|"),2*N5541*O5541,0)</f>
        <v/>
      </c>
      <c r="Z5541" s="12" t="inlineStr">
        <is>
          <t>device-to-JB field wiring, one cable per device</t>
        </is>
      </c>
      <c r="AA5541" s="12">
        <f>N5541*O5541</f>
        <v/>
      </c>
    </row>
    <row r="5542">
      <c r="A5542" s="12" t="inlineStr">
        <is>
          <t>K-I-0104</t>
        </is>
      </c>
      <c r="B5542" s="12" t="inlineStr">
        <is>
          <t>K</t>
        </is>
      </c>
      <c r="C5542" s="12" t="inlineStr">
        <is>
          <t>Fuel supply (adjacent market)</t>
        </is>
      </c>
      <c r="D5542" s="12" t="inlineStr">
        <is>
          <t>Home run JB-LNG-T2-AI01 to the control / marshalling room</t>
        </is>
      </c>
      <c r="E5542" s="12" t="inlineStr"/>
      <c r="F5542" s="12" t="inlineStr">
        <is>
          <t>LNG 17: LNG e-house (13.8 kV / 480 V)</t>
        </is>
      </c>
      <c r="G5542" s="12" t="inlineStr">
        <is>
          <t>JB-LNG-T2-AI01</t>
        </is>
      </c>
      <c r="H5542" s="12" t="inlineStr">
        <is>
          <t>LNG 11: tank 2, Chart HS 50000 (51,780 gal)</t>
        </is>
      </c>
      <c r="I5542" s="12" t="inlineStr">
        <is>
          <t>Instrumentation</t>
        </is>
      </c>
      <c r="J5542" s="12" t="inlineStr">
        <is>
          <t>Instrumentation ITC / PLTC, IS, #18 shielded pairs, blue jacket</t>
        </is>
      </c>
      <c r="K5542" s="12" t="inlineStr">
        <is>
          <t>ITC|24 pr|18</t>
        </is>
      </c>
      <c r="L5542" s="12" t="inlineStr">
        <is>
          <t>24 pr</t>
        </is>
      </c>
      <c r="M5542" s="12" t="inlineStr">
        <is>
          <t>18</t>
        </is>
      </c>
      <c r="N5542" s="12" t="n">
        <v>1</v>
      </c>
      <c r="O5542" s="12" t="n">
        <v>1</v>
      </c>
      <c r="P5542" s="12" t="n"/>
      <c r="Q5542" s="12" t="n"/>
      <c r="R5542" s="12" t="n"/>
      <c r="S5542" s="12" t="inlineStr">
        <is>
          <t>Duct bank</t>
        </is>
      </c>
      <c r="T5542" s="16" t="n">
        <v>230</v>
      </c>
      <c r="U5542" s="16" t="n">
        <v>32</v>
      </c>
      <c r="V5542" s="16">
        <f>ROUNDUP((T5542+U5542+2*'Read Me'!$B$13)*(1+'Read Me'!$B$12),-1)</f>
        <v/>
      </c>
      <c r="W5542" s="16">
        <f>V5542*N5542*O5542</f>
        <v/>
      </c>
      <c r="X5542" s="12">
        <f>IF(LEFT(I5542,2)="MV",2*N5542*IF(L5542="1/C",O5542,1),0)</f>
        <v/>
      </c>
      <c r="Y5542" s="12">
        <f>IF(OR(LEFT(K5542,4)="LVAX",LEFT(K5542,6)="MV15AX",LEFT(K5542,4)="CTAX",LEFT(K5542,2)="W|"),2*N5542*O5542,0)</f>
        <v/>
      </c>
      <c r="Z5542" s="12" t="inlineStr"/>
      <c r="AA5542" s="12">
        <f>N5542*O5542</f>
        <v/>
      </c>
    </row>
    <row r="5543">
      <c r="A5543" s="12" t="inlineStr">
        <is>
          <t>K-I-0105</t>
        </is>
      </c>
      <c r="B5543" s="12" t="inlineStr">
        <is>
          <t>K</t>
        </is>
      </c>
      <c r="C5543" s="12" t="inlineStr">
        <is>
          <t>Fuel supply (adjacent market)</t>
        </is>
      </c>
      <c r="D5543" s="12" t="inlineStr">
        <is>
          <t>Discrete device to JB JB-LNG-T2-DI01: 4 x 1 pr (field cables)</t>
        </is>
      </c>
      <c r="E5543" s="12" t="inlineStr">
        <is>
          <t>LNG-T2</t>
        </is>
      </c>
      <c r="F5543" s="12" t="inlineStr">
        <is>
          <t>LNG 11: tank 2, Chart HS 50000 (51,780 gal)</t>
        </is>
      </c>
      <c r="G5543" s="12" t="inlineStr">
        <is>
          <t>JB-LNG-T2-DI01</t>
        </is>
      </c>
      <c r="H5543" s="12" t="inlineStr">
        <is>
          <t>LNG 11: tank 2, Chart HS 50000 (51,780 gal)</t>
        </is>
      </c>
      <c r="I5543" s="12" t="inlineStr">
        <is>
          <t>Instrumentation</t>
        </is>
      </c>
      <c r="J5543" s="12" t="inlineStr">
        <is>
          <t>Instrumentation ITC / PLTC, IS, #18 shielded pairs, blue jacket</t>
        </is>
      </c>
      <c r="K5543" s="12" t="inlineStr">
        <is>
          <t>ITC|1 pr|16</t>
        </is>
      </c>
      <c r="L5543" s="12" t="inlineStr">
        <is>
          <t>1 pr</t>
        </is>
      </c>
      <c r="M5543" s="12" t="inlineStr">
        <is>
          <t>16</t>
        </is>
      </c>
      <c r="N5543" s="12" t="n">
        <v>4</v>
      </c>
      <c r="O5543" s="12" t="n">
        <v>1</v>
      </c>
      <c r="P5543" s="12" t="n"/>
      <c r="Q5543" s="12" t="n"/>
      <c r="R5543" s="12" t="n"/>
      <c r="S5543" s="12" t="inlineStr">
        <is>
          <t>Tray / conduit</t>
        </is>
      </c>
      <c r="T5543" s="16" t="n">
        <v>77</v>
      </c>
      <c r="U5543" s="16" t="n">
        <v>10</v>
      </c>
      <c r="V5543" s="16">
        <f>ROUNDUP((T5543+U5543+2*'Read Me'!$B$13)*(1+'Read Me'!$B$12),-1)</f>
        <v/>
      </c>
      <c r="W5543" s="16">
        <f>V5543*N5543*O5543</f>
        <v/>
      </c>
      <c r="X5543" s="12">
        <f>IF(LEFT(I5543,2)="MV",2*N5543*IF(L5543="1/C",O5543,1),0)</f>
        <v/>
      </c>
      <c r="Y5543" s="12">
        <f>IF(OR(LEFT(K5543,4)="LVAX",LEFT(K5543,6)="MV15AX",LEFT(K5543,4)="CTAX",LEFT(K5543,2)="W|"),2*N5543*O5543,0)</f>
        <v/>
      </c>
      <c r="Z5543" s="12" t="inlineStr">
        <is>
          <t>device-to-JB field wiring, one cable per device</t>
        </is>
      </c>
      <c r="AA5543" s="12">
        <f>N5543*O5543</f>
        <v/>
      </c>
    </row>
    <row r="5544">
      <c r="A5544" s="12" t="inlineStr">
        <is>
          <t>K-I-0106</t>
        </is>
      </c>
      <c r="B5544" s="12" t="inlineStr">
        <is>
          <t>K</t>
        </is>
      </c>
      <c r="C5544" s="12" t="inlineStr">
        <is>
          <t>Fuel supply (adjacent market)</t>
        </is>
      </c>
      <c r="D5544" s="12" t="inlineStr">
        <is>
          <t>Home run JB-LNG-T2-DI01 to the control / marshalling room</t>
        </is>
      </c>
      <c r="E5544" s="12" t="inlineStr"/>
      <c r="F5544" s="12" t="inlineStr">
        <is>
          <t>LNG 17: LNG e-house (13.8 kV / 480 V)</t>
        </is>
      </c>
      <c r="G5544" s="12" t="inlineStr">
        <is>
          <t>JB-LNG-T2-DI01</t>
        </is>
      </c>
      <c r="H5544" s="12" t="inlineStr">
        <is>
          <t>LNG 11: tank 2, Chart HS 50000 (51,780 gal)</t>
        </is>
      </c>
      <c r="I5544" s="12" t="inlineStr">
        <is>
          <t>Instrumentation</t>
        </is>
      </c>
      <c r="J5544" s="12" t="inlineStr">
        <is>
          <t>Instrumentation ITC / PLTC, IS, #18 shielded pairs, blue jacket</t>
        </is>
      </c>
      <c r="K5544" s="12" t="inlineStr">
        <is>
          <t>ITC|24 pr|18</t>
        </is>
      </c>
      <c r="L5544" s="12" t="inlineStr">
        <is>
          <t>24 pr</t>
        </is>
      </c>
      <c r="M5544" s="12" t="inlineStr">
        <is>
          <t>18</t>
        </is>
      </c>
      <c r="N5544" s="12" t="n">
        <v>1</v>
      </c>
      <c r="O5544" s="12" t="n">
        <v>1</v>
      </c>
      <c r="P5544" s="12" t="n"/>
      <c r="Q5544" s="12" t="n"/>
      <c r="R5544" s="12" t="n"/>
      <c r="S5544" s="12" t="inlineStr">
        <is>
          <t>Duct bank</t>
        </is>
      </c>
      <c r="T5544" s="16" t="n">
        <v>230</v>
      </c>
      <c r="U5544" s="16" t="n">
        <v>32</v>
      </c>
      <c r="V5544" s="16">
        <f>ROUNDUP((T5544+U5544+2*'Read Me'!$B$13)*(1+'Read Me'!$B$12),-1)</f>
        <v/>
      </c>
      <c r="W5544" s="16">
        <f>V5544*N5544*O5544</f>
        <v/>
      </c>
      <c r="X5544" s="12">
        <f>IF(LEFT(I5544,2)="MV",2*N5544*IF(L5544="1/C",O5544,1),0)</f>
        <v/>
      </c>
      <c r="Y5544" s="12">
        <f>IF(OR(LEFT(K5544,4)="LVAX",LEFT(K5544,6)="MV15AX",LEFT(K5544,4)="CTAX",LEFT(K5544,2)="W|"),2*N5544*O5544,0)</f>
        <v/>
      </c>
      <c r="Z5544" s="12" t="inlineStr"/>
      <c r="AA5544" s="12">
        <f>N5544*O5544</f>
        <v/>
      </c>
    </row>
    <row r="5545">
      <c r="A5545" s="12" t="inlineStr">
        <is>
          <t>K-I-0107</t>
        </is>
      </c>
      <c r="B5545" s="12" t="inlineStr">
        <is>
          <t>K</t>
        </is>
      </c>
      <c r="C5545" s="12" t="inlineStr">
        <is>
          <t>Fuel supply (adjacent market)</t>
        </is>
      </c>
      <c r="D5545" s="12" t="inlineStr">
        <is>
          <t>Analog instrument to JB JB-LNG-T3-AI01: 4 x 1 pr (field cables)</t>
        </is>
      </c>
      <c r="E5545" s="12" t="inlineStr">
        <is>
          <t>LNG-T3</t>
        </is>
      </c>
      <c r="F5545" s="12" t="inlineStr">
        <is>
          <t>LNG 11: tank 3, Chart HS 50000 (51,780 gal)</t>
        </is>
      </c>
      <c r="G5545" s="12" t="inlineStr">
        <is>
          <t>JB-LNG-T3-AI01</t>
        </is>
      </c>
      <c r="H5545" s="12" t="inlineStr">
        <is>
          <t>LNG 11: tank 3, Chart HS 50000 (51,780 gal)</t>
        </is>
      </c>
      <c r="I5545" s="12" t="inlineStr">
        <is>
          <t>Instrumentation</t>
        </is>
      </c>
      <c r="J5545" s="12" t="inlineStr">
        <is>
          <t>Instrumentation ITC / PLTC, IS, #18 shielded pairs, blue jacket</t>
        </is>
      </c>
      <c r="K5545" s="12" t="inlineStr">
        <is>
          <t>ITC|1 pr|16</t>
        </is>
      </c>
      <c r="L5545" s="12" t="inlineStr">
        <is>
          <t>1 pr</t>
        </is>
      </c>
      <c r="M5545" s="12" t="inlineStr">
        <is>
          <t>16</t>
        </is>
      </c>
      <c r="N5545" s="12" t="n">
        <v>4</v>
      </c>
      <c r="O5545" s="12" t="n">
        <v>1</v>
      </c>
      <c r="P5545" s="12" t="n"/>
      <c r="Q5545" s="12" t="n"/>
      <c r="R5545" s="12" t="n"/>
      <c r="S5545" s="12" t="inlineStr">
        <is>
          <t>Tray / conduit</t>
        </is>
      </c>
      <c r="T5545" s="16" t="n">
        <v>77</v>
      </c>
      <c r="U5545" s="16" t="n">
        <v>10</v>
      </c>
      <c r="V5545" s="16">
        <f>ROUNDUP((T5545+U5545+2*'Read Me'!$B$13)*(1+'Read Me'!$B$12),-1)</f>
        <v/>
      </c>
      <c r="W5545" s="16">
        <f>V5545*N5545*O5545</f>
        <v/>
      </c>
      <c r="X5545" s="12">
        <f>IF(LEFT(I5545,2)="MV",2*N5545*IF(L5545="1/C",O5545,1),0)</f>
        <v/>
      </c>
      <c r="Y5545" s="12">
        <f>IF(OR(LEFT(K5545,4)="LVAX",LEFT(K5545,6)="MV15AX",LEFT(K5545,4)="CTAX",LEFT(K5545,2)="W|"),2*N5545*O5545,0)</f>
        <v/>
      </c>
      <c r="Z5545" s="12" t="inlineStr">
        <is>
          <t>device-to-JB field wiring, one cable per device</t>
        </is>
      </c>
      <c r="AA5545" s="12">
        <f>N5545*O5545</f>
        <v/>
      </c>
    </row>
    <row r="5546">
      <c r="A5546" s="12" t="inlineStr">
        <is>
          <t>K-I-0108</t>
        </is>
      </c>
      <c r="B5546" s="12" t="inlineStr">
        <is>
          <t>K</t>
        </is>
      </c>
      <c r="C5546" s="12" t="inlineStr">
        <is>
          <t>Fuel supply (adjacent market)</t>
        </is>
      </c>
      <c r="D5546" s="12" t="inlineStr">
        <is>
          <t>Home run JB-LNG-T3-AI01 to the control / marshalling room</t>
        </is>
      </c>
      <c r="E5546" s="12" t="inlineStr"/>
      <c r="F5546" s="12" t="inlineStr">
        <is>
          <t>LNG 17: LNG e-house (13.8 kV / 480 V)</t>
        </is>
      </c>
      <c r="G5546" s="12" t="inlineStr">
        <is>
          <t>JB-LNG-T3-AI01</t>
        </is>
      </c>
      <c r="H5546" s="12" t="inlineStr">
        <is>
          <t>LNG 11: tank 3, Chart HS 50000 (51,780 gal)</t>
        </is>
      </c>
      <c r="I5546" s="12" t="inlineStr">
        <is>
          <t>Instrumentation</t>
        </is>
      </c>
      <c r="J5546" s="12" t="inlineStr">
        <is>
          <t>Instrumentation ITC / PLTC, IS, #18 shielded pairs, blue jacket</t>
        </is>
      </c>
      <c r="K5546" s="12" t="inlineStr">
        <is>
          <t>ITC|24 pr|18</t>
        </is>
      </c>
      <c r="L5546" s="12" t="inlineStr">
        <is>
          <t>24 pr</t>
        </is>
      </c>
      <c r="M5546" s="12" t="inlineStr">
        <is>
          <t>18</t>
        </is>
      </c>
      <c r="N5546" s="12" t="n">
        <v>1</v>
      </c>
      <c r="O5546" s="12" t="n">
        <v>1</v>
      </c>
      <c r="P5546" s="12" t="n"/>
      <c r="Q5546" s="12" t="n"/>
      <c r="R5546" s="12" t="n"/>
      <c r="S5546" s="12" t="inlineStr">
        <is>
          <t>Duct bank</t>
        </is>
      </c>
      <c r="T5546" s="16" t="n">
        <v>250</v>
      </c>
      <c r="U5546" s="16" t="n">
        <v>32</v>
      </c>
      <c r="V5546" s="16">
        <f>ROUNDUP((T5546+U5546+2*'Read Me'!$B$13)*(1+'Read Me'!$B$12),-1)</f>
        <v/>
      </c>
      <c r="W5546" s="16">
        <f>V5546*N5546*O5546</f>
        <v/>
      </c>
      <c r="X5546" s="12">
        <f>IF(LEFT(I5546,2)="MV",2*N5546*IF(L5546="1/C",O5546,1),0)</f>
        <v/>
      </c>
      <c r="Y5546" s="12">
        <f>IF(OR(LEFT(K5546,4)="LVAX",LEFT(K5546,6)="MV15AX",LEFT(K5546,4)="CTAX",LEFT(K5546,2)="W|"),2*N5546*O5546,0)</f>
        <v/>
      </c>
      <c r="Z5546" s="12" t="inlineStr"/>
      <c r="AA5546" s="12">
        <f>N5546*O5546</f>
        <v/>
      </c>
    </row>
    <row r="5547">
      <c r="A5547" s="12" t="inlineStr">
        <is>
          <t>K-I-0109</t>
        </is>
      </c>
      <c r="B5547" s="12" t="inlineStr">
        <is>
          <t>K</t>
        </is>
      </c>
      <c r="C5547" s="12" t="inlineStr">
        <is>
          <t>Fuel supply (adjacent market)</t>
        </is>
      </c>
      <c r="D5547" s="12" t="inlineStr">
        <is>
          <t>Discrete device to JB JB-LNG-T3-DI01: 4 x 1 pr (field cables)</t>
        </is>
      </c>
      <c r="E5547" s="12" t="inlineStr">
        <is>
          <t>LNG-T3</t>
        </is>
      </c>
      <c r="F5547" s="12" t="inlineStr">
        <is>
          <t>LNG 11: tank 3, Chart HS 50000 (51,780 gal)</t>
        </is>
      </c>
      <c r="G5547" s="12" t="inlineStr">
        <is>
          <t>JB-LNG-T3-DI01</t>
        </is>
      </c>
      <c r="H5547" s="12" t="inlineStr">
        <is>
          <t>LNG 11: tank 3, Chart HS 50000 (51,780 gal)</t>
        </is>
      </c>
      <c r="I5547" s="12" t="inlineStr">
        <is>
          <t>Instrumentation</t>
        </is>
      </c>
      <c r="J5547" s="12" t="inlineStr">
        <is>
          <t>Instrumentation ITC / PLTC, IS, #18 shielded pairs, blue jacket</t>
        </is>
      </c>
      <c r="K5547" s="12" t="inlineStr">
        <is>
          <t>ITC|1 pr|16</t>
        </is>
      </c>
      <c r="L5547" s="12" t="inlineStr">
        <is>
          <t>1 pr</t>
        </is>
      </c>
      <c r="M5547" s="12" t="inlineStr">
        <is>
          <t>16</t>
        </is>
      </c>
      <c r="N5547" s="12" t="n">
        <v>4</v>
      </c>
      <c r="O5547" s="12" t="n">
        <v>1</v>
      </c>
      <c r="P5547" s="12" t="n"/>
      <c r="Q5547" s="12" t="n"/>
      <c r="R5547" s="12" t="n"/>
      <c r="S5547" s="12" t="inlineStr">
        <is>
          <t>Tray / conduit</t>
        </is>
      </c>
      <c r="T5547" s="16" t="n">
        <v>77</v>
      </c>
      <c r="U5547" s="16" t="n">
        <v>10</v>
      </c>
      <c r="V5547" s="16">
        <f>ROUNDUP((T5547+U5547+2*'Read Me'!$B$13)*(1+'Read Me'!$B$12),-1)</f>
        <v/>
      </c>
      <c r="W5547" s="16">
        <f>V5547*N5547*O5547</f>
        <v/>
      </c>
      <c r="X5547" s="12">
        <f>IF(LEFT(I5547,2)="MV",2*N5547*IF(L5547="1/C",O5547,1),0)</f>
        <v/>
      </c>
      <c r="Y5547" s="12">
        <f>IF(OR(LEFT(K5547,4)="LVAX",LEFT(K5547,6)="MV15AX",LEFT(K5547,4)="CTAX",LEFT(K5547,2)="W|"),2*N5547*O5547,0)</f>
        <v/>
      </c>
      <c r="Z5547" s="12" t="inlineStr">
        <is>
          <t>device-to-JB field wiring, one cable per device</t>
        </is>
      </c>
      <c r="AA5547" s="12">
        <f>N5547*O5547</f>
        <v/>
      </c>
    </row>
    <row r="5548">
      <c r="A5548" s="12" t="inlineStr">
        <is>
          <t>K-I-0110</t>
        </is>
      </c>
      <c r="B5548" s="12" t="inlineStr">
        <is>
          <t>K</t>
        </is>
      </c>
      <c r="C5548" s="12" t="inlineStr">
        <is>
          <t>Fuel supply (adjacent market)</t>
        </is>
      </c>
      <c r="D5548" s="12" t="inlineStr">
        <is>
          <t>Home run JB-LNG-T3-DI01 to the control / marshalling room</t>
        </is>
      </c>
      <c r="E5548" s="12" t="inlineStr"/>
      <c r="F5548" s="12" t="inlineStr">
        <is>
          <t>LNG 17: LNG e-house (13.8 kV / 480 V)</t>
        </is>
      </c>
      <c r="G5548" s="12" t="inlineStr">
        <is>
          <t>JB-LNG-T3-DI01</t>
        </is>
      </c>
      <c r="H5548" s="12" t="inlineStr">
        <is>
          <t>LNG 11: tank 3, Chart HS 50000 (51,780 gal)</t>
        </is>
      </c>
      <c r="I5548" s="12" t="inlineStr">
        <is>
          <t>Instrumentation</t>
        </is>
      </c>
      <c r="J5548" s="12" t="inlineStr">
        <is>
          <t>Instrumentation ITC / PLTC, IS, #18 shielded pairs, blue jacket</t>
        </is>
      </c>
      <c r="K5548" s="12" t="inlineStr">
        <is>
          <t>ITC|24 pr|18</t>
        </is>
      </c>
      <c r="L5548" s="12" t="inlineStr">
        <is>
          <t>24 pr</t>
        </is>
      </c>
      <c r="M5548" s="12" t="inlineStr">
        <is>
          <t>18</t>
        </is>
      </c>
      <c r="N5548" s="12" t="n">
        <v>1</v>
      </c>
      <c r="O5548" s="12" t="n">
        <v>1</v>
      </c>
      <c r="P5548" s="12" t="n"/>
      <c r="Q5548" s="12" t="n"/>
      <c r="R5548" s="12" t="n"/>
      <c r="S5548" s="12" t="inlineStr">
        <is>
          <t>Duct bank</t>
        </is>
      </c>
      <c r="T5548" s="16" t="n">
        <v>250</v>
      </c>
      <c r="U5548" s="16" t="n">
        <v>32</v>
      </c>
      <c r="V5548" s="16">
        <f>ROUNDUP((T5548+U5548+2*'Read Me'!$B$13)*(1+'Read Me'!$B$12),-1)</f>
        <v/>
      </c>
      <c r="W5548" s="16">
        <f>V5548*N5548*O5548</f>
        <v/>
      </c>
      <c r="X5548" s="12">
        <f>IF(LEFT(I5548,2)="MV",2*N5548*IF(L5548="1/C",O5548,1),0)</f>
        <v/>
      </c>
      <c r="Y5548" s="12">
        <f>IF(OR(LEFT(K5548,4)="LVAX",LEFT(K5548,6)="MV15AX",LEFT(K5548,4)="CTAX",LEFT(K5548,2)="W|"),2*N5548*O5548,0)</f>
        <v/>
      </c>
      <c r="Z5548" s="12" t="inlineStr"/>
      <c r="AA5548" s="12">
        <f>N5548*O5548</f>
        <v/>
      </c>
    </row>
    <row r="5549">
      <c r="A5549" s="12" t="inlineStr">
        <is>
          <t>K-I-0111</t>
        </is>
      </c>
      <c r="B5549" s="12" t="inlineStr">
        <is>
          <t>K</t>
        </is>
      </c>
      <c r="C5549" s="12" t="inlineStr">
        <is>
          <t>Fuel supply (adjacent market)</t>
        </is>
      </c>
      <c r="D5549" s="12" t="inlineStr">
        <is>
          <t>Analog instrument to JB JB-LNG-T4-AI01: 4 x 1 pr (field cables)</t>
        </is>
      </c>
      <c r="E5549" s="12" t="inlineStr">
        <is>
          <t>LNG-T4</t>
        </is>
      </c>
      <c r="F5549" s="12" t="inlineStr">
        <is>
          <t>LNG 11: tank 4, Chart HS 50000 (51,780 gal)</t>
        </is>
      </c>
      <c r="G5549" s="12" t="inlineStr">
        <is>
          <t>JB-LNG-T4-AI01</t>
        </is>
      </c>
      <c r="H5549" s="12" t="inlineStr">
        <is>
          <t>LNG 11: tank 4, Chart HS 50000 (51,780 gal)</t>
        </is>
      </c>
      <c r="I5549" s="12" t="inlineStr">
        <is>
          <t>Instrumentation</t>
        </is>
      </c>
      <c r="J5549" s="12" t="inlineStr">
        <is>
          <t>Instrumentation ITC / PLTC, IS, #18 shielded pairs, blue jacket</t>
        </is>
      </c>
      <c r="K5549" s="12" t="inlineStr">
        <is>
          <t>ITC|1 pr|16</t>
        </is>
      </c>
      <c r="L5549" s="12" t="inlineStr">
        <is>
          <t>1 pr</t>
        </is>
      </c>
      <c r="M5549" s="12" t="inlineStr">
        <is>
          <t>16</t>
        </is>
      </c>
      <c r="N5549" s="12" t="n">
        <v>4</v>
      </c>
      <c r="O5549" s="12" t="n">
        <v>1</v>
      </c>
      <c r="P5549" s="12" t="n"/>
      <c r="Q5549" s="12" t="n"/>
      <c r="R5549" s="12" t="n"/>
      <c r="S5549" s="12" t="inlineStr">
        <is>
          <t>Tray / conduit</t>
        </is>
      </c>
      <c r="T5549" s="16" t="n">
        <v>77</v>
      </c>
      <c r="U5549" s="16" t="n">
        <v>10</v>
      </c>
      <c r="V5549" s="16">
        <f>ROUNDUP((T5549+U5549+2*'Read Me'!$B$13)*(1+'Read Me'!$B$12),-1)</f>
        <v/>
      </c>
      <c r="W5549" s="16">
        <f>V5549*N5549*O5549</f>
        <v/>
      </c>
      <c r="X5549" s="12">
        <f>IF(LEFT(I5549,2)="MV",2*N5549*IF(L5549="1/C",O5549,1),0)</f>
        <v/>
      </c>
      <c r="Y5549" s="12">
        <f>IF(OR(LEFT(K5549,4)="LVAX",LEFT(K5549,6)="MV15AX",LEFT(K5549,4)="CTAX",LEFT(K5549,2)="W|"),2*N5549*O5549,0)</f>
        <v/>
      </c>
      <c r="Z5549" s="12" t="inlineStr">
        <is>
          <t>device-to-JB field wiring, one cable per device</t>
        </is>
      </c>
      <c r="AA5549" s="12">
        <f>N5549*O5549</f>
        <v/>
      </c>
    </row>
    <row r="5550">
      <c r="A5550" s="12" t="inlineStr">
        <is>
          <t>K-I-0112</t>
        </is>
      </c>
      <c r="B5550" s="12" t="inlineStr">
        <is>
          <t>K</t>
        </is>
      </c>
      <c r="C5550" s="12" t="inlineStr">
        <is>
          <t>Fuel supply (adjacent market)</t>
        </is>
      </c>
      <c r="D5550" s="12" t="inlineStr">
        <is>
          <t>Home run JB-LNG-T4-AI01 to the control / marshalling room</t>
        </is>
      </c>
      <c r="E5550" s="12" t="inlineStr"/>
      <c r="F5550" s="12" t="inlineStr">
        <is>
          <t>LNG 17: LNG e-house (13.8 kV / 480 V)</t>
        </is>
      </c>
      <c r="G5550" s="12" t="inlineStr">
        <is>
          <t>JB-LNG-T4-AI01</t>
        </is>
      </c>
      <c r="H5550" s="12" t="inlineStr">
        <is>
          <t>LNG 11: tank 4, Chart HS 50000 (51,780 gal)</t>
        </is>
      </c>
      <c r="I5550" s="12" t="inlineStr">
        <is>
          <t>Instrumentation</t>
        </is>
      </c>
      <c r="J5550" s="12" t="inlineStr">
        <is>
          <t>Instrumentation ITC / PLTC, IS, #18 shielded pairs, blue jacket</t>
        </is>
      </c>
      <c r="K5550" s="12" t="inlineStr">
        <is>
          <t>ITC|24 pr|18</t>
        </is>
      </c>
      <c r="L5550" s="12" t="inlineStr">
        <is>
          <t>24 pr</t>
        </is>
      </c>
      <c r="M5550" s="12" t="inlineStr">
        <is>
          <t>18</t>
        </is>
      </c>
      <c r="N5550" s="12" t="n">
        <v>1</v>
      </c>
      <c r="O5550" s="12" t="n">
        <v>1</v>
      </c>
      <c r="P5550" s="12" t="n"/>
      <c r="Q5550" s="12" t="n"/>
      <c r="R5550" s="12" t="n"/>
      <c r="S5550" s="12" t="inlineStr">
        <is>
          <t>Duct bank</t>
        </is>
      </c>
      <c r="T5550" s="16" t="n">
        <v>270</v>
      </c>
      <c r="U5550" s="16" t="n">
        <v>32</v>
      </c>
      <c r="V5550" s="16">
        <f>ROUNDUP((T5550+U5550+2*'Read Me'!$B$13)*(1+'Read Me'!$B$12),-1)</f>
        <v/>
      </c>
      <c r="W5550" s="16">
        <f>V5550*N5550*O5550</f>
        <v/>
      </c>
      <c r="X5550" s="12">
        <f>IF(LEFT(I5550,2)="MV",2*N5550*IF(L5550="1/C",O5550,1),0)</f>
        <v/>
      </c>
      <c r="Y5550" s="12">
        <f>IF(OR(LEFT(K5550,4)="LVAX",LEFT(K5550,6)="MV15AX",LEFT(K5550,4)="CTAX",LEFT(K5550,2)="W|"),2*N5550*O5550,0)</f>
        <v/>
      </c>
      <c r="Z5550" s="12" t="inlineStr"/>
      <c r="AA5550" s="12">
        <f>N5550*O5550</f>
        <v/>
      </c>
    </row>
    <row r="5551">
      <c r="A5551" s="12" t="inlineStr">
        <is>
          <t>K-I-0113</t>
        </is>
      </c>
      <c r="B5551" s="12" t="inlineStr">
        <is>
          <t>K</t>
        </is>
      </c>
      <c r="C5551" s="12" t="inlineStr">
        <is>
          <t>Fuel supply (adjacent market)</t>
        </is>
      </c>
      <c r="D5551" s="12" t="inlineStr">
        <is>
          <t>Discrete device to JB JB-LNG-T4-DI01: 4 x 1 pr (field cables)</t>
        </is>
      </c>
      <c r="E5551" s="12" t="inlineStr">
        <is>
          <t>LNG-T4</t>
        </is>
      </c>
      <c r="F5551" s="12" t="inlineStr">
        <is>
          <t>LNG 11: tank 4, Chart HS 50000 (51,780 gal)</t>
        </is>
      </c>
      <c r="G5551" s="12" t="inlineStr">
        <is>
          <t>JB-LNG-T4-DI01</t>
        </is>
      </c>
      <c r="H5551" s="12" t="inlineStr">
        <is>
          <t>LNG 11: tank 4, Chart HS 50000 (51,780 gal)</t>
        </is>
      </c>
      <c r="I5551" s="12" t="inlineStr">
        <is>
          <t>Instrumentation</t>
        </is>
      </c>
      <c r="J5551" s="12" t="inlineStr">
        <is>
          <t>Instrumentation ITC / PLTC, IS, #18 shielded pairs, blue jacket</t>
        </is>
      </c>
      <c r="K5551" s="12" t="inlineStr">
        <is>
          <t>ITC|1 pr|16</t>
        </is>
      </c>
      <c r="L5551" s="12" t="inlineStr">
        <is>
          <t>1 pr</t>
        </is>
      </c>
      <c r="M5551" s="12" t="inlineStr">
        <is>
          <t>16</t>
        </is>
      </c>
      <c r="N5551" s="12" t="n">
        <v>4</v>
      </c>
      <c r="O5551" s="12" t="n">
        <v>1</v>
      </c>
      <c r="P5551" s="12" t="n"/>
      <c r="Q5551" s="12" t="n"/>
      <c r="R5551" s="12" t="n"/>
      <c r="S5551" s="12" t="inlineStr">
        <is>
          <t>Tray / conduit</t>
        </is>
      </c>
      <c r="T5551" s="16" t="n">
        <v>77</v>
      </c>
      <c r="U5551" s="16" t="n">
        <v>10</v>
      </c>
      <c r="V5551" s="16">
        <f>ROUNDUP((T5551+U5551+2*'Read Me'!$B$13)*(1+'Read Me'!$B$12),-1)</f>
        <v/>
      </c>
      <c r="W5551" s="16">
        <f>V5551*N5551*O5551</f>
        <v/>
      </c>
      <c r="X5551" s="12">
        <f>IF(LEFT(I5551,2)="MV",2*N5551*IF(L5551="1/C",O5551,1),0)</f>
        <v/>
      </c>
      <c r="Y5551" s="12">
        <f>IF(OR(LEFT(K5551,4)="LVAX",LEFT(K5551,6)="MV15AX",LEFT(K5551,4)="CTAX",LEFT(K5551,2)="W|"),2*N5551*O5551,0)</f>
        <v/>
      </c>
      <c r="Z5551" s="12" t="inlineStr">
        <is>
          <t>device-to-JB field wiring, one cable per device</t>
        </is>
      </c>
      <c r="AA5551" s="12">
        <f>N5551*O5551</f>
        <v/>
      </c>
    </row>
    <row r="5552">
      <c r="A5552" s="12" t="inlineStr">
        <is>
          <t>K-I-0114</t>
        </is>
      </c>
      <c r="B5552" s="12" t="inlineStr">
        <is>
          <t>K</t>
        </is>
      </c>
      <c r="C5552" s="12" t="inlineStr">
        <is>
          <t>Fuel supply (adjacent market)</t>
        </is>
      </c>
      <c r="D5552" s="12" t="inlineStr">
        <is>
          <t>Home run JB-LNG-T4-DI01 to the control / marshalling room</t>
        </is>
      </c>
      <c r="E5552" s="12" t="inlineStr"/>
      <c r="F5552" s="12" t="inlineStr">
        <is>
          <t>LNG 17: LNG e-house (13.8 kV / 480 V)</t>
        </is>
      </c>
      <c r="G5552" s="12" t="inlineStr">
        <is>
          <t>JB-LNG-T4-DI01</t>
        </is>
      </c>
      <c r="H5552" s="12" t="inlineStr">
        <is>
          <t>LNG 11: tank 4, Chart HS 50000 (51,780 gal)</t>
        </is>
      </c>
      <c r="I5552" s="12" t="inlineStr">
        <is>
          <t>Instrumentation</t>
        </is>
      </c>
      <c r="J5552" s="12" t="inlineStr">
        <is>
          <t>Instrumentation ITC / PLTC, IS, #18 shielded pairs, blue jacket</t>
        </is>
      </c>
      <c r="K5552" s="12" t="inlineStr">
        <is>
          <t>ITC|24 pr|18</t>
        </is>
      </c>
      <c r="L5552" s="12" t="inlineStr">
        <is>
          <t>24 pr</t>
        </is>
      </c>
      <c r="M5552" s="12" t="inlineStr">
        <is>
          <t>18</t>
        </is>
      </c>
      <c r="N5552" s="12" t="n">
        <v>1</v>
      </c>
      <c r="O5552" s="12" t="n">
        <v>1</v>
      </c>
      <c r="P5552" s="12" t="n"/>
      <c r="Q5552" s="12" t="n"/>
      <c r="R5552" s="12" t="n"/>
      <c r="S5552" s="12" t="inlineStr">
        <is>
          <t>Duct bank</t>
        </is>
      </c>
      <c r="T5552" s="16" t="n">
        <v>270</v>
      </c>
      <c r="U5552" s="16" t="n">
        <v>32</v>
      </c>
      <c r="V5552" s="16">
        <f>ROUNDUP((T5552+U5552+2*'Read Me'!$B$13)*(1+'Read Me'!$B$12),-1)</f>
        <v/>
      </c>
      <c r="W5552" s="16">
        <f>V5552*N5552*O5552</f>
        <v/>
      </c>
      <c r="X5552" s="12">
        <f>IF(LEFT(I5552,2)="MV",2*N5552*IF(L5552="1/C",O5552,1),0)</f>
        <v/>
      </c>
      <c r="Y5552" s="12">
        <f>IF(OR(LEFT(K5552,4)="LVAX",LEFT(K5552,6)="MV15AX",LEFT(K5552,4)="CTAX",LEFT(K5552,2)="W|"),2*N5552*O5552,0)</f>
        <v/>
      </c>
      <c r="Z5552" s="12" t="inlineStr"/>
      <c r="AA5552" s="12">
        <f>N5552*O5552</f>
        <v/>
      </c>
    </row>
    <row r="5553">
      <c r="A5553" s="12" t="inlineStr">
        <is>
          <t>K-I-0115</t>
        </is>
      </c>
      <c r="B5553" s="12" t="inlineStr">
        <is>
          <t>K</t>
        </is>
      </c>
      <c r="C5553" s="12" t="inlineStr">
        <is>
          <t>Fuel supply (adjacent market)</t>
        </is>
      </c>
      <c r="D5553" s="12" t="inlineStr">
        <is>
          <t>Analog instrument to JB JB-LNG-T5-AI01: 4 x 1 pr (field cables)</t>
        </is>
      </c>
      <c r="E5553" s="12" t="inlineStr">
        <is>
          <t>LNG-T5</t>
        </is>
      </c>
      <c r="F5553" s="12" t="inlineStr">
        <is>
          <t>LNG 11: tank 5, Chart HS 50000 (51,780 gal)</t>
        </is>
      </c>
      <c r="G5553" s="12" t="inlineStr">
        <is>
          <t>JB-LNG-T5-AI01</t>
        </is>
      </c>
      <c r="H5553" s="12" t="inlineStr">
        <is>
          <t>LNG 11: tank 5, Chart HS 50000 (51,780 gal)</t>
        </is>
      </c>
      <c r="I5553" s="12" t="inlineStr">
        <is>
          <t>Instrumentation</t>
        </is>
      </c>
      <c r="J5553" s="12" t="inlineStr">
        <is>
          <t>Instrumentation ITC / PLTC, IS, #18 shielded pairs, blue jacket</t>
        </is>
      </c>
      <c r="K5553" s="12" t="inlineStr">
        <is>
          <t>ITC|1 pr|16</t>
        </is>
      </c>
      <c r="L5553" s="12" t="inlineStr">
        <is>
          <t>1 pr</t>
        </is>
      </c>
      <c r="M5553" s="12" t="inlineStr">
        <is>
          <t>16</t>
        </is>
      </c>
      <c r="N5553" s="12" t="n">
        <v>4</v>
      </c>
      <c r="O5553" s="12" t="n">
        <v>1</v>
      </c>
      <c r="P5553" s="12" t="n"/>
      <c r="Q5553" s="12" t="n"/>
      <c r="R5553" s="12" t="n"/>
      <c r="S5553" s="12" t="inlineStr">
        <is>
          <t>Tray / conduit</t>
        </is>
      </c>
      <c r="T5553" s="16" t="n">
        <v>77</v>
      </c>
      <c r="U5553" s="16" t="n">
        <v>10</v>
      </c>
      <c r="V5553" s="16">
        <f>ROUNDUP((T5553+U5553+2*'Read Me'!$B$13)*(1+'Read Me'!$B$12),-1)</f>
        <v/>
      </c>
      <c r="W5553" s="16">
        <f>V5553*N5553*O5553</f>
        <v/>
      </c>
      <c r="X5553" s="12">
        <f>IF(LEFT(I5553,2)="MV",2*N5553*IF(L5553="1/C",O5553,1),0)</f>
        <v/>
      </c>
      <c r="Y5553" s="12">
        <f>IF(OR(LEFT(K5553,4)="LVAX",LEFT(K5553,6)="MV15AX",LEFT(K5553,4)="CTAX",LEFT(K5553,2)="W|"),2*N5553*O5553,0)</f>
        <v/>
      </c>
      <c r="Z5553" s="12" t="inlineStr">
        <is>
          <t>device-to-JB field wiring, one cable per device</t>
        </is>
      </c>
      <c r="AA5553" s="12">
        <f>N5553*O5553</f>
        <v/>
      </c>
    </row>
    <row r="5554">
      <c r="A5554" s="12" t="inlineStr">
        <is>
          <t>K-I-0116</t>
        </is>
      </c>
      <c r="B5554" s="12" t="inlineStr">
        <is>
          <t>K</t>
        </is>
      </c>
      <c r="C5554" s="12" t="inlineStr">
        <is>
          <t>Fuel supply (adjacent market)</t>
        </is>
      </c>
      <c r="D5554" s="12" t="inlineStr">
        <is>
          <t>Home run JB-LNG-T5-AI01 to the control / marshalling room</t>
        </is>
      </c>
      <c r="E5554" s="12" t="inlineStr"/>
      <c r="F5554" s="12" t="inlineStr">
        <is>
          <t>LNG 17: LNG e-house (13.8 kV / 480 V)</t>
        </is>
      </c>
      <c r="G5554" s="12" t="inlineStr">
        <is>
          <t>JB-LNG-T5-AI01</t>
        </is>
      </c>
      <c r="H5554" s="12" t="inlineStr">
        <is>
          <t>LNG 11: tank 5, Chart HS 50000 (51,780 gal)</t>
        </is>
      </c>
      <c r="I5554" s="12" t="inlineStr">
        <is>
          <t>Instrumentation</t>
        </is>
      </c>
      <c r="J5554" s="12" t="inlineStr">
        <is>
          <t>Instrumentation ITC / PLTC, IS, #18 shielded pairs, blue jacket</t>
        </is>
      </c>
      <c r="K5554" s="12" t="inlineStr">
        <is>
          <t>ITC|24 pr|18</t>
        </is>
      </c>
      <c r="L5554" s="12" t="inlineStr">
        <is>
          <t>24 pr</t>
        </is>
      </c>
      <c r="M5554" s="12" t="inlineStr">
        <is>
          <t>18</t>
        </is>
      </c>
      <c r="N5554" s="12" t="n">
        <v>1</v>
      </c>
      <c r="O5554" s="12" t="n">
        <v>1</v>
      </c>
      <c r="P5554" s="12" t="n"/>
      <c r="Q5554" s="12" t="n"/>
      <c r="R5554" s="12" t="n"/>
      <c r="S5554" s="12" t="inlineStr">
        <is>
          <t>Duct bank</t>
        </is>
      </c>
      <c r="T5554" s="16" t="n">
        <v>290</v>
      </c>
      <c r="U5554" s="16" t="n">
        <v>32</v>
      </c>
      <c r="V5554" s="16">
        <f>ROUNDUP((T5554+U5554+2*'Read Me'!$B$13)*(1+'Read Me'!$B$12),-1)</f>
        <v/>
      </c>
      <c r="W5554" s="16">
        <f>V5554*N5554*O5554</f>
        <v/>
      </c>
      <c r="X5554" s="12">
        <f>IF(LEFT(I5554,2)="MV",2*N5554*IF(L5554="1/C",O5554,1),0)</f>
        <v/>
      </c>
      <c r="Y5554" s="12">
        <f>IF(OR(LEFT(K5554,4)="LVAX",LEFT(K5554,6)="MV15AX",LEFT(K5554,4)="CTAX",LEFT(K5554,2)="W|"),2*N5554*O5554,0)</f>
        <v/>
      </c>
      <c r="Z5554" s="12" t="inlineStr"/>
      <c r="AA5554" s="12">
        <f>N5554*O5554</f>
        <v/>
      </c>
    </row>
    <row r="5555">
      <c r="A5555" s="12" t="inlineStr">
        <is>
          <t>K-I-0117</t>
        </is>
      </c>
      <c r="B5555" s="12" t="inlineStr">
        <is>
          <t>K</t>
        </is>
      </c>
      <c r="C5555" s="12" t="inlineStr">
        <is>
          <t>Fuel supply (adjacent market)</t>
        </is>
      </c>
      <c r="D5555" s="12" t="inlineStr">
        <is>
          <t>Discrete device to JB JB-LNG-T5-DI01: 4 x 1 pr (field cables)</t>
        </is>
      </c>
      <c r="E5555" s="12" t="inlineStr">
        <is>
          <t>LNG-T5</t>
        </is>
      </c>
      <c r="F5555" s="12" t="inlineStr">
        <is>
          <t>LNG 11: tank 5, Chart HS 50000 (51,780 gal)</t>
        </is>
      </c>
      <c r="G5555" s="12" t="inlineStr">
        <is>
          <t>JB-LNG-T5-DI01</t>
        </is>
      </c>
      <c r="H5555" s="12" t="inlineStr">
        <is>
          <t>LNG 11: tank 5, Chart HS 50000 (51,780 gal)</t>
        </is>
      </c>
      <c r="I5555" s="12" t="inlineStr">
        <is>
          <t>Instrumentation</t>
        </is>
      </c>
      <c r="J5555" s="12" t="inlineStr">
        <is>
          <t>Instrumentation ITC / PLTC, IS, #18 shielded pairs, blue jacket</t>
        </is>
      </c>
      <c r="K5555" s="12" t="inlineStr">
        <is>
          <t>ITC|1 pr|16</t>
        </is>
      </c>
      <c r="L5555" s="12" t="inlineStr">
        <is>
          <t>1 pr</t>
        </is>
      </c>
      <c r="M5555" s="12" t="inlineStr">
        <is>
          <t>16</t>
        </is>
      </c>
      <c r="N5555" s="12" t="n">
        <v>4</v>
      </c>
      <c r="O5555" s="12" t="n">
        <v>1</v>
      </c>
      <c r="P5555" s="12" t="n"/>
      <c r="Q5555" s="12" t="n"/>
      <c r="R5555" s="12" t="n"/>
      <c r="S5555" s="12" t="inlineStr">
        <is>
          <t>Tray / conduit</t>
        </is>
      </c>
      <c r="T5555" s="16" t="n">
        <v>77</v>
      </c>
      <c r="U5555" s="16" t="n">
        <v>10</v>
      </c>
      <c r="V5555" s="16">
        <f>ROUNDUP((T5555+U5555+2*'Read Me'!$B$13)*(1+'Read Me'!$B$12),-1)</f>
        <v/>
      </c>
      <c r="W5555" s="16">
        <f>V5555*N5555*O5555</f>
        <v/>
      </c>
      <c r="X5555" s="12">
        <f>IF(LEFT(I5555,2)="MV",2*N5555*IF(L5555="1/C",O5555,1),0)</f>
        <v/>
      </c>
      <c r="Y5555" s="12">
        <f>IF(OR(LEFT(K5555,4)="LVAX",LEFT(K5555,6)="MV15AX",LEFT(K5555,4)="CTAX",LEFT(K5555,2)="W|"),2*N5555*O5555,0)</f>
        <v/>
      </c>
      <c r="Z5555" s="12" t="inlineStr">
        <is>
          <t>device-to-JB field wiring, one cable per device</t>
        </is>
      </c>
      <c r="AA5555" s="12">
        <f>N5555*O5555</f>
        <v/>
      </c>
    </row>
    <row r="5556">
      <c r="A5556" s="12" t="inlineStr">
        <is>
          <t>K-I-0118</t>
        </is>
      </c>
      <c r="B5556" s="12" t="inlineStr">
        <is>
          <t>K</t>
        </is>
      </c>
      <c r="C5556" s="12" t="inlineStr">
        <is>
          <t>Fuel supply (adjacent market)</t>
        </is>
      </c>
      <c r="D5556" s="12" t="inlineStr">
        <is>
          <t>Home run JB-LNG-T5-DI01 to the control / marshalling room</t>
        </is>
      </c>
      <c r="E5556" s="12" t="inlineStr"/>
      <c r="F5556" s="12" t="inlineStr">
        <is>
          <t>LNG 17: LNG e-house (13.8 kV / 480 V)</t>
        </is>
      </c>
      <c r="G5556" s="12" t="inlineStr">
        <is>
          <t>JB-LNG-T5-DI01</t>
        </is>
      </c>
      <c r="H5556" s="12" t="inlineStr">
        <is>
          <t>LNG 11: tank 5, Chart HS 50000 (51,780 gal)</t>
        </is>
      </c>
      <c r="I5556" s="12" t="inlineStr">
        <is>
          <t>Instrumentation</t>
        </is>
      </c>
      <c r="J5556" s="12" t="inlineStr">
        <is>
          <t>Instrumentation ITC / PLTC, IS, #18 shielded pairs, blue jacket</t>
        </is>
      </c>
      <c r="K5556" s="12" t="inlineStr">
        <is>
          <t>ITC|24 pr|18</t>
        </is>
      </c>
      <c r="L5556" s="12" t="inlineStr">
        <is>
          <t>24 pr</t>
        </is>
      </c>
      <c r="M5556" s="12" t="inlineStr">
        <is>
          <t>18</t>
        </is>
      </c>
      <c r="N5556" s="12" t="n">
        <v>1</v>
      </c>
      <c r="O5556" s="12" t="n">
        <v>1</v>
      </c>
      <c r="P5556" s="12" t="n"/>
      <c r="Q5556" s="12" t="n"/>
      <c r="R5556" s="12" t="n"/>
      <c r="S5556" s="12" t="inlineStr">
        <is>
          <t>Duct bank</t>
        </is>
      </c>
      <c r="T5556" s="16" t="n">
        <v>290</v>
      </c>
      <c r="U5556" s="16" t="n">
        <v>32</v>
      </c>
      <c r="V5556" s="16">
        <f>ROUNDUP((T5556+U5556+2*'Read Me'!$B$13)*(1+'Read Me'!$B$12),-1)</f>
        <v/>
      </c>
      <c r="W5556" s="16">
        <f>V5556*N5556*O5556</f>
        <v/>
      </c>
      <c r="X5556" s="12">
        <f>IF(LEFT(I5556,2)="MV",2*N5556*IF(L5556="1/C",O5556,1),0)</f>
        <v/>
      </c>
      <c r="Y5556" s="12">
        <f>IF(OR(LEFT(K5556,4)="LVAX",LEFT(K5556,6)="MV15AX",LEFT(K5556,4)="CTAX",LEFT(K5556,2)="W|"),2*N5556*O5556,0)</f>
        <v/>
      </c>
      <c r="Z5556" s="12" t="inlineStr"/>
      <c r="AA5556" s="12">
        <f>N5556*O5556</f>
        <v/>
      </c>
    </row>
    <row r="5557">
      <c r="A5557" s="12" t="inlineStr">
        <is>
          <t>K-I-0119</t>
        </is>
      </c>
      <c r="B5557" s="12" t="inlineStr">
        <is>
          <t>K</t>
        </is>
      </c>
      <c r="C5557" s="12" t="inlineStr">
        <is>
          <t>Fuel supply (adjacent market)</t>
        </is>
      </c>
      <c r="D5557" s="12" t="inlineStr">
        <is>
          <t>Analog instrument to JB JB-LNG-T6-AI01: 4 x 1 pr (field cables)</t>
        </is>
      </c>
      <c r="E5557" s="12" t="inlineStr">
        <is>
          <t>LNG-T6</t>
        </is>
      </c>
      <c r="F5557" s="12" t="inlineStr">
        <is>
          <t>LNG 11: tank 6, Chart HS 50000 (51,780 gal)</t>
        </is>
      </c>
      <c r="G5557" s="12" t="inlineStr">
        <is>
          <t>JB-LNG-T6-AI01</t>
        </is>
      </c>
      <c r="H5557" s="12" t="inlineStr">
        <is>
          <t>LNG 11: tank 6, Chart HS 50000 (51,780 gal)</t>
        </is>
      </c>
      <c r="I5557" s="12" t="inlineStr">
        <is>
          <t>Instrumentation</t>
        </is>
      </c>
      <c r="J5557" s="12" t="inlineStr">
        <is>
          <t>Instrumentation ITC / PLTC, IS, #18 shielded pairs, blue jacket</t>
        </is>
      </c>
      <c r="K5557" s="12" t="inlineStr">
        <is>
          <t>ITC|1 pr|16</t>
        </is>
      </c>
      <c r="L5557" s="12" t="inlineStr">
        <is>
          <t>1 pr</t>
        </is>
      </c>
      <c r="M5557" s="12" t="inlineStr">
        <is>
          <t>16</t>
        </is>
      </c>
      <c r="N5557" s="12" t="n">
        <v>4</v>
      </c>
      <c r="O5557" s="12" t="n">
        <v>1</v>
      </c>
      <c r="P5557" s="12" t="n"/>
      <c r="Q5557" s="12" t="n"/>
      <c r="R5557" s="12" t="n"/>
      <c r="S5557" s="12" t="inlineStr">
        <is>
          <t>Tray / conduit</t>
        </is>
      </c>
      <c r="T5557" s="16" t="n">
        <v>77</v>
      </c>
      <c r="U5557" s="16" t="n">
        <v>10</v>
      </c>
      <c r="V5557" s="16">
        <f>ROUNDUP((T5557+U5557+2*'Read Me'!$B$13)*(1+'Read Me'!$B$12),-1)</f>
        <v/>
      </c>
      <c r="W5557" s="16">
        <f>V5557*N5557*O5557</f>
        <v/>
      </c>
      <c r="X5557" s="12">
        <f>IF(LEFT(I5557,2)="MV",2*N5557*IF(L5557="1/C",O5557,1),0)</f>
        <v/>
      </c>
      <c r="Y5557" s="12">
        <f>IF(OR(LEFT(K5557,4)="LVAX",LEFT(K5557,6)="MV15AX",LEFT(K5557,4)="CTAX",LEFT(K5557,2)="W|"),2*N5557*O5557,0)</f>
        <v/>
      </c>
      <c r="Z5557" s="12" t="inlineStr">
        <is>
          <t>device-to-JB field wiring, one cable per device</t>
        </is>
      </c>
      <c r="AA5557" s="12">
        <f>N5557*O5557</f>
        <v/>
      </c>
    </row>
    <row r="5558">
      <c r="A5558" s="12" t="inlineStr">
        <is>
          <t>K-I-0120</t>
        </is>
      </c>
      <c r="B5558" s="12" t="inlineStr">
        <is>
          <t>K</t>
        </is>
      </c>
      <c r="C5558" s="12" t="inlineStr">
        <is>
          <t>Fuel supply (adjacent market)</t>
        </is>
      </c>
      <c r="D5558" s="12" t="inlineStr">
        <is>
          <t>Home run JB-LNG-T6-AI01 to the control / marshalling room</t>
        </is>
      </c>
      <c r="E5558" s="12" t="inlineStr"/>
      <c r="F5558" s="12" t="inlineStr">
        <is>
          <t>LNG 17: LNG e-house (13.8 kV / 480 V)</t>
        </is>
      </c>
      <c r="G5558" s="12" t="inlineStr">
        <is>
          <t>JB-LNG-T6-AI01</t>
        </is>
      </c>
      <c r="H5558" s="12" t="inlineStr">
        <is>
          <t>LNG 11: tank 6, Chart HS 50000 (51,780 gal)</t>
        </is>
      </c>
      <c r="I5558" s="12" t="inlineStr">
        <is>
          <t>Instrumentation</t>
        </is>
      </c>
      <c r="J5558" s="12" t="inlineStr">
        <is>
          <t>Instrumentation ITC / PLTC, IS, #18 shielded pairs, blue jacket</t>
        </is>
      </c>
      <c r="K5558" s="12" t="inlineStr">
        <is>
          <t>ITC|24 pr|18</t>
        </is>
      </c>
      <c r="L5558" s="12" t="inlineStr">
        <is>
          <t>24 pr</t>
        </is>
      </c>
      <c r="M5558" s="12" t="inlineStr">
        <is>
          <t>18</t>
        </is>
      </c>
      <c r="N5558" s="12" t="n">
        <v>1</v>
      </c>
      <c r="O5558" s="12" t="n">
        <v>1</v>
      </c>
      <c r="P5558" s="12" t="n"/>
      <c r="Q5558" s="12" t="n"/>
      <c r="R5558" s="12" t="n"/>
      <c r="S5558" s="12" t="inlineStr">
        <is>
          <t>Duct bank</t>
        </is>
      </c>
      <c r="T5558" s="16" t="n">
        <v>310</v>
      </c>
      <c r="U5558" s="16" t="n">
        <v>32</v>
      </c>
      <c r="V5558" s="16">
        <f>ROUNDUP((T5558+U5558+2*'Read Me'!$B$13)*(1+'Read Me'!$B$12),-1)</f>
        <v/>
      </c>
      <c r="W5558" s="16">
        <f>V5558*N5558*O5558</f>
        <v/>
      </c>
      <c r="X5558" s="12">
        <f>IF(LEFT(I5558,2)="MV",2*N5558*IF(L5558="1/C",O5558,1),0)</f>
        <v/>
      </c>
      <c r="Y5558" s="12">
        <f>IF(OR(LEFT(K5558,4)="LVAX",LEFT(K5558,6)="MV15AX",LEFT(K5558,4)="CTAX",LEFT(K5558,2)="W|"),2*N5558*O5558,0)</f>
        <v/>
      </c>
      <c r="Z5558" s="12" t="inlineStr"/>
      <c r="AA5558" s="12">
        <f>N5558*O5558</f>
        <v/>
      </c>
    </row>
    <row r="5559">
      <c r="A5559" s="12" t="inlineStr">
        <is>
          <t>K-I-0121</t>
        </is>
      </c>
      <c r="B5559" s="12" t="inlineStr">
        <is>
          <t>K</t>
        </is>
      </c>
      <c r="C5559" s="12" t="inlineStr">
        <is>
          <t>Fuel supply (adjacent market)</t>
        </is>
      </c>
      <c r="D5559" s="12" t="inlineStr">
        <is>
          <t>Discrete device to JB JB-LNG-T6-DI01: 4 x 1 pr (field cables)</t>
        </is>
      </c>
      <c r="E5559" s="12" t="inlineStr">
        <is>
          <t>LNG-T6</t>
        </is>
      </c>
      <c r="F5559" s="12" t="inlineStr">
        <is>
          <t>LNG 11: tank 6, Chart HS 50000 (51,780 gal)</t>
        </is>
      </c>
      <c r="G5559" s="12" t="inlineStr">
        <is>
          <t>JB-LNG-T6-DI01</t>
        </is>
      </c>
      <c r="H5559" s="12" t="inlineStr">
        <is>
          <t>LNG 11: tank 6, Chart HS 50000 (51,780 gal)</t>
        </is>
      </c>
      <c r="I5559" s="12" t="inlineStr">
        <is>
          <t>Instrumentation</t>
        </is>
      </c>
      <c r="J5559" s="12" t="inlineStr">
        <is>
          <t>Instrumentation ITC / PLTC, IS, #18 shielded pairs, blue jacket</t>
        </is>
      </c>
      <c r="K5559" s="12" t="inlineStr">
        <is>
          <t>ITC|1 pr|16</t>
        </is>
      </c>
      <c r="L5559" s="12" t="inlineStr">
        <is>
          <t>1 pr</t>
        </is>
      </c>
      <c r="M5559" s="12" t="inlineStr">
        <is>
          <t>16</t>
        </is>
      </c>
      <c r="N5559" s="12" t="n">
        <v>4</v>
      </c>
      <c r="O5559" s="12" t="n">
        <v>1</v>
      </c>
      <c r="P5559" s="12" t="n"/>
      <c r="Q5559" s="12" t="n"/>
      <c r="R5559" s="12" t="n"/>
      <c r="S5559" s="12" t="inlineStr">
        <is>
          <t>Tray / conduit</t>
        </is>
      </c>
      <c r="T5559" s="16" t="n">
        <v>77</v>
      </c>
      <c r="U5559" s="16" t="n">
        <v>10</v>
      </c>
      <c r="V5559" s="16">
        <f>ROUNDUP((T5559+U5559+2*'Read Me'!$B$13)*(1+'Read Me'!$B$12),-1)</f>
        <v/>
      </c>
      <c r="W5559" s="16">
        <f>V5559*N5559*O5559</f>
        <v/>
      </c>
      <c r="X5559" s="12">
        <f>IF(LEFT(I5559,2)="MV",2*N5559*IF(L5559="1/C",O5559,1),0)</f>
        <v/>
      </c>
      <c r="Y5559" s="12">
        <f>IF(OR(LEFT(K5559,4)="LVAX",LEFT(K5559,6)="MV15AX",LEFT(K5559,4)="CTAX",LEFT(K5559,2)="W|"),2*N5559*O5559,0)</f>
        <v/>
      </c>
      <c r="Z5559" s="12" t="inlineStr">
        <is>
          <t>device-to-JB field wiring, one cable per device</t>
        </is>
      </c>
      <c r="AA5559" s="12">
        <f>N5559*O5559</f>
        <v/>
      </c>
    </row>
    <row r="5560">
      <c r="A5560" s="12" t="inlineStr">
        <is>
          <t>K-I-0122</t>
        </is>
      </c>
      <c r="B5560" s="12" t="inlineStr">
        <is>
          <t>K</t>
        </is>
      </c>
      <c r="C5560" s="12" t="inlineStr">
        <is>
          <t>Fuel supply (adjacent market)</t>
        </is>
      </c>
      <c r="D5560" s="12" t="inlineStr">
        <is>
          <t>Home run JB-LNG-T6-DI01 to the control / marshalling room</t>
        </is>
      </c>
      <c r="E5560" s="12" t="inlineStr"/>
      <c r="F5560" s="12" t="inlineStr">
        <is>
          <t>LNG 17: LNG e-house (13.8 kV / 480 V)</t>
        </is>
      </c>
      <c r="G5560" s="12" t="inlineStr">
        <is>
          <t>JB-LNG-T6-DI01</t>
        </is>
      </c>
      <c r="H5560" s="12" t="inlineStr">
        <is>
          <t>LNG 11: tank 6, Chart HS 50000 (51,780 gal)</t>
        </is>
      </c>
      <c r="I5560" s="12" t="inlineStr">
        <is>
          <t>Instrumentation</t>
        </is>
      </c>
      <c r="J5560" s="12" t="inlineStr">
        <is>
          <t>Instrumentation ITC / PLTC, IS, #18 shielded pairs, blue jacket</t>
        </is>
      </c>
      <c r="K5560" s="12" t="inlineStr">
        <is>
          <t>ITC|24 pr|18</t>
        </is>
      </c>
      <c r="L5560" s="12" t="inlineStr">
        <is>
          <t>24 pr</t>
        </is>
      </c>
      <c r="M5560" s="12" t="inlineStr">
        <is>
          <t>18</t>
        </is>
      </c>
      <c r="N5560" s="12" t="n">
        <v>1</v>
      </c>
      <c r="O5560" s="12" t="n">
        <v>1</v>
      </c>
      <c r="P5560" s="12" t="n"/>
      <c r="Q5560" s="12" t="n"/>
      <c r="R5560" s="12" t="n"/>
      <c r="S5560" s="12" t="inlineStr">
        <is>
          <t>Duct bank</t>
        </is>
      </c>
      <c r="T5560" s="16" t="n">
        <v>310</v>
      </c>
      <c r="U5560" s="16" t="n">
        <v>32</v>
      </c>
      <c r="V5560" s="16">
        <f>ROUNDUP((T5560+U5560+2*'Read Me'!$B$13)*(1+'Read Me'!$B$12),-1)</f>
        <v/>
      </c>
      <c r="W5560" s="16">
        <f>V5560*N5560*O5560</f>
        <v/>
      </c>
      <c r="X5560" s="12">
        <f>IF(LEFT(I5560,2)="MV",2*N5560*IF(L5560="1/C",O5560,1),0)</f>
        <v/>
      </c>
      <c r="Y5560" s="12">
        <f>IF(OR(LEFT(K5560,4)="LVAX",LEFT(K5560,6)="MV15AX",LEFT(K5560,4)="CTAX",LEFT(K5560,2)="W|"),2*N5560*O5560,0)</f>
        <v/>
      </c>
      <c r="Z5560" s="12" t="inlineStr"/>
      <c r="AA5560" s="12">
        <f>N5560*O5560</f>
        <v/>
      </c>
    </row>
    <row r="5561">
      <c r="A5561" s="12" t="inlineStr">
        <is>
          <t>K-I-0123</t>
        </is>
      </c>
      <c r="B5561" s="12" t="inlineStr">
        <is>
          <t>K</t>
        </is>
      </c>
      <c r="C5561" s="12" t="inlineStr">
        <is>
          <t>Fuel supply (adjacent market)</t>
        </is>
      </c>
      <c r="D5561" s="12" t="inlineStr">
        <is>
          <t>Analog instrument to JB JB-LNG-T7-AI01: 4 x 1 pr (field cables)</t>
        </is>
      </c>
      <c r="E5561" s="12" t="inlineStr">
        <is>
          <t>LNG-T7</t>
        </is>
      </c>
      <c r="F5561" s="12" t="inlineStr">
        <is>
          <t>LNG 11: tank 7, Chart HS 50000 (51,780 gal)</t>
        </is>
      </c>
      <c r="G5561" s="12" t="inlineStr">
        <is>
          <t>JB-LNG-T7-AI01</t>
        </is>
      </c>
      <c r="H5561" s="12" t="inlineStr">
        <is>
          <t>LNG 11: tank 7, Chart HS 50000 (51,780 gal)</t>
        </is>
      </c>
      <c r="I5561" s="12" t="inlineStr">
        <is>
          <t>Instrumentation</t>
        </is>
      </c>
      <c r="J5561" s="12" t="inlineStr">
        <is>
          <t>Instrumentation ITC / PLTC, IS, #18 shielded pairs, blue jacket</t>
        </is>
      </c>
      <c r="K5561" s="12" t="inlineStr">
        <is>
          <t>ITC|1 pr|16</t>
        </is>
      </c>
      <c r="L5561" s="12" t="inlineStr">
        <is>
          <t>1 pr</t>
        </is>
      </c>
      <c r="M5561" s="12" t="inlineStr">
        <is>
          <t>16</t>
        </is>
      </c>
      <c r="N5561" s="12" t="n">
        <v>4</v>
      </c>
      <c r="O5561" s="12" t="n">
        <v>1</v>
      </c>
      <c r="P5561" s="12" t="n"/>
      <c r="Q5561" s="12" t="n"/>
      <c r="R5561" s="12" t="n"/>
      <c r="S5561" s="12" t="inlineStr">
        <is>
          <t>Tray / conduit</t>
        </is>
      </c>
      <c r="T5561" s="16" t="n">
        <v>77</v>
      </c>
      <c r="U5561" s="16" t="n">
        <v>10</v>
      </c>
      <c r="V5561" s="16">
        <f>ROUNDUP((T5561+U5561+2*'Read Me'!$B$13)*(1+'Read Me'!$B$12),-1)</f>
        <v/>
      </c>
      <c r="W5561" s="16">
        <f>V5561*N5561*O5561</f>
        <v/>
      </c>
      <c r="X5561" s="12">
        <f>IF(LEFT(I5561,2)="MV",2*N5561*IF(L5561="1/C",O5561,1),0)</f>
        <v/>
      </c>
      <c r="Y5561" s="12">
        <f>IF(OR(LEFT(K5561,4)="LVAX",LEFT(K5561,6)="MV15AX",LEFT(K5561,4)="CTAX",LEFT(K5561,2)="W|"),2*N5561*O5561,0)</f>
        <v/>
      </c>
      <c r="Z5561" s="12" t="inlineStr">
        <is>
          <t>device-to-JB field wiring, one cable per device</t>
        </is>
      </c>
      <c r="AA5561" s="12">
        <f>N5561*O5561</f>
        <v/>
      </c>
    </row>
    <row r="5562">
      <c r="A5562" s="12" t="inlineStr">
        <is>
          <t>K-I-0124</t>
        </is>
      </c>
      <c r="B5562" s="12" t="inlineStr">
        <is>
          <t>K</t>
        </is>
      </c>
      <c r="C5562" s="12" t="inlineStr">
        <is>
          <t>Fuel supply (adjacent market)</t>
        </is>
      </c>
      <c r="D5562" s="12" t="inlineStr">
        <is>
          <t>Home run JB-LNG-T7-AI01 to the control / marshalling room</t>
        </is>
      </c>
      <c r="E5562" s="12" t="inlineStr"/>
      <c r="F5562" s="12" t="inlineStr">
        <is>
          <t>LNG 17: LNG e-house (13.8 kV / 480 V)</t>
        </is>
      </c>
      <c r="G5562" s="12" t="inlineStr">
        <is>
          <t>JB-LNG-T7-AI01</t>
        </is>
      </c>
      <c r="H5562" s="12" t="inlineStr">
        <is>
          <t>LNG 11: tank 7, Chart HS 50000 (51,780 gal)</t>
        </is>
      </c>
      <c r="I5562" s="12" t="inlineStr">
        <is>
          <t>Instrumentation</t>
        </is>
      </c>
      <c r="J5562" s="12" t="inlineStr">
        <is>
          <t>Instrumentation ITC / PLTC, IS, #18 shielded pairs, blue jacket</t>
        </is>
      </c>
      <c r="K5562" s="12" t="inlineStr">
        <is>
          <t>ITC|24 pr|18</t>
        </is>
      </c>
      <c r="L5562" s="12" t="inlineStr">
        <is>
          <t>24 pr</t>
        </is>
      </c>
      <c r="M5562" s="12" t="inlineStr">
        <is>
          <t>18</t>
        </is>
      </c>
      <c r="N5562" s="12" t="n">
        <v>1</v>
      </c>
      <c r="O5562" s="12" t="n">
        <v>1</v>
      </c>
      <c r="P5562" s="12" t="n"/>
      <c r="Q5562" s="12" t="n"/>
      <c r="R5562" s="12" t="n"/>
      <c r="S5562" s="12" t="inlineStr">
        <is>
          <t>Duct bank</t>
        </is>
      </c>
      <c r="T5562" s="16" t="n">
        <v>330</v>
      </c>
      <c r="U5562" s="16" t="n">
        <v>32</v>
      </c>
      <c r="V5562" s="16">
        <f>ROUNDUP((T5562+U5562+2*'Read Me'!$B$13)*(1+'Read Me'!$B$12),-1)</f>
        <v/>
      </c>
      <c r="W5562" s="16">
        <f>V5562*N5562*O5562</f>
        <v/>
      </c>
      <c r="X5562" s="12">
        <f>IF(LEFT(I5562,2)="MV",2*N5562*IF(L5562="1/C",O5562,1),0)</f>
        <v/>
      </c>
      <c r="Y5562" s="12">
        <f>IF(OR(LEFT(K5562,4)="LVAX",LEFT(K5562,6)="MV15AX",LEFT(K5562,4)="CTAX",LEFT(K5562,2)="W|"),2*N5562*O5562,0)</f>
        <v/>
      </c>
      <c r="Z5562" s="12" t="inlineStr"/>
      <c r="AA5562" s="12">
        <f>N5562*O5562</f>
        <v/>
      </c>
    </row>
    <row r="5563">
      <c r="A5563" s="12" t="inlineStr">
        <is>
          <t>K-I-0125</t>
        </is>
      </c>
      <c r="B5563" s="12" t="inlineStr">
        <is>
          <t>K</t>
        </is>
      </c>
      <c r="C5563" s="12" t="inlineStr">
        <is>
          <t>Fuel supply (adjacent market)</t>
        </is>
      </c>
      <c r="D5563" s="12" t="inlineStr">
        <is>
          <t>Discrete device to JB JB-LNG-T7-DI01: 4 x 1 pr (field cables)</t>
        </is>
      </c>
      <c r="E5563" s="12" t="inlineStr">
        <is>
          <t>LNG-T7</t>
        </is>
      </c>
      <c r="F5563" s="12" t="inlineStr">
        <is>
          <t>LNG 11: tank 7, Chart HS 50000 (51,780 gal)</t>
        </is>
      </c>
      <c r="G5563" s="12" t="inlineStr">
        <is>
          <t>JB-LNG-T7-DI01</t>
        </is>
      </c>
      <c r="H5563" s="12" t="inlineStr">
        <is>
          <t>LNG 11: tank 7, Chart HS 50000 (51,780 gal)</t>
        </is>
      </c>
      <c r="I5563" s="12" t="inlineStr">
        <is>
          <t>Instrumentation</t>
        </is>
      </c>
      <c r="J5563" s="12" t="inlineStr">
        <is>
          <t>Instrumentation ITC / PLTC, IS, #18 shielded pairs, blue jacket</t>
        </is>
      </c>
      <c r="K5563" s="12" t="inlineStr">
        <is>
          <t>ITC|1 pr|16</t>
        </is>
      </c>
      <c r="L5563" s="12" t="inlineStr">
        <is>
          <t>1 pr</t>
        </is>
      </c>
      <c r="M5563" s="12" t="inlineStr">
        <is>
          <t>16</t>
        </is>
      </c>
      <c r="N5563" s="12" t="n">
        <v>4</v>
      </c>
      <c r="O5563" s="12" t="n">
        <v>1</v>
      </c>
      <c r="P5563" s="12" t="n"/>
      <c r="Q5563" s="12" t="n"/>
      <c r="R5563" s="12" t="n"/>
      <c r="S5563" s="12" t="inlineStr">
        <is>
          <t>Tray / conduit</t>
        </is>
      </c>
      <c r="T5563" s="16" t="n">
        <v>77</v>
      </c>
      <c r="U5563" s="16" t="n">
        <v>10</v>
      </c>
      <c r="V5563" s="16">
        <f>ROUNDUP((T5563+U5563+2*'Read Me'!$B$13)*(1+'Read Me'!$B$12),-1)</f>
        <v/>
      </c>
      <c r="W5563" s="16">
        <f>V5563*N5563*O5563</f>
        <v/>
      </c>
      <c r="X5563" s="12">
        <f>IF(LEFT(I5563,2)="MV",2*N5563*IF(L5563="1/C",O5563,1),0)</f>
        <v/>
      </c>
      <c r="Y5563" s="12">
        <f>IF(OR(LEFT(K5563,4)="LVAX",LEFT(K5563,6)="MV15AX",LEFT(K5563,4)="CTAX",LEFT(K5563,2)="W|"),2*N5563*O5563,0)</f>
        <v/>
      </c>
      <c r="Z5563" s="12" t="inlineStr">
        <is>
          <t>device-to-JB field wiring, one cable per device</t>
        </is>
      </c>
      <c r="AA5563" s="12">
        <f>N5563*O5563</f>
        <v/>
      </c>
    </row>
    <row r="5564">
      <c r="A5564" s="12" t="inlineStr">
        <is>
          <t>K-I-0126</t>
        </is>
      </c>
      <c r="B5564" s="12" t="inlineStr">
        <is>
          <t>K</t>
        </is>
      </c>
      <c r="C5564" s="12" t="inlineStr">
        <is>
          <t>Fuel supply (adjacent market)</t>
        </is>
      </c>
      <c r="D5564" s="12" t="inlineStr">
        <is>
          <t>Home run JB-LNG-T7-DI01 to the control / marshalling room</t>
        </is>
      </c>
      <c r="E5564" s="12" t="inlineStr"/>
      <c r="F5564" s="12" t="inlineStr">
        <is>
          <t>LNG 17: LNG e-house (13.8 kV / 480 V)</t>
        </is>
      </c>
      <c r="G5564" s="12" t="inlineStr">
        <is>
          <t>JB-LNG-T7-DI01</t>
        </is>
      </c>
      <c r="H5564" s="12" t="inlineStr">
        <is>
          <t>LNG 11: tank 7, Chart HS 50000 (51,780 gal)</t>
        </is>
      </c>
      <c r="I5564" s="12" t="inlineStr">
        <is>
          <t>Instrumentation</t>
        </is>
      </c>
      <c r="J5564" s="12" t="inlineStr">
        <is>
          <t>Instrumentation ITC / PLTC, IS, #18 shielded pairs, blue jacket</t>
        </is>
      </c>
      <c r="K5564" s="12" t="inlineStr">
        <is>
          <t>ITC|24 pr|18</t>
        </is>
      </c>
      <c r="L5564" s="12" t="inlineStr">
        <is>
          <t>24 pr</t>
        </is>
      </c>
      <c r="M5564" s="12" t="inlineStr">
        <is>
          <t>18</t>
        </is>
      </c>
      <c r="N5564" s="12" t="n">
        <v>1</v>
      </c>
      <c r="O5564" s="12" t="n">
        <v>1</v>
      </c>
      <c r="P5564" s="12" t="n"/>
      <c r="Q5564" s="12" t="n"/>
      <c r="R5564" s="12" t="n"/>
      <c r="S5564" s="12" t="inlineStr">
        <is>
          <t>Duct bank</t>
        </is>
      </c>
      <c r="T5564" s="16" t="n">
        <v>330</v>
      </c>
      <c r="U5564" s="16" t="n">
        <v>32</v>
      </c>
      <c r="V5564" s="16">
        <f>ROUNDUP((T5564+U5564+2*'Read Me'!$B$13)*(1+'Read Me'!$B$12),-1)</f>
        <v/>
      </c>
      <c r="W5564" s="16">
        <f>V5564*N5564*O5564</f>
        <v/>
      </c>
      <c r="X5564" s="12">
        <f>IF(LEFT(I5564,2)="MV",2*N5564*IF(L5564="1/C",O5564,1),0)</f>
        <v/>
      </c>
      <c r="Y5564" s="12">
        <f>IF(OR(LEFT(K5564,4)="LVAX",LEFT(K5564,6)="MV15AX",LEFT(K5564,4)="CTAX",LEFT(K5564,2)="W|"),2*N5564*O5564,0)</f>
        <v/>
      </c>
      <c r="Z5564" s="12" t="inlineStr"/>
      <c r="AA5564" s="12">
        <f>N5564*O5564</f>
        <v/>
      </c>
    </row>
    <row r="5565">
      <c r="A5565" s="12" t="inlineStr">
        <is>
          <t>K-I-0127</t>
        </is>
      </c>
      <c r="B5565" s="12" t="inlineStr">
        <is>
          <t>K</t>
        </is>
      </c>
      <c r="C5565" s="12" t="inlineStr">
        <is>
          <t>Fuel supply (adjacent market)</t>
        </is>
      </c>
      <c r="D5565" s="12" t="inlineStr">
        <is>
          <t>Analog instrument to JB JB-LNG-T8-AI01: 4 x 1 pr (field cables)</t>
        </is>
      </c>
      <c r="E5565" s="12" t="inlineStr">
        <is>
          <t>LNG-T8</t>
        </is>
      </c>
      <c r="F5565" s="12" t="inlineStr">
        <is>
          <t>LNG 11: tank 8, Chart HS 50000 (51,780 gal)</t>
        </is>
      </c>
      <c r="G5565" s="12" t="inlineStr">
        <is>
          <t>JB-LNG-T8-AI01</t>
        </is>
      </c>
      <c r="H5565" s="12" t="inlineStr">
        <is>
          <t>LNG 11: tank 8, Chart HS 50000 (51,780 gal)</t>
        </is>
      </c>
      <c r="I5565" s="12" t="inlineStr">
        <is>
          <t>Instrumentation</t>
        </is>
      </c>
      <c r="J5565" s="12" t="inlineStr">
        <is>
          <t>Instrumentation ITC / PLTC, IS, #18 shielded pairs, blue jacket</t>
        </is>
      </c>
      <c r="K5565" s="12" t="inlineStr">
        <is>
          <t>ITC|1 pr|16</t>
        </is>
      </c>
      <c r="L5565" s="12" t="inlineStr">
        <is>
          <t>1 pr</t>
        </is>
      </c>
      <c r="M5565" s="12" t="inlineStr">
        <is>
          <t>16</t>
        </is>
      </c>
      <c r="N5565" s="12" t="n">
        <v>4</v>
      </c>
      <c r="O5565" s="12" t="n">
        <v>1</v>
      </c>
      <c r="P5565" s="12" t="n"/>
      <c r="Q5565" s="12" t="n"/>
      <c r="R5565" s="12" t="n"/>
      <c r="S5565" s="12" t="inlineStr">
        <is>
          <t>Tray / conduit</t>
        </is>
      </c>
      <c r="T5565" s="16" t="n">
        <v>77</v>
      </c>
      <c r="U5565" s="16" t="n">
        <v>10</v>
      </c>
      <c r="V5565" s="16">
        <f>ROUNDUP((T5565+U5565+2*'Read Me'!$B$13)*(1+'Read Me'!$B$12),-1)</f>
        <v/>
      </c>
      <c r="W5565" s="16">
        <f>V5565*N5565*O5565</f>
        <v/>
      </c>
      <c r="X5565" s="12">
        <f>IF(LEFT(I5565,2)="MV",2*N5565*IF(L5565="1/C",O5565,1),0)</f>
        <v/>
      </c>
      <c r="Y5565" s="12">
        <f>IF(OR(LEFT(K5565,4)="LVAX",LEFT(K5565,6)="MV15AX",LEFT(K5565,4)="CTAX",LEFT(K5565,2)="W|"),2*N5565*O5565,0)</f>
        <v/>
      </c>
      <c r="Z5565" s="12" t="inlineStr">
        <is>
          <t>device-to-JB field wiring, one cable per device</t>
        </is>
      </c>
      <c r="AA5565" s="12">
        <f>N5565*O5565</f>
        <v/>
      </c>
    </row>
    <row r="5566">
      <c r="A5566" s="12" t="inlineStr">
        <is>
          <t>K-I-0128</t>
        </is>
      </c>
      <c r="B5566" s="12" t="inlineStr">
        <is>
          <t>K</t>
        </is>
      </c>
      <c r="C5566" s="12" t="inlineStr">
        <is>
          <t>Fuel supply (adjacent market)</t>
        </is>
      </c>
      <c r="D5566" s="12" t="inlineStr">
        <is>
          <t>Home run JB-LNG-T8-AI01 to the control / marshalling room</t>
        </is>
      </c>
      <c r="E5566" s="12" t="inlineStr"/>
      <c r="F5566" s="12" t="inlineStr">
        <is>
          <t>LNG 17: LNG e-house (13.8 kV / 480 V)</t>
        </is>
      </c>
      <c r="G5566" s="12" t="inlineStr">
        <is>
          <t>JB-LNG-T8-AI01</t>
        </is>
      </c>
      <c r="H5566" s="12" t="inlineStr">
        <is>
          <t>LNG 11: tank 8, Chart HS 50000 (51,780 gal)</t>
        </is>
      </c>
      <c r="I5566" s="12" t="inlineStr">
        <is>
          <t>Instrumentation</t>
        </is>
      </c>
      <c r="J5566" s="12" t="inlineStr">
        <is>
          <t>Instrumentation ITC / PLTC, IS, #18 shielded pairs, blue jacket</t>
        </is>
      </c>
      <c r="K5566" s="12" t="inlineStr">
        <is>
          <t>ITC|24 pr|18</t>
        </is>
      </c>
      <c r="L5566" s="12" t="inlineStr">
        <is>
          <t>24 pr</t>
        </is>
      </c>
      <c r="M5566" s="12" t="inlineStr">
        <is>
          <t>18</t>
        </is>
      </c>
      <c r="N5566" s="12" t="n">
        <v>1</v>
      </c>
      <c r="O5566" s="12" t="n">
        <v>1</v>
      </c>
      <c r="P5566" s="12" t="n"/>
      <c r="Q5566" s="12" t="n"/>
      <c r="R5566" s="12" t="n"/>
      <c r="S5566" s="12" t="inlineStr">
        <is>
          <t>Duct bank</t>
        </is>
      </c>
      <c r="T5566" s="16" t="n">
        <v>350</v>
      </c>
      <c r="U5566" s="16" t="n">
        <v>32</v>
      </c>
      <c r="V5566" s="16">
        <f>ROUNDUP((T5566+U5566+2*'Read Me'!$B$13)*(1+'Read Me'!$B$12),-1)</f>
        <v/>
      </c>
      <c r="W5566" s="16">
        <f>V5566*N5566*O5566</f>
        <v/>
      </c>
      <c r="X5566" s="12">
        <f>IF(LEFT(I5566,2)="MV",2*N5566*IF(L5566="1/C",O5566,1),0)</f>
        <v/>
      </c>
      <c r="Y5566" s="12">
        <f>IF(OR(LEFT(K5566,4)="LVAX",LEFT(K5566,6)="MV15AX",LEFT(K5566,4)="CTAX",LEFT(K5566,2)="W|"),2*N5566*O5566,0)</f>
        <v/>
      </c>
      <c r="Z5566" s="12" t="inlineStr"/>
      <c r="AA5566" s="12">
        <f>N5566*O5566</f>
        <v/>
      </c>
    </row>
    <row r="5567">
      <c r="A5567" s="12" t="inlineStr">
        <is>
          <t>K-I-0129</t>
        </is>
      </c>
      <c r="B5567" s="12" t="inlineStr">
        <is>
          <t>K</t>
        </is>
      </c>
      <c r="C5567" s="12" t="inlineStr">
        <is>
          <t>Fuel supply (adjacent market)</t>
        </is>
      </c>
      <c r="D5567" s="12" t="inlineStr">
        <is>
          <t>Discrete device to JB JB-LNG-T8-DI01: 4 x 1 pr (field cables)</t>
        </is>
      </c>
      <c r="E5567" s="12" t="inlineStr">
        <is>
          <t>LNG-T8</t>
        </is>
      </c>
      <c r="F5567" s="12" t="inlineStr">
        <is>
          <t>LNG 11: tank 8, Chart HS 50000 (51,780 gal)</t>
        </is>
      </c>
      <c r="G5567" s="12" t="inlineStr">
        <is>
          <t>JB-LNG-T8-DI01</t>
        </is>
      </c>
      <c r="H5567" s="12" t="inlineStr">
        <is>
          <t>LNG 11: tank 8, Chart HS 50000 (51,780 gal)</t>
        </is>
      </c>
      <c r="I5567" s="12" t="inlineStr">
        <is>
          <t>Instrumentation</t>
        </is>
      </c>
      <c r="J5567" s="12" t="inlineStr">
        <is>
          <t>Instrumentation ITC / PLTC, IS, #18 shielded pairs, blue jacket</t>
        </is>
      </c>
      <c r="K5567" s="12" t="inlineStr">
        <is>
          <t>ITC|1 pr|16</t>
        </is>
      </c>
      <c r="L5567" s="12" t="inlineStr">
        <is>
          <t>1 pr</t>
        </is>
      </c>
      <c r="M5567" s="12" t="inlineStr">
        <is>
          <t>16</t>
        </is>
      </c>
      <c r="N5567" s="12" t="n">
        <v>4</v>
      </c>
      <c r="O5567" s="12" t="n">
        <v>1</v>
      </c>
      <c r="P5567" s="12" t="n"/>
      <c r="Q5567" s="12" t="n"/>
      <c r="R5567" s="12" t="n"/>
      <c r="S5567" s="12" t="inlineStr">
        <is>
          <t>Tray / conduit</t>
        </is>
      </c>
      <c r="T5567" s="16" t="n">
        <v>77</v>
      </c>
      <c r="U5567" s="16" t="n">
        <v>10</v>
      </c>
      <c r="V5567" s="16">
        <f>ROUNDUP((T5567+U5567+2*'Read Me'!$B$13)*(1+'Read Me'!$B$12),-1)</f>
        <v/>
      </c>
      <c r="W5567" s="16">
        <f>V5567*N5567*O5567</f>
        <v/>
      </c>
      <c r="X5567" s="12">
        <f>IF(LEFT(I5567,2)="MV",2*N5567*IF(L5567="1/C",O5567,1),0)</f>
        <v/>
      </c>
      <c r="Y5567" s="12">
        <f>IF(OR(LEFT(K5567,4)="LVAX",LEFT(K5567,6)="MV15AX",LEFT(K5567,4)="CTAX",LEFT(K5567,2)="W|"),2*N5567*O5567,0)</f>
        <v/>
      </c>
      <c r="Z5567" s="12" t="inlineStr">
        <is>
          <t>device-to-JB field wiring, one cable per device</t>
        </is>
      </c>
      <c r="AA5567" s="12">
        <f>N5567*O5567</f>
        <v/>
      </c>
    </row>
    <row r="5568">
      <c r="A5568" s="12" t="inlineStr">
        <is>
          <t>K-I-0130</t>
        </is>
      </c>
      <c r="B5568" s="12" t="inlineStr">
        <is>
          <t>K</t>
        </is>
      </c>
      <c r="C5568" s="12" t="inlineStr">
        <is>
          <t>Fuel supply (adjacent market)</t>
        </is>
      </c>
      <c r="D5568" s="12" t="inlineStr">
        <is>
          <t>Home run JB-LNG-T8-DI01 to the control / marshalling room</t>
        </is>
      </c>
      <c r="E5568" s="12" t="inlineStr"/>
      <c r="F5568" s="12" t="inlineStr">
        <is>
          <t>LNG 17: LNG e-house (13.8 kV / 480 V)</t>
        </is>
      </c>
      <c r="G5568" s="12" t="inlineStr">
        <is>
          <t>JB-LNG-T8-DI01</t>
        </is>
      </c>
      <c r="H5568" s="12" t="inlineStr">
        <is>
          <t>LNG 11: tank 8, Chart HS 50000 (51,780 gal)</t>
        </is>
      </c>
      <c r="I5568" s="12" t="inlineStr">
        <is>
          <t>Instrumentation</t>
        </is>
      </c>
      <c r="J5568" s="12" t="inlineStr">
        <is>
          <t>Instrumentation ITC / PLTC, IS, #18 shielded pairs, blue jacket</t>
        </is>
      </c>
      <c r="K5568" s="12" t="inlineStr">
        <is>
          <t>ITC|24 pr|18</t>
        </is>
      </c>
      <c r="L5568" s="12" t="inlineStr">
        <is>
          <t>24 pr</t>
        </is>
      </c>
      <c r="M5568" s="12" t="inlineStr">
        <is>
          <t>18</t>
        </is>
      </c>
      <c r="N5568" s="12" t="n">
        <v>1</v>
      </c>
      <c r="O5568" s="12" t="n">
        <v>1</v>
      </c>
      <c r="P5568" s="12" t="n"/>
      <c r="Q5568" s="12" t="n"/>
      <c r="R5568" s="12" t="n"/>
      <c r="S5568" s="12" t="inlineStr">
        <is>
          <t>Duct bank</t>
        </is>
      </c>
      <c r="T5568" s="16" t="n">
        <v>350</v>
      </c>
      <c r="U5568" s="16" t="n">
        <v>32</v>
      </c>
      <c r="V5568" s="16">
        <f>ROUNDUP((T5568+U5568+2*'Read Me'!$B$13)*(1+'Read Me'!$B$12),-1)</f>
        <v/>
      </c>
      <c r="W5568" s="16">
        <f>V5568*N5568*O5568</f>
        <v/>
      </c>
      <c r="X5568" s="12">
        <f>IF(LEFT(I5568,2)="MV",2*N5568*IF(L5568="1/C",O5568,1),0)</f>
        <v/>
      </c>
      <c r="Y5568" s="12">
        <f>IF(OR(LEFT(K5568,4)="LVAX",LEFT(K5568,6)="MV15AX",LEFT(K5568,4)="CTAX",LEFT(K5568,2)="W|"),2*N5568*O5568,0)</f>
        <v/>
      </c>
      <c r="Z5568" s="12" t="inlineStr"/>
      <c r="AA5568" s="12">
        <f>N5568*O5568</f>
        <v/>
      </c>
    </row>
    <row r="5569">
      <c r="A5569" s="12" t="inlineStr">
        <is>
          <t>K-I-0131</t>
        </is>
      </c>
      <c r="B5569" s="12" t="inlineStr">
        <is>
          <t>K</t>
        </is>
      </c>
      <c r="C5569" s="12" t="inlineStr">
        <is>
          <t>Fuel supply (adjacent market)</t>
        </is>
      </c>
      <c r="D5569" s="12" t="inlineStr">
        <is>
          <t>Analog instrument to JB JB-LNG 12: spill impo-AI01: 12 x 1 pr (field cables)</t>
        </is>
      </c>
      <c r="E5569" s="12" t="inlineStr"/>
      <c r="F5569" s="12" t="inlineStr">
        <is>
          <t>LNG 12: spill impoundment (NFPA 59A, to verify)</t>
        </is>
      </c>
      <c r="G5569" s="12" t="inlineStr">
        <is>
          <t>JB-LNG 12: spill impo-AI01</t>
        </is>
      </c>
      <c r="H5569" s="12" t="inlineStr">
        <is>
          <t>LNG 12: spill impoundment (NFPA 59A, to verify)</t>
        </is>
      </c>
      <c r="I5569" s="12" t="inlineStr">
        <is>
          <t>Instrumentation</t>
        </is>
      </c>
      <c r="J5569" s="12" t="inlineStr">
        <is>
          <t>Instrumentation ITC / PLTC, IS, #18 shielded pairs, blue jacket</t>
        </is>
      </c>
      <c r="K5569" s="12" t="inlineStr">
        <is>
          <t>ITC|1 pr|16</t>
        </is>
      </c>
      <c r="L5569" s="12" t="inlineStr">
        <is>
          <t>1 pr</t>
        </is>
      </c>
      <c r="M5569" s="12" t="inlineStr">
        <is>
          <t>16</t>
        </is>
      </c>
      <c r="N5569" s="12" t="n">
        <v>12</v>
      </c>
      <c r="O5569" s="12" t="n">
        <v>1</v>
      </c>
      <c r="P5569" s="12" t="n"/>
      <c r="Q5569" s="12" t="n"/>
      <c r="R5569" s="12" t="n"/>
      <c r="S5569" s="12" t="inlineStr">
        <is>
          <t>Tray / conduit</t>
        </is>
      </c>
      <c r="T5569" s="16" t="n">
        <v>170</v>
      </c>
      <c r="U5569" s="16" t="n">
        <v>10</v>
      </c>
      <c r="V5569" s="16">
        <f>ROUNDUP((T5569+U5569+2*'Read Me'!$B$13)*(1+'Read Me'!$B$12),-1)</f>
        <v/>
      </c>
      <c r="W5569" s="16">
        <f>V5569*N5569*O5569</f>
        <v/>
      </c>
      <c r="X5569" s="12">
        <f>IF(LEFT(I5569,2)="MV",2*N5569*IF(L5569="1/C",O5569,1),0)</f>
        <v/>
      </c>
      <c r="Y5569" s="12">
        <f>IF(OR(LEFT(K5569,4)="LVAX",LEFT(K5569,6)="MV15AX",LEFT(K5569,4)="CTAX",LEFT(K5569,2)="W|"),2*N5569*O5569,0)</f>
        <v/>
      </c>
      <c r="Z5569" s="12" t="inlineStr">
        <is>
          <t>device-to-JB field wiring, one cable per device</t>
        </is>
      </c>
      <c r="AA5569" s="12">
        <f>N5569*O5569</f>
        <v/>
      </c>
    </row>
    <row r="5570">
      <c r="A5570" s="12" t="inlineStr">
        <is>
          <t>K-I-0132</t>
        </is>
      </c>
      <c r="B5570" s="12" t="inlineStr">
        <is>
          <t>K</t>
        </is>
      </c>
      <c r="C5570" s="12" t="inlineStr">
        <is>
          <t>Fuel supply (adjacent market)</t>
        </is>
      </c>
      <c r="D5570" s="12" t="inlineStr">
        <is>
          <t>Home run JB-LNG 12: spill impo-AI01 to the control / marshalling room</t>
        </is>
      </c>
      <c r="E5570" s="12" t="inlineStr"/>
      <c r="F5570" s="12" t="inlineStr">
        <is>
          <t>LNG 17: LNG e-house (13.8 kV / 480 V)</t>
        </is>
      </c>
      <c r="G5570" s="12" t="inlineStr">
        <is>
          <t>JB-LNG 12: spill impo-AI01</t>
        </is>
      </c>
      <c r="H5570" s="12" t="inlineStr">
        <is>
          <t>LNG 12: spill impoundment (NFPA 59A, to verify)</t>
        </is>
      </c>
      <c r="I5570" s="12" t="inlineStr">
        <is>
          <t>Instrumentation</t>
        </is>
      </c>
      <c r="J5570" s="12" t="inlineStr">
        <is>
          <t>Instrumentation ITC / PLTC, IS, #18 shielded pairs, blue jacket</t>
        </is>
      </c>
      <c r="K5570" s="12" t="inlineStr">
        <is>
          <t>ITC|24 pr|18</t>
        </is>
      </c>
      <c r="L5570" s="12" t="inlineStr">
        <is>
          <t>24 pr</t>
        </is>
      </c>
      <c r="M5570" s="12" t="inlineStr">
        <is>
          <t>18</t>
        </is>
      </c>
      <c r="N5570" s="12" t="n">
        <v>1</v>
      </c>
      <c r="O5570" s="12" t="n">
        <v>1</v>
      </c>
      <c r="P5570" s="12" t="n"/>
      <c r="Q5570" s="12" t="n"/>
      <c r="R5570" s="12" t="n"/>
      <c r="S5570" s="12" t="inlineStr">
        <is>
          <t>Duct bank</t>
        </is>
      </c>
      <c r="T5570" s="16" t="n">
        <v>230</v>
      </c>
      <c r="U5570" s="16" t="n">
        <v>32</v>
      </c>
      <c r="V5570" s="16">
        <f>ROUNDUP((T5570+U5570+2*'Read Me'!$B$13)*(1+'Read Me'!$B$12),-1)</f>
        <v/>
      </c>
      <c r="W5570" s="16">
        <f>V5570*N5570*O5570</f>
        <v/>
      </c>
      <c r="X5570" s="12">
        <f>IF(LEFT(I5570,2)="MV",2*N5570*IF(L5570="1/C",O5570,1),0)</f>
        <v/>
      </c>
      <c r="Y5570" s="12">
        <f>IF(OR(LEFT(K5570,4)="LVAX",LEFT(K5570,6)="MV15AX",LEFT(K5570,4)="CTAX",LEFT(K5570,2)="W|"),2*N5570*O5570,0)</f>
        <v/>
      </c>
      <c r="Z5570" s="12" t="inlineStr"/>
      <c r="AA5570" s="12">
        <f>N5570*O5570</f>
        <v/>
      </c>
    </row>
    <row r="5571">
      <c r="A5571" s="12" t="inlineStr">
        <is>
          <t>K-I-0133</t>
        </is>
      </c>
      <c r="B5571" s="12" t="inlineStr">
        <is>
          <t>K</t>
        </is>
      </c>
      <c r="C5571" s="12" t="inlineStr">
        <is>
          <t>Fuel supply (adjacent market)</t>
        </is>
      </c>
      <c r="D5571" s="12" t="inlineStr">
        <is>
          <t>Discrete device to JB JB-LNG 12: spill impo-DI01: 12 x 1 pr (field cables)</t>
        </is>
      </c>
      <c r="E5571" s="12" t="inlineStr"/>
      <c r="F5571" s="12" t="inlineStr">
        <is>
          <t>LNG 12: spill impoundment (NFPA 59A, to verify)</t>
        </is>
      </c>
      <c r="G5571" s="12" t="inlineStr">
        <is>
          <t>JB-LNG 12: spill impo-DI01</t>
        </is>
      </c>
      <c r="H5571" s="12" t="inlineStr">
        <is>
          <t>LNG 12: spill impoundment (NFPA 59A, to verify)</t>
        </is>
      </c>
      <c r="I5571" s="12" t="inlineStr">
        <is>
          <t>Instrumentation</t>
        </is>
      </c>
      <c r="J5571" s="12" t="inlineStr">
        <is>
          <t>Instrumentation ITC / PLTC, IS, #18 shielded pairs, blue jacket</t>
        </is>
      </c>
      <c r="K5571" s="12" t="inlineStr">
        <is>
          <t>ITC|1 pr|16</t>
        </is>
      </c>
      <c r="L5571" s="12" t="inlineStr">
        <is>
          <t>1 pr</t>
        </is>
      </c>
      <c r="M5571" s="12" t="inlineStr">
        <is>
          <t>16</t>
        </is>
      </c>
      <c r="N5571" s="12" t="n">
        <v>12</v>
      </c>
      <c r="O5571" s="12" t="n">
        <v>1</v>
      </c>
      <c r="P5571" s="12" t="n"/>
      <c r="Q5571" s="12" t="n"/>
      <c r="R5571" s="12" t="n"/>
      <c r="S5571" s="12" t="inlineStr">
        <is>
          <t>Tray / conduit</t>
        </is>
      </c>
      <c r="T5571" s="16" t="n">
        <v>170</v>
      </c>
      <c r="U5571" s="16" t="n">
        <v>10</v>
      </c>
      <c r="V5571" s="16">
        <f>ROUNDUP((T5571+U5571+2*'Read Me'!$B$13)*(1+'Read Me'!$B$12),-1)</f>
        <v/>
      </c>
      <c r="W5571" s="16">
        <f>V5571*N5571*O5571</f>
        <v/>
      </c>
      <c r="X5571" s="12">
        <f>IF(LEFT(I5571,2)="MV",2*N5571*IF(L5571="1/C",O5571,1),0)</f>
        <v/>
      </c>
      <c r="Y5571" s="12">
        <f>IF(OR(LEFT(K5571,4)="LVAX",LEFT(K5571,6)="MV15AX",LEFT(K5571,4)="CTAX",LEFT(K5571,2)="W|"),2*N5571*O5571,0)</f>
        <v/>
      </c>
      <c r="Z5571" s="12" t="inlineStr">
        <is>
          <t>device-to-JB field wiring, one cable per device</t>
        </is>
      </c>
      <c r="AA5571" s="12">
        <f>N5571*O5571</f>
        <v/>
      </c>
    </row>
    <row r="5572">
      <c r="A5572" s="12" t="inlineStr">
        <is>
          <t>K-I-0134</t>
        </is>
      </c>
      <c r="B5572" s="12" t="inlineStr">
        <is>
          <t>K</t>
        </is>
      </c>
      <c r="C5572" s="12" t="inlineStr">
        <is>
          <t>Fuel supply (adjacent market)</t>
        </is>
      </c>
      <c r="D5572" s="12" t="inlineStr">
        <is>
          <t>Home run JB-LNG 12: spill impo-DI01 to the control / marshalling room</t>
        </is>
      </c>
      <c r="E5572" s="12" t="inlineStr"/>
      <c r="F5572" s="12" t="inlineStr">
        <is>
          <t>LNG 17: LNG e-house (13.8 kV / 480 V)</t>
        </is>
      </c>
      <c r="G5572" s="12" t="inlineStr">
        <is>
          <t>JB-LNG 12: spill impo-DI01</t>
        </is>
      </c>
      <c r="H5572" s="12" t="inlineStr">
        <is>
          <t>LNG 12: spill impoundment (NFPA 59A, to verify)</t>
        </is>
      </c>
      <c r="I5572" s="12" t="inlineStr">
        <is>
          <t>Instrumentation</t>
        </is>
      </c>
      <c r="J5572" s="12" t="inlineStr">
        <is>
          <t>Instrumentation ITC / PLTC, IS, #18 shielded pairs, blue jacket</t>
        </is>
      </c>
      <c r="K5572" s="12" t="inlineStr">
        <is>
          <t>ITC|24 pr|18</t>
        </is>
      </c>
      <c r="L5572" s="12" t="inlineStr">
        <is>
          <t>24 pr</t>
        </is>
      </c>
      <c r="M5572" s="12" t="inlineStr">
        <is>
          <t>18</t>
        </is>
      </c>
      <c r="N5572" s="12" t="n">
        <v>1</v>
      </c>
      <c r="O5572" s="12" t="n">
        <v>1</v>
      </c>
      <c r="P5572" s="12" t="n"/>
      <c r="Q5572" s="12" t="n"/>
      <c r="R5572" s="12" t="n"/>
      <c r="S5572" s="12" t="inlineStr">
        <is>
          <t>Duct bank</t>
        </is>
      </c>
      <c r="T5572" s="16" t="n">
        <v>230</v>
      </c>
      <c r="U5572" s="16" t="n">
        <v>32</v>
      </c>
      <c r="V5572" s="16">
        <f>ROUNDUP((T5572+U5572+2*'Read Me'!$B$13)*(1+'Read Me'!$B$12),-1)</f>
        <v/>
      </c>
      <c r="W5572" s="16">
        <f>V5572*N5572*O5572</f>
        <v/>
      </c>
      <c r="X5572" s="12">
        <f>IF(LEFT(I5572,2)="MV",2*N5572*IF(L5572="1/C",O5572,1),0)</f>
        <v/>
      </c>
      <c r="Y5572" s="12">
        <f>IF(OR(LEFT(K5572,4)="LVAX",LEFT(K5572,6)="MV15AX",LEFT(K5572,4)="CTAX",LEFT(K5572,2)="W|"),2*N5572*O5572,0)</f>
        <v/>
      </c>
      <c r="Z5572" s="12" t="inlineStr"/>
      <c r="AA5572" s="12">
        <f>N5572*O5572</f>
        <v/>
      </c>
    </row>
    <row r="5573">
      <c r="A5573" s="12" t="inlineStr">
        <is>
          <t>K-I-0135</t>
        </is>
      </c>
      <c r="B5573" s="12" t="inlineStr">
        <is>
          <t>K</t>
        </is>
      </c>
      <c r="C5573" s="12" t="inlineStr">
        <is>
          <t>Fuel supply (adjacent market)</t>
        </is>
      </c>
      <c r="D5573" s="12" t="inlineStr">
        <is>
          <t>Analog instrument to JB JB-LNG 13: send-out p-AI01: 12 x 1 pr (field cables)</t>
        </is>
      </c>
      <c r="E5573" s="12" t="inlineStr"/>
      <c r="F5573" s="12" t="inlineStr">
        <is>
          <t>LNG 13: send-out pumps 2 x 100%</t>
        </is>
      </c>
      <c r="G5573" s="12" t="inlineStr">
        <is>
          <t>JB-LNG 13: send-out p-AI01</t>
        </is>
      </c>
      <c r="H5573" s="12" t="inlineStr">
        <is>
          <t>LNG 13: send-out pumps 2 x 100%</t>
        </is>
      </c>
      <c r="I5573" s="12" t="inlineStr">
        <is>
          <t>Instrumentation</t>
        </is>
      </c>
      <c r="J5573" s="12" t="inlineStr">
        <is>
          <t>Instrumentation ITC / PLTC, IS, #18 shielded pairs, blue jacket</t>
        </is>
      </c>
      <c r="K5573" s="12" t="inlineStr">
        <is>
          <t>ITC|1 pr|16</t>
        </is>
      </c>
      <c r="L5573" s="12" t="inlineStr">
        <is>
          <t>1 pr</t>
        </is>
      </c>
      <c r="M5573" s="12" t="inlineStr">
        <is>
          <t>16</t>
        </is>
      </c>
      <c r="N5573" s="12" t="n">
        <v>12</v>
      </c>
      <c r="O5573" s="12" t="n">
        <v>1</v>
      </c>
      <c r="P5573" s="12" t="n"/>
      <c r="Q5573" s="12" t="n"/>
      <c r="R5573" s="12" t="n"/>
      <c r="S5573" s="12" t="inlineStr">
        <is>
          <t>Tray / conduit</t>
        </is>
      </c>
      <c r="T5573" s="16" t="n">
        <v>63</v>
      </c>
      <c r="U5573" s="16" t="n">
        <v>10</v>
      </c>
      <c r="V5573" s="16">
        <f>ROUNDUP((T5573+U5573+2*'Read Me'!$B$13)*(1+'Read Me'!$B$12),-1)</f>
        <v/>
      </c>
      <c r="W5573" s="16">
        <f>V5573*N5573*O5573</f>
        <v/>
      </c>
      <c r="X5573" s="12">
        <f>IF(LEFT(I5573,2)="MV",2*N5573*IF(L5573="1/C",O5573,1),0)</f>
        <v/>
      </c>
      <c r="Y5573" s="12">
        <f>IF(OR(LEFT(K5573,4)="LVAX",LEFT(K5573,6)="MV15AX",LEFT(K5573,4)="CTAX",LEFT(K5573,2)="W|"),2*N5573*O5573,0)</f>
        <v/>
      </c>
      <c r="Z5573" s="12" t="inlineStr">
        <is>
          <t>device-to-JB field wiring, one cable per device</t>
        </is>
      </c>
      <c r="AA5573" s="12">
        <f>N5573*O5573</f>
        <v/>
      </c>
    </row>
    <row r="5574">
      <c r="A5574" s="12" t="inlineStr">
        <is>
          <t>K-I-0136</t>
        </is>
      </c>
      <c r="B5574" s="12" t="inlineStr">
        <is>
          <t>K</t>
        </is>
      </c>
      <c r="C5574" s="12" t="inlineStr">
        <is>
          <t>Fuel supply (adjacent market)</t>
        </is>
      </c>
      <c r="D5574" s="12" t="inlineStr">
        <is>
          <t>Home run JB-LNG 13: send-out p-AI01 to the control / marshalling room</t>
        </is>
      </c>
      <c r="E5574" s="12" t="inlineStr"/>
      <c r="F5574" s="12" t="inlineStr">
        <is>
          <t>LNG 17: LNG e-house (13.8 kV / 480 V)</t>
        </is>
      </c>
      <c r="G5574" s="12" t="inlineStr">
        <is>
          <t>JB-LNG 13: send-out p-AI01</t>
        </is>
      </c>
      <c r="H5574" s="12" t="inlineStr">
        <is>
          <t>LNG 13: send-out pumps 2 x 100%</t>
        </is>
      </c>
      <c r="I5574" s="12" t="inlineStr">
        <is>
          <t>Instrumentation</t>
        </is>
      </c>
      <c r="J5574" s="12" t="inlineStr">
        <is>
          <t>Instrumentation ITC / PLTC, IS, #18 shielded pairs, blue jacket</t>
        </is>
      </c>
      <c r="K5574" s="12" t="inlineStr">
        <is>
          <t>ITC|24 pr|18</t>
        </is>
      </c>
      <c r="L5574" s="12" t="inlineStr">
        <is>
          <t>24 pr</t>
        </is>
      </c>
      <c r="M5574" s="12" t="inlineStr">
        <is>
          <t>18</t>
        </is>
      </c>
      <c r="N5574" s="12" t="n">
        <v>1</v>
      </c>
      <c r="O5574" s="12" t="n">
        <v>1</v>
      </c>
      <c r="P5574" s="12" t="n"/>
      <c r="Q5574" s="12" t="n"/>
      <c r="R5574" s="12" t="n"/>
      <c r="S5574" s="12" t="inlineStr">
        <is>
          <t>Duct bank</t>
        </is>
      </c>
      <c r="T5574" s="16" t="n">
        <v>110</v>
      </c>
      <c r="U5574" s="16" t="n">
        <v>32</v>
      </c>
      <c r="V5574" s="16">
        <f>ROUNDUP((T5574+U5574+2*'Read Me'!$B$13)*(1+'Read Me'!$B$12),-1)</f>
        <v/>
      </c>
      <c r="W5574" s="16">
        <f>V5574*N5574*O5574</f>
        <v/>
      </c>
      <c r="X5574" s="12">
        <f>IF(LEFT(I5574,2)="MV",2*N5574*IF(L5574="1/C",O5574,1),0)</f>
        <v/>
      </c>
      <c r="Y5574" s="12">
        <f>IF(OR(LEFT(K5574,4)="LVAX",LEFT(K5574,6)="MV15AX",LEFT(K5574,4)="CTAX",LEFT(K5574,2)="W|"),2*N5574*O5574,0)</f>
        <v/>
      </c>
      <c r="Z5574" s="12" t="inlineStr"/>
      <c r="AA5574" s="12">
        <f>N5574*O5574</f>
        <v/>
      </c>
    </row>
    <row r="5575">
      <c r="A5575" s="12" t="inlineStr">
        <is>
          <t>K-I-0137</t>
        </is>
      </c>
      <c r="B5575" s="12" t="inlineStr">
        <is>
          <t>K</t>
        </is>
      </c>
      <c r="C5575" s="12" t="inlineStr">
        <is>
          <t>Fuel supply (adjacent market)</t>
        </is>
      </c>
      <c r="D5575" s="12" t="inlineStr">
        <is>
          <t>Discrete device to JB JB-LNG 13: send-out p-DI01: 12 x 1 pr (field cables)</t>
        </is>
      </c>
      <c r="E5575" s="12" t="inlineStr"/>
      <c r="F5575" s="12" t="inlineStr">
        <is>
          <t>LNG 13: send-out pumps 2 x 100%</t>
        </is>
      </c>
      <c r="G5575" s="12" t="inlineStr">
        <is>
          <t>JB-LNG 13: send-out p-DI01</t>
        </is>
      </c>
      <c r="H5575" s="12" t="inlineStr">
        <is>
          <t>LNG 13: send-out pumps 2 x 100%</t>
        </is>
      </c>
      <c r="I5575" s="12" t="inlineStr">
        <is>
          <t>Instrumentation</t>
        </is>
      </c>
      <c r="J5575" s="12" t="inlineStr">
        <is>
          <t>Instrumentation ITC / PLTC, IS, #18 shielded pairs, blue jacket</t>
        </is>
      </c>
      <c r="K5575" s="12" t="inlineStr">
        <is>
          <t>ITC|1 pr|16</t>
        </is>
      </c>
      <c r="L5575" s="12" t="inlineStr">
        <is>
          <t>1 pr</t>
        </is>
      </c>
      <c r="M5575" s="12" t="inlineStr">
        <is>
          <t>16</t>
        </is>
      </c>
      <c r="N5575" s="12" t="n">
        <v>12</v>
      </c>
      <c r="O5575" s="12" t="n">
        <v>1</v>
      </c>
      <c r="P5575" s="12" t="n"/>
      <c r="Q5575" s="12" t="n"/>
      <c r="R5575" s="12" t="n"/>
      <c r="S5575" s="12" t="inlineStr">
        <is>
          <t>Tray / conduit</t>
        </is>
      </c>
      <c r="T5575" s="16" t="n">
        <v>63</v>
      </c>
      <c r="U5575" s="16" t="n">
        <v>10</v>
      </c>
      <c r="V5575" s="16">
        <f>ROUNDUP((T5575+U5575+2*'Read Me'!$B$13)*(1+'Read Me'!$B$12),-1)</f>
        <v/>
      </c>
      <c r="W5575" s="16">
        <f>V5575*N5575*O5575</f>
        <v/>
      </c>
      <c r="X5575" s="12">
        <f>IF(LEFT(I5575,2)="MV",2*N5575*IF(L5575="1/C",O5575,1),0)</f>
        <v/>
      </c>
      <c r="Y5575" s="12">
        <f>IF(OR(LEFT(K5575,4)="LVAX",LEFT(K5575,6)="MV15AX",LEFT(K5575,4)="CTAX",LEFT(K5575,2)="W|"),2*N5575*O5575,0)</f>
        <v/>
      </c>
      <c r="Z5575" s="12" t="inlineStr">
        <is>
          <t>device-to-JB field wiring, one cable per device</t>
        </is>
      </c>
      <c r="AA5575" s="12">
        <f>N5575*O5575</f>
        <v/>
      </c>
    </row>
    <row r="5576">
      <c r="A5576" s="12" t="inlineStr">
        <is>
          <t>K-I-0138</t>
        </is>
      </c>
      <c r="B5576" s="12" t="inlineStr">
        <is>
          <t>K</t>
        </is>
      </c>
      <c r="C5576" s="12" t="inlineStr">
        <is>
          <t>Fuel supply (adjacent market)</t>
        </is>
      </c>
      <c r="D5576" s="12" t="inlineStr">
        <is>
          <t>Home run JB-LNG 13: send-out p-DI01 to the control / marshalling room</t>
        </is>
      </c>
      <c r="E5576" s="12" t="inlineStr"/>
      <c r="F5576" s="12" t="inlineStr">
        <is>
          <t>LNG 17: LNG e-house (13.8 kV / 480 V)</t>
        </is>
      </c>
      <c r="G5576" s="12" t="inlineStr">
        <is>
          <t>JB-LNG 13: send-out p-DI01</t>
        </is>
      </c>
      <c r="H5576" s="12" t="inlineStr">
        <is>
          <t>LNG 13: send-out pumps 2 x 100%</t>
        </is>
      </c>
      <c r="I5576" s="12" t="inlineStr">
        <is>
          <t>Instrumentation</t>
        </is>
      </c>
      <c r="J5576" s="12" t="inlineStr">
        <is>
          <t>Instrumentation ITC / PLTC, IS, #18 shielded pairs, blue jacket</t>
        </is>
      </c>
      <c r="K5576" s="12" t="inlineStr">
        <is>
          <t>ITC|24 pr|18</t>
        </is>
      </c>
      <c r="L5576" s="12" t="inlineStr">
        <is>
          <t>24 pr</t>
        </is>
      </c>
      <c r="M5576" s="12" t="inlineStr">
        <is>
          <t>18</t>
        </is>
      </c>
      <c r="N5576" s="12" t="n">
        <v>1</v>
      </c>
      <c r="O5576" s="12" t="n">
        <v>1</v>
      </c>
      <c r="P5576" s="12" t="n"/>
      <c r="Q5576" s="12" t="n"/>
      <c r="R5576" s="12" t="n"/>
      <c r="S5576" s="12" t="inlineStr">
        <is>
          <t>Duct bank</t>
        </is>
      </c>
      <c r="T5576" s="16" t="n">
        <v>110</v>
      </c>
      <c r="U5576" s="16" t="n">
        <v>32</v>
      </c>
      <c r="V5576" s="16">
        <f>ROUNDUP((T5576+U5576+2*'Read Me'!$B$13)*(1+'Read Me'!$B$12),-1)</f>
        <v/>
      </c>
      <c r="W5576" s="16">
        <f>V5576*N5576*O5576</f>
        <v/>
      </c>
      <c r="X5576" s="12">
        <f>IF(LEFT(I5576,2)="MV",2*N5576*IF(L5576="1/C",O5576,1),0)</f>
        <v/>
      </c>
      <c r="Y5576" s="12">
        <f>IF(OR(LEFT(K5576,4)="LVAX",LEFT(K5576,6)="MV15AX",LEFT(K5576,4)="CTAX",LEFT(K5576,2)="W|"),2*N5576*O5576,0)</f>
        <v/>
      </c>
      <c r="Z5576" s="12" t="inlineStr"/>
      <c r="AA5576" s="12">
        <f>N5576*O5576</f>
        <v/>
      </c>
    </row>
    <row r="5577">
      <c r="A5577" s="12" t="inlineStr">
        <is>
          <t>K-I-0139</t>
        </is>
      </c>
      <c r="B5577" s="12" t="inlineStr">
        <is>
          <t>K</t>
        </is>
      </c>
      <c r="C5577" s="12" t="inlineStr">
        <is>
          <t>Fuel supply (adjacent market)</t>
        </is>
      </c>
      <c r="D5577" s="12" t="inlineStr">
        <is>
          <t>Analog instrument to JB JB-LNG 14: vaporizers-AI01: 12 x 1 pr (field cables)</t>
        </is>
      </c>
      <c r="E5577" s="12" t="inlineStr"/>
      <c r="F5577" s="12" t="inlineStr">
        <is>
          <t>LNG 14: vaporizers + glycol heater</t>
        </is>
      </c>
      <c r="G5577" s="12" t="inlineStr">
        <is>
          <t>JB-LNG 14: vaporizers-AI01</t>
        </is>
      </c>
      <c r="H5577" s="12" t="inlineStr">
        <is>
          <t>LNG 14: vaporizers + glycol heater</t>
        </is>
      </c>
      <c r="I5577" s="12" t="inlineStr">
        <is>
          <t>Instrumentation</t>
        </is>
      </c>
      <c r="J5577" s="12" t="inlineStr">
        <is>
          <t>Instrumentation ITC / PLTC, IS, #18 shielded pairs, blue jacket</t>
        </is>
      </c>
      <c r="K5577" s="12" t="inlineStr">
        <is>
          <t>ITC|1 pr|16</t>
        </is>
      </c>
      <c r="L5577" s="12" t="inlineStr">
        <is>
          <t>1 pr</t>
        </is>
      </c>
      <c r="M5577" s="12" t="inlineStr">
        <is>
          <t>16</t>
        </is>
      </c>
      <c r="N5577" s="12" t="n">
        <v>12</v>
      </c>
      <c r="O5577" s="12" t="n">
        <v>1</v>
      </c>
      <c r="P5577" s="12" t="n"/>
      <c r="Q5577" s="12" t="n"/>
      <c r="R5577" s="12" t="n"/>
      <c r="S5577" s="12" t="inlineStr">
        <is>
          <t>Tray / conduit</t>
        </is>
      </c>
      <c r="T5577" s="16" t="n">
        <v>122</v>
      </c>
      <c r="U5577" s="16" t="n">
        <v>10</v>
      </c>
      <c r="V5577" s="16">
        <f>ROUNDUP((T5577+U5577+2*'Read Me'!$B$13)*(1+'Read Me'!$B$12),-1)</f>
        <v/>
      </c>
      <c r="W5577" s="16">
        <f>V5577*N5577*O5577</f>
        <v/>
      </c>
      <c r="X5577" s="12">
        <f>IF(LEFT(I5577,2)="MV",2*N5577*IF(L5577="1/C",O5577,1),0)</f>
        <v/>
      </c>
      <c r="Y5577" s="12">
        <f>IF(OR(LEFT(K5577,4)="LVAX",LEFT(K5577,6)="MV15AX",LEFT(K5577,4)="CTAX",LEFT(K5577,2)="W|"),2*N5577*O5577,0)</f>
        <v/>
      </c>
      <c r="Z5577" s="12" t="inlineStr">
        <is>
          <t>device-to-JB field wiring, one cable per device</t>
        </is>
      </c>
      <c r="AA5577" s="12">
        <f>N5577*O5577</f>
        <v/>
      </c>
    </row>
    <row r="5578">
      <c r="A5578" s="12" t="inlineStr">
        <is>
          <t>K-I-0140</t>
        </is>
      </c>
      <c r="B5578" s="12" t="inlineStr">
        <is>
          <t>K</t>
        </is>
      </c>
      <c r="C5578" s="12" t="inlineStr">
        <is>
          <t>Fuel supply (adjacent market)</t>
        </is>
      </c>
      <c r="D5578" s="12" t="inlineStr">
        <is>
          <t>Home run JB-LNG 14: vaporizers-AI01 to the control / marshalling room</t>
        </is>
      </c>
      <c r="E5578" s="12" t="inlineStr"/>
      <c r="F5578" s="12" t="inlineStr">
        <is>
          <t>LNG 17: LNG e-house (13.8 kV / 480 V)</t>
        </is>
      </c>
      <c r="G5578" s="12" t="inlineStr">
        <is>
          <t>JB-LNG 14: vaporizers-AI01</t>
        </is>
      </c>
      <c r="H5578" s="12" t="inlineStr">
        <is>
          <t>LNG 14: vaporizers + glycol heater</t>
        </is>
      </c>
      <c r="I5578" s="12" t="inlineStr">
        <is>
          <t>Instrumentation</t>
        </is>
      </c>
      <c r="J5578" s="12" t="inlineStr">
        <is>
          <t>Instrumentation ITC / PLTC, IS, #18 shielded pairs, blue jacket</t>
        </is>
      </c>
      <c r="K5578" s="12" t="inlineStr">
        <is>
          <t>ITC|24 pr|18</t>
        </is>
      </c>
      <c r="L5578" s="12" t="inlineStr">
        <is>
          <t>24 pr</t>
        </is>
      </c>
      <c r="M5578" s="12" t="inlineStr">
        <is>
          <t>18</t>
        </is>
      </c>
      <c r="N5578" s="12" t="n">
        <v>1</v>
      </c>
      <c r="O5578" s="12" t="n">
        <v>1</v>
      </c>
      <c r="P5578" s="12" t="n"/>
      <c r="Q5578" s="12" t="n"/>
      <c r="R5578" s="12" t="n"/>
      <c r="S5578" s="12" t="inlineStr">
        <is>
          <t>Duct bank</t>
        </is>
      </c>
      <c r="T5578" s="16" t="n">
        <v>259</v>
      </c>
      <c r="U5578" s="16" t="n">
        <v>32</v>
      </c>
      <c r="V5578" s="16">
        <f>ROUNDUP((T5578+U5578+2*'Read Me'!$B$13)*(1+'Read Me'!$B$12),-1)</f>
        <v/>
      </c>
      <c r="W5578" s="16">
        <f>V5578*N5578*O5578</f>
        <v/>
      </c>
      <c r="X5578" s="12">
        <f>IF(LEFT(I5578,2)="MV",2*N5578*IF(L5578="1/C",O5578,1),0)</f>
        <v/>
      </c>
      <c r="Y5578" s="12">
        <f>IF(OR(LEFT(K5578,4)="LVAX",LEFT(K5578,6)="MV15AX",LEFT(K5578,4)="CTAX",LEFT(K5578,2)="W|"),2*N5578*O5578,0)</f>
        <v/>
      </c>
      <c r="Z5578" s="12" t="inlineStr"/>
      <c r="AA5578" s="12">
        <f>N5578*O5578</f>
        <v/>
      </c>
    </row>
    <row r="5579">
      <c r="A5579" s="12" t="inlineStr">
        <is>
          <t>K-I-0141</t>
        </is>
      </c>
      <c r="B5579" s="12" t="inlineStr">
        <is>
          <t>K</t>
        </is>
      </c>
      <c r="C5579" s="12" t="inlineStr">
        <is>
          <t>Fuel supply (adjacent market)</t>
        </is>
      </c>
      <c r="D5579" s="12" t="inlineStr">
        <is>
          <t>Discrete device to JB JB-LNG 14: vaporizers-DI01: 12 x 1 pr (field cables)</t>
        </is>
      </c>
      <c r="E5579" s="12" t="inlineStr"/>
      <c r="F5579" s="12" t="inlineStr">
        <is>
          <t>LNG 14: vaporizers + glycol heater</t>
        </is>
      </c>
      <c r="G5579" s="12" t="inlineStr">
        <is>
          <t>JB-LNG 14: vaporizers-DI01</t>
        </is>
      </c>
      <c r="H5579" s="12" t="inlineStr">
        <is>
          <t>LNG 14: vaporizers + glycol heater</t>
        </is>
      </c>
      <c r="I5579" s="12" t="inlineStr">
        <is>
          <t>Instrumentation</t>
        </is>
      </c>
      <c r="J5579" s="12" t="inlineStr">
        <is>
          <t>Instrumentation ITC / PLTC, IS, #18 shielded pairs, blue jacket</t>
        </is>
      </c>
      <c r="K5579" s="12" t="inlineStr">
        <is>
          <t>ITC|1 pr|16</t>
        </is>
      </c>
      <c r="L5579" s="12" t="inlineStr">
        <is>
          <t>1 pr</t>
        </is>
      </c>
      <c r="M5579" s="12" t="inlineStr">
        <is>
          <t>16</t>
        </is>
      </c>
      <c r="N5579" s="12" t="n">
        <v>12</v>
      </c>
      <c r="O5579" s="12" t="n">
        <v>1</v>
      </c>
      <c r="P5579" s="12" t="n"/>
      <c r="Q5579" s="12" t="n"/>
      <c r="R5579" s="12" t="n"/>
      <c r="S5579" s="12" t="inlineStr">
        <is>
          <t>Tray / conduit</t>
        </is>
      </c>
      <c r="T5579" s="16" t="n">
        <v>122</v>
      </c>
      <c r="U5579" s="16" t="n">
        <v>10</v>
      </c>
      <c r="V5579" s="16">
        <f>ROUNDUP((T5579+U5579+2*'Read Me'!$B$13)*(1+'Read Me'!$B$12),-1)</f>
        <v/>
      </c>
      <c r="W5579" s="16">
        <f>V5579*N5579*O5579</f>
        <v/>
      </c>
      <c r="X5579" s="12">
        <f>IF(LEFT(I5579,2)="MV",2*N5579*IF(L5579="1/C",O5579,1),0)</f>
        <v/>
      </c>
      <c r="Y5579" s="12">
        <f>IF(OR(LEFT(K5579,4)="LVAX",LEFT(K5579,6)="MV15AX",LEFT(K5579,4)="CTAX",LEFT(K5579,2)="W|"),2*N5579*O5579,0)</f>
        <v/>
      </c>
      <c r="Z5579" s="12" t="inlineStr">
        <is>
          <t>device-to-JB field wiring, one cable per device</t>
        </is>
      </c>
      <c r="AA5579" s="12">
        <f>N5579*O5579</f>
        <v/>
      </c>
    </row>
    <row r="5580">
      <c r="A5580" s="12" t="inlineStr">
        <is>
          <t>K-I-0142</t>
        </is>
      </c>
      <c r="B5580" s="12" t="inlineStr">
        <is>
          <t>K</t>
        </is>
      </c>
      <c r="C5580" s="12" t="inlineStr">
        <is>
          <t>Fuel supply (adjacent market)</t>
        </is>
      </c>
      <c r="D5580" s="12" t="inlineStr">
        <is>
          <t>Home run JB-LNG 14: vaporizers-DI01 to the control / marshalling room</t>
        </is>
      </c>
      <c r="E5580" s="12" t="inlineStr"/>
      <c r="F5580" s="12" t="inlineStr">
        <is>
          <t>LNG 17: LNG e-house (13.8 kV / 480 V)</t>
        </is>
      </c>
      <c r="G5580" s="12" t="inlineStr">
        <is>
          <t>JB-LNG 14: vaporizers-DI01</t>
        </is>
      </c>
      <c r="H5580" s="12" t="inlineStr">
        <is>
          <t>LNG 14: vaporizers + glycol heater</t>
        </is>
      </c>
      <c r="I5580" s="12" t="inlineStr">
        <is>
          <t>Instrumentation</t>
        </is>
      </c>
      <c r="J5580" s="12" t="inlineStr">
        <is>
          <t>Instrumentation ITC / PLTC, IS, #18 shielded pairs, blue jacket</t>
        </is>
      </c>
      <c r="K5580" s="12" t="inlineStr">
        <is>
          <t>ITC|24 pr|18</t>
        </is>
      </c>
      <c r="L5580" s="12" t="inlineStr">
        <is>
          <t>24 pr</t>
        </is>
      </c>
      <c r="M5580" s="12" t="inlineStr">
        <is>
          <t>18</t>
        </is>
      </c>
      <c r="N5580" s="12" t="n">
        <v>1</v>
      </c>
      <c r="O5580" s="12" t="n">
        <v>1</v>
      </c>
      <c r="P5580" s="12" t="n"/>
      <c r="Q5580" s="12" t="n"/>
      <c r="R5580" s="12" t="n"/>
      <c r="S5580" s="12" t="inlineStr">
        <is>
          <t>Duct bank</t>
        </is>
      </c>
      <c r="T5580" s="16" t="n">
        <v>259</v>
      </c>
      <c r="U5580" s="16" t="n">
        <v>32</v>
      </c>
      <c r="V5580" s="16">
        <f>ROUNDUP((T5580+U5580+2*'Read Me'!$B$13)*(1+'Read Me'!$B$12),-1)</f>
        <v/>
      </c>
      <c r="W5580" s="16">
        <f>V5580*N5580*O5580</f>
        <v/>
      </c>
      <c r="X5580" s="12">
        <f>IF(LEFT(I5580,2)="MV",2*N5580*IF(L5580="1/C",O5580,1),0)</f>
        <v/>
      </c>
      <c r="Y5580" s="12">
        <f>IF(OR(LEFT(K5580,4)="LVAX",LEFT(K5580,6)="MV15AX",LEFT(K5580,4)="CTAX",LEFT(K5580,2)="W|"),2*N5580*O5580,0)</f>
        <v/>
      </c>
      <c r="Z5580" s="12" t="inlineStr"/>
      <c r="AA5580" s="12">
        <f>N5580*O5580</f>
        <v/>
      </c>
    </row>
    <row r="5581">
      <c r="A5581" s="12" t="inlineStr">
        <is>
          <t>K-I-0143</t>
        </is>
      </c>
      <c r="B5581" s="12" t="inlineStr">
        <is>
          <t>K</t>
        </is>
      </c>
      <c r="C5581" s="12" t="inlineStr">
        <is>
          <t>Fuel supply (adjacent market)</t>
        </is>
      </c>
      <c r="D5581" s="12" t="inlineStr">
        <is>
          <t>Analog instrument to JB JB-LNG 15: boil-off g-AI01: 12 x 1 pr (field cables)</t>
        </is>
      </c>
      <c r="E5581" s="12" t="inlineStr"/>
      <c r="F5581" s="12" t="inlineStr">
        <is>
          <t>LNG 15: boil-off gas compressor</t>
        </is>
      </c>
      <c r="G5581" s="12" t="inlineStr">
        <is>
          <t>JB-LNG 15: boil-off g-AI01</t>
        </is>
      </c>
      <c r="H5581" s="12" t="inlineStr">
        <is>
          <t>LNG 15: boil-off gas compressor</t>
        </is>
      </c>
      <c r="I5581" s="12" t="inlineStr">
        <is>
          <t>Instrumentation</t>
        </is>
      </c>
      <c r="J5581" s="12" t="inlineStr">
        <is>
          <t>Instrumentation ITC / PLTC, IS, #18 shielded pairs, blue jacket</t>
        </is>
      </c>
      <c r="K5581" s="12" t="inlineStr">
        <is>
          <t>ITC|1 pr|16</t>
        </is>
      </c>
      <c r="L5581" s="12" t="inlineStr">
        <is>
          <t>1 pr</t>
        </is>
      </c>
      <c r="M5581" s="12" t="inlineStr">
        <is>
          <t>16</t>
        </is>
      </c>
      <c r="N5581" s="12" t="n">
        <v>12</v>
      </c>
      <c r="O5581" s="12" t="n">
        <v>1</v>
      </c>
      <c r="P5581" s="12" t="n"/>
      <c r="Q5581" s="12" t="n"/>
      <c r="R5581" s="12" t="n"/>
      <c r="S5581" s="12" t="inlineStr">
        <is>
          <t>Tray / conduit</t>
        </is>
      </c>
      <c r="T5581" s="16" t="n">
        <v>67</v>
      </c>
      <c r="U5581" s="16" t="n">
        <v>10</v>
      </c>
      <c r="V5581" s="16">
        <f>ROUNDUP((T5581+U5581+2*'Read Me'!$B$13)*(1+'Read Me'!$B$12),-1)</f>
        <v/>
      </c>
      <c r="W5581" s="16">
        <f>V5581*N5581*O5581</f>
        <v/>
      </c>
      <c r="X5581" s="12">
        <f>IF(LEFT(I5581,2)="MV",2*N5581*IF(L5581="1/C",O5581,1),0)</f>
        <v/>
      </c>
      <c r="Y5581" s="12">
        <f>IF(OR(LEFT(K5581,4)="LVAX",LEFT(K5581,6)="MV15AX",LEFT(K5581,4)="CTAX",LEFT(K5581,2)="W|"),2*N5581*O5581,0)</f>
        <v/>
      </c>
      <c r="Z5581" s="12" t="inlineStr">
        <is>
          <t>device-to-JB field wiring, one cable per device</t>
        </is>
      </c>
      <c r="AA5581" s="12">
        <f>N5581*O5581</f>
        <v/>
      </c>
    </row>
    <row r="5582">
      <c r="A5582" s="12" t="inlineStr">
        <is>
          <t>K-I-0144</t>
        </is>
      </c>
      <c r="B5582" s="12" t="inlineStr">
        <is>
          <t>K</t>
        </is>
      </c>
      <c r="C5582" s="12" t="inlineStr">
        <is>
          <t>Fuel supply (adjacent market)</t>
        </is>
      </c>
      <c r="D5582" s="12" t="inlineStr">
        <is>
          <t>Home run JB-LNG 15: boil-off g-AI01 to the control / marshalling room</t>
        </is>
      </c>
      <c r="E5582" s="12" t="inlineStr"/>
      <c r="F5582" s="12" t="inlineStr">
        <is>
          <t>LNG 17: LNG e-house (13.8 kV / 480 V)</t>
        </is>
      </c>
      <c r="G5582" s="12" t="inlineStr">
        <is>
          <t>JB-LNG 15: boil-off g-AI01</t>
        </is>
      </c>
      <c r="H5582" s="12" t="inlineStr">
        <is>
          <t>LNG 15: boil-off gas compressor</t>
        </is>
      </c>
      <c r="I5582" s="12" t="inlineStr">
        <is>
          <t>Instrumentation</t>
        </is>
      </c>
      <c r="J5582" s="12" t="inlineStr">
        <is>
          <t>Instrumentation ITC / PLTC, IS, #18 shielded pairs, blue jacket</t>
        </is>
      </c>
      <c r="K5582" s="12" t="inlineStr">
        <is>
          <t>ITC|24 pr|18</t>
        </is>
      </c>
      <c r="L5582" s="12" t="inlineStr">
        <is>
          <t>24 pr</t>
        </is>
      </c>
      <c r="M5582" s="12" t="inlineStr">
        <is>
          <t>18</t>
        </is>
      </c>
      <c r="N5582" s="12" t="n">
        <v>1</v>
      </c>
      <c r="O5582" s="12" t="n">
        <v>1</v>
      </c>
      <c r="P5582" s="12" t="n"/>
      <c r="Q5582" s="12" t="n"/>
      <c r="R5582" s="12" t="n"/>
      <c r="S5582" s="12" t="inlineStr">
        <is>
          <t>Duct bank</t>
        </is>
      </c>
      <c r="T5582" s="16" t="n">
        <v>25</v>
      </c>
      <c r="U5582" s="16" t="n">
        <v>54</v>
      </c>
      <c r="V5582" s="16">
        <f>ROUNDUP((T5582+U5582+2*'Read Me'!$B$13)*(1+'Read Me'!$B$12),-1)</f>
        <v/>
      </c>
      <c r="W5582" s="16">
        <f>V5582*N5582*O5582</f>
        <v/>
      </c>
      <c r="X5582" s="12">
        <f>IF(LEFT(I5582,2)="MV",2*N5582*IF(L5582="1/C",O5582,1),0)</f>
        <v/>
      </c>
      <c r="Y5582" s="12">
        <f>IF(OR(LEFT(K5582,4)="LVAX",LEFT(K5582,6)="MV15AX",LEFT(K5582,4)="CTAX",LEFT(K5582,2)="W|"),2*N5582*O5582,0)</f>
        <v/>
      </c>
      <c r="Z5582" s="12" t="inlineStr"/>
      <c r="AA5582" s="12">
        <f>N5582*O5582</f>
        <v/>
      </c>
    </row>
    <row r="5583">
      <c r="A5583" s="12" t="inlineStr">
        <is>
          <t>K-I-0145</t>
        </is>
      </c>
      <c r="B5583" s="12" t="inlineStr">
        <is>
          <t>K</t>
        </is>
      </c>
      <c r="C5583" s="12" t="inlineStr">
        <is>
          <t>Fuel supply (adjacent market)</t>
        </is>
      </c>
      <c r="D5583" s="12" t="inlineStr">
        <is>
          <t>Discrete device to JB JB-LNG 15: boil-off g-DI01: 12 x 1 pr (field cables)</t>
        </is>
      </c>
      <c r="E5583" s="12" t="inlineStr"/>
      <c r="F5583" s="12" t="inlineStr">
        <is>
          <t>LNG 15: boil-off gas compressor</t>
        </is>
      </c>
      <c r="G5583" s="12" t="inlineStr">
        <is>
          <t>JB-LNG 15: boil-off g-DI01</t>
        </is>
      </c>
      <c r="H5583" s="12" t="inlineStr">
        <is>
          <t>LNG 15: boil-off gas compressor</t>
        </is>
      </c>
      <c r="I5583" s="12" t="inlineStr">
        <is>
          <t>Instrumentation</t>
        </is>
      </c>
      <c r="J5583" s="12" t="inlineStr">
        <is>
          <t>Instrumentation ITC / PLTC, IS, #18 shielded pairs, blue jacket</t>
        </is>
      </c>
      <c r="K5583" s="12" t="inlineStr">
        <is>
          <t>ITC|1 pr|16</t>
        </is>
      </c>
      <c r="L5583" s="12" t="inlineStr">
        <is>
          <t>1 pr</t>
        </is>
      </c>
      <c r="M5583" s="12" t="inlineStr">
        <is>
          <t>16</t>
        </is>
      </c>
      <c r="N5583" s="12" t="n">
        <v>12</v>
      </c>
      <c r="O5583" s="12" t="n">
        <v>1</v>
      </c>
      <c r="P5583" s="12" t="n"/>
      <c r="Q5583" s="12" t="n"/>
      <c r="R5583" s="12" t="n"/>
      <c r="S5583" s="12" t="inlineStr">
        <is>
          <t>Tray / conduit</t>
        </is>
      </c>
      <c r="T5583" s="16" t="n">
        <v>67</v>
      </c>
      <c r="U5583" s="16" t="n">
        <v>10</v>
      </c>
      <c r="V5583" s="16">
        <f>ROUNDUP((T5583+U5583+2*'Read Me'!$B$13)*(1+'Read Me'!$B$12),-1)</f>
        <v/>
      </c>
      <c r="W5583" s="16">
        <f>V5583*N5583*O5583</f>
        <v/>
      </c>
      <c r="X5583" s="12">
        <f>IF(LEFT(I5583,2)="MV",2*N5583*IF(L5583="1/C",O5583,1),0)</f>
        <v/>
      </c>
      <c r="Y5583" s="12">
        <f>IF(OR(LEFT(K5583,4)="LVAX",LEFT(K5583,6)="MV15AX",LEFT(K5583,4)="CTAX",LEFT(K5583,2)="W|"),2*N5583*O5583,0)</f>
        <v/>
      </c>
      <c r="Z5583" s="12" t="inlineStr">
        <is>
          <t>device-to-JB field wiring, one cable per device</t>
        </is>
      </c>
      <c r="AA5583" s="12">
        <f>N5583*O5583</f>
        <v/>
      </c>
    </row>
    <row r="5584">
      <c r="A5584" s="12" t="inlineStr">
        <is>
          <t>K-I-0146</t>
        </is>
      </c>
      <c r="B5584" s="12" t="inlineStr">
        <is>
          <t>K</t>
        </is>
      </c>
      <c r="C5584" s="12" t="inlineStr">
        <is>
          <t>Fuel supply (adjacent market)</t>
        </is>
      </c>
      <c r="D5584" s="12" t="inlineStr">
        <is>
          <t>Home run JB-LNG 15: boil-off g-DI01 to the control / marshalling room</t>
        </is>
      </c>
      <c r="E5584" s="12" t="inlineStr"/>
      <c r="F5584" s="12" t="inlineStr">
        <is>
          <t>LNG 17: LNG e-house (13.8 kV / 480 V)</t>
        </is>
      </c>
      <c r="G5584" s="12" t="inlineStr">
        <is>
          <t>JB-LNG 15: boil-off g-DI01</t>
        </is>
      </c>
      <c r="H5584" s="12" t="inlineStr">
        <is>
          <t>LNG 15: boil-off gas compressor</t>
        </is>
      </c>
      <c r="I5584" s="12" t="inlineStr">
        <is>
          <t>Instrumentation</t>
        </is>
      </c>
      <c r="J5584" s="12" t="inlineStr">
        <is>
          <t>Instrumentation ITC / PLTC, IS, #18 shielded pairs, blue jacket</t>
        </is>
      </c>
      <c r="K5584" s="12" t="inlineStr">
        <is>
          <t>ITC|24 pr|18</t>
        </is>
      </c>
      <c r="L5584" s="12" t="inlineStr">
        <is>
          <t>24 pr</t>
        </is>
      </c>
      <c r="M5584" s="12" t="inlineStr">
        <is>
          <t>18</t>
        </is>
      </c>
      <c r="N5584" s="12" t="n">
        <v>1</v>
      </c>
      <c r="O5584" s="12" t="n">
        <v>1</v>
      </c>
      <c r="P5584" s="12" t="n"/>
      <c r="Q5584" s="12" t="n"/>
      <c r="R5584" s="12" t="n"/>
      <c r="S5584" s="12" t="inlineStr">
        <is>
          <t>Duct bank</t>
        </is>
      </c>
      <c r="T5584" s="16" t="n">
        <v>25</v>
      </c>
      <c r="U5584" s="16" t="n">
        <v>54</v>
      </c>
      <c r="V5584" s="16">
        <f>ROUNDUP((T5584+U5584+2*'Read Me'!$B$13)*(1+'Read Me'!$B$12),-1)</f>
        <v/>
      </c>
      <c r="W5584" s="16">
        <f>V5584*N5584*O5584</f>
        <v/>
      </c>
      <c r="X5584" s="12">
        <f>IF(LEFT(I5584,2)="MV",2*N5584*IF(L5584="1/C",O5584,1),0)</f>
        <v/>
      </c>
      <c r="Y5584" s="12">
        <f>IF(OR(LEFT(K5584,4)="LVAX",LEFT(K5584,6)="MV15AX",LEFT(K5584,4)="CTAX",LEFT(K5584,2)="W|"),2*N5584*O5584,0)</f>
        <v/>
      </c>
      <c r="Z5584" s="12" t="inlineStr"/>
      <c r="AA5584" s="12">
        <f>N5584*O5584</f>
        <v/>
      </c>
    </row>
    <row r="5585">
      <c r="A5585" s="12" t="inlineStr">
        <is>
          <t>K-I-0147</t>
        </is>
      </c>
      <c r="B5585" s="12" t="inlineStr">
        <is>
          <t>K</t>
        </is>
      </c>
      <c r="C5585" s="12" t="inlineStr">
        <is>
          <t>Fuel supply (adjacent market)</t>
        </is>
      </c>
      <c r="D5585" s="12" t="inlineStr">
        <is>
          <t>Analog instrument to JB JB-LNG 16: send-out m-AI01: 12 x 1 pr (field cables)</t>
        </is>
      </c>
      <c r="E5585" s="12" t="inlineStr"/>
      <c r="F5585" s="12" t="inlineStr">
        <is>
          <t>LNG 16: send-out metering + pressure control</t>
        </is>
      </c>
      <c r="G5585" s="12" t="inlineStr">
        <is>
          <t>JB-LNG 16: send-out m-AI01</t>
        </is>
      </c>
      <c r="H5585" s="12" t="inlineStr">
        <is>
          <t>LNG 16: send-out metering + pressure control</t>
        </is>
      </c>
      <c r="I5585" s="12" t="inlineStr">
        <is>
          <t>Instrumentation</t>
        </is>
      </c>
      <c r="J5585" s="12" t="inlineStr">
        <is>
          <t>Instrumentation ITC / PLTC, IS, #18 shielded pairs, blue jacket</t>
        </is>
      </c>
      <c r="K5585" s="12" t="inlineStr">
        <is>
          <t>ITC|1 pr|16</t>
        </is>
      </c>
      <c r="L5585" s="12" t="inlineStr">
        <is>
          <t>1 pr</t>
        </is>
      </c>
      <c r="M5585" s="12" t="inlineStr">
        <is>
          <t>16</t>
        </is>
      </c>
      <c r="N5585" s="12" t="n">
        <v>12</v>
      </c>
      <c r="O5585" s="12" t="n">
        <v>1</v>
      </c>
      <c r="P5585" s="12" t="n"/>
      <c r="Q5585" s="12" t="n"/>
      <c r="R5585" s="12" t="n"/>
      <c r="S5585" s="12" t="inlineStr">
        <is>
          <t>Tray / conduit</t>
        </is>
      </c>
      <c r="T5585" s="16" t="n">
        <v>74</v>
      </c>
      <c r="U5585" s="16" t="n">
        <v>10</v>
      </c>
      <c r="V5585" s="16">
        <f>ROUNDUP((T5585+U5585+2*'Read Me'!$B$13)*(1+'Read Me'!$B$12),-1)</f>
        <v/>
      </c>
      <c r="W5585" s="16">
        <f>V5585*N5585*O5585</f>
        <v/>
      </c>
      <c r="X5585" s="12">
        <f>IF(LEFT(I5585,2)="MV",2*N5585*IF(L5585="1/C",O5585,1),0)</f>
        <v/>
      </c>
      <c r="Y5585" s="12">
        <f>IF(OR(LEFT(K5585,4)="LVAX",LEFT(K5585,6)="MV15AX",LEFT(K5585,4)="CTAX",LEFT(K5585,2)="W|"),2*N5585*O5585,0)</f>
        <v/>
      </c>
      <c r="Z5585" s="12" t="inlineStr">
        <is>
          <t>device-to-JB field wiring, one cable per device</t>
        </is>
      </c>
      <c r="AA5585" s="12">
        <f>N5585*O5585</f>
        <v/>
      </c>
    </row>
    <row r="5586">
      <c r="A5586" s="12" t="inlineStr">
        <is>
          <t>K-I-0148</t>
        </is>
      </c>
      <c r="B5586" s="12" t="inlineStr">
        <is>
          <t>K</t>
        </is>
      </c>
      <c r="C5586" s="12" t="inlineStr">
        <is>
          <t>Fuel supply (adjacent market)</t>
        </is>
      </c>
      <c r="D5586" s="12" t="inlineStr">
        <is>
          <t>Home run JB-LNG 16: send-out m-AI01 to the control / marshalling room</t>
        </is>
      </c>
      <c r="E5586" s="12" t="inlineStr"/>
      <c r="F5586" s="12" t="inlineStr">
        <is>
          <t>LNG 17: LNG e-house (13.8 kV / 480 V)</t>
        </is>
      </c>
      <c r="G5586" s="12" t="inlineStr">
        <is>
          <t>JB-LNG 16: send-out m-AI01</t>
        </is>
      </c>
      <c r="H5586" s="12" t="inlineStr">
        <is>
          <t>LNG 16: send-out metering + pressure control</t>
        </is>
      </c>
      <c r="I5586" s="12" t="inlineStr">
        <is>
          <t>Instrumentation</t>
        </is>
      </c>
      <c r="J5586" s="12" t="inlineStr">
        <is>
          <t>Instrumentation ITC / PLTC, IS, #18 shielded pairs, blue jacket</t>
        </is>
      </c>
      <c r="K5586" s="12" t="inlineStr">
        <is>
          <t>ITC|24 pr|18</t>
        </is>
      </c>
      <c r="L5586" s="12" t="inlineStr">
        <is>
          <t>24 pr</t>
        </is>
      </c>
      <c r="M5586" s="12" t="inlineStr">
        <is>
          <t>18</t>
        </is>
      </c>
      <c r="N5586" s="12" t="n">
        <v>1</v>
      </c>
      <c r="O5586" s="12" t="n">
        <v>1</v>
      </c>
      <c r="P5586" s="12" t="n"/>
      <c r="Q5586" s="12" t="n"/>
      <c r="R5586" s="12" t="n"/>
      <c r="S5586" s="12" t="inlineStr">
        <is>
          <t>Duct bank</t>
        </is>
      </c>
      <c r="T5586" s="16" t="n">
        <v>20</v>
      </c>
      <c r="U5586" s="16" t="n">
        <v>32</v>
      </c>
      <c r="V5586" s="16">
        <f>ROUNDUP((T5586+U5586+2*'Read Me'!$B$13)*(1+'Read Me'!$B$12),-1)</f>
        <v/>
      </c>
      <c r="W5586" s="16">
        <f>V5586*N5586*O5586</f>
        <v/>
      </c>
      <c r="X5586" s="12">
        <f>IF(LEFT(I5586,2)="MV",2*N5586*IF(L5586="1/C",O5586,1),0)</f>
        <v/>
      </c>
      <c r="Y5586" s="12">
        <f>IF(OR(LEFT(K5586,4)="LVAX",LEFT(K5586,6)="MV15AX",LEFT(K5586,4)="CTAX",LEFT(K5586,2)="W|"),2*N5586*O5586,0)</f>
        <v/>
      </c>
      <c r="Z5586" s="12" t="inlineStr"/>
      <c r="AA5586" s="12">
        <f>N5586*O5586</f>
        <v/>
      </c>
    </row>
    <row r="5587">
      <c r="A5587" s="12" t="inlineStr">
        <is>
          <t>K-I-0149</t>
        </is>
      </c>
      <c r="B5587" s="12" t="inlineStr">
        <is>
          <t>K</t>
        </is>
      </c>
      <c r="C5587" s="12" t="inlineStr">
        <is>
          <t>Fuel supply (adjacent market)</t>
        </is>
      </c>
      <c r="D5587" s="12" t="inlineStr">
        <is>
          <t>Discrete device to JB JB-LNG 16: send-out m-DI01: 12 x 1 pr (field cables)</t>
        </is>
      </c>
      <c r="E5587" s="12" t="inlineStr"/>
      <c r="F5587" s="12" t="inlineStr">
        <is>
          <t>LNG 16: send-out metering + pressure control</t>
        </is>
      </c>
      <c r="G5587" s="12" t="inlineStr">
        <is>
          <t>JB-LNG 16: send-out m-DI01</t>
        </is>
      </c>
      <c r="H5587" s="12" t="inlineStr">
        <is>
          <t>LNG 16: send-out metering + pressure control</t>
        </is>
      </c>
      <c r="I5587" s="12" t="inlineStr">
        <is>
          <t>Instrumentation</t>
        </is>
      </c>
      <c r="J5587" s="12" t="inlineStr">
        <is>
          <t>Instrumentation ITC / PLTC, IS, #18 shielded pairs, blue jacket</t>
        </is>
      </c>
      <c r="K5587" s="12" t="inlineStr">
        <is>
          <t>ITC|1 pr|16</t>
        </is>
      </c>
      <c r="L5587" s="12" t="inlineStr">
        <is>
          <t>1 pr</t>
        </is>
      </c>
      <c r="M5587" s="12" t="inlineStr">
        <is>
          <t>16</t>
        </is>
      </c>
      <c r="N5587" s="12" t="n">
        <v>12</v>
      </c>
      <c r="O5587" s="12" t="n">
        <v>1</v>
      </c>
      <c r="P5587" s="12" t="n"/>
      <c r="Q5587" s="12" t="n"/>
      <c r="R5587" s="12" t="n"/>
      <c r="S5587" s="12" t="inlineStr">
        <is>
          <t>Tray / conduit</t>
        </is>
      </c>
      <c r="T5587" s="16" t="n">
        <v>74</v>
      </c>
      <c r="U5587" s="16" t="n">
        <v>10</v>
      </c>
      <c r="V5587" s="16">
        <f>ROUNDUP((T5587+U5587+2*'Read Me'!$B$13)*(1+'Read Me'!$B$12),-1)</f>
        <v/>
      </c>
      <c r="W5587" s="16">
        <f>V5587*N5587*O5587</f>
        <v/>
      </c>
      <c r="X5587" s="12">
        <f>IF(LEFT(I5587,2)="MV",2*N5587*IF(L5587="1/C",O5587,1),0)</f>
        <v/>
      </c>
      <c r="Y5587" s="12">
        <f>IF(OR(LEFT(K5587,4)="LVAX",LEFT(K5587,6)="MV15AX",LEFT(K5587,4)="CTAX",LEFT(K5587,2)="W|"),2*N5587*O5587,0)</f>
        <v/>
      </c>
      <c r="Z5587" s="12" t="inlineStr">
        <is>
          <t>device-to-JB field wiring, one cable per device</t>
        </is>
      </c>
      <c r="AA5587" s="12">
        <f>N5587*O5587</f>
        <v/>
      </c>
    </row>
    <row r="5588">
      <c r="A5588" s="12" t="inlineStr">
        <is>
          <t>K-I-0150</t>
        </is>
      </c>
      <c r="B5588" s="12" t="inlineStr">
        <is>
          <t>K</t>
        </is>
      </c>
      <c r="C5588" s="12" t="inlineStr">
        <is>
          <t>Fuel supply (adjacent market)</t>
        </is>
      </c>
      <c r="D5588" s="12" t="inlineStr">
        <is>
          <t>Home run JB-LNG 16: send-out m-DI01 to the control / marshalling room</t>
        </is>
      </c>
      <c r="E5588" s="12" t="inlineStr"/>
      <c r="F5588" s="12" t="inlineStr">
        <is>
          <t>LNG 17: LNG e-house (13.8 kV / 480 V)</t>
        </is>
      </c>
      <c r="G5588" s="12" t="inlineStr">
        <is>
          <t>JB-LNG 16: send-out m-DI01</t>
        </is>
      </c>
      <c r="H5588" s="12" t="inlineStr">
        <is>
          <t>LNG 16: send-out metering + pressure control</t>
        </is>
      </c>
      <c r="I5588" s="12" t="inlineStr">
        <is>
          <t>Instrumentation</t>
        </is>
      </c>
      <c r="J5588" s="12" t="inlineStr">
        <is>
          <t>Instrumentation ITC / PLTC, IS, #18 shielded pairs, blue jacket</t>
        </is>
      </c>
      <c r="K5588" s="12" t="inlineStr">
        <is>
          <t>ITC|24 pr|18</t>
        </is>
      </c>
      <c r="L5588" s="12" t="inlineStr">
        <is>
          <t>24 pr</t>
        </is>
      </c>
      <c r="M5588" s="12" t="inlineStr">
        <is>
          <t>18</t>
        </is>
      </c>
      <c r="N5588" s="12" t="n">
        <v>1</v>
      </c>
      <c r="O5588" s="12" t="n">
        <v>1</v>
      </c>
      <c r="P5588" s="12" t="n"/>
      <c r="Q5588" s="12" t="n"/>
      <c r="R5588" s="12" t="n"/>
      <c r="S5588" s="12" t="inlineStr">
        <is>
          <t>Duct bank</t>
        </is>
      </c>
      <c r="T5588" s="16" t="n">
        <v>20</v>
      </c>
      <c r="U5588" s="16" t="n">
        <v>32</v>
      </c>
      <c r="V5588" s="16">
        <f>ROUNDUP((T5588+U5588+2*'Read Me'!$B$13)*(1+'Read Me'!$B$12),-1)</f>
        <v/>
      </c>
      <c r="W5588" s="16">
        <f>V5588*N5588*O5588</f>
        <v/>
      </c>
      <c r="X5588" s="12">
        <f>IF(LEFT(I5588,2)="MV",2*N5588*IF(L5588="1/C",O5588,1),0)</f>
        <v/>
      </c>
      <c r="Y5588" s="12">
        <f>IF(OR(LEFT(K5588,4)="LVAX",LEFT(K5588,6)="MV15AX",LEFT(K5588,4)="CTAX",LEFT(K5588,2)="W|"),2*N5588*O5588,0)</f>
        <v/>
      </c>
      <c r="Z5588" s="12" t="inlineStr"/>
      <c r="AA5588" s="12">
        <f>N5588*O5588</f>
        <v/>
      </c>
    </row>
    <row r="5589">
      <c r="A5589" s="12" t="inlineStr">
        <is>
          <t>K-I-0151</t>
        </is>
      </c>
      <c r="B5589" s="12" t="inlineStr">
        <is>
          <t>K</t>
        </is>
      </c>
      <c r="C5589" s="12" t="inlineStr">
        <is>
          <t>Fuel supply (adjacent market)</t>
        </is>
      </c>
      <c r="D5589" s="12" t="inlineStr">
        <is>
          <t>Analog instrument to JB JB-LNG 17: LNG e-hous-AI01: 12 x 1 pr (field cables)</t>
        </is>
      </c>
      <c r="E5589" s="12" t="inlineStr"/>
      <c r="F5589" s="12" t="inlineStr">
        <is>
          <t>LNG 17: LNG e-house (13.8 kV / 480 V)</t>
        </is>
      </c>
      <c r="G5589" s="12" t="inlineStr">
        <is>
          <t>JB-LNG 17: LNG e-hous-AI01</t>
        </is>
      </c>
      <c r="H5589" s="12" t="inlineStr">
        <is>
          <t>LNG 17: LNG e-house (13.8 kV / 480 V)</t>
        </is>
      </c>
      <c r="I5589" s="12" t="inlineStr">
        <is>
          <t>Instrumentation</t>
        </is>
      </c>
      <c r="J5589" s="12" t="inlineStr">
        <is>
          <t>Instrumentation ITC / PLTC, IS, #18 shielded pairs, blue jacket</t>
        </is>
      </c>
      <c r="K5589" s="12" t="inlineStr">
        <is>
          <t>ITC|1 pr|16</t>
        </is>
      </c>
      <c r="L5589" s="12" t="inlineStr">
        <is>
          <t>1 pr</t>
        </is>
      </c>
      <c r="M5589" s="12" t="inlineStr">
        <is>
          <t>16</t>
        </is>
      </c>
      <c r="N5589" s="12" t="n">
        <v>12</v>
      </c>
      <c r="O5589" s="12" t="n">
        <v>1</v>
      </c>
      <c r="P5589" s="12" t="n"/>
      <c r="Q5589" s="12" t="n"/>
      <c r="R5589" s="12" t="n"/>
      <c r="S5589" s="12" t="inlineStr">
        <is>
          <t>Tray / conduit</t>
        </is>
      </c>
      <c r="T5589" s="16" t="n">
        <v>58</v>
      </c>
      <c r="U5589" s="16" t="n">
        <v>10</v>
      </c>
      <c r="V5589" s="16">
        <f>ROUNDUP((T5589+U5589+2*'Read Me'!$B$13)*(1+'Read Me'!$B$12),-1)</f>
        <v/>
      </c>
      <c r="W5589" s="16">
        <f>V5589*N5589*O5589</f>
        <v/>
      </c>
      <c r="X5589" s="12">
        <f>IF(LEFT(I5589,2)="MV",2*N5589*IF(L5589="1/C",O5589,1),0)</f>
        <v/>
      </c>
      <c r="Y5589" s="12">
        <f>IF(OR(LEFT(K5589,4)="LVAX",LEFT(K5589,6)="MV15AX",LEFT(K5589,4)="CTAX",LEFT(K5589,2)="W|"),2*N5589*O5589,0)</f>
        <v/>
      </c>
      <c r="Z5589" s="12" t="inlineStr">
        <is>
          <t>device-to-JB field wiring, one cable per device</t>
        </is>
      </c>
      <c r="AA5589" s="12">
        <f>N5589*O5589</f>
        <v/>
      </c>
    </row>
    <row r="5590">
      <c r="A5590" s="12" t="inlineStr">
        <is>
          <t>K-I-0152</t>
        </is>
      </c>
      <c r="B5590" s="12" t="inlineStr">
        <is>
          <t>K</t>
        </is>
      </c>
      <c r="C5590" s="12" t="inlineStr">
        <is>
          <t>Fuel supply (adjacent market)</t>
        </is>
      </c>
      <c r="D5590" s="12" t="inlineStr">
        <is>
          <t>Home run JB-LNG 17: LNG e-hous-AI01 to the control / marshalling room</t>
        </is>
      </c>
      <c r="E5590" s="12" t="inlineStr"/>
      <c r="F5590" s="12" t="inlineStr">
        <is>
          <t>LNG 17: LNG e-house (13.8 kV / 480 V)</t>
        </is>
      </c>
      <c r="G5590" s="12" t="inlineStr">
        <is>
          <t>JB-LNG 17: LNG e-hous-AI01</t>
        </is>
      </c>
      <c r="H5590" s="12" t="inlineStr">
        <is>
          <t>LNG 17: LNG e-house (13.8 kV / 480 V)</t>
        </is>
      </c>
      <c r="I5590" s="12" t="inlineStr">
        <is>
          <t>Instrumentation</t>
        </is>
      </c>
      <c r="J5590" s="12" t="inlineStr">
        <is>
          <t>Instrumentation ITC / PLTC, IS, #18 shielded pairs, blue jacket</t>
        </is>
      </c>
      <c r="K5590" s="12" t="inlineStr">
        <is>
          <t>ITC|24 pr|18</t>
        </is>
      </c>
      <c r="L5590" s="12" t="inlineStr">
        <is>
          <t>24 pr</t>
        </is>
      </c>
      <c r="M5590" s="12" t="inlineStr">
        <is>
          <t>18</t>
        </is>
      </c>
      <c r="N5590" s="12" t="n">
        <v>1</v>
      </c>
      <c r="O5590" s="12" t="n">
        <v>1</v>
      </c>
      <c r="P5590" s="12" t="n"/>
      <c r="Q5590" s="12" t="n"/>
      <c r="R5590" s="12" t="n"/>
      <c r="S5590" s="12" t="inlineStr">
        <is>
          <t>Tray</t>
        </is>
      </c>
      <c r="T5590" s="16" t="n">
        <v>0</v>
      </c>
      <c r="U5590" s="16" t="n">
        <v>32</v>
      </c>
      <c r="V5590" s="16">
        <f>ROUNDUP((T5590+U5590+2*'Read Me'!$B$13)*(1+'Read Me'!$B$12),-1)</f>
        <v/>
      </c>
      <c r="W5590" s="16">
        <f>V5590*N5590*O5590</f>
        <v/>
      </c>
      <c r="X5590" s="12">
        <f>IF(LEFT(I5590,2)="MV",2*N5590*IF(L5590="1/C",O5590,1),0)</f>
        <v/>
      </c>
      <c r="Y5590" s="12">
        <f>IF(OR(LEFT(K5590,4)="LVAX",LEFT(K5590,6)="MV15AX",LEFT(K5590,4)="CTAX",LEFT(K5590,2)="W|"),2*N5590*O5590,0)</f>
        <v/>
      </c>
      <c r="Z5590" s="12" t="inlineStr"/>
      <c r="AA5590" s="12">
        <f>N5590*O5590</f>
        <v/>
      </c>
    </row>
    <row r="5591">
      <c r="A5591" s="12" t="inlineStr">
        <is>
          <t>K-I-0153</t>
        </is>
      </c>
      <c r="B5591" s="12" t="inlineStr">
        <is>
          <t>K</t>
        </is>
      </c>
      <c r="C5591" s="12" t="inlineStr">
        <is>
          <t>Fuel supply (adjacent market)</t>
        </is>
      </c>
      <c r="D5591" s="12" t="inlineStr">
        <is>
          <t>Discrete device to JB JB-LNG 17: LNG e-hous-DI01: 12 x 1 pr (field cables)</t>
        </is>
      </c>
      <c r="E5591" s="12" t="inlineStr"/>
      <c r="F5591" s="12" t="inlineStr">
        <is>
          <t>LNG 17: LNG e-house (13.8 kV / 480 V)</t>
        </is>
      </c>
      <c r="G5591" s="12" t="inlineStr">
        <is>
          <t>JB-LNG 17: LNG e-hous-DI01</t>
        </is>
      </c>
      <c r="H5591" s="12" t="inlineStr">
        <is>
          <t>LNG 17: LNG e-house (13.8 kV / 480 V)</t>
        </is>
      </c>
      <c r="I5591" s="12" t="inlineStr">
        <is>
          <t>Instrumentation</t>
        </is>
      </c>
      <c r="J5591" s="12" t="inlineStr">
        <is>
          <t>Instrumentation ITC / PLTC, IS, #18 shielded pairs, blue jacket</t>
        </is>
      </c>
      <c r="K5591" s="12" t="inlineStr">
        <is>
          <t>ITC|1 pr|16</t>
        </is>
      </c>
      <c r="L5591" s="12" t="inlineStr">
        <is>
          <t>1 pr</t>
        </is>
      </c>
      <c r="M5591" s="12" t="inlineStr">
        <is>
          <t>16</t>
        </is>
      </c>
      <c r="N5591" s="12" t="n">
        <v>12</v>
      </c>
      <c r="O5591" s="12" t="n">
        <v>1</v>
      </c>
      <c r="P5591" s="12" t="n"/>
      <c r="Q5591" s="12" t="n"/>
      <c r="R5591" s="12" t="n"/>
      <c r="S5591" s="12" t="inlineStr">
        <is>
          <t>Tray / conduit</t>
        </is>
      </c>
      <c r="T5591" s="16" t="n">
        <v>58</v>
      </c>
      <c r="U5591" s="16" t="n">
        <v>10</v>
      </c>
      <c r="V5591" s="16">
        <f>ROUNDUP((T5591+U5591+2*'Read Me'!$B$13)*(1+'Read Me'!$B$12),-1)</f>
        <v/>
      </c>
      <c r="W5591" s="16">
        <f>V5591*N5591*O5591</f>
        <v/>
      </c>
      <c r="X5591" s="12">
        <f>IF(LEFT(I5591,2)="MV",2*N5591*IF(L5591="1/C",O5591,1),0)</f>
        <v/>
      </c>
      <c r="Y5591" s="12">
        <f>IF(OR(LEFT(K5591,4)="LVAX",LEFT(K5591,6)="MV15AX",LEFT(K5591,4)="CTAX",LEFT(K5591,2)="W|"),2*N5591*O5591,0)</f>
        <v/>
      </c>
      <c r="Z5591" s="12" t="inlineStr">
        <is>
          <t>device-to-JB field wiring, one cable per device</t>
        </is>
      </c>
      <c r="AA5591" s="12">
        <f>N5591*O5591</f>
        <v/>
      </c>
    </row>
    <row r="5592">
      <c r="A5592" s="12" t="inlineStr">
        <is>
          <t>K-I-0154</t>
        </is>
      </c>
      <c r="B5592" s="12" t="inlineStr">
        <is>
          <t>K</t>
        </is>
      </c>
      <c r="C5592" s="12" t="inlineStr">
        <is>
          <t>Fuel supply (adjacent market)</t>
        </is>
      </c>
      <c r="D5592" s="12" t="inlineStr">
        <is>
          <t>Home run JB-LNG 17: LNG e-hous-DI01 to the control / marshalling room</t>
        </is>
      </c>
      <c r="E5592" s="12" t="inlineStr"/>
      <c r="F5592" s="12" t="inlineStr">
        <is>
          <t>LNG 17: LNG e-house (13.8 kV / 480 V)</t>
        </is>
      </c>
      <c r="G5592" s="12" t="inlineStr">
        <is>
          <t>JB-LNG 17: LNG e-hous-DI01</t>
        </is>
      </c>
      <c r="H5592" s="12" t="inlineStr">
        <is>
          <t>LNG 17: LNG e-house (13.8 kV / 480 V)</t>
        </is>
      </c>
      <c r="I5592" s="12" t="inlineStr">
        <is>
          <t>Instrumentation</t>
        </is>
      </c>
      <c r="J5592" s="12" t="inlineStr">
        <is>
          <t>Instrumentation ITC / PLTC, IS, #18 shielded pairs, blue jacket</t>
        </is>
      </c>
      <c r="K5592" s="12" t="inlineStr">
        <is>
          <t>ITC|24 pr|18</t>
        </is>
      </c>
      <c r="L5592" s="12" t="inlineStr">
        <is>
          <t>24 pr</t>
        </is>
      </c>
      <c r="M5592" s="12" t="inlineStr">
        <is>
          <t>18</t>
        </is>
      </c>
      <c r="N5592" s="12" t="n">
        <v>1</v>
      </c>
      <c r="O5592" s="12" t="n">
        <v>1</v>
      </c>
      <c r="P5592" s="12" t="n"/>
      <c r="Q5592" s="12" t="n"/>
      <c r="R5592" s="12" t="n"/>
      <c r="S5592" s="12" t="inlineStr">
        <is>
          <t>Tray</t>
        </is>
      </c>
      <c r="T5592" s="16" t="n">
        <v>0</v>
      </c>
      <c r="U5592" s="16" t="n">
        <v>32</v>
      </c>
      <c r="V5592" s="16">
        <f>ROUNDUP((T5592+U5592+2*'Read Me'!$B$13)*(1+'Read Me'!$B$12),-1)</f>
        <v/>
      </c>
      <c r="W5592" s="16">
        <f>V5592*N5592*O5592</f>
        <v/>
      </c>
      <c r="X5592" s="12">
        <f>IF(LEFT(I5592,2)="MV",2*N5592*IF(L5592="1/C",O5592,1),0)</f>
        <v/>
      </c>
      <c r="Y5592" s="12">
        <f>IF(OR(LEFT(K5592,4)="LVAX",LEFT(K5592,6)="MV15AX",LEFT(K5592,4)="CTAX",LEFT(K5592,2)="W|"),2*N5592*O5592,0)</f>
        <v/>
      </c>
      <c r="Z5592" s="12" t="inlineStr"/>
      <c r="AA5592" s="12">
        <f>N5592*O5592</f>
        <v/>
      </c>
    </row>
    <row r="5593">
      <c r="A5593" s="12" t="inlineStr">
        <is>
          <t>K-I-0155</t>
        </is>
      </c>
      <c r="B5593" s="12" t="inlineStr">
        <is>
          <t>K</t>
        </is>
      </c>
      <c r="C5593" s="12" t="inlineStr">
        <is>
          <t>Fuel supply (adjacent market)</t>
        </is>
      </c>
      <c r="D5593" s="12" t="inlineStr">
        <is>
          <t>Analog instrument to JB JB-LNG 18: vent stack-AI01: 12 x 1 pr (field cables)</t>
        </is>
      </c>
      <c r="E5593" s="12" t="inlineStr"/>
      <c r="F5593" s="12" t="inlineStr">
        <is>
          <t>LNG 18: vent stack</t>
        </is>
      </c>
      <c r="G5593" s="12" t="inlineStr">
        <is>
          <t>JB-LNG 18: vent stack-AI01</t>
        </is>
      </c>
      <c r="H5593" s="12" t="inlineStr">
        <is>
          <t>LNG 18: vent stack</t>
        </is>
      </c>
      <c r="I5593" s="12" t="inlineStr">
        <is>
          <t>Instrumentation</t>
        </is>
      </c>
      <c r="J5593" s="12" t="inlineStr">
        <is>
          <t>Instrumentation ITC / PLTC, IS, #18 shielded pairs, blue jacket</t>
        </is>
      </c>
      <c r="K5593" s="12" t="inlineStr">
        <is>
          <t>ITC|1 pr|16</t>
        </is>
      </c>
      <c r="L5593" s="12" t="inlineStr">
        <is>
          <t>1 pr</t>
        </is>
      </c>
      <c r="M5593" s="12" t="inlineStr">
        <is>
          <t>16</t>
        </is>
      </c>
      <c r="N5593" s="12" t="n">
        <v>12</v>
      </c>
      <c r="O5593" s="12" t="n">
        <v>1</v>
      </c>
      <c r="P5593" s="12" t="n"/>
      <c r="Q5593" s="12" t="n"/>
      <c r="R5593" s="12" t="n"/>
      <c r="S5593" s="12" t="inlineStr">
        <is>
          <t>Tray / conduit</t>
        </is>
      </c>
      <c r="T5593" s="16" t="n">
        <v>55</v>
      </c>
      <c r="U5593" s="16" t="n">
        <v>10</v>
      </c>
      <c r="V5593" s="16">
        <f>ROUNDUP((T5593+U5593+2*'Read Me'!$B$13)*(1+'Read Me'!$B$12),-1)</f>
        <v/>
      </c>
      <c r="W5593" s="16">
        <f>V5593*N5593*O5593</f>
        <v/>
      </c>
      <c r="X5593" s="12">
        <f>IF(LEFT(I5593,2)="MV",2*N5593*IF(L5593="1/C",O5593,1),0)</f>
        <v/>
      </c>
      <c r="Y5593" s="12">
        <f>IF(OR(LEFT(K5593,4)="LVAX",LEFT(K5593,6)="MV15AX",LEFT(K5593,4)="CTAX",LEFT(K5593,2)="W|"),2*N5593*O5593,0)</f>
        <v/>
      </c>
      <c r="Z5593" s="12" t="inlineStr">
        <is>
          <t>device-to-JB field wiring, one cable per device</t>
        </is>
      </c>
      <c r="AA5593" s="12">
        <f>N5593*O5593</f>
        <v/>
      </c>
    </row>
    <row r="5594">
      <c r="A5594" s="12" t="inlineStr">
        <is>
          <t>K-I-0156</t>
        </is>
      </c>
      <c r="B5594" s="12" t="inlineStr">
        <is>
          <t>K</t>
        </is>
      </c>
      <c r="C5594" s="12" t="inlineStr">
        <is>
          <t>Fuel supply (adjacent market)</t>
        </is>
      </c>
      <c r="D5594" s="12" t="inlineStr">
        <is>
          <t>Home run JB-LNG 18: vent stack-AI01 to the control / marshalling room</t>
        </is>
      </c>
      <c r="E5594" s="12" t="inlineStr"/>
      <c r="F5594" s="12" t="inlineStr">
        <is>
          <t>LNG 17: LNG e-house (13.8 kV / 480 V)</t>
        </is>
      </c>
      <c r="G5594" s="12" t="inlineStr">
        <is>
          <t>JB-LNG 18: vent stack-AI01</t>
        </is>
      </c>
      <c r="H5594" s="12" t="inlineStr">
        <is>
          <t>LNG 18: vent stack</t>
        </is>
      </c>
      <c r="I5594" s="12" t="inlineStr">
        <is>
          <t>Instrumentation</t>
        </is>
      </c>
      <c r="J5594" s="12" t="inlineStr">
        <is>
          <t>Instrumentation ITC / PLTC, IS, #18 shielded pairs, blue jacket</t>
        </is>
      </c>
      <c r="K5594" s="12" t="inlineStr">
        <is>
          <t>ITC|24 pr|18</t>
        </is>
      </c>
      <c r="L5594" s="12" t="inlineStr">
        <is>
          <t>24 pr</t>
        </is>
      </c>
      <c r="M5594" s="12" t="inlineStr">
        <is>
          <t>18</t>
        </is>
      </c>
      <c r="N5594" s="12" t="n">
        <v>1</v>
      </c>
      <c r="O5594" s="12" t="n">
        <v>1</v>
      </c>
      <c r="P5594" s="12" t="n"/>
      <c r="Q5594" s="12" t="n"/>
      <c r="R5594" s="12" t="n"/>
      <c r="S5594" s="12" t="inlineStr">
        <is>
          <t>Duct bank</t>
        </is>
      </c>
      <c r="T5594" s="16" t="n">
        <v>25</v>
      </c>
      <c r="U5594" s="16" t="n">
        <v>117</v>
      </c>
      <c r="V5594" s="16">
        <f>ROUNDUP((T5594+U5594+2*'Read Me'!$B$13)*(1+'Read Me'!$B$12),-1)</f>
        <v/>
      </c>
      <c r="W5594" s="16">
        <f>V5594*N5594*O5594</f>
        <v/>
      </c>
      <c r="X5594" s="12">
        <f>IF(LEFT(I5594,2)="MV",2*N5594*IF(L5594="1/C",O5594,1),0)</f>
        <v/>
      </c>
      <c r="Y5594" s="12">
        <f>IF(OR(LEFT(K5594,4)="LVAX",LEFT(K5594,6)="MV15AX",LEFT(K5594,4)="CTAX",LEFT(K5594,2)="W|"),2*N5594*O5594,0)</f>
        <v/>
      </c>
      <c r="Z5594" s="12" t="inlineStr"/>
      <c r="AA5594" s="12">
        <f>N5594*O5594</f>
        <v/>
      </c>
    </row>
    <row r="5595">
      <c r="A5595" s="12" t="inlineStr">
        <is>
          <t>K-I-0157</t>
        </is>
      </c>
      <c r="B5595" s="12" t="inlineStr">
        <is>
          <t>K</t>
        </is>
      </c>
      <c r="C5595" s="12" t="inlineStr">
        <is>
          <t>Fuel supply (adjacent market)</t>
        </is>
      </c>
      <c r="D5595" s="12" t="inlineStr">
        <is>
          <t>Discrete device to JB JB-LNG 18: vent stack-DI01: 12 x 1 pr (field cables)</t>
        </is>
      </c>
      <c r="E5595" s="12" t="inlineStr"/>
      <c r="F5595" s="12" t="inlineStr">
        <is>
          <t>LNG 18: vent stack</t>
        </is>
      </c>
      <c r="G5595" s="12" t="inlineStr">
        <is>
          <t>JB-LNG 18: vent stack-DI01</t>
        </is>
      </c>
      <c r="H5595" s="12" t="inlineStr">
        <is>
          <t>LNG 18: vent stack</t>
        </is>
      </c>
      <c r="I5595" s="12" t="inlineStr">
        <is>
          <t>Instrumentation</t>
        </is>
      </c>
      <c r="J5595" s="12" t="inlineStr">
        <is>
          <t>Instrumentation ITC / PLTC, IS, #18 shielded pairs, blue jacket</t>
        </is>
      </c>
      <c r="K5595" s="12" t="inlineStr">
        <is>
          <t>ITC|1 pr|16</t>
        </is>
      </c>
      <c r="L5595" s="12" t="inlineStr">
        <is>
          <t>1 pr</t>
        </is>
      </c>
      <c r="M5595" s="12" t="inlineStr">
        <is>
          <t>16</t>
        </is>
      </c>
      <c r="N5595" s="12" t="n">
        <v>12</v>
      </c>
      <c r="O5595" s="12" t="n">
        <v>1</v>
      </c>
      <c r="P5595" s="12" t="n"/>
      <c r="Q5595" s="12" t="n"/>
      <c r="R5595" s="12" t="n"/>
      <c r="S5595" s="12" t="inlineStr">
        <is>
          <t>Tray / conduit</t>
        </is>
      </c>
      <c r="T5595" s="16" t="n">
        <v>55</v>
      </c>
      <c r="U5595" s="16" t="n">
        <v>10</v>
      </c>
      <c r="V5595" s="16">
        <f>ROUNDUP((T5595+U5595+2*'Read Me'!$B$13)*(1+'Read Me'!$B$12),-1)</f>
        <v/>
      </c>
      <c r="W5595" s="16">
        <f>V5595*N5595*O5595</f>
        <v/>
      </c>
      <c r="X5595" s="12">
        <f>IF(LEFT(I5595,2)="MV",2*N5595*IF(L5595="1/C",O5595,1),0)</f>
        <v/>
      </c>
      <c r="Y5595" s="12">
        <f>IF(OR(LEFT(K5595,4)="LVAX",LEFT(K5595,6)="MV15AX",LEFT(K5595,4)="CTAX",LEFT(K5595,2)="W|"),2*N5595*O5595,0)</f>
        <v/>
      </c>
      <c r="Z5595" s="12" t="inlineStr">
        <is>
          <t>device-to-JB field wiring, one cable per device</t>
        </is>
      </c>
      <c r="AA5595" s="12">
        <f>N5595*O5595</f>
        <v/>
      </c>
    </row>
    <row r="5596">
      <c r="A5596" s="12" t="inlineStr">
        <is>
          <t>K-I-0158</t>
        </is>
      </c>
      <c r="B5596" s="12" t="inlineStr">
        <is>
          <t>K</t>
        </is>
      </c>
      <c r="C5596" s="12" t="inlineStr">
        <is>
          <t>Fuel supply (adjacent market)</t>
        </is>
      </c>
      <c r="D5596" s="12" t="inlineStr">
        <is>
          <t>Home run JB-LNG 18: vent stack-DI01 to the control / marshalling room</t>
        </is>
      </c>
      <c r="E5596" s="12" t="inlineStr"/>
      <c r="F5596" s="12" t="inlineStr">
        <is>
          <t>LNG 17: LNG e-house (13.8 kV / 480 V)</t>
        </is>
      </c>
      <c r="G5596" s="12" t="inlineStr">
        <is>
          <t>JB-LNG 18: vent stack-DI01</t>
        </is>
      </c>
      <c r="H5596" s="12" t="inlineStr">
        <is>
          <t>LNG 18: vent stack</t>
        </is>
      </c>
      <c r="I5596" s="12" t="inlineStr">
        <is>
          <t>Instrumentation</t>
        </is>
      </c>
      <c r="J5596" s="12" t="inlineStr">
        <is>
          <t>Instrumentation ITC / PLTC, IS, #18 shielded pairs, blue jacket</t>
        </is>
      </c>
      <c r="K5596" s="12" t="inlineStr">
        <is>
          <t>ITC|24 pr|18</t>
        </is>
      </c>
      <c r="L5596" s="12" t="inlineStr">
        <is>
          <t>24 pr</t>
        </is>
      </c>
      <c r="M5596" s="12" t="inlineStr">
        <is>
          <t>18</t>
        </is>
      </c>
      <c r="N5596" s="12" t="n">
        <v>1</v>
      </c>
      <c r="O5596" s="12" t="n">
        <v>1</v>
      </c>
      <c r="P5596" s="12" t="n"/>
      <c r="Q5596" s="12" t="n"/>
      <c r="R5596" s="12" t="n"/>
      <c r="S5596" s="12" t="inlineStr">
        <is>
          <t>Duct bank</t>
        </is>
      </c>
      <c r="T5596" s="16" t="n">
        <v>25</v>
      </c>
      <c r="U5596" s="16" t="n">
        <v>117</v>
      </c>
      <c r="V5596" s="16">
        <f>ROUNDUP((T5596+U5596+2*'Read Me'!$B$13)*(1+'Read Me'!$B$12),-1)</f>
        <v/>
      </c>
      <c r="W5596" s="16">
        <f>V5596*N5596*O5596</f>
        <v/>
      </c>
      <c r="X5596" s="12">
        <f>IF(LEFT(I5596,2)="MV",2*N5596*IF(L5596="1/C",O5596,1),0)</f>
        <v/>
      </c>
      <c r="Y5596" s="12">
        <f>IF(OR(LEFT(K5596,4)="LVAX",LEFT(K5596,6)="MV15AX",LEFT(K5596,4)="CTAX",LEFT(K5596,2)="W|"),2*N5596*O5596,0)</f>
        <v/>
      </c>
      <c r="Z5596" s="12" t="inlineStr"/>
      <c r="AA5596" s="12">
        <f>N5596*O5596</f>
        <v/>
      </c>
    </row>
    <row r="5597">
      <c r="A5597" s="12" t="inlineStr">
        <is>
          <t>K-I-0159</t>
        </is>
      </c>
      <c r="B5597" s="12" t="inlineStr">
        <is>
          <t>K</t>
        </is>
      </c>
      <c r="C5597" s="12" t="inlineStr">
        <is>
          <t>Fuel supply (adjacent market)</t>
        </is>
      </c>
      <c r="D5597" s="12" t="inlineStr">
        <is>
          <t>Instrumentation</t>
        </is>
      </c>
      <c r="E5597" s="12" t="inlineStr"/>
      <c r="F5597" s="12" t="inlineStr">
        <is>
          <t>LNG 17: LNG e-house (13.8 kV / 480 V)</t>
        </is>
      </c>
      <c r="G5597" s="12" t="inlineStr"/>
      <c r="H5597" s="12" t="inlineStr">
        <is>
          <t>LNG impoundment sump pump</t>
        </is>
      </c>
      <c r="I5597" s="12" t="inlineStr">
        <is>
          <t>Instrumentation</t>
        </is>
      </c>
      <c r="J5597" s="12" t="inlineStr">
        <is>
          <t>Instrumentation ITC / PLTC, IS, #18 shielded pairs, blue jacket</t>
        </is>
      </c>
      <c r="K5597" s="12" t="inlineStr">
        <is>
          <t>ITC|4 pr|18</t>
        </is>
      </c>
      <c r="L5597" s="12" t="inlineStr">
        <is>
          <t>4 pr</t>
        </is>
      </c>
      <c r="M5597" s="12" t="inlineStr">
        <is>
          <t>18</t>
        </is>
      </c>
      <c r="N5597" s="12" t="n">
        <v>1</v>
      </c>
      <c r="O5597" s="12" t="n">
        <v>1</v>
      </c>
      <c r="P5597" s="12" t="n"/>
      <c r="Q5597" s="12" t="n"/>
      <c r="R5597" s="12" t="n"/>
      <c r="S5597" s="12" t="inlineStr">
        <is>
          <t>Duct bank</t>
        </is>
      </c>
      <c r="T5597" s="16" t="n">
        <v>334</v>
      </c>
      <c r="U5597" s="16" t="n">
        <v>32</v>
      </c>
      <c r="V5597" s="16">
        <f>ROUNDUP((T5597+U5597+2*'Read Me'!$B$13)*(1+'Read Me'!$B$12),-1)</f>
        <v/>
      </c>
      <c r="W5597" s="16">
        <f>V5597*N5597*O5597</f>
        <v/>
      </c>
      <c r="X5597" s="12">
        <f>IF(LEFT(I5597,2)="MV",2*N5597*IF(L5597="1/C",O5597,1),0)</f>
        <v/>
      </c>
      <c r="Y5597" s="12">
        <f>IF(OR(LEFT(K5597,4)="LVAX",LEFT(K5597,6)="MV15AX",LEFT(K5597,4)="CTAX",LEFT(K5597,2)="W|"),2*N5597*O5597,0)</f>
        <v/>
      </c>
      <c r="Z5597" s="12" t="inlineStr"/>
      <c r="AA5597" s="12">
        <f>N5597*O5597</f>
        <v/>
      </c>
    </row>
    <row r="5598">
      <c r="A5598" s="12" t="inlineStr">
        <is>
          <t>K-I-0160</t>
        </is>
      </c>
      <c r="B5598" s="12" t="inlineStr">
        <is>
          <t>K</t>
        </is>
      </c>
      <c r="C5598" s="12" t="inlineStr">
        <is>
          <t>Fuel supply (adjacent market)</t>
        </is>
      </c>
      <c r="D5598" s="12" t="inlineStr">
        <is>
          <t>Instrumentation</t>
        </is>
      </c>
      <c r="E5598" s="12" t="inlineStr"/>
      <c r="F5598" s="12" t="inlineStr">
        <is>
          <t>LNG 17: LNG e-house (13.8 kV / 480 V)</t>
        </is>
      </c>
      <c r="G5598" s="12" t="inlineStr"/>
      <c r="H5598" s="12" t="inlineStr">
        <is>
          <t>M&amp;R 1: pig receiver, lateral terminus</t>
        </is>
      </c>
      <c r="I5598" s="12" t="inlineStr">
        <is>
          <t>Instrumentation</t>
        </is>
      </c>
      <c r="J5598" s="12" t="inlineStr">
        <is>
          <t>Instrumentation ITC / PLTC, IS, #18 shielded pairs, blue jacket</t>
        </is>
      </c>
      <c r="K5598" s="12" t="inlineStr">
        <is>
          <t>ITC|4 pr|18</t>
        </is>
      </c>
      <c r="L5598" s="12" t="inlineStr">
        <is>
          <t>4 pr</t>
        </is>
      </c>
      <c r="M5598" s="12" t="inlineStr">
        <is>
          <t>18</t>
        </is>
      </c>
      <c r="N5598" s="12" t="n">
        <v>1</v>
      </c>
      <c r="O5598" s="12" t="n">
        <v>1</v>
      </c>
      <c r="P5598" s="12" t="n"/>
      <c r="Q5598" s="12" t="n"/>
      <c r="R5598" s="12" t="n"/>
      <c r="S5598" s="12" t="inlineStr">
        <is>
          <t>Duct bank</t>
        </is>
      </c>
      <c r="T5598" s="16" t="n">
        <v>773</v>
      </c>
      <c r="U5598" s="16" t="n">
        <v>37</v>
      </c>
      <c r="V5598" s="16">
        <f>ROUNDUP((T5598+U5598+2*'Read Me'!$B$13)*(1+'Read Me'!$B$12),-1)</f>
        <v/>
      </c>
      <c r="W5598" s="16">
        <f>V5598*N5598*O5598</f>
        <v/>
      </c>
      <c r="X5598" s="12">
        <f>IF(LEFT(I5598,2)="MV",2*N5598*IF(L5598="1/C",O5598,1),0)</f>
        <v/>
      </c>
      <c r="Y5598" s="12">
        <f>IF(OR(LEFT(K5598,4)="LVAX",LEFT(K5598,6)="MV15AX",LEFT(K5598,4)="CTAX",LEFT(K5598,2)="W|"),2*N5598*O5598,0)</f>
        <v/>
      </c>
      <c r="Z5598" s="12" t="inlineStr"/>
      <c r="AA5598" s="12">
        <f>N5598*O5598</f>
        <v/>
      </c>
    </row>
    <row r="5599">
      <c r="A5599" s="12" t="inlineStr">
        <is>
          <t>K-I-0161</t>
        </is>
      </c>
      <c r="B5599" s="12" t="inlineStr">
        <is>
          <t>K</t>
        </is>
      </c>
      <c r="C5599" s="12" t="inlineStr">
        <is>
          <t>Fuel supply (adjacent market)</t>
        </is>
      </c>
      <c r="D5599" s="12" t="inlineStr">
        <is>
          <t>Discrete device to JB JB-M&amp;R 2: insulating -DI01: 8 x 1 pr (field cables)</t>
        </is>
      </c>
      <c r="E5599" s="12" t="inlineStr"/>
      <c r="F5599" s="12" t="inlineStr">
        <is>
          <t>M&amp;R 2: insulating joint + ESD valve</t>
        </is>
      </c>
      <c r="G5599" s="12" t="inlineStr">
        <is>
          <t>JB-M&amp;R 2: insulating -DI01</t>
        </is>
      </c>
      <c r="H5599" s="12" t="inlineStr">
        <is>
          <t>M&amp;R 2: insulating joint + ESD valve</t>
        </is>
      </c>
      <c r="I5599" s="12" t="inlineStr">
        <is>
          <t>Instrumentation</t>
        </is>
      </c>
      <c r="J5599" s="12" t="inlineStr">
        <is>
          <t>Instrumentation ITC / PLTC, IS, #18 shielded pairs, blue jacket</t>
        </is>
      </c>
      <c r="K5599" s="12" t="inlineStr">
        <is>
          <t>ITC|1 pr|16</t>
        </is>
      </c>
      <c r="L5599" s="12" t="inlineStr">
        <is>
          <t>1 pr</t>
        </is>
      </c>
      <c r="M5599" s="12" t="inlineStr">
        <is>
          <t>16</t>
        </is>
      </c>
      <c r="N5599" s="12" t="n">
        <v>8</v>
      </c>
      <c r="O5599" s="12" t="n">
        <v>1</v>
      </c>
      <c r="P5599" s="12" t="n"/>
      <c r="Q5599" s="12" t="n"/>
      <c r="R5599" s="12" t="n"/>
      <c r="S5599" s="12" t="inlineStr">
        <is>
          <t>Tray / conduit</t>
        </is>
      </c>
      <c r="T5599" s="16" t="n">
        <v>40</v>
      </c>
      <c r="U5599" s="16" t="n">
        <v>10</v>
      </c>
      <c r="V5599" s="16">
        <f>ROUNDUP((T5599+U5599+2*'Read Me'!$B$13)*(1+'Read Me'!$B$12),-1)</f>
        <v/>
      </c>
      <c r="W5599" s="16">
        <f>V5599*N5599*O5599</f>
        <v/>
      </c>
      <c r="X5599" s="12">
        <f>IF(LEFT(I5599,2)="MV",2*N5599*IF(L5599="1/C",O5599,1),0)</f>
        <v/>
      </c>
      <c r="Y5599" s="12">
        <f>IF(OR(LEFT(K5599,4)="LVAX",LEFT(K5599,6)="MV15AX",LEFT(K5599,4)="CTAX",LEFT(K5599,2)="W|"),2*N5599*O5599,0)</f>
        <v/>
      </c>
      <c r="Z5599" s="12" t="inlineStr">
        <is>
          <t>device-to-JB field wiring, one cable per device</t>
        </is>
      </c>
      <c r="AA5599" s="12">
        <f>N5599*O5599</f>
        <v/>
      </c>
    </row>
    <row r="5600">
      <c r="A5600" s="12" t="inlineStr">
        <is>
          <t>K-I-0162</t>
        </is>
      </c>
      <c r="B5600" s="12" t="inlineStr">
        <is>
          <t>K</t>
        </is>
      </c>
      <c r="C5600" s="12" t="inlineStr">
        <is>
          <t>Fuel supply (adjacent market)</t>
        </is>
      </c>
      <c r="D5600" s="12" t="inlineStr">
        <is>
          <t>Home run JB-M&amp;R 2: insulating -DI01 to the control / marshalling room</t>
        </is>
      </c>
      <c r="E5600" s="12" t="inlineStr"/>
      <c r="F5600" s="12" t="inlineStr">
        <is>
          <t>LNG 17: LNG e-house (13.8 kV / 480 V)</t>
        </is>
      </c>
      <c r="G5600" s="12" t="inlineStr">
        <is>
          <t>JB-M&amp;R 2: insulating -DI01</t>
        </is>
      </c>
      <c r="H5600" s="12" t="inlineStr">
        <is>
          <t>M&amp;R 2: insulating joint + ESD valve</t>
        </is>
      </c>
      <c r="I5600" s="12" t="inlineStr">
        <is>
          <t>Instrumentation</t>
        </is>
      </c>
      <c r="J5600" s="12" t="inlineStr">
        <is>
          <t>Instrumentation ITC / PLTC, IS, #18 shielded pairs, blue jacket</t>
        </is>
      </c>
      <c r="K5600" s="12" t="inlineStr">
        <is>
          <t>ITC|24 pr|18</t>
        </is>
      </c>
      <c r="L5600" s="12" t="inlineStr">
        <is>
          <t>24 pr</t>
        </is>
      </c>
      <c r="M5600" s="12" t="inlineStr">
        <is>
          <t>18</t>
        </is>
      </c>
      <c r="N5600" s="12" t="n">
        <v>1</v>
      </c>
      <c r="O5600" s="12" t="n">
        <v>1</v>
      </c>
      <c r="P5600" s="12" t="n"/>
      <c r="Q5600" s="12" t="n"/>
      <c r="R5600" s="12" t="n"/>
      <c r="S5600" s="12" t="inlineStr">
        <is>
          <t>Duct bank</t>
        </is>
      </c>
      <c r="T5600" s="16" t="n">
        <v>758</v>
      </c>
      <c r="U5600" s="16" t="n">
        <v>32</v>
      </c>
      <c r="V5600" s="16">
        <f>ROUNDUP((T5600+U5600+2*'Read Me'!$B$13)*(1+'Read Me'!$B$12),-1)</f>
        <v/>
      </c>
      <c r="W5600" s="16">
        <f>V5600*N5600*O5600</f>
        <v/>
      </c>
      <c r="X5600" s="12">
        <f>IF(LEFT(I5600,2)="MV",2*N5600*IF(L5600="1/C",O5600,1),0)</f>
        <v/>
      </c>
      <c r="Y5600" s="12">
        <f>IF(OR(LEFT(K5600,4)="LVAX",LEFT(K5600,6)="MV15AX",LEFT(K5600,4)="CTAX",LEFT(K5600,2)="W|"),2*N5600*O5600,0)</f>
        <v/>
      </c>
      <c r="Z5600" s="12" t="inlineStr"/>
      <c r="AA5600" s="12">
        <f>N5600*O5600</f>
        <v/>
      </c>
    </row>
    <row r="5601">
      <c r="A5601" s="12" t="inlineStr">
        <is>
          <t>K-I-0163</t>
        </is>
      </c>
      <c r="B5601" s="12" t="inlineStr">
        <is>
          <t>K</t>
        </is>
      </c>
      <c r="C5601" s="12" t="inlineStr">
        <is>
          <t>Fuel supply (adjacent market)</t>
        </is>
      </c>
      <c r="D5601" s="12" t="inlineStr">
        <is>
          <t>Analog instrument to JB JB-M&amp;R 3: horizontal -AI01: 8 x 1 pr (field cables)</t>
        </is>
      </c>
      <c r="E5601" s="12" t="inlineStr"/>
      <c r="F5601" s="12" t="inlineStr">
        <is>
          <t>M&amp;R 3: horizontal filter-separator</t>
        </is>
      </c>
      <c r="G5601" s="12" t="inlineStr">
        <is>
          <t>JB-M&amp;R 3: horizontal -AI01</t>
        </is>
      </c>
      <c r="H5601" s="12" t="inlineStr">
        <is>
          <t>M&amp;R 3: horizontal filter-separator</t>
        </is>
      </c>
      <c r="I5601" s="12" t="inlineStr">
        <is>
          <t>Instrumentation</t>
        </is>
      </c>
      <c r="J5601" s="12" t="inlineStr">
        <is>
          <t>Instrumentation ITC / PLTC, IS, #18 shielded pairs, blue jacket</t>
        </is>
      </c>
      <c r="K5601" s="12" t="inlineStr">
        <is>
          <t>ITC|1 pr|16</t>
        </is>
      </c>
      <c r="L5601" s="12" t="inlineStr">
        <is>
          <t>1 pr</t>
        </is>
      </c>
      <c r="M5601" s="12" t="inlineStr">
        <is>
          <t>16</t>
        </is>
      </c>
      <c r="N5601" s="12" t="n">
        <v>8</v>
      </c>
      <c r="O5601" s="12" t="n">
        <v>1</v>
      </c>
      <c r="P5601" s="12" t="n"/>
      <c r="Q5601" s="12" t="n"/>
      <c r="R5601" s="12" t="n"/>
      <c r="S5601" s="12" t="inlineStr">
        <is>
          <t>Tray / conduit</t>
        </is>
      </c>
      <c r="T5601" s="16" t="n">
        <v>53</v>
      </c>
      <c r="U5601" s="16" t="n">
        <v>10</v>
      </c>
      <c r="V5601" s="16">
        <f>ROUNDUP((T5601+U5601+2*'Read Me'!$B$13)*(1+'Read Me'!$B$12),-1)</f>
        <v/>
      </c>
      <c r="W5601" s="16">
        <f>V5601*N5601*O5601</f>
        <v/>
      </c>
      <c r="X5601" s="12">
        <f>IF(LEFT(I5601,2)="MV",2*N5601*IF(L5601="1/C",O5601,1),0)</f>
        <v/>
      </c>
      <c r="Y5601" s="12">
        <f>IF(OR(LEFT(K5601,4)="LVAX",LEFT(K5601,6)="MV15AX",LEFT(K5601,4)="CTAX",LEFT(K5601,2)="W|"),2*N5601*O5601,0)</f>
        <v/>
      </c>
      <c r="Z5601" s="12" t="inlineStr">
        <is>
          <t>device-to-JB field wiring, one cable per device</t>
        </is>
      </c>
      <c r="AA5601" s="12">
        <f>N5601*O5601</f>
        <v/>
      </c>
    </row>
    <row r="5602">
      <c r="A5602" s="12" t="inlineStr">
        <is>
          <t>K-I-0164</t>
        </is>
      </c>
      <c r="B5602" s="12" t="inlineStr">
        <is>
          <t>K</t>
        </is>
      </c>
      <c r="C5602" s="12" t="inlineStr">
        <is>
          <t>Fuel supply (adjacent market)</t>
        </is>
      </c>
      <c r="D5602" s="12" t="inlineStr">
        <is>
          <t>Home run JB-M&amp;R 3: horizontal -AI01 to the control / marshalling room</t>
        </is>
      </c>
      <c r="E5602" s="12" t="inlineStr"/>
      <c r="F5602" s="12" t="inlineStr">
        <is>
          <t>LNG 17: LNG e-house (13.8 kV / 480 V)</t>
        </is>
      </c>
      <c r="G5602" s="12" t="inlineStr">
        <is>
          <t>JB-M&amp;R 3: horizontal -AI01</t>
        </is>
      </c>
      <c r="H5602" s="12" t="inlineStr">
        <is>
          <t>M&amp;R 3: horizontal filter-separator</t>
        </is>
      </c>
      <c r="I5602" s="12" t="inlineStr">
        <is>
          <t>Instrumentation</t>
        </is>
      </c>
      <c r="J5602" s="12" t="inlineStr">
        <is>
          <t>Instrumentation ITC / PLTC, IS, #18 shielded pairs, blue jacket</t>
        </is>
      </c>
      <c r="K5602" s="12" t="inlineStr">
        <is>
          <t>ITC|24 pr|18</t>
        </is>
      </c>
      <c r="L5602" s="12" t="inlineStr">
        <is>
          <t>24 pr</t>
        </is>
      </c>
      <c r="M5602" s="12" t="inlineStr">
        <is>
          <t>18</t>
        </is>
      </c>
      <c r="N5602" s="12" t="n">
        <v>1</v>
      </c>
      <c r="O5602" s="12" t="n">
        <v>1</v>
      </c>
      <c r="P5602" s="12" t="n"/>
      <c r="Q5602" s="12" t="n"/>
      <c r="R5602" s="12" t="n"/>
      <c r="S5602" s="12" t="inlineStr">
        <is>
          <t>Duct bank</t>
        </is>
      </c>
      <c r="T5602" s="16" t="n">
        <v>797</v>
      </c>
      <c r="U5602" s="16" t="n">
        <v>32</v>
      </c>
      <c r="V5602" s="16">
        <f>ROUNDUP((T5602+U5602+2*'Read Me'!$B$13)*(1+'Read Me'!$B$12),-1)</f>
        <v/>
      </c>
      <c r="W5602" s="16">
        <f>V5602*N5602*O5602</f>
        <v/>
      </c>
      <c r="X5602" s="12">
        <f>IF(LEFT(I5602,2)="MV",2*N5602*IF(L5602="1/C",O5602,1),0)</f>
        <v/>
      </c>
      <c r="Y5602" s="12">
        <f>IF(OR(LEFT(K5602,4)="LVAX",LEFT(K5602,6)="MV15AX",LEFT(K5602,4)="CTAX",LEFT(K5602,2)="W|"),2*N5602*O5602,0)</f>
        <v/>
      </c>
      <c r="Z5602" s="12" t="inlineStr"/>
      <c r="AA5602" s="12">
        <f>N5602*O5602</f>
        <v/>
      </c>
    </row>
    <row r="5603">
      <c r="A5603" s="12" t="inlineStr">
        <is>
          <t>K-I-0165</t>
        </is>
      </c>
      <c r="B5603" s="12" t="inlineStr">
        <is>
          <t>K</t>
        </is>
      </c>
      <c r="C5603" s="12" t="inlineStr">
        <is>
          <t>Fuel supply (adjacent market)</t>
        </is>
      </c>
      <c r="D5603" s="12" t="inlineStr">
        <is>
          <t>Discrete device to JB JB-M&amp;R 3: horizontal -DI01: 12 x 1 pr (field cables)</t>
        </is>
      </c>
      <c r="E5603" s="12" t="inlineStr"/>
      <c r="F5603" s="12" t="inlineStr">
        <is>
          <t>M&amp;R 3: horizontal filter-separator</t>
        </is>
      </c>
      <c r="G5603" s="12" t="inlineStr">
        <is>
          <t>JB-M&amp;R 3: horizontal -DI01</t>
        </is>
      </c>
      <c r="H5603" s="12" t="inlineStr">
        <is>
          <t>M&amp;R 3: horizontal filter-separator</t>
        </is>
      </c>
      <c r="I5603" s="12" t="inlineStr">
        <is>
          <t>Instrumentation</t>
        </is>
      </c>
      <c r="J5603" s="12" t="inlineStr">
        <is>
          <t>Instrumentation ITC / PLTC, IS, #18 shielded pairs, blue jacket</t>
        </is>
      </c>
      <c r="K5603" s="12" t="inlineStr">
        <is>
          <t>ITC|1 pr|16</t>
        </is>
      </c>
      <c r="L5603" s="12" t="inlineStr">
        <is>
          <t>1 pr</t>
        </is>
      </c>
      <c r="M5603" s="12" t="inlineStr">
        <is>
          <t>16</t>
        </is>
      </c>
      <c r="N5603" s="12" t="n">
        <v>12</v>
      </c>
      <c r="O5603" s="12" t="n">
        <v>1</v>
      </c>
      <c r="P5603" s="12" t="n"/>
      <c r="Q5603" s="12" t="n"/>
      <c r="R5603" s="12" t="n"/>
      <c r="S5603" s="12" t="inlineStr">
        <is>
          <t>Tray / conduit</t>
        </is>
      </c>
      <c r="T5603" s="16" t="n">
        <v>53</v>
      </c>
      <c r="U5603" s="16" t="n">
        <v>10</v>
      </c>
      <c r="V5603" s="16">
        <f>ROUNDUP((T5603+U5603+2*'Read Me'!$B$13)*(1+'Read Me'!$B$12),-1)</f>
        <v/>
      </c>
      <c r="W5603" s="16">
        <f>V5603*N5603*O5603</f>
        <v/>
      </c>
      <c r="X5603" s="12">
        <f>IF(LEFT(I5603,2)="MV",2*N5603*IF(L5603="1/C",O5603,1),0)</f>
        <v/>
      </c>
      <c r="Y5603" s="12">
        <f>IF(OR(LEFT(K5603,4)="LVAX",LEFT(K5603,6)="MV15AX",LEFT(K5603,4)="CTAX",LEFT(K5603,2)="W|"),2*N5603*O5603,0)</f>
        <v/>
      </c>
      <c r="Z5603" s="12" t="inlineStr">
        <is>
          <t>device-to-JB field wiring, one cable per device</t>
        </is>
      </c>
      <c r="AA5603" s="12">
        <f>N5603*O5603</f>
        <v/>
      </c>
    </row>
    <row r="5604">
      <c r="A5604" s="12" t="inlineStr">
        <is>
          <t>K-I-0166</t>
        </is>
      </c>
      <c r="B5604" s="12" t="inlineStr">
        <is>
          <t>K</t>
        </is>
      </c>
      <c r="C5604" s="12" t="inlineStr">
        <is>
          <t>Fuel supply (adjacent market)</t>
        </is>
      </c>
      <c r="D5604" s="12" t="inlineStr">
        <is>
          <t>Home run JB-M&amp;R 3: horizontal -DI01 to the control / marshalling room</t>
        </is>
      </c>
      <c r="E5604" s="12" t="inlineStr"/>
      <c r="F5604" s="12" t="inlineStr">
        <is>
          <t>LNG 17: LNG e-house (13.8 kV / 480 V)</t>
        </is>
      </c>
      <c r="G5604" s="12" t="inlineStr">
        <is>
          <t>JB-M&amp;R 3: horizontal -DI01</t>
        </is>
      </c>
      <c r="H5604" s="12" t="inlineStr">
        <is>
          <t>M&amp;R 3: horizontal filter-separator</t>
        </is>
      </c>
      <c r="I5604" s="12" t="inlineStr">
        <is>
          <t>Instrumentation</t>
        </is>
      </c>
      <c r="J5604" s="12" t="inlineStr">
        <is>
          <t>Instrumentation ITC / PLTC, IS, #18 shielded pairs, blue jacket</t>
        </is>
      </c>
      <c r="K5604" s="12" t="inlineStr">
        <is>
          <t>ITC|24 pr|18</t>
        </is>
      </c>
      <c r="L5604" s="12" t="inlineStr">
        <is>
          <t>24 pr</t>
        </is>
      </c>
      <c r="M5604" s="12" t="inlineStr">
        <is>
          <t>18</t>
        </is>
      </c>
      <c r="N5604" s="12" t="n">
        <v>1</v>
      </c>
      <c r="O5604" s="12" t="n">
        <v>1</v>
      </c>
      <c r="P5604" s="12" t="n"/>
      <c r="Q5604" s="12" t="n"/>
      <c r="R5604" s="12" t="n"/>
      <c r="S5604" s="12" t="inlineStr">
        <is>
          <t>Duct bank</t>
        </is>
      </c>
      <c r="T5604" s="16" t="n">
        <v>797</v>
      </c>
      <c r="U5604" s="16" t="n">
        <v>32</v>
      </c>
      <c r="V5604" s="16">
        <f>ROUNDUP((T5604+U5604+2*'Read Me'!$B$13)*(1+'Read Me'!$B$12),-1)</f>
        <v/>
      </c>
      <c r="W5604" s="16">
        <f>V5604*N5604*O5604</f>
        <v/>
      </c>
      <c r="X5604" s="12">
        <f>IF(LEFT(I5604,2)="MV",2*N5604*IF(L5604="1/C",O5604,1),0)</f>
        <v/>
      </c>
      <c r="Y5604" s="12">
        <f>IF(OR(LEFT(K5604,4)="LVAX",LEFT(K5604,6)="MV15AX",LEFT(K5604,4)="CTAX",LEFT(K5604,2)="W|"),2*N5604*O5604,0)</f>
        <v/>
      </c>
      <c r="Z5604" s="12" t="inlineStr"/>
      <c r="AA5604" s="12">
        <f>N5604*O5604</f>
        <v/>
      </c>
    </row>
    <row r="5605">
      <c r="A5605" s="12" t="inlineStr">
        <is>
          <t>K-I-0167</t>
        </is>
      </c>
      <c r="B5605" s="12" t="inlineStr">
        <is>
          <t>K</t>
        </is>
      </c>
      <c r="C5605" s="12" t="inlineStr">
        <is>
          <t>Fuel supply (adjacent market)</t>
        </is>
      </c>
      <c r="D5605" s="12" t="inlineStr">
        <is>
          <t>Instrumentation</t>
        </is>
      </c>
      <c r="E5605" s="12" t="inlineStr"/>
      <c r="F5605" s="12" t="inlineStr">
        <is>
          <t>LNG 17: LNG e-house (13.8 kV / 480 V)</t>
        </is>
      </c>
      <c r="G5605" s="12" t="inlineStr"/>
      <c r="H5605" s="12" t="inlineStr">
        <is>
          <t>M&amp;R 4: line heater 1 (water bath)</t>
        </is>
      </c>
      <c r="I5605" s="12" t="inlineStr">
        <is>
          <t>Instrumentation</t>
        </is>
      </c>
      <c r="J5605" s="12" t="inlineStr">
        <is>
          <t>Instrumentation ITC / PLTC, IS, #18 shielded pairs, blue jacket</t>
        </is>
      </c>
      <c r="K5605" s="12" t="inlineStr">
        <is>
          <t>ITC|4 pr|18</t>
        </is>
      </c>
      <c r="L5605" s="12" t="inlineStr">
        <is>
          <t>4 pr</t>
        </is>
      </c>
      <c r="M5605" s="12" t="inlineStr">
        <is>
          <t>18</t>
        </is>
      </c>
      <c r="N5605" s="12" t="n">
        <v>1</v>
      </c>
      <c r="O5605" s="12" t="n">
        <v>1</v>
      </c>
      <c r="P5605" s="12" t="n"/>
      <c r="Q5605" s="12" t="n"/>
      <c r="R5605" s="12" t="n"/>
      <c r="S5605" s="12" t="inlineStr">
        <is>
          <t>Duct bank</t>
        </is>
      </c>
      <c r="T5605" s="16" t="n">
        <v>593</v>
      </c>
      <c r="U5605" s="16" t="n">
        <v>32</v>
      </c>
      <c r="V5605" s="16">
        <f>ROUNDUP((T5605+U5605+2*'Read Me'!$B$13)*(1+'Read Me'!$B$12),-1)</f>
        <v/>
      </c>
      <c r="W5605" s="16">
        <f>V5605*N5605*O5605</f>
        <v/>
      </c>
      <c r="X5605" s="12">
        <f>IF(LEFT(I5605,2)="MV",2*N5605*IF(L5605="1/C",O5605,1),0)</f>
        <v/>
      </c>
      <c r="Y5605" s="12">
        <f>IF(OR(LEFT(K5605,4)="LVAX",LEFT(K5605,6)="MV15AX",LEFT(K5605,4)="CTAX",LEFT(K5605,2)="W|"),2*N5605*O5605,0)</f>
        <v/>
      </c>
      <c r="Z5605" s="12" t="inlineStr"/>
      <c r="AA5605" s="12">
        <f>N5605*O5605</f>
        <v/>
      </c>
    </row>
    <row r="5606">
      <c r="A5606" s="12" t="inlineStr">
        <is>
          <t>K-I-0168</t>
        </is>
      </c>
      <c r="B5606" s="12" t="inlineStr">
        <is>
          <t>K</t>
        </is>
      </c>
      <c r="C5606" s="12" t="inlineStr">
        <is>
          <t>Fuel supply (adjacent market)</t>
        </is>
      </c>
      <c r="D5606" s="12" t="inlineStr">
        <is>
          <t>Instrumentation</t>
        </is>
      </c>
      <c r="E5606" s="12" t="inlineStr"/>
      <c r="F5606" s="12" t="inlineStr">
        <is>
          <t>LNG 17: LNG e-house (13.8 kV / 480 V)</t>
        </is>
      </c>
      <c r="G5606" s="12" t="inlineStr"/>
      <c r="H5606" s="12" t="inlineStr">
        <is>
          <t>M&amp;R 4: line heater 1 (water bath)</t>
        </is>
      </c>
      <c r="I5606" s="12" t="inlineStr">
        <is>
          <t>Instrumentation</t>
        </is>
      </c>
      <c r="J5606" s="12" t="inlineStr">
        <is>
          <t>Instrumentation ITC / PLTC, IS, #18 shielded pairs, blue jacket</t>
        </is>
      </c>
      <c r="K5606" s="12" t="inlineStr">
        <is>
          <t>ITC|12 pr|18</t>
        </is>
      </c>
      <c r="L5606" s="12" t="inlineStr">
        <is>
          <t>12 pr</t>
        </is>
      </c>
      <c r="M5606" s="12" t="inlineStr">
        <is>
          <t>18</t>
        </is>
      </c>
      <c r="N5606" s="12" t="n">
        <v>1</v>
      </c>
      <c r="O5606" s="12" t="n">
        <v>1</v>
      </c>
      <c r="P5606" s="12" t="n"/>
      <c r="Q5606" s="12" t="n"/>
      <c r="R5606" s="12" t="n"/>
      <c r="S5606" s="12" t="inlineStr">
        <is>
          <t>Duct bank</t>
        </is>
      </c>
      <c r="T5606" s="16" t="n">
        <v>593</v>
      </c>
      <c r="U5606" s="16" t="n">
        <v>32</v>
      </c>
      <c r="V5606" s="16">
        <f>ROUNDUP((T5606+U5606+2*'Read Me'!$B$13)*(1+'Read Me'!$B$12),-1)</f>
        <v/>
      </c>
      <c r="W5606" s="16">
        <f>V5606*N5606*O5606</f>
        <v/>
      </c>
      <c r="X5606" s="12">
        <f>IF(LEFT(I5606,2)="MV",2*N5606*IF(L5606="1/C",O5606,1),0)</f>
        <v/>
      </c>
      <c r="Y5606" s="12">
        <f>IF(OR(LEFT(K5606,4)="LVAX",LEFT(K5606,6)="MV15AX",LEFT(K5606,4)="CTAX",LEFT(K5606,2)="W|"),2*N5606*O5606,0)</f>
        <v/>
      </c>
      <c r="Z5606" s="12" t="inlineStr"/>
      <c r="AA5606" s="12">
        <f>N5606*O5606</f>
        <v/>
      </c>
    </row>
    <row r="5607">
      <c r="A5607" s="12" t="inlineStr">
        <is>
          <t>K-I-0169</t>
        </is>
      </c>
      <c r="B5607" s="12" t="inlineStr">
        <is>
          <t>K</t>
        </is>
      </c>
      <c r="C5607" s="12" t="inlineStr">
        <is>
          <t>Fuel supply (adjacent market)</t>
        </is>
      </c>
      <c r="D5607" s="12" t="inlineStr">
        <is>
          <t>Instrumentation</t>
        </is>
      </c>
      <c r="E5607" s="12" t="inlineStr"/>
      <c r="F5607" s="12" t="inlineStr">
        <is>
          <t>LNG 17: LNG e-house (13.8 kV / 480 V)</t>
        </is>
      </c>
      <c r="G5607" s="12" t="inlineStr"/>
      <c r="H5607" s="12" t="inlineStr">
        <is>
          <t>M&amp;R 4: line heater 2 (water bath)</t>
        </is>
      </c>
      <c r="I5607" s="12" t="inlineStr">
        <is>
          <t>Instrumentation</t>
        </is>
      </c>
      <c r="J5607" s="12" t="inlineStr">
        <is>
          <t>Instrumentation ITC / PLTC, IS, #18 shielded pairs, blue jacket</t>
        </is>
      </c>
      <c r="K5607" s="12" t="inlineStr">
        <is>
          <t>ITC|4 pr|18</t>
        </is>
      </c>
      <c r="L5607" s="12" t="inlineStr">
        <is>
          <t>4 pr</t>
        </is>
      </c>
      <c r="M5607" s="12" t="inlineStr">
        <is>
          <t>18</t>
        </is>
      </c>
      <c r="N5607" s="12" t="n">
        <v>1</v>
      </c>
      <c r="O5607" s="12" t="n">
        <v>1</v>
      </c>
      <c r="P5607" s="12" t="n"/>
      <c r="Q5607" s="12" t="n"/>
      <c r="R5607" s="12" t="n"/>
      <c r="S5607" s="12" t="inlineStr">
        <is>
          <t>Duct bank</t>
        </is>
      </c>
      <c r="T5607" s="16" t="n">
        <v>593</v>
      </c>
      <c r="U5607" s="16" t="n">
        <v>50</v>
      </c>
      <c r="V5607" s="16">
        <f>ROUNDUP((T5607+U5607+2*'Read Me'!$B$13)*(1+'Read Me'!$B$12),-1)</f>
        <v/>
      </c>
      <c r="W5607" s="16">
        <f>V5607*N5607*O5607</f>
        <v/>
      </c>
      <c r="X5607" s="12">
        <f>IF(LEFT(I5607,2)="MV",2*N5607*IF(L5607="1/C",O5607,1),0)</f>
        <v/>
      </c>
      <c r="Y5607" s="12">
        <f>IF(OR(LEFT(K5607,4)="LVAX",LEFT(K5607,6)="MV15AX",LEFT(K5607,4)="CTAX",LEFT(K5607,2)="W|"),2*N5607*O5607,0)</f>
        <v/>
      </c>
      <c r="Z5607" s="12" t="inlineStr"/>
      <c r="AA5607" s="12">
        <f>N5607*O5607</f>
        <v/>
      </c>
    </row>
    <row r="5608">
      <c r="A5608" s="12" t="inlineStr">
        <is>
          <t>K-I-0170</t>
        </is>
      </c>
      <c r="B5608" s="12" t="inlineStr">
        <is>
          <t>K</t>
        </is>
      </c>
      <c r="C5608" s="12" t="inlineStr">
        <is>
          <t>Fuel supply (adjacent market)</t>
        </is>
      </c>
      <c r="D5608" s="12" t="inlineStr">
        <is>
          <t>Instrumentation</t>
        </is>
      </c>
      <c r="E5608" s="12" t="inlineStr"/>
      <c r="F5608" s="12" t="inlineStr">
        <is>
          <t>LNG 17: LNG e-house (13.8 kV / 480 V)</t>
        </is>
      </c>
      <c r="G5608" s="12" t="inlineStr"/>
      <c r="H5608" s="12" t="inlineStr">
        <is>
          <t>M&amp;R 4: line heater 2 (water bath)</t>
        </is>
      </c>
      <c r="I5608" s="12" t="inlineStr">
        <is>
          <t>Instrumentation</t>
        </is>
      </c>
      <c r="J5608" s="12" t="inlineStr">
        <is>
          <t>Instrumentation ITC / PLTC, IS, #18 shielded pairs, blue jacket</t>
        </is>
      </c>
      <c r="K5608" s="12" t="inlineStr">
        <is>
          <t>ITC|12 pr|18</t>
        </is>
      </c>
      <c r="L5608" s="12" t="inlineStr">
        <is>
          <t>12 pr</t>
        </is>
      </c>
      <c r="M5608" s="12" t="inlineStr">
        <is>
          <t>18</t>
        </is>
      </c>
      <c r="N5608" s="12" t="n">
        <v>1</v>
      </c>
      <c r="O5608" s="12" t="n">
        <v>1</v>
      </c>
      <c r="P5608" s="12" t="n"/>
      <c r="Q5608" s="12" t="n"/>
      <c r="R5608" s="12" t="n"/>
      <c r="S5608" s="12" t="inlineStr">
        <is>
          <t>Duct bank</t>
        </is>
      </c>
      <c r="T5608" s="16" t="n">
        <v>593</v>
      </c>
      <c r="U5608" s="16" t="n">
        <v>50</v>
      </c>
      <c r="V5608" s="16">
        <f>ROUNDUP((T5608+U5608+2*'Read Me'!$B$13)*(1+'Read Me'!$B$12),-1)</f>
        <v/>
      </c>
      <c r="W5608" s="16">
        <f>V5608*N5608*O5608</f>
        <v/>
      </c>
      <c r="X5608" s="12">
        <f>IF(LEFT(I5608,2)="MV",2*N5608*IF(L5608="1/C",O5608,1),0)</f>
        <v/>
      </c>
      <c r="Y5608" s="12">
        <f>IF(OR(LEFT(K5608,4)="LVAX",LEFT(K5608,6)="MV15AX",LEFT(K5608,4)="CTAX",LEFT(K5608,2)="W|"),2*N5608*O5608,0)</f>
        <v/>
      </c>
      <c r="Z5608" s="12" t="inlineStr"/>
      <c r="AA5608" s="12">
        <f>N5608*O5608</f>
        <v/>
      </c>
    </row>
    <row r="5609">
      <c r="A5609" s="12" t="inlineStr">
        <is>
          <t>K-I-0171</t>
        </is>
      </c>
      <c r="B5609" s="12" t="inlineStr">
        <is>
          <t>K</t>
        </is>
      </c>
      <c r="C5609" s="12" t="inlineStr">
        <is>
          <t>Fuel supply (adjacent market)</t>
        </is>
      </c>
      <c r="D5609" s="12" t="inlineStr">
        <is>
          <t>Instrumentation</t>
        </is>
      </c>
      <c r="E5609" s="12" t="inlineStr"/>
      <c r="F5609" s="12" t="inlineStr">
        <is>
          <t>LNG 17: LNG e-house (13.8 kV / 480 V)</t>
        </is>
      </c>
      <c r="G5609" s="12" t="inlineStr"/>
      <c r="H5609" s="12" t="inlineStr">
        <is>
          <t>M&amp;R 4: line heater 3 (water bath)</t>
        </is>
      </c>
      <c r="I5609" s="12" t="inlineStr">
        <is>
          <t>Instrumentation</t>
        </is>
      </c>
      <c r="J5609" s="12" t="inlineStr">
        <is>
          <t>Instrumentation ITC / PLTC, IS, #18 shielded pairs, blue jacket</t>
        </is>
      </c>
      <c r="K5609" s="12" t="inlineStr">
        <is>
          <t>ITC|4 pr|18</t>
        </is>
      </c>
      <c r="L5609" s="12" t="inlineStr">
        <is>
          <t>4 pr</t>
        </is>
      </c>
      <c r="M5609" s="12" t="inlineStr">
        <is>
          <t>18</t>
        </is>
      </c>
      <c r="N5609" s="12" t="n">
        <v>1</v>
      </c>
      <c r="O5609" s="12" t="n">
        <v>1</v>
      </c>
      <c r="P5609" s="12" t="n"/>
      <c r="Q5609" s="12" t="n"/>
      <c r="R5609" s="12" t="n"/>
      <c r="S5609" s="12" t="inlineStr">
        <is>
          <t>Duct bank</t>
        </is>
      </c>
      <c r="T5609" s="16" t="n">
        <v>593</v>
      </c>
      <c r="U5609" s="16" t="n">
        <v>68</v>
      </c>
      <c r="V5609" s="16">
        <f>ROUNDUP((T5609+U5609+2*'Read Me'!$B$13)*(1+'Read Me'!$B$12),-1)</f>
        <v/>
      </c>
      <c r="W5609" s="16">
        <f>V5609*N5609*O5609</f>
        <v/>
      </c>
      <c r="X5609" s="12">
        <f>IF(LEFT(I5609,2)="MV",2*N5609*IF(L5609="1/C",O5609,1),0)</f>
        <v/>
      </c>
      <c r="Y5609" s="12">
        <f>IF(OR(LEFT(K5609,4)="LVAX",LEFT(K5609,6)="MV15AX",LEFT(K5609,4)="CTAX",LEFT(K5609,2)="W|"),2*N5609*O5609,0)</f>
        <v/>
      </c>
      <c r="Z5609" s="12" t="inlineStr"/>
      <c r="AA5609" s="12">
        <f>N5609*O5609</f>
        <v/>
      </c>
    </row>
    <row r="5610">
      <c r="A5610" s="12" t="inlineStr">
        <is>
          <t>K-I-0172</t>
        </is>
      </c>
      <c r="B5610" s="12" t="inlineStr">
        <is>
          <t>K</t>
        </is>
      </c>
      <c r="C5610" s="12" t="inlineStr">
        <is>
          <t>Fuel supply (adjacent market)</t>
        </is>
      </c>
      <c r="D5610" s="12" t="inlineStr">
        <is>
          <t>Instrumentation</t>
        </is>
      </c>
      <c r="E5610" s="12" t="inlineStr"/>
      <c r="F5610" s="12" t="inlineStr">
        <is>
          <t>LNG 17: LNG e-house (13.8 kV / 480 V)</t>
        </is>
      </c>
      <c r="G5610" s="12" t="inlineStr"/>
      <c r="H5610" s="12" t="inlineStr">
        <is>
          <t>M&amp;R 4: line heater 3 (water bath)</t>
        </is>
      </c>
      <c r="I5610" s="12" t="inlineStr">
        <is>
          <t>Instrumentation</t>
        </is>
      </c>
      <c r="J5610" s="12" t="inlineStr">
        <is>
          <t>Instrumentation ITC / PLTC, IS, #18 shielded pairs, blue jacket</t>
        </is>
      </c>
      <c r="K5610" s="12" t="inlineStr">
        <is>
          <t>ITC|12 pr|18</t>
        </is>
      </c>
      <c r="L5610" s="12" t="inlineStr">
        <is>
          <t>12 pr</t>
        </is>
      </c>
      <c r="M5610" s="12" t="inlineStr">
        <is>
          <t>18</t>
        </is>
      </c>
      <c r="N5610" s="12" t="n">
        <v>1</v>
      </c>
      <c r="O5610" s="12" t="n">
        <v>1</v>
      </c>
      <c r="P5610" s="12" t="n"/>
      <c r="Q5610" s="12" t="n"/>
      <c r="R5610" s="12" t="n"/>
      <c r="S5610" s="12" t="inlineStr">
        <is>
          <t>Duct bank</t>
        </is>
      </c>
      <c r="T5610" s="16" t="n">
        <v>593</v>
      </c>
      <c r="U5610" s="16" t="n">
        <v>68</v>
      </c>
      <c r="V5610" s="16">
        <f>ROUNDUP((T5610+U5610+2*'Read Me'!$B$13)*(1+'Read Me'!$B$12),-1)</f>
        <v/>
      </c>
      <c r="W5610" s="16">
        <f>V5610*N5610*O5610</f>
        <v/>
      </c>
      <c r="X5610" s="12">
        <f>IF(LEFT(I5610,2)="MV",2*N5610*IF(L5610="1/C",O5610,1),0)</f>
        <v/>
      </c>
      <c r="Y5610" s="12">
        <f>IF(OR(LEFT(K5610,4)="LVAX",LEFT(K5610,6)="MV15AX",LEFT(K5610,4)="CTAX",LEFT(K5610,2)="W|"),2*N5610*O5610,0)</f>
        <v/>
      </c>
      <c r="Z5610" s="12" t="inlineStr"/>
      <c r="AA5610" s="12">
        <f>N5610*O5610</f>
        <v/>
      </c>
    </row>
    <row r="5611">
      <c r="A5611" s="12" t="inlineStr">
        <is>
          <t>K-I-0173</t>
        </is>
      </c>
      <c r="B5611" s="12" t="inlineStr">
        <is>
          <t>K</t>
        </is>
      </c>
      <c r="C5611" s="12" t="inlineStr">
        <is>
          <t>Fuel supply (adjacent market)</t>
        </is>
      </c>
      <c r="D5611" s="12" t="inlineStr">
        <is>
          <t>Analog instrument to JB JB-M&amp;R 5: ultrasonic -AI01: 20 x 1 pr (field cables)</t>
        </is>
      </c>
      <c r="E5611" s="12" t="inlineStr"/>
      <c r="F5611" s="12" t="inlineStr">
        <is>
          <t>M&amp;R 5: ultrasonic meters, 2 runs (custody transfer)</t>
        </is>
      </c>
      <c r="G5611" s="12" t="inlineStr">
        <is>
          <t>JB-M&amp;R 5: ultrasonic -AI01</t>
        </is>
      </c>
      <c r="H5611" s="12" t="inlineStr">
        <is>
          <t>M&amp;R 5: ultrasonic meters, 2 runs (custody transfer)</t>
        </is>
      </c>
      <c r="I5611" s="12" t="inlineStr">
        <is>
          <t>Instrumentation</t>
        </is>
      </c>
      <c r="J5611" s="12" t="inlineStr">
        <is>
          <t>Instrumentation ITC / PLTC, IS, #18 shielded pairs, blue jacket</t>
        </is>
      </c>
      <c r="K5611" s="12" t="inlineStr">
        <is>
          <t>ITC|1 pr|16</t>
        </is>
      </c>
      <c r="L5611" s="12" t="inlineStr">
        <is>
          <t>1 pr</t>
        </is>
      </c>
      <c r="M5611" s="12" t="inlineStr">
        <is>
          <t>16</t>
        </is>
      </c>
      <c r="N5611" s="12" t="n">
        <v>20</v>
      </c>
      <c r="O5611" s="12" t="n">
        <v>1</v>
      </c>
      <c r="P5611" s="12" t="n"/>
      <c r="Q5611" s="12" t="n"/>
      <c r="R5611" s="12" t="n"/>
      <c r="S5611" s="12" t="inlineStr">
        <is>
          <t>Tray / conduit</t>
        </is>
      </c>
      <c r="T5611" s="16" t="n">
        <v>60</v>
      </c>
      <c r="U5611" s="16" t="n">
        <v>10</v>
      </c>
      <c r="V5611" s="16">
        <f>ROUNDUP((T5611+U5611+2*'Read Me'!$B$13)*(1+'Read Me'!$B$12),-1)</f>
        <v/>
      </c>
      <c r="W5611" s="16">
        <f>V5611*N5611*O5611</f>
        <v/>
      </c>
      <c r="X5611" s="12">
        <f>IF(LEFT(I5611,2)="MV",2*N5611*IF(L5611="1/C",O5611,1),0)</f>
        <v/>
      </c>
      <c r="Y5611" s="12">
        <f>IF(OR(LEFT(K5611,4)="LVAX",LEFT(K5611,6)="MV15AX",LEFT(K5611,4)="CTAX",LEFT(K5611,2)="W|"),2*N5611*O5611,0)</f>
        <v/>
      </c>
      <c r="Z5611" s="12" t="inlineStr">
        <is>
          <t>device-to-JB field wiring, one cable per device</t>
        </is>
      </c>
      <c r="AA5611" s="12">
        <f>N5611*O5611</f>
        <v/>
      </c>
    </row>
    <row r="5612">
      <c r="A5612" s="12" t="inlineStr">
        <is>
          <t>K-I-0174</t>
        </is>
      </c>
      <c r="B5612" s="12" t="inlineStr">
        <is>
          <t>K</t>
        </is>
      </c>
      <c r="C5612" s="12" t="inlineStr">
        <is>
          <t>Fuel supply (adjacent market)</t>
        </is>
      </c>
      <c r="D5612" s="12" t="inlineStr">
        <is>
          <t>Home run JB-M&amp;R 5: ultrasonic -AI01 to the control / marshalling room</t>
        </is>
      </c>
      <c r="E5612" s="12" t="inlineStr"/>
      <c r="F5612" s="12" t="inlineStr">
        <is>
          <t>LNG 17: LNG e-house (13.8 kV / 480 V)</t>
        </is>
      </c>
      <c r="G5612" s="12" t="inlineStr">
        <is>
          <t>JB-M&amp;R 5: ultrasonic -AI01</t>
        </is>
      </c>
      <c r="H5612" s="12" t="inlineStr">
        <is>
          <t>M&amp;R 5: ultrasonic meters, 2 runs (custody transfer)</t>
        </is>
      </c>
      <c r="I5612" s="12" t="inlineStr">
        <is>
          <t>Instrumentation</t>
        </is>
      </c>
      <c r="J5612" s="12" t="inlineStr">
        <is>
          <t>Instrumentation ITC / PLTC, IS, #18 shielded pairs, blue jacket</t>
        </is>
      </c>
      <c r="K5612" s="12" t="inlineStr">
        <is>
          <t>ITC|24 pr|18</t>
        </is>
      </c>
      <c r="L5612" s="12" t="inlineStr">
        <is>
          <t>24 pr</t>
        </is>
      </c>
      <c r="M5612" s="12" t="inlineStr">
        <is>
          <t>18</t>
        </is>
      </c>
      <c r="N5612" s="12" t="n">
        <v>1</v>
      </c>
      <c r="O5612" s="12" t="n">
        <v>1</v>
      </c>
      <c r="P5612" s="12" t="n"/>
      <c r="Q5612" s="12" t="n"/>
      <c r="R5612" s="12" t="n"/>
      <c r="S5612" s="12" t="inlineStr">
        <is>
          <t>Duct bank</t>
        </is>
      </c>
      <c r="T5612" s="16" t="n">
        <v>651</v>
      </c>
      <c r="U5612" s="16" t="n">
        <v>57</v>
      </c>
      <c r="V5612" s="16">
        <f>ROUNDUP((T5612+U5612+2*'Read Me'!$B$13)*(1+'Read Me'!$B$12),-1)</f>
        <v/>
      </c>
      <c r="W5612" s="16">
        <f>V5612*N5612*O5612</f>
        <v/>
      </c>
      <c r="X5612" s="12">
        <f>IF(LEFT(I5612,2)="MV",2*N5612*IF(L5612="1/C",O5612,1),0)</f>
        <v/>
      </c>
      <c r="Y5612" s="12">
        <f>IF(OR(LEFT(K5612,4)="LVAX",LEFT(K5612,6)="MV15AX",LEFT(K5612,4)="CTAX",LEFT(K5612,2)="W|"),2*N5612*O5612,0)</f>
        <v/>
      </c>
      <c r="Z5612" s="12" t="inlineStr"/>
      <c r="AA5612" s="12">
        <f>N5612*O5612</f>
        <v/>
      </c>
    </row>
    <row r="5613">
      <c r="A5613" s="12" t="inlineStr">
        <is>
          <t>K-I-0175</t>
        </is>
      </c>
      <c r="B5613" s="12" t="inlineStr">
        <is>
          <t>K</t>
        </is>
      </c>
      <c r="C5613" s="12" t="inlineStr">
        <is>
          <t>Fuel supply (adjacent market)</t>
        </is>
      </c>
      <c r="D5613" s="12" t="inlineStr">
        <is>
          <t>Discrete device to JB JB-M&amp;R 5: ultrasonic -DI01: 8 x 1 pr (field cables)</t>
        </is>
      </c>
      <c r="E5613" s="12" t="inlineStr"/>
      <c r="F5613" s="12" t="inlineStr">
        <is>
          <t>M&amp;R 5: ultrasonic meters, 2 runs (custody transfer)</t>
        </is>
      </c>
      <c r="G5613" s="12" t="inlineStr">
        <is>
          <t>JB-M&amp;R 5: ultrasonic -DI01</t>
        </is>
      </c>
      <c r="H5613" s="12" t="inlineStr">
        <is>
          <t>M&amp;R 5: ultrasonic meters, 2 runs (custody transfer)</t>
        </is>
      </c>
      <c r="I5613" s="12" t="inlineStr">
        <is>
          <t>Instrumentation</t>
        </is>
      </c>
      <c r="J5613" s="12" t="inlineStr">
        <is>
          <t>Instrumentation ITC / PLTC, IS, #18 shielded pairs, blue jacket</t>
        </is>
      </c>
      <c r="K5613" s="12" t="inlineStr">
        <is>
          <t>ITC|1 pr|16</t>
        </is>
      </c>
      <c r="L5613" s="12" t="inlineStr">
        <is>
          <t>1 pr</t>
        </is>
      </c>
      <c r="M5613" s="12" t="inlineStr">
        <is>
          <t>16</t>
        </is>
      </c>
      <c r="N5613" s="12" t="n">
        <v>8</v>
      </c>
      <c r="O5613" s="12" t="n">
        <v>1</v>
      </c>
      <c r="P5613" s="12" t="n"/>
      <c r="Q5613" s="12" t="n"/>
      <c r="R5613" s="12" t="n"/>
      <c r="S5613" s="12" t="inlineStr">
        <is>
          <t>Tray / conduit</t>
        </is>
      </c>
      <c r="T5613" s="16" t="n">
        <v>60</v>
      </c>
      <c r="U5613" s="16" t="n">
        <v>10</v>
      </c>
      <c r="V5613" s="16">
        <f>ROUNDUP((T5613+U5613+2*'Read Me'!$B$13)*(1+'Read Me'!$B$12),-1)</f>
        <v/>
      </c>
      <c r="W5613" s="16">
        <f>V5613*N5613*O5613</f>
        <v/>
      </c>
      <c r="X5613" s="12">
        <f>IF(LEFT(I5613,2)="MV",2*N5613*IF(L5613="1/C",O5613,1),0)</f>
        <v/>
      </c>
      <c r="Y5613" s="12">
        <f>IF(OR(LEFT(K5613,4)="LVAX",LEFT(K5613,6)="MV15AX",LEFT(K5613,4)="CTAX",LEFT(K5613,2)="W|"),2*N5613*O5613,0)</f>
        <v/>
      </c>
      <c r="Z5613" s="12" t="inlineStr">
        <is>
          <t>device-to-JB field wiring, one cable per device</t>
        </is>
      </c>
      <c r="AA5613" s="12">
        <f>N5613*O5613</f>
        <v/>
      </c>
    </row>
    <row r="5614">
      <c r="A5614" s="12" t="inlineStr">
        <is>
          <t>K-I-0176</t>
        </is>
      </c>
      <c r="B5614" s="12" t="inlineStr">
        <is>
          <t>K</t>
        </is>
      </c>
      <c r="C5614" s="12" t="inlineStr">
        <is>
          <t>Fuel supply (adjacent market)</t>
        </is>
      </c>
      <c r="D5614" s="12" t="inlineStr">
        <is>
          <t>Home run JB-M&amp;R 5: ultrasonic -DI01 to the control / marshalling room</t>
        </is>
      </c>
      <c r="E5614" s="12" t="inlineStr"/>
      <c r="F5614" s="12" t="inlineStr">
        <is>
          <t>LNG 17: LNG e-house (13.8 kV / 480 V)</t>
        </is>
      </c>
      <c r="G5614" s="12" t="inlineStr">
        <is>
          <t>JB-M&amp;R 5: ultrasonic -DI01</t>
        </is>
      </c>
      <c r="H5614" s="12" t="inlineStr">
        <is>
          <t>M&amp;R 5: ultrasonic meters, 2 runs (custody transfer)</t>
        </is>
      </c>
      <c r="I5614" s="12" t="inlineStr">
        <is>
          <t>Instrumentation</t>
        </is>
      </c>
      <c r="J5614" s="12" t="inlineStr">
        <is>
          <t>Instrumentation ITC / PLTC, IS, #18 shielded pairs, blue jacket</t>
        </is>
      </c>
      <c r="K5614" s="12" t="inlineStr">
        <is>
          <t>ITC|24 pr|18</t>
        </is>
      </c>
      <c r="L5614" s="12" t="inlineStr">
        <is>
          <t>24 pr</t>
        </is>
      </c>
      <c r="M5614" s="12" t="inlineStr">
        <is>
          <t>18</t>
        </is>
      </c>
      <c r="N5614" s="12" t="n">
        <v>1</v>
      </c>
      <c r="O5614" s="12" t="n">
        <v>1</v>
      </c>
      <c r="P5614" s="12" t="n"/>
      <c r="Q5614" s="12" t="n"/>
      <c r="R5614" s="12" t="n"/>
      <c r="S5614" s="12" t="inlineStr">
        <is>
          <t>Duct bank</t>
        </is>
      </c>
      <c r="T5614" s="16" t="n">
        <v>651</v>
      </c>
      <c r="U5614" s="16" t="n">
        <v>57</v>
      </c>
      <c r="V5614" s="16">
        <f>ROUNDUP((T5614+U5614+2*'Read Me'!$B$13)*(1+'Read Me'!$B$12),-1)</f>
        <v/>
      </c>
      <c r="W5614" s="16">
        <f>V5614*N5614*O5614</f>
        <v/>
      </c>
      <c r="X5614" s="12">
        <f>IF(LEFT(I5614,2)="MV",2*N5614*IF(L5614="1/C",O5614,1),0)</f>
        <v/>
      </c>
      <c r="Y5614" s="12">
        <f>IF(OR(LEFT(K5614,4)="LVAX",LEFT(K5614,6)="MV15AX",LEFT(K5614,4)="CTAX",LEFT(K5614,2)="W|"),2*N5614*O5614,0)</f>
        <v/>
      </c>
      <c r="Z5614" s="12" t="inlineStr"/>
      <c r="AA5614" s="12">
        <f>N5614*O5614</f>
        <v/>
      </c>
    </row>
    <row r="5615">
      <c r="A5615" s="12" t="inlineStr">
        <is>
          <t>K-I-0177</t>
        </is>
      </c>
      <c r="B5615" s="12" t="inlineStr">
        <is>
          <t>K</t>
        </is>
      </c>
      <c r="C5615" s="12" t="inlineStr">
        <is>
          <t>Fuel supply (adjacent market)</t>
        </is>
      </c>
      <c r="D5615" s="12" t="inlineStr">
        <is>
          <t>Analog instrument to JB JB-M&amp;R 6: regulation -AI01: 12 x 1 pr (field cables)</t>
        </is>
      </c>
      <c r="E5615" s="12" t="inlineStr"/>
      <c r="F5615" s="12" t="inlineStr">
        <is>
          <t>M&amp;R 6: regulation / flow control building</t>
        </is>
      </c>
      <c r="G5615" s="12" t="inlineStr">
        <is>
          <t>JB-M&amp;R 6: regulation -AI01</t>
        </is>
      </c>
      <c r="H5615" s="12" t="inlineStr">
        <is>
          <t>M&amp;R 6: regulation / flow control building</t>
        </is>
      </c>
      <c r="I5615" s="12" t="inlineStr">
        <is>
          <t>Instrumentation</t>
        </is>
      </c>
      <c r="J5615" s="12" t="inlineStr">
        <is>
          <t>Instrumentation ITC / PLTC, IS, #18 shielded pairs, blue jacket</t>
        </is>
      </c>
      <c r="K5615" s="12" t="inlineStr">
        <is>
          <t>ITC|1 pr|16</t>
        </is>
      </c>
      <c r="L5615" s="12" t="inlineStr">
        <is>
          <t>1 pr</t>
        </is>
      </c>
      <c r="M5615" s="12" t="inlineStr">
        <is>
          <t>16</t>
        </is>
      </c>
      <c r="N5615" s="12" t="n">
        <v>12</v>
      </c>
      <c r="O5615" s="12" t="n">
        <v>1</v>
      </c>
      <c r="P5615" s="12" t="n"/>
      <c r="Q5615" s="12" t="n"/>
      <c r="R5615" s="12" t="n"/>
      <c r="S5615" s="12" t="inlineStr">
        <is>
          <t>Tray / conduit</t>
        </is>
      </c>
      <c r="T5615" s="16" t="n">
        <v>61</v>
      </c>
      <c r="U5615" s="16" t="n">
        <v>10</v>
      </c>
      <c r="V5615" s="16">
        <f>ROUNDUP((T5615+U5615+2*'Read Me'!$B$13)*(1+'Read Me'!$B$12),-1)</f>
        <v/>
      </c>
      <c r="W5615" s="16">
        <f>V5615*N5615*O5615</f>
        <v/>
      </c>
      <c r="X5615" s="12">
        <f>IF(LEFT(I5615,2)="MV",2*N5615*IF(L5615="1/C",O5615,1),0)</f>
        <v/>
      </c>
      <c r="Y5615" s="12">
        <f>IF(OR(LEFT(K5615,4)="LVAX",LEFT(K5615,6)="MV15AX",LEFT(K5615,4)="CTAX",LEFT(K5615,2)="W|"),2*N5615*O5615,0)</f>
        <v/>
      </c>
      <c r="Z5615" s="12" t="inlineStr">
        <is>
          <t>device-to-JB field wiring, one cable per device</t>
        </is>
      </c>
      <c r="AA5615" s="12">
        <f>N5615*O5615</f>
        <v/>
      </c>
    </row>
    <row r="5616">
      <c r="A5616" s="12" t="inlineStr">
        <is>
          <t>K-I-0178</t>
        </is>
      </c>
      <c r="B5616" s="12" t="inlineStr">
        <is>
          <t>K</t>
        </is>
      </c>
      <c r="C5616" s="12" t="inlineStr">
        <is>
          <t>Fuel supply (adjacent market)</t>
        </is>
      </c>
      <c r="D5616" s="12" t="inlineStr">
        <is>
          <t>Home run JB-M&amp;R 6: regulation -AI01 to the control / marshalling room</t>
        </is>
      </c>
      <c r="E5616" s="12" t="inlineStr"/>
      <c r="F5616" s="12" t="inlineStr">
        <is>
          <t>LNG 17: LNG e-house (13.8 kV / 480 V)</t>
        </is>
      </c>
      <c r="G5616" s="12" t="inlineStr">
        <is>
          <t>JB-M&amp;R 6: regulation -AI01</t>
        </is>
      </c>
      <c r="H5616" s="12" t="inlineStr">
        <is>
          <t>M&amp;R 6: regulation / flow control building</t>
        </is>
      </c>
      <c r="I5616" s="12" t="inlineStr">
        <is>
          <t>Instrumentation</t>
        </is>
      </c>
      <c r="J5616" s="12" t="inlineStr">
        <is>
          <t>Instrumentation ITC / PLTC, IS, #18 shielded pairs, blue jacket</t>
        </is>
      </c>
      <c r="K5616" s="12" t="inlineStr">
        <is>
          <t>ITC|24 pr|18</t>
        </is>
      </c>
      <c r="L5616" s="12" t="inlineStr">
        <is>
          <t>24 pr</t>
        </is>
      </c>
      <c r="M5616" s="12" t="inlineStr">
        <is>
          <t>18</t>
        </is>
      </c>
      <c r="N5616" s="12" t="n">
        <v>1</v>
      </c>
      <c r="O5616" s="12" t="n">
        <v>1</v>
      </c>
      <c r="P5616" s="12" t="n"/>
      <c r="Q5616" s="12" t="n"/>
      <c r="R5616" s="12" t="n"/>
      <c r="S5616" s="12" t="inlineStr">
        <is>
          <t>Duct bank</t>
        </is>
      </c>
      <c r="T5616" s="16" t="n">
        <v>470</v>
      </c>
      <c r="U5616" s="16" t="n">
        <v>70</v>
      </c>
      <c r="V5616" s="16">
        <f>ROUNDUP((T5616+U5616+2*'Read Me'!$B$13)*(1+'Read Me'!$B$12),-1)</f>
        <v/>
      </c>
      <c r="W5616" s="16">
        <f>V5616*N5616*O5616</f>
        <v/>
      </c>
      <c r="X5616" s="12">
        <f>IF(LEFT(I5616,2)="MV",2*N5616*IF(L5616="1/C",O5616,1),0)</f>
        <v/>
      </c>
      <c r="Y5616" s="12">
        <f>IF(OR(LEFT(K5616,4)="LVAX",LEFT(K5616,6)="MV15AX",LEFT(K5616,4)="CTAX",LEFT(K5616,2)="W|"),2*N5616*O5616,0)</f>
        <v/>
      </c>
      <c r="Z5616" s="12" t="inlineStr"/>
      <c r="AA5616" s="12">
        <f>N5616*O5616</f>
        <v/>
      </c>
    </row>
    <row r="5617">
      <c r="A5617" s="12" t="inlineStr">
        <is>
          <t>K-I-0179</t>
        </is>
      </c>
      <c r="B5617" s="12" t="inlineStr">
        <is>
          <t>K</t>
        </is>
      </c>
      <c r="C5617" s="12" t="inlineStr">
        <is>
          <t>Fuel supply (adjacent market)</t>
        </is>
      </c>
      <c r="D5617" s="12" t="inlineStr">
        <is>
          <t>Discrete device to JB JB-M&amp;R 6: regulation -DI01: 12 x 1 pr (field cables)</t>
        </is>
      </c>
      <c r="E5617" s="12" t="inlineStr"/>
      <c r="F5617" s="12" t="inlineStr">
        <is>
          <t>M&amp;R 6: regulation / flow control building</t>
        </is>
      </c>
      <c r="G5617" s="12" t="inlineStr">
        <is>
          <t>JB-M&amp;R 6: regulation -DI01</t>
        </is>
      </c>
      <c r="H5617" s="12" t="inlineStr">
        <is>
          <t>M&amp;R 6: regulation / flow control building</t>
        </is>
      </c>
      <c r="I5617" s="12" t="inlineStr">
        <is>
          <t>Instrumentation</t>
        </is>
      </c>
      <c r="J5617" s="12" t="inlineStr">
        <is>
          <t>Instrumentation ITC / PLTC, IS, #18 shielded pairs, blue jacket</t>
        </is>
      </c>
      <c r="K5617" s="12" t="inlineStr">
        <is>
          <t>ITC|1 pr|16</t>
        </is>
      </c>
      <c r="L5617" s="12" t="inlineStr">
        <is>
          <t>1 pr</t>
        </is>
      </c>
      <c r="M5617" s="12" t="inlineStr">
        <is>
          <t>16</t>
        </is>
      </c>
      <c r="N5617" s="12" t="n">
        <v>12</v>
      </c>
      <c r="O5617" s="12" t="n">
        <v>1</v>
      </c>
      <c r="P5617" s="12" t="n"/>
      <c r="Q5617" s="12" t="n"/>
      <c r="R5617" s="12" t="n"/>
      <c r="S5617" s="12" t="inlineStr">
        <is>
          <t>Tray / conduit</t>
        </is>
      </c>
      <c r="T5617" s="16" t="n">
        <v>61</v>
      </c>
      <c r="U5617" s="16" t="n">
        <v>10</v>
      </c>
      <c r="V5617" s="16">
        <f>ROUNDUP((T5617+U5617+2*'Read Me'!$B$13)*(1+'Read Me'!$B$12),-1)</f>
        <v/>
      </c>
      <c r="W5617" s="16">
        <f>V5617*N5617*O5617</f>
        <v/>
      </c>
      <c r="X5617" s="12">
        <f>IF(LEFT(I5617,2)="MV",2*N5617*IF(L5617="1/C",O5617,1),0)</f>
        <v/>
      </c>
      <c r="Y5617" s="12">
        <f>IF(OR(LEFT(K5617,4)="LVAX",LEFT(K5617,6)="MV15AX",LEFT(K5617,4)="CTAX",LEFT(K5617,2)="W|"),2*N5617*O5617,0)</f>
        <v/>
      </c>
      <c r="Z5617" s="12" t="inlineStr">
        <is>
          <t>device-to-JB field wiring, one cable per device</t>
        </is>
      </c>
      <c r="AA5617" s="12">
        <f>N5617*O5617</f>
        <v/>
      </c>
    </row>
    <row r="5618">
      <c r="A5618" s="12" t="inlineStr">
        <is>
          <t>K-I-0180</t>
        </is>
      </c>
      <c r="B5618" s="12" t="inlineStr">
        <is>
          <t>K</t>
        </is>
      </c>
      <c r="C5618" s="12" t="inlineStr">
        <is>
          <t>Fuel supply (adjacent market)</t>
        </is>
      </c>
      <c r="D5618" s="12" t="inlineStr">
        <is>
          <t>Home run JB-M&amp;R 6: regulation -DI01 to the control / marshalling room</t>
        </is>
      </c>
      <c r="E5618" s="12" t="inlineStr"/>
      <c r="F5618" s="12" t="inlineStr">
        <is>
          <t>LNG 17: LNG e-house (13.8 kV / 480 V)</t>
        </is>
      </c>
      <c r="G5618" s="12" t="inlineStr">
        <is>
          <t>JB-M&amp;R 6: regulation -DI01</t>
        </is>
      </c>
      <c r="H5618" s="12" t="inlineStr">
        <is>
          <t>M&amp;R 6: regulation / flow control building</t>
        </is>
      </c>
      <c r="I5618" s="12" t="inlineStr">
        <is>
          <t>Instrumentation</t>
        </is>
      </c>
      <c r="J5618" s="12" t="inlineStr">
        <is>
          <t>Instrumentation ITC / PLTC, IS, #18 shielded pairs, blue jacket</t>
        </is>
      </c>
      <c r="K5618" s="12" t="inlineStr">
        <is>
          <t>ITC|24 pr|18</t>
        </is>
      </c>
      <c r="L5618" s="12" t="inlineStr">
        <is>
          <t>24 pr</t>
        </is>
      </c>
      <c r="M5618" s="12" t="inlineStr">
        <is>
          <t>18</t>
        </is>
      </c>
      <c r="N5618" s="12" t="n">
        <v>1</v>
      </c>
      <c r="O5618" s="12" t="n">
        <v>1</v>
      </c>
      <c r="P5618" s="12" t="n"/>
      <c r="Q5618" s="12" t="n"/>
      <c r="R5618" s="12" t="n"/>
      <c r="S5618" s="12" t="inlineStr">
        <is>
          <t>Duct bank</t>
        </is>
      </c>
      <c r="T5618" s="16" t="n">
        <v>470</v>
      </c>
      <c r="U5618" s="16" t="n">
        <v>70</v>
      </c>
      <c r="V5618" s="16">
        <f>ROUNDUP((T5618+U5618+2*'Read Me'!$B$13)*(1+'Read Me'!$B$12),-1)</f>
        <v/>
      </c>
      <c r="W5618" s="16">
        <f>V5618*N5618*O5618</f>
        <v/>
      </c>
      <c r="X5618" s="12">
        <f>IF(LEFT(I5618,2)="MV",2*N5618*IF(L5618="1/C",O5618,1),0)</f>
        <v/>
      </c>
      <c r="Y5618" s="12">
        <f>IF(OR(LEFT(K5618,4)="LVAX",LEFT(K5618,6)="MV15AX",LEFT(K5618,4)="CTAX",LEFT(K5618,2)="W|"),2*N5618*O5618,0)</f>
        <v/>
      </c>
      <c r="Z5618" s="12" t="inlineStr"/>
      <c r="AA5618" s="12">
        <f>N5618*O5618</f>
        <v/>
      </c>
    </row>
    <row r="5619">
      <c r="A5619" s="12" t="inlineStr">
        <is>
          <t>K-I-0181</t>
        </is>
      </c>
      <c r="B5619" s="12" t="inlineStr">
        <is>
          <t>K</t>
        </is>
      </c>
      <c r="C5619" s="12" t="inlineStr">
        <is>
          <t>Fuel supply (adjacent market)</t>
        </is>
      </c>
      <c r="D5619" s="12" t="inlineStr">
        <is>
          <t>Analog instrument to JB JB-M&amp;R 7: gas quality-AI01: 20 x 1 pr (field cables)</t>
        </is>
      </c>
      <c r="E5619" s="12" t="inlineStr"/>
      <c r="F5619" s="12" t="inlineStr">
        <is>
          <t>M&amp;R 7: gas quality + measurement building</t>
        </is>
      </c>
      <c r="G5619" s="12" t="inlineStr">
        <is>
          <t>JB-M&amp;R 7: gas quality-AI01</t>
        </is>
      </c>
      <c r="H5619" s="12" t="inlineStr">
        <is>
          <t>M&amp;R 7: gas quality + measurement building</t>
        </is>
      </c>
      <c r="I5619" s="12" t="inlineStr">
        <is>
          <t>Instrumentation</t>
        </is>
      </c>
      <c r="J5619" s="12" t="inlineStr">
        <is>
          <t>Instrumentation ITC / PLTC, IS, #18 shielded pairs, blue jacket</t>
        </is>
      </c>
      <c r="K5619" s="12" t="inlineStr">
        <is>
          <t>ITC|1 pr|16</t>
        </is>
      </c>
      <c r="L5619" s="12" t="inlineStr">
        <is>
          <t>1 pr</t>
        </is>
      </c>
      <c r="M5619" s="12" t="inlineStr">
        <is>
          <t>16</t>
        </is>
      </c>
      <c r="N5619" s="12" t="n">
        <v>20</v>
      </c>
      <c r="O5619" s="12" t="n">
        <v>1</v>
      </c>
      <c r="P5619" s="12" t="n"/>
      <c r="Q5619" s="12" t="n"/>
      <c r="R5619" s="12" t="n"/>
      <c r="S5619" s="12" t="inlineStr">
        <is>
          <t>Tray / conduit</t>
        </is>
      </c>
      <c r="T5619" s="16" t="n">
        <v>41</v>
      </c>
      <c r="U5619" s="16" t="n">
        <v>10</v>
      </c>
      <c r="V5619" s="16">
        <f>ROUNDUP((T5619+U5619+2*'Read Me'!$B$13)*(1+'Read Me'!$B$12),-1)</f>
        <v/>
      </c>
      <c r="W5619" s="16">
        <f>V5619*N5619*O5619</f>
        <v/>
      </c>
      <c r="X5619" s="12">
        <f>IF(LEFT(I5619,2)="MV",2*N5619*IF(L5619="1/C",O5619,1),0)</f>
        <v/>
      </c>
      <c r="Y5619" s="12">
        <f>IF(OR(LEFT(K5619,4)="LVAX",LEFT(K5619,6)="MV15AX",LEFT(K5619,4)="CTAX",LEFT(K5619,2)="W|"),2*N5619*O5619,0)</f>
        <v/>
      </c>
      <c r="Z5619" s="12" t="inlineStr">
        <is>
          <t>device-to-JB field wiring, one cable per device</t>
        </is>
      </c>
      <c r="AA5619" s="12">
        <f>N5619*O5619</f>
        <v/>
      </c>
    </row>
    <row r="5620">
      <c r="A5620" s="12" t="inlineStr">
        <is>
          <t>K-I-0182</t>
        </is>
      </c>
      <c r="B5620" s="12" t="inlineStr">
        <is>
          <t>K</t>
        </is>
      </c>
      <c r="C5620" s="12" t="inlineStr">
        <is>
          <t>Fuel supply (adjacent market)</t>
        </is>
      </c>
      <c r="D5620" s="12" t="inlineStr">
        <is>
          <t>Home run JB-M&amp;R 7: gas quality-AI01 to the control / marshalling room</t>
        </is>
      </c>
      <c r="E5620" s="12" t="inlineStr"/>
      <c r="F5620" s="12" t="inlineStr">
        <is>
          <t>LNG 17: LNG e-house (13.8 kV / 480 V)</t>
        </is>
      </c>
      <c r="G5620" s="12" t="inlineStr">
        <is>
          <t>JB-M&amp;R 7: gas quality-AI01</t>
        </is>
      </c>
      <c r="H5620" s="12" t="inlineStr">
        <is>
          <t>M&amp;R 7: gas quality + measurement building</t>
        </is>
      </c>
      <c r="I5620" s="12" t="inlineStr">
        <is>
          <t>Instrumentation</t>
        </is>
      </c>
      <c r="J5620" s="12" t="inlineStr">
        <is>
          <t>Instrumentation ITC / PLTC, IS, #18 shielded pairs, blue jacket</t>
        </is>
      </c>
      <c r="K5620" s="12" t="inlineStr">
        <is>
          <t>ITC|24 pr|18</t>
        </is>
      </c>
      <c r="L5620" s="12" t="inlineStr">
        <is>
          <t>24 pr</t>
        </is>
      </c>
      <c r="M5620" s="12" t="inlineStr">
        <is>
          <t>18</t>
        </is>
      </c>
      <c r="N5620" s="12" t="n">
        <v>1</v>
      </c>
      <c r="O5620" s="12" t="n">
        <v>1</v>
      </c>
      <c r="P5620" s="12" t="n"/>
      <c r="Q5620" s="12" t="n"/>
      <c r="R5620" s="12" t="n"/>
      <c r="S5620" s="12" t="inlineStr">
        <is>
          <t>Duct bank</t>
        </is>
      </c>
      <c r="T5620" s="16" t="n">
        <v>616</v>
      </c>
      <c r="U5620" s="16" t="n">
        <v>52</v>
      </c>
      <c r="V5620" s="16">
        <f>ROUNDUP((T5620+U5620+2*'Read Me'!$B$13)*(1+'Read Me'!$B$12),-1)</f>
        <v/>
      </c>
      <c r="W5620" s="16">
        <f>V5620*N5620*O5620</f>
        <v/>
      </c>
      <c r="X5620" s="12">
        <f>IF(LEFT(I5620,2)="MV",2*N5620*IF(L5620="1/C",O5620,1),0)</f>
        <v/>
      </c>
      <c r="Y5620" s="12">
        <f>IF(OR(LEFT(K5620,4)="LVAX",LEFT(K5620,6)="MV15AX",LEFT(K5620,4)="CTAX",LEFT(K5620,2)="W|"),2*N5620*O5620,0)</f>
        <v/>
      </c>
      <c r="Z5620" s="12" t="inlineStr"/>
      <c r="AA5620" s="12">
        <f>N5620*O5620</f>
        <v/>
      </c>
    </row>
    <row r="5621">
      <c r="A5621" s="12" t="inlineStr">
        <is>
          <t>K-I-0183</t>
        </is>
      </c>
      <c r="B5621" s="12" t="inlineStr">
        <is>
          <t>K</t>
        </is>
      </c>
      <c r="C5621" s="12" t="inlineStr">
        <is>
          <t>Fuel supply (adjacent market)</t>
        </is>
      </c>
      <c r="D5621" s="12" t="inlineStr">
        <is>
          <t>Discrete device to JB JB-M&amp;R 7: gas quality-DI01: 8 x 1 pr (field cables)</t>
        </is>
      </c>
      <c r="E5621" s="12" t="inlineStr"/>
      <c r="F5621" s="12" t="inlineStr">
        <is>
          <t>M&amp;R 7: gas quality + measurement building</t>
        </is>
      </c>
      <c r="G5621" s="12" t="inlineStr">
        <is>
          <t>JB-M&amp;R 7: gas quality-DI01</t>
        </is>
      </c>
      <c r="H5621" s="12" t="inlineStr">
        <is>
          <t>M&amp;R 7: gas quality + measurement building</t>
        </is>
      </c>
      <c r="I5621" s="12" t="inlineStr">
        <is>
          <t>Instrumentation</t>
        </is>
      </c>
      <c r="J5621" s="12" t="inlineStr">
        <is>
          <t>Instrumentation ITC / PLTC, IS, #18 shielded pairs, blue jacket</t>
        </is>
      </c>
      <c r="K5621" s="12" t="inlineStr">
        <is>
          <t>ITC|1 pr|16</t>
        </is>
      </c>
      <c r="L5621" s="12" t="inlineStr">
        <is>
          <t>1 pr</t>
        </is>
      </c>
      <c r="M5621" s="12" t="inlineStr">
        <is>
          <t>16</t>
        </is>
      </c>
      <c r="N5621" s="12" t="n">
        <v>8</v>
      </c>
      <c r="O5621" s="12" t="n">
        <v>1</v>
      </c>
      <c r="P5621" s="12" t="n"/>
      <c r="Q5621" s="12" t="n"/>
      <c r="R5621" s="12" t="n"/>
      <c r="S5621" s="12" t="inlineStr">
        <is>
          <t>Tray / conduit</t>
        </is>
      </c>
      <c r="T5621" s="16" t="n">
        <v>41</v>
      </c>
      <c r="U5621" s="16" t="n">
        <v>10</v>
      </c>
      <c r="V5621" s="16">
        <f>ROUNDUP((T5621+U5621+2*'Read Me'!$B$13)*(1+'Read Me'!$B$12),-1)</f>
        <v/>
      </c>
      <c r="W5621" s="16">
        <f>V5621*N5621*O5621</f>
        <v/>
      </c>
      <c r="X5621" s="12">
        <f>IF(LEFT(I5621,2)="MV",2*N5621*IF(L5621="1/C",O5621,1),0)</f>
        <v/>
      </c>
      <c r="Y5621" s="12">
        <f>IF(OR(LEFT(K5621,4)="LVAX",LEFT(K5621,6)="MV15AX",LEFT(K5621,4)="CTAX",LEFT(K5621,2)="W|"),2*N5621*O5621,0)</f>
        <v/>
      </c>
      <c r="Z5621" s="12" t="inlineStr">
        <is>
          <t>device-to-JB field wiring, one cable per device</t>
        </is>
      </c>
      <c r="AA5621" s="12">
        <f>N5621*O5621</f>
        <v/>
      </c>
    </row>
    <row r="5622">
      <c r="A5622" s="12" t="inlineStr">
        <is>
          <t>K-I-0184</t>
        </is>
      </c>
      <c r="B5622" s="12" t="inlineStr">
        <is>
          <t>K</t>
        </is>
      </c>
      <c r="C5622" s="12" t="inlineStr">
        <is>
          <t>Fuel supply (adjacent market)</t>
        </is>
      </c>
      <c r="D5622" s="12" t="inlineStr">
        <is>
          <t>Home run JB-M&amp;R 7: gas quality-DI01 to the control / marshalling room</t>
        </is>
      </c>
      <c r="E5622" s="12" t="inlineStr"/>
      <c r="F5622" s="12" t="inlineStr">
        <is>
          <t>LNG 17: LNG e-house (13.8 kV / 480 V)</t>
        </is>
      </c>
      <c r="G5622" s="12" t="inlineStr">
        <is>
          <t>JB-M&amp;R 7: gas quality-DI01</t>
        </is>
      </c>
      <c r="H5622" s="12" t="inlineStr">
        <is>
          <t>M&amp;R 7: gas quality + measurement building</t>
        </is>
      </c>
      <c r="I5622" s="12" t="inlineStr">
        <is>
          <t>Instrumentation</t>
        </is>
      </c>
      <c r="J5622" s="12" t="inlineStr">
        <is>
          <t>Instrumentation ITC / PLTC, IS, #18 shielded pairs, blue jacket</t>
        </is>
      </c>
      <c r="K5622" s="12" t="inlineStr">
        <is>
          <t>ITC|24 pr|18</t>
        </is>
      </c>
      <c r="L5622" s="12" t="inlineStr">
        <is>
          <t>24 pr</t>
        </is>
      </c>
      <c r="M5622" s="12" t="inlineStr">
        <is>
          <t>18</t>
        </is>
      </c>
      <c r="N5622" s="12" t="n">
        <v>1</v>
      </c>
      <c r="O5622" s="12" t="n">
        <v>1</v>
      </c>
      <c r="P5622" s="12" t="n"/>
      <c r="Q5622" s="12" t="n"/>
      <c r="R5622" s="12" t="n"/>
      <c r="S5622" s="12" t="inlineStr">
        <is>
          <t>Duct bank</t>
        </is>
      </c>
      <c r="T5622" s="16" t="n">
        <v>616</v>
      </c>
      <c r="U5622" s="16" t="n">
        <v>52</v>
      </c>
      <c r="V5622" s="16">
        <f>ROUNDUP((T5622+U5622+2*'Read Me'!$B$13)*(1+'Read Me'!$B$12),-1)</f>
        <v/>
      </c>
      <c r="W5622" s="16">
        <f>V5622*N5622*O5622</f>
        <v/>
      </c>
      <c r="X5622" s="12">
        <f>IF(LEFT(I5622,2)="MV",2*N5622*IF(L5622="1/C",O5622,1),0)</f>
        <v/>
      </c>
      <c r="Y5622" s="12">
        <f>IF(OR(LEFT(K5622,4)="LVAX",LEFT(K5622,6)="MV15AX",LEFT(K5622,4)="CTAX",LEFT(K5622,2)="W|"),2*N5622*O5622,0)</f>
        <v/>
      </c>
      <c r="Z5622" s="12" t="inlineStr"/>
      <c r="AA5622" s="12">
        <f>N5622*O5622</f>
        <v/>
      </c>
    </row>
    <row r="5623">
      <c r="A5623" s="12" t="inlineStr">
        <is>
          <t>K-I-0185</t>
        </is>
      </c>
      <c r="B5623" s="12" t="inlineStr">
        <is>
          <t>K</t>
        </is>
      </c>
      <c r="C5623" s="12" t="inlineStr">
        <is>
          <t>Fuel supply (adjacent market)</t>
        </is>
      </c>
      <c r="D5623" s="12" t="inlineStr">
        <is>
          <t>Analog instrument to JB JB-M&amp;R 8: condensate -AI01: 4 x 1 pr (field cables)</t>
        </is>
      </c>
      <c r="E5623" s="12" t="inlineStr"/>
      <c r="F5623" s="12" t="inlineStr">
        <is>
          <t>M&amp;R 8: condensate tank</t>
        </is>
      </c>
      <c r="G5623" s="12" t="inlineStr">
        <is>
          <t>JB-M&amp;R 8: condensate -AI01</t>
        </is>
      </c>
      <c r="H5623" s="12" t="inlineStr">
        <is>
          <t>M&amp;R 8: condensate tank</t>
        </is>
      </c>
      <c r="I5623" s="12" t="inlineStr">
        <is>
          <t>Instrumentation</t>
        </is>
      </c>
      <c r="J5623" s="12" t="inlineStr">
        <is>
          <t>Instrumentation ITC / PLTC, IS, #18 shielded pairs, blue jacket</t>
        </is>
      </c>
      <c r="K5623" s="12" t="inlineStr">
        <is>
          <t>ITC|1 pr|16</t>
        </is>
      </c>
      <c r="L5623" s="12" t="inlineStr">
        <is>
          <t>1 pr</t>
        </is>
      </c>
      <c r="M5623" s="12" t="inlineStr">
        <is>
          <t>16</t>
        </is>
      </c>
      <c r="N5623" s="12" t="n">
        <v>4</v>
      </c>
      <c r="O5623" s="12" t="n">
        <v>1</v>
      </c>
      <c r="P5623" s="12" t="n"/>
      <c r="Q5623" s="12" t="n"/>
      <c r="R5623" s="12" t="n"/>
      <c r="S5623" s="12" t="inlineStr">
        <is>
          <t>Tray / conduit</t>
        </is>
      </c>
      <c r="T5623" s="16" t="n">
        <v>41</v>
      </c>
      <c r="U5623" s="16" t="n">
        <v>10</v>
      </c>
      <c r="V5623" s="16">
        <f>ROUNDUP((T5623+U5623+2*'Read Me'!$B$13)*(1+'Read Me'!$B$12),-1)</f>
        <v/>
      </c>
      <c r="W5623" s="16">
        <f>V5623*N5623*O5623</f>
        <v/>
      </c>
      <c r="X5623" s="12">
        <f>IF(LEFT(I5623,2)="MV",2*N5623*IF(L5623="1/C",O5623,1),0)</f>
        <v/>
      </c>
      <c r="Y5623" s="12">
        <f>IF(OR(LEFT(K5623,4)="LVAX",LEFT(K5623,6)="MV15AX",LEFT(K5623,4)="CTAX",LEFT(K5623,2)="W|"),2*N5623*O5623,0)</f>
        <v/>
      </c>
      <c r="Z5623" s="12" t="inlineStr">
        <is>
          <t>device-to-JB field wiring, one cable per device</t>
        </is>
      </c>
      <c r="AA5623" s="12">
        <f>N5623*O5623</f>
        <v/>
      </c>
    </row>
    <row r="5624">
      <c r="A5624" s="12" t="inlineStr">
        <is>
          <t>K-I-0186</t>
        </is>
      </c>
      <c r="B5624" s="12" t="inlineStr">
        <is>
          <t>K</t>
        </is>
      </c>
      <c r="C5624" s="12" t="inlineStr">
        <is>
          <t>Fuel supply (adjacent market)</t>
        </is>
      </c>
      <c r="D5624" s="12" t="inlineStr">
        <is>
          <t>Home run JB-M&amp;R 8: condensate -AI01 to the control / marshalling room</t>
        </is>
      </c>
      <c r="E5624" s="12" t="inlineStr"/>
      <c r="F5624" s="12" t="inlineStr">
        <is>
          <t>LNG 17: LNG e-house (13.8 kV / 480 V)</t>
        </is>
      </c>
      <c r="G5624" s="12" t="inlineStr">
        <is>
          <t>JB-M&amp;R 8: condensate -AI01</t>
        </is>
      </c>
      <c r="H5624" s="12" t="inlineStr">
        <is>
          <t>M&amp;R 8: condensate tank</t>
        </is>
      </c>
      <c r="I5624" s="12" t="inlineStr">
        <is>
          <t>Instrumentation</t>
        </is>
      </c>
      <c r="J5624" s="12" t="inlineStr">
        <is>
          <t>Instrumentation ITC / PLTC, IS, #18 shielded pairs, blue jacket</t>
        </is>
      </c>
      <c r="K5624" s="12" t="inlineStr">
        <is>
          <t>ITC|24 pr|18</t>
        </is>
      </c>
      <c r="L5624" s="12" t="inlineStr">
        <is>
          <t>24 pr</t>
        </is>
      </c>
      <c r="M5624" s="12" t="inlineStr">
        <is>
          <t>18</t>
        </is>
      </c>
      <c r="N5624" s="12" t="n">
        <v>1</v>
      </c>
      <c r="O5624" s="12" t="n">
        <v>1</v>
      </c>
      <c r="P5624" s="12" t="n"/>
      <c r="Q5624" s="12" t="n"/>
      <c r="R5624" s="12" t="n"/>
      <c r="S5624" s="12" t="inlineStr">
        <is>
          <t>Duct bank</t>
        </is>
      </c>
      <c r="T5624" s="16" t="n">
        <v>530</v>
      </c>
      <c r="U5624" s="16" t="n">
        <v>87</v>
      </c>
      <c r="V5624" s="16">
        <f>ROUNDUP((T5624+U5624+2*'Read Me'!$B$13)*(1+'Read Me'!$B$12),-1)</f>
        <v/>
      </c>
      <c r="W5624" s="16">
        <f>V5624*N5624*O5624</f>
        <v/>
      </c>
      <c r="X5624" s="12">
        <f>IF(LEFT(I5624,2)="MV",2*N5624*IF(L5624="1/C",O5624,1),0)</f>
        <v/>
      </c>
      <c r="Y5624" s="12">
        <f>IF(OR(LEFT(K5624,4)="LVAX",LEFT(K5624,6)="MV15AX",LEFT(K5624,4)="CTAX",LEFT(K5624,2)="W|"),2*N5624*O5624,0)</f>
        <v/>
      </c>
      <c r="Z5624" s="12" t="inlineStr"/>
      <c r="AA5624" s="12">
        <f>N5624*O5624</f>
        <v/>
      </c>
    </row>
    <row r="5625">
      <c r="A5625" s="12" t="inlineStr">
        <is>
          <t>K-I-0187</t>
        </is>
      </c>
      <c r="B5625" s="12" t="inlineStr">
        <is>
          <t>K</t>
        </is>
      </c>
      <c r="C5625" s="12" t="inlineStr">
        <is>
          <t>Fuel supply (adjacent market)</t>
        </is>
      </c>
      <c r="D5625" s="12" t="inlineStr">
        <is>
          <t>Discrete device to JB JB-M&amp;R 8: condensate -DI01: 4 x 1 pr (field cables)</t>
        </is>
      </c>
      <c r="E5625" s="12" t="inlineStr"/>
      <c r="F5625" s="12" t="inlineStr">
        <is>
          <t>M&amp;R 8: condensate tank</t>
        </is>
      </c>
      <c r="G5625" s="12" t="inlineStr">
        <is>
          <t>JB-M&amp;R 8: condensate -DI01</t>
        </is>
      </c>
      <c r="H5625" s="12" t="inlineStr">
        <is>
          <t>M&amp;R 8: condensate tank</t>
        </is>
      </c>
      <c r="I5625" s="12" t="inlineStr">
        <is>
          <t>Instrumentation</t>
        </is>
      </c>
      <c r="J5625" s="12" t="inlineStr">
        <is>
          <t>Instrumentation ITC / PLTC, IS, #18 shielded pairs, blue jacket</t>
        </is>
      </c>
      <c r="K5625" s="12" t="inlineStr">
        <is>
          <t>ITC|1 pr|16</t>
        </is>
      </c>
      <c r="L5625" s="12" t="inlineStr">
        <is>
          <t>1 pr</t>
        </is>
      </c>
      <c r="M5625" s="12" t="inlineStr">
        <is>
          <t>16</t>
        </is>
      </c>
      <c r="N5625" s="12" t="n">
        <v>4</v>
      </c>
      <c r="O5625" s="12" t="n">
        <v>1</v>
      </c>
      <c r="P5625" s="12" t="n"/>
      <c r="Q5625" s="12" t="n"/>
      <c r="R5625" s="12" t="n"/>
      <c r="S5625" s="12" t="inlineStr">
        <is>
          <t>Tray / conduit</t>
        </is>
      </c>
      <c r="T5625" s="16" t="n">
        <v>41</v>
      </c>
      <c r="U5625" s="16" t="n">
        <v>10</v>
      </c>
      <c r="V5625" s="16">
        <f>ROUNDUP((T5625+U5625+2*'Read Me'!$B$13)*(1+'Read Me'!$B$12),-1)</f>
        <v/>
      </c>
      <c r="W5625" s="16">
        <f>V5625*N5625*O5625</f>
        <v/>
      </c>
      <c r="X5625" s="12">
        <f>IF(LEFT(I5625,2)="MV",2*N5625*IF(L5625="1/C",O5625,1),0)</f>
        <v/>
      </c>
      <c r="Y5625" s="12">
        <f>IF(OR(LEFT(K5625,4)="LVAX",LEFT(K5625,6)="MV15AX",LEFT(K5625,4)="CTAX",LEFT(K5625,2)="W|"),2*N5625*O5625,0)</f>
        <v/>
      </c>
      <c r="Z5625" s="12" t="inlineStr">
        <is>
          <t>device-to-JB field wiring, one cable per device</t>
        </is>
      </c>
      <c r="AA5625" s="12">
        <f>N5625*O5625</f>
        <v/>
      </c>
    </row>
    <row r="5626">
      <c r="A5626" s="12" t="inlineStr">
        <is>
          <t>K-I-0188</t>
        </is>
      </c>
      <c r="B5626" s="12" t="inlineStr">
        <is>
          <t>K</t>
        </is>
      </c>
      <c r="C5626" s="12" t="inlineStr">
        <is>
          <t>Fuel supply (adjacent market)</t>
        </is>
      </c>
      <c r="D5626" s="12" t="inlineStr">
        <is>
          <t>Home run JB-M&amp;R 8: condensate -DI01 to the control / marshalling room</t>
        </is>
      </c>
      <c r="E5626" s="12" t="inlineStr"/>
      <c r="F5626" s="12" t="inlineStr">
        <is>
          <t>LNG 17: LNG e-house (13.8 kV / 480 V)</t>
        </is>
      </c>
      <c r="G5626" s="12" t="inlineStr">
        <is>
          <t>JB-M&amp;R 8: condensate -DI01</t>
        </is>
      </c>
      <c r="H5626" s="12" t="inlineStr">
        <is>
          <t>M&amp;R 8: condensate tank</t>
        </is>
      </c>
      <c r="I5626" s="12" t="inlineStr">
        <is>
          <t>Instrumentation</t>
        </is>
      </c>
      <c r="J5626" s="12" t="inlineStr">
        <is>
          <t>Instrumentation ITC / PLTC, IS, #18 shielded pairs, blue jacket</t>
        </is>
      </c>
      <c r="K5626" s="12" t="inlineStr">
        <is>
          <t>ITC|24 pr|18</t>
        </is>
      </c>
      <c r="L5626" s="12" t="inlineStr">
        <is>
          <t>24 pr</t>
        </is>
      </c>
      <c r="M5626" s="12" t="inlineStr">
        <is>
          <t>18</t>
        </is>
      </c>
      <c r="N5626" s="12" t="n">
        <v>1</v>
      </c>
      <c r="O5626" s="12" t="n">
        <v>1</v>
      </c>
      <c r="P5626" s="12" t="n"/>
      <c r="Q5626" s="12" t="n"/>
      <c r="R5626" s="12" t="n"/>
      <c r="S5626" s="12" t="inlineStr">
        <is>
          <t>Duct bank</t>
        </is>
      </c>
      <c r="T5626" s="16" t="n">
        <v>530</v>
      </c>
      <c r="U5626" s="16" t="n">
        <v>87</v>
      </c>
      <c r="V5626" s="16">
        <f>ROUNDUP((T5626+U5626+2*'Read Me'!$B$13)*(1+'Read Me'!$B$12),-1)</f>
        <v/>
      </c>
      <c r="W5626" s="16">
        <f>V5626*N5626*O5626</f>
        <v/>
      </c>
      <c r="X5626" s="12">
        <f>IF(LEFT(I5626,2)="MV",2*N5626*IF(L5626="1/C",O5626,1),0)</f>
        <v/>
      </c>
      <c r="Y5626" s="12">
        <f>IF(OR(LEFT(K5626,4)="LVAX",LEFT(K5626,6)="MV15AX",LEFT(K5626,4)="CTAX",LEFT(K5626,2)="W|"),2*N5626*O5626,0)</f>
        <v/>
      </c>
      <c r="Z5626" s="12" t="inlineStr"/>
      <c r="AA5626" s="12">
        <f>N5626*O5626</f>
        <v/>
      </c>
    </row>
    <row r="5627">
      <c r="A5627" s="12" t="inlineStr">
        <is>
          <t>K-I-0189</t>
        </is>
      </c>
      <c r="B5627" s="12" t="inlineStr">
        <is>
          <t>K</t>
        </is>
      </c>
      <c r="C5627" s="12" t="inlineStr">
        <is>
          <t>Fuel supply (adjacent market)</t>
        </is>
      </c>
      <c r="D5627" s="12" t="inlineStr">
        <is>
          <t>Instrumentation</t>
        </is>
      </c>
      <c r="E5627" s="12" t="inlineStr"/>
      <c r="F5627" s="12" t="inlineStr">
        <is>
          <t>LNG 17: LNG e-house (13.8 kV / 480 V)</t>
        </is>
      </c>
      <c r="G5627" s="12" t="inlineStr"/>
      <c r="H5627" s="12" t="inlineStr">
        <is>
          <t>M&amp;R CP test station (as drawn)</t>
        </is>
      </c>
      <c r="I5627" s="12" t="inlineStr">
        <is>
          <t>Instrumentation</t>
        </is>
      </c>
      <c r="J5627" s="12" t="inlineStr">
        <is>
          <t>Instrumentation ITC / PLTC, IS, #18 shielded pairs, blue jacket</t>
        </is>
      </c>
      <c r="K5627" s="12" t="inlineStr">
        <is>
          <t>ITC|4 pr|18</t>
        </is>
      </c>
      <c r="L5627" s="12" t="inlineStr">
        <is>
          <t>4 pr</t>
        </is>
      </c>
      <c r="M5627" s="12" t="inlineStr">
        <is>
          <t>18</t>
        </is>
      </c>
      <c r="N5627" s="12" t="n">
        <v>1</v>
      </c>
      <c r="O5627" s="12" t="n">
        <v>1</v>
      </c>
      <c r="P5627" s="12" t="n"/>
      <c r="Q5627" s="12" t="n"/>
      <c r="R5627" s="12" t="n"/>
      <c r="S5627" s="12" t="inlineStr">
        <is>
          <t>Duct bank</t>
        </is>
      </c>
      <c r="T5627" s="16" t="n">
        <v>441</v>
      </c>
      <c r="U5627" s="16" t="n">
        <v>42</v>
      </c>
      <c r="V5627" s="16">
        <f>ROUNDUP((T5627+U5627+2*'Read Me'!$B$13)*(1+'Read Me'!$B$12),-1)</f>
        <v/>
      </c>
      <c r="W5627" s="16">
        <f>V5627*N5627*O5627</f>
        <v/>
      </c>
      <c r="X5627" s="12">
        <f>IF(LEFT(I5627,2)="MV",2*N5627*IF(L5627="1/C",O5627,1),0)</f>
        <v/>
      </c>
      <c r="Y5627" s="12">
        <f>IF(OR(LEFT(K5627,4)="LVAX",LEFT(K5627,6)="MV15AX",LEFT(K5627,4)="CTAX",LEFT(K5627,2)="W|"),2*N5627*O5627,0)</f>
        <v/>
      </c>
      <c r="Z5627" s="12" t="inlineStr"/>
      <c r="AA5627" s="12">
        <f>N5627*O5627</f>
        <v/>
      </c>
    </row>
    <row r="5628">
      <c r="A5628" s="12" t="inlineStr">
        <is>
          <t>K-I-0190</t>
        </is>
      </c>
      <c r="B5628" s="12" t="inlineStr">
        <is>
          <t>K</t>
        </is>
      </c>
      <c r="C5628" s="12" t="inlineStr">
        <is>
          <t>Fuel supply (adjacent market)</t>
        </is>
      </c>
      <c r="D5628" s="12" t="inlineStr">
        <is>
          <t>Instrumentation</t>
        </is>
      </c>
      <c r="E5628" s="12" t="inlineStr"/>
      <c r="F5628" s="12" t="inlineStr">
        <is>
          <t>H2 20: 13.8 kV e-house</t>
        </is>
      </c>
      <c r="G5628" s="12" t="inlineStr"/>
      <c r="H5628" s="12" t="inlineStr">
        <is>
          <t>PEM electrolyzer 1 (HyLYZER-1000)</t>
        </is>
      </c>
      <c r="I5628" s="12" t="inlineStr">
        <is>
          <t>Instrumentation</t>
        </is>
      </c>
      <c r="J5628" s="12" t="inlineStr">
        <is>
          <t>Instrumentation ITC / PLTC, IS, #18 shielded pairs, blue jacket</t>
        </is>
      </c>
      <c r="K5628" s="12" t="inlineStr">
        <is>
          <t>ITC|4 pr|18</t>
        </is>
      </c>
      <c r="L5628" s="12" t="inlineStr">
        <is>
          <t>4 pr</t>
        </is>
      </c>
      <c r="M5628" s="12" t="inlineStr">
        <is>
          <t>18</t>
        </is>
      </c>
      <c r="N5628" s="12" t="n">
        <v>1</v>
      </c>
      <c r="O5628" s="12" t="n">
        <v>1</v>
      </c>
      <c r="P5628" s="12" t="n"/>
      <c r="Q5628" s="12" t="n"/>
      <c r="R5628" s="12" t="n"/>
      <c r="S5628" s="12" t="inlineStr">
        <is>
          <t>Duct bank</t>
        </is>
      </c>
      <c r="T5628" s="16" t="n">
        <v>358</v>
      </c>
      <c r="U5628" s="16" t="n">
        <v>32</v>
      </c>
      <c r="V5628" s="16">
        <f>ROUNDUP((T5628+U5628+2*'Read Me'!$B$13)*(1+'Read Me'!$B$12),-1)</f>
        <v/>
      </c>
      <c r="W5628" s="16">
        <f>V5628*N5628*O5628</f>
        <v/>
      </c>
      <c r="X5628" s="12">
        <f>IF(LEFT(I5628,2)="MV",2*N5628*IF(L5628="1/C",O5628,1),0)</f>
        <v/>
      </c>
      <c r="Y5628" s="12">
        <f>IF(OR(LEFT(K5628,4)="LVAX",LEFT(K5628,6)="MV15AX",LEFT(K5628,4)="CTAX",LEFT(K5628,2)="W|"),2*N5628*O5628,0)</f>
        <v/>
      </c>
      <c r="Z5628" s="12" t="inlineStr"/>
      <c r="AA5628" s="12">
        <f>N5628*O5628</f>
        <v/>
      </c>
    </row>
    <row r="5629">
      <c r="A5629" s="12" t="inlineStr">
        <is>
          <t>K-I-0191</t>
        </is>
      </c>
      <c r="B5629" s="12" t="inlineStr">
        <is>
          <t>K</t>
        </is>
      </c>
      <c r="C5629" s="12" t="inlineStr">
        <is>
          <t>Fuel supply (adjacent market)</t>
        </is>
      </c>
      <c r="D5629" s="12" t="inlineStr">
        <is>
          <t>Instrumentation</t>
        </is>
      </c>
      <c r="E5629" s="12" t="inlineStr"/>
      <c r="F5629" s="12" t="inlineStr">
        <is>
          <t>H2 20: 13.8 kV e-house</t>
        </is>
      </c>
      <c r="G5629" s="12" t="inlineStr"/>
      <c r="H5629" s="12" t="inlineStr">
        <is>
          <t>PEM electrolyzer 2 (HyLYZER-1000)</t>
        </is>
      </c>
      <c r="I5629" s="12" t="inlineStr">
        <is>
          <t>Instrumentation</t>
        </is>
      </c>
      <c r="J5629" s="12" t="inlineStr">
        <is>
          <t>Instrumentation ITC / PLTC, IS, #18 shielded pairs, blue jacket</t>
        </is>
      </c>
      <c r="K5629" s="12" t="inlineStr">
        <is>
          <t>ITC|4 pr|18</t>
        </is>
      </c>
      <c r="L5629" s="12" t="inlineStr">
        <is>
          <t>4 pr</t>
        </is>
      </c>
      <c r="M5629" s="12" t="inlineStr">
        <is>
          <t>18</t>
        </is>
      </c>
      <c r="N5629" s="12" t="n">
        <v>1</v>
      </c>
      <c r="O5629" s="12" t="n">
        <v>1</v>
      </c>
      <c r="P5629" s="12" t="n"/>
      <c r="Q5629" s="12" t="n"/>
      <c r="R5629" s="12" t="n"/>
      <c r="S5629" s="12" t="inlineStr">
        <is>
          <t>Duct bank</t>
        </is>
      </c>
      <c r="T5629" s="16" t="n">
        <v>358</v>
      </c>
      <c r="U5629" s="16" t="n">
        <v>48</v>
      </c>
      <c r="V5629" s="16">
        <f>ROUNDUP((T5629+U5629+2*'Read Me'!$B$13)*(1+'Read Me'!$B$12),-1)</f>
        <v/>
      </c>
      <c r="W5629" s="16">
        <f>V5629*N5629*O5629</f>
        <v/>
      </c>
      <c r="X5629" s="12">
        <f>IF(LEFT(I5629,2)="MV",2*N5629*IF(L5629="1/C",O5629,1),0)</f>
        <v/>
      </c>
      <c r="Y5629" s="12">
        <f>IF(OR(LEFT(K5629,4)="LVAX",LEFT(K5629,6)="MV15AX",LEFT(K5629,4)="CTAX",LEFT(K5629,2)="W|"),2*N5629*O5629,0)</f>
        <v/>
      </c>
      <c r="Z5629" s="12" t="inlineStr"/>
      <c r="AA5629" s="12">
        <f>N5629*O5629</f>
        <v/>
      </c>
    </row>
    <row r="5630">
      <c r="A5630" s="12" t="inlineStr">
        <is>
          <t>K-I-0192</t>
        </is>
      </c>
      <c r="B5630" s="12" t="inlineStr">
        <is>
          <t>K</t>
        </is>
      </c>
      <c r="C5630" s="12" t="inlineStr">
        <is>
          <t>Fuel supply (adjacent market)</t>
        </is>
      </c>
      <c r="D5630" s="12" t="inlineStr">
        <is>
          <t>Instrumentation</t>
        </is>
      </c>
      <c r="E5630" s="12" t="inlineStr"/>
      <c r="F5630" s="12" t="inlineStr">
        <is>
          <t>H2 20: 13.8 kV e-house</t>
        </is>
      </c>
      <c r="G5630" s="12" t="inlineStr"/>
      <c r="H5630" s="12" t="inlineStr">
        <is>
          <t>PEM electrolyzer 3 (HyLYZER-1000)</t>
        </is>
      </c>
      <c r="I5630" s="12" t="inlineStr">
        <is>
          <t>Instrumentation</t>
        </is>
      </c>
      <c r="J5630" s="12" t="inlineStr">
        <is>
          <t>Instrumentation ITC / PLTC, IS, #18 shielded pairs, blue jacket</t>
        </is>
      </c>
      <c r="K5630" s="12" t="inlineStr">
        <is>
          <t>ITC|4 pr|18</t>
        </is>
      </c>
      <c r="L5630" s="12" t="inlineStr">
        <is>
          <t>4 pr</t>
        </is>
      </c>
      <c r="M5630" s="12" t="inlineStr">
        <is>
          <t>18</t>
        </is>
      </c>
      <c r="N5630" s="12" t="n">
        <v>1</v>
      </c>
      <c r="O5630" s="12" t="n">
        <v>1</v>
      </c>
      <c r="P5630" s="12" t="n"/>
      <c r="Q5630" s="12" t="n"/>
      <c r="R5630" s="12" t="n"/>
      <c r="S5630" s="12" t="inlineStr">
        <is>
          <t>Duct bank</t>
        </is>
      </c>
      <c r="T5630" s="16" t="n">
        <v>348</v>
      </c>
      <c r="U5630" s="16" t="n">
        <v>49</v>
      </c>
      <c r="V5630" s="16">
        <f>ROUNDUP((T5630+U5630+2*'Read Me'!$B$13)*(1+'Read Me'!$B$12),-1)</f>
        <v/>
      </c>
      <c r="W5630" s="16">
        <f>V5630*N5630*O5630</f>
        <v/>
      </c>
      <c r="X5630" s="12">
        <f>IF(LEFT(I5630,2)="MV",2*N5630*IF(L5630="1/C",O5630,1),0)</f>
        <v/>
      </c>
      <c r="Y5630" s="12">
        <f>IF(OR(LEFT(K5630,4)="LVAX",LEFT(K5630,6)="MV15AX",LEFT(K5630,4)="CTAX",LEFT(K5630,2)="W|"),2*N5630*O5630,0)</f>
        <v/>
      </c>
      <c r="Z5630" s="12" t="inlineStr"/>
      <c r="AA5630" s="12">
        <f>N5630*O5630</f>
        <v/>
      </c>
    </row>
    <row r="5631">
      <c r="A5631" s="12" t="inlineStr">
        <is>
          <t>K-I-0193</t>
        </is>
      </c>
      <c r="B5631" s="12" t="inlineStr">
        <is>
          <t>K</t>
        </is>
      </c>
      <c r="C5631" s="12" t="inlineStr">
        <is>
          <t>Fuel supply (adjacent market)</t>
        </is>
      </c>
      <c r="D5631" s="12" t="inlineStr">
        <is>
          <t>Instrumentation</t>
        </is>
      </c>
      <c r="E5631" s="12" t="inlineStr"/>
      <c r="F5631" s="12" t="inlineStr">
        <is>
          <t>H2 20: 13.8 kV e-house</t>
        </is>
      </c>
      <c r="G5631" s="12" t="inlineStr"/>
      <c r="H5631" s="12" t="inlineStr">
        <is>
          <t>PEM electrolyzer 4 (HyLYZER-1000)</t>
        </is>
      </c>
      <c r="I5631" s="12" t="inlineStr">
        <is>
          <t>Instrumentation</t>
        </is>
      </c>
      <c r="J5631" s="12" t="inlineStr">
        <is>
          <t>Instrumentation ITC / PLTC, IS, #18 shielded pairs, blue jacket</t>
        </is>
      </c>
      <c r="K5631" s="12" t="inlineStr">
        <is>
          <t>ITC|4 pr|18</t>
        </is>
      </c>
      <c r="L5631" s="12" t="inlineStr">
        <is>
          <t>4 pr</t>
        </is>
      </c>
      <c r="M5631" s="12" t="inlineStr">
        <is>
          <t>18</t>
        </is>
      </c>
      <c r="N5631" s="12" t="n">
        <v>1</v>
      </c>
      <c r="O5631" s="12" t="n">
        <v>1</v>
      </c>
      <c r="P5631" s="12" t="n"/>
      <c r="Q5631" s="12" t="n"/>
      <c r="R5631" s="12" t="n"/>
      <c r="S5631" s="12" t="inlineStr">
        <is>
          <t>Duct bank</t>
        </is>
      </c>
      <c r="T5631" s="16" t="n">
        <v>328</v>
      </c>
      <c r="U5631" s="16" t="n">
        <v>49</v>
      </c>
      <c r="V5631" s="16">
        <f>ROUNDUP((T5631+U5631+2*'Read Me'!$B$13)*(1+'Read Me'!$B$12),-1)</f>
        <v/>
      </c>
      <c r="W5631" s="16">
        <f>V5631*N5631*O5631</f>
        <v/>
      </c>
      <c r="X5631" s="12">
        <f>IF(LEFT(I5631,2)="MV",2*N5631*IF(L5631="1/C",O5631,1),0)</f>
        <v/>
      </c>
      <c r="Y5631" s="12">
        <f>IF(OR(LEFT(K5631,4)="LVAX",LEFT(K5631,6)="MV15AX",LEFT(K5631,4)="CTAX",LEFT(K5631,2)="W|"),2*N5631*O5631,0)</f>
        <v/>
      </c>
      <c r="Z5631" s="12" t="inlineStr"/>
      <c r="AA5631" s="12">
        <f>N5631*O5631</f>
        <v/>
      </c>
    </row>
    <row r="5632">
      <c r="A5632" s="12" t="inlineStr">
        <is>
          <t>K-I-0194</t>
        </is>
      </c>
      <c r="B5632" s="12" t="inlineStr">
        <is>
          <t>K</t>
        </is>
      </c>
      <c r="C5632" s="12" t="inlineStr">
        <is>
          <t>Fuel supply (adjacent market)</t>
        </is>
      </c>
      <c r="D5632" s="12" t="inlineStr">
        <is>
          <t>Instrumentation</t>
        </is>
      </c>
      <c r="E5632" s="12" t="inlineStr"/>
      <c r="F5632" s="12" t="inlineStr">
        <is>
          <t>H2 20: 13.8 kV e-house</t>
        </is>
      </c>
      <c r="G5632" s="12" t="inlineStr"/>
      <c r="H5632" s="12" t="inlineStr">
        <is>
          <t>PEM electrolyzer 5 (HyLYZER-1000)</t>
        </is>
      </c>
      <c r="I5632" s="12" t="inlineStr">
        <is>
          <t>Instrumentation</t>
        </is>
      </c>
      <c r="J5632" s="12" t="inlineStr">
        <is>
          <t>Instrumentation ITC / PLTC, IS, #18 shielded pairs, blue jacket</t>
        </is>
      </c>
      <c r="K5632" s="12" t="inlineStr">
        <is>
          <t>ITC|4 pr|18</t>
        </is>
      </c>
      <c r="L5632" s="12" t="inlineStr">
        <is>
          <t>4 pr</t>
        </is>
      </c>
      <c r="M5632" s="12" t="inlineStr">
        <is>
          <t>18</t>
        </is>
      </c>
      <c r="N5632" s="12" t="n">
        <v>1</v>
      </c>
      <c r="O5632" s="12" t="n">
        <v>1</v>
      </c>
      <c r="P5632" s="12" t="n"/>
      <c r="Q5632" s="12" t="n"/>
      <c r="R5632" s="12" t="n"/>
      <c r="S5632" s="12" t="inlineStr">
        <is>
          <t>Duct bank</t>
        </is>
      </c>
      <c r="T5632" s="16" t="n">
        <v>328</v>
      </c>
      <c r="U5632" s="16" t="n">
        <v>32</v>
      </c>
      <c r="V5632" s="16">
        <f>ROUNDUP((T5632+U5632+2*'Read Me'!$B$13)*(1+'Read Me'!$B$12),-1)</f>
        <v/>
      </c>
      <c r="W5632" s="16">
        <f>V5632*N5632*O5632</f>
        <v/>
      </c>
      <c r="X5632" s="12">
        <f>IF(LEFT(I5632,2)="MV",2*N5632*IF(L5632="1/C",O5632,1),0)</f>
        <v/>
      </c>
      <c r="Y5632" s="12">
        <f>IF(OR(LEFT(K5632,4)="LVAX",LEFT(K5632,6)="MV15AX",LEFT(K5632,4)="CTAX",LEFT(K5632,2)="W|"),2*N5632*O5632,0)</f>
        <v/>
      </c>
      <c r="Z5632" s="12" t="inlineStr"/>
      <c r="AA5632" s="12">
        <f>N5632*O5632</f>
        <v/>
      </c>
    </row>
    <row r="5633">
      <c r="A5633" s="12" t="inlineStr">
        <is>
          <t>K-P-0001</t>
        </is>
      </c>
      <c r="B5633" s="12" t="inlineStr">
        <is>
          <t>K</t>
        </is>
      </c>
      <c r="C5633" s="12" t="inlineStr">
        <is>
          <t>Fuel supply (adjacent market)</t>
        </is>
      </c>
      <c r="D5633" s="12" t="inlineStr">
        <is>
          <t>Motor 1 of 1, 15 kW</t>
        </is>
      </c>
      <c r="E5633" s="12" t="inlineStr"/>
      <c r="F5633" s="12" t="inlineStr">
        <is>
          <t>H2 20: 13.8 kV e-house</t>
        </is>
      </c>
      <c r="G5633" s="12" t="inlineStr">
        <is>
          <t>T-H2</t>
        </is>
      </c>
      <c r="H5633" s="12" t="inlineStr">
        <is>
          <t>H2 19: T-H2 230/13.8 kV (about 40 MVA)</t>
        </is>
      </c>
      <c r="I5633" s="12" t="inlineStr">
        <is>
          <t>LV 600 V</t>
        </is>
      </c>
      <c r="J5633" s="12" t="inlineStr">
        <is>
          <t>ARMOR-X MC-HL 600 V 3/C Cu XHHW-2 + ground, CWA, black PVC (Class I Div 2)</t>
        </is>
      </c>
      <c r="K5633" s="12" t="inlineStr">
        <is>
          <t>LVAX|3/C+G|10</t>
        </is>
      </c>
      <c r="L5633" s="12" t="inlineStr">
        <is>
          <t>3/C+G</t>
        </is>
      </c>
      <c r="M5633" s="12" t="inlineStr">
        <is>
          <t>10</t>
        </is>
      </c>
      <c r="N5633" s="12" t="n">
        <v>1</v>
      </c>
      <c r="O5633" s="12" t="n">
        <v>1</v>
      </c>
      <c r="P5633" s="12" t="n">
        <v>480</v>
      </c>
      <c r="Q5633" s="12" t="n">
        <v>15</v>
      </c>
      <c r="R5633" s="12" t="n">
        <v>21.2</v>
      </c>
      <c r="S5633" s="12" t="inlineStr">
        <is>
          <t>Duct bank</t>
        </is>
      </c>
      <c r="T5633" s="16" t="n">
        <v>35</v>
      </c>
      <c r="U5633" s="16" t="n">
        <v>32</v>
      </c>
      <c r="V5633" s="16">
        <f>ROUNDUP((T5633+U5633+2*'Read Me'!$B$13)*(1+'Read Me'!$B$12),-1)</f>
        <v/>
      </c>
      <c r="W5633" s="16">
        <f>V5633*N5633*O5633</f>
        <v/>
      </c>
      <c r="X5633" s="12">
        <f>IF(LEFT(I5633,2)="MV",2*N5633*IF(L5633="1/C",O5633,1),0)</f>
        <v/>
      </c>
      <c r="Y5633" s="12">
        <f>IF(OR(LEFT(K5633,4)="LVAX",LEFT(K5633,6)="MV15AX",LEFT(K5633,4)="CTAX",LEFT(K5633,2)="W|"),2*N5633*O5633,0)</f>
        <v/>
      </c>
      <c r="Z5633" s="12" t="inlineStr">
        <is>
          <t>VD 0.7 %</t>
        </is>
      </c>
      <c r="AA5633" s="12">
        <f>N5633*O5633</f>
        <v/>
      </c>
    </row>
    <row r="5634">
      <c r="A5634" s="12" t="inlineStr">
        <is>
          <t>K-P-0002</t>
        </is>
      </c>
      <c r="B5634" s="12" t="inlineStr">
        <is>
          <t>K</t>
        </is>
      </c>
      <c r="C5634" s="12" t="inlineStr">
        <is>
          <t>Fuel supply (adjacent market)</t>
        </is>
      </c>
      <c r="D5634" s="12" t="inlineStr">
        <is>
          <t>Motor 1 of 1, 15 kW</t>
        </is>
      </c>
      <c r="E5634" s="12" t="inlineStr"/>
      <c r="F5634" s="12" t="inlineStr">
        <is>
          <t>H2 20: 13.8 kV e-house</t>
        </is>
      </c>
      <c r="G5634" s="12" t="inlineStr"/>
      <c r="H5634" s="12" t="inlineStr">
        <is>
          <t>H2 20: 13.8 kV e-house</t>
        </is>
      </c>
      <c r="I5634" s="12" t="inlineStr">
        <is>
          <t>LV 600 V</t>
        </is>
      </c>
      <c r="J5634" s="12" t="inlineStr">
        <is>
          <t>ARMOR-X MC-HL 600 V 3/C Cu XHHW-2 + ground, CWA, black PVC (Class I Div 2)</t>
        </is>
      </c>
      <c r="K5634" s="12" t="inlineStr">
        <is>
          <t>LVAX|3/C+G|10</t>
        </is>
      </c>
      <c r="L5634" s="12" t="inlineStr">
        <is>
          <t>3/C+G</t>
        </is>
      </c>
      <c r="M5634" s="12" t="inlineStr">
        <is>
          <t>10</t>
        </is>
      </c>
      <c r="N5634" s="12" t="n">
        <v>1</v>
      </c>
      <c r="O5634" s="12" t="n">
        <v>1</v>
      </c>
      <c r="P5634" s="12" t="n">
        <v>480</v>
      </c>
      <c r="Q5634" s="12" t="n">
        <v>15</v>
      </c>
      <c r="R5634" s="12" t="n">
        <v>21.2</v>
      </c>
      <c r="S5634" s="12" t="inlineStr">
        <is>
          <t>Tray</t>
        </is>
      </c>
      <c r="T5634" s="16" t="n">
        <v>0</v>
      </c>
      <c r="U5634" s="16" t="n">
        <v>32</v>
      </c>
      <c r="V5634" s="16">
        <f>ROUNDUP((T5634+U5634+2*'Read Me'!$B$13)*(1+'Read Me'!$B$12),-1)</f>
        <v/>
      </c>
      <c r="W5634" s="16">
        <f>V5634*N5634*O5634</f>
        <v/>
      </c>
      <c r="X5634" s="12">
        <f>IF(LEFT(I5634,2)="MV",2*N5634*IF(L5634="1/C",O5634,1),0)</f>
        <v/>
      </c>
      <c r="Y5634" s="12">
        <f>IF(OR(LEFT(K5634,4)="LVAX",LEFT(K5634,6)="MV15AX",LEFT(K5634,4)="CTAX",LEFT(K5634,2)="W|"),2*N5634*O5634,0)</f>
        <v/>
      </c>
      <c r="Z5634" s="12" t="inlineStr">
        <is>
          <t>VD 0.3 %</t>
        </is>
      </c>
      <c r="AA5634" s="12">
        <f>N5634*O5634</f>
        <v/>
      </c>
    </row>
    <row r="5635">
      <c r="A5635" s="12" t="inlineStr">
        <is>
          <t>K-P-0003</t>
        </is>
      </c>
      <c r="B5635" s="12" t="inlineStr">
        <is>
          <t>K</t>
        </is>
      </c>
      <c r="C5635" s="12" t="inlineStr">
        <is>
          <t>Fuel supply (adjacent market)</t>
        </is>
      </c>
      <c r="D5635" s="12" t="inlineStr">
        <is>
          <t>Motor 1 of 1, 15 kW</t>
        </is>
      </c>
      <c r="E5635" s="12" t="inlineStr"/>
      <c r="F5635" s="12" t="inlineStr">
        <is>
          <t>H2 20: 13.8 kV e-house</t>
        </is>
      </c>
      <c r="G5635" s="12" t="inlineStr"/>
      <c r="H5635" s="12" t="inlineStr">
        <is>
          <t>H2 21: rectifier transformer 1 (7 MVA)</t>
        </is>
      </c>
      <c r="I5635" s="12" t="inlineStr">
        <is>
          <t>LV 600 V</t>
        </is>
      </c>
      <c r="J5635" s="12" t="inlineStr">
        <is>
          <t>ARMOR-X MC-HL 600 V 3/C Cu XHHW-2 + ground, CWA, black PVC (Class I Div 2)</t>
        </is>
      </c>
      <c r="K5635" s="12" t="inlineStr">
        <is>
          <t>LVAX|3/C+G|8</t>
        </is>
      </c>
      <c r="L5635" s="12" t="inlineStr">
        <is>
          <t>3/C+G</t>
        </is>
      </c>
      <c r="M5635" s="12" t="inlineStr">
        <is>
          <t>8</t>
        </is>
      </c>
      <c r="N5635" s="12" t="n">
        <v>1</v>
      </c>
      <c r="O5635" s="12" t="n">
        <v>1</v>
      </c>
      <c r="P5635" s="12" t="n">
        <v>480</v>
      </c>
      <c r="Q5635" s="12" t="n">
        <v>15</v>
      </c>
      <c r="R5635" s="12" t="n">
        <v>21.2</v>
      </c>
      <c r="S5635" s="12" t="inlineStr">
        <is>
          <t>Duct bank</t>
        </is>
      </c>
      <c r="T5635" s="16" t="n">
        <v>356</v>
      </c>
      <c r="U5635" s="16" t="n">
        <v>48</v>
      </c>
      <c r="V5635" s="16">
        <f>ROUNDUP((T5635+U5635+2*'Read Me'!$B$13)*(1+'Read Me'!$B$12),-1)</f>
        <v/>
      </c>
      <c r="W5635" s="16">
        <f>V5635*N5635*O5635</f>
        <v/>
      </c>
      <c r="X5635" s="12">
        <f>IF(LEFT(I5635,2)="MV",2*N5635*IF(L5635="1/C",O5635,1),0)</f>
        <v/>
      </c>
      <c r="Y5635" s="12">
        <f>IF(OR(LEFT(K5635,4)="LVAX",LEFT(K5635,6)="MV15AX",LEFT(K5635,4)="CTAX",LEFT(K5635,2)="W|"),2*N5635*O5635,0)</f>
        <v/>
      </c>
      <c r="Z5635" s="12" t="inlineStr">
        <is>
          <t>VD 2.6 %</t>
        </is>
      </c>
      <c r="AA5635" s="12">
        <f>N5635*O5635</f>
        <v/>
      </c>
    </row>
    <row r="5636">
      <c r="A5636" s="12" t="inlineStr">
        <is>
          <t>K-P-0004</t>
        </is>
      </c>
      <c r="B5636" s="12" t="inlineStr">
        <is>
          <t>K</t>
        </is>
      </c>
      <c r="C5636" s="12" t="inlineStr">
        <is>
          <t>Fuel supply (adjacent market)</t>
        </is>
      </c>
      <c r="D5636" s="12" t="inlineStr">
        <is>
          <t>Motor 1 of 1, 15 kW</t>
        </is>
      </c>
      <c r="E5636" s="12" t="inlineStr"/>
      <c r="F5636" s="12" t="inlineStr">
        <is>
          <t>H2 20: 13.8 kV e-house</t>
        </is>
      </c>
      <c r="G5636" s="12" t="inlineStr"/>
      <c r="H5636" s="12" t="inlineStr">
        <is>
          <t>H2 21: rectifier transformer 2 (7 MVA)</t>
        </is>
      </c>
      <c r="I5636" s="12" t="inlineStr">
        <is>
          <t>LV 600 V</t>
        </is>
      </c>
      <c r="J5636" s="12" t="inlineStr">
        <is>
          <t>ARMOR-X MC-HL 600 V 3/C Cu XHHW-2 + ground, CWA, black PVC (Class I Div 2)</t>
        </is>
      </c>
      <c r="K5636" s="12" t="inlineStr">
        <is>
          <t>LVAX|3/C+G|8</t>
        </is>
      </c>
      <c r="L5636" s="12" t="inlineStr">
        <is>
          <t>3/C+G</t>
        </is>
      </c>
      <c r="M5636" s="12" t="inlineStr">
        <is>
          <t>8</t>
        </is>
      </c>
      <c r="N5636" s="12" t="n">
        <v>1</v>
      </c>
      <c r="O5636" s="12" t="n">
        <v>1</v>
      </c>
      <c r="P5636" s="12" t="n">
        <v>480</v>
      </c>
      <c r="Q5636" s="12" t="n">
        <v>15</v>
      </c>
      <c r="R5636" s="12" t="n">
        <v>21.2</v>
      </c>
      <c r="S5636" s="12" t="inlineStr">
        <is>
          <t>Duct bank</t>
        </is>
      </c>
      <c r="T5636" s="16" t="n">
        <v>356</v>
      </c>
      <c r="U5636" s="16" t="n">
        <v>32</v>
      </c>
      <c r="V5636" s="16">
        <f>ROUNDUP((T5636+U5636+2*'Read Me'!$B$13)*(1+'Read Me'!$B$12),-1)</f>
        <v/>
      </c>
      <c r="W5636" s="16">
        <f>V5636*N5636*O5636</f>
        <v/>
      </c>
      <c r="X5636" s="12">
        <f>IF(LEFT(I5636,2)="MV",2*N5636*IF(L5636="1/C",O5636,1),0)</f>
        <v/>
      </c>
      <c r="Y5636" s="12">
        <f>IF(OR(LEFT(K5636,4)="LVAX",LEFT(K5636,6)="MV15AX",LEFT(K5636,4)="CTAX",LEFT(K5636,2)="W|"),2*N5636*O5636,0)</f>
        <v/>
      </c>
      <c r="Z5636" s="12" t="inlineStr">
        <is>
          <t>VD 2.5 %</t>
        </is>
      </c>
      <c r="AA5636" s="12">
        <f>N5636*O5636</f>
        <v/>
      </c>
    </row>
    <row r="5637">
      <c r="A5637" s="12" t="inlineStr">
        <is>
          <t>K-P-0005</t>
        </is>
      </c>
      <c r="B5637" s="12" t="inlineStr">
        <is>
          <t>K</t>
        </is>
      </c>
      <c r="C5637" s="12" t="inlineStr">
        <is>
          <t>Fuel supply (adjacent market)</t>
        </is>
      </c>
      <c r="D5637" s="12" t="inlineStr">
        <is>
          <t>Motor 1 of 1, 15 kW</t>
        </is>
      </c>
      <c r="E5637" s="12" t="inlineStr"/>
      <c r="F5637" s="12" t="inlineStr">
        <is>
          <t>H2 20: 13.8 kV e-house</t>
        </is>
      </c>
      <c r="G5637" s="12" t="inlineStr"/>
      <c r="H5637" s="12" t="inlineStr">
        <is>
          <t>H2 21: rectifier transformer 3 (7 MVA)</t>
        </is>
      </c>
      <c r="I5637" s="12" t="inlineStr">
        <is>
          <t>LV 600 V</t>
        </is>
      </c>
      <c r="J5637" s="12" t="inlineStr">
        <is>
          <t>ARMOR-X MC-HL 600 V 3/C Cu XHHW-2 + ground, CWA, black PVC (Class I Div 2)</t>
        </is>
      </c>
      <c r="K5637" s="12" t="inlineStr">
        <is>
          <t>LVAX|3/C+G|8</t>
        </is>
      </c>
      <c r="L5637" s="12" t="inlineStr">
        <is>
          <t>3/C+G</t>
        </is>
      </c>
      <c r="M5637" s="12" t="inlineStr">
        <is>
          <t>8</t>
        </is>
      </c>
      <c r="N5637" s="12" t="n">
        <v>1</v>
      </c>
      <c r="O5637" s="12" t="n">
        <v>1</v>
      </c>
      <c r="P5637" s="12" t="n">
        <v>480</v>
      </c>
      <c r="Q5637" s="12" t="n">
        <v>15</v>
      </c>
      <c r="R5637" s="12" t="n">
        <v>21.2</v>
      </c>
      <c r="S5637" s="12" t="inlineStr">
        <is>
          <t>Duct bank</t>
        </is>
      </c>
      <c r="T5637" s="16" t="n">
        <v>334</v>
      </c>
      <c r="U5637" s="16" t="n">
        <v>32</v>
      </c>
      <c r="V5637" s="16">
        <f>ROUNDUP((T5637+U5637+2*'Read Me'!$B$13)*(1+'Read Me'!$B$12),-1)</f>
        <v/>
      </c>
      <c r="W5637" s="16">
        <f>V5637*N5637*O5637</f>
        <v/>
      </c>
      <c r="X5637" s="12">
        <f>IF(LEFT(I5637,2)="MV",2*N5637*IF(L5637="1/C",O5637,1),0)</f>
        <v/>
      </c>
      <c r="Y5637" s="12">
        <f>IF(OR(LEFT(K5637,4)="LVAX",LEFT(K5637,6)="MV15AX",LEFT(K5637,4)="CTAX",LEFT(K5637,2)="W|"),2*N5637*O5637,0)</f>
        <v/>
      </c>
      <c r="Z5637" s="12" t="inlineStr">
        <is>
          <t>VD 2.4 %</t>
        </is>
      </c>
      <c r="AA5637" s="12">
        <f>N5637*O5637</f>
        <v/>
      </c>
    </row>
    <row r="5638">
      <c r="A5638" s="12" t="inlineStr">
        <is>
          <t>K-P-0006</t>
        </is>
      </c>
      <c r="B5638" s="12" t="inlineStr">
        <is>
          <t>K</t>
        </is>
      </c>
      <c r="C5638" s="12" t="inlineStr">
        <is>
          <t>Fuel supply (adjacent market)</t>
        </is>
      </c>
      <c r="D5638" s="12" t="inlineStr">
        <is>
          <t>Motor 1 of 1, 15 kW</t>
        </is>
      </c>
      <c r="E5638" s="12" t="inlineStr"/>
      <c r="F5638" s="12" t="inlineStr">
        <is>
          <t>H2 20: 13.8 kV e-house</t>
        </is>
      </c>
      <c r="G5638" s="12" t="inlineStr"/>
      <c r="H5638" s="12" t="inlineStr">
        <is>
          <t>H2 21: rectifier transformer 4 (7 MVA)</t>
        </is>
      </c>
      <c r="I5638" s="12" t="inlineStr">
        <is>
          <t>LV 600 V</t>
        </is>
      </c>
      <c r="J5638" s="12" t="inlineStr">
        <is>
          <t>ARMOR-X MC-HL 600 V 3/C Cu XHHW-2 + ground, CWA, black PVC (Class I Div 2)</t>
        </is>
      </c>
      <c r="K5638" s="12" t="inlineStr">
        <is>
          <t>LVAX|3/C+G|8</t>
        </is>
      </c>
      <c r="L5638" s="12" t="inlineStr">
        <is>
          <t>3/C+G</t>
        </is>
      </c>
      <c r="M5638" s="12" t="inlineStr">
        <is>
          <t>8</t>
        </is>
      </c>
      <c r="N5638" s="12" t="n">
        <v>1</v>
      </c>
      <c r="O5638" s="12" t="n">
        <v>1</v>
      </c>
      <c r="P5638" s="12" t="n">
        <v>480</v>
      </c>
      <c r="Q5638" s="12" t="n">
        <v>15</v>
      </c>
      <c r="R5638" s="12" t="n">
        <v>21.2</v>
      </c>
      <c r="S5638" s="12" t="inlineStr">
        <is>
          <t>Duct bank</t>
        </is>
      </c>
      <c r="T5638" s="16" t="n">
        <v>312</v>
      </c>
      <c r="U5638" s="16" t="n">
        <v>32</v>
      </c>
      <c r="V5638" s="16">
        <f>ROUNDUP((T5638+U5638+2*'Read Me'!$B$13)*(1+'Read Me'!$B$12),-1)</f>
        <v/>
      </c>
      <c r="W5638" s="16">
        <f>V5638*N5638*O5638</f>
        <v/>
      </c>
      <c r="X5638" s="12">
        <f>IF(LEFT(I5638,2)="MV",2*N5638*IF(L5638="1/C",O5638,1),0)</f>
        <v/>
      </c>
      <c r="Y5638" s="12">
        <f>IF(OR(LEFT(K5638,4)="LVAX",LEFT(K5638,6)="MV15AX",LEFT(K5638,4)="CTAX",LEFT(K5638,2)="W|"),2*N5638*O5638,0)</f>
        <v/>
      </c>
      <c r="Z5638" s="12" t="inlineStr">
        <is>
          <t>VD 2.2 %</t>
        </is>
      </c>
      <c r="AA5638" s="12">
        <f>N5638*O5638</f>
        <v/>
      </c>
    </row>
    <row r="5639">
      <c r="A5639" s="12" t="inlineStr">
        <is>
          <t>K-P-0007</t>
        </is>
      </c>
      <c r="B5639" s="12" t="inlineStr">
        <is>
          <t>K</t>
        </is>
      </c>
      <c r="C5639" s="12" t="inlineStr">
        <is>
          <t>Fuel supply (adjacent market)</t>
        </is>
      </c>
      <c r="D5639" s="12" t="inlineStr">
        <is>
          <t>Motor 1 of 1, 15 kW</t>
        </is>
      </c>
      <c r="E5639" s="12" t="inlineStr"/>
      <c r="F5639" s="12" t="inlineStr">
        <is>
          <t>H2 20: 13.8 kV e-house</t>
        </is>
      </c>
      <c r="G5639" s="12" t="inlineStr"/>
      <c r="H5639" s="12" t="inlineStr">
        <is>
          <t>H2 21: rectifier transformer 5 (7 MVA)</t>
        </is>
      </c>
      <c r="I5639" s="12" t="inlineStr">
        <is>
          <t>LV 600 V</t>
        </is>
      </c>
      <c r="J5639" s="12" t="inlineStr">
        <is>
          <t>ARMOR-X MC-HL 600 V 3/C Cu XHHW-2 + ground, CWA, black PVC (Class I Div 2)</t>
        </is>
      </c>
      <c r="K5639" s="12" t="inlineStr">
        <is>
          <t>LVAX|3/C+G|10</t>
        </is>
      </c>
      <c r="L5639" s="12" t="inlineStr">
        <is>
          <t>3/C+G</t>
        </is>
      </c>
      <c r="M5639" s="12" t="inlineStr">
        <is>
          <t>10</t>
        </is>
      </c>
      <c r="N5639" s="12" t="n">
        <v>1</v>
      </c>
      <c r="O5639" s="12" t="n">
        <v>1</v>
      </c>
      <c r="P5639" s="12" t="n">
        <v>480</v>
      </c>
      <c r="Q5639" s="12" t="n">
        <v>15</v>
      </c>
      <c r="R5639" s="12" t="n">
        <v>21.2</v>
      </c>
      <c r="S5639" s="12" t="inlineStr">
        <is>
          <t>Duct bank</t>
        </is>
      </c>
      <c r="T5639" s="16" t="n">
        <v>254</v>
      </c>
      <c r="U5639" s="16" t="n">
        <v>32</v>
      </c>
      <c r="V5639" s="16">
        <f>ROUNDUP((T5639+U5639+2*'Read Me'!$B$13)*(1+'Read Me'!$B$12),-1)</f>
        <v/>
      </c>
      <c r="W5639" s="16">
        <f>V5639*N5639*O5639</f>
        <v/>
      </c>
      <c r="X5639" s="12">
        <f>IF(LEFT(I5639,2)="MV",2*N5639*IF(L5639="1/C",O5639,1),0)</f>
        <v/>
      </c>
      <c r="Y5639" s="12">
        <f>IF(OR(LEFT(K5639,4)="LVAX",LEFT(K5639,6)="MV15AX",LEFT(K5639,4)="CTAX",LEFT(K5639,2)="W|"),2*N5639*O5639,0)</f>
        <v/>
      </c>
      <c r="Z5639" s="12" t="inlineStr">
        <is>
          <t>VD 2.9 %</t>
        </is>
      </c>
      <c r="AA5639" s="12">
        <f>N5639*O5639</f>
        <v/>
      </c>
    </row>
    <row r="5640">
      <c r="A5640" s="12" t="inlineStr">
        <is>
          <t>K-P-0008</t>
        </is>
      </c>
      <c r="B5640" s="12" t="inlineStr">
        <is>
          <t>K</t>
        </is>
      </c>
      <c r="C5640" s="12" t="inlineStr">
        <is>
          <t>Fuel supply (adjacent market)</t>
        </is>
      </c>
      <c r="D5640" s="12" t="inlineStr">
        <is>
          <t>Motor 1 of 1, 15 kW</t>
        </is>
      </c>
      <c r="E5640" s="12" t="inlineStr"/>
      <c r="F5640" s="12" t="inlineStr">
        <is>
          <t>H2 20: 13.8 kV e-house</t>
        </is>
      </c>
      <c r="G5640" s="12" t="inlineStr">
        <is>
          <t>H2-EL</t>
        </is>
      </c>
      <c r="H5640" s="12" t="inlineStr">
        <is>
          <t>H2 22: electrolyzer building (5 x HyLYZER-1000 + 5 rectifiers)</t>
        </is>
      </c>
      <c r="I5640" s="12" t="inlineStr">
        <is>
          <t>LV 600 V</t>
        </is>
      </c>
      <c r="J5640" s="12" t="inlineStr">
        <is>
          <t>ARMOR-X MC-HL 600 V 3/C Cu XHHW-2 + ground, CWA, black PVC (Class I Div 2)</t>
        </is>
      </c>
      <c r="K5640" s="12" t="inlineStr">
        <is>
          <t>LVAX|3/C+G|8</t>
        </is>
      </c>
      <c r="L5640" s="12" t="inlineStr">
        <is>
          <t>3/C+G</t>
        </is>
      </c>
      <c r="M5640" s="12" t="inlineStr">
        <is>
          <t>8</t>
        </is>
      </c>
      <c r="N5640" s="12" t="n">
        <v>1</v>
      </c>
      <c r="O5640" s="12" t="n">
        <v>1</v>
      </c>
      <c r="P5640" s="12" t="n">
        <v>480</v>
      </c>
      <c r="Q5640" s="12" t="n">
        <v>15</v>
      </c>
      <c r="R5640" s="12" t="n">
        <v>21.2</v>
      </c>
      <c r="S5640" s="12" t="inlineStr">
        <is>
          <t>Duct bank</t>
        </is>
      </c>
      <c r="T5640" s="16" t="n">
        <v>346</v>
      </c>
      <c r="U5640" s="16" t="n">
        <v>32</v>
      </c>
      <c r="V5640" s="16">
        <f>ROUNDUP((T5640+U5640+2*'Read Me'!$B$13)*(1+'Read Me'!$B$12),-1)</f>
        <v/>
      </c>
      <c r="W5640" s="16">
        <f>V5640*N5640*O5640</f>
        <v/>
      </c>
      <c r="X5640" s="12">
        <f>IF(LEFT(I5640,2)="MV",2*N5640*IF(L5640="1/C",O5640,1),0)</f>
        <v/>
      </c>
      <c r="Y5640" s="12">
        <f>IF(OR(LEFT(K5640,4)="LVAX",LEFT(K5640,6)="MV15AX",LEFT(K5640,4)="CTAX",LEFT(K5640,2)="W|"),2*N5640*O5640,0)</f>
        <v/>
      </c>
      <c r="Z5640" s="12" t="inlineStr">
        <is>
          <t>VD 2.4 %</t>
        </is>
      </c>
      <c r="AA5640" s="12">
        <f>N5640*O5640</f>
        <v/>
      </c>
    </row>
    <row r="5641">
      <c r="A5641" s="12" t="inlineStr">
        <is>
          <t>K-P-0009</t>
        </is>
      </c>
      <c r="B5641" s="12" t="inlineStr">
        <is>
          <t>K</t>
        </is>
      </c>
      <c r="C5641" s="12" t="inlineStr">
        <is>
          <t>Fuel supply (adjacent market)</t>
        </is>
      </c>
      <c r="D5641" s="12" t="inlineStr">
        <is>
          <t>Motor 1 of 1, 15 kW</t>
        </is>
      </c>
      <c r="E5641" s="12" t="inlineStr"/>
      <c r="F5641" s="12" t="inlineStr">
        <is>
          <t>H2 20: 13.8 kV e-house</t>
        </is>
      </c>
      <c r="G5641" s="12" t="inlineStr"/>
      <c r="H5641" s="12" t="inlineStr">
        <is>
          <t>H2 23: dry coolers</t>
        </is>
      </c>
      <c r="I5641" s="12" t="inlineStr">
        <is>
          <t>LV 600 V</t>
        </is>
      </c>
      <c r="J5641" s="12" t="inlineStr">
        <is>
          <t>ARMOR-X MC-HL 600 V 3/C Cu XHHW-2 + ground, CWA, black PVC (Class I Div 2)</t>
        </is>
      </c>
      <c r="K5641" s="12" t="inlineStr">
        <is>
          <t>LVAX|3/C+G|10</t>
        </is>
      </c>
      <c r="L5641" s="12" t="inlineStr">
        <is>
          <t>3/C+G</t>
        </is>
      </c>
      <c r="M5641" s="12" t="inlineStr">
        <is>
          <t>10</t>
        </is>
      </c>
      <c r="N5641" s="12" t="n">
        <v>1</v>
      </c>
      <c r="O5641" s="12" t="n">
        <v>1</v>
      </c>
      <c r="P5641" s="12" t="n">
        <v>480</v>
      </c>
      <c r="Q5641" s="12" t="n">
        <v>15</v>
      </c>
      <c r="R5641" s="12" t="n">
        <v>21.2</v>
      </c>
      <c r="S5641" s="12" t="inlineStr">
        <is>
          <t>Duct bank</t>
        </is>
      </c>
      <c r="T5641" s="16" t="n">
        <v>100</v>
      </c>
      <c r="U5641" s="16" t="n">
        <v>32</v>
      </c>
      <c r="V5641" s="16">
        <f>ROUNDUP((T5641+U5641+2*'Read Me'!$B$13)*(1+'Read Me'!$B$12),-1)</f>
        <v/>
      </c>
      <c r="W5641" s="16">
        <f>V5641*N5641*O5641</f>
        <v/>
      </c>
      <c r="X5641" s="12">
        <f>IF(LEFT(I5641,2)="MV",2*N5641*IF(L5641="1/C",O5641,1),0)</f>
        <v/>
      </c>
      <c r="Y5641" s="12">
        <f>IF(OR(LEFT(K5641,4)="LVAX",LEFT(K5641,6)="MV15AX",LEFT(K5641,4)="CTAX",LEFT(K5641,2)="W|"),2*N5641*O5641,0)</f>
        <v/>
      </c>
      <c r="Z5641" s="12" t="inlineStr">
        <is>
          <t>VD 1.3 %</t>
        </is>
      </c>
      <c r="AA5641" s="12">
        <f>N5641*O5641</f>
        <v/>
      </c>
    </row>
    <row r="5642">
      <c r="A5642" s="12" t="inlineStr">
        <is>
          <t>K-P-0010</t>
        </is>
      </c>
      <c r="B5642" s="12" t="inlineStr">
        <is>
          <t>K</t>
        </is>
      </c>
      <c r="C5642" s="12" t="inlineStr">
        <is>
          <t>Fuel supply (adjacent market)</t>
        </is>
      </c>
      <c r="D5642" s="12" t="inlineStr">
        <is>
          <t>Motor 1 of 1, 15 kW</t>
        </is>
      </c>
      <c r="E5642" s="12" t="inlineStr"/>
      <c r="F5642" s="12" t="inlineStr">
        <is>
          <t>H2 20: 13.8 kV e-house</t>
        </is>
      </c>
      <c r="G5642" s="12" t="inlineStr"/>
      <c r="H5642" s="12" t="inlineStr">
        <is>
          <t>H2 24: water purification (RO / EDI)</t>
        </is>
      </c>
      <c r="I5642" s="12" t="inlineStr">
        <is>
          <t>LV 600 V</t>
        </is>
      </c>
      <c r="J5642" s="12" t="inlineStr">
        <is>
          <t>ARMOR-X MC-HL 600 V 3/C Cu XHHW-2 + ground, CWA, black PVC (Class I Div 2)</t>
        </is>
      </c>
      <c r="K5642" s="12" t="inlineStr">
        <is>
          <t>LVAX|3/C+G|10</t>
        </is>
      </c>
      <c r="L5642" s="12" t="inlineStr">
        <is>
          <t>3/C+G</t>
        </is>
      </c>
      <c r="M5642" s="12" t="inlineStr">
        <is>
          <t>10</t>
        </is>
      </c>
      <c r="N5642" s="12" t="n">
        <v>1</v>
      </c>
      <c r="O5642" s="12" t="n">
        <v>1</v>
      </c>
      <c r="P5642" s="12" t="n">
        <v>480</v>
      </c>
      <c r="Q5642" s="12" t="n">
        <v>15</v>
      </c>
      <c r="R5642" s="12" t="n">
        <v>21.2</v>
      </c>
      <c r="S5642" s="12" t="inlineStr">
        <is>
          <t>Duct bank</t>
        </is>
      </c>
      <c r="T5642" s="16" t="n">
        <v>146</v>
      </c>
      <c r="U5642" s="16" t="n">
        <v>32</v>
      </c>
      <c r="V5642" s="16">
        <f>ROUNDUP((T5642+U5642+2*'Read Me'!$B$13)*(1+'Read Me'!$B$12),-1)</f>
        <v/>
      </c>
      <c r="W5642" s="16">
        <f>V5642*N5642*O5642</f>
        <v/>
      </c>
      <c r="X5642" s="12">
        <f>IF(LEFT(I5642,2)="MV",2*N5642*IF(L5642="1/C",O5642,1),0)</f>
        <v/>
      </c>
      <c r="Y5642" s="12">
        <f>IF(OR(LEFT(K5642,4)="LVAX",LEFT(K5642,6)="MV15AX",LEFT(K5642,4)="CTAX",LEFT(K5642,2)="W|"),2*N5642*O5642,0)</f>
        <v/>
      </c>
      <c r="Z5642" s="12" t="inlineStr">
        <is>
          <t>VD 1.8 %</t>
        </is>
      </c>
      <c r="AA5642" s="12">
        <f>N5642*O5642</f>
        <v/>
      </c>
    </row>
    <row r="5643">
      <c r="A5643" s="12" t="inlineStr">
        <is>
          <t>K-P-0011</t>
        </is>
      </c>
      <c r="B5643" s="12" t="inlineStr">
        <is>
          <t>K</t>
        </is>
      </c>
      <c r="C5643" s="12" t="inlineStr">
        <is>
          <t>Fuel supply (adjacent market)</t>
        </is>
      </c>
      <c r="D5643" s="12" t="inlineStr">
        <is>
          <t>Motor 1 of 1, 15 kW</t>
        </is>
      </c>
      <c r="E5643" s="12" t="inlineStr"/>
      <c r="F5643" s="12" t="inlineStr">
        <is>
          <t>H2 20: 13.8 kV e-house</t>
        </is>
      </c>
      <c r="G5643" s="12" t="inlineStr"/>
      <c r="H5643" s="12" t="inlineStr">
        <is>
          <t>H2 25: H2 dryer / purification</t>
        </is>
      </c>
      <c r="I5643" s="12" t="inlineStr">
        <is>
          <t>LV 600 V</t>
        </is>
      </c>
      <c r="J5643" s="12" t="inlineStr">
        <is>
          <t>ARMOR-X MC-HL 600 V 3/C Cu XHHW-2 + ground, CWA, black PVC (Class I Div 2)</t>
        </is>
      </c>
      <c r="K5643" s="12" t="inlineStr">
        <is>
          <t>LVAX|3/C+G|10</t>
        </is>
      </c>
      <c r="L5643" s="12" t="inlineStr">
        <is>
          <t>3/C+G</t>
        </is>
      </c>
      <c r="M5643" s="12" t="inlineStr">
        <is>
          <t>10</t>
        </is>
      </c>
      <c r="N5643" s="12" t="n">
        <v>1</v>
      </c>
      <c r="O5643" s="12" t="n">
        <v>1</v>
      </c>
      <c r="P5643" s="12" t="n">
        <v>480</v>
      </c>
      <c r="Q5643" s="12" t="n">
        <v>15</v>
      </c>
      <c r="R5643" s="12" t="n">
        <v>21.2</v>
      </c>
      <c r="S5643" s="12" t="inlineStr">
        <is>
          <t>Duct bank</t>
        </is>
      </c>
      <c r="T5643" s="16" t="n">
        <v>0</v>
      </c>
      <c r="U5643" s="16" t="n">
        <v>49</v>
      </c>
      <c r="V5643" s="16">
        <f>ROUNDUP((T5643+U5643+2*'Read Me'!$B$13)*(1+'Read Me'!$B$12),-1)</f>
        <v/>
      </c>
      <c r="W5643" s="16">
        <f>V5643*N5643*O5643</f>
        <v/>
      </c>
      <c r="X5643" s="12">
        <f>IF(LEFT(I5643,2)="MV",2*N5643*IF(L5643="1/C",O5643,1),0)</f>
        <v/>
      </c>
      <c r="Y5643" s="12">
        <f>IF(OR(LEFT(K5643,4)="LVAX",LEFT(K5643,6)="MV15AX",LEFT(K5643,4)="CTAX",LEFT(K5643,2)="W|"),2*N5643*O5643,0)</f>
        <v/>
      </c>
      <c r="Z5643" s="12" t="inlineStr">
        <is>
          <t>VD 0.5 %</t>
        </is>
      </c>
      <c r="AA5643" s="12">
        <f>N5643*O5643</f>
        <v/>
      </c>
    </row>
    <row r="5644">
      <c r="A5644" s="12" t="inlineStr">
        <is>
          <t>K-P-0012</t>
        </is>
      </c>
      <c r="B5644" s="12" t="inlineStr">
        <is>
          <t>K</t>
        </is>
      </c>
      <c r="C5644" s="12" t="inlineStr">
        <is>
          <t>Fuel supply (adjacent market)</t>
        </is>
      </c>
      <c r="D5644" s="12" t="inlineStr">
        <is>
          <t>Motor 1 of 1, 15 kW</t>
        </is>
      </c>
      <c r="E5644" s="12" t="inlineStr"/>
      <c r="F5644" s="12" t="inlineStr">
        <is>
          <t>H2 20: 13.8 kV e-house</t>
        </is>
      </c>
      <c r="G5644" s="12" t="inlineStr"/>
      <c r="H5644" s="12" t="inlineStr">
        <is>
          <t>H2 26: H2 compressor 1 (40 ft ISO)</t>
        </is>
      </c>
      <c r="I5644" s="12" t="inlineStr">
        <is>
          <t>LV 600 V</t>
        </is>
      </c>
      <c r="J5644" s="12" t="inlineStr">
        <is>
          <t>ARMOR-X MC-HL 600 V 3/C Cu XHHW-2 + ground, CWA, black PVC (Class I Div 2)</t>
        </is>
      </c>
      <c r="K5644" s="12" t="inlineStr">
        <is>
          <t>LVAX|3/C+G|10</t>
        </is>
      </c>
      <c r="L5644" s="12" t="inlineStr">
        <is>
          <t>3/C+G</t>
        </is>
      </c>
      <c r="M5644" s="12" t="inlineStr">
        <is>
          <t>10</t>
        </is>
      </c>
      <c r="N5644" s="12" t="n">
        <v>1</v>
      </c>
      <c r="O5644" s="12" t="n">
        <v>1</v>
      </c>
      <c r="P5644" s="12" t="n">
        <v>480</v>
      </c>
      <c r="Q5644" s="12" t="n">
        <v>15</v>
      </c>
      <c r="R5644" s="12" t="n">
        <v>21.2</v>
      </c>
      <c r="S5644" s="12" t="inlineStr">
        <is>
          <t>Duct bank</t>
        </is>
      </c>
      <c r="T5644" s="16" t="n">
        <v>50</v>
      </c>
      <c r="U5644" s="16" t="n">
        <v>32</v>
      </c>
      <c r="V5644" s="16">
        <f>ROUNDUP((T5644+U5644+2*'Read Me'!$B$13)*(1+'Read Me'!$B$12),-1)</f>
        <v/>
      </c>
      <c r="W5644" s="16">
        <f>V5644*N5644*O5644</f>
        <v/>
      </c>
      <c r="X5644" s="12">
        <f>IF(LEFT(I5644,2)="MV",2*N5644*IF(L5644="1/C",O5644,1),0)</f>
        <v/>
      </c>
      <c r="Y5644" s="12">
        <f>IF(OR(LEFT(K5644,4)="LVAX",LEFT(K5644,6)="MV15AX",LEFT(K5644,4)="CTAX",LEFT(K5644,2)="W|"),2*N5644*O5644,0)</f>
        <v/>
      </c>
      <c r="Z5644" s="12" t="inlineStr">
        <is>
          <t>VD 0.8 %</t>
        </is>
      </c>
      <c r="AA5644" s="12">
        <f>N5644*O5644</f>
        <v/>
      </c>
    </row>
    <row r="5645">
      <c r="A5645" s="12" t="inlineStr">
        <is>
          <t>K-P-0013</t>
        </is>
      </c>
      <c r="B5645" s="12" t="inlineStr">
        <is>
          <t>K</t>
        </is>
      </c>
      <c r="C5645" s="12" t="inlineStr">
        <is>
          <t>Fuel supply (adjacent market)</t>
        </is>
      </c>
      <c r="D5645" s="12" t="inlineStr">
        <is>
          <t>Motor 1 of 1, 15 kW</t>
        </is>
      </c>
      <c r="E5645" s="12" t="inlineStr"/>
      <c r="F5645" s="12" t="inlineStr">
        <is>
          <t>H2 20: 13.8 kV e-house</t>
        </is>
      </c>
      <c r="G5645" s="12" t="inlineStr"/>
      <c r="H5645" s="12" t="inlineStr">
        <is>
          <t>H2 26: H2 compressor 2 (40 ft ISO)</t>
        </is>
      </c>
      <c r="I5645" s="12" t="inlineStr">
        <is>
          <t>LV 600 V</t>
        </is>
      </c>
      <c r="J5645" s="12" t="inlineStr">
        <is>
          <t>ARMOR-X MC-HL 600 V 3/C Cu XHHW-2 + ground, CWA, black PVC (Class I Div 2)</t>
        </is>
      </c>
      <c r="K5645" s="12" t="inlineStr">
        <is>
          <t>LVAX|3/C+G|10</t>
        </is>
      </c>
      <c r="L5645" s="12" t="inlineStr">
        <is>
          <t>3/C+G</t>
        </is>
      </c>
      <c r="M5645" s="12" t="inlineStr">
        <is>
          <t>10</t>
        </is>
      </c>
      <c r="N5645" s="12" t="n">
        <v>1</v>
      </c>
      <c r="O5645" s="12" t="n">
        <v>1</v>
      </c>
      <c r="P5645" s="12" t="n">
        <v>480</v>
      </c>
      <c r="Q5645" s="12" t="n">
        <v>15</v>
      </c>
      <c r="R5645" s="12" t="n">
        <v>21.2</v>
      </c>
      <c r="S5645" s="12" t="inlineStr">
        <is>
          <t>Duct bank</t>
        </is>
      </c>
      <c r="T5645" s="16" t="n">
        <v>50</v>
      </c>
      <c r="U5645" s="16" t="n">
        <v>47</v>
      </c>
      <c r="V5645" s="16">
        <f>ROUNDUP((T5645+U5645+2*'Read Me'!$B$13)*(1+'Read Me'!$B$12),-1)</f>
        <v/>
      </c>
      <c r="W5645" s="16">
        <f>V5645*N5645*O5645</f>
        <v/>
      </c>
      <c r="X5645" s="12">
        <f>IF(LEFT(I5645,2)="MV",2*N5645*IF(L5645="1/C",O5645,1),0)</f>
        <v/>
      </c>
      <c r="Y5645" s="12">
        <f>IF(OR(LEFT(K5645,4)="LVAX",LEFT(K5645,6)="MV15AX",LEFT(K5645,4)="CTAX",LEFT(K5645,2)="W|"),2*N5645*O5645,0)</f>
        <v/>
      </c>
      <c r="Z5645" s="12" t="inlineStr">
        <is>
          <t>VD 1.0 %</t>
        </is>
      </c>
      <c r="AA5645" s="12">
        <f>N5645*O5645</f>
        <v/>
      </c>
    </row>
    <row r="5646">
      <c r="A5646" s="12" t="inlineStr">
        <is>
          <t>K-P-0014</t>
        </is>
      </c>
      <c r="B5646" s="12" t="inlineStr">
        <is>
          <t>K</t>
        </is>
      </c>
      <c r="C5646" s="12" t="inlineStr">
        <is>
          <t>Fuel supply (adjacent market)</t>
        </is>
      </c>
      <c r="D5646" s="12" t="inlineStr">
        <is>
          <t>Motor 1 of 1, 15 kW</t>
        </is>
      </c>
      <c r="E5646" s="12" t="inlineStr"/>
      <c r="F5646" s="12" t="inlineStr">
        <is>
          <t>H2 20: 13.8 kV e-house</t>
        </is>
      </c>
      <c r="G5646" s="12" t="inlineStr"/>
      <c r="H5646" s="12" t="inlineStr">
        <is>
          <t>H2 27: storage tube bank (~40 ft tubes)</t>
        </is>
      </c>
      <c r="I5646" s="12" t="inlineStr">
        <is>
          <t>LV 600 V</t>
        </is>
      </c>
      <c r="J5646" s="12" t="inlineStr">
        <is>
          <t>ARMOR-X MC-HL 600 V 3/C Cu XHHW-2 + ground, CWA, black PVC (Class I Div 2)</t>
        </is>
      </c>
      <c r="K5646" s="12" t="inlineStr">
        <is>
          <t>LVAX|3/C+G|10</t>
        </is>
      </c>
      <c r="L5646" s="12" t="inlineStr">
        <is>
          <t>3/C+G</t>
        </is>
      </c>
      <c r="M5646" s="12" t="inlineStr">
        <is>
          <t>10</t>
        </is>
      </c>
      <c r="N5646" s="12" t="n">
        <v>1</v>
      </c>
      <c r="O5646" s="12" t="n">
        <v>1</v>
      </c>
      <c r="P5646" s="12" t="n">
        <v>480</v>
      </c>
      <c r="Q5646" s="12" t="n">
        <v>15</v>
      </c>
      <c r="R5646" s="12" t="n">
        <v>21.2</v>
      </c>
      <c r="S5646" s="12" t="inlineStr">
        <is>
          <t>Duct bank</t>
        </is>
      </c>
      <c r="T5646" s="16" t="n">
        <v>50</v>
      </c>
      <c r="U5646" s="16" t="n">
        <v>97</v>
      </c>
      <c r="V5646" s="16">
        <f>ROUNDUP((T5646+U5646+2*'Read Me'!$B$13)*(1+'Read Me'!$B$12),-1)</f>
        <v/>
      </c>
      <c r="W5646" s="16">
        <f>V5646*N5646*O5646</f>
        <v/>
      </c>
      <c r="X5646" s="12">
        <f>IF(LEFT(I5646,2)="MV",2*N5646*IF(L5646="1/C",O5646,1),0)</f>
        <v/>
      </c>
      <c r="Y5646" s="12">
        <f>IF(OR(LEFT(K5646,4)="LVAX",LEFT(K5646,6)="MV15AX",LEFT(K5646,4)="CTAX",LEFT(K5646,2)="W|"),2*N5646*O5646,0)</f>
        <v/>
      </c>
      <c r="Z5646" s="12" t="inlineStr">
        <is>
          <t>VD 1.5 %</t>
        </is>
      </c>
      <c r="AA5646" s="12">
        <f>N5646*O5646</f>
        <v/>
      </c>
    </row>
    <row r="5647">
      <c r="A5647" s="12" t="inlineStr">
        <is>
          <t>K-P-0015</t>
        </is>
      </c>
      <c r="B5647" s="12" t="inlineStr">
        <is>
          <t>K</t>
        </is>
      </c>
      <c r="C5647" s="12" t="inlineStr">
        <is>
          <t>Fuel supply (adjacent market)</t>
        </is>
      </c>
      <c r="D5647" s="12" t="inlineStr">
        <is>
          <t>Motor 1 of 1, 15 kW</t>
        </is>
      </c>
      <c r="E5647" s="12" t="inlineStr"/>
      <c r="F5647" s="12" t="inlineStr">
        <is>
          <t>H2 20: 13.8 kV e-house</t>
        </is>
      </c>
      <c r="G5647" s="12" t="inlineStr"/>
      <c r="H5647" s="12" t="inlineStr">
        <is>
          <t>H2 27: storage tube bank (~40 ft tubes)</t>
        </is>
      </c>
      <c r="I5647" s="12" t="inlineStr">
        <is>
          <t>LV 600 V</t>
        </is>
      </c>
      <c r="J5647" s="12" t="inlineStr">
        <is>
          <t>ARMOR-X MC-HL 600 V 3/C Cu XHHW-2 + ground, CWA, black PVC (Class I Div 2)</t>
        </is>
      </c>
      <c r="K5647" s="12" t="inlineStr">
        <is>
          <t>LVAX|3/C+G|10</t>
        </is>
      </c>
      <c r="L5647" s="12" t="inlineStr">
        <is>
          <t>3/C+G</t>
        </is>
      </c>
      <c r="M5647" s="12" t="inlineStr">
        <is>
          <t>10</t>
        </is>
      </c>
      <c r="N5647" s="12" t="n">
        <v>1</v>
      </c>
      <c r="O5647" s="12" t="n">
        <v>1</v>
      </c>
      <c r="P5647" s="12" t="n">
        <v>480</v>
      </c>
      <c r="Q5647" s="12" t="n">
        <v>15</v>
      </c>
      <c r="R5647" s="12" t="n">
        <v>21.2</v>
      </c>
      <c r="S5647" s="12" t="inlineStr">
        <is>
          <t>Duct bank</t>
        </is>
      </c>
      <c r="T5647" s="16" t="n">
        <v>50</v>
      </c>
      <c r="U5647" s="16" t="n">
        <v>117</v>
      </c>
      <c r="V5647" s="16">
        <f>ROUNDUP((T5647+U5647+2*'Read Me'!$B$13)*(1+'Read Me'!$B$12),-1)</f>
        <v/>
      </c>
      <c r="W5647" s="16">
        <f>V5647*N5647*O5647</f>
        <v/>
      </c>
      <c r="X5647" s="12">
        <f>IF(LEFT(I5647,2)="MV",2*N5647*IF(L5647="1/C",O5647,1),0)</f>
        <v/>
      </c>
      <c r="Y5647" s="12">
        <f>IF(OR(LEFT(K5647,4)="LVAX",LEFT(K5647,6)="MV15AX",LEFT(K5647,4)="CTAX",LEFT(K5647,2)="W|"),2*N5647*O5647,0)</f>
        <v/>
      </c>
      <c r="Z5647" s="12" t="inlineStr">
        <is>
          <t>VD 1.7 %</t>
        </is>
      </c>
      <c r="AA5647" s="12">
        <f>N5647*O5647</f>
        <v/>
      </c>
    </row>
    <row r="5648">
      <c r="A5648" s="12" t="inlineStr">
        <is>
          <t>K-P-0016</t>
        </is>
      </c>
      <c r="B5648" s="12" t="inlineStr">
        <is>
          <t>K</t>
        </is>
      </c>
      <c r="C5648" s="12" t="inlineStr">
        <is>
          <t>Fuel supply (adjacent market)</t>
        </is>
      </c>
      <c r="D5648" s="12" t="inlineStr">
        <is>
          <t>Motor 1 of 1, 15 kW</t>
        </is>
      </c>
      <c r="E5648" s="12" t="inlineStr"/>
      <c r="F5648" s="12" t="inlineStr">
        <is>
          <t>H2 20: 13.8 kV e-house</t>
        </is>
      </c>
      <c r="G5648" s="12" t="inlineStr"/>
      <c r="H5648" s="12" t="inlineStr">
        <is>
          <t>H2 27: storage tube bank (~40 ft tubes)</t>
        </is>
      </c>
      <c r="I5648" s="12" t="inlineStr">
        <is>
          <t>LV 600 V</t>
        </is>
      </c>
      <c r="J5648" s="12" t="inlineStr">
        <is>
          <t>ARMOR-X MC-HL 600 V 3/C Cu XHHW-2 + ground, CWA, black PVC (Class I Div 2)</t>
        </is>
      </c>
      <c r="K5648" s="12" t="inlineStr">
        <is>
          <t>LVAX|3/C+G|10</t>
        </is>
      </c>
      <c r="L5648" s="12" t="inlineStr">
        <is>
          <t>3/C+G</t>
        </is>
      </c>
      <c r="M5648" s="12" t="inlineStr">
        <is>
          <t>10</t>
        </is>
      </c>
      <c r="N5648" s="12" t="n">
        <v>1</v>
      </c>
      <c r="O5648" s="12" t="n">
        <v>1</v>
      </c>
      <c r="P5648" s="12" t="n">
        <v>480</v>
      </c>
      <c r="Q5648" s="12" t="n">
        <v>15</v>
      </c>
      <c r="R5648" s="12" t="n">
        <v>21.2</v>
      </c>
      <c r="S5648" s="12" t="inlineStr">
        <is>
          <t>Duct bank</t>
        </is>
      </c>
      <c r="T5648" s="16" t="n">
        <v>50</v>
      </c>
      <c r="U5648" s="16" t="n">
        <v>97</v>
      </c>
      <c r="V5648" s="16">
        <f>ROUNDUP((T5648+U5648+2*'Read Me'!$B$13)*(1+'Read Me'!$B$12),-1)</f>
        <v/>
      </c>
      <c r="W5648" s="16">
        <f>V5648*N5648*O5648</f>
        <v/>
      </c>
      <c r="X5648" s="12">
        <f>IF(LEFT(I5648,2)="MV",2*N5648*IF(L5648="1/C",O5648,1),0)</f>
        <v/>
      </c>
      <c r="Y5648" s="12">
        <f>IF(OR(LEFT(K5648,4)="LVAX",LEFT(K5648,6)="MV15AX",LEFT(K5648,4)="CTAX",LEFT(K5648,2)="W|"),2*N5648*O5648,0)</f>
        <v/>
      </c>
      <c r="Z5648" s="12" t="inlineStr">
        <is>
          <t>VD 1.5 %</t>
        </is>
      </c>
      <c r="AA5648" s="12">
        <f>N5648*O5648</f>
        <v/>
      </c>
    </row>
    <row r="5649">
      <c r="A5649" s="12" t="inlineStr">
        <is>
          <t>K-P-0017</t>
        </is>
      </c>
      <c r="B5649" s="12" t="inlineStr">
        <is>
          <t>K</t>
        </is>
      </c>
      <c r="C5649" s="12" t="inlineStr">
        <is>
          <t>Fuel supply (adjacent market)</t>
        </is>
      </c>
      <c r="D5649" s="12" t="inlineStr">
        <is>
          <t>Motor 1 of 1, 15 kW</t>
        </is>
      </c>
      <c r="E5649" s="12" t="inlineStr"/>
      <c r="F5649" s="12" t="inlineStr">
        <is>
          <t>H2 20: 13.8 kV e-house</t>
        </is>
      </c>
      <c r="G5649" s="12" t="inlineStr"/>
      <c r="H5649" s="12" t="inlineStr">
        <is>
          <t>H2 27: storage tube bank (~40 ft tubes)</t>
        </is>
      </c>
      <c r="I5649" s="12" t="inlineStr">
        <is>
          <t>LV 600 V</t>
        </is>
      </c>
      <c r="J5649" s="12" t="inlineStr">
        <is>
          <t>ARMOR-X MC-HL 600 V 3/C Cu XHHW-2 + ground, CWA, black PVC (Class I Div 2)</t>
        </is>
      </c>
      <c r="K5649" s="12" t="inlineStr">
        <is>
          <t>LVAX|3/C+G|10</t>
        </is>
      </c>
      <c r="L5649" s="12" t="inlineStr">
        <is>
          <t>3/C+G</t>
        </is>
      </c>
      <c r="M5649" s="12" t="inlineStr">
        <is>
          <t>10</t>
        </is>
      </c>
      <c r="N5649" s="12" t="n">
        <v>1</v>
      </c>
      <c r="O5649" s="12" t="n">
        <v>1</v>
      </c>
      <c r="P5649" s="12" t="n">
        <v>480</v>
      </c>
      <c r="Q5649" s="12" t="n">
        <v>15</v>
      </c>
      <c r="R5649" s="12" t="n">
        <v>21.2</v>
      </c>
      <c r="S5649" s="12" t="inlineStr">
        <is>
          <t>Duct bank</t>
        </is>
      </c>
      <c r="T5649" s="16" t="n">
        <v>50</v>
      </c>
      <c r="U5649" s="16" t="n">
        <v>117</v>
      </c>
      <c r="V5649" s="16">
        <f>ROUNDUP((T5649+U5649+2*'Read Me'!$B$13)*(1+'Read Me'!$B$12),-1)</f>
        <v/>
      </c>
      <c r="W5649" s="16">
        <f>V5649*N5649*O5649</f>
        <v/>
      </c>
      <c r="X5649" s="12">
        <f>IF(LEFT(I5649,2)="MV",2*N5649*IF(L5649="1/C",O5649,1),0)</f>
        <v/>
      </c>
      <c r="Y5649" s="12">
        <f>IF(OR(LEFT(K5649,4)="LVAX",LEFT(K5649,6)="MV15AX",LEFT(K5649,4)="CTAX",LEFT(K5649,2)="W|"),2*N5649*O5649,0)</f>
        <v/>
      </c>
      <c r="Z5649" s="12" t="inlineStr">
        <is>
          <t>VD 1.7 %</t>
        </is>
      </c>
      <c r="AA5649" s="12">
        <f>N5649*O5649</f>
        <v/>
      </c>
    </row>
    <row r="5650">
      <c r="A5650" s="12" t="inlineStr">
        <is>
          <t>K-P-0018</t>
        </is>
      </c>
      <c r="B5650" s="12" t="inlineStr">
        <is>
          <t>K</t>
        </is>
      </c>
      <c r="C5650" s="12" t="inlineStr">
        <is>
          <t>Fuel supply (adjacent market)</t>
        </is>
      </c>
      <c r="D5650" s="12" t="inlineStr">
        <is>
          <t>Motor 1 of 1, 15 kW</t>
        </is>
      </c>
      <c r="E5650" s="12" t="inlineStr"/>
      <c r="F5650" s="12" t="inlineStr">
        <is>
          <t>H2 20: 13.8 kV e-house</t>
        </is>
      </c>
      <c r="G5650" s="12" t="inlineStr"/>
      <c r="H5650" s="12" t="inlineStr">
        <is>
          <t>H2 28: N2 purge supply</t>
        </is>
      </c>
      <c r="I5650" s="12" t="inlineStr">
        <is>
          <t>LV 600 V</t>
        </is>
      </c>
      <c r="J5650" s="12" t="inlineStr">
        <is>
          <t>ARMOR-X MC-HL 600 V 3/C Cu XHHW-2 + ground, CWA, black PVC (Class I Div 2)</t>
        </is>
      </c>
      <c r="K5650" s="12" t="inlineStr">
        <is>
          <t>LVAX|3/C+G|10</t>
        </is>
      </c>
      <c r="L5650" s="12" t="inlineStr">
        <is>
          <t>3/C+G</t>
        </is>
      </c>
      <c r="M5650" s="12" t="inlineStr">
        <is>
          <t>10</t>
        </is>
      </c>
      <c r="N5650" s="12" t="n">
        <v>1</v>
      </c>
      <c r="O5650" s="12" t="n">
        <v>1</v>
      </c>
      <c r="P5650" s="12" t="n">
        <v>480</v>
      </c>
      <c r="Q5650" s="12" t="n">
        <v>15</v>
      </c>
      <c r="R5650" s="12" t="n">
        <v>21.2</v>
      </c>
      <c r="S5650" s="12" t="inlineStr">
        <is>
          <t>Duct bank</t>
        </is>
      </c>
      <c r="T5650" s="16" t="n">
        <v>53</v>
      </c>
      <c r="U5650" s="16" t="n">
        <v>36</v>
      </c>
      <c r="V5650" s="16">
        <f>ROUNDUP((T5650+U5650+2*'Read Me'!$B$13)*(1+'Read Me'!$B$12),-1)</f>
        <v/>
      </c>
      <c r="W5650" s="16">
        <f>V5650*N5650*O5650</f>
        <v/>
      </c>
      <c r="X5650" s="12">
        <f>IF(LEFT(I5650,2)="MV",2*N5650*IF(L5650="1/C",O5650,1),0)</f>
        <v/>
      </c>
      <c r="Y5650" s="12">
        <f>IF(OR(LEFT(K5650,4)="LVAX",LEFT(K5650,6)="MV15AX",LEFT(K5650,4)="CTAX",LEFT(K5650,2)="W|"),2*N5650*O5650,0)</f>
        <v/>
      </c>
      <c r="Z5650" s="12" t="inlineStr">
        <is>
          <t>VD 0.9 %</t>
        </is>
      </c>
      <c r="AA5650" s="12">
        <f>N5650*O5650</f>
        <v/>
      </c>
    </row>
    <row r="5651">
      <c r="A5651" s="12" t="inlineStr">
        <is>
          <t>K-P-0019</t>
        </is>
      </c>
      <c r="B5651" s="12" t="inlineStr">
        <is>
          <t>K</t>
        </is>
      </c>
      <c r="C5651" s="12" t="inlineStr">
        <is>
          <t>Fuel supply (adjacent market)</t>
        </is>
      </c>
      <c r="D5651" s="12" t="inlineStr">
        <is>
          <t>Motor 1 of 1, 15 kW</t>
        </is>
      </c>
      <c r="E5651" s="12" t="inlineStr"/>
      <c r="F5651" s="12" t="inlineStr">
        <is>
          <t>H2 20: 13.8 kV e-house</t>
        </is>
      </c>
      <c r="G5651" s="12" t="inlineStr"/>
      <c r="H5651" s="12" t="inlineStr">
        <is>
          <t>H2 29: vent stack</t>
        </is>
      </c>
      <c r="I5651" s="12" t="inlineStr">
        <is>
          <t>LV 600 V</t>
        </is>
      </c>
      <c r="J5651" s="12" t="inlineStr">
        <is>
          <t>ARMOR-X MC-HL 600 V 3/C Cu XHHW-2 + ground, CWA, black PVC (Class I Div 2)</t>
        </is>
      </c>
      <c r="K5651" s="12" t="inlineStr">
        <is>
          <t>LVAX|3/C+G|10</t>
        </is>
      </c>
      <c r="L5651" s="12" t="inlineStr">
        <is>
          <t>3/C+G</t>
        </is>
      </c>
      <c r="M5651" s="12" t="inlineStr">
        <is>
          <t>10</t>
        </is>
      </c>
      <c r="N5651" s="12" t="n">
        <v>1</v>
      </c>
      <c r="O5651" s="12" t="n">
        <v>1</v>
      </c>
      <c r="P5651" s="12" t="n">
        <v>480</v>
      </c>
      <c r="Q5651" s="12" t="n">
        <v>15</v>
      </c>
      <c r="R5651" s="12" t="n">
        <v>21.2</v>
      </c>
      <c r="S5651" s="12" t="inlineStr">
        <is>
          <t>Duct bank</t>
        </is>
      </c>
      <c r="T5651" s="16" t="n">
        <v>55</v>
      </c>
      <c r="U5651" s="16" t="n">
        <v>205</v>
      </c>
      <c r="V5651" s="16">
        <f>ROUNDUP((T5651+U5651+2*'Read Me'!$B$13)*(1+'Read Me'!$B$12),-1)</f>
        <v/>
      </c>
      <c r="W5651" s="16">
        <f>V5651*N5651*O5651</f>
        <v/>
      </c>
      <c r="X5651" s="12">
        <f>IF(LEFT(I5651,2)="MV",2*N5651*IF(L5651="1/C",O5651,1),0)</f>
        <v/>
      </c>
      <c r="Y5651" s="12">
        <f>IF(OR(LEFT(K5651,4)="LVAX",LEFT(K5651,6)="MV15AX",LEFT(K5651,4)="CTAX",LEFT(K5651,2)="W|"),2*N5651*O5651,0)</f>
        <v/>
      </c>
      <c r="Z5651" s="12" t="inlineStr">
        <is>
          <t>VD 2.7 %</t>
        </is>
      </c>
      <c r="AA5651" s="12">
        <f>N5651*O5651</f>
        <v/>
      </c>
    </row>
    <row r="5652">
      <c r="A5652" s="12" t="inlineStr">
        <is>
          <t>K-P-0020</t>
        </is>
      </c>
      <c r="B5652" s="12" t="inlineStr">
        <is>
          <t>K</t>
        </is>
      </c>
      <c r="C5652" s="12" t="inlineStr">
        <is>
          <t>Fuel supply (adjacent market)</t>
        </is>
      </c>
      <c r="D5652" s="12" t="inlineStr">
        <is>
          <t>Motor 1 of 1, 15 kW</t>
        </is>
      </c>
      <c r="E5652" s="12" t="inlineStr"/>
      <c r="F5652" s="12" t="inlineStr">
        <is>
          <t>LNG 17: LNG e-house (13.8 kV / 480 V)</t>
        </is>
      </c>
      <c r="G5652" s="12" t="inlineStr"/>
      <c r="H5652" s="12" t="inlineStr">
        <is>
          <t>H2 30: H2 / gas blending station (plant gas yard)</t>
        </is>
      </c>
      <c r="I5652" s="12" t="inlineStr">
        <is>
          <t>LV 600 V</t>
        </is>
      </c>
      <c r="J5652" s="12" t="inlineStr">
        <is>
          <t>ARMOR-X MC-HL 600 V 3/C Cu XHHW-2 + ground, CWA, black PVC (Class I Div 2)</t>
        </is>
      </c>
      <c r="K5652" s="12" t="inlineStr">
        <is>
          <t>LVAX|3/C+G|4</t>
        </is>
      </c>
      <c r="L5652" s="12" t="inlineStr">
        <is>
          <t>3/C+G</t>
        </is>
      </c>
      <c r="M5652" s="12" t="inlineStr">
        <is>
          <t>4</t>
        </is>
      </c>
      <c r="N5652" s="12" t="n">
        <v>1</v>
      </c>
      <c r="O5652" s="12" t="n">
        <v>1</v>
      </c>
      <c r="P5652" s="12" t="n">
        <v>480</v>
      </c>
      <c r="Q5652" s="12" t="n">
        <v>15</v>
      </c>
      <c r="R5652" s="12" t="n">
        <v>21.2</v>
      </c>
      <c r="S5652" s="12" t="inlineStr">
        <is>
          <t>Duct bank</t>
        </is>
      </c>
      <c r="T5652" s="16" t="n">
        <v>994</v>
      </c>
      <c r="U5652" s="16" t="n">
        <v>114</v>
      </c>
      <c r="V5652" s="16">
        <f>ROUNDUP((T5652+U5652+2*'Read Me'!$B$13)*(1+'Read Me'!$B$12),-1)</f>
        <v/>
      </c>
      <c r="W5652" s="16">
        <f>V5652*N5652*O5652</f>
        <v/>
      </c>
      <c r="X5652" s="12">
        <f>IF(LEFT(I5652,2)="MV",2*N5652*IF(L5652="1/C",O5652,1),0)</f>
        <v/>
      </c>
      <c r="Y5652" s="12">
        <f>IF(OR(LEFT(K5652,4)="LVAX",LEFT(K5652,6)="MV15AX",LEFT(K5652,4)="CTAX",LEFT(K5652,2)="W|"),2*N5652*O5652,0)</f>
        <v/>
      </c>
      <c r="Z5652" s="12" t="inlineStr">
        <is>
          <t>VD 2.9 %</t>
        </is>
      </c>
      <c r="AA5652" s="12">
        <f>N5652*O5652</f>
        <v/>
      </c>
    </row>
    <row r="5653">
      <c r="A5653" s="12" t="inlineStr">
        <is>
          <t>K-P-0021</t>
        </is>
      </c>
      <c r="B5653" s="12" t="inlineStr">
        <is>
          <t>K</t>
        </is>
      </c>
      <c r="C5653" s="12" t="inlineStr">
        <is>
          <t>Fuel supply (adjacent market)</t>
        </is>
      </c>
      <c r="D5653" s="12" t="inlineStr">
        <is>
          <t>Motor 1 of 2, 250 kW</t>
        </is>
      </c>
      <c r="E5653" s="12" t="inlineStr"/>
      <c r="F5653" s="12" t="inlineStr">
        <is>
          <t>H2 20: 13.8 kV e-house</t>
        </is>
      </c>
      <c r="G5653" s="12" t="inlineStr"/>
      <c r="H5653" s="12" t="inlineStr">
        <is>
          <t>H2 pipe track and cable trench, hall -&gt; dryer / compressors (N2, instr</t>
        </is>
      </c>
      <c r="I5653" s="12" t="inlineStr">
        <is>
          <t>LV 600 V</t>
        </is>
      </c>
      <c r="J5653" s="12" t="inlineStr">
        <is>
          <t>ARMOR-X MC-HL 600 V 3/C Cu XHHW-2 + ground, CWA, black PVC (Class I Div 2)</t>
        </is>
      </c>
      <c r="K5653" s="12" t="inlineStr">
        <is>
          <t>LVAX|3/C+G|4/0</t>
        </is>
      </c>
      <c r="L5653" s="12" t="inlineStr">
        <is>
          <t>3/C+G</t>
        </is>
      </c>
      <c r="M5653" s="12" t="inlineStr">
        <is>
          <t>4/0</t>
        </is>
      </c>
      <c r="N5653" s="12" t="n">
        <v>2</v>
      </c>
      <c r="O5653" s="12" t="n">
        <v>1</v>
      </c>
      <c r="P5653" s="12" t="n">
        <v>480</v>
      </c>
      <c r="Q5653" s="12" t="n">
        <v>250</v>
      </c>
      <c r="R5653" s="12" t="n">
        <v>353.8</v>
      </c>
      <c r="S5653" s="12" t="inlineStr">
        <is>
          <t>Duct bank</t>
        </is>
      </c>
      <c r="T5653" s="16" t="n">
        <v>53</v>
      </c>
      <c r="U5653" s="16" t="n">
        <v>62</v>
      </c>
      <c r="V5653" s="16">
        <f>ROUNDUP((T5653+U5653+2*'Read Me'!$B$13)*(1+'Read Me'!$B$12),-1)</f>
        <v/>
      </c>
      <c r="W5653" s="16">
        <f>V5653*N5653*O5653</f>
        <v/>
      </c>
      <c r="X5653" s="12">
        <f>IF(LEFT(I5653,2)="MV",2*N5653*IF(L5653="1/C",O5653,1),0)</f>
        <v/>
      </c>
      <c r="Y5653" s="12">
        <f>IF(OR(LEFT(K5653,4)="LVAX",LEFT(K5653,6)="MV15AX",LEFT(K5653,4)="CTAX",LEFT(K5653,2)="W|"),2*N5653*O5653,0)</f>
        <v/>
      </c>
      <c r="Z5653" s="12" t="inlineStr">
        <is>
          <t>VD 0.5 %</t>
        </is>
      </c>
      <c r="AA5653" s="12">
        <f>N5653*O5653</f>
        <v/>
      </c>
    </row>
    <row r="5654">
      <c r="A5654" s="12" t="inlineStr">
        <is>
          <t>K-P-0022</t>
        </is>
      </c>
      <c r="B5654" s="12" t="inlineStr">
        <is>
          <t>K</t>
        </is>
      </c>
      <c r="C5654" s="12" t="inlineStr">
        <is>
          <t>Fuel supply (adjacent market)</t>
        </is>
      </c>
      <c r="D5654" s="12" t="inlineStr">
        <is>
          <t>Motor 2 of 2, 250 kW</t>
        </is>
      </c>
      <c r="E5654" s="12" t="inlineStr"/>
      <c r="F5654" s="12" t="inlineStr">
        <is>
          <t>H2 20: 13.8 kV e-house</t>
        </is>
      </c>
      <c r="G5654" s="12" t="inlineStr"/>
      <c r="H5654" s="12" t="inlineStr">
        <is>
          <t>H2 pipe track and cable trench, hall -&gt; dryer / compressors (N2, instr</t>
        </is>
      </c>
      <c r="I5654" s="12" t="inlineStr">
        <is>
          <t>LV 600 V</t>
        </is>
      </c>
      <c r="J5654" s="12" t="inlineStr">
        <is>
          <t>ARMOR-X MC-HL 600 V 3/C Cu XHHW-2 + ground, CWA, black PVC (Class I Div 2)</t>
        </is>
      </c>
      <c r="K5654" s="12" t="inlineStr">
        <is>
          <t>LVAX|3/C+G|4/0</t>
        </is>
      </c>
      <c r="L5654" s="12" t="inlineStr">
        <is>
          <t>3/C+G</t>
        </is>
      </c>
      <c r="M5654" s="12" t="inlineStr">
        <is>
          <t>4/0</t>
        </is>
      </c>
      <c r="N5654" s="12" t="n">
        <v>2</v>
      </c>
      <c r="O5654" s="12" t="n">
        <v>1</v>
      </c>
      <c r="P5654" s="12" t="n">
        <v>480</v>
      </c>
      <c r="Q5654" s="12" t="n">
        <v>250</v>
      </c>
      <c r="R5654" s="12" t="n">
        <v>353.8</v>
      </c>
      <c r="S5654" s="12" t="inlineStr">
        <is>
          <t>Duct bank</t>
        </is>
      </c>
      <c r="T5654" s="16" t="n">
        <v>53</v>
      </c>
      <c r="U5654" s="16" t="n">
        <v>62</v>
      </c>
      <c r="V5654" s="16">
        <f>ROUNDUP((T5654+U5654+2*'Read Me'!$B$13)*(1+'Read Me'!$B$12),-1)</f>
        <v/>
      </c>
      <c r="W5654" s="16">
        <f>V5654*N5654*O5654</f>
        <v/>
      </c>
      <c r="X5654" s="12">
        <f>IF(LEFT(I5654,2)="MV",2*N5654*IF(L5654="1/C",O5654,1),0)</f>
        <v/>
      </c>
      <c r="Y5654" s="12">
        <f>IF(OR(LEFT(K5654,4)="LVAX",LEFT(K5654,6)="MV15AX",LEFT(K5654,4)="CTAX",LEFT(K5654,2)="W|"),2*N5654*O5654,0)</f>
        <v/>
      </c>
      <c r="Z5654" s="12" t="inlineStr">
        <is>
          <t>VD 0.5 %</t>
        </is>
      </c>
      <c r="AA5654" s="12">
        <f>N5654*O5654</f>
        <v/>
      </c>
    </row>
    <row r="5655">
      <c r="A5655" s="12" t="inlineStr">
        <is>
          <t>K-P-0023</t>
        </is>
      </c>
      <c r="B5655" s="12" t="inlineStr">
        <is>
          <t>K</t>
        </is>
      </c>
      <c r="C5655" s="12" t="inlineStr">
        <is>
          <t>Fuel supply (adjacent market)</t>
        </is>
      </c>
      <c r="D5655" s="12" t="inlineStr">
        <is>
          <t>LV power feeder</t>
        </is>
      </c>
      <c r="E5655" s="12" t="inlineStr"/>
      <c r="F5655" s="12" t="inlineStr">
        <is>
          <t>H2 20: 13.8 kV e-house</t>
        </is>
      </c>
      <c r="G5655" s="12" t="inlineStr">
        <is>
          <t>H2-ST</t>
        </is>
      </c>
      <c r="H5655" s="12" t="inlineStr">
        <is>
          <t>H2 storage tube banks x4</t>
        </is>
      </c>
      <c r="I5655" s="12" t="inlineStr">
        <is>
          <t>LV 600 V</t>
        </is>
      </c>
      <c r="J5655" s="12" t="inlineStr">
        <is>
          <t>ARMOR-X MC-HL 600 V 3/C Cu XHHW-2 + ground, CWA, black PVC (Class I Div 2)</t>
        </is>
      </c>
      <c r="K5655" s="12" t="inlineStr">
        <is>
          <t>LVAX|3/C+G|10</t>
        </is>
      </c>
      <c r="L5655" s="12" t="inlineStr">
        <is>
          <t>3/C+G</t>
        </is>
      </c>
      <c r="M5655" s="12" t="inlineStr">
        <is>
          <t>10</t>
        </is>
      </c>
      <c r="N5655" s="12" t="n">
        <v>1</v>
      </c>
      <c r="O5655" s="12" t="n">
        <v>1</v>
      </c>
      <c r="P5655" s="12" t="n">
        <v>480</v>
      </c>
      <c r="Q5655" s="12" t="n">
        <v>15</v>
      </c>
      <c r="R5655" s="12" t="n">
        <v>21.2</v>
      </c>
      <c r="S5655" s="12" t="inlineStr">
        <is>
          <t>Duct bank</t>
        </is>
      </c>
      <c r="T5655" s="16" t="n">
        <v>50</v>
      </c>
      <c r="U5655" s="16" t="n">
        <v>92</v>
      </c>
      <c r="V5655" s="16">
        <f>ROUNDUP((T5655+U5655+2*'Read Me'!$B$13)*(1+'Read Me'!$B$12),-1)</f>
        <v/>
      </c>
      <c r="W5655" s="16">
        <f>V5655*N5655*O5655</f>
        <v/>
      </c>
      <c r="X5655" s="12">
        <f>IF(LEFT(I5655,2)="MV",2*N5655*IF(L5655="1/C",O5655,1),0)</f>
        <v/>
      </c>
      <c r="Y5655" s="12">
        <f>IF(OR(LEFT(K5655,4)="LVAX",LEFT(K5655,6)="MV15AX",LEFT(K5655,4)="CTAX",LEFT(K5655,2)="W|"),2*N5655*O5655,0)</f>
        <v/>
      </c>
      <c r="Z5655" s="12" t="inlineStr">
        <is>
          <t>VD 1.4 %</t>
        </is>
      </c>
      <c r="AA5655" s="12">
        <f>N5655*O5655</f>
        <v/>
      </c>
    </row>
    <row r="5656">
      <c r="A5656" s="12" t="inlineStr">
        <is>
          <t>K-P-0024</t>
        </is>
      </c>
      <c r="B5656" s="12" t="inlineStr">
        <is>
          <t>K</t>
        </is>
      </c>
      <c r="C5656" s="12" t="inlineStr">
        <is>
          <t>Fuel supply (adjacent market)</t>
        </is>
      </c>
      <c r="D5656" s="12" t="inlineStr">
        <is>
          <t>LV power feeder</t>
        </is>
      </c>
      <c r="E5656" s="12" t="inlineStr"/>
      <c r="F5656" s="12" t="inlineStr">
        <is>
          <t>H2 20: 13.8 kV e-house</t>
        </is>
      </c>
      <c r="G5656" s="12" t="inlineStr">
        <is>
          <t>H2R</t>
        </is>
      </c>
      <c r="H5656" s="12" t="inlineStr">
        <is>
          <t>H2R: hydrogen pipeline receiving station (pig receiver, filters, meter</t>
        </is>
      </c>
      <c r="I5656" s="12" t="inlineStr">
        <is>
          <t>LV 600 V</t>
        </is>
      </c>
      <c r="J5656" s="12" t="inlineStr">
        <is>
          <t>ARMOR-X MC-HL 600 V 3/C Cu XHHW-2 + ground, CWA, black PVC (Class I Div 2)</t>
        </is>
      </c>
      <c r="K5656" s="12" t="inlineStr">
        <is>
          <t>LVAX|3/C+G|10</t>
        </is>
      </c>
      <c r="L5656" s="12" t="inlineStr">
        <is>
          <t>3/C+G</t>
        </is>
      </c>
      <c r="M5656" s="12" t="inlineStr">
        <is>
          <t>10</t>
        </is>
      </c>
      <c r="N5656" s="12" t="n">
        <v>1</v>
      </c>
      <c r="O5656" s="12" t="n">
        <v>1</v>
      </c>
      <c r="P5656" s="12" t="n">
        <v>480</v>
      </c>
      <c r="Q5656" s="12" t="n">
        <v>15</v>
      </c>
      <c r="R5656" s="12" t="n">
        <v>21.2</v>
      </c>
      <c r="S5656" s="12" t="inlineStr">
        <is>
          <t>Duct bank</t>
        </is>
      </c>
      <c r="T5656" s="16" t="n">
        <v>40</v>
      </c>
      <c r="U5656" s="16" t="n">
        <v>32</v>
      </c>
      <c r="V5656" s="16">
        <f>ROUNDUP((T5656+U5656+2*'Read Me'!$B$13)*(1+'Read Me'!$B$12),-1)</f>
        <v/>
      </c>
      <c r="W5656" s="16">
        <f>V5656*N5656*O5656</f>
        <v/>
      </c>
      <c r="X5656" s="12">
        <f>IF(LEFT(I5656,2)="MV",2*N5656*IF(L5656="1/C",O5656,1),0)</f>
        <v/>
      </c>
      <c r="Y5656" s="12">
        <f>IF(OR(LEFT(K5656,4)="LVAX",LEFT(K5656,6)="MV15AX",LEFT(K5656,4)="CTAX",LEFT(K5656,2)="W|"),2*N5656*O5656,0)</f>
        <v/>
      </c>
      <c r="Z5656" s="12" t="inlineStr">
        <is>
          <t>VD 0.7 %</t>
        </is>
      </c>
      <c r="AA5656" s="12">
        <f>N5656*O5656</f>
        <v/>
      </c>
    </row>
    <row r="5657">
      <c r="A5657" s="12" t="inlineStr">
        <is>
          <t>K-P-0025</t>
        </is>
      </c>
      <c r="B5657" s="12" t="inlineStr">
        <is>
          <t>K</t>
        </is>
      </c>
      <c r="C5657" s="12" t="inlineStr">
        <is>
          <t>Fuel supply (adjacent market)</t>
        </is>
      </c>
      <c r="D5657" s="12" t="inlineStr">
        <is>
          <t>Motor 1 of 1, 15 kW</t>
        </is>
      </c>
      <c r="E5657" s="12" t="inlineStr"/>
      <c r="F5657" s="12" t="inlineStr">
        <is>
          <t>LNG 17: LNG e-house (13.8 kV / 480 V)</t>
        </is>
      </c>
      <c r="G5657" s="12" t="inlineStr"/>
      <c r="H5657" s="12" t="inlineStr">
        <is>
          <t>LNG 10: truck unloading bay 1</t>
        </is>
      </c>
      <c r="I5657" s="12" t="inlineStr">
        <is>
          <t>LV 600 V</t>
        </is>
      </c>
      <c r="J5657" s="12" t="inlineStr">
        <is>
          <t>ARMOR-X MC-HL 600 V 3/C Cu XHHW-2 + ground, CWA, black PVC (Class I Div 2)</t>
        </is>
      </c>
      <c r="K5657" s="12" t="inlineStr">
        <is>
          <t>LVAX|3/C+G|8</t>
        </is>
      </c>
      <c r="L5657" s="12" t="inlineStr">
        <is>
          <t>3/C+G</t>
        </is>
      </c>
      <c r="M5657" s="12" t="inlineStr">
        <is>
          <t>8</t>
        </is>
      </c>
      <c r="N5657" s="12" t="n">
        <v>1</v>
      </c>
      <c r="O5657" s="12" t="n">
        <v>1</v>
      </c>
      <c r="P5657" s="12" t="n">
        <v>480</v>
      </c>
      <c r="Q5657" s="12" t="n">
        <v>15</v>
      </c>
      <c r="R5657" s="12" t="n">
        <v>21.2</v>
      </c>
      <c r="S5657" s="12" t="inlineStr">
        <is>
          <t>Duct bank</t>
        </is>
      </c>
      <c r="T5657" s="16" t="n">
        <v>237</v>
      </c>
      <c r="U5657" s="16" t="n">
        <v>61</v>
      </c>
      <c r="V5657" s="16">
        <f>ROUNDUP((T5657+U5657+2*'Read Me'!$B$13)*(1+'Read Me'!$B$12),-1)</f>
        <v/>
      </c>
      <c r="W5657" s="16">
        <f>V5657*N5657*O5657</f>
        <v/>
      </c>
      <c r="X5657" s="12">
        <f>IF(LEFT(I5657,2)="MV",2*N5657*IF(L5657="1/C",O5657,1),0)</f>
        <v/>
      </c>
      <c r="Y5657" s="12">
        <f>IF(OR(LEFT(K5657,4)="LVAX",LEFT(K5657,6)="MV15AX",LEFT(K5657,4)="CTAX",LEFT(K5657,2)="W|"),2*N5657*O5657,0)</f>
        <v/>
      </c>
      <c r="Z5657" s="12" t="inlineStr">
        <is>
          <t>VD 1.9 %</t>
        </is>
      </c>
      <c r="AA5657" s="12">
        <f>N5657*O5657</f>
        <v/>
      </c>
    </row>
    <row r="5658">
      <c r="A5658" s="12" t="inlineStr">
        <is>
          <t>K-P-0026</t>
        </is>
      </c>
      <c r="B5658" s="12" t="inlineStr">
        <is>
          <t>K</t>
        </is>
      </c>
      <c r="C5658" s="12" t="inlineStr">
        <is>
          <t>Fuel supply (adjacent market)</t>
        </is>
      </c>
      <c r="D5658" s="12" t="inlineStr">
        <is>
          <t>Motor 1 of 1, 15 kW</t>
        </is>
      </c>
      <c r="E5658" s="12" t="inlineStr"/>
      <c r="F5658" s="12" t="inlineStr">
        <is>
          <t>LNG 17: LNG e-house (13.8 kV / 480 V)</t>
        </is>
      </c>
      <c r="G5658" s="12" t="inlineStr"/>
      <c r="H5658" s="12" t="inlineStr">
        <is>
          <t>LNG 10: truck unloading bay 2</t>
        </is>
      </c>
      <c r="I5658" s="12" t="inlineStr">
        <is>
          <t>LV 600 V</t>
        </is>
      </c>
      <c r="J5658" s="12" t="inlineStr">
        <is>
          <t>ARMOR-X MC-HL 600 V 3/C Cu XHHW-2 + ground, CWA, black PVC (Class I Div 2)</t>
        </is>
      </c>
      <c r="K5658" s="12" t="inlineStr">
        <is>
          <t>LVAX|3/C+G|10</t>
        </is>
      </c>
      <c r="L5658" s="12" t="inlineStr">
        <is>
          <t>3/C+G</t>
        </is>
      </c>
      <c r="M5658" s="12" t="inlineStr">
        <is>
          <t>10</t>
        </is>
      </c>
      <c r="N5658" s="12" t="n">
        <v>1</v>
      </c>
      <c r="O5658" s="12" t="n">
        <v>1</v>
      </c>
      <c r="P5658" s="12" t="n">
        <v>480</v>
      </c>
      <c r="Q5658" s="12" t="n">
        <v>15</v>
      </c>
      <c r="R5658" s="12" t="n">
        <v>21.2</v>
      </c>
      <c r="S5658" s="12" t="inlineStr">
        <is>
          <t>Duct bank</t>
        </is>
      </c>
      <c r="T5658" s="16" t="n">
        <v>147</v>
      </c>
      <c r="U5658" s="16" t="n">
        <v>66</v>
      </c>
      <c r="V5658" s="16">
        <f>ROUNDUP((T5658+U5658+2*'Read Me'!$B$13)*(1+'Read Me'!$B$12),-1)</f>
        <v/>
      </c>
      <c r="W5658" s="16">
        <f>V5658*N5658*O5658</f>
        <v/>
      </c>
      <c r="X5658" s="12">
        <f>IF(LEFT(I5658,2)="MV",2*N5658*IF(L5658="1/C",O5658,1),0)</f>
        <v/>
      </c>
      <c r="Y5658" s="12">
        <f>IF(OR(LEFT(K5658,4)="LVAX",LEFT(K5658,6)="MV15AX",LEFT(K5658,4)="CTAX",LEFT(K5658,2)="W|"),2*N5658*O5658,0)</f>
        <v/>
      </c>
      <c r="Z5658" s="12" t="inlineStr">
        <is>
          <t>VD 2.2 %</t>
        </is>
      </c>
      <c r="AA5658" s="12">
        <f>N5658*O5658</f>
        <v/>
      </c>
    </row>
    <row r="5659">
      <c r="A5659" s="12" t="inlineStr">
        <is>
          <t>K-P-0027</t>
        </is>
      </c>
      <c r="B5659" s="12" t="inlineStr">
        <is>
          <t>K</t>
        </is>
      </c>
      <c r="C5659" s="12" t="inlineStr">
        <is>
          <t>Fuel supply (adjacent market)</t>
        </is>
      </c>
      <c r="D5659" s="12" t="inlineStr">
        <is>
          <t>Motor 1 of 1, 15 kW</t>
        </is>
      </c>
      <c r="E5659" s="12" t="inlineStr"/>
      <c r="F5659" s="12" t="inlineStr">
        <is>
          <t>LNG 17: LNG e-house (13.8 kV / 480 V)</t>
        </is>
      </c>
      <c r="G5659" s="12" t="inlineStr"/>
      <c r="H5659" s="12" t="inlineStr">
        <is>
          <t>LNG 10: unloading skid</t>
        </is>
      </c>
      <c r="I5659" s="12" t="inlineStr">
        <is>
          <t>LV 600 V</t>
        </is>
      </c>
      <c r="J5659" s="12" t="inlineStr">
        <is>
          <t>ARMOR-X MC-HL 600 V 3/C Cu XHHW-2 + ground, CWA, black PVC (Class I Div 2)</t>
        </is>
      </c>
      <c r="K5659" s="12" t="inlineStr">
        <is>
          <t>LVAX|3/C+G|10</t>
        </is>
      </c>
      <c r="L5659" s="12" t="inlineStr">
        <is>
          <t>3/C+G</t>
        </is>
      </c>
      <c r="M5659" s="12" t="inlineStr">
        <is>
          <t>10</t>
        </is>
      </c>
      <c r="N5659" s="12" t="n">
        <v>1</v>
      </c>
      <c r="O5659" s="12" t="n">
        <v>1</v>
      </c>
      <c r="P5659" s="12" t="n">
        <v>480</v>
      </c>
      <c r="Q5659" s="12" t="n">
        <v>15</v>
      </c>
      <c r="R5659" s="12" t="n">
        <v>21.2</v>
      </c>
      <c r="S5659" s="12" t="inlineStr">
        <is>
          <t>Duct bank</t>
        </is>
      </c>
      <c r="T5659" s="16" t="n">
        <v>237</v>
      </c>
      <c r="U5659" s="16" t="n">
        <v>32</v>
      </c>
      <c r="V5659" s="16">
        <f>ROUNDUP((T5659+U5659+2*'Read Me'!$B$13)*(1+'Read Me'!$B$12),-1)</f>
        <v/>
      </c>
      <c r="W5659" s="16">
        <f>V5659*N5659*O5659</f>
        <v/>
      </c>
      <c r="X5659" s="12">
        <f>IF(LEFT(I5659,2)="MV",2*N5659*IF(L5659="1/C",O5659,1),0)</f>
        <v/>
      </c>
      <c r="Y5659" s="12">
        <f>IF(OR(LEFT(K5659,4)="LVAX",LEFT(K5659,6)="MV15AX",LEFT(K5659,4)="CTAX",LEFT(K5659,2)="W|"),2*N5659*O5659,0)</f>
        <v/>
      </c>
      <c r="Z5659" s="12" t="inlineStr">
        <is>
          <t>VD 2.7 %</t>
        </is>
      </c>
      <c r="AA5659" s="12">
        <f>N5659*O5659</f>
        <v/>
      </c>
    </row>
    <row r="5660">
      <c r="A5660" s="12" t="inlineStr">
        <is>
          <t>K-P-0028</t>
        </is>
      </c>
      <c r="B5660" s="12" t="inlineStr">
        <is>
          <t>K</t>
        </is>
      </c>
      <c r="C5660" s="12" t="inlineStr">
        <is>
          <t>Fuel supply (adjacent market)</t>
        </is>
      </c>
      <c r="D5660" s="12" t="inlineStr">
        <is>
          <t>LV power feeder</t>
        </is>
      </c>
      <c r="E5660" s="12" t="inlineStr"/>
      <c r="F5660" s="12" t="inlineStr">
        <is>
          <t>LNG 17: LNG e-house (13.8 kV / 480 V)</t>
        </is>
      </c>
      <c r="G5660" s="12" t="inlineStr">
        <is>
          <t>LNG-T1</t>
        </is>
      </c>
      <c r="H5660" s="12" t="inlineStr">
        <is>
          <t>LNG 11: tank 1, Chart HS 50000 (51,780 gal)</t>
        </is>
      </c>
      <c r="I5660" s="12" t="inlineStr">
        <is>
          <t>LV 600 V</t>
        </is>
      </c>
      <c r="J5660" s="12" t="inlineStr">
        <is>
          <t>ARMOR-X MC-HL 600 V 3/C Cu XHHW-2 + ground, CWA, black PVC (Class I Div 2)</t>
        </is>
      </c>
      <c r="K5660" s="12" t="inlineStr">
        <is>
          <t>LVAX|3/C+G|10</t>
        </is>
      </c>
      <c r="L5660" s="12" t="inlineStr">
        <is>
          <t>3/C+G</t>
        </is>
      </c>
      <c r="M5660" s="12" t="inlineStr">
        <is>
          <t>10</t>
        </is>
      </c>
      <c r="N5660" s="12" t="n">
        <v>1</v>
      </c>
      <c r="O5660" s="12" t="n">
        <v>1</v>
      </c>
      <c r="P5660" s="12" t="n">
        <v>480</v>
      </c>
      <c r="Q5660" s="12" t="n">
        <v>10</v>
      </c>
      <c r="R5660" s="12" t="n">
        <v>14.2</v>
      </c>
      <c r="S5660" s="12" t="inlineStr">
        <is>
          <t>Duct bank</t>
        </is>
      </c>
      <c r="T5660" s="16" t="n">
        <v>210</v>
      </c>
      <c r="U5660" s="16" t="n">
        <v>32</v>
      </c>
      <c r="V5660" s="16">
        <f>ROUNDUP((T5660+U5660+2*'Read Me'!$B$13)*(1+'Read Me'!$B$12),-1)</f>
        <v/>
      </c>
      <c r="W5660" s="16">
        <f>V5660*N5660*O5660</f>
        <v/>
      </c>
      <c r="X5660" s="12">
        <f>IF(LEFT(I5660,2)="MV",2*N5660*IF(L5660="1/C",O5660,1),0)</f>
        <v/>
      </c>
      <c r="Y5660" s="12">
        <f>IF(OR(LEFT(K5660,4)="LVAX",LEFT(K5660,6)="MV15AX",LEFT(K5660,4)="CTAX",LEFT(K5660,2)="W|"),2*N5660*O5660,0)</f>
        <v/>
      </c>
      <c r="Z5660" s="12" t="inlineStr">
        <is>
          <t>VD 1.6 %</t>
        </is>
      </c>
      <c r="AA5660" s="12">
        <f>N5660*O5660</f>
        <v/>
      </c>
    </row>
    <row r="5661">
      <c r="A5661" s="12" t="inlineStr">
        <is>
          <t>K-P-0029</t>
        </is>
      </c>
      <c r="B5661" s="12" t="inlineStr">
        <is>
          <t>K</t>
        </is>
      </c>
      <c r="C5661" s="12" t="inlineStr">
        <is>
          <t>Fuel supply (adjacent market)</t>
        </is>
      </c>
      <c r="D5661" s="12" t="inlineStr">
        <is>
          <t>LV power feeder</t>
        </is>
      </c>
      <c r="E5661" s="12" t="inlineStr"/>
      <c r="F5661" s="12" t="inlineStr">
        <is>
          <t>LNG 17: LNG e-house (13.8 kV / 480 V)</t>
        </is>
      </c>
      <c r="G5661" s="12" t="inlineStr">
        <is>
          <t>LNG-T2</t>
        </is>
      </c>
      <c r="H5661" s="12" t="inlineStr">
        <is>
          <t>LNG 11: tank 2, Chart HS 50000 (51,780 gal)</t>
        </is>
      </c>
      <c r="I5661" s="12" t="inlineStr">
        <is>
          <t>LV 600 V</t>
        </is>
      </c>
      <c r="J5661" s="12" t="inlineStr">
        <is>
          <t>ARMOR-X MC-HL 600 V 3/C Cu XHHW-2 + ground, CWA, black PVC (Class I Div 2)</t>
        </is>
      </c>
      <c r="K5661" s="12" t="inlineStr">
        <is>
          <t>LVAX|3/C+G|10</t>
        </is>
      </c>
      <c r="L5661" s="12" t="inlineStr">
        <is>
          <t>3/C+G</t>
        </is>
      </c>
      <c r="M5661" s="12" t="inlineStr">
        <is>
          <t>10</t>
        </is>
      </c>
      <c r="N5661" s="12" t="n">
        <v>1</v>
      </c>
      <c r="O5661" s="12" t="n">
        <v>1</v>
      </c>
      <c r="P5661" s="12" t="n">
        <v>480</v>
      </c>
      <c r="Q5661" s="12" t="n">
        <v>10</v>
      </c>
      <c r="R5661" s="12" t="n">
        <v>14.2</v>
      </c>
      <c r="S5661" s="12" t="inlineStr">
        <is>
          <t>Duct bank</t>
        </is>
      </c>
      <c r="T5661" s="16" t="n">
        <v>230</v>
      </c>
      <c r="U5661" s="16" t="n">
        <v>32</v>
      </c>
      <c r="V5661" s="16">
        <f>ROUNDUP((T5661+U5661+2*'Read Me'!$B$13)*(1+'Read Me'!$B$12),-1)</f>
        <v/>
      </c>
      <c r="W5661" s="16">
        <f>V5661*N5661*O5661</f>
        <v/>
      </c>
      <c r="X5661" s="12">
        <f>IF(LEFT(I5661,2)="MV",2*N5661*IF(L5661="1/C",O5661,1),0)</f>
        <v/>
      </c>
      <c r="Y5661" s="12">
        <f>IF(OR(LEFT(K5661,4)="LVAX",LEFT(K5661,6)="MV15AX",LEFT(K5661,4)="CTAX",LEFT(K5661,2)="W|"),2*N5661*O5661,0)</f>
        <v/>
      </c>
      <c r="Z5661" s="12" t="inlineStr">
        <is>
          <t>VD 1.8 %</t>
        </is>
      </c>
      <c r="AA5661" s="12">
        <f>N5661*O5661</f>
        <v/>
      </c>
    </row>
    <row r="5662">
      <c r="A5662" s="12" t="inlineStr">
        <is>
          <t>K-P-0030</t>
        </is>
      </c>
      <c r="B5662" s="12" t="inlineStr">
        <is>
          <t>K</t>
        </is>
      </c>
      <c r="C5662" s="12" t="inlineStr">
        <is>
          <t>Fuel supply (adjacent market)</t>
        </is>
      </c>
      <c r="D5662" s="12" t="inlineStr">
        <is>
          <t>LV power feeder</t>
        </is>
      </c>
      <c r="E5662" s="12" t="inlineStr"/>
      <c r="F5662" s="12" t="inlineStr">
        <is>
          <t>LNG 17: LNG e-house (13.8 kV / 480 V)</t>
        </is>
      </c>
      <c r="G5662" s="12" t="inlineStr">
        <is>
          <t>LNG-T3</t>
        </is>
      </c>
      <c r="H5662" s="12" t="inlineStr">
        <is>
          <t>LNG 11: tank 3, Chart HS 50000 (51,780 gal)</t>
        </is>
      </c>
      <c r="I5662" s="12" t="inlineStr">
        <is>
          <t>LV 600 V</t>
        </is>
      </c>
      <c r="J5662" s="12" t="inlineStr">
        <is>
          <t>ARMOR-X MC-HL 600 V 3/C Cu XHHW-2 + ground, CWA, black PVC (Class I Div 2)</t>
        </is>
      </c>
      <c r="K5662" s="12" t="inlineStr">
        <is>
          <t>LVAX|3/C+G|10</t>
        </is>
      </c>
      <c r="L5662" s="12" t="inlineStr">
        <is>
          <t>3/C+G</t>
        </is>
      </c>
      <c r="M5662" s="12" t="inlineStr">
        <is>
          <t>10</t>
        </is>
      </c>
      <c r="N5662" s="12" t="n">
        <v>1</v>
      </c>
      <c r="O5662" s="12" t="n">
        <v>1</v>
      </c>
      <c r="P5662" s="12" t="n">
        <v>480</v>
      </c>
      <c r="Q5662" s="12" t="n">
        <v>10</v>
      </c>
      <c r="R5662" s="12" t="n">
        <v>14.2</v>
      </c>
      <c r="S5662" s="12" t="inlineStr">
        <is>
          <t>Duct bank</t>
        </is>
      </c>
      <c r="T5662" s="16" t="n">
        <v>250</v>
      </c>
      <c r="U5662" s="16" t="n">
        <v>32</v>
      </c>
      <c r="V5662" s="16">
        <f>ROUNDUP((T5662+U5662+2*'Read Me'!$B$13)*(1+'Read Me'!$B$12),-1)</f>
        <v/>
      </c>
      <c r="W5662" s="16">
        <f>V5662*N5662*O5662</f>
        <v/>
      </c>
      <c r="X5662" s="12">
        <f>IF(LEFT(I5662,2)="MV",2*N5662*IF(L5662="1/C",O5662,1),0)</f>
        <v/>
      </c>
      <c r="Y5662" s="12">
        <f>IF(OR(LEFT(K5662,4)="LVAX",LEFT(K5662,6)="MV15AX",LEFT(K5662,4)="CTAX",LEFT(K5662,2)="W|"),2*N5662*O5662,0)</f>
        <v/>
      </c>
      <c r="Z5662" s="12" t="inlineStr">
        <is>
          <t>VD 1.9 %</t>
        </is>
      </c>
      <c r="AA5662" s="12">
        <f>N5662*O5662</f>
        <v/>
      </c>
    </row>
    <row r="5663">
      <c r="A5663" s="12" t="inlineStr">
        <is>
          <t>K-P-0031</t>
        </is>
      </c>
      <c r="B5663" s="12" t="inlineStr">
        <is>
          <t>K</t>
        </is>
      </c>
      <c r="C5663" s="12" t="inlineStr">
        <is>
          <t>Fuel supply (adjacent market)</t>
        </is>
      </c>
      <c r="D5663" s="12" t="inlineStr">
        <is>
          <t>LV power feeder</t>
        </is>
      </c>
      <c r="E5663" s="12" t="inlineStr"/>
      <c r="F5663" s="12" t="inlineStr">
        <is>
          <t>LNG 17: LNG e-house (13.8 kV / 480 V)</t>
        </is>
      </c>
      <c r="G5663" s="12" t="inlineStr">
        <is>
          <t>LNG-T4</t>
        </is>
      </c>
      <c r="H5663" s="12" t="inlineStr">
        <is>
          <t>LNG 11: tank 4, Chart HS 50000 (51,780 gal)</t>
        </is>
      </c>
      <c r="I5663" s="12" t="inlineStr">
        <is>
          <t>LV 600 V</t>
        </is>
      </c>
      <c r="J5663" s="12" t="inlineStr">
        <is>
          <t>ARMOR-X MC-HL 600 V 3/C Cu XHHW-2 + ground, CWA, black PVC (Class I Div 2)</t>
        </is>
      </c>
      <c r="K5663" s="12" t="inlineStr">
        <is>
          <t>LVAX|3/C+G|10</t>
        </is>
      </c>
      <c r="L5663" s="12" t="inlineStr">
        <is>
          <t>3/C+G</t>
        </is>
      </c>
      <c r="M5663" s="12" t="inlineStr">
        <is>
          <t>10</t>
        </is>
      </c>
      <c r="N5663" s="12" t="n">
        <v>1</v>
      </c>
      <c r="O5663" s="12" t="n">
        <v>1</v>
      </c>
      <c r="P5663" s="12" t="n">
        <v>480</v>
      </c>
      <c r="Q5663" s="12" t="n">
        <v>10</v>
      </c>
      <c r="R5663" s="12" t="n">
        <v>14.2</v>
      </c>
      <c r="S5663" s="12" t="inlineStr">
        <is>
          <t>Duct bank</t>
        </is>
      </c>
      <c r="T5663" s="16" t="n">
        <v>270</v>
      </c>
      <c r="U5663" s="16" t="n">
        <v>32</v>
      </c>
      <c r="V5663" s="16">
        <f>ROUNDUP((T5663+U5663+2*'Read Me'!$B$13)*(1+'Read Me'!$B$12),-1)</f>
        <v/>
      </c>
      <c r="W5663" s="16">
        <f>V5663*N5663*O5663</f>
        <v/>
      </c>
      <c r="X5663" s="12">
        <f>IF(LEFT(I5663,2)="MV",2*N5663*IF(L5663="1/C",O5663,1),0)</f>
        <v/>
      </c>
      <c r="Y5663" s="12">
        <f>IF(OR(LEFT(K5663,4)="LVAX",LEFT(K5663,6)="MV15AX",LEFT(K5663,4)="CTAX",LEFT(K5663,2)="W|"),2*N5663*O5663,0)</f>
        <v/>
      </c>
      <c r="Z5663" s="12" t="inlineStr">
        <is>
          <t>VD 2.1 %</t>
        </is>
      </c>
      <c r="AA5663" s="12">
        <f>N5663*O5663</f>
        <v/>
      </c>
    </row>
    <row r="5664">
      <c r="A5664" s="12" t="inlineStr">
        <is>
          <t>K-P-0032</t>
        </is>
      </c>
      <c r="B5664" s="12" t="inlineStr">
        <is>
          <t>K</t>
        </is>
      </c>
      <c r="C5664" s="12" t="inlineStr">
        <is>
          <t>Fuel supply (adjacent market)</t>
        </is>
      </c>
      <c r="D5664" s="12" t="inlineStr">
        <is>
          <t>LV power feeder</t>
        </is>
      </c>
      <c r="E5664" s="12" t="inlineStr"/>
      <c r="F5664" s="12" t="inlineStr">
        <is>
          <t>LNG 17: LNG e-house (13.8 kV / 480 V)</t>
        </is>
      </c>
      <c r="G5664" s="12" t="inlineStr">
        <is>
          <t>LNG-T5</t>
        </is>
      </c>
      <c r="H5664" s="12" t="inlineStr">
        <is>
          <t>LNG 11: tank 5, Chart HS 50000 (51,780 gal)</t>
        </is>
      </c>
      <c r="I5664" s="12" t="inlineStr">
        <is>
          <t>LV 600 V</t>
        </is>
      </c>
      <c r="J5664" s="12" t="inlineStr">
        <is>
          <t>ARMOR-X MC-HL 600 V 3/C Cu XHHW-2 + ground, CWA, black PVC (Class I Div 2)</t>
        </is>
      </c>
      <c r="K5664" s="12" t="inlineStr">
        <is>
          <t>LVAX|3/C+G|10</t>
        </is>
      </c>
      <c r="L5664" s="12" t="inlineStr">
        <is>
          <t>3/C+G</t>
        </is>
      </c>
      <c r="M5664" s="12" t="inlineStr">
        <is>
          <t>10</t>
        </is>
      </c>
      <c r="N5664" s="12" t="n">
        <v>1</v>
      </c>
      <c r="O5664" s="12" t="n">
        <v>1</v>
      </c>
      <c r="P5664" s="12" t="n">
        <v>480</v>
      </c>
      <c r="Q5664" s="12" t="n">
        <v>10</v>
      </c>
      <c r="R5664" s="12" t="n">
        <v>14.2</v>
      </c>
      <c r="S5664" s="12" t="inlineStr">
        <is>
          <t>Duct bank</t>
        </is>
      </c>
      <c r="T5664" s="16" t="n">
        <v>290</v>
      </c>
      <c r="U5664" s="16" t="n">
        <v>32</v>
      </c>
      <c r="V5664" s="16">
        <f>ROUNDUP((T5664+U5664+2*'Read Me'!$B$13)*(1+'Read Me'!$B$12),-1)</f>
        <v/>
      </c>
      <c r="W5664" s="16">
        <f>V5664*N5664*O5664</f>
        <v/>
      </c>
      <c r="X5664" s="12">
        <f>IF(LEFT(I5664,2)="MV",2*N5664*IF(L5664="1/C",O5664,1),0)</f>
        <v/>
      </c>
      <c r="Y5664" s="12">
        <f>IF(OR(LEFT(K5664,4)="LVAX",LEFT(K5664,6)="MV15AX",LEFT(K5664,4)="CTAX",LEFT(K5664,2)="W|"),2*N5664*O5664,0)</f>
        <v/>
      </c>
      <c r="Z5664" s="12" t="inlineStr">
        <is>
          <t>VD 2.2 %</t>
        </is>
      </c>
      <c r="AA5664" s="12">
        <f>N5664*O5664</f>
        <v/>
      </c>
    </row>
    <row r="5665">
      <c r="A5665" s="12" t="inlineStr">
        <is>
          <t>K-P-0033</t>
        </is>
      </c>
      <c r="B5665" s="12" t="inlineStr">
        <is>
          <t>K</t>
        </is>
      </c>
      <c r="C5665" s="12" t="inlineStr">
        <is>
          <t>Fuel supply (adjacent market)</t>
        </is>
      </c>
      <c r="D5665" s="12" t="inlineStr">
        <is>
          <t>LV power feeder</t>
        </is>
      </c>
      <c r="E5665" s="12" t="inlineStr"/>
      <c r="F5665" s="12" t="inlineStr">
        <is>
          <t>LNG 17: LNG e-house (13.8 kV / 480 V)</t>
        </is>
      </c>
      <c r="G5665" s="12" t="inlineStr">
        <is>
          <t>LNG-T6</t>
        </is>
      </c>
      <c r="H5665" s="12" t="inlineStr">
        <is>
          <t>LNG 11: tank 6, Chart HS 50000 (51,780 gal)</t>
        </is>
      </c>
      <c r="I5665" s="12" t="inlineStr">
        <is>
          <t>LV 600 V</t>
        </is>
      </c>
      <c r="J5665" s="12" t="inlineStr">
        <is>
          <t>ARMOR-X MC-HL 600 V 3/C Cu XHHW-2 + ground, CWA, black PVC (Class I Div 2)</t>
        </is>
      </c>
      <c r="K5665" s="12" t="inlineStr">
        <is>
          <t>LVAX|3/C+G|10</t>
        </is>
      </c>
      <c r="L5665" s="12" t="inlineStr">
        <is>
          <t>3/C+G</t>
        </is>
      </c>
      <c r="M5665" s="12" t="inlineStr">
        <is>
          <t>10</t>
        </is>
      </c>
      <c r="N5665" s="12" t="n">
        <v>1</v>
      </c>
      <c r="O5665" s="12" t="n">
        <v>1</v>
      </c>
      <c r="P5665" s="12" t="n">
        <v>480</v>
      </c>
      <c r="Q5665" s="12" t="n">
        <v>10</v>
      </c>
      <c r="R5665" s="12" t="n">
        <v>14.2</v>
      </c>
      <c r="S5665" s="12" t="inlineStr">
        <is>
          <t>Duct bank</t>
        </is>
      </c>
      <c r="T5665" s="16" t="n">
        <v>310</v>
      </c>
      <c r="U5665" s="16" t="n">
        <v>32</v>
      </c>
      <c r="V5665" s="16">
        <f>ROUNDUP((T5665+U5665+2*'Read Me'!$B$13)*(1+'Read Me'!$B$12),-1)</f>
        <v/>
      </c>
      <c r="W5665" s="16">
        <f>V5665*N5665*O5665</f>
        <v/>
      </c>
      <c r="X5665" s="12">
        <f>IF(LEFT(I5665,2)="MV",2*N5665*IF(L5665="1/C",O5665,1),0)</f>
        <v/>
      </c>
      <c r="Y5665" s="12">
        <f>IF(OR(LEFT(K5665,4)="LVAX",LEFT(K5665,6)="MV15AX",LEFT(K5665,4)="CTAX",LEFT(K5665,2)="W|"),2*N5665*O5665,0)</f>
        <v/>
      </c>
      <c r="Z5665" s="12" t="inlineStr">
        <is>
          <t>VD 2.3 %</t>
        </is>
      </c>
      <c r="AA5665" s="12">
        <f>N5665*O5665</f>
        <v/>
      </c>
    </row>
    <row r="5666">
      <c r="A5666" s="12" t="inlineStr">
        <is>
          <t>K-P-0034</t>
        </is>
      </c>
      <c r="B5666" s="12" t="inlineStr">
        <is>
          <t>K</t>
        </is>
      </c>
      <c r="C5666" s="12" t="inlineStr">
        <is>
          <t>Fuel supply (adjacent market)</t>
        </is>
      </c>
      <c r="D5666" s="12" t="inlineStr">
        <is>
          <t>LV power feeder</t>
        </is>
      </c>
      <c r="E5666" s="12" t="inlineStr"/>
      <c r="F5666" s="12" t="inlineStr">
        <is>
          <t>LNG 17: LNG e-house (13.8 kV / 480 V)</t>
        </is>
      </c>
      <c r="G5666" s="12" t="inlineStr">
        <is>
          <t>LNG-T7</t>
        </is>
      </c>
      <c r="H5666" s="12" t="inlineStr">
        <is>
          <t>LNG 11: tank 7, Chart HS 50000 (51,780 gal)</t>
        </is>
      </c>
      <c r="I5666" s="12" t="inlineStr">
        <is>
          <t>LV 600 V</t>
        </is>
      </c>
      <c r="J5666" s="12" t="inlineStr">
        <is>
          <t>ARMOR-X MC-HL 600 V 3/C Cu XHHW-2 + ground, CWA, black PVC (Class I Div 2)</t>
        </is>
      </c>
      <c r="K5666" s="12" t="inlineStr">
        <is>
          <t>LVAX|3/C+G|10</t>
        </is>
      </c>
      <c r="L5666" s="12" t="inlineStr">
        <is>
          <t>3/C+G</t>
        </is>
      </c>
      <c r="M5666" s="12" t="inlineStr">
        <is>
          <t>10</t>
        </is>
      </c>
      <c r="N5666" s="12" t="n">
        <v>1</v>
      </c>
      <c r="O5666" s="12" t="n">
        <v>1</v>
      </c>
      <c r="P5666" s="12" t="n">
        <v>480</v>
      </c>
      <c r="Q5666" s="12" t="n">
        <v>10</v>
      </c>
      <c r="R5666" s="12" t="n">
        <v>14.2</v>
      </c>
      <c r="S5666" s="12" t="inlineStr">
        <is>
          <t>Duct bank</t>
        </is>
      </c>
      <c r="T5666" s="16" t="n">
        <v>330</v>
      </c>
      <c r="U5666" s="16" t="n">
        <v>32</v>
      </c>
      <c r="V5666" s="16">
        <f>ROUNDUP((T5666+U5666+2*'Read Me'!$B$13)*(1+'Read Me'!$B$12),-1)</f>
        <v/>
      </c>
      <c r="W5666" s="16">
        <f>V5666*N5666*O5666</f>
        <v/>
      </c>
      <c r="X5666" s="12">
        <f>IF(LEFT(I5666,2)="MV",2*N5666*IF(L5666="1/C",O5666,1),0)</f>
        <v/>
      </c>
      <c r="Y5666" s="12">
        <f>IF(OR(LEFT(K5666,4)="LVAX",LEFT(K5666,6)="MV15AX",LEFT(K5666,4)="CTAX",LEFT(K5666,2)="W|"),2*N5666*O5666,0)</f>
        <v/>
      </c>
      <c r="Z5666" s="12" t="inlineStr">
        <is>
          <t>VD 2.5 %</t>
        </is>
      </c>
      <c r="AA5666" s="12">
        <f>N5666*O5666</f>
        <v/>
      </c>
    </row>
    <row r="5667">
      <c r="A5667" s="12" t="inlineStr">
        <is>
          <t>K-P-0035</t>
        </is>
      </c>
      <c r="B5667" s="12" t="inlineStr">
        <is>
          <t>K</t>
        </is>
      </c>
      <c r="C5667" s="12" t="inlineStr">
        <is>
          <t>Fuel supply (adjacent market)</t>
        </is>
      </c>
      <c r="D5667" s="12" t="inlineStr">
        <is>
          <t>LV power feeder</t>
        </is>
      </c>
      <c r="E5667" s="12" t="inlineStr"/>
      <c r="F5667" s="12" t="inlineStr">
        <is>
          <t>LNG 17: LNG e-house (13.8 kV / 480 V)</t>
        </is>
      </c>
      <c r="G5667" s="12" t="inlineStr">
        <is>
          <t>LNG-T8</t>
        </is>
      </c>
      <c r="H5667" s="12" t="inlineStr">
        <is>
          <t>LNG 11: tank 8, Chart HS 50000 (51,780 gal)</t>
        </is>
      </c>
      <c r="I5667" s="12" t="inlineStr">
        <is>
          <t>LV 600 V</t>
        </is>
      </c>
      <c r="J5667" s="12" t="inlineStr">
        <is>
          <t>ARMOR-X MC-HL 600 V 3/C Cu XHHW-2 + ground, CWA, black PVC (Class I Div 2)</t>
        </is>
      </c>
      <c r="K5667" s="12" t="inlineStr">
        <is>
          <t>LVAX|3/C+G|10</t>
        </is>
      </c>
      <c r="L5667" s="12" t="inlineStr">
        <is>
          <t>3/C+G</t>
        </is>
      </c>
      <c r="M5667" s="12" t="inlineStr">
        <is>
          <t>10</t>
        </is>
      </c>
      <c r="N5667" s="12" t="n">
        <v>1</v>
      </c>
      <c r="O5667" s="12" t="n">
        <v>1</v>
      </c>
      <c r="P5667" s="12" t="n">
        <v>480</v>
      </c>
      <c r="Q5667" s="12" t="n">
        <v>10</v>
      </c>
      <c r="R5667" s="12" t="n">
        <v>14.2</v>
      </c>
      <c r="S5667" s="12" t="inlineStr">
        <is>
          <t>Duct bank</t>
        </is>
      </c>
      <c r="T5667" s="16" t="n">
        <v>350</v>
      </c>
      <c r="U5667" s="16" t="n">
        <v>32</v>
      </c>
      <c r="V5667" s="16">
        <f>ROUNDUP((T5667+U5667+2*'Read Me'!$B$13)*(1+'Read Me'!$B$12),-1)</f>
        <v/>
      </c>
      <c r="W5667" s="16">
        <f>V5667*N5667*O5667</f>
        <v/>
      </c>
      <c r="X5667" s="12">
        <f>IF(LEFT(I5667,2)="MV",2*N5667*IF(L5667="1/C",O5667,1),0)</f>
        <v/>
      </c>
      <c r="Y5667" s="12">
        <f>IF(OR(LEFT(K5667,4)="LVAX",LEFT(K5667,6)="MV15AX",LEFT(K5667,4)="CTAX",LEFT(K5667,2)="W|"),2*N5667*O5667,0)</f>
        <v/>
      </c>
      <c r="Z5667" s="12" t="inlineStr">
        <is>
          <t>VD 2.6 %</t>
        </is>
      </c>
      <c r="AA5667" s="12">
        <f>N5667*O5667</f>
        <v/>
      </c>
    </row>
    <row r="5668">
      <c r="A5668" s="12" t="inlineStr">
        <is>
          <t>K-P-0036</t>
        </is>
      </c>
      <c r="B5668" s="12" t="inlineStr">
        <is>
          <t>K</t>
        </is>
      </c>
      <c r="C5668" s="12" t="inlineStr">
        <is>
          <t>Fuel supply (adjacent market)</t>
        </is>
      </c>
      <c r="D5668" s="12" t="inlineStr">
        <is>
          <t>Motor 1 of 1, 15 kW</t>
        </is>
      </c>
      <c r="E5668" s="12" t="inlineStr"/>
      <c r="F5668" s="12" t="inlineStr">
        <is>
          <t>LNG 17: LNG e-house (13.8 kV / 480 V)</t>
        </is>
      </c>
      <c r="G5668" s="12" t="inlineStr"/>
      <c r="H5668" s="12" t="inlineStr">
        <is>
          <t>LNG 12: spill impoundment (NFPA 59A, to verify)</t>
        </is>
      </c>
      <c r="I5668" s="12" t="inlineStr">
        <is>
          <t>LV 600 V</t>
        </is>
      </c>
      <c r="J5668" s="12" t="inlineStr">
        <is>
          <t>ARMOR-X MC-HL 600 V 3/C Cu XHHW-2 + ground, CWA, black PVC (Class I Div 2)</t>
        </is>
      </c>
      <c r="K5668" s="12" t="inlineStr">
        <is>
          <t>LVAX|3/C+G|10</t>
        </is>
      </c>
      <c r="L5668" s="12" t="inlineStr">
        <is>
          <t>3/C+G</t>
        </is>
      </c>
      <c r="M5668" s="12" t="inlineStr">
        <is>
          <t>10</t>
        </is>
      </c>
      <c r="N5668" s="12" t="n">
        <v>1</v>
      </c>
      <c r="O5668" s="12" t="n">
        <v>1</v>
      </c>
      <c r="P5668" s="12" t="n">
        <v>480</v>
      </c>
      <c r="Q5668" s="12" t="n">
        <v>15</v>
      </c>
      <c r="R5668" s="12" t="n">
        <v>21.2</v>
      </c>
      <c r="S5668" s="12" t="inlineStr">
        <is>
          <t>Duct bank</t>
        </is>
      </c>
      <c r="T5668" s="16" t="n">
        <v>230</v>
      </c>
      <c r="U5668" s="16" t="n">
        <v>32</v>
      </c>
      <c r="V5668" s="16">
        <f>ROUNDUP((T5668+U5668+2*'Read Me'!$B$13)*(1+'Read Me'!$B$12),-1)</f>
        <v/>
      </c>
      <c r="W5668" s="16">
        <f>V5668*N5668*O5668</f>
        <v/>
      </c>
      <c r="X5668" s="12">
        <f>IF(LEFT(I5668,2)="MV",2*N5668*IF(L5668="1/C",O5668,1),0)</f>
        <v/>
      </c>
      <c r="Y5668" s="12">
        <f>IF(OR(LEFT(K5668,4)="LVAX",LEFT(K5668,6)="MV15AX",LEFT(K5668,4)="CTAX",LEFT(K5668,2)="W|"),2*N5668*O5668,0)</f>
        <v/>
      </c>
      <c r="Z5668" s="12" t="inlineStr">
        <is>
          <t>VD 2.7 %</t>
        </is>
      </c>
      <c r="AA5668" s="12">
        <f>N5668*O5668</f>
        <v/>
      </c>
    </row>
    <row r="5669">
      <c r="A5669" s="12" t="inlineStr">
        <is>
          <t>K-P-0037</t>
        </is>
      </c>
      <c r="B5669" s="12" t="inlineStr">
        <is>
          <t>K</t>
        </is>
      </c>
      <c r="C5669" s="12" t="inlineStr">
        <is>
          <t>Fuel supply (adjacent market)</t>
        </is>
      </c>
      <c r="D5669" s="12" t="inlineStr">
        <is>
          <t>Motor 1 of 1, 15 kW</t>
        </is>
      </c>
      <c r="E5669" s="12" t="inlineStr"/>
      <c r="F5669" s="12" t="inlineStr">
        <is>
          <t>LNG 17: LNG e-house (13.8 kV / 480 V)</t>
        </is>
      </c>
      <c r="G5669" s="12" t="inlineStr"/>
      <c r="H5669" s="12" t="inlineStr">
        <is>
          <t>LNG 13: send-out pumps 2 x 100%</t>
        </is>
      </c>
      <c r="I5669" s="12" t="inlineStr">
        <is>
          <t>LV 600 V</t>
        </is>
      </c>
      <c r="J5669" s="12" t="inlineStr">
        <is>
          <t>ARMOR-X MC-HL 600 V 3/C Cu XHHW-2 + ground, CWA, black PVC (Class I Div 2)</t>
        </is>
      </c>
      <c r="K5669" s="12" t="inlineStr">
        <is>
          <t>LVAX|3/C+G|10</t>
        </is>
      </c>
      <c r="L5669" s="12" t="inlineStr">
        <is>
          <t>3/C+G</t>
        </is>
      </c>
      <c r="M5669" s="12" t="inlineStr">
        <is>
          <t>10</t>
        </is>
      </c>
      <c r="N5669" s="12" t="n">
        <v>1</v>
      </c>
      <c r="O5669" s="12" t="n">
        <v>1</v>
      </c>
      <c r="P5669" s="12" t="n">
        <v>480</v>
      </c>
      <c r="Q5669" s="12" t="n">
        <v>15</v>
      </c>
      <c r="R5669" s="12" t="n">
        <v>21.2</v>
      </c>
      <c r="S5669" s="12" t="inlineStr">
        <is>
          <t>Duct bank</t>
        </is>
      </c>
      <c r="T5669" s="16" t="n">
        <v>110</v>
      </c>
      <c r="U5669" s="16" t="n">
        <v>32</v>
      </c>
      <c r="V5669" s="16">
        <f>ROUNDUP((T5669+U5669+2*'Read Me'!$B$13)*(1+'Read Me'!$B$12),-1)</f>
        <v/>
      </c>
      <c r="W5669" s="16">
        <f>V5669*N5669*O5669</f>
        <v/>
      </c>
      <c r="X5669" s="12">
        <f>IF(LEFT(I5669,2)="MV",2*N5669*IF(L5669="1/C",O5669,1),0)</f>
        <v/>
      </c>
      <c r="Y5669" s="12">
        <f>IF(OR(LEFT(K5669,4)="LVAX",LEFT(K5669,6)="MV15AX",LEFT(K5669,4)="CTAX",LEFT(K5669,2)="W|"),2*N5669*O5669,0)</f>
        <v/>
      </c>
      <c r="Z5669" s="12" t="inlineStr">
        <is>
          <t>VD 1.4 %</t>
        </is>
      </c>
      <c r="AA5669" s="12">
        <f>N5669*O5669</f>
        <v/>
      </c>
    </row>
    <row r="5670">
      <c r="A5670" s="12" t="inlineStr">
        <is>
          <t>K-P-0038</t>
        </is>
      </c>
      <c r="B5670" s="12" t="inlineStr">
        <is>
          <t>K</t>
        </is>
      </c>
      <c r="C5670" s="12" t="inlineStr">
        <is>
          <t>Fuel supply (adjacent market)</t>
        </is>
      </c>
      <c r="D5670" s="12" t="inlineStr">
        <is>
          <t>Motor 1 of 1, 15 kW</t>
        </is>
      </c>
      <c r="E5670" s="12" t="inlineStr"/>
      <c r="F5670" s="12" t="inlineStr">
        <is>
          <t>LNG 17: LNG e-house (13.8 kV / 480 V)</t>
        </is>
      </c>
      <c r="G5670" s="12" t="inlineStr"/>
      <c r="H5670" s="12" t="inlineStr">
        <is>
          <t>LNG 14: vaporizers + glycol heater</t>
        </is>
      </c>
      <c r="I5670" s="12" t="inlineStr">
        <is>
          <t>LV 600 V</t>
        </is>
      </c>
      <c r="J5670" s="12" t="inlineStr">
        <is>
          <t>ARMOR-X MC-HL 600 V 3/C Cu XHHW-2 + ground, CWA, black PVC (Class I Div 2)</t>
        </is>
      </c>
      <c r="K5670" s="12" t="inlineStr">
        <is>
          <t>LVAX|3/C+G|10</t>
        </is>
      </c>
      <c r="L5670" s="12" t="inlineStr">
        <is>
          <t>3/C+G</t>
        </is>
      </c>
      <c r="M5670" s="12" t="inlineStr">
        <is>
          <t>10</t>
        </is>
      </c>
      <c r="N5670" s="12" t="n">
        <v>1</v>
      </c>
      <c r="O5670" s="12" t="n">
        <v>1</v>
      </c>
      <c r="P5670" s="12" t="n">
        <v>480</v>
      </c>
      <c r="Q5670" s="12" t="n">
        <v>15</v>
      </c>
      <c r="R5670" s="12" t="n">
        <v>21.2</v>
      </c>
      <c r="S5670" s="12" t="inlineStr">
        <is>
          <t>Duct bank</t>
        </is>
      </c>
      <c r="T5670" s="16" t="n">
        <v>259</v>
      </c>
      <c r="U5670" s="16" t="n">
        <v>32</v>
      </c>
      <c r="V5670" s="16">
        <f>ROUNDUP((T5670+U5670+2*'Read Me'!$B$13)*(1+'Read Me'!$B$12),-1)</f>
        <v/>
      </c>
      <c r="W5670" s="16">
        <f>V5670*N5670*O5670</f>
        <v/>
      </c>
      <c r="X5670" s="12">
        <f>IF(LEFT(I5670,2)="MV",2*N5670*IF(L5670="1/C",O5670,1),0)</f>
        <v/>
      </c>
      <c r="Y5670" s="12">
        <f>IF(OR(LEFT(K5670,4)="LVAX",LEFT(K5670,6)="MV15AX",LEFT(K5670,4)="CTAX",LEFT(K5670,2)="W|"),2*N5670*O5670,0)</f>
        <v/>
      </c>
      <c r="Z5670" s="12" t="inlineStr">
        <is>
          <t>VD 3.0 %</t>
        </is>
      </c>
      <c r="AA5670" s="12">
        <f>N5670*O5670</f>
        <v/>
      </c>
    </row>
    <row r="5671">
      <c r="A5671" s="12" t="inlineStr">
        <is>
          <t>K-P-0039</t>
        </is>
      </c>
      <c r="B5671" s="12" t="inlineStr">
        <is>
          <t>K</t>
        </is>
      </c>
      <c r="C5671" s="12" t="inlineStr">
        <is>
          <t>Fuel supply (adjacent market)</t>
        </is>
      </c>
      <c r="D5671" s="12" t="inlineStr">
        <is>
          <t>Motor 1 of 1, 15 kW</t>
        </is>
      </c>
      <c r="E5671" s="12" t="inlineStr"/>
      <c r="F5671" s="12" t="inlineStr">
        <is>
          <t>LNG 17: LNG e-house (13.8 kV / 480 V)</t>
        </is>
      </c>
      <c r="G5671" s="12" t="inlineStr"/>
      <c r="H5671" s="12" t="inlineStr">
        <is>
          <t>LNG 15: boil-off gas compressor</t>
        </is>
      </c>
      <c r="I5671" s="12" t="inlineStr">
        <is>
          <t>LV 600 V</t>
        </is>
      </c>
      <c r="J5671" s="12" t="inlineStr">
        <is>
          <t>ARMOR-X MC-HL 600 V 3/C Cu XHHW-2 + ground, CWA, black PVC (Class I Div 2)</t>
        </is>
      </c>
      <c r="K5671" s="12" t="inlineStr">
        <is>
          <t>LVAX|3/C+G|10</t>
        </is>
      </c>
      <c r="L5671" s="12" t="inlineStr">
        <is>
          <t>3/C+G</t>
        </is>
      </c>
      <c r="M5671" s="12" t="inlineStr">
        <is>
          <t>10</t>
        </is>
      </c>
      <c r="N5671" s="12" t="n">
        <v>1</v>
      </c>
      <c r="O5671" s="12" t="n">
        <v>1</v>
      </c>
      <c r="P5671" s="12" t="n">
        <v>480</v>
      </c>
      <c r="Q5671" s="12" t="n">
        <v>15</v>
      </c>
      <c r="R5671" s="12" t="n">
        <v>21.2</v>
      </c>
      <c r="S5671" s="12" t="inlineStr">
        <is>
          <t>Duct bank</t>
        </is>
      </c>
      <c r="T5671" s="16" t="n">
        <v>25</v>
      </c>
      <c r="U5671" s="16" t="n">
        <v>54</v>
      </c>
      <c r="V5671" s="16">
        <f>ROUNDUP((T5671+U5671+2*'Read Me'!$B$13)*(1+'Read Me'!$B$12),-1)</f>
        <v/>
      </c>
      <c r="W5671" s="16">
        <f>V5671*N5671*O5671</f>
        <v/>
      </c>
      <c r="X5671" s="12">
        <f>IF(LEFT(I5671,2)="MV",2*N5671*IF(L5671="1/C",O5671,1),0)</f>
        <v/>
      </c>
      <c r="Y5671" s="12">
        <f>IF(OR(LEFT(K5671,4)="LVAX",LEFT(K5671,6)="MV15AX",LEFT(K5671,4)="CTAX",LEFT(K5671,2)="W|"),2*N5671*O5671,0)</f>
        <v/>
      </c>
      <c r="Z5671" s="12" t="inlineStr">
        <is>
          <t>VD 0.8 %</t>
        </is>
      </c>
      <c r="AA5671" s="12">
        <f>N5671*O5671</f>
        <v/>
      </c>
    </row>
    <row r="5672">
      <c r="A5672" s="12" t="inlineStr">
        <is>
          <t>K-P-0040</t>
        </is>
      </c>
      <c r="B5672" s="12" t="inlineStr">
        <is>
          <t>K</t>
        </is>
      </c>
      <c r="C5672" s="12" t="inlineStr">
        <is>
          <t>Fuel supply (adjacent market)</t>
        </is>
      </c>
      <c r="D5672" s="12" t="inlineStr">
        <is>
          <t>Motor 1 of 1, 15 kW</t>
        </is>
      </c>
      <c r="E5672" s="12" t="inlineStr"/>
      <c r="F5672" s="12" t="inlineStr">
        <is>
          <t>LNG 17: LNG e-house (13.8 kV / 480 V)</t>
        </is>
      </c>
      <c r="G5672" s="12" t="inlineStr"/>
      <c r="H5672" s="12" t="inlineStr">
        <is>
          <t>LNG 16: send-out metering + pressure control</t>
        </is>
      </c>
      <c r="I5672" s="12" t="inlineStr">
        <is>
          <t>LV 600 V</t>
        </is>
      </c>
      <c r="J5672" s="12" t="inlineStr">
        <is>
          <t>ARMOR-X MC-HL 600 V 3/C Cu XHHW-2 + ground, CWA, black PVC (Class I Div 2)</t>
        </is>
      </c>
      <c r="K5672" s="12" t="inlineStr">
        <is>
          <t>LVAX|3/C+G|10</t>
        </is>
      </c>
      <c r="L5672" s="12" t="inlineStr">
        <is>
          <t>3/C+G</t>
        </is>
      </c>
      <c r="M5672" s="12" t="inlineStr">
        <is>
          <t>10</t>
        </is>
      </c>
      <c r="N5672" s="12" t="n">
        <v>1</v>
      </c>
      <c r="O5672" s="12" t="n">
        <v>1</v>
      </c>
      <c r="P5672" s="12" t="n">
        <v>480</v>
      </c>
      <c r="Q5672" s="12" t="n">
        <v>15</v>
      </c>
      <c r="R5672" s="12" t="n">
        <v>21.2</v>
      </c>
      <c r="S5672" s="12" t="inlineStr">
        <is>
          <t>Duct bank</t>
        </is>
      </c>
      <c r="T5672" s="16" t="n">
        <v>20</v>
      </c>
      <c r="U5672" s="16" t="n">
        <v>32</v>
      </c>
      <c r="V5672" s="16">
        <f>ROUNDUP((T5672+U5672+2*'Read Me'!$B$13)*(1+'Read Me'!$B$12),-1)</f>
        <v/>
      </c>
      <c r="W5672" s="16">
        <f>V5672*N5672*O5672</f>
        <v/>
      </c>
      <c r="X5672" s="12">
        <f>IF(LEFT(I5672,2)="MV",2*N5672*IF(L5672="1/C",O5672,1),0)</f>
        <v/>
      </c>
      <c r="Y5672" s="12">
        <f>IF(OR(LEFT(K5672,4)="LVAX",LEFT(K5672,6)="MV15AX",LEFT(K5672,4)="CTAX",LEFT(K5672,2)="W|"),2*N5672*O5672,0)</f>
        <v/>
      </c>
      <c r="Z5672" s="12" t="inlineStr">
        <is>
          <t>VD 0.5 %</t>
        </is>
      </c>
      <c r="AA5672" s="12">
        <f>N5672*O5672</f>
        <v/>
      </c>
    </row>
    <row r="5673">
      <c r="A5673" s="12" t="inlineStr">
        <is>
          <t>K-P-0041</t>
        </is>
      </c>
      <c r="B5673" s="12" t="inlineStr">
        <is>
          <t>K</t>
        </is>
      </c>
      <c r="C5673" s="12" t="inlineStr">
        <is>
          <t>Fuel supply (adjacent market)</t>
        </is>
      </c>
      <c r="D5673" s="12" t="inlineStr">
        <is>
          <t>Motor 1 of 1, 15 kW</t>
        </is>
      </c>
      <c r="E5673" s="12" t="inlineStr"/>
      <c r="F5673" s="12" t="inlineStr">
        <is>
          <t>LNG 17: LNG e-house (13.8 kV / 480 V)</t>
        </is>
      </c>
      <c r="G5673" s="12" t="inlineStr"/>
      <c r="H5673" s="12" t="inlineStr">
        <is>
          <t>LNG 17: LNG e-house (13.8 kV / 480 V)</t>
        </is>
      </c>
      <c r="I5673" s="12" t="inlineStr">
        <is>
          <t>LV 600 V</t>
        </is>
      </c>
      <c r="J5673" s="12" t="inlineStr">
        <is>
          <t>ARMOR-X MC-HL 600 V 3/C Cu XHHW-2 + ground, CWA, black PVC (Class I Div 2)</t>
        </is>
      </c>
      <c r="K5673" s="12" t="inlineStr">
        <is>
          <t>LVAX|3/C+G|10</t>
        </is>
      </c>
      <c r="L5673" s="12" t="inlineStr">
        <is>
          <t>3/C+G</t>
        </is>
      </c>
      <c r="M5673" s="12" t="inlineStr">
        <is>
          <t>10</t>
        </is>
      </c>
      <c r="N5673" s="12" t="n">
        <v>1</v>
      </c>
      <c r="O5673" s="12" t="n">
        <v>1</v>
      </c>
      <c r="P5673" s="12" t="n">
        <v>480</v>
      </c>
      <c r="Q5673" s="12" t="n">
        <v>15</v>
      </c>
      <c r="R5673" s="12" t="n">
        <v>21.2</v>
      </c>
      <c r="S5673" s="12" t="inlineStr">
        <is>
          <t>Tray</t>
        </is>
      </c>
      <c r="T5673" s="16" t="n">
        <v>0</v>
      </c>
      <c r="U5673" s="16" t="n">
        <v>32</v>
      </c>
      <c r="V5673" s="16">
        <f>ROUNDUP((T5673+U5673+2*'Read Me'!$B$13)*(1+'Read Me'!$B$12),-1)</f>
        <v/>
      </c>
      <c r="W5673" s="16">
        <f>V5673*N5673*O5673</f>
        <v/>
      </c>
      <c r="X5673" s="12">
        <f>IF(LEFT(I5673,2)="MV",2*N5673*IF(L5673="1/C",O5673,1),0)</f>
        <v/>
      </c>
      <c r="Y5673" s="12">
        <f>IF(OR(LEFT(K5673,4)="LVAX",LEFT(K5673,6)="MV15AX",LEFT(K5673,4)="CTAX",LEFT(K5673,2)="W|"),2*N5673*O5673,0)</f>
        <v/>
      </c>
      <c r="Z5673" s="12" t="inlineStr">
        <is>
          <t>VD 0.3 %</t>
        </is>
      </c>
      <c r="AA5673" s="12">
        <f>N5673*O5673</f>
        <v/>
      </c>
    </row>
    <row r="5674">
      <c r="A5674" s="12" t="inlineStr">
        <is>
          <t>K-P-0042</t>
        </is>
      </c>
      <c r="B5674" s="12" t="inlineStr">
        <is>
          <t>K</t>
        </is>
      </c>
      <c r="C5674" s="12" t="inlineStr">
        <is>
          <t>Fuel supply (adjacent market)</t>
        </is>
      </c>
      <c r="D5674" s="12" t="inlineStr">
        <is>
          <t>Motor 1 of 1, 15 kW</t>
        </is>
      </c>
      <c r="E5674" s="12" t="inlineStr"/>
      <c r="F5674" s="12" t="inlineStr">
        <is>
          <t>LNG 17: LNG e-house (13.8 kV / 480 V)</t>
        </is>
      </c>
      <c r="G5674" s="12" t="inlineStr"/>
      <c r="H5674" s="12" t="inlineStr">
        <is>
          <t>LNG 18: vent stack</t>
        </is>
      </c>
      <c r="I5674" s="12" t="inlineStr">
        <is>
          <t>LV 600 V</t>
        </is>
      </c>
      <c r="J5674" s="12" t="inlineStr">
        <is>
          <t>ARMOR-X MC-HL 600 V 3/C Cu XHHW-2 + ground, CWA, black PVC (Class I Div 2)</t>
        </is>
      </c>
      <c r="K5674" s="12" t="inlineStr">
        <is>
          <t>LVAX|3/C+G|10</t>
        </is>
      </c>
      <c r="L5674" s="12" t="inlineStr">
        <is>
          <t>3/C+G</t>
        </is>
      </c>
      <c r="M5674" s="12" t="inlineStr">
        <is>
          <t>10</t>
        </is>
      </c>
      <c r="N5674" s="12" t="n">
        <v>1</v>
      </c>
      <c r="O5674" s="12" t="n">
        <v>1</v>
      </c>
      <c r="P5674" s="12" t="n">
        <v>480</v>
      </c>
      <c r="Q5674" s="12" t="n">
        <v>15</v>
      </c>
      <c r="R5674" s="12" t="n">
        <v>21.2</v>
      </c>
      <c r="S5674" s="12" t="inlineStr">
        <is>
          <t>Duct bank</t>
        </is>
      </c>
      <c r="T5674" s="16" t="n">
        <v>25</v>
      </c>
      <c r="U5674" s="16" t="n">
        <v>117</v>
      </c>
      <c r="V5674" s="16">
        <f>ROUNDUP((T5674+U5674+2*'Read Me'!$B$13)*(1+'Read Me'!$B$12),-1)</f>
        <v/>
      </c>
      <c r="W5674" s="16">
        <f>V5674*N5674*O5674</f>
        <v/>
      </c>
      <c r="X5674" s="12">
        <f>IF(LEFT(I5674,2)="MV",2*N5674*IF(L5674="1/C",O5674,1),0)</f>
        <v/>
      </c>
      <c r="Y5674" s="12">
        <f>IF(OR(LEFT(K5674,4)="LVAX",LEFT(K5674,6)="MV15AX",LEFT(K5674,4)="CTAX",LEFT(K5674,2)="W|"),2*N5674*O5674,0)</f>
        <v/>
      </c>
      <c r="Z5674" s="12" t="inlineStr">
        <is>
          <t>VD 1.4 %</t>
        </is>
      </c>
      <c r="AA5674" s="12">
        <f>N5674*O5674</f>
        <v/>
      </c>
    </row>
    <row r="5675">
      <c r="A5675" s="12" t="inlineStr">
        <is>
          <t>K-P-0043</t>
        </is>
      </c>
      <c r="B5675" s="12" t="inlineStr">
        <is>
          <t>K</t>
        </is>
      </c>
      <c r="C5675" s="12" t="inlineStr">
        <is>
          <t>Fuel supply (adjacent market)</t>
        </is>
      </c>
      <c r="D5675" s="12" t="inlineStr">
        <is>
          <t>LV power feeder</t>
        </is>
      </c>
      <c r="E5675" s="12" t="inlineStr"/>
      <c r="F5675" s="12" t="inlineStr">
        <is>
          <t>LNG 17: LNG e-house (13.8 kV / 480 V)</t>
        </is>
      </c>
      <c r="G5675" s="12" t="inlineStr"/>
      <c r="H5675" s="12" t="inlineStr">
        <is>
          <t>LNG impoundment sump pump</t>
        </is>
      </c>
      <c r="I5675" s="12" t="inlineStr">
        <is>
          <t>LV 600 V</t>
        </is>
      </c>
      <c r="J5675" s="12" t="inlineStr">
        <is>
          <t>ARMOR-X MC-HL 600 V 3/C Cu XHHW-2 + ground, CWA, black PVC (Class I Div 2)</t>
        </is>
      </c>
      <c r="K5675" s="12" t="inlineStr">
        <is>
          <t>LVAX|3/C+G|8</t>
        </is>
      </c>
      <c r="L5675" s="12" t="inlineStr">
        <is>
          <t>3/C+G</t>
        </is>
      </c>
      <c r="M5675" s="12" t="inlineStr">
        <is>
          <t>8</t>
        </is>
      </c>
      <c r="N5675" s="12" t="n">
        <v>1</v>
      </c>
      <c r="O5675" s="12" t="n">
        <v>1</v>
      </c>
      <c r="P5675" s="12" t="n">
        <v>480</v>
      </c>
      <c r="Q5675" s="12" t="n">
        <v>15</v>
      </c>
      <c r="R5675" s="12" t="n">
        <v>21.2</v>
      </c>
      <c r="S5675" s="12" t="inlineStr">
        <is>
          <t>Duct bank</t>
        </is>
      </c>
      <c r="T5675" s="16" t="n">
        <v>334</v>
      </c>
      <c r="U5675" s="16" t="n">
        <v>32</v>
      </c>
      <c r="V5675" s="16">
        <f>ROUNDUP((T5675+U5675+2*'Read Me'!$B$13)*(1+'Read Me'!$B$12),-1)</f>
        <v/>
      </c>
      <c r="W5675" s="16">
        <f>V5675*N5675*O5675</f>
        <v/>
      </c>
      <c r="X5675" s="12">
        <f>IF(LEFT(I5675,2)="MV",2*N5675*IF(L5675="1/C",O5675,1),0)</f>
        <v/>
      </c>
      <c r="Y5675" s="12">
        <f>IF(OR(LEFT(K5675,4)="LVAX",LEFT(K5675,6)="MV15AX",LEFT(K5675,4)="CTAX",LEFT(K5675,2)="W|"),2*N5675*O5675,0)</f>
        <v/>
      </c>
      <c r="Z5675" s="12" t="inlineStr">
        <is>
          <t>VD 2.4 %</t>
        </is>
      </c>
      <c r="AA5675" s="12">
        <f>N5675*O5675</f>
        <v/>
      </c>
    </row>
    <row r="5676">
      <c r="A5676" s="12" t="inlineStr">
        <is>
          <t>K-P-0044</t>
        </is>
      </c>
      <c r="B5676" s="12" t="inlineStr">
        <is>
          <t>K</t>
        </is>
      </c>
      <c r="C5676" s="12" t="inlineStr">
        <is>
          <t>Fuel supply (adjacent market)</t>
        </is>
      </c>
      <c r="D5676" s="12" t="inlineStr">
        <is>
          <t>LV power feeder</t>
        </is>
      </c>
      <c r="E5676" s="12" t="inlineStr"/>
      <c r="F5676" s="12" t="inlineStr">
        <is>
          <t>LNG 17: LNG e-house (13.8 kV / 480 V)</t>
        </is>
      </c>
      <c r="G5676" s="12" t="inlineStr"/>
      <c r="H5676" s="12" t="inlineStr">
        <is>
          <t>M&amp;R 2: insulating joint + ESD valve</t>
        </is>
      </c>
      <c r="I5676" s="12" t="inlineStr">
        <is>
          <t>LV 600 V</t>
        </is>
      </c>
      <c r="J5676" s="12" t="inlineStr">
        <is>
          <t>ARMOR-X MC-HL 600 V 3/C Cu XHHW-2 + ground, CWA, black PVC (Class I Div 2)</t>
        </is>
      </c>
      <c r="K5676" s="12" t="inlineStr">
        <is>
          <t>LVAX|3/C+G|6</t>
        </is>
      </c>
      <c r="L5676" s="12" t="inlineStr">
        <is>
          <t>3/C+G</t>
        </is>
      </c>
      <c r="M5676" s="12" t="inlineStr">
        <is>
          <t>6</t>
        </is>
      </c>
      <c r="N5676" s="12" t="n">
        <v>1</v>
      </c>
      <c r="O5676" s="12" t="n">
        <v>1</v>
      </c>
      <c r="P5676" s="12" t="n">
        <v>480</v>
      </c>
      <c r="Q5676" s="12" t="n">
        <v>10</v>
      </c>
      <c r="R5676" s="12" t="n">
        <v>14.2</v>
      </c>
      <c r="S5676" s="12" t="inlineStr">
        <is>
          <t>Duct bank</t>
        </is>
      </c>
      <c r="T5676" s="16" t="n">
        <v>758</v>
      </c>
      <c r="U5676" s="16" t="n">
        <v>32</v>
      </c>
      <c r="V5676" s="16">
        <f>ROUNDUP((T5676+U5676+2*'Read Me'!$B$13)*(1+'Read Me'!$B$12),-1)</f>
        <v/>
      </c>
      <c r="W5676" s="16">
        <f>V5676*N5676*O5676</f>
        <v/>
      </c>
      <c r="X5676" s="12">
        <f>IF(LEFT(I5676,2)="MV",2*N5676*IF(L5676="1/C",O5676,1),0)</f>
        <v/>
      </c>
      <c r="Y5676" s="12">
        <f>IF(OR(LEFT(K5676,4)="LVAX",LEFT(K5676,6)="MV15AX",LEFT(K5676,4)="CTAX",LEFT(K5676,2)="W|"),2*N5676*O5676,0)</f>
        <v/>
      </c>
      <c r="Z5676" s="12" t="inlineStr">
        <is>
          <t>VD 2.2 %</t>
        </is>
      </c>
      <c r="AA5676" s="12">
        <f>N5676*O5676</f>
        <v/>
      </c>
    </row>
    <row r="5677">
      <c r="A5677" s="12" t="inlineStr">
        <is>
          <t>K-P-0045</t>
        </is>
      </c>
      <c r="B5677" s="12" t="inlineStr">
        <is>
          <t>K</t>
        </is>
      </c>
      <c r="C5677" s="12" t="inlineStr">
        <is>
          <t>Fuel supply (adjacent market)</t>
        </is>
      </c>
      <c r="D5677" s="12" t="inlineStr">
        <is>
          <t>LV power feeder</t>
        </is>
      </c>
      <c r="E5677" s="12" t="inlineStr"/>
      <c r="F5677" s="12" t="inlineStr">
        <is>
          <t>LNG 17: LNG e-house (13.8 kV / 480 V)</t>
        </is>
      </c>
      <c r="G5677" s="12" t="inlineStr"/>
      <c r="H5677" s="12" t="inlineStr">
        <is>
          <t>M&amp;R 3: horizontal filter-separator</t>
        </is>
      </c>
      <c r="I5677" s="12" t="inlineStr">
        <is>
          <t>LV 600 V</t>
        </is>
      </c>
      <c r="J5677" s="12" t="inlineStr">
        <is>
          <t>ARMOR-X MC-HL 600 V 3/C Cu XHHW-2 + ground, CWA, black PVC (Class I Div 2)</t>
        </is>
      </c>
      <c r="K5677" s="12" t="inlineStr">
        <is>
          <t>LVAX|3/C+G|4</t>
        </is>
      </c>
      <c r="L5677" s="12" t="inlineStr">
        <is>
          <t>3/C+G</t>
        </is>
      </c>
      <c r="M5677" s="12" t="inlineStr">
        <is>
          <t>4</t>
        </is>
      </c>
      <c r="N5677" s="12" t="n">
        <v>1</v>
      </c>
      <c r="O5677" s="12" t="n">
        <v>1</v>
      </c>
      <c r="P5677" s="12" t="n">
        <v>480</v>
      </c>
      <c r="Q5677" s="12" t="n">
        <v>15</v>
      </c>
      <c r="R5677" s="12" t="n">
        <v>21.2</v>
      </c>
      <c r="S5677" s="12" t="inlineStr">
        <is>
          <t>Duct bank</t>
        </is>
      </c>
      <c r="T5677" s="16" t="n">
        <v>797</v>
      </c>
      <c r="U5677" s="16" t="n">
        <v>32</v>
      </c>
      <c r="V5677" s="16">
        <f>ROUNDUP((T5677+U5677+2*'Read Me'!$B$13)*(1+'Read Me'!$B$12),-1)</f>
        <v/>
      </c>
      <c r="W5677" s="16">
        <f>V5677*N5677*O5677</f>
        <v/>
      </c>
      <c r="X5677" s="12">
        <f>IF(LEFT(I5677,2)="MV",2*N5677*IF(L5677="1/C",O5677,1),0)</f>
        <v/>
      </c>
      <c r="Y5677" s="12">
        <f>IF(OR(LEFT(K5677,4)="LVAX",LEFT(K5677,6)="MV15AX",LEFT(K5677,4)="CTAX",LEFT(K5677,2)="W|"),2*N5677*O5677,0)</f>
        <v/>
      </c>
      <c r="Z5677" s="12" t="inlineStr">
        <is>
          <t>VD 2.2 %</t>
        </is>
      </c>
      <c r="AA5677" s="12">
        <f>N5677*O5677</f>
        <v/>
      </c>
    </row>
    <row r="5678">
      <c r="A5678" s="12" t="inlineStr">
        <is>
          <t>K-P-0046</t>
        </is>
      </c>
      <c r="B5678" s="12" t="inlineStr">
        <is>
          <t>K</t>
        </is>
      </c>
      <c r="C5678" s="12" t="inlineStr">
        <is>
          <t>Fuel supply (adjacent market)</t>
        </is>
      </c>
      <c r="D5678" s="12" t="inlineStr">
        <is>
          <t>LV power feeder</t>
        </is>
      </c>
      <c r="E5678" s="12" t="inlineStr"/>
      <c r="F5678" s="12" t="inlineStr">
        <is>
          <t>LNG 17: LNG e-house (13.8 kV / 480 V)</t>
        </is>
      </c>
      <c r="G5678" s="12" t="inlineStr"/>
      <c r="H5678" s="12" t="inlineStr">
        <is>
          <t>M&amp;R 4: line heater 1 (water bath)</t>
        </is>
      </c>
      <c r="I5678" s="12" t="inlineStr">
        <is>
          <t>LV 600 V</t>
        </is>
      </c>
      <c r="J5678" s="12" t="inlineStr">
        <is>
          <t>ARMOR-X MC-HL 600 V 3/C Cu XHHW-2 + ground, CWA, black PVC (Class I Div 2)</t>
        </is>
      </c>
      <c r="K5678" s="12" t="inlineStr">
        <is>
          <t>LVAX|3/C+G|6</t>
        </is>
      </c>
      <c r="L5678" s="12" t="inlineStr">
        <is>
          <t>3/C+G</t>
        </is>
      </c>
      <c r="M5678" s="12" t="inlineStr">
        <is>
          <t>6</t>
        </is>
      </c>
      <c r="N5678" s="12" t="n">
        <v>1</v>
      </c>
      <c r="O5678" s="12" t="n">
        <v>1</v>
      </c>
      <c r="P5678" s="12" t="n">
        <v>480</v>
      </c>
      <c r="Q5678" s="12" t="n">
        <v>15</v>
      </c>
      <c r="R5678" s="12" t="n">
        <v>21.2</v>
      </c>
      <c r="S5678" s="12" t="inlineStr">
        <is>
          <t>Duct bank</t>
        </is>
      </c>
      <c r="T5678" s="16" t="n">
        <v>593</v>
      </c>
      <c r="U5678" s="16" t="n">
        <v>32</v>
      </c>
      <c r="V5678" s="16">
        <f>ROUNDUP((T5678+U5678+2*'Read Me'!$B$13)*(1+'Read Me'!$B$12),-1)</f>
        <v/>
      </c>
      <c r="W5678" s="16">
        <f>V5678*N5678*O5678</f>
        <v/>
      </c>
      <c r="X5678" s="12">
        <f>IF(LEFT(I5678,2)="MV",2*N5678*IF(L5678="1/C",O5678,1),0)</f>
        <v/>
      </c>
      <c r="Y5678" s="12">
        <f>IF(OR(LEFT(K5678,4)="LVAX",LEFT(K5678,6)="MV15AX",LEFT(K5678,4)="CTAX",LEFT(K5678,2)="W|"),2*N5678*O5678,0)</f>
        <v/>
      </c>
      <c r="Z5678" s="12" t="inlineStr">
        <is>
          <t>VD 2.6 %</t>
        </is>
      </c>
      <c r="AA5678" s="12">
        <f>N5678*O5678</f>
        <v/>
      </c>
    </row>
    <row r="5679">
      <c r="A5679" s="12" t="inlineStr">
        <is>
          <t>K-P-0047</t>
        </is>
      </c>
      <c r="B5679" s="12" t="inlineStr">
        <is>
          <t>K</t>
        </is>
      </c>
      <c r="C5679" s="12" t="inlineStr">
        <is>
          <t>Fuel supply (adjacent market)</t>
        </is>
      </c>
      <c r="D5679" s="12" t="inlineStr">
        <is>
          <t>LV power feeder</t>
        </is>
      </c>
      <c r="E5679" s="12" t="inlineStr"/>
      <c r="F5679" s="12" t="inlineStr">
        <is>
          <t>LNG 17: LNG e-house (13.8 kV / 480 V)</t>
        </is>
      </c>
      <c r="G5679" s="12" t="inlineStr"/>
      <c r="H5679" s="12" t="inlineStr">
        <is>
          <t>M&amp;R 4: line heater 2 (water bath)</t>
        </is>
      </c>
      <c r="I5679" s="12" t="inlineStr">
        <is>
          <t>LV 600 V</t>
        </is>
      </c>
      <c r="J5679" s="12" t="inlineStr">
        <is>
          <t>ARMOR-X MC-HL 600 V 3/C Cu XHHW-2 + ground, CWA, black PVC (Class I Div 2)</t>
        </is>
      </c>
      <c r="K5679" s="12" t="inlineStr">
        <is>
          <t>LVAX|3/C+G|6</t>
        </is>
      </c>
      <c r="L5679" s="12" t="inlineStr">
        <is>
          <t>3/C+G</t>
        </is>
      </c>
      <c r="M5679" s="12" t="inlineStr">
        <is>
          <t>6</t>
        </is>
      </c>
      <c r="N5679" s="12" t="n">
        <v>1</v>
      </c>
      <c r="O5679" s="12" t="n">
        <v>1</v>
      </c>
      <c r="P5679" s="12" t="n">
        <v>480</v>
      </c>
      <c r="Q5679" s="12" t="n">
        <v>15</v>
      </c>
      <c r="R5679" s="12" t="n">
        <v>21.2</v>
      </c>
      <c r="S5679" s="12" t="inlineStr">
        <is>
          <t>Duct bank</t>
        </is>
      </c>
      <c r="T5679" s="16" t="n">
        <v>593</v>
      </c>
      <c r="U5679" s="16" t="n">
        <v>50</v>
      </c>
      <c r="V5679" s="16">
        <f>ROUNDUP((T5679+U5679+2*'Read Me'!$B$13)*(1+'Read Me'!$B$12),-1)</f>
        <v/>
      </c>
      <c r="W5679" s="16">
        <f>V5679*N5679*O5679</f>
        <v/>
      </c>
      <c r="X5679" s="12">
        <f>IF(LEFT(I5679,2)="MV",2*N5679*IF(L5679="1/C",O5679,1),0)</f>
        <v/>
      </c>
      <c r="Y5679" s="12">
        <f>IF(OR(LEFT(K5679,4)="LVAX",LEFT(K5679,6)="MV15AX",LEFT(K5679,4)="CTAX",LEFT(K5679,2)="W|"),2*N5679*O5679,0)</f>
        <v/>
      </c>
      <c r="Z5679" s="12" t="inlineStr">
        <is>
          <t>VD 2.7 %</t>
        </is>
      </c>
      <c r="AA5679" s="12">
        <f>N5679*O5679</f>
        <v/>
      </c>
    </row>
    <row r="5680">
      <c r="A5680" s="12" t="inlineStr">
        <is>
          <t>K-P-0048</t>
        </is>
      </c>
      <c r="B5680" s="12" t="inlineStr">
        <is>
          <t>K</t>
        </is>
      </c>
      <c r="C5680" s="12" t="inlineStr">
        <is>
          <t>Fuel supply (adjacent market)</t>
        </is>
      </c>
      <c r="D5680" s="12" t="inlineStr">
        <is>
          <t>LV power feeder</t>
        </is>
      </c>
      <c r="E5680" s="12" t="inlineStr"/>
      <c r="F5680" s="12" t="inlineStr">
        <is>
          <t>LNG 17: LNG e-house (13.8 kV / 480 V)</t>
        </is>
      </c>
      <c r="G5680" s="12" t="inlineStr"/>
      <c r="H5680" s="12" t="inlineStr">
        <is>
          <t>M&amp;R 4: line heater 3 (water bath)</t>
        </is>
      </c>
      <c r="I5680" s="12" t="inlineStr">
        <is>
          <t>LV 600 V</t>
        </is>
      </c>
      <c r="J5680" s="12" t="inlineStr">
        <is>
          <t>ARMOR-X MC-HL 600 V 3/C Cu XHHW-2 + ground, CWA, black PVC (Class I Div 2)</t>
        </is>
      </c>
      <c r="K5680" s="12" t="inlineStr">
        <is>
          <t>LVAX|3/C+G|6</t>
        </is>
      </c>
      <c r="L5680" s="12" t="inlineStr">
        <is>
          <t>3/C+G</t>
        </is>
      </c>
      <c r="M5680" s="12" t="inlineStr">
        <is>
          <t>6</t>
        </is>
      </c>
      <c r="N5680" s="12" t="n">
        <v>1</v>
      </c>
      <c r="O5680" s="12" t="n">
        <v>1</v>
      </c>
      <c r="P5680" s="12" t="n">
        <v>480</v>
      </c>
      <c r="Q5680" s="12" t="n">
        <v>15</v>
      </c>
      <c r="R5680" s="12" t="n">
        <v>21.2</v>
      </c>
      <c r="S5680" s="12" t="inlineStr">
        <is>
          <t>Duct bank</t>
        </is>
      </c>
      <c r="T5680" s="16" t="n">
        <v>593</v>
      </c>
      <c r="U5680" s="16" t="n">
        <v>68</v>
      </c>
      <c r="V5680" s="16">
        <f>ROUNDUP((T5680+U5680+2*'Read Me'!$B$13)*(1+'Read Me'!$B$12),-1)</f>
        <v/>
      </c>
      <c r="W5680" s="16">
        <f>V5680*N5680*O5680</f>
        <v/>
      </c>
      <c r="X5680" s="12">
        <f>IF(LEFT(I5680,2)="MV",2*N5680*IF(L5680="1/C",O5680,1),0)</f>
        <v/>
      </c>
      <c r="Y5680" s="12">
        <f>IF(OR(LEFT(K5680,4)="LVAX",LEFT(K5680,6)="MV15AX",LEFT(K5680,4)="CTAX",LEFT(K5680,2)="W|"),2*N5680*O5680,0)</f>
        <v/>
      </c>
      <c r="Z5680" s="12" t="inlineStr">
        <is>
          <t>VD 2.7 %</t>
        </is>
      </c>
      <c r="AA5680" s="12">
        <f>N5680*O5680</f>
        <v/>
      </c>
    </row>
    <row r="5681">
      <c r="A5681" s="12" t="inlineStr">
        <is>
          <t>K-P-0049</t>
        </is>
      </c>
      <c r="B5681" s="12" t="inlineStr">
        <is>
          <t>K</t>
        </is>
      </c>
      <c r="C5681" s="12" t="inlineStr">
        <is>
          <t>Fuel supply (adjacent market)</t>
        </is>
      </c>
      <c r="D5681" s="12" t="inlineStr">
        <is>
          <t>LV panel / distribution feeder</t>
        </is>
      </c>
      <c r="E5681" s="12" t="inlineStr"/>
      <c r="F5681" s="12" t="inlineStr">
        <is>
          <t>LNG 17: LNG e-house (13.8 kV / 480 V)</t>
        </is>
      </c>
      <c r="G5681" s="12" t="inlineStr"/>
      <c r="H5681" s="12" t="inlineStr">
        <is>
          <t>M&amp;R 6: regulation / flow control building</t>
        </is>
      </c>
      <c r="I5681" s="12" t="inlineStr">
        <is>
          <t>LV 600 V</t>
        </is>
      </c>
      <c r="J5681" s="12" t="inlineStr">
        <is>
          <t>ARMOR-X MC-HL 600 V 3/C Cu XHHW-2 + ground, CWA, black PVC (Class I Div 2)</t>
        </is>
      </c>
      <c r="K5681" s="12" t="inlineStr">
        <is>
          <t>LVAX|3/C+G|8</t>
        </is>
      </c>
      <c r="L5681" s="12" t="inlineStr">
        <is>
          <t>3/C+G</t>
        </is>
      </c>
      <c r="M5681" s="12" t="inlineStr">
        <is>
          <t>8</t>
        </is>
      </c>
      <c r="N5681" s="12" t="n">
        <v>1</v>
      </c>
      <c r="O5681" s="12" t="n">
        <v>1</v>
      </c>
      <c r="P5681" s="12" t="n">
        <v>480</v>
      </c>
      <c r="Q5681" s="12" t="n">
        <v>10</v>
      </c>
      <c r="R5681" s="12" t="n">
        <v>14.2</v>
      </c>
      <c r="S5681" s="12" t="inlineStr">
        <is>
          <t>Duct bank</t>
        </is>
      </c>
      <c r="T5681" s="16" t="n">
        <v>470</v>
      </c>
      <c r="U5681" s="16" t="n">
        <v>70</v>
      </c>
      <c r="V5681" s="16">
        <f>ROUNDUP((T5681+U5681+2*'Read Me'!$B$13)*(1+'Read Me'!$B$12),-1)</f>
        <v/>
      </c>
      <c r="W5681" s="16">
        <f>V5681*N5681*O5681</f>
        <v/>
      </c>
      <c r="X5681" s="12">
        <f>IF(LEFT(I5681,2)="MV",2*N5681*IF(L5681="1/C",O5681,1),0)</f>
        <v/>
      </c>
      <c r="Y5681" s="12">
        <f>IF(OR(LEFT(K5681,4)="LVAX",LEFT(K5681,6)="MV15AX",LEFT(K5681,4)="CTAX",LEFT(K5681,2)="W|"),2*N5681*O5681,0)</f>
        <v/>
      </c>
      <c r="Z5681" s="12" t="inlineStr">
        <is>
          <t>VD 2.3 %</t>
        </is>
      </c>
      <c r="AA5681" s="12">
        <f>N5681*O5681</f>
        <v/>
      </c>
    </row>
    <row r="5682">
      <c r="A5682" s="12" t="inlineStr">
        <is>
          <t>K-P-0050</t>
        </is>
      </c>
      <c r="B5682" s="12" t="inlineStr">
        <is>
          <t>K</t>
        </is>
      </c>
      <c r="C5682" s="12" t="inlineStr">
        <is>
          <t>Fuel supply (adjacent market)</t>
        </is>
      </c>
      <c r="D5682" s="12" t="inlineStr">
        <is>
          <t>LV panel / distribution feeder</t>
        </is>
      </c>
      <c r="E5682" s="12" t="inlineStr"/>
      <c r="F5682" s="12" t="inlineStr">
        <is>
          <t>LNG 17: LNG e-house (13.8 kV / 480 V)</t>
        </is>
      </c>
      <c r="G5682" s="12" t="inlineStr"/>
      <c r="H5682" s="12" t="inlineStr">
        <is>
          <t>M&amp;R 7: gas quality + measurement building</t>
        </is>
      </c>
      <c r="I5682" s="12" t="inlineStr">
        <is>
          <t>LV 600 V</t>
        </is>
      </c>
      <c r="J5682" s="12" t="inlineStr">
        <is>
          <t>ARMOR-X MC-HL 600 V 3/C Cu XHHW-2 + ground, CWA, black PVC (Class I Div 2)</t>
        </is>
      </c>
      <c r="K5682" s="12" t="inlineStr">
        <is>
          <t>LVAX|3/C+G|2</t>
        </is>
      </c>
      <c r="L5682" s="12" t="inlineStr">
        <is>
          <t>3/C+G</t>
        </is>
      </c>
      <c r="M5682" s="12" t="inlineStr">
        <is>
          <t>2</t>
        </is>
      </c>
      <c r="N5682" s="12" t="n">
        <v>1</v>
      </c>
      <c r="O5682" s="12" t="n">
        <v>1</v>
      </c>
      <c r="P5682" s="12" t="n">
        <v>480</v>
      </c>
      <c r="Q5682" s="12" t="n">
        <v>30</v>
      </c>
      <c r="R5682" s="12" t="n">
        <v>42.5</v>
      </c>
      <c r="S5682" s="12" t="inlineStr">
        <is>
          <t>Duct bank</t>
        </is>
      </c>
      <c r="T5682" s="16" t="n">
        <v>616</v>
      </c>
      <c r="U5682" s="16" t="n">
        <v>52</v>
      </c>
      <c r="V5682" s="16">
        <f>ROUNDUP((T5682+U5682+2*'Read Me'!$B$13)*(1+'Read Me'!$B$12),-1)</f>
        <v/>
      </c>
      <c r="W5682" s="16">
        <f>V5682*N5682*O5682</f>
        <v/>
      </c>
      <c r="X5682" s="12">
        <f>IF(LEFT(I5682,2)="MV",2*N5682*IF(L5682="1/C",O5682,1),0)</f>
        <v/>
      </c>
      <c r="Y5682" s="12">
        <f>IF(OR(LEFT(K5682,4)="LVAX",LEFT(K5682,6)="MV15AX",LEFT(K5682,4)="CTAX",LEFT(K5682,2)="W|"),2*N5682*O5682,0)</f>
        <v/>
      </c>
      <c r="Z5682" s="12" t="inlineStr">
        <is>
          <t>VD 2.2 %</t>
        </is>
      </c>
      <c r="AA5682" s="12">
        <f>N5682*O5682</f>
        <v/>
      </c>
    </row>
    <row r="5683">
      <c r="A5683" s="12" t="inlineStr">
        <is>
          <t>K-P-0051</t>
        </is>
      </c>
      <c r="B5683" s="12" t="inlineStr">
        <is>
          <t>K</t>
        </is>
      </c>
      <c r="C5683" s="12" t="inlineStr">
        <is>
          <t>Fuel supply (adjacent market)</t>
        </is>
      </c>
      <c r="D5683" s="12" t="inlineStr">
        <is>
          <t>LV power feeder</t>
        </is>
      </c>
      <c r="E5683" s="12" t="inlineStr"/>
      <c r="F5683" s="12" t="inlineStr">
        <is>
          <t>LNG 17: LNG e-house (13.8 kV / 480 V)</t>
        </is>
      </c>
      <c r="G5683" s="12" t="inlineStr"/>
      <c r="H5683" s="12" t="inlineStr">
        <is>
          <t>M&amp;R 8: condensate tank</t>
        </is>
      </c>
      <c r="I5683" s="12" t="inlineStr">
        <is>
          <t>LV 600 V</t>
        </is>
      </c>
      <c r="J5683" s="12" t="inlineStr">
        <is>
          <t>ARMOR-X MC-HL 600 V 3/C Cu XHHW-2 + ground, CWA, black PVC (Class I Div 2)</t>
        </is>
      </c>
      <c r="K5683" s="12" t="inlineStr">
        <is>
          <t>LVAX|3/C+G|8</t>
        </is>
      </c>
      <c r="L5683" s="12" t="inlineStr">
        <is>
          <t>3/C+G</t>
        </is>
      </c>
      <c r="M5683" s="12" t="inlineStr">
        <is>
          <t>8</t>
        </is>
      </c>
      <c r="N5683" s="12" t="n">
        <v>1</v>
      </c>
      <c r="O5683" s="12" t="n">
        <v>1</v>
      </c>
      <c r="P5683" s="12" t="n">
        <v>480</v>
      </c>
      <c r="Q5683" s="12" t="n">
        <v>10</v>
      </c>
      <c r="R5683" s="12" t="n">
        <v>14.2</v>
      </c>
      <c r="S5683" s="12" t="inlineStr">
        <is>
          <t>Duct bank</t>
        </is>
      </c>
      <c r="T5683" s="16" t="n">
        <v>530</v>
      </c>
      <c r="U5683" s="16" t="n">
        <v>87</v>
      </c>
      <c r="V5683" s="16">
        <f>ROUNDUP((T5683+U5683+2*'Read Me'!$B$13)*(1+'Read Me'!$B$12),-1)</f>
        <v/>
      </c>
      <c r="W5683" s="16">
        <f>V5683*N5683*O5683</f>
        <v/>
      </c>
      <c r="X5683" s="12">
        <f>IF(LEFT(I5683,2)="MV",2*N5683*IF(L5683="1/C",O5683,1),0)</f>
        <v/>
      </c>
      <c r="Y5683" s="12">
        <f>IF(OR(LEFT(K5683,4)="LVAX",LEFT(K5683,6)="MV15AX",LEFT(K5683,4)="CTAX",LEFT(K5683,2)="W|"),2*N5683*O5683,0)</f>
        <v/>
      </c>
      <c r="Z5683" s="12" t="inlineStr">
        <is>
          <t>VD 2.6 %</t>
        </is>
      </c>
      <c r="AA5683" s="12">
        <f>N5683*O5683</f>
        <v/>
      </c>
    </row>
    <row r="5684">
      <c r="A5684" s="12" t="inlineStr">
        <is>
          <t>K-P-0052</t>
        </is>
      </c>
      <c r="B5684" s="12" t="inlineStr">
        <is>
          <t>K</t>
        </is>
      </c>
      <c r="C5684" s="12" t="inlineStr">
        <is>
          <t>Fuel supply (adjacent market)</t>
        </is>
      </c>
      <c r="D5684" s="12" t="inlineStr">
        <is>
          <t>LV power feeder</t>
        </is>
      </c>
      <c r="E5684" s="12" t="inlineStr"/>
      <c r="F5684" s="12" t="inlineStr">
        <is>
          <t>LNG 17: LNG e-house (13.8 kV / 480 V)</t>
        </is>
      </c>
      <c r="G5684" s="12" t="inlineStr"/>
      <c r="H5684" s="12" t="inlineStr">
        <is>
          <t>M&amp;R 9: service panel + UPS, SCADA RTU, CP</t>
        </is>
      </c>
      <c r="I5684" s="12" t="inlineStr">
        <is>
          <t>LV 600 V</t>
        </is>
      </c>
      <c r="J5684" s="12" t="inlineStr">
        <is>
          <t>ARMOR-X MC-HL 600 V 3/C Cu XHHW-2 + ground, CWA, black PVC (Class I Div 2)</t>
        </is>
      </c>
      <c r="K5684" s="12" t="inlineStr">
        <is>
          <t>LVAX|3/C+G|6</t>
        </is>
      </c>
      <c r="L5684" s="12" t="inlineStr">
        <is>
          <t>3/C+G</t>
        </is>
      </c>
      <c r="M5684" s="12" t="inlineStr">
        <is>
          <t>6</t>
        </is>
      </c>
      <c r="N5684" s="12" t="n">
        <v>1</v>
      </c>
      <c r="O5684" s="12" t="n">
        <v>1</v>
      </c>
      <c r="P5684" s="12" t="n">
        <v>480</v>
      </c>
      <c r="Q5684" s="12" t="n">
        <v>15</v>
      </c>
      <c r="R5684" s="12" t="n">
        <v>21.2</v>
      </c>
      <c r="S5684" s="12" t="inlineStr">
        <is>
          <t>Duct bank</t>
        </is>
      </c>
      <c r="T5684" s="16" t="n">
        <v>466</v>
      </c>
      <c r="U5684" s="16" t="n">
        <v>32</v>
      </c>
      <c r="V5684" s="16">
        <f>ROUNDUP((T5684+U5684+2*'Read Me'!$B$13)*(1+'Read Me'!$B$12),-1)</f>
        <v/>
      </c>
      <c r="W5684" s="16">
        <f>V5684*N5684*O5684</f>
        <v/>
      </c>
      <c r="X5684" s="12">
        <f>IF(LEFT(I5684,2)="MV",2*N5684*IF(L5684="1/C",O5684,1),0)</f>
        <v/>
      </c>
      <c r="Y5684" s="12">
        <f>IF(OR(LEFT(K5684,4)="LVAX",LEFT(K5684,6)="MV15AX",LEFT(K5684,4)="CTAX",LEFT(K5684,2)="W|"),2*N5684*O5684,0)</f>
        <v/>
      </c>
      <c r="Z5684" s="12" t="inlineStr">
        <is>
          <t>VD 2.1 %</t>
        </is>
      </c>
      <c r="AA5684" s="12">
        <f>N5684*O5684</f>
        <v/>
      </c>
    </row>
    <row r="5685">
      <c r="A5685" s="12" t="inlineStr">
        <is>
          <t>K-P-0053</t>
        </is>
      </c>
      <c r="B5685" s="12" t="inlineStr">
        <is>
          <t>K</t>
        </is>
      </c>
      <c r="C5685" s="12" t="inlineStr">
        <is>
          <t>Fuel supply (adjacent market)</t>
        </is>
      </c>
      <c r="D5685" s="12" t="inlineStr">
        <is>
          <t>LV power feeder</t>
        </is>
      </c>
      <c r="E5685" s="12" t="inlineStr"/>
      <c r="F5685" s="12" t="inlineStr">
        <is>
          <t>LNG 17: LNG e-house (13.8 kV / 480 V)</t>
        </is>
      </c>
      <c r="G5685" s="12" t="inlineStr"/>
      <c r="H5685" s="12" t="inlineStr">
        <is>
          <t>M&amp;R CP test station (as drawn)</t>
        </is>
      </c>
      <c r="I5685" s="12" t="inlineStr">
        <is>
          <t>LV 600 V</t>
        </is>
      </c>
      <c r="J5685" s="12" t="inlineStr">
        <is>
          <t>ARMOR-X MC-HL 600 V 3/C Cu XHHW-2 + ground, CWA, black PVC (Class I Div 2)</t>
        </is>
      </c>
      <c r="K5685" s="12" t="inlineStr">
        <is>
          <t>LVAX|3/C+G|6</t>
        </is>
      </c>
      <c r="L5685" s="12" t="inlineStr">
        <is>
          <t>3/C+G</t>
        </is>
      </c>
      <c r="M5685" s="12" t="inlineStr">
        <is>
          <t>6</t>
        </is>
      </c>
      <c r="N5685" s="12" t="n">
        <v>1</v>
      </c>
      <c r="O5685" s="12" t="n">
        <v>1</v>
      </c>
      <c r="P5685" s="12" t="n">
        <v>480</v>
      </c>
      <c r="Q5685" s="12" t="n">
        <v>15</v>
      </c>
      <c r="R5685" s="12" t="n">
        <v>21.2</v>
      </c>
      <c r="S5685" s="12" t="inlineStr">
        <is>
          <t>Duct bank</t>
        </is>
      </c>
      <c r="T5685" s="16" t="n">
        <v>441</v>
      </c>
      <c r="U5685" s="16" t="n">
        <v>42</v>
      </c>
      <c r="V5685" s="16">
        <f>ROUNDUP((T5685+U5685+2*'Read Me'!$B$13)*(1+'Read Me'!$B$12),-1)</f>
        <v/>
      </c>
      <c r="W5685" s="16">
        <f>V5685*N5685*O5685</f>
        <v/>
      </c>
      <c r="X5685" s="12">
        <f>IF(LEFT(I5685,2)="MV",2*N5685*IF(L5685="1/C",O5685,1),0)</f>
        <v/>
      </c>
      <c r="Y5685" s="12">
        <f>IF(OR(LEFT(K5685,4)="LVAX",LEFT(K5685,6)="MV15AX",LEFT(K5685,4)="CTAX",LEFT(K5685,2)="W|"),2*N5685*O5685,0)</f>
        <v/>
      </c>
      <c r="Z5685" s="12" t="inlineStr">
        <is>
          <t>VD 2.0 %</t>
        </is>
      </c>
      <c r="AA5685" s="12">
        <f>N5685*O5685</f>
        <v/>
      </c>
    </row>
    <row r="5686">
      <c r="A5686" s="12" t="inlineStr">
        <is>
          <t>K-P-0054</t>
        </is>
      </c>
      <c r="B5686" s="12" t="inlineStr">
        <is>
          <t>K</t>
        </is>
      </c>
      <c r="C5686" s="12" t="inlineStr">
        <is>
          <t>Fuel supply (adjacent market)</t>
        </is>
      </c>
      <c r="D5686" s="12" t="inlineStr">
        <is>
          <t>LV power feeder</t>
        </is>
      </c>
      <c r="E5686" s="12" t="inlineStr"/>
      <c r="F5686" s="12" t="inlineStr">
        <is>
          <t>LNG 17: LNG e-house (13.8 kV / 480 V)</t>
        </is>
      </c>
      <c r="G5686" s="12" t="inlineStr"/>
      <c r="H5686" s="12" t="inlineStr">
        <is>
          <t>M&amp;R SCADA antenna mast base (as drawn)</t>
        </is>
      </c>
      <c r="I5686" s="12" t="inlineStr">
        <is>
          <t>LV 600 V</t>
        </is>
      </c>
      <c r="J5686" s="12" t="inlineStr">
        <is>
          <t>ARMOR-X MC-HL 600 V 3/C Cu XHHW-2 + ground, CWA, black PVC (Class I Div 2)</t>
        </is>
      </c>
      <c r="K5686" s="12" t="inlineStr">
        <is>
          <t>LVAX|3/C+G|8</t>
        </is>
      </c>
      <c r="L5686" s="12" t="inlineStr">
        <is>
          <t>3/C+G</t>
        </is>
      </c>
      <c r="M5686" s="12" t="inlineStr">
        <is>
          <t>8</t>
        </is>
      </c>
      <c r="N5686" s="12" t="n">
        <v>1</v>
      </c>
      <c r="O5686" s="12" t="n">
        <v>1</v>
      </c>
      <c r="P5686" s="12" t="n">
        <v>480</v>
      </c>
      <c r="Q5686" s="12" t="n">
        <v>15</v>
      </c>
      <c r="R5686" s="12" t="n">
        <v>21.2</v>
      </c>
      <c r="S5686" s="12" t="inlineStr">
        <is>
          <t>Duct bank</t>
        </is>
      </c>
      <c r="T5686" s="16" t="n">
        <v>433</v>
      </c>
      <c r="U5686" s="16" t="n">
        <v>32</v>
      </c>
      <c r="V5686" s="16">
        <f>ROUNDUP((T5686+U5686+2*'Read Me'!$B$13)*(1+'Read Me'!$B$12),-1)</f>
        <v/>
      </c>
      <c r="W5686" s="16">
        <f>V5686*N5686*O5686</f>
        <v/>
      </c>
      <c r="X5686" s="12">
        <f>IF(LEFT(I5686,2)="MV",2*N5686*IF(L5686="1/C",O5686,1),0)</f>
        <v/>
      </c>
      <c r="Y5686" s="12">
        <f>IF(OR(LEFT(K5686,4)="LVAX",LEFT(K5686,6)="MV15AX",LEFT(K5686,4)="CTAX",LEFT(K5686,2)="W|"),2*N5686*O5686,0)</f>
        <v/>
      </c>
      <c r="Z5686" s="12" t="inlineStr">
        <is>
          <t>VD 3.0 %</t>
        </is>
      </c>
      <c r="AA5686" s="12">
        <f>N5686*O5686</f>
        <v/>
      </c>
    </row>
    <row r="5687">
      <c r="A5687" s="12" t="inlineStr">
        <is>
          <t>K-MV-0001</t>
        </is>
      </c>
      <c r="B5687" s="12" t="inlineStr">
        <is>
          <t>K</t>
        </is>
      </c>
      <c r="C5687" s="12" t="inlineStr">
        <is>
          <t>Fuel supply (adjacent market)</t>
        </is>
      </c>
      <c r="D5687" s="12" t="inlineStr">
        <is>
          <t>H2 13.8 kV e-house (electrolyzers)</t>
        </is>
      </c>
      <c r="E5687" s="12" t="inlineStr">
        <is>
          <t>SWGR-13.8-3</t>
        </is>
      </c>
      <c r="F5687" s="12" t="inlineStr">
        <is>
          <t>R1 SWGR-13.8-3 (11 x 36 in cubicles, 15 kV metal-clad)</t>
        </is>
      </c>
      <c r="G5687" s="12" t="inlineStr"/>
      <c r="H5687" s="12" t="inlineStr">
        <is>
          <t>H2 20: 13.8 kV e-house</t>
        </is>
      </c>
      <c r="I5687" s="12" t="inlineStr">
        <is>
          <t>MV 15 kV</t>
        </is>
      </c>
      <c r="J5687" s="12" t="inlineStr">
        <is>
          <t>MV-105 15 kV 1/C Cu, EPR 133%, Cu tape shield, PVC jacket (triplexed)</t>
        </is>
      </c>
      <c r="K5687" s="12" t="inlineStr">
        <is>
          <t>MV15|1/C|750</t>
        </is>
      </c>
      <c r="L5687" s="12" t="inlineStr">
        <is>
          <t>1/C</t>
        </is>
      </c>
      <c r="M5687" s="12" t="inlineStr">
        <is>
          <t>750 kcmil</t>
        </is>
      </c>
      <c r="N5687" s="12" t="n">
        <v>2</v>
      </c>
      <c r="O5687" s="12" t="n">
        <v>3</v>
      </c>
      <c r="P5687" s="12" t="n">
        <v>13800</v>
      </c>
      <c r="Q5687" s="12" t="n">
        <v>20000</v>
      </c>
      <c r="R5687" s="12" t="n">
        <v>837</v>
      </c>
      <c r="S5687" s="12" t="inlineStr">
        <is>
          <t>HV duct bank</t>
        </is>
      </c>
      <c r="T5687" s="16" t="n">
        <v>4013</v>
      </c>
      <c r="U5687" s="16" t="n">
        <v>128</v>
      </c>
      <c r="V5687" s="16">
        <f>ROUNDUP((T5687+U5687+2*'Read Me'!$B$13)*(1+'Read Me'!$B$12),-1)</f>
        <v/>
      </c>
      <c r="W5687" s="16">
        <f>V5687*N5687*O5687</f>
        <v/>
      </c>
      <c r="X5687" s="12">
        <f>IF(LEFT(I5687,2)="MV",2*N5687*IF(L5687="1/C",O5687,1),0)</f>
        <v/>
      </c>
      <c r="Y5687" s="12">
        <f>IF(OR(LEFT(K5687,4)="LVAX",LEFT(K5687,6)="MV15AX",LEFT(K5687,4)="CTAX",LEFT(K5687,2)="W|"),2*N5687*O5687,0)</f>
        <v/>
      </c>
      <c r="Z5687" s="12" t="inlineStr"/>
      <c r="AA5687" s="12">
        <f>N5687*O5687</f>
        <v/>
      </c>
    </row>
    <row r="5688">
      <c r="A5688" s="12" t="inlineStr">
        <is>
          <t>K-MV-0002</t>
        </is>
      </c>
      <c r="B5688" s="12" t="inlineStr">
        <is>
          <t>K</t>
        </is>
      </c>
      <c r="C5688" s="12" t="inlineStr">
        <is>
          <t>Fuel supply (adjacent market)</t>
        </is>
      </c>
      <c r="D5688" s="12" t="inlineStr">
        <is>
          <t>LNG e-house</t>
        </is>
      </c>
      <c r="E5688" s="12" t="inlineStr">
        <is>
          <t>SWGR-13.8-3</t>
        </is>
      </c>
      <c r="F5688" s="12" t="inlineStr">
        <is>
          <t>R1 SWGR-13.8-3 (11 x 36 in cubicles, 15 kV metal-clad)</t>
        </is>
      </c>
      <c r="G5688" s="12" t="inlineStr"/>
      <c r="H5688" s="12" t="inlineStr">
        <is>
          <t>LNG 17: LNG e-house (13.8 kV / 480 V)</t>
        </is>
      </c>
      <c r="I5688" s="12" t="inlineStr">
        <is>
          <t>MV 15 kV</t>
        </is>
      </c>
      <c r="J5688" s="12" t="inlineStr">
        <is>
          <t>MV-105 15 kV 1/C Cu, EPR 133%, Cu tape shield, PVC jacket (triplexed)</t>
        </is>
      </c>
      <c r="K5688" s="12" t="inlineStr">
        <is>
          <t>MV15|1/C|4/0</t>
        </is>
      </c>
      <c r="L5688" s="12" t="inlineStr">
        <is>
          <t>1/C</t>
        </is>
      </c>
      <c r="M5688" s="12" t="inlineStr">
        <is>
          <t>4/0</t>
        </is>
      </c>
      <c r="N5688" s="12" t="n">
        <v>1</v>
      </c>
      <c r="O5688" s="12" t="n">
        <v>3</v>
      </c>
      <c r="P5688" s="12" t="n">
        <v>13800</v>
      </c>
      <c r="Q5688" s="12" t="n">
        <v>5000</v>
      </c>
      <c r="R5688" s="12" t="n">
        <v>209</v>
      </c>
      <c r="S5688" s="12" t="inlineStr">
        <is>
          <t>Duct bank</t>
        </is>
      </c>
      <c r="T5688" s="16" t="n">
        <v>2649</v>
      </c>
      <c r="U5688" s="16" t="n">
        <v>219</v>
      </c>
      <c r="V5688" s="16">
        <f>ROUNDUP((T5688+U5688+2*'Read Me'!$B$13)*(1+'Read Me'!$B$12),-1)</f>
        <v/>
      </c>
      <c r="W5688" s="16">
        <f>V5688*N5688*O5688</f>
        <v/>
      </c>
      <c r="X5688" s="12">
        <f>IF(LEFT(I5688,2)="MV",2*N5688*IF(L5688="1/C",O5688,1),0)</f>
        <v/>
      </c>
      <c r="Y5688" s="12">
        <f>IF(OR(LEFT(K5688,4)="LVAX",LEFT(K5688,6)="MV15AX",LEFT(K5688,4)="CTAX",LEFT(K5688,2)="W|"),2*N5688*O5688,0)</f>
        <v/>
      </c>
      <c r="Z5688" s="12" t="inlineStr"/>
      <c r="AA5688" s="12">
        <f>N5688*O5688</f>
        <v/>
      </c>
    </row>
    <row r="5689">
      <c r="A5689" s="12" t="inlineStr">
        <is>
          <t>C-C-0128</t>
        </is>
      </c>
      <c r="B5689" s="12" t="inlineStr">
        <is>
          <t>C</t>
        </is>
      </c>
      <c r="C5689" s="12" t="inlineStr">
        <is>
          <t>Grid interface</t>
        </is>
      </c>
      <c r="D5689" s="12" t="inlineStr">
        <is>
          <t>Motor 1 of 2: control / local station</t>
        </is>
      </c>
      <c r="E5689" s="12" t="inlineStr">
        <is>
          <t>MCC-C1</t>
        </is>
      </c>
      <c r="F5689" s="12" t="inlineStr">
        <is>
          <t>R1 MCC-C1</t>
        </is>
      </c>
      <c r="G5689" s="12" t="inlineStr"/>
      <c r="H5689" s="12" t="inlineStr">
        <is>
          <t>Small-bore piping: instrument air, service water, nitrogen, HRSG drain</t>
        </is>
      </c>
      <c r="I5689" s="12" t="inlineStr">
        <is>
          <t>Control</t>
        </is>
      </c>
      <c r="J5689" s="12" t="inlineStr">
        <is>
          <t>Control cable 600 V Type TC-ER, Cu #14 AWG, PVC jacket</t>
        </is>
      </c>
      <c r="K5689" s="12" t="inlineStr">
        <is>
          <t>CT|7/C|14</t>
        </is>
      </c>
      <c r="L5689" s="12" t="inlineStr">
        <is>
          <t>7/C</t>
        </is>
      </c>
      <c r="M5689" s="12" t="inlineStr">
        <is>
          <t>14</t>
        </is>
      </c>
      <c r="N5689" s="12" t="n">
        <v>1</v>
      </c>
      <c r="O5689" s="12" t="n">
        <v>1</v>
      </c>
      <c r="P5689" s="12" t="n"/>
      <c r="Q5689" s="12" t="n"/>
      <c r="R5689" s="12" t="n"/>
      <c r="S5689" s="12" t="inlineStr">
        <is>
          <t>Tray</t>
        </is>
      </c>
      <c r="T5689" s="16" t="n">
        <v>614</v>
      </c>
      <c r="U5689" s="16" t="n">
        <v>145</v>
      </c>
      <c r="V5689" s="16">
        <f>ROUNDUP((T5689+U5689+2*'Read Me'!$B$13)*(1+'Read Me'!$B$12),-1)</f>
        <v/>
      </c>
      <c r="W5689" s="16">
        <f>V5689*N5689*O5689</f>
        <v/>
      </c>
      <c r="X5689" s="12">
        <f>IF(LEFT(I5689,2)="MV",2*N5689*IF(L5689="1/C",O5689,1),0)</f>
        <v/>
      </c>
      <c r="Y5689" s="12">
        <f>IF(OR(LEFT(K5689,4)="LVAX",LEFT(K5689,6)="MV15AX",LEFT(K5689,4)="CTAX",LEFT(K5689,2)="W|"),2*N5689*O5689,0)</f>
        <v/>
      </c>
      <c r="Z5689" s="12" t="inlineStr"/>
      <c r="AA5689" s="12">
        <f>N5689*O5689</f>
        <v/>
      </c>
    </row>
    <row r="5690">
      <c r="A5690" s="12" t="inlineStr">
        <is>
          <t>C-C-0129</t>
        </is>
      </c>
      <c r="B5690" s="12" t="inlineStr">
        <is>
          <t>C</t>
        </is>
      </c>
      <c r="C5690" s="12" t="inlineStr">
        <is>
          <t>Grid interface</t>
        </is>
      </c>
      <c r="D5690" s="12" t="inlineStr">
        <is>
          <t>Motor 2 of 2: control / local station</t>
        </is>
      </c>
      <c r="E5690" s="12" t="inlineStr">
        <is>
          <t>MCC-C1</t>
        </is>
      </c>
      <c r="F5690" s="12" t="inlineStr">
        <is>
          <t>R1 MCC-C1</t>
        </is>
      </c>
      <c r="G5690" s="12" t="inlineStr"/>
      <c r="H5690" s="12" t="inlineStr">
        <is>
          <t>Small-bore piping: instrument air, service water, nitrogen, HRSG drain</t>
        </is>
      </c>
      <c r="I5690" s="12" t="inlineStr">
        <is>
          <t>Control</t>
        </is>
      </c>
      <c r="J5690" s="12" t="inlineStr">
        <is>
          <t>Control cable 600 V Type TC-ER, Cu #14 AWG, PVC jacket</t>
        </is>
      </c>
      <c r="K5690" s="12" t="inlineStr">
        <is>
          <t>CT|7/C|14</t>
        </is>
      </c>
      <c r="L5690" s="12" t="inlineStr">
        <is>
          <t>7/C</t>
        </is>
      </c>
      <c r="M5690" s="12" t="inlineStr">
        <is>
          <t>14</t>
        </is>
      </c>
      <c r="N5690" s="12" t="n">
        <v>1</v>
      </c>
      <c r="O5690" s="12" t="n">
        <v>1</v>
      </c>
      <c r="P5690" s="12" t="n"/>
      <c r="Q5690" s="12" t="n"/>
      <c r="R5690" s="12" t="n"/>
      <c r="S5690" s="12" t="inlineStr">
        <is>
          <t>Tray</t>
        </is>
      </c>
      <c r="T5690" s="16" t="n">
        <v>614</v>
      </c>
      <c r="U5690" s="16" t="n">
        <v>145</v>
      </c>
      <c r="V5690" s="16">
        <f>ROUNDUP((T5690+U5690+2*'Read Me'!$B$13)*(1+'Read Me'!$B$12),-1)</f>
        <v/>
      </c>
      <c r="W5690" s="16">
        <f>V5690*N5690*O5690</f>
        <v/>
      </c>
      <c r="X5690" s="12">
        <f>IF(LEFT(I5690,2)="MV",2*N5690*IF(L5690="1/C",O5690,1),0)</f>
        <v/>
      </c>
      <c r="Y5690" s="12">
        <f>IF(OR(LEFT(K5690,4)="LVAX",LEFT(K5690,6)="MV15AX",LEFT(K5690,4)="CTAX",LEFT(K5690,2)="W|"),2*N5690*O5690,0)</f>
        <v/>
      </c>
      <c r="Z5690" s="12" t="inlineStr"/>
      <c r="AA5690" s="12">
        <f>N5690*O5690</f>
        <v/>
      </c>
    </row>
    <row r="5691">
      <c r="A5691" s="12" t="inlineStr">
        <is>
          <t>C-I-0081</t>
        </is>
      </c>
      <c r="B5691" s="12" t="inlineStr">
        <is>
          <t>C</t>
        </is>
      </c>
      <c r="C5691" s="12" t="inlineStr">
        <is>
          <t>Grid interface</t>
        </is>
      </c>
      <c r="D5691" s="12" t="inlineStr">
        <is>
          <t>Analog instrument to JB JB-Small-bore piping:-AI01: 10 x 1 pr (field cables)</t>
        </is>
      </c>
      <c r="E5691" s="12" t="inlineStr"/>
      <c r="F5691" s="12" t="inlineStr">
        <is>
          <t>Small-bore piping: instrument air, service water, nitrogen, HRSG drain</t>
        </is>
      </c>
      <c r="G5691" s="12" t="inlineStr">
        <is>
          <t>JB-Small-bore piping:-AI01</t>
        </is>
      </c>
      <c r="H5691" s="12" t="inlineStr">
        <is>
          <t>Small-bore piping: instrument air, service water, nitrogen, HRSG drain</t>
        </is>
      </c>
      <c r="I5691" s="12" t="inlineStr">
        <is>
          <t>Instrumentation</t>
        </is>
      </c>
      <c r="J5691" s="12" t="inlineStr">
        <is>
          <t>Instrumentation PLTC / TC-ER 300 V, #18 twisted shielded pairs, overall shield</t>
        </is>
      </c>
      <c r="K5691" s="12" t="inlineStr">
        <is>
          <t>PLTC|1 pr|16</t>
        </is>
      </c>
      <c r="L5691" s="12" t="inlineStr">
        <is>
          <t>1 pr</t>
        </is>
      </c>
      <c r="M5691" s="12" t="inlineStr">
        <is>
          <t>16</t>
        </is>
      </c>
      <c r="N5691" s="12" t="n">
        <v>10</v>
      </c>
      <c r="O5691" s="12" t="n">
        <v>1</v>
      </c>
      <c r="P5691" s="12" t="n"/>
      <c r="Q5691" s="12" t="n"/>
      <c r="R5691" s="12" t="n"/>
      <c r="S5691" s="12" t="inlineStr">
        <is>
          <t>Tray / conduit</t>
        </is>
      </c>
      <c r="T5691" s="16" t="n">
        <v>250</v>
      </c>
      <c r="U5691" s="16" t="n">
        <v>10</v>
      </c>
      <c r="V5691" s="16">
        <f>ROUNDUP((T5691+U5691+2*'Read Me'!$B$13)*(1+'Read Me'!$B$12),-1)</f>
        <v/>
      </c>
      <c r="W5691" s="16">
        <f>V5691*N5691*O5691</f>
        <v/>
      </c>
      <c r="X5691" s="12">
        <f>IF(LEFT(I5691,2)="MV",2*N5691*IF(L5691="1/C",O5691,1),0)</f>
        <v/>
      </c>
      <c r="Y5691" s="12">
        <f>IF(OR(LEFT(K5691,4)="LVAX",LEFT(K5691,6)="MV15AX",LEFT(K5691,4)="CTAX",LEFT(K5691,2)="W|"),2*N5691*O5691,0)</f>
        <v/>
      </c>
      <c r="Z5691" s="12" t="inlineStr">
        <is>
          <t>device-to-JB field wiring, one cable per device</t>
        </is>
      </c>
      <c r="AA5691" s="12">
        <f>N5691*O5691</f>
        <v/>
      </c>
    </row>
    <row r="5692">
      <c r="A5692" s="12" t="inlineStr">
        <is>
          <t>C-I-0082</t>
        </is>
      </c>
      <c r="B5692" s="12" t="inlineStr">
        <is>
          <t>C</t>
        </is>
      </c>
      <c r="C5692" s="12" t="inlineStr">
        <is>
          <t>Grid interface</t>
        </is>
      </c>
      <c r="D5692" s="12" t="inlineStr">
        <is>
          <t>Home run JB-Small-bore piping:-AI01 to the control / marshalling room</t>
        </is>
      </c>
      <c r="E5692" s="12" t="inlineStr">
        <is>
          <t>R1</t>
        </is>
      </c>
      <c r="F5692" s="12" t="inlineStr">
        <is>
          <t>R1: main electrical building (64 x 180 ft)</t>
        </is>
      </c>
      <c r="G5692" s="12" t="inlineStr">
        <is>
          <t>JB-Small-bore piping:-AI01</t>
        </is>
      </c>
      <c r="H5692" s="12" t="inlineStr">
        <is>
          <t>Small-bore piping: instrument air, service water, nitrogen, HRSG drain</t>
        </is>
      </c>
      <c r="I5692" s="12" t="inlineStr">
        <is>
          <t>Instrumentation</t>
        </is>
      </c>
      <c r="J5692" s="12" t="inlineStr">
        <is>
          <t>Instrumentation PLTC / TC-ER 300 V, #18 twisted shielded pairs, overall shield</t>
        </is>
      </c>
      <c r="K5692" s="12" t="inlineStr">
        <is>
          <t>PLTC|24 pr|18</t>
        </is>
      </c>
      <c r="L5692" s="12" t="inlineStr">
        <is>
          <t>24 pr</t>
        </is>
      </c>
      <c r="M5692" s="12" t="inlineStr">
        <is>
          <t>18</t>
        </is>
      </c>
      <c r="N5692" s="12" t="n">
        <v>1</v>
      </c>
      <c r="O5692" s="12" t="n">
        <v>1</v>
      </c>
      <c r="P5692" s="12" t="n"/>
      <c r="Q5692" s="12" t="n"/>
      <c r="R5692" s="12" t="n"/>
      <c r="S5692" s="12" t="inlineStr">
        <is>
          <t>Tray</t>
        </is>
      </c>
      <c r="T5692" s="16" t="n">
        <v>1218</v>
      </c>
      <c r="U5692" s="16" t="n">
        <v>200</v>
      </c>
      <c r="V5692" s="16">
        <f>ROUNDUP((T5692+U5692+2*'Read Me'!$B$13)*(1+'Read Me'!$B$12),-1)</f>
        <v/>
      </c>
      <c r="W5692" s="16">
        <f>V5692*N5692*O5692</f>
        <v/>
      </c>
      <c r="X5692" s="12">
        <f>IF(LEFT(I5692,2)="MV",2*N5692*IF(L5692="1/C",O5692,1),0)</f>
        <v/>
      </c>
      <c r="Y5692" s="12">
        <f>IF(OR(LEFT(K5692,4)="LVAX",LEFT(K5692,6)="MV15AX",LEFT(K5692,4)="CTAX",LEFT(K5692,2)="W|"),2*N5692*O5692,0)</f>
        <v/>
      </c>
      <c r="Z5692" s="12" t="inlineStr"/>
      <c r="AA5692" s="12">
        <f>N5692*O5692</f>
        <v/>
      </c>
    </row>
    <row r="5693">
      <c r="A5693" s="12" t="inlineStr">
        <is>
          <t>C-I-0083</t>
        </is>
      </c>
      <c r="B5693" s="12" t="inlineStr">
        <is>
          <t>C</t>
        </is>
      </c>
      <c r="C5693" s="12" t="inlineStr">
        <is>
          <t>Grid interface</t>
        </is>
      </c>
      <c r="D5693" s="12" t="inlineStr">
        <is>
          <t>Discrete device to JB JB-Small-bore piping:-DI01: 10 x 1 pr (field cables)</t>
        </is>
      </c>
      <c r="E5693" s="12" t="inlineStr"/>
      <c r="F5693" s="12" t="inlineStr">
        <is>
          <t>Small-bore piping: instrument air, service water, nitrogen, HRSG drain</t>
        </is>
      </c>
      <c r="G5693" s="12" t="inlineStr">
        <is>
          <t>JB-Small-bore piping:-DI01</t>
        </is>
      </c>
      <c r="H5693" s="12" t="inlineStr">
        <is>
          <t>Small-bore piping: instrument air, service water, nitrogen, HRSG drain</t>
        </is>
      </c>
      <c r="I5693" s="12" t="inlineStr">
        <is>
          <t>Instrumentation</t>
        </is>
      </c>
      <c r="J5693" s="12" t="inlineStr">
        <is>
          <t>Instrumentation PLTC / TC-ER 300 V, #18 twisted shielded pairs, overall shield</t>
        </is>
      </c>
      <c r="K5693" s="12" t="inlineStr">
        <is>
          <t>PLTC|1 pr|16</t>
        </is>
      </c>
      <c r="L5693" s="12" t="inlineStr">
        <is>
          <t>1 pr</t>
        </is>
      </c>
      <c r="M5693" s="12" t="inlineStr">
        <is>
          <t>16</t>
        </is>
      </c>
      <c r="N5693" s="12" t="n">
        <v>10</v>
      </c>
      <c r="O5693" s="12" t="n">
        <v>1</v>
      </c>
      <c r="P5693" s="12" t="n"/>
      <c r="Q5693" s="12" t="n"/>
      <c r="R5693" s="12" t="n"/>
      <c r="S5693" s="12" t="inlineStr">
        <is>
          <t>Tray / conduit</t>
        </is>
      </c>
      <c r="T5693" s="16" t="n">
        <v>250</v>
      </c>
      <c r="U5693" s="16" t="n">
        <v>10</v>
      </c>
      <c r="V5693" s="16">
        <f>ROUNDUP((T5693+U5693+2*'Read Me'!$B$13)*(1+'Read Me'!$B$12),-1)</f>
        <v/>
      </c>
      <c r="W5693" s="16">
        <f>V5693*N5693*O5693</f>
        <v/>
      </c>
      <c r="X5693" s="12">
        <f>IF(LEFT(I5693,2)="MV",2*N5693*IF(L5693="1/C",O5693,1),0)</f>
        <v/>
      </c>
      <c r="Y5693" s="12">
        <f>IF(OR(LEFT(K5693,4)="LVAX",LEFT(K5693,6)="MV15AX",LEFT(K5693,4)="CTAX",LEFT(K5693,2)="W|"),2*N5693*O5693,0)</f>
        <v/>
      </c>
      <c r="Z5693" s="12" t="inlineStr">
        <is>
          <t>device-to-JB field wiring, one cable per device</t>
        </is>
      </c>
      <c r="AA5693" s="12">
        <f>N5693*O5693</f>
        <v/>
      </c>
    </row>
    <row r="5694">
      <c r="A5694" s="12" t="inlineStr">
        <is>
          <t>C-I-0084</t>
        </is>
      </c>
      <c r="B5694" s="12" t="inlineStr">
        <is>
          <t>C</t>
        </is>
      </c>
      <c r="C5694" s="12" t="inlineStr">
        <is>
          <t>Grid interface</t>
        </is>
      </c>
      <c r="D5694" s="12" t="inlineStr">
        <is>
          <t>Home run JB-Small-bore piping:-DI01 to the control / marshalling room</t>
        </is>
      </c>
      <c r="E5694" s="12" t="inlineStr">
        <is>
          <t>R1</t>
        </is>
      </c>
      <c r="F5694" s="12" t="inlineStr">
        <is>
          <t>R1: main electrical building (64 x 180 ft)</t>
        </is>
      </c>
      <c r="G5694" s="12" t="inlineStr">
        <is>
          <t>JB-Small-bore piping:-DI01</t>
        </is>
      </c>
      <c r="H5694" s="12" t="inlineStr">
        <is>
          <t>Small-bore piping: instrument air, service water, nitrogen, HRSG drain</t>
        </is>
      </c>
      <c r="I5694" s="12" t="inlineStr">
        <is>
          <t>Instrumentation</t>
        </is>
      </c>
      <c r="J5694" s="12" t="inlineStr">
        <is>
          <t>Instrumentation PLTC / TC-ER 300 V, #18 twisted shielded pairs, overall shield</t>
        </is>
      </c>
      <c r="K5694" s="12" t="inlineStr">
        <is>
          <t>PLTC|24 pr|18</t>
        </is>
      </c>
      <c r="L5694" s="12" t="inlineStr">
        <is>
          <t>24 pr</t>
        </is>
      </c>
      <c r="M5694" s="12" t="inlineStr">
        <is>
          <t>18</t>
        </is>
      </c>
      <c r="N5694" s="12" t="n">
        <v>1</v>
      </c>
      <c r="O5694" s="12" t="n">
        <v>1</v>
      </c>
      <c r="P5694" s="12" t="n"/>
      <c r="Q5694" s="12" t="n"/>
      <c r="R5694" s="12" t="n"/>
      <c r="S5694" s="12" t="inlineStr">
        <is>
          <t>Tray</t>
        </is>
      </c>
      <c r="T5694" s="16" t="n">
        <v>1218</v>
      </c>
      <c r="U5694" s="16" t="n">
        <v>200</v>
      </c>
      <c r="V5694" s="16">
        <f>ROUNDUP((T5694+U5694+2*'Read Me'!$B$13)*(1+'Read Me'!$B$12),-1)</f>
        <v/>
      </c>
      <c r="W5694" s="16">
        <f>V5694*N5694*O5694</f>
        <v/>
      </c>
      <c r="X5694" s="12">
        <f>IF(LEFT(I5694,2)="MV",2*N5694*IF(L5694="1/C",O5694,1),0)</f>
        <v/>
      </c>
      <c r="Y5694" s="12">
        <f>IF(OR(LEFT(K5694,4)="LVAX",LEFT(K5694,6)="MV15AX",LEFT(K5694,4)="CTAX",LEFT(K5694,2)="W|"),2*N5694*O5694,0)</f>
        <v/>
      </c>
      <c r="Z5694" s="12" t="inlineStr"/>
      <c r="AA5694" s="12">
        <f>N5694*O5694</f>
        <v/>
      </c>
    </row>
    <row r="5695">
      <c r="A5695" s="12" t="inlineStr">
        <is>
          <t>C-P-0006</t>
        </is>
      </c>
      <c r="B5695" s="12" t="inlineStr">
        <is>
          <t>C</t>
        </is>
      </c>
      <c r="C5695" s="12" t="inlineStr">
        <is>
          <t>Grid interface</t>
        </is>
      </c>
      <c r="D5695" s="12" t="inlineStr">
        <is>
          <t>Motor 1 of 2, 250 kW</t>
        </is>
      </c>
      <c r="E5695" s="12" t="inlineStr">
        <is>
          <t>MCC-C1</t>
        </is>
      </c>
      <c r="F5695" s="12" t="inlineStr">
        <is>
          <t>R1 MCC-C1</t>
        </is>
      </c>
      <c r="G5695" s="12" t="inlineStr"/>
      <c r="H5695" s="12" t="inlineStr">
        <is>
          <t>Small-bore piping: instrument air, service water, nitrogen, HRSG drain</t>
        </is>
      </c>
      <c r="I5695" s="12" t="inlineStr">
        <is>
          <t>LV 600 V</t>
        </is>
      </c>
      <c r="J5695" s="12" t="inlineStr">
        <is>
          <t>Type TC-ER 600 V 3/C Cu XHHW-2 + ground, PVC jacket</t>
        </is>
      </c>
      <c r="K5695" s="12" t="inlineStr">
        <is>
          <t>LV|3/C+G|250</t>
        </is>
      </c>
      <c r="L5695" s="12" t="inlineStr">
        <is>
          <t>3/C+G</t>
        </is>
      </c>
      <c r="M5695" s="12" t="inlineStr">
        <is>
          <t>250 kcmil</t>
        </is>
      </c>
      <c r="N5695" s="12" t="n">
        <v>2</v>
      </c>
      <c r="O5695" s="12" t="n">
        <v>1</v>
      </c>
      <c r="P5695" s="12" t="n">
        <v>480</v>
      </c>
      <c r="Q5695" s="12" t="n">
        <v>250</v>
      </c>
      <c r="R5695" s="12" t="n">
        <v>353.8</v>
      </c>
      <c r="S5695" s="12" t="inlineStr">
        <is>
          <t>Tray</t>
        </is>
      </c>
      <c r="T5695" s="16" t="n">
        <v>614</v>
      </c>
      <c r="U5695" s="16" t="n">
        <v>145</v>
      </c>
      <c r="V5695" s="16">
        <f>ROUNDUP((T5695+U5695+2*'Read Me'!$B$13)*(1+'Read Me'!$B$12),-1)</f>
        <v/>
      </c>
      <c r="W5695" s="16">
        <f>V5695*N5695*O5695</f>
        <v/>
      </c>
      <c r="X5695" s="12">
        <f>IF(LEFT(I5695,2)="MV",2*N5695*IF(L5695="1/C",O5695,1),0)</f>
        <v/>
      </c>
      <c r="Y5695" s="12">
        <f>IF(OR(LEFT(K5695,4)="LVAX",LEFT(K5695,6)="MV15AX",LEFT(K5695,4)="CTAX",LEFT(K5695,2)="W|"),2*N5695*O5695,0)</f>
        <v/>
      </c>
      <c r="Z5695" s="12" t="inlineStr">
        <is>
          <t>VD 2.7 %</t>
        </is>
      </c>
      <c r="AA5695" s="12">
        <f>N5695*O5695</f>
        <v/>
      </c>
    </row>
    <row r="5696">
      <c r="A5696" s="12" t="inlineStr">
        <is>
          <t>C-P-0007</t>
        </is>
      </c>
      <c r="B5696" s="12" t="inlineStr">
        <is>
          <t>C</t>
        </is>
      </c>
      <c r="C5696" s="12" t="inlineStr">
        <is>
          <t>Grid interface</t>
        </is>
      </c>
      <c r="D5696" s="12" t="inlineStr">
        <is>
          <t>Motor 2 of 2, 250 kW</t>
        </is>
      </c>
      <c r="E5696" s="12" t="inlineStr">
        <is>
          <t>MCC-C1</t>
        </is>
      </c>
      <c r="F5696" s="12" t="inlineStr">
        <is>
          <t>R1 MCC-C1</t>
        </is>
      </c>
      <c r="G5696" s="12" t="inlineStr"/>
      <c r="H5696" s="12" t="inlineStr">
        <is>
          <t>Small-bore piping: instrument air, service water, nitrogen, HRSG drain</t>
        </is>
      </c>
      <c r="I5696" s="12" t="inlineStr">
        <is>
          <t>LV 600 V</t>
        </is>
      </c>
      <c r="J5696" s="12" t="inlineStr">
        <is>
          <t>Type TC-ER 600 V 3/C Cu XHHW-2 + ground, PVC jacket</t>
        </is>
      </c>
      <c r="K5696" s="12" t="inlineStr">
        <is>
          <t>LV|3/C+G|250</t>
        </is>
      </c>
      <c r="L5696" s="12" t="inlineStr">
        <is>
          <t>3/C+G</t>
        </is>
      </c>
      <c r="M5696" s="12" t="inlineStr">
        <is>
          <t>250 kcmil</t>
        </is>
      </c>
      <c r="N5696" s="12" t="n">
        <v>2</v>
      </c>
      <c r="O5696" s="12" t="n">
        <v>1</v>
      </c>
      <c r="P5696" s="12" t="n">
        <v>480</v>
      </c>
      <c r="Q5696" s="12" t="n">
        <v>250</v>
      </c>
      <c r="R5696" s="12" t="n">
        <v>353.8</v>
      </c>
      <c r="S5696" s="12" t="inlineStr">
        <is>
          <t>Tray</t>
        </is>
      </c>
      <c r="T5696" s="16" t="n">
        <v>614</v>
      </c>
      <c r="U5696" s="16" t="n">
        <v>145</v>
      </c>
      <c r="V5696" s="16">
        <f>ROUNDUP((T5696+U5696+2*'Read Me'!$B$13)*(1+'Read Me'!$B$12),-1)</f>
        <v/>
      </c>
      <c r="W5696" s="16">
        <f>V5696*N5696*O5696</f>
        <v/>
      </c>
      <c r="X5696" s="12">
        <f>IF(LEFT(I5696,2)="MV",2*N5696*IF(L5696="1/C",O5696,1),0)</f>
        <v/>
      </c>
      <c r="Y5696" s="12">
        <f>IF(OR(LEFT(K5696,4)="LVAX",LEFT(K5696,6)="MV15AX",LEFT(K5696,4)="CTAX",LEFT(K5696,2)="W|"),2*N5696*O5696,0)</f>
        <v/>
      </c>
      <c r="Z5696" s="12" t="inlineStr">
        <is>
          <t>VD 2.7 %</t>
        </is>
      </c>
      <c r="AA5696" s="12">
        <f>N5696*O5696</f>
        <v/>
      </c>
    </row>
  </sheetData>
  <autoFilter ref="A1:AA569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8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5" customWidth="1" min="2" max="2"/>
    <col width="70" customWidth="1" min="3" max="3"/>
    <col width="10" customWidth="1" min="4" max="4"/>
    <col width="12" customWidth="1" min="5" max="5"/>
    <col width="7" customWidth="1" min="6" max="6"/>
    <col width="15" customWidth="1" min="7" max="7"/>
    <col width="7" customWidth="1" min="8" max="8"/>
    <col width="15" customWidth="1" min="9" max="9"/>
    <col width="12" customWidth="1" min="10" max="10"/>
    <col width="7" customWidth="1" min="11" max="11"/>
    <col width="12" customWidth="1" min="12" max="12"/>
  </cols>
  <sheetData>
    <row r="1">
      <c r="A1" s="15" t="inlineStr">
        <is>
          <t>Product key</t>
        </is>
      </c>
      <c r="B1" s="15" t="inlineStr">
        <is>
          <t>Class</t>
        </is>
      </c>
      <c r="C1" s="15" t="inlineStr">
        <is>
          <t>Product (typical Southwire family)</t>
        </is>
      </c>
      <c r="D1" s="15" t="inlineStr">
        <is>
          <t>Conductors</t>
        </is>
      </c>
      <c r="E1" s="15" t="inlineStr">
        <is>
          <t>Size</t>
        </is>
      </c>
      <c r="F1" s="15" t="inlineStr">
        <is>
          <t>Cables</t>
        </is>
      </c>
      <c r="G1" s="15" t="inlineStr">
        <is>
          <t>Total length (ft)</t>
        </is>
      </c>
      <c r="H1" s="15" t="inlineStr">
        <is>
          <t>Waste</t>
        </is>
      </c>
      <c r="I1" s="15" t="inlineStr">
        <is>
          <t>Order length (ft)</t>
        </is>
      </c>
      <c r="J1" s="15" t="inlineStr">
        <is>
          <t>Standard reel (ft)</t>
        </is>
      </c>
      <c r="K1" s="15" t="inlineStr">
        <is>
          <t>Reels</t>
        </is>
      </c>
      <c r="L1" s="15" t="inlineStr">
        <is>
          <t>Order length (km)</t>
        </is>
      </c>
    </row>
    <row r="2">
      <c r="A2" s="12" t="inlineStr">
        <is>
          <t>MV15|1/C|2</t>
        </is>
      </c>
      <c r="B2" s="12" t="inlineStr">
        <is>
          <t>MV 15 kV</t>
        </is>
      </c>
      <c r="C2" s="12" t="inlineStr">
        <is>
          <t>MV-105 15 kV 1/C Cu, EPR 133%, Cu tape shield, PVC jacket (triplexed)</t>
        </is>
      </c>
      <c r="D2" s="12" t="inlineStr">
        <is>
          <t>1/C</t>
        </is>
      </c>
      <c r="E2" s="12" t="inlineStr">
        <is>
          <t>2</t>
        </is>
      </c>
      <c r="F2" s="17">
        <f>SUMIFS('Cable Schedule'!$AA$2:$AA$5696,'Cable Schedule'!$K$2:$K$5696,A2)</f>
        <v/>
      </c>
      <c r="G2" s="18">
        <f>SUMIFS('Cable Schedule'!$W$2:$W$5696,'Cable Schedule'!$K$2:$K$5696,A2)</f>
        <v/>
      </c>
      <c r="H2" s="19">
        <f>'Read Me'!$B$14</f>
        <v/>
      </c>
      <c r="I2" s="16">
        <f>ROUNDUP(G2*(1+H2),-2)</f>
        <v/>
      </c>
      <c r="J2" s="20" t="n">
        <v>2500</v>
      </c>
      <c r="K2" s="12">
        <f>IF(J2&gt;0,ROUNDUP(I2/J2,0),0)</f>
        <v/>
      </c>
      <c r="L2" s="21">
        <f>I2*0.3048/1000</f>
        <v/>
      </c>
    </row>
    <row r="3">
      <c r="A3" s="12" t="inlineStr">
        <is>
          <t>MV15|1/C|1/0</t>
        </is>
      </c>
      <c r="B3" s="12" t="inlineStr">
        <is>
          <t>MV 15 kV</t>
        </is>
      </c>
      <c r="C3" s="12" t="inlineStr">
        <is>
          <t>MV-105 15 kV 1/C Cu, EPR 133%, Cu tape shield, PVC jacket (triplexed)</t>
        </is>
      </c>
      <c r="D3" s="12" t="inlineStr">
        <is>
          <t>1/C</t>
        </is>
      </c>
      <c r="E3" s="12" t="inlineStr">
        <is>
          <t>1/0</t>
        </is>
      </c>
      <c r="F3" s="17">
        <f>SUMIFS('Cable Schedule'!$AA$2:$AA$5696,'Cable Schedule'!$K$2:$K$5696,A3)</f>
        <v/>
      </c>
      <c r="G3" s="18">
        <f>SUMIFS('Cable Schedule'!$W$2:$W$5696,'Cable Schedule'!$K$2:$K$5696,A3)</f>
        <v/>
      </c>
      <c r="H3" s="19">
        <f>'Read Me'!$B$14</f>
        <v/>
      </c>
      <c r="I3" s="16">
        <f>ROUNDUP(G3*(1+H3),-2)</f>
        <v/>
      </c>
      <c r="J3" s="20" t="n">
        <v>2500</v>
      </c>
      <c r="K3" s="12">
        <f>IF(J3&gt;0,ROUNDUP(I3/J3,0),0)</f>
        <v/>
      </c>
      <c r="L3" s="21">
        <f>I3*0.3048/1000</f>
        <v/>
      </c>
    </row>
    <row r="4">
      <c r="A4" s="12" t="inlineStr">
        <is>
          <t>MV15|1/C|2/0</t>
        </is>
      </c>
      <c r="B4" s="12" t="inlineStr">
        <is>
          <t>MV 15 kV</t>
        </is>
      </c>
      <c r="C4" s="12" t="inlineStr">
        <is>
          <t>MV-105 15 kV 1/C Cu, EPR 133%, Cu tape shield, PVC jacket (triplexed)</t>
        </is>
      </c>
      <c r="D4" s="12" t="inlineStr">
        <is>
          <t>1/C</t>
        </is>
      </c>
      <c r="E4" s="12" t="inlineStr">
        <is>
          <t>2/0</t>
        </is>
      </c>
      <c r="F4" s="17">
        <f>SUMIFS('Cable Schedule'!$AA$2:$AA$5696,'Cable Schedule'!$K$2:$K$5696,A4)</f>
        <v/>
      </c>
      <c r="G4" s="18">
        <f>SUMIFS('Cable Schedule'!$W$2:$W$5696,'Cable Schedule'!$K$2:$K$5696,A4)</f>
        <v/>
      </c>
      <c r="H4" s="19">
        <f>'Read Me'!$B$14</f>
        <v/>
      </c>
      <c r="I4" s="16">
        <f>ROUNDUP(G4*(1+H4),-2)</f>
        <v/>
      </c>
      <c r="J4" s="20" t="n">
        <v>2500</v>
      </c>
      <c r="K4" s="12">
        <f>IF(J4&gt;0,ROUNDUP(I4/J4,0),0)</f>
        <v/>
      </c>
      <c r="L4" s="21">
        <f>I4*0.3048/1000</f>
        <v/>
      </c>
    </row>
    <row r="5">
      <c r="A5" s="12" t="inlineStr">
        <is>
          <t>MV15|1/C|4/0</t>
        </is>
      </c>
      <c r="B5" s="12" t="inlineStr">
        <is>
          <t>MV 15 kV</t>
        </is>
      </c>
      <c r="C5" s="12" t="inlineStr">
        <is>
          <t>MV-105 15 kV 1/C Cu, EPR 133%, Cu tape shield, PVC jacket (triplexed)</t>
        </is>
      </c>
      <c r="D5" s="12" t="inlineStr">
        <is>
          <t>1/C</t>
        </is>
      </c>
      <c r="E5" s="12" t="inlineStr">
        <is>
          <t>4/0</t>
        </is>
      </c>
      <c r="F5" s="17">
        <f>SUMIFS('Cable Schedule'!$AA$2:$AA$5696,'Cable Schedule'!$K$2:$K$5696,A5)</f>
        <v/>
      </c>
      <c r="G5" s="18">
        <f>SUMIFS('Cable Schedule'!$W$2:$W$5696,'Cable Schedule'!$K$2:$K$5696,A5)</f>
        <v/>
      </c>
      <c r="H5" s="19">
        <f>'Read Me'!$B$14</f>
        <v/>
      </c>
      <c r="I5" s="16">
        <f>ROUNDUP(G5*(1+H5),-2)</f>
        <v/>
      </c>
      <c r="J5" s="20" t="n">
        <v>2500</v>
      </c>
      <c r="K5" s="12">
        <f>IF(J5&gt;0,ROUNDUP(I5/J5,0),0)</f>
        <v/>
      </c>
      <c r="L5" s="21">
        <f>I5*0.3048/1000</f>
        <v/>
      </c>
    </row>
    <row r="6">
      <c r="A6" s="12" t="inlineStr">
        <is>
          <t>MV15|1/C|250</t>
        </is>
      </c>
      <c r="B6" s="12" t="inlineStr">
        <is>
          <t>MV 15 kV</t>
        </is>
      </c>
      <c r="C6" s="12" t="inlineStr">
        <is>
          <t>MV-105 15 kV 1/C Cu, EPR 133%, Cu tape shield, PVC jacket (triplexed)</t>
        </is>
      </c>
      <c r="D6" s="12" t="inlineStr">
        <is>
          <t>1/C</t>
        </is>
      </c>
      <c r="E6" s="12" t="inlineStr">
        <is>
          <t>250 kcmil</t>
        </is>
      </c>
      <c r="F6" s="17">
        <f>SUMIFS('Cable Schedule'!$AA$2:$AA$5696,'Cable Schedule'!$K$2:$K$5696,A6)</f>
        <v/>
      </c>
      <c r="G6" s="18">
        <f>SUMIFS('Cable Schedule'!$W$2:$W$5696,'Cable Schedule'!$K$2:$K$5696,A6)</f>
        <v/>
      </c>
      <c r="H6" s="19">
        <f>'Read Me'!$B$14</f>
        <v/>
      </c>
      <c r="I6" s="16">
        <f>ROUNDUP(G6*(1+H6),-2)</f>
        <v/>
      </c>
      <c r="J6" s="20" t="n">
        <v>2500</v>
      </c>
      <c r="K6" s="12">
        <f>IF(J6&gt;0,ROUNDUP(I6/J6,0),0)</f>
        <v/>
      </c>
      <c r="L6" s="21">
        <f>I6*0.3048/1000</f>
        <v/>
      </c>
    </row>
    <row r="7">
      <c r="A7" s="12" t="inlineStr">
        <is>
          <t>MV15|1/C|500</t>
        </is>
      </c>
      <c r="B7" s="12" t="inlineStr">
        <is>
          <t>MV 15 kV</t>
        </is>
      </c>
      <c r="C7" s="12" t="inlineStr">
        <is>
          <t>MV-105 15 kV 1/C Cu, EPR 133%, Cu tape shield, PVC jacket (triplexed)</t>
        </is>
      </c>
      <c r="D7" s="12" t="inlineStr">
        <is>
          <t>1/C</t>
        </is>
      </c>
      <c r="E7" s="12" t="inlineStr">
        <is>
          <t>500 kcmil</t>
        </is>
      </c>
      <c r="F7" s="17">
        <f>SUMIFS('Cable Schedule'!$AA$2:$AA$5696,'Cable Schedule'!$K$2:$K$5696,A7)</f>
        <v/>
      </c>
      <c r="G7" s="18">
        <f>SUMIFS('Cable Schedule'!$W$2:$W$5696,'Cable Schedule'!$K$2:$K$5696,A7)</f>
        <v/>
      </c>
      <c r="H7" s="19">
        <f>'Read Me'!$B$14</f>
        <v/>
      </c>
      <c r="I7" s="16">
        <f>ROUNDUP(G7*(1+H7),-2)</f>
        <v/>
      </c>
      <c r="J7" s="20" t="n">
        <v>2500</v>
      </c>
      <c r="K7" s="12">
        <f>IF(J7&gt;0,ROUNDUP(I7/J7,0),0)</f>
        <v/>
      </c>
      <c r="L7" s="21">
        <f>I7*0.3048/1000</f>
        <v/>
      </c>
    </row>
    <row r="8">
      <c r="A8" s="12" t="inlineStr">
        <is>
          <t>MV15|1/C|750</t>
        </is>
      </c>
      <c r="B8" s="12" t="inlineStr">
        <is>
          <t>MV 15 kV</t>
        </is>
      </c>
      <c r="C8" s="12" t="inlineStr">
        <is>
          <t>MV-105 15 kV 1/C Cu, EPR 133%, Cu tape shield, PVC jacket (triplexed)</t>
        </is>
      </c>
      <c r="D8" s="12" t="inlineStr">
        <is>
          <t>1/C</t>
        </is>
      </c>
      <c r="E8" s="12" t="inlineStr">
        <is>
          <t>750 kcmil</t>
        </is>
      </c>
      <c r="F8" s="17">
        <f>SUMIFS('Cable Schedule'!$AA$2:$AA$5696,'Cable Schedule'!$K$2:$K$5696,A8)</f>
        <v/>
      </c>
      <c r="G8" s="18">
        <f>SUMIFS('Cable Schedule'!$W$2:$W$5696,'Cable Schedule'!$K$2:$K$5696,A8)</f>
        <v/>
      </c>
      <c r="H8" s="19">
        <f>'Read Me'!$B$14</f>
        <v/>
      </c>
      <c r="I8" s="16">
        <f>ROUNDUP(G8*(1+H8),-2)</f>
        <v/>
      </c>
      <c r="J8" s="20" t="n">
        <v>2500</v>
      </c>
      <c r="K8" s="12">
        <f>IF(J8&gt;0,ROUNDUP(I8/J8,0),0)</f>
        <v/>
      </c>
      <c r="L8" s="21">
        <f>I8*0.3048/1000</f>
        <v/>
      </c>
    </row>
    <row r="9">
      <c r="A9" s="12" t="inlineStr">
        <is>
          <t>MV15|1/C|1000</t>
        </is>
      </c>
      <c r="B9" s="12" t="inlineStr">
        <is>
          <t>MV 15 kV</t>
        </is>
      </c>
      <c r="C9" s="12" t="inlineStr">
        <is>
          <t>MV-105 15 kV 1/C Cu, EPR 133%, Cu tape shield, PVC jacket (triplexed)</t>
        </is>
      </c>
      <c r="D9" s="12" t="inlineStr">
        <is>
          <t>1/C</t>
        </is>
      </c>
      <c r="E9" s="12" t="inlineStr">
        <is>
          <t>1000 kcmil</t>
        </is>
      </c>
      <c r="F9" s="17">
        <f>SUMIFS('Cable Schedule'!$AA$2:$AA$5696,'Cable Schedule'!$K$2:$K$5696,A9)</f>
        <v/>
      </c>
      <c r="G9" s="18">
        <f>SUMIFS('Cable Schedule'!$W$2:$W$5696,'Cable Schedule'!$K$2:$K$5696,A9)</f>
        <v/>
      </c>
      <c r="H9" s="19">
        <f>'Read Me'!$B$14</f>
        <v/>
      </c>
      <c r="I9" s="16">
        <f>ROUNDUP(G9*(1+H9),-2)</f>
        <v/>
      </c>
      <c r="J9" s="20" t="n">
        <v>2500</v>
      </c>
      <c r="K9" s="12">
        <f>IF(J9&gt;0,ROUNDUP(I9/J9,0),0)</f>
        <v/>
      </c>
      <c r="L9" s="21">
        <f>I9*0.3048/1000</f>
        <v/>
      </c>
    </row>
    <row r="10">
      <c r="A10" s="12" t="inlineStr">
        <is>
          <t>MV15AX|3/C|2</t>
        </is>
      </c>
      <c r="B10" s="12" t="inlineStr">
        <is>
          <t>MV 15 kV</t>
        </is>
      </c>
      <c r="C10" s="12" t="inlineStr">
        <is>
          <t>ARMOR-X MC-HL / MV-105 15 kV 3/C Cu, EPR 133%, tape shield, gnd, CWA, red PVC</t>
        </is>
      </c>
      <c r="D10" s="12" t="inlineStr">
        <is>
          <t>3/C</t>
        </is>
      </c>
      <c r="E10" s="12" t="inlineStr">
        <is>
          <t>2</t>
        </is>
      </c>
      <c r="F10" s="17">
        <f>SUMIFS('Cable Schedule'!$AA$2:$AA$5696,'Cable Schedule'!$K$2:$K$5696,A10)</f>
        <v/>
      </c>
      <c r="G10" s="18">
        <f>SUMIFS('Cable Schedule'!$W$2:$W$5696,'Cable Schedule'!$K$2:$K$5696,A10)</f>
        <v/>
      </c>
      <c r="H10" s="19">
        <f>'Read Me'!$B$14</f>
        <v/>
      </c>
      <c r="I10" s="16">
        <f>ROUNDUP(G10*(1+H10),-2)</f>
        <v/>
      </c>
      <c r="J10" s="20" t="n">
        <v>2000</v>
      </c>
      <c r="K10" s="12">
        <f>IF(J10&gt;0,ROUNDUP(I10/J10,0),0)</f>
        <v/>
      </c>
      <c r="L10" s="21">
        <f>I10*0.3048/1000</f>
        <v/>
      </c>
    </row>
    <row r="11">
      <c r="A11" s="12" t="inlineStr">
        <is>
          <t>MV15AX|3/C|1/0</t>
        </is>
      </c>
      <c r="B11" s="12" t="inlineStr">
        <is>
          <t>MV 15 kV</t>
        </is>
      </c>
      <c r="C11" s="12" t="inlineStr">
        <is>
          <t>ARMOR-X MC-HL / MV-105 15 kV 3/C Cu, EPR 133%, tape shield, gnd, CWA, red PVC</t>
        </is>
      </c>
      <c r="D11" s="12" t="inlineStr">
        <is>
          <t>3/C</t>
        </is>
      </c>
      <c r="E11" s="12" t="inlineStr">
        <is>
          <t>1/0</t>
        </is>
      </c>
      <c r="F11" s="17">
        <f>SUMIFS('Cable Schedule'!$AA$2:$AA$5696,'Cable Schedule'!$K$2:$K$5696,A11)</f>
        <v/>
      </c>
      <c r="G11" s="18">
        <f>SUMIFS('Cable Schedule'!$W$2:$W$5696,'Cable Schedule'!$K$2:$K$5696,A11)</f>
        <v/>
      </c>
      <c r="H11" s="19">
        <f>'Read Me'!$B$14</f>
        <v/>
      </c>
      <c r="I11" s="16">
        <f>ROUNDUP(G11*(1+H11),-2)</f>
        <v/>
      </c>
      <c r="J11" s="20" t="n">
        <v>2000</v>
      </c>
      <c r="K11" s="12">
        <f>IF(J11&gt;0,ROUNDUP(I11/J11,0),0)</f>
        <v/>
      </c>
      <c r="L11" s="21">
        <f>I11*0.3048/1000</f>
        <v/>
      </c>
    </row>
    <row r="12">
      <c r="A12" s="12" t="inlineStr">
        <is>
          <t>MV5|3/C|2</t>
        </is>
      </c>
      <c r="B12" s="12" t="inlineStr">
        <is>
          <t>MV 5 kV</t>
        </is>
      </c>
      <c r="C12" s="12" t="inlineStr">
        <is>
          <t>MV-105 5 kV 3/C Cu, EPR 133%, tape shield, gnd, PVC jacket</t>
        </is>
      </c>
      <c r="D12" s="12" t="inlineStr">
        <is>
          <t>3/C</t>
        </is>
      </c>
      <c r="E12" s="12" t="inlineStr">
        <is>
          <t>2</t>
        </is>
      </c>
      <c r="F12" s="17">
        <f>SUMIFS('Cable Schedule'!$AA$2:$AA$5696,'Cable Schedule'!$K$2:$K$5696,A12)</f>
        <v/>
      </c>
      <c r="G12" s="18">
        <f>SUMIFS('Cable Schedule'!$W$2:$W$5696,'Cable Schedule'!$K$2:$K$5696,A12)</f>
        <v/>
      </c>
      <c r="H12" s="19">
        <f>'Read Me'!$B$14</f>
        <v/>
      </c>
      <c r="I12" s="16">
        <f>ROUNDUP(G12*(1+H12),-2)</f>
        <v/>
      </c>
      <c r="J12" s="20" t="n">
        <v>2500</v>
      </c>
      <c r="K12" s="12">
        <f>IF(J12&gt;0,ROUNDUP(I12/J12,0),0)</f>
        <v/>
      </c>
      <c r="L12" s="21">
        <f>I12*0.3048/1000</f>
        <v/>
      </c>
    </row>
    <row r="13">
      <c r="A13" s="12" t="inlineStr">
        <is>
          <t>MV5|3/C|1/0</t>
        </is>
      </c>
      <c r="B13" s="12" t="inlineStr">
        <is>
          <t>MV 5 kV</t>
        </is>
      </c>
      <c r="C13" s="12" t="inlineStr">
        <is>
          <t>MV-105 5 kV 3/C Cu, EPR 133%, tape shield, gnd, PVC jacket</t>
        </is>
      </c>
      <c r="D13" s="12" t="inlineStr">
        <is>
          <t>3/C</t>
        </is>
      </c>
      <c r="E13" s="12" t="inlineStr">
        <is>
          <t>1/0</t>
        </is>
      </c>
      <c r="F13" s="17">
        <f>SUMIFS('Cable Schedule'!$AA$2:$AA$5696,'Cable Schedule'!$K$2:$K$5696,A13)</f>
        <v/>
      </c>
      <c r="G13" s="18">
        <f>SUMIFS('Cable Schedule'!$W$2:$W$5696,'Cable Schedule'!$K$2:$K$5696,A13)</f>
        <v/>
      </c>
      <c r="H13" s="19">
        <f>'Read Me'!$B$14</f>
        <v/>
      </c>
      <c r="I13" s="16">
        <f>ROUNDUP(G13*(1+H13),-2)</f>
        <v/>
      </c>
      <c r="J13" s="20" t="n">
        <v>2500</v>
      </c>
      <c r="K13" s="12">
        <f>IF(J13&gt;0,ROUNDUP(I13/J13,0),0)</f>
        <v/>
      </c>
      <c r="L13" s="21">
        <f>I13*0.3048/1000</f>
        <v/>
      </c>
    </row>
    <row r="14">
      <c r="A14" s="12" t="inlineStr">
        <is>
          <t>MV5|3/C|4/0</t>
        </is>
      </c>
      <c r="B14" s="12" t="inlineStr">
        <is>
          <t>MV 5 kV</t>
        </is>
      </c>
      <c r="C14" s="12" t="inlineStr">
        <is>
          <t>MV-105 5 kV 3/C Cu, EPR 133%, tape shield, gnd, PVC jacket</t>
        </is>
      </c>
      <c r="D14" s="12" t="inlineStr">
        <is>
          <t>3/C</t>
        </is>
      </c>
      <c r="E14" s="12" t="inlineStr">
        <is>
          <t>4/0</t>
        </is>
      </c>
      <c r="F14" s="17">
        <f>SUMIFS('Cable Schedule'!$AA$2:$AA$5696,'Cable Schedule'!$K$2:$K$5696,A14)</f>
        <v/>
      </c>
      <c r="G14" s="18">
        <f>SUMIFS('Cable Schedule'!$W$2:$W$5696,'Cable Schedule'!$K$2:$K$5696,A14)</f>
        <v/>
      </c>
      <c r="H14" s="19">
        <f>'Read Me'!$B$14</f>
        <v/>
      </c>
      <c r="I14" s="16">
        <f>ROUNDUP(G14*(1+H14),-2)</f>
        <v/>
      </c>
      <c r="J14" s="20" t="n">
        <v>2500</v>
      </c>
      <c r="K14" s="12">
        <f>IF(J14&gt;0,ROUNDUP(I14/J14,0),0)</f>
        <v/>
      </c>
      <c r="L14" s="21">
        <f>I14*0.3048/1000</f>
        <v/>
      </c>
    </row>
    <row r="15">
      <c r="A15" s="12" t="inlineStr">
        <is>
          <t>MV5|3/C|250</t>
        </is>
      </c>
      <c r="B15" s="12" t="inlineStr">
        <is>
          <t>MV 5 kV</t>
        </is>
      </c>
      <c r="C15" s="12" t="inlineStr">
        <is>
          <t>MV-105 5 kV 3/C Cu, EPR 133%, tape shield, gnd, PVC jacket</t>
        </is>
      </c>
      <c r="D15" s="12" t="inlineStr">
        <is>
          <t>3/C</t>
        </is>
      </c>
      <c r="E15" s="12" t="inlineStr">
        <is>
          <t>250 kcmil</t>
        </is>
      </c>
      <c r="F15" s="17">
        <f>SUMIFS('Cable Schedule'!$AA$2:$AA$5696,'Cable Schedule'!$K$2:$K$5696,A15)</f>
        <v/>
      </c>
      <c r="G15" s="18">
        <f>SUMIFS('Cable Schedule'!$W$2:$W$5696,'Cable Schedule'!$K$2:$K$5696,A15)</f>
        <v/>
      </c>
      <c r="H15" s="19">
        <f>'Read Me'!$B$14</f>
        <v/>
      </c>
      <c r="I15" s="16">
        <f>ROUNDUP(G15*(1+H15),-2)</f>
        <v/>
      </c>
      <c r="J15" s="20" t="n">
        <v>2500</v>
      </c>
      <c r="K15" s="12">
        <f>IF(J15&gt;0,ROUNDUP(I15/J15,0),0)</f>
        <v/>
      </c>
      <c r="L15" s="21">
        <f>I15*0.3048/1000</f>
        <v/>
      </c>
    </row>
    <row r="16">
      <c r="A16" s="12" t="inlineStr">
        <is>
          <t>MV5S|1/C|1000</t>
        </is>
      </c>
      <c r="B16" s="12" t="inlineStr">
        <is>
          <t>MV 5 kV</t>
        </is>
      </c>
      <c r="C16" s="12" t="inlineStr">
        <is>
          <t>MV-105 5 kV 1/C Cu, EPR 133%, Cu tape shield, PVC jacket (triplexed)</t>
        </is>
      </c>
      <c r="D16" s="12" t="inlineStr">
        <is>
          <t>1/C</t>
        </is>
      </c>
      <c r="E16" s="12" t="inlineStr">
        <is>
          <t>1000 kcmil</t>
        </is>
      </c>
      <c r="F16" s="17">
        <f>SUMIFS('Cable Schedule'!$AA$2:$AA$5696,'Cable Schedule'!$K$2:$K$5696,A16)</f>
        <v/>
      </c>
      <c r="G16" s="18">
        <f>SUMIFS('Cable Schedule'!$W$2:$W$5696,'Cable Schedule'!$K$2:$K$5696,A16)</f>
        <v/>
      </c>
      <c r="H16" s="19">
        <f>'Read Me'!$B$14</f>
        <v/>
      </c>
      <c r="I16" s="16">
        <f>ROUNDUP(G16*(1+H16),-2)</f>
        <v/>
      </c>
      <c r="J16" s="20" t="n">
        <v>2500</v>
      </c>
      <c r="K16" s="12">
        <f>IF(J16&gt;0,ROUNDUP(I16/J16,0),0)</f>
        <v/>
      </c>
      <c r="L16" s="21">
        <f>I16*0.3048/1000</f>
        <v/>
      </c>
    </row>
    <row r="17">
      <c r="A17" s="12" t="inlineStr">
        <is>
          <t>MV25|1/C|2</t>
        </is>
      </c>
      <c r="B17" s="12" t="inlineStr">
        <is>
          <t>MV 25 kV</t>
        </is>
      </c>
      <c r="C17" s="12" t="inlineStr">
        <is>
          <t>MV-105 25 kV 1/C Cu, EPR 133%, Cu tape shield, PVC jacket</t>
        </is>
      </c>
      <c r="D17" s="12" t="inlineStr">
        <is>
          <t>1/C</t>
        </is>
      </c>
      <c r="E17" s="12" t="inlineStr">
        <is>
          <t>2</t>
        </is>
      </c>
      <c r="F17" s="17">
        <f>SUMIFS('Cable Schedule'!$AA$2:$AA$5696,'Cable Schedule'!$K$2:$K$5696,A17)</f>
        <v/>
      </c>
      <c r="G17" s="18">
        <f>SUMIFS('Cable Schedule'!$W$2:$W$5696,'Cable Schedule'!$K$2:$K$5696,A17)</f>
        <v/>
      </c>
      <c r="H17" s="19">
        <f>'Read Me'!$B$14</f>
        <v/>
      </c>
      <c r="I17" s="16">
        <f>ROUNDUP(G17*(1+H17),-2)</f>
        <v/>
      </c>
      <c r="J17" s="20" t="n">
        <v>2500</v>
      </c>
      <c r="K17" s="12">
        <f>IF(J17&gt;0,ROUNDUP(I17/J17,0),0)</f>
        <v/>
      </c>
      <c r="L17" s="21">
        <f>I17*0.3048/1000</f>
        <v/>
      </c>
    </row>
    <row r="18">
      <c r="A18" s="12" t="inlineStr">
        <is>
          <t>MV35|1/C|2</t>
        </is>
      </c>
      <c r="B18" s="12" t="inlineStr">
        <is>
          <t>MV 35 kV</t>
        </is>
      </c>
      <c r="C18" s="12" t="inlineStr">
        <is>
          <t>MV-105 35 kV 1/C Al, EPR 133%, 1/3 concentric neutral, LLDPE jacket</t>
        </is>
      </c>
      <c r="D18" s="12" t="inlineStr">
        <is>
          <t>1/C</t>
        </is>
      </c>
      <c r="E18" s="12" t="inlineStr">
        <is>
          <t>2</t>
        </is>
      </c>
      <c r="F18" s="17">
        <f>SUMIFS('Cable Schedule'!$AA$2:$AA$5696,'Cable Schedule'!$K$2:$K$5696,A18)</f>
        <v/>
      </c>
      <c r="G18" s="18">
        <f>SUMIFS('Cable Schedule'!$W$2:$W$5696,'Cable Schedule'!$K$2:$K$5696,A18)</f>
        <v/>
      </c>
      <c r="H18" s="19">
        <f>'Read Me'!$B$14</f>
        <v/>
      </c>
      <c r="I18" s="16">
        <f>ROUNDUP(G18*(1+H18),-2)</f>
        <v/>
      </c>
      <c r="J18" s="20" t="n">
        <v>2500</v>
      </c>
      <c r="K18" s="12">
        <f>IF(J18&gt;0,ROUNDUP(I18/J18,0),0)</f>
        <v/>
      </c>
      <c r="L18" s="21">
        <f>I18*0.3048/1000</f>
        <v/>
      </c>
    </row>
    <row r="19">
      <c r="A19" s="12" t="inlineStr">
        <is>
          <t>MV35|1/C|350</t>
        </is>
      </c>
      <c r="B19" s="12" t="inlineStr">
        <is>
          <t>MV 35 kV</t>
        </is>
      </c>
      <c r="C19" s="12" t="inlineStr">
        <is>
          <t>MV-105 35 kV 1/C Al, EPR 133%, 1/3 concentric neutral, LLDPE jacket</t>
        </is>
      </c>
      <c r="D19" s="12" t="inlineStr">
        <is>
          <t>1/C</t>
        </is>
      </c>
      <c r="E19" s="12" t="inlineStr">
        <is>
          <t>350 kcmil</t>
        </is>
      </c>
      <c r="F19" s="17">
        <f>SUMIFS('Cable Schedule'!$AA$2:$AA$5696,'Cable Schedule'!$K$2:$K$5696,A19)</f>
        <v/>
      </c>
      <c r="G19" s="18">
        <f>SUMIFS('Cable Schedule'!$W$2:$W$5696,'Cable Schedule'!$K$2:$K$5696,A19)</f>
        <v/>
      </c>
      <c r="H19" s="19">
        <f>'Read Me'!$B$14</f>
        <v/>
      </c>
      <c r="I19" s="16">
        <f>ROUNDUP(G19*(1+H19),-2)</f>
        <v/>
      </c>
      <c r="J19" s="20" t="n">
        <v>2500</v>
      </c>
      <c r="K19" s="12">
        <f>IF(J19&gt;0,ROUNDUP(I19/J19,0),0)</f>
        <v/>
      </c>
      <c r="L19" s="21">
        <f>I19*0.3048/1000</f>
        <v/>
      </c>
    </row>
    <row r="20">
      <c r="A20" s="12" t="inlineStr">
        <is>
          <t>MV35|1/C|750</t>
        </is>
      </c>
      <c r="B20" s="12" t="inlineStr">
        <is>
          <t>MV 35 kV</t>
        </is>
      </c>
      <c r="C20" s="12" t="inlineStr">
        <is>
          <t>MV-105 35 kV 1/C Al, EPR 133%, 1/3 concentric neutral, LLDPE jacket</t>
        </is>
      </c>
      <c r="D20" s="12" t="inlineStr">
        <is>
          <t>1/C</t>
        </is>
      </c>
      <c r="E20" s="12" t="inlineStr">
        <is>
          <t>750 kcmil</t>
        </is>
      </c>
      <c r="F20" s="17">
        <f>SUMIFS('Cable Schedule'!$AA$2:$AA$5696,'Cable Schedule'!$K$2:$K$5696,A20)</f>
        <v/>
      </c>
      <c r="G20" s="18">
        <f>SUMIFS('Cable Schedule'!$W$2:$W$5696,'Cable Schedule'!$K$2:$K$5696,A20)</f>
        <v/>
      </c>
      <c r="H20" s="19">
        <f>'Read Me'!$B$14</f>
        <v/>
      </c>
      <c r="I20" s="16">
        <f>ROUNDUP(G20*(1+H20),-2)</f>
        <v/>
      </c>
      <c r="J20" s="20" t="n">
        <v>2500</v>
      </c>
      <c r="K20" s="12">
        <f>IF(J20&gt;0,ROUNDUP(I20/J20,0),0)</f>
        <v/>
      </c>
      <c r="L20" s="21">
        <f>I20*0.3048/1000</f>
        <v/>
      </c>
    </row>
    <row r="21">
      <c r="A21" s="12" t="inlineStr">
        <is>
          <t>HV230|1/C|2500</t>
        </is>
      </c>
      <c r="B21" s="12" t="inlineStr">
        <is>
          <t>HV 230 kV</t>
        </is>
      </c>
      <c r="C21" s="12" t="inlineStr">
        <is>
          <t>HV XLPE 230 kV 1/C 2500 kcmil Cu, Cu wire shield, Al laminate, HDPE jacket</t>
        </is>
      </c>
      <c r="D21" s="12" t="inlineStr">
        <is>
          <t>1/C</t>
        </is>
      </c>
      <c r="E21" s="12" t="inlineStr">
        <is>
          <t>2500 kcmil</t>
        </is>
      </c>
      <c r="F21" s="17">
        <f>SUMIFS('Cable Schedule'!$AA$2:$AA$5696,'Cable Schedule'!$K$2:$K$5696,A21)</f>
        <v/>
      </c>
      <c r="G21" s="18">
        <f>SUMIFS('Cable Schedule'!$W$2:$W$5696,'Cable Schedule'!$K$2:$K$5696,A21)</f>
        <v/>
      </c>
      <c r="H21" s="19">
        <f>'Read Me'!$B$14</f>
        <v/>
      </c>
      <c r="I21" s="16">
        <f>ROUNDUP(G21*(1+H21),-2)</f>
        <v/>
      </c>
      <c r="J21" s="20" t="n">
        <v>1800</v>
      </c>
      <c r="K21" s="12">
        <f>IF(J21&gt;0,ROUNDUP(I21/J21,0),0)</f>
        <v/>
      </c>
      <c r="L21" s="21">
        <f>I21*0.3048/1000</f>
        <v/>
      </c>
    </row>
    <row r="22">
      <c r="A22" s="12" t="inlineStr">
        <is>
          <t>LV|3/C+G|10</t>
        </is>
      </c>
      <c r="B22" s="12" t="inlineStr">
        <is>
          <t>LV 600 V</t>
        </is>
      </c>
      <c r="C22" s="12" t="inlineStr">
        <is>
          <t>Type TC-ER 600 V 3/C Cu XHHW-2 + ground, PVC jacket</t>
        </is>
      </c>
      <c r="D22" s="12" t="inlineStr">
        <is>
          <t>3/C+G</t>
        </is>
      </c>
      <c r="E22" s="12" t="inlineStr">
        <is>
          <t>10</t>
        </is>
      </c>
      <c r="F22" s="17">
        <f>SUMIFS('Cable Schedule'!$AA$2:$AA$5696,'Cable Schedule'!$K$2:$K$5696,A22)</f>
        <v/>
      </c>
      <c r="G22" s="18">
        <f>SUMIFS('Cable Schedule'!$W$2:$W$5696,'Cable Schedule'!$K$2:$K$5696,A22)</f>
        <v/>
      </c>
      <c r="H22" s="19">
        <f>'Read Me'!$B$14</f>
        <v/>
      </c>
      <c r="I22" s="16">
        <f>ROUNDUP(G22*(1+H22),-2)</f>
        <v/>
      </c>
      <c r="J22" s="20" t="n">
        <v>2500</v>
      </c>
      <c r="K22" s="12">
        <f>IF(J22&gt;0,ROUNDUP(I22/J22,0),0)</f>
        <v/>
      </c>
      <c r="L22" s="21">
        <f>I22*0.3048/1000</f>
        <v/>
      </c>
    </row>
    <row r="23">
      <c r="A23" s="12" t="inlineStr">
        <is>
          <t>LV|1/C|8</t>
        </is>
      </c>
      <c r="B23" s="12" t="inlineStr">
        <is>
          <t>LV 600 V</t>
        </is>
      </c>
      <c r="C23" s="12" t="inlineStr">
        <is>
          <t>Type TC-ER 600 V 3/C Cu XHHW-2 + ground, PVC jacket</t>
        </is>
      </c>
      <c r="D23" s="12" t="inlineStr">
        <is>
          <t>1/C</t>
        </is>
      </c>
      <c r="E23" s="12" t="inlineStr">
        <is>
          <t>8</t>
        </is>
      </c>
      <c r="F23" s="17">
        <f>SUMIFS('Cable Schedule'!$AA$2:$AA$5696,'Cable Schedule'!$K$2:$K$5696,A23)</f>
        <v/>
      </c>
      <c r="G23" s="18">
        <f>SUMIFS('Cable Schedule'!$W$2:$W$5696,'Cable Schedule'!$K$2:$K$5696,A23)</f>
        <v/>
      </c>
      <c r="H23" s="19">
        <f>'Read Me'!$B$14</f>
        <v/>
      </c>
      <c r="I23" s="16">
        <f>ROUNDUP(G23*(1+H23),-2)</f>
        <v/>
      </c>
      <c r="J23" s="20" t="n">
        <v>2500</v>
      </c>
      <c r="K23" s="12">
        <f>IF(J23&gt;0,ROUNDUP(I23/J23,0),0)</f>
        <v/>
      </c>
      <c r="L23" s="21">
        <f>I23*0.3048/1000</f>
        <v/>
      </c>
    </row>
    <row r="24">
      <c r="A24" s="12" t="inlineStr">
        <is>
          <t>LV|3/C+G|8</t>
        </is>
      </c>
      <c r="B24" s="12" t="inlineStr">
        <is>
          <t>LV 600 V</t>
        </is>
      </c>
      <c r="C24" s="12" t="inlineStr">
        <is>
          <t>Type TC-ER 600 V 3/C Cu XHHW-2 + ground, PVC jacket</t>
        </is>
      </c>
      <c r="D24" s="12" t="inlineStr">
        <is>
          <t>3/C+G</t>
        </is>
      </c>
      <c r="E24" s="12" t="inlineStr">
        <is>
          <t>8</t>
        </is>
      </c>
      <c r="F24" s="17">
        <f>SUMIFS('Cable Schedule'!$AA$2:$AA$5696,'Cable Schedule'!$K$2:$K$5696,A24)</f>
        <v/>
      </c>
      <c r="G24" s="18">
        <f>SUMIFS('Cable Schedule'!$W$2:$W$5696,'Cable Schedule'!$K$2:$K$5696,A24)</f>
        <v/>
      </c>
      <c r="H24" s="19">
        <f>'Read Me'!$B$14</f>
        <v/>
      </c>
      <c r="I24" s="16">
        <f>ROUNDUP(G24*(1+H24),-2)</f>
        <v/>
      </c>
      <c r="J24" s="20" t="n">
        <v>2500</v>
      </c>
      <c r="K24" s="12">
        <f>IF(J24&gt;0,ROUNDUP(I24/J24,0),0)</f>
        <v/>
      </c>
      <c r="L24" s="21">
        <f>I24*0.3048/1000</f>
        <v/>
      </c>
    </row>
    <row r="25">
      <c r="A25" s="12" t="inlineStr">
        <is>
          <t>LV|3/C+G|6</t>
        </is>
      </c>
      <c r="B25" s="12" t="inlineStr">
        <is>
          <t>LV 600 V</t>
        </is>
      </c>
      <c r="C25" s="12" t="inlineStr">
        <is>
          <t>Type TC-ER 600 V 3/C Cu XHHW-2 + ground, PVC jacket</t>
        </is>
      </c>
      <c r="D25" s="12" t="inlineStr">
        <is>
          <t>3/C+G</t>
        </is>
      </c>
      <c r="E25" s="12" t="inlineStr">
        <is>
          <t>6</t>
        </is>
      </c>
      <c r="F25" s="17">
        <f>SUMIFS('Cable Schedule'!$AA$2:$AA$5696,'Cable Schedule'!$K$2:$K$5696,A25)</f>
        <v/>
      </c>
      <c r="G25" s="18">
        <f>SUMIFS('Cable Schedule'!$W$2:$W$5696,'Cable Schedule'!$K$2:$K$5696,A25)</f>
        <v/>
      </c>
      <c r="H25" s="19">
        <f>'Read Me'!$B$14</f>
        <v/>
      </c>
      <c r="I25" s="16">
        <f>ROUNDUP(G25*(1+H25),-2)</f>
        <v/>
      </c>
      <c r="J25" s="20" t="n">
        <v>2500</v>
      </c>
      <c r="K25" s="12">
        <f>IF(J25&gt;0,ROUNDUP(I25/J25,0),0)</f>
        <v/>
      </c>
      <c r="L25" s="21">
        <f>I25*0.3048/1000</f>
        <v/>
      </c>
    </row>
    <row r="26">
      <c r="A26" s="12" t="inlineStr">
        <is>
          <t>LV|3/C+G|4</t>
        </is>
      </c>
      <c r="B26" s="12" t="inlineStr">
        <is>
          <t>LV 600 V</t>
        </is>
      </c>
      <c r="C26" s="12" t="inlineStr">
        <is>
          <t>Type TC-ER 600 V 3/C Cu XHHW-2 + ground, PVC jacket</t>
        </is>
      </c>
      <c r="D26" s="12" t="inlineStr">
        <is>
          <t>3/C+G</t>
        </is>
      </c>
      <c r="E26" s="12" t="inlineStr">
        <is>
          <t>4</t>
        </is>
      </c>
      <c r="F26" s="17">
        <f>SUMIFS('Cable Schedule'!$AA$2:$AA$5696,'Cable Schedule'!$K$2:$K$5696,A26)</f>
        <v/>
      </c>
      <c r="G26" s="18">
        <f>SUMIFS('Cable Schedule'!$W$2:$W$5696,'Cable Schedule'!$K$2:$K$5696,A26)</f>
        <v/>
      </c>
      <c r="H26" s="19">
        <f>'Read Me'!$B$14</f>
        <v/>
      </c>
      <c r="I26" s="16">
        <f>ROUNDUP(G26*(1+H26),-2)</f>
        <v/>
      </c>
      <c r="J26" s="20" t="n">
        <v>2500</v>
      </c>
      <c r="K26" s="12">
        <f>IF(J26&gt;0,ROUNDUP(I26/J26,0),0)</f>
        <v/>
      </c>
      <c r="L26" s="21">
        <f>I26*0.3048/1000</f>
        <v/>
      </c>
    </row>
    <row r="27">
      <c r="A27" s="12" t="inlineStr">
        <is>
          <t>LV|3/C+G|2</t>
        </is>
      </c>
      <c r="B27" s="12" t="inlineStr">
        <is>
          <t>LV 600 V</t>
        </is>
      </c>
      <c r="C27" s="12" t="inlineStr">
        <is>
          <t>Type TC-ER 600 V 3/C Cu XHHW-2 + ground, PVC jacket</t>
        </is>
      </c>
      <c r="D27" s="12" t="inlineStr">
        <is>
          <t>3/C+G</t>
        </is>
      </c>
      <c r="E27" s="12" t="inlineStr">
        <is>
          <t>2</t>
        </is>
      </c>
      <c r="F27" s="17">
        <f>SUMIFS('Cable Schedule'!$AA$2:$AA$5696,'Cable Schedule'!$K$2:$K$5696,A27)</f>
        <v/>
      </c>
      <c r="G27" s="18">
        <f>SUMIFS('Cable Schedule'!$W$2:$W$5696,'Cable Schedule'!$K$2:$K$5696,A27)</f>
        <v/>
      </c>
      <c r="H27" s="19">
        <f>'Read Me'!$B$14</f>
        <v/>
      </c>
      <c r="I27" s="16">
        <f>ROUNDUP(G27*(1+H27),-2)</f>
        <v/>
      </c>
      <c r="J27" s="20" t="n">
        <v>2500</v>
      </c>
      <c r="K27" s="12">
        <f>IF(J27&gt;0,ROUNDUP(I27/J27,0),0)</f>
        <v/>
      </c>
      <c r="L27" s="21">
        <f>I27*0.3048/1000</f>
        <v/>
      </c>
    </row>
    <row r="28">
      <c r="A28" s="12" t="inlineStr">
        <is>
          <t>LV|3/C+G|1</t>
        </is>
      </c>
      <c r="B28" s="12" t="inlineStr">
        <is>
          <t>LV 600 V</t>
        </is>
      </c>
      <c r="C28" s="12" t="inlineStr">
        <is>
          <t>Type TC-ER 600 V 3/C Cu XHHW-2 + ground, PVC jacket</t>
        </is>
      </c>
      <c r="D28" s="12" t="inlineStr">
        <is>
          <t>3/C+G</t>
        </is>
      </c>
      <c r="E28" s="12" t="inlineStr">
        <is>
          <t>1</t>
        </is>
      </c>
      <c r="F28" s="17">
        <f>SUMIFS('Cable Schedule'!$AA$2:$AA$5696,'Cable Schedule'!$K$2:$K$5696,A28)</f>
        <v/>
      </c>
      <c r="G28" s="18">
        <f>SUMIFS('Cable Schedule'!$W$2:$W$5696,'Cable Schedule'!$K$2:$K$5696,A28)</f>
        <v/>
      </c>
      <c r="H28" s="19">
        <f>'Read Me'!$B$14</f>
        <v/>
      </c>
      <c r="I28" s="16">
        <f>ROUNDUP(G28*(1+H28),-2)</f>
        <v/>
      </c>
      <c r="J28" s="20" t="n">
        <v>2500</v>
      </c>
      <c r="K28" s="12">
        <f>IF(J28&gt;0,ROUNDUP(I28/J28,0),0)</f>
        <v/>
      </c>
      <c r="L28" s="21">
        <f>I28*0.3048/1000</f>
        <v/>
      </c>
    </row>
    <row r="29">
      <c r="A29" s="12" t="inlineStr">
        <is>
          <t>LV|3/C+G|1/0</t>
        </is>
      </c>
      <c r="B29" s="12" t="inlineStr">
        <is>
          <t>LV 600 V</t>
        </is>
      </c>
      <c r="C29" s="12" t="inlineStr">
        <is>
          <t>Type TC-ER 600 V 3/C Cu XHHW-2 + ground, PVC jacket</t>
        </is>
      </c>
      <c r="D29" s="12" t="inlineStr">
        <is>
          <t>3/C+G</t>
        </is>
      </c>
      <c r="E29" s="12" t="inlineStr">
        <is>
          <t>1/0</t>
        </is>
      </c>
      <c r="F29" s="17">
        <f>SUMIFS('Cable Schedule'!$AA$2:$AA$5696,'Cable Schedule'!$K$2:$K$5696,A29)</f>
        <v/>
      </c>
      <c r="G29" s="18">
        <f>SUMIFS('Cable Schedule'!$W$2:$W$5696,'Cable Schedule'!$K$2:$K$5696,A29)</f>
        <v/>
      </c>
      <c r="H29" s="19">
        <f>'Read Me'!$B$14</f>
        <v/>
      </c>
      <c r="I29" s="16">
        <f>ROUNDUP(G29*(1+H29),-2)</f>
        <v/>
      </c>
      <c r="J29" s="20" t="n">
        <v>2500</v>
      </c>
      <c r="K29" s="12">
        <f>IF(J29&gt;0,ROUNDUP(I29/J29,0),0)</f>
        <v/>
      </c>
      <c r="L29" s="21">
        <f>I29*0.3048/1000</f>
        <v/>
      </c>
    </row>
    <row r="30">
      <c r="A30" s="12" t="inlineStr">
        <is>
          <t>LV|3/C+G|2/0</t>
        </is>
      </c>
      <c r="B30" s="12" t="inlineStr">
        <is>
          <t>LV 600 V</t>
        </is>
      </c>
      <c r="C30" s="12" t="inlineStr">
        <is>
          <t>Type TC-ER 600 V 3/C Cu XHHW-2 + ground, PVC jacket</t>
        </is>
      </c>
      <c r="D30" s="12" t="inlineStr">
        <is>
          <t>3/C+G</t>
        </is>
      </c>
      <c r="E30" s="12" t="inlineStr">
        <is>
          <t>2/0</t>
        </is>
      </c>
      <c r="F30" s="17">
        <f>SUMIFS('Cable Schedule'!$AA$2:$AA$5696,'Cable Schedule'!$K$2:$K$5696,A30)</f>
        <v/>
      </c>
      <c r="G30" s="18">
        <f>SUMIFS('Cable Schedule'!$W$2:$W$5696,'Cable Schedule'!$K$2:$K$5696,A30)</f>
        <v/>
      </c>
      <c r="H30" s="19">
        <f>'Read Me'!$B$14</f>
        <v/>
      </c>
      <c r="I30" s="16">
        <f>ROUNDUP(G30*(1+H30),-2)</f>
        <v/>
      </c>
      <c r="J30" s="20" t="n">
        <v>2500</v>
      </c>
      <c r="K30" s="12">
        <f>IF(J30&gt;0,ROUNDUP(I30/J30,0),0)</f>
        <v/>
      </c>
      <c r="L30" s="21">
        <f>I30*0.3048/1000</f>
        <v/>
      </c>
    </row>
    <row r="31">
      <c r="A31" s="12" t="inlineStr">
        <is>
          <t>LV|3/C+G|3/0</t>
        </is>
      </c>
      <c r="B31" s="12" t="inlineStr">
        <is>
          <t>LV 600 V</t>
        </is>
      </c>
      <c r="C31" s="12" t="inlineStr">
        <is>
          <t>Type TC-ER 600 V 3/C Cu XHHW-2 + ground, PVC jacket</t>
        </is>
      </c>
      <c r="D31" s="12" t="inlineStr">
        <is>
          <t>3/C+G</t>
        </is>
      </c>
      <c r="E31" s="12" t="inlineStr">
        <is>
          <t>3/0</t>
        </is>
      </c>
      <c r="F31" s="17">
        <f>SUMIFS('Cable Schedule'!$AA$2:$AA$5696,'Cable Schedule'!$K$2:$K$5696,A31)</f>
        <v/>
      </c>
      <c r="G31" s="18">
        <f>SUMIFS('Cable Schedule'!$W$2:$W$5696,'Cable Schedule'!$K$2:$K$5696,A31)</f>
        <v/>
      </c>
      <c r="H31" s="19">
        <f>'Read Me'!$B$14</f>
        <v/>
      </c>
      <c r="I31" s="16">
        <f>ROUNDUP(G31*(1+H31),-2)</f>
        <v/>
      </c>
      <c r="J31" s="20" t="n">
        <v>2500</v>
      </c>
      <c r="K31" s="12">
        <f>IF(J31&gt;0,ROUNDUP(I31/J31,0),0)</f>
        <v/>
      </c>
      <c r="L31" s="21">
        <f>I31*0.3048/1000</f>
        <v/>
      </c>
    </row>
    <row r="32">
      <c r="A32" s="12" t="inlineStr">
        <is>
          <t>LV|3/C+G|4/0</t>
        </is>
      </c>
      <c r="B32" s="12" t="inlineStr">
        <is>
          <t>LV 600 V</t>
        </is>
      </c>
      <c r="C32" s="12" t="inlineStr">
        <is>
          <t>Type TC-ER 600 V 3/C Cu XHHW-2 + ground, PVC jacket</t>
        </is>
      </c>
      <c r="D32" s="12" t="inlineStr">
        <is>
          <t>3/C+G</t>
        </is>
      </c>
      <c r="E32" s="12" t="inlineStr">
        <is>
          <t>4/0</t>
        </is>
      </c>
      <c r="F32" s="17">
        <f>SUMIFS('Cable Schedule'!$AA$2:$AA$5696,'Cable Schedule'!$K$2:$K$5696,A32)</f>
        <v/>
      </c>
      <c r="G32" s="18">
        <f>SUMIFS('Cable Schedule'!$W$2:$W$5696,'Cable Schedule'!$K$2:$K$5696,A32)</f>
        <v/>
      </c>
      <c r="H32" s="19">
        <f>'Read Me'!$B$14</f>
        <v/>
      </c>
      <c r="I32" s="16">
        <f>ROUNDUP(G32*(1+H32),-2)</f>
        <v/>
      </c>
      <c r="J32" s="20" t="n">
        <v>2500</v>
      </c>
      <c r="K32" s="12">
        <f>IF(J32&gt;0,ROUNDUP(I32/J32,0),0)</f>
        <v/>
      </c>
      <c r="L32" s="21">
        <f>I32*0.3048/1000</f>
        <v/>
      </c>
    </row>
    <row r="33">
      <c r="A33" s="12" t="inlineStr">
        <is>
          <t>LV|3/C+G|250</t>
        </is>
      </c>
      <c r="B33" s="12" t="inlineStr">
        <is>
          <t>LV 600 V</t>
        </is>
      </c>
      <c r="C33" s="12" t="inlineStr">
        <is>
          <t>Type TC-ER 600 V 3/C Cu XHHW-2 + ground, PVC jacket</t>
        </is>
      </c>
      <c r="D33" s="12" t="inlineStr">
        <is>
          <t>3/C+G</t>
        </is>
      </c>
      <c r="E33" s="12" t="inlineStr">
        <is>
          <t>250 kcmil</t>
        </is>
      </c>
      <c r="F33" s="17">
        <f>SUMIFS('Cable Schedule'!$AA$2:$AA$5696,'Cable Schedule'!$K$2:$K$5696,A33)</f>
        <v/>
      </c>
      <c r="G33" s="18">
        <f>SUMIFS('Cable Schedule'!$W$2:$W$5696,'Cable Schedule'!$K$2:$K$5696,A33)</f>
        <v/>
      </c>
      <c r="H33" s="19">
        <f>'Read Me'!$B$14</f>
        <v/>
      </c>
      <c r="I33" s="16">
        <f>ROUNDUP(G33*(1+H33),-2)</f>
        <v/>
      </c>
      <c r="J33" s="20" t="n">
        <v>2500</v>
      </c>
      <c r="K33" s="12">
        <f>IF(J33&gt;0,ROUNDUP(I33/J33,0),0)</f>
        <v/>
      </c>
      <c r="L33" s="21">
        <f>I33*0.3048/1000</f>
        <v/>
      </c>
    </row>
    <row r="34">
      <c r="A34" s="12" t="inlineStr">
        <is>
          <t>LV|3/C+G|350</t>
        </is>
      </c>
      <c r="B34" s="12" t="inlineStr">
        <is>
          <t>LV 600 V</t>
        </is>
      </c>
      <c r="C34" s="12" t="inlineStr">
        <is>
          <t>Type TC-ER 600 V 3/C Cu XHHW-2 + ground, PVC jacket</t>
        </is>
      </c>
      <c r="D34" s="12" t="inlineStr">
        <is>
          <t>3/C+G</t>
        </is>
      </c>
      <c r="E34" s="12" t="inlineStr">
        <is>
          <t>350 kcmil</t>
        </is>
      </c>
      <c r="F34" s="17">
        <f>SUMIFS('Cable Schedule'!$AA$2:$AA$5696,'Cable Schedule'!$K$2:$K$5696,A34)</f>
        <v/>
      </c>
      <c r="G34" s="18">
        <f>SUMIFS('Cable Schedule'!$W$2:$W$5696,'Cable Schedule'!$K$2:$K$5696,A34)</f>
        <v/>
      </c>
      <c r="H34" s="19">
        <f>'Read Me'!$B$14</f>
        <v/>
      </c>
      <c r="I34" s="16">
        <f>ROUNDUP(G34*(1+H34),-2)</f>
        <v/>
      </c>
      <c r="J34" s="20" t="n">
        <v>2500</v>
      </c>
      <c r="K34" s="12">
        <f>IF(J34&gt;0,ROUNDUP(I34/J34,0),0)</f>
        <v/>
      </c>
      <c r="L34" s="21">
        <f>I34*0.3048/1000</f>
        <v/>
      </c>
    </row>
    <row r="35">
      <c r="A35" s="12" t="inlineStr">
        <is>
          <t>LV|3/C+G|500</t>
        </is>
      </c>
      <c r="B35" s="12" t="inlineStr">
        <is>
          <t>LV 600 V</t>
        </is>
      </c>
      <c r="C35" s="12" t="inlineStr">
        <is>
          <t>Type TC-ER 600 V 3/C Cu XHHW-2 + ground, PVC jacket</t>
        </is>
      </c>
      <c r="D35" s="12" t="inlineStr">
        <is>
          <t>3/C+G</t>
        </is>
      </c>
      <c r="E35" s="12" t="inlineStr">
        <is>
          <t>500 kcmil</t>
        </is>
      </c>
      <c r="F35" s="17">
        <f>SUMIFS('Cable Schedule'!$AA$2:$AA$5696,'Cable Schedule'!$K$2:$K$5696,A35)</f>
        <v/>
      </c>
      <c r="G35" s="18">
        <f>SUMIFS('Cable Schedule'!$W$2:$W$5696,'Cable Schedule'!$K$2:$K$5696,A35)</f>
        <v/>
      </c>
      <c r="H35" s="19">
        <f>'Read Me'!$B$14</f>
        <v/>
      </c>
      <c r="I35" s="16">
        <f>ROUNDUP(G35*(1+H35),-2)</f>
        <v/>
      </c>
      <c r="J35" s="20" t="n">
        <v>2500</v>
      </c>
      <c r="K35" s="12">
        <f>IF(J35&gt;0,ROUNDUP(I35/J35,0),0)</f>
        <v/>
      </c>
      <c r="L35" s="21">
        <f>I35*0.3048/1000</f>
        <v/>
      </c>
    </row>
    <row r="36">
      <c r="A36" s="12" t="inlineStr">
        <is>
          <t>LV1C|1/C|500</t>
        </is>
      </c>
      <c r="B36" s="12" t="inlineStr">
        <is>
          <t>LV 600 V</t>
        </is>
      </c>
      <c r="C36" s="12" t="inlineStr">
        <is>
          <t>XHHW-2 600 V 1/C Cu (feeder sets in tray / duct)</t>
        </is>
      </c>
      <c r="D36" s="12" t="inlineStr">
        <is>
          <t>1/C</t>
        </is>
      </c>
      <c r="E36" s="12" t="inlineStr">
        <is>
          <t>500 kcmil</t>
        </is>
      </c>
      <c r="F36" s="17">
        <f>SUMIFS('Cable Schedule'!$AA$2:$AA$5696,'Cable Schedule'!$K$2:$K$5696,A36)</f>
        <v/>
      </c>
      <c r="G36" s="18">
        <f>SUMIFS('Cable Schedule'!$W$2:$W$5696,'Cable Schedule'!$K$2:$K$5696,A36)</f>
        <v/>
      </c>
      <c r="H36" s="19">
        <f>'Read Me'!$B$14</f>
        <v/>
      </c>
      <c r="I36" s="16">
        <f>ROUNDUP(G36*(1+H36),-2)</f>
        <v/>
      </c>
      <c r="J36" s="20" t="n">
        <v>2500</v>
      </c>
      <c r="K36" s="12">
        <f>IF(J36&gt;0,ROUNDUP(I36/J36,0),0)</f>
        <v/>
      </c>
      <c r="L36" s="21">
        <f>I36*0.3048/1000</f>
        <v/>
      </c>
    </row>
    <row r="37">
      <c r="A37" s="12" t="inlineStr">
        <is>
          <t>LVAX|3/C+G|10</t>
        </is>
      </c>
      <c r="B37" s="12" t="inlineStr">
        <is>
          <t>LV 600 V</t>
        </is>
      </c>
      <c r="C37" s="12" t="inlineStr">
        <is>
          <t>ARMOR-X MC-HL 600 V 3/C Cu XHHW-2 + ground, CWA, black PVC (Class I Div 2)</t>
        </is>
      </c>
      <c r="D37" s="12" t="inlineStr">
        <is>
          <t>3/C+G</t>
        </is>
      </c>
      <c r="E37" s="12" t="inlineStr">
        <is>
          <t>10</t>
        </is>
      </c>
      <c r="F37" s="17">
        <f>SUMIFS('Cable Schedule'!$AA$2:$AA$5696,'Cable Schedule'!$K$2:$K$5696,A37)</f>
        <v/>
      </c>
      <c r="G37" s="18">
        <f>SUMIFS('Cable Schedule'!$W$2:$W$5696,'Cable Schedule'!$K$2:$K$5696,A37)</f>
        <v/>
      </c>
      <c r="H37" s="19">
        <f>'Read Me'!$B$14</f>
        <v/>
      </c>
      <c r="I37" s="16">
        <f>ROUNDUP(G37*(1+H37),-2)</f>
        <v/>
      </c>
      <c r="J37" s="20" t="n">
        <v>2000</v>
      </c>
      <c r="K37" s="12">
        <f>IF(J37&gt;0,ROUNDUP(I37/J37,0),0)</f>
        <v/>
      </c>
      <c r="L37" s="21">
        <f>I37*0.3048/1000</f>
        <v/>
      </c>
    </row>
    <row r="38">
      <c r="A38" s="12" t="inlineStr">
        <is>
          <t>LVAX|3/C+G|8</t>
        </is>
      </c>
      <c r="B38" s="12" t="inlineStr">
        <is>
          <t>LV 600 V</t>
        </is>
      </c>
      <c r="C38" s="12" t="inlineStr">
        <is>
          <t>ARMOR-X MC-HL 600 V 3/C Cu XHHW-2 + ground, CWA, black PVC (Class I Div 2)</t>
        </is>
      </c>
      <c r="D38" s="12" t="inlineStr">
        <is>
          <t>3/C+G</t>
        </is>
      </c>
      <c r="E38" s="12" t="inlineStr">
        <is>
          <t>8</t>
        </is>
      </c>
      <c r="F38" s="17">
        <f>SUMIFS('Cable Schedule'!$AA$2:$AA$5696,'Cable Schedule'!$K$2:$K$5696,A38)</f>
        <v/>
      </c>
      <c r="G38" s="18">
        <f>SUMIFS('Cable Schedule'!$W$2:$W$5696,'Cable Schedule'!$K$2:$K$5696,A38)</f>
        <v/>
      </c>
      <c r="H38" s="19">
        <f>'Read Me'!$B$14</f>
        <v/>
      </c>
      <c r="I38" s="16">
        <f>ROUNDUP(G38*(1+H38),-2)</f>
        <v/>
      </c>
      <c r="J38" s="20" t="n">
        <v>2000</v>
      </c>
      <c r="K38" s="12">
        <f>IF(J38&gt;0,ROUNDUP(I38/J38,0),0)</f>
        <v/>
      </c>
      <c r="L38" s="21">
        <f>I38*0.3048/1000</f>
        <v/>
      </c>
    </row>
    <row r="39">
      <c r="A39" s="12" t="inlineStr">
        <is>
          <t>LVAX|3/C+G|6</t>
        </is>
      </c>
      <c r="B39" s="12" t="inlineStr">
        <is>
          <t>LV 600 V</t>
        </is>
      </c>
      <c r="C39" s="12" t="inlineStr">
        <is>
          <t>ARMOR-X MC-HL 600 V 3/C Cu XHHW-2 + ground, CWA, black PVC (Class I Div 2)</t>
        </is>
      </c>
      <c r="D39" s="12" t="inlineStr">
        <is>
          <t>3/C+G</t>
        </is>
      </c>
      <c r="E39" s="12" t="inlineStr">
        <is>
          <t>6</t>
        </is>
      </c>
      <c r="F39" s="17">
        <f>SUMIFS('Cable Schedule'!$AA$2:$AA$5696,'Cable Schedule'!$K$2:$K$5696,A39)</f>
        <v/>
      </c>
      <c r="G39" s="18">
        <f>SUMIFS('Cable Schedule'!$W$2:$W$5696,'Cable Schedule'!$K$2:$K$5696,A39)</f>
        <v/>
      </c>
      <c r="H39" s="19">
        <f>'Read Me'!$B$14</f>
        <v/>
      </c>
      <c r="I39" s="16">
        <f>ROUNDUP(G39*(1+H39),-2)</f>
        <v/>
      </c>
      <c r="J39" s="20" t="n">
        <v>2000</v>
      </c>
      <c r="K39" s="12">
        <f>IF(J39&gt;0,ROUNDUP(I39/J39,0),0)</f>
        <v/>
      </c>
      <c r="L39" s="21">
        <f>I39*0.3048/1000</f>
        <v/>
      </c>
    </row>
    <row r="40">
      <c r="A40" s="12" t="inlineStr">
        <is>
          <t>LVAX|3/C+G|4</t>
        </is>
      </c>
      <c r="B40" s="12" t="inlineStr">
        <is>
          <t>LV 600 V</t>
        </is>
      </c>
      <c r="C40" s="12" t="inlineStr">
        <is>
          <t>ARMOR-X MC-HL 600 V 3/C Cu XHHW-2 + ground, CWA, black PVC (Class I Div 2)</t>
        </is>
      </c>
      <c r="D40" s="12" t="inlineStr">
        <is>
          <t>3/C+G</t>
        </is>
      </c>
      <c r="E40" s="12" t="inlineStr">
        <is>
          <t>4</t>
        </is>
      </c>
      <c r="F40" s="17">
        <f>SUMIFS('Cable Schedule'!$AA$2:$AA$5696,'Cable Schedule'!$K$2:$K$5696,A40)</f>
        <v/>
      </c>
      <c r="G40" s="18">
        <f>SUMIFS('Cable Schedule'!$W$2:$W$5696,'Cable Schedule'!$K$2:$K$5696,A40)</f>
        <v/>
      </c>
      <c r="H40" s="19">
        <f>'Read Me'!$B$14</f>
        <v/>
      </c>
      <c r="I40" s="16">
        <f>ROUNDUP(G40*(1+H40),-2)</f>
        <v/>
      </c>
      <c r="J40" s="20" t="n">
        <v>2000</v>
      </c>
      <c r="K40" s="12">
        <f>IF(J40&gt;0,ROUNDUP(I40/J40,0),0)</f>
        <v/>
      </c>
      <c r="L40" s="21">
        <f>I40*0.3048/1000</f>
        <v/>
      </c>
    </row>
    <row r="41">
      <c r="A41" s="12" t="inlineStr">
        <is>
          <t>LVAX|3/C+G|2</t>
        </is>
      </c>
      <c r="B41" s="12" t="inlineStr">
        <is>
          <t>LV 600 V</t>
        </is>
      </c>
      <c r="C41" s="12" t="inlineStr">
        <is>
          <t>ARMOR-X MC-HL 600 V 3/C Cu XHHW-2 + ground, CWA, black PVC (Class I Div 2)</t>
        </is>
      </c>
      <c r="D41" s="12" t="inlineStr">
        <is>
          <t>3/C+G</t>
        </is>
      </c>
      <c r="E41" s="12" t="inlineStr">
        <is>
          <t>2</t>
        </is>
      </c>
      <c r="F41" s="17">
        <f>SUMIFS('Cable Schedule'!$AA$2:$AA$5696,'Cable Schedule'!$K$2:$K$5696,A41)</f>
        <v/>
      </c>
      <c r="G41" s="18">
        <f>SUMIFS('Cable Schedule'!$W$2:$W$5696,'Cable Schedule'!$K$2:$K$5696,A41)</f>
        <v/>
      </c>
      <c r="H41" s="19">
        <f>'Read Me'!$B$14</f>
        <v/>
      </c>
      <c r="I41" s="16">
        <f>ROUNDUP(G41*(1+H41),-2)</f>
        <v/>
      </c>
      <c r="J41" s="20" t="n">
        <v>2000</v>
      </c>
      <c r="K41" s="12">
        <f>IF(J41&gt;0,ROUNDUP(I41/J41,0),0)</f>
        <v/>
      </c>
      <c r="L41" s="21">
        <f>I41*0.3048/1000</f>
        <v/>
      </c>
    </row>
    <row r="42">
      <c r="A42" s="12" t="inlineStr">
        <is>
          <t>LVAX|3/C+G|1</t>
        </is>
      </c>
      <c r="B42" s="12" t="inlineStr">
        <is>
          <t>LV 600 V</t>
        </is>
      </c>
      <c r="C42" s="12" t="inlineStr">
        <is>
          <t>ARMOR-X MC-HL 600 V 3/C Cu XHHW-2 + ground, CWA, black PVC (Class I Div 2)</t>
        </is>
      </c>
      <c r="D42" s="12" t="inlineStr">
        <is>
          <t>3/C+G</t>
        </is>
      </c>
      <c r="E42" s="12" t="inlineStr">
        <is>
          <t>1</t>
        </is>
      </c>
      <c r="F42" s="17">
        <f>SUMIFS('Cable Schedule'!$AA$2:$AA$5696,'Cable Schedule'!$K$2:$K$5696,A42)</f>
        <v/>
      </c>
      <c r="G42" s="18">
        <f>SUMIFS('Cable Schedule'!$W$2:$W$5696,'Cable Schedule'!$K$2:$K$5696,A42)</f>
        <v/>
      </c>
      <c r="H42" s="19">
        <f>'Read Me'!$B$14</f>
        <v/>
      </c>
      <c r="I42" s="16">
        <f>ROUNDUP(G42*(1+H42),-2)</f>
        <v/>
      </c>
      <c r="J42" s="20" t="n">
        <v>2000</v>
      </c>
      <c r="K42" s="12">
        <f>IF(J42&gt;0,ROUNDUP(I42/J42,0),0)</f>
        <v/>
      </c>
      <c r="L42" s="21">
        <f>I42*0.3048/1000</f>
        <v/>
      </c>
    </row>
    <row r="43">
      <c r="A43" s="12" t="inlineStr">
        <is>
          <t>LVAX|3/C+G|1/0</t>
        </is>
      </c>
      <c r="B43" s="12" t="inlineStr">
        <is>
          <t>LV 600 V</t>
        </is>
      </c>
      <c r="C43" s="12" t="inlineStr">
        <is>
          <t>ARMOR-X MC-HL 600 V 3/C Cu XHHW-2 + ground, CWA, black PVC (Class I Div 2)</t>
        </is>
      </c>
      <c r="D43" s="12" t="inlineStr">
        <is>
          <t>3/C+G</t>
        </is>
      </c>
      <c r="E43" s="12" t="inlineStr">
        <is>
          <t>1/0</t>
        </is>
      </c>
      <c r="F43" s="17">
        <f>SUMIFS('Cable Schedule'!$AA$2:$AA$5696,'Cable Schedule'!$K$2:$K$5696,A43)</f>
        <v/>
      </c>
      <c r="G43" s="18">
        <f>SUMIFS('Cable Schedule'!$W$2:$W$5696,'Cable Schedule'!$K$2:$K$5696,A43)</f>
        <v/>
      </c>
      <c r="H43" s="19">
        <f>'Read Me'!$B$14</f>
        <v/>
      </c>
      <c r="I43" s="16">
        <f>ROUNDUP(G43*(1+H43),-2)</f>
        <v/>
      </c>
      <c r="J43" s="20" t="n">
        <v>2000</v>
      </c>
      <c r="K43" s="12">
        <f>IF(J43&gt;0,ROUNDUP(I43/J43,0),0)</f>
        <v/>
      </c>
      <c r="L43" s="21">
        <f>I43*0.3048/1000</f>
        <v/>
      </c>
    </row>
    <row r="44">
      <c r="A44" s="12" t="inlineStr">
        <is>
          <t>LVAX|3/C+G|3/0</t>
        </is>
      </c>
      <c r="B44" s="12" t="inlineStr">
        <is>
          <t>LV 600 V</t>
        </is>
      </c>
      <c r="C44" s="12" t="inlineStr">
        <is>
          <t>ARMOR-X MC-HL 600 V 3/C Cu XHHW-2 + ground, CWA, black PVC (Class I Div 2)</t>
        </is>
      </c>
      <c r="D44" s="12" t="inlineStr">
        <is>
          <t>3/C+G</t>
        </is>
      </c>
      <c r="E44" s="12" t="inlineStr">
        <is>
          <t>3/0</t>
        </is>
      </c>
      <c r="F44" s="17">
        <f>SUMIFS('Cable Schedule'!$AA$2:$AA$5696,'Cable Schedule'!$K$2:$K$5696,A44)</f>
        <v/>
      </c>
      <c r="G44" s="18">
        <f>SUMIFS('Cable Schedule'!$W$2:$W$5696,'Cable Schedule'!$K$2:$K$5696,A44)</f>
        <v/>
      </c>
      <c r="H44" s="19">
        <f>'Read Me'!$B$14</f>
        <v/>
      </c>
      <c r="I44" s="16">
        <f>ROUNDUP(G44*(1+H44),-2)</f>
        <v/>
      </c>
      <c r="J44" s="20" t="n">
        <v>2000</v>
      </c>
      <c r="K44" s="12">
        <f>IF(J44&gt;0,ROUNDUP(I44/J44,0),0)</f>
        <v/>
      </c>
      <c r="L44" s="21">
        <f>I44*0.3048/1000</f>
        <v/>
      </c>
    </row>
    <row r="45">
      <c r="A45" s="12" t="inlineStr">
        <is>
          <t>LVAX|3/C+G|4/0</t>
        </is>
      </c>
      <c r="B45" s="12" t="inlineStr">
        <is>
          <t>LV 600 V</t>
        </is>
      </c>
      <c r="C45" s="12" t="inlineStr">
        <is>
          <t>ARMOR-X MC-HL 600 V 3/C Cu XHHW-2 + ground, CWA, black PVC (Class I Div 2)</t>
        </is>
      </c>
      <c r="D45" s="12" t="inlineStr">
        <is>
          <t>3/C+G</t>
        </is>
      </c>
      <c r="E45" s="12" t="inlineStr">
        <is>
          <t>4/0</t>
        </is>
      </c>
      <c r="F45" s="17">
        <f>SUMIFS('Cable Schedule'!$AA$2:$AA$5696,'Cable Schedule'!$K$2:$K$5696,A45)</f>
        <v/>
      </c>
      <c r="G45" s="18">
        <f>SUMIFS('Cable Schedule'!$W$2:$W$5696,'Cable Schedule'!$K$2:$K$5696,A45)</f>
        <v/>
      </c>
      <c r="H45" s="19">
        <f>'Read Me'!$B$14</f>
        <v/>
      </c>
      <c r="I45" s="16">
        <f>ROUNDUP(G45*(1+H45),-2)</f>
        <v/>
      </c>
      <c r="J45" s="20" t="n">
        <v>2000</v>
      </c>
      <c r="K45" s="12">
        <f>IF(J45&gt;0,ROUNDUP(I45/J45,0),0)</f>
        <v/>
      </c>
      <c r="L45" s="21">
        <f>I45*0.3048/1000</f>
        <v/>
      </c>
    </row>
    <row r="46">
      <c r="A46" s="12" t="inlineStr">
        <is>
          <t>LVAX|3/C+G|350</t>
        </is>
      </c>
      <c r="B46" s="12" t="inlineStr">
        <is>
          <t>LV 600 V</t>
        </is>
      </c>
      <c r="C46" s="12" t="inlineStr">
        <is>
          <t>ARMOR-X MC-HL 600 V 3/C Cu XHHW-2 + ground, CWA, black PVC (Class I Div 2)</t>
        </is>
      </c>
      <c r="D46" s="12" t="inlineStr">
        <is>
          <t>3/C+G</t>
        </is>
      </c>
      <c r="E46" s="12" t="inlineStr">
        <is>
          <t>350 kcmil</t>
        </is>
      </c>
      <c r="F46" s="17">
        <f>SUMIFS('Cable Schedule'!$AA$2:$AA$5696,'Cable Schedule'!$K$2:$K$5696,A46)</f>
        <v/>
      </c>
      <c r="G46" s="18">
        <f>SUMIFS('Cable Schedule'!$W$2:$W$5696,'Cable Schedule'!$K$2:$K$5696,A46)</f>
        <v/>
      </c>
      <c r="H46" s="19">
        <f>'Read Me'!$B$14</f>
        <v/>
      </c>
      <c r="I46" s="16">
        <f>ROUNDUP(G46*(1+H46),-2)</f>
        <v/>
      </c>
      <c r="J46" s="20" t="n">
        <v>2000</v>
      </c>
      <c r="K46" s="12">
        <f>IF(J46&gt;0,ROUNDUP(I46/J46,0),0)</f>
        <v/>
      </c>
      <c r="L46" s="21">
        <f>I46*0.3048/1000</f>
        <v/>
      </c>
    </row>
    <row r="47">
      <c r="A47" s="12" t="inlineStr">
        <is>
          <t>VFD|3/C+3G|6</t>
        </is>
      </c>
      <c r="B47" s="12" t="inlineStr">
        <is>
          <t>LV 600 V</t>
        </is>
      </c>
      <c r="C47" s="12" t="inlineStr">
        <is>
          <t>VFD cable 600 V 3/C Cu XHHW-2, 3 symmetrical grounds, overall Cu tape shield, TC-ER</t>
        </is>
      </c>
      <c r="D47" s="12" t="inlineStr">
        <is>
          <t>3/C+3G</t>
        </is>
      </c>
      <c r="E47" s="12" t="inlineStr">
        <is>
          <t>6</t>
        </is>
      </c>
      <c r="F47" s="17">
        <f>SUMIFS('Cable Schedule'!$AA$2:$AA$5696,'Cable Schedule'!$K$2:$K$5696,A47)</f>
        <v/>
      </c>
      <c r="G47" s="18">
        <f>SUMIFS('Cable Schedule'!$W$2:$W$5696,'Cable Schedule'!$K$2:$K$5696,A47)</f>
        <v/>
      </c>
      <c r="H47" s="19">
        <f>'Read Me'!$B$14</f>
        <v/>
      </c>
      <c r="I47" s="16">
        <f>ROUNDUP(G47*(1+H47),-2)</f>
        <v/>
      </c>
      <c r="J47" s="20" t="n">
        <v>2500</v>
      </c>
      <c r="K47" s="12">
        <f>IF(J47&gt;0,ROUNDUP(I47/J47,0),0)</f>
        <v/>
      </c>
      <c r="L47" s="21">
        <f>I47*0.3048/1000</f>
        <v/>
      </c>
    </row>
    <row r="48">
      <c r="A48" s="12" t="inlineStr">
        <is>
          <t>VFD|3/C+3G|2</t>
        </is>
      </c>
      <c r="B48" s="12" t="inlineStr">
        <is>
          <t>LV 600 V</t>
        </is>
      </c>
      <c r="C48" s="12" t="inlineStr">
        <is>
          <t>VFD cable 600 V 3/C Cu XHHW-2, 3 symmetrical grounds, overall Cu tape shield, TC-ER</t>
        </is>
      </c>
      <c r="D48" s="12" t="inlineStr">
        <is>
          <t>3/C+3G</t>
        </is>
      </c>
      <c r="E48" s="12" t="inlineStr">
        <is>
          <t>2</t>
        </is>
      </c>
      <c r="F48" s="17">
        <f>SUMIFS('Cable Schedule'!$AA$2:$AA$5696,'Cable Schedule'!$K$2:$K$5696,A48)</f>
        <v/>
      </c>
      <c r="G48" s="18">
        <f>SUMIFS('Cable Schedule'!$W$2:$W$5696,'Cable Schedule'!$K$2:$K$5696,A48)</f>
        <v/>
      </c>
      <c r="H48" s="19">
        <f>'Read Me'!$B$14</f>
        <v/>
      </c>
      <c r="I48" s="16">
        <f>ROUNDUP(G48*(1+H48),-2)</f>
        <v/>
      </c>
      <c r="J48" s="20" t="n">
        <v>2500</v>
      </c>
      <c r="K48" s="12">
        <f>IF(J48&gt;0,ROUNDUP(I48/J48,0),0)</f>
        <v/>
      </c>
      <c r="L48" s="21">
        <f>I48*0.3048/1000</f>
        <v/>
      </c>
    </row>
    <row r="49">
      <c r="A49" s="12" t="inlineStr">
        <is>
          <t>VFD|3/C+3G|1</t>
        </is>
      </c>
      <c r="B49" s="12" t="inlineStr">
        <is>
          <t>LV 600 V</t>
        </is>
      </c>
      <c r="C49" s="12" t="inlineStr">
        <is>
          <t>VFD cable 600 V 3/C Cu XHHW-2, 3 symmetrical grounds, overall Cu tape shield, TC-ER</t>
        </is>
      </c>
      <c r="D49" s="12" t="inlineStr">
        <is>
          <t>3/C+3G</t>
        </is>
      </c>
      <c r="E49" s="12" t="inlineStr">
        <is>
          <t>1</t>
        </is>
      </c>
      <c r="F49" s="17">
        <f>SUMIFS('Cable Schedule'!$AA$2:$AA$5696,'Cable Schedule'!$K$2:$K$5696,A49)</f>
        <v/>
      </c>
      <c r="G49" s="18">
        <f>SUMIFS('Cable Schedule'!$W$2:$W$5696,'Cable Schedule'!$K$2:$K$5696,A49)</f>
        <v/>
      </c>
      <c r="H49" s="19">
        <f>'Read Me'!$B$14</f>
        <v/>
      </c>
      <c r="I49" s="16">
        <f>ROUNDUP(G49*(1+H49),-2)</f>
        <v/>
      </c>
      <c r="J49" s="20" t="n">
        <v>2500</v>
      </c>
      <c r="K49" s="12">
        <f>IF(J49&gt;0,ROUNDUP(I49/J49,0),0)</f>
        <v/>
      </c>
      <c r="L49" s="21">
        <f>I49*0.3048/1000</f>
        <v/>
      </c>
    </row>
    <row r="50">
      <c r="A50" s="12" t="inlineStr">
        <is>
          <t>VFD|3/C+3G|2/0</t>
        </is>
      </c>
      <c r="B50" s="12" t="inlineStr">
        <is>
          <t>LV 600 V</t>
        </is>
      </c>
      <c r="C50" s="12" t="inlineStr">
        <is>
          <t>VFD cable 600 V 3/C Cu XHHW-2, 3 symmetrical grounds, overall Cu tape shield, TC-ER</t>
        </is>
      </c>
      <c r="D50" s="12" t="inlineStr">
        <is>
          <t>3/C+3G</t>
        </is>
      </c>
      <c r="E50" s="12" t="inlineStr">
        <is>
          <t>2/0</t>
        </is>
      </c>
      <c r="F50" s="17">
        <f>SUMIFS('Cable Schedule'!$AA$2:$AA$5696,'Cable Schedule'!$K$2:$K$5696,A50)</f>
        <v/>
      </c>
      <c r="G50" s="18">
        <f>SUMIFS('Cable Schedule'!$W$2:$W$5696,'Cable Schedule'!$K$2:$K$5696,A50)</f>
        <v/>
      </c>
      <c r="H50" s="19">
        <f>'Read Me'!$B$14</f>
        <v/>
      </c>
      <c r="I50" s="16">
        <f>ROUNDUP(G50*(1+H50),-2)</f>
        <v/>
      </c>
      <c r="J50" s="20" t="n">
        <v>2500</v>
      </c>
      <c r="K50" s="12">
        <f>IF(J50&gt;0,ROUNDUP(I50/J50,0),0)</f>
        <v/>
      </c>
      <c r="L50" s="21">
        <f>I50*0.3048/1000</f>
        <v/>
      </c>
    </row>
    <row r="51">
      <c r="A51" s="12" t="inlineStr">
        <is>
          <t>VFD|3/C+3G|3/0</t>
        </is>
      </c>
      <c r="B51" s="12" t="inlineStr">
        <is>
          <t>LV 600 V</t>
        </is>
      </c>
      <c r="C51" s="12" t="inlineStr">
        <is>
          <t>VFD cable 600 V 3/C Cu XHHW-2, 3 symmetrical grounds, overall Cu tape shield, TC-ER</t>
        </is>
      </c>
      <c r="D51" s="12" t="inlineStr">
        <is>
          <t>3/C+3G</t>
        </is>
      </c>
      <c r="E51" s="12" t="inlineStr">
        <is>
          <t>3/0</t>
        </is>
      </c>
      <c r="F51" s="17">
        <f>SUMIFS('Cable Schedule'!$AA$2:$AA$5696,'Cable Schedule'!$K$2:$K$5696,A51)</f>
        <v/>
      </c>
      <c r="G51" s="18">
        <f>SUMIFS('Cable Schedule'!$W$2:$W$5696,'Cable Schedule'!$K$2:$K$5696,A51)</f>
        <v/>
      </c>
      <c r="H51" s="19">
        <f>'Read Me'!$B$14</f>
        <v/>
      </c>
      <c r="I51" s="16">
        <f>ROUNDUP(G51*(1+H51),-2)</f>
        <v/>
      </c>
      <c r="J51" s="20" t="n">
        <v>2500</v>
      </c>
      <c r="K51" s="12">
        <f>IF(J51&gt;0,ROUNDUP(I51/J51,0),0)</f>
        <v/>
      </c>
      <c r="L51" s="21">
        <f>I51*0.3048/1000</f>
        <v/>
      </c>
    </row>
    <row r="52">
      <c r="A52" s="12" t="inlineStr">
        <is>
          <t>VFD|3/C+3G|350</t>
        </is>
      </c>
      <c r="B52" s="12" t="inlineStr">
        <is>
          <t>LV 600 V</t>
        </is>
      </c>
      <c r="C52" s="12" t="inlineStr">
        <is>
          <t>VFD cable 600 V 3/C Cu XHHW-2, 3 symmetrical grounds, overall Cu tape shield, TC-ER</t>
        </is>
      </c>
      <c r="D52" s="12" t="inlineStr">
        <is>
          <t>3/C+3G</t>
        </is>
      </c>
      <c r="E52" s="12" t="inlineStr">
        <is>
          <t>350 kcmil</t>
        </is>
      </c>
      <c r="F52" s="17">
        <f>SUMIFS('Cable Schedule'!$AA$2:$AA$5696,'Cable Schedule'!$K$2:$K$5696,A52)</f>
        <v/>
      </c>
      <c r="G52" s="18">
        <f>SUMIFS('Cable Schedule'!$W$2:$W$5696,'Cable Schedule'!$K$2:$K$5696,A52)</f>
        <v/>
      </c>
      <c r="H52" s="19">
        <f>'Read Me'!$B$14</f>
        <v/>
      </c>
      <c r="I52" s="16">
        <f>ROUNDUP(G52*(1+H52),-2)</f>
        <v/>
      </c>
      <c r="J52" s="20" t="n">
        <v>2500</v>
      </c>
      <c r="K52" s="12">
        <f>IF(J52&gt;0,ROUNDUP(I52/J52,0),0)</f>
        <v/>
      </c>
      <c r="L52" s="21">
        <f>I52*0.3048/1000</f>
        <v/>
      </c>
    </row>
    <row r="53">
      <c r="A53" s="12" t="inlineStr">
        <is>
          <t>CT|12/C|14</t>
        </is>
      </c>
      <c r="B53" s="12" t="inlineStr">
        <is>
          <t>Control</t>
        </is>
      </c>
      <c r="C53" s="12" t="inlineStr">
        <is>
          <t>Control cable 600 V Type TC-ER, Cu #14 AWG, PVC jacket</t>
        </is>
      </c>
      <c r="D53" s="12" t="inlineStr">
        <is>
          <t>12/C</t>
        </is>
      </c>
      <c r="E53" s="12" t="inlineStr">
        <is>
          <t>14</t>
        </is>
      </c>
      <c r="F53" s="17">
        <f>SUMIFS('Cable Schedule'!$AA$2:$AA$5696,'Cable Schedule'!$K$2:$K$5696,A53)</f>
        <v/>
      </c>
      <c r="G53" s="18">
        <f>SUMIFS('Cable Schedule'!$W$2:$W$5696,'Cable Schedule'!$K$2:$K$5696,A53)</f>
        <v/>
      </c>
      <c r="H53" s="19">
        <f>'Read Me'!$B$14</f>
        <v/>
      </c>
      <c r="I53" s="16">
        <f>ROUNDUP(G53*(1+H53),-2)</f>
        <v/>
      </c>
      <c r="J53" s="20" t="n">
        <v>5000</v>
      </c>
      <c r="K53" s="12">
        <f>IF(J53&gt;0,ROUNDUP(I53/J53,0),0)</f>
        <v/>
      </c>
      <c r="L53" s="21">
        <f>I53*0.3048/1000</f>
        <v/>
      </c>
    </row>
    <row r="54">
      <c r="A54" s="12" t="inlineStr">
        <is>
          <t>CT|2/C|14</t>
        </is>
      </c>
      <c r="B54" s="12" t="inlineStr">
        <is>
          <t>Control</t>
        </is>
      </c>
      <c r="C54" s="12" t="inlineStr">
        <is>
          <t>Control cable 600 V Type TC-ER, Cu #14 AWG, PVC jacket</t>
        </is>
      </c>
      <c r="D54" s="12" t="inlineStr">
        <is>
          <t>2/C</t>
        </is>
      </c>
      <c r="E54" s="12" t="inlineStr">
        <is>
          <t>14</t>
        </is>
      </c>
      <c r="F54" s="17">
        <f>SUMIFS('Cable Schedule'!$AA$2:$AA$5696,'Cable Schedule'!$K$2:$K$5696,A54)</f>
        <v/>
      </c>
      <c r="G54" s="18">
        <f>SUMIFS('Cable Schedule'!$W$2:$W$5696,'Cable Schedule'!$K$2:$K$5696,A54)</f>
        <v/>
      </c>
      <c r="H54" s="19">
        <f>'Read Me'!$B$14</f>
        <v/>
      </c>
      <c r="I54" s="16">
        <f>ROUNDUP(G54*(1+H54),-2)</f>
        <v/>
      </c>
      <c r="J54" s="20" t="n">
        <v>5000</v>
      </c>
      <c r="K54" s="12">
        <f>IF(J54&gt;0,ROUNDUP(I54/J54,0),0)</f>
        <v/>
      </c>
      <c r="L54" s="21">
        <f>I54*0.3048/1000</f>
        <v/>
      </c>
    </row>
    <row r="55">
      <c r="A55" s="12" t="inlineStr">
        <is>
          <t>CT|25/C|14</t>
        </is>
      </c>
      <c r="B55" s="12" t="inlineStr">
        <is>
          <t>Control</t>
        </is>
      </c>
      <c r="C55" s="12" t="inlineStr">
        <is>
          <t>Control cable 600 V Type TC-ER, Cu #14 AWG, PVC jacket</t>
        </is>
      </c>
      <c r="D55" s="12" t="inlineStr">
        <is>
          <t>25/C</t>
        </is>
      </c>
      <c r="E55" s="12" t="inlineStr">
        <is>
          <t>14</t>
        </is>
      </c>
      <c r="F55" s="17">
        <f>SUMIFS('Cable Schedule'!$AA$2:$AA$5696,'Cable Schedule'!$K$2:$K$5696,A55)</f>
        <v/>
      </c>
      <c r="G55" s="18">
        <f>SUMIFS('Cable Schedule'!$W$2:$W$5696,'Cable Schedule'!$K$2:$K$5696,A55)</f>
        <v/>
      </c>
      <c r="H55" s="19">
        <f>'Read Me'!$B$14</f>
        <v/>
      </c>
      <c r="I55" s="16">
        <f>ROUNDUP(G55*(1+H55),-2)</f>
        <v/>
      </c>
      <c r="J55" s="20" t="n">
        <v>5000</v>
      </c>
      <c r="K55" s="12">
        <f>IF(J55&gt;0,ROUNDUP(I55/J55,0),0)</f>
        <v/>
      </c>
      <c r="L55" s="21">
        <f>I55*0.3048/1000</f>
        <v/>
      </c>
    </row>
    <row r="56">
      <c r="A56" s="12" t="inlineStr">
        <is>
          <t>CT|7/C|14</t>
        </is>
      </c>
      <c r="B56" s="12" t="inlineStr">
        <is>
          <t>Control</t>
        </is>
      </c>
      <c r="C56" s="12" t="inlineStr">
        <is>
          <t>Control cable 600 V Type TC-ER, Cu #14 AWG, PVC jacket</t>
        </is>
      </c>
      <c r="D56" s="12" t="inlineStr">
        <is>
          <t>7/C</t>
        </is>
      </c>
      <c r="E56" s="12" t="inlineStr">
        <is>
          <t>14</t>
        </is>
      </c>
      <c r="F56" s="17">
        <f>SUMIFS('Cable Schedule'!$AA$2:$AA$5696,'Cable Schedule'!$K$2:$K$5696,A56)</f>
        <v/>
      </c>
      <c r="G56" s="18">
        <f>SUMIFS('Cable Schedule'!$W$2:$W$5696,'Cable Schedule'!$K$2:$K$5696,A56)</f>
        <v/>
      </c>
      <c r="H56" s="19">
        <f>'Read Me'!$B$14</f>
        <v/>
      </c>
      <c r="I56" s="16">
        <f>ROUNDUP(G56*(1+H56),-2)</f>
        <v/>
      </c>
      <c r="J56" s="20" t="n">
        <v>5000</v>
      </c>
      <c r="K56" s="12">
        <f>IF(J56&gt;0,ROUNDUP(I56/J56,0),0)</f>
        <v/>
      </c>
      <c r="L56" s="21">
        <f>I56*0.3048/1000</f>
        <v/>
      </c>
    </row>
    <row r="57">
      <c r="A57" s="12" t="inlineStr">
        <is>
          <t>CTAX|12/C|14</t>
        </is>
      </c>
      <c r="B57" s="12" t="inlineStr">
        <is>
          <t>Control</t>
        </is>
      </c>
      <c r="C57" s="12" t="inlineStr">
        <is>
          <t>ARMOR-X MC-HL 600 V control, Cu #14 AWG (Class I Div 2)</t>
        </is>
      </c>
      <c r="D57" s="12" t="inlineStr">
        <is>
          <t>12/C</t>
        </is>
      </c>
      <c r="E57" s="12" t="inlineStr">
        <is>
          <t>14</t>
        </is>
      </c>
      <c r="F57" s="17">
        <f>SUMIFS('Cable Schedule'!$AA$2:$AA$5696,'Cable Schedule'!$K$2:$K$5696,A57)</f>
        <v/>
      </c>
      <c r="G57" s="18">
        <f>SUMIFS('Cable Schedule'!$W$2:$W$5696,'Cable Schedule'!$K$2:$K$5696,A57)</f>
        <v/>
      </c>
      <c r="H57" s="19">
        <f>'Read Me'!$B$14</f>
        <v/>
      </c>
      <c r="I57" s="16">
        <f>ROUNDUP(G57*(1+H57),-2)</f>
        <v/>
      </c>
      <c r="J57" s="20" t="n">
        <v>3000</v>
      </c>
      <c r="K57" s="12">
        <f>IF(J57&gt;0,ROUNDUP(I57/J57,0),0)</f>
        <v/>
      </c>
      <c r="L57" s="21">
        <f>I57*0.3048/1000</f>
        <v/>
      </c>
    </row>
    <row r="58">
      <c r="A58" s="12" t="inlineStr">
        <is>
          <t>CTAX|2/C|14</t>
        </is>
      </c>
      <c r="B58" s="12" t="inlineStr">
        <is>
          <t>Control</t>
        </is>
      </c>
      <c r="C58" s="12" t="inlineStr">
        <is>
          <t>ARMOR-X MC-HL 600 V control, Cu #14 AWG (Class I Div 2)</t>
        </is>
      </c>
      <c r="D58" s="12" t="inlineStr">
        <is>
          <t>2/C</t>
        </is>
      </c>
      <c r="E58" s="12" t="inlineStr">
        <is>
          <t>14</t>
        </is>
      </c>
      <c r="F58" s="17">
        <f>SUMIFS('Cable Schedule'!$AA$2:$AA$5696,'Cable Schedule'!$K$2:$K$5696,A58)</f>
        <v/>
      </c>
      <c r="G58" s="18">
        <f>SUMIFS('Cable Schedule'!$W$2:$W$5696,'Cable Schedule'!$K$2:$K$5696,A58)</f>
        <v/>
      </c>
      <c r="H58" s="19">
        <f>'Read Me'!$B$14</f>
        <v/>
      </c>
      <c r="I58" s="16">
        <f>ROUNDUP(G58*(1+H58),-2)</f>
        <v/>
      </c>
      <c r="J58" s="20" t="n">
        <v>3000</v>
      </c>
      <c r="K58" s="12">
        <f>IF(J58&gt;0,ROUNDUP(I58/J58,0),0)</f>
        <v/>
      </c>
      <c r="L58" s="21">
        <f>I58*0.3048/1000</f>
        <v/>
      </c>
    </row>
    <row r="59">
      <c r="A59" s="12" t="inlineStr">
        <is>
          <t>CTAX|25/C|14</t>
        </is>
      </c>
      <c r="B59" s="12" t="inlineStr">
        <is>
          <t>Control</t>
        </is>
      </c>
      <c r="C59" s="12" t="inlineStr">
        <is>
          <t>ARMOR-X MC-HL 600 V control, Cu #14 AWG (Class I Div 2)</t>
        </is>
      </c>
      <c r="D59" s="12" t="inlineStr">
        <is>
          <t>25/C</t>
        </is>
      </c>
      <c r="E59" s="12" t="inlineStr">
        <is>
          <t>14</t>
        </is>
      </c>
      <c r="F59" s="17">
        <f>SUMIFS('Cable Schedule'!$AA$2:$AA$5696,'Cable Schedule'!$K$2:$K$5696,A59)</f>
        <v/>
      </c>
      <c r="G59" s="18">
        <f>SUMIFS('Cable Schedule'!$W$2:$W$5696,'Cable Schedule'!$K$2:$K$5696,A59)</f>
        <v/>
      </c>
      <c r="H59" s="19">
        <f>'Read Me'!$B$14</f>
        <v/>
      </c>
      <c r="I59" s="16">
        <f>ROUNDUP(G59*(1+H59),-2)</f>
        <v/>
      </c>
      <c r="J59" s="20" t="n">
        <v>3000</v>
      </c>
      <c r="K59" s="12">
        <f>IF(J59&gt;0,ROUNDUP(I59/J59,0),0)</f>
        <v/>
      </c>
      <c r="L59" s="21">
        <f>I59*0.3048/1000</f>
        <v/>
      </c>
    </row>
    <row r="60">
      <c r="A60" s="12" t="inlineStr">
        <is>
          <t>CTAX|7/C|14</t>
        </is>
      </c>
      <c r="B60" s="12" t="inlineStr">
        <is>
          <t>Control</t>
        </is>
      </c>
      <c r="C60" s="12" t="inlineStr">
        <is>
          <t>ARMOR-X MC-HL 600 V control, Cu #14 AWG (Class I Div 2)</t>
        </is>
      </c>
      <c r="D60" s="12" t="inlineStr">
        <is>
          <t>7/C</t>
        </is>
      </c>
      <c r="E60" s="12" t="inlineStr">
        <is>
          <t>14</t>
        </is>
      </c>
      <c r="F60" s="17">
        <f>SUMIFS('Cable Schedule'!$AA$2:$AA$5696,'Cable Schedule'!$K$2:$K$5696,A60)</f>
        <v/>
      </c>
      <c r="G60" s="18">
        <f>SUMIFS('Cable Schedule'!$W$2:$W$5696,'Cable Schedule'!$K$2:$K$5696,A60)</f>
        <v/>
      </c>
      <c r="H60" s="19">
        <f>'Read Me'!$B$14</f>
        <v/>
      </c>
      <c r="I60" s="16">
        <f>ROUNDUP(G60*(1+H60),-2)</f>
        <v/>
      </c>
      <c r="J60" s="20" t="n">
        <v>3000</v>
      </c>
      <c r="K60" s="12">
        <f>IF(J60&gt;0,ROUNDUP(I60/J60,0),0)</f>
        <v/>
      </c>
      <c r="L60" s="21">
        <f>I60*0.3048/1000</f>
        <v/>
      </c>
    </row>
    <row r="61">
      <c r="A61" s="12" t="inlineStr">
        <is>
          <t>CTCT|4/C|10</t>
        </is>
      </c>
      <c r="B61" s="12" t="inlineStr">
        <is>
          <t>Control</t>
        </is>
      </c>
      <c r="C61" s="12" t="inlineStr">
        <is>
          <t>Control cable 600 V Type TC-ER, Cu #10 AWG (CT / VT circuits)</t>
        </is>
      </c>
      <c r="D61" s="12" t="inlineStr">
        <is>
          <t>4/C</t>
        </is>
      </c>
      <c r="E61" s="12" t="inlineStr">
        <is>
          <t>10</t>
        </is>
      </c>
      <c r="F61" s="17">
        <f>SUMIFS('Cable Schedule'!$AA$2:$AA$5696,'Cable Schedule'!$K$2:$K$5696,A61)</f>
        <v/>
      </c>
      <c r="G61" s="18">
        <f>SUMIFS('Cable Schedule'!$W$2:$W$5696,'Cable Schedule'!$K$2:$K$5696,A61)</f>
        <v/>
      </c>
      <c r="H61" s="19">
        <f>'Read Me'!$B$14</f>
        <v/>
      </c>
      <c r="I61" s="16">
        <f>ROUNDUP(G61*(1+H61),-2)</f>
        <v/>
      </c>
      <c r="J61" s="20" t="n">
        <v>5000</v>
      </c>
      <c r="K61" s="12">
        <f>IF(J61&gt;0,ROUNDUP(I61/J61,0),0)</f>
        <v/>
      </c>
      <c r="L61" s="21">
        <f>I61*0.3048/1000</f>
        <v/>
      </c>
    </row>
    <row r="62">
      <c r="A62" s="12" t="inlineStr">
        <is>
          <t>ITC|1 pr|16</t>
        </is>
      </c>
      <c r="B62" s="12" t="inlineStr">
        <is>
          <t>Instrumentation</t>
        </is>
      </c>
      <c r="C62" s="12" t="inlineStr">
        <is>
          <t>Instrumentation ITC / PLTC, IS, #18 shielded pairs, blue jacket</t>
        </is>
      </c>
      <c r="D62" s="12" t="inlineStr">
        <is>
          <t>1 pr</t>
        </is>
      </c>
      <c r="E62" s="12" t="inlineStr">
        <is>
          <t>16</t>
        </is>
      </c>
      <c r="F62" s="17">
        <f>SUMIFS('Cable Schedule'!$AA$2:$AA$5696,'Cable Schedule'!$K$2:$K$5696,A62)</f>
        <v/>
      </c>
      <c r="G62" s="18">
        <f>SUMIFS('Cable Schedule'!$W$2:$W$5696,'Cable Schedule'!$K$2:$K$5696,A62)</f>
        <v/>
      </c>
      <c r="H62" s="19">
        <f>'Read Me'!$B$14</f>
        <v/>
      </c>
      <c r="I62" s="16">
        <f>ROUNDUP(G62*(1+H62),-2)</f>
        <v/>
      </c>
      <c r="J62" s="20" t="n">
        <v>5000</v>
      </c>
      <c r="K62" s="12">
        <f>IF(J62&gt;0,ROUNDUP(I62/J62,0),0)</f>
        <v/>
      </c>
      <c r="L62" s="21">
        <f>I62*0.3048/1000</f>
        <v/>
      </c>
    </row>
    <row r="63">
      <c r="A63" s="12" t="inlineStr">
        <is>
          <t>ITC|12 pr|18</t>
        </is>
      </c>
      <c r="B63" s="12" t="inlineStr">
        <is>
          <t>Instrumentation</t>
        </is>
      </c>
      <c r="C63" s="12" t="inlineStr">
        <is>
          <t>Instrumentation ITC / PLTC, IS, #18 shielded pairs, blue jacket</t>
        </is>
      </c>
      <c r="D63" s="12" t="inlineStr">
        <is>
          <t>12 pr</t>
        </is>
      </c>
      <c r="E63" s="12" t="inlineStr">
        <is>
          <t>18</t>
        </is>
      </c>
      <c r="F63" s="17">
        <f>SUMIFS('Cable Schedule'!$AA$2:$AA$5696,'Cable Schedule'!$K$2:$K$5696,A63)</f>
        <v/>
      </c>
      <c r="G63" s="18">
        <f>SUMIFS('Cable Schedule'!$W$2:$W$5696,'Cable Schedule'!$K$2:$K$5696,A63)</f>
        <v/>
      </c>
      <c r="H63" s="19">
        <f>'Read Me'!$B$14</f>
        <v/>
      </c>
      <c r="I63" s="16">
        <f>ROUNDUP(G63*(1+H63),-2)</f>
        <v/>
      </c>
      <c r="J63" s="20" t="n">
        <v>5000</v>
      </c>
      <c r="K63" s="12">
        <f>IF(J63&gt;0,ROUNDUP(I63/J63,0),0)</f>
        <v/>
      </c>
      <c r="L63" s="21">
        <f>I63*0.3048/1000</f>
        <v/>
      </c>
    </row>
    <row r="64">
      <c r="A64" s="12" t="inlineStr">
        <is>
          <t>ITC|24 pr|18</t>
        </is>
      </c>
      <c r="B64" s="12" t="inlineStr">
        <is>
          <t>Instrumentation</t>
        </is>
      </c>
      <c r="C64" s="12" t="inlineStr">
        <is>
          <t>Instrumentation ITC / PLTC, IS, #18 shielded pairs, blue jacket</t>
        </is>
      </c>
      <c r="D64" s="12" t="inlineStr">
        <is>
          <t>24 pr</t>
        </is>
      </c>
      <c r="E64" s="12" t="inlineStr">
        <is>
          <t>18</t>
        </is>
      </c>
      <c r="F64" s="17">
        <f>SUMIFS('Cable Schedule'!$AA$2:$AA$5696,'Cable Schedule'!$K$2:$K$5696,A64)</f>
        <v/>
      </c>
      <c r="G64" s="18">
        <f>SUMIFS('Cable Schedule'!$W$2:$W$5696,'Cable Schedule'!$K$2:$K$5696,A64)</f>
        <v/>
      </c>
      <c r="H64" s="19">
        <f>'Read Me'!$B$14</f>
        <v/>
      </c>
      <c r="I64" s="16">
        <f>ROUNDUP(G64*(1+H64),-2)</f>
        <v/>
      </c>
      <c r="J64" s="20" t="n">
        <v>5000</v>
      </c>
      <c r="K64" s="12">
        <f>IF(J64&gt;0,ROUNDUP(I64/J64,0),0)</f>
        <v/>
      </c>
      <c r="L64" s="21">
        <f>I64*0.3048/1000</f>
        <v/>
      </c>
    </row>
    <row r="65">
      <c r="A65" s="12" t="inlineStr">
        <is>
          <t>ITC|4 pr|18</t>
        </is>
      </c>
      <c r="B65" s="12" t="inlineStr">
        <is>
          <t>Instrumentation</t>
        </is>
      </c>
      <c r="C65" s="12" t="inlineStr">
        <is>
          <t>Instrumentation ITC / PLTC, IS, #18 shielded pairs, blue jacket</t>
        </is>
      </c>
      <c r="D65" s="12" t="inlineStr">
        <is>
          <t>4 pr</t>
        </is>
      </c>
      <c r="E65" s="12" t="inlineStr">
        <is>
          <t>18</t>
        </is>
      </c>
      <c r="F65" s="17">
        <f>SUMIFS('Cable Schedule'!$AA$2:$AA$5696,'Cable Schedule'!$K$2:$K$5696,A65)</f>
        <v/>
      </c>
      <c r="G65" s="18">
        <f>SUMIFS('Cable Schedule'!$W$2:$W$5696,'Cable Schedule'!$K$2:$K$5696,A65)</f>
        <v/>
      </c>
      <c r="H65" s="19">
        <f>'Read Me'!$B$14</f>
        <v/>
      </c>
      <c r="I65" s="16">
        <f>ROUNDUP(G65*(1+H65),-2)</f>
        <v/>
      </c>
      <c r="J65" s="20" t="n">
        <v>5000</v>
      </c>
      <c r="K65" s="12">
        <f>IF(J65&gt;0,ROUNDUP(I65/J65,0),0)</f>
        <v/>
      </c>
      <c r="L65" s="21">
        <f>I65*0.3048/1000</f>
        <v/>
      </c>
    </row>
    <row r="66">
      <c r="A66" s="12" t="inlineStr">
        <is>
          <t>PLTC|1 pr|16</t>
        </is>
      </c>
      <c r="B66" s="12" t="inlineStr">
        <is>
          <t>Instrumentation</t>
        </is>
      </c>
      <c r="C66" s="12" t="inlineStr">
        <is>
          <t>Instrumentation PLTC / TC-ER 300 V, #18 twisted shielded pairs, overall shield</t>
        </is>
      </c>
      <c r="D66" s="12" t="inlineStr">
        <is>
          <t>1 pr</t>
        </is>
      </c>
      <c r="E66" s="12" t="inlineStr">
        <is>
          <t>16</t>
        </is>
      </c>
      <c r="F66" s="17">
        <f>SUMIFS('Cable Schedule'!$AA$2:$AA$5696,'Cable Schedule'!$K$2:$K$5696,A66)</f>
        <v/>
      </c>
      <c r="G66" s="18">
        <f>SUMIFS('Cable Schedule'!$W$2:$W$5696,'Cable Schedule'!$K$2:$K$5696,A66)</f>
        <v/>
      </c>
      <c r="H66" s="19">
        <f>'Read Me'!$B$14</f>
        <v/>
      </c>
      <c r="I66" s="16">
        <f>ROUNDUP(G66*(1+H66),-2)</f>
        <v/>
      </c>
      <c r="J66" s="20" t="n">
        <v>5000</v>
      </c>
      <c r="K66" s="12">
        <f>IF(J66&gt;0,ROUNDUP(I66/J66,0),0)</f>
        <v/>
      </c>
      <c r="L66" s="21">
        <f>I66*0.3048/1000</f>
        <v/>
      </c>
    </row>
    <row r="67">
      <c r="A67" s="12" t="inlineStr">
        <is>
          <t>PLTC|12 pr|18</t>
        </is>
      </c>
      <c r="B67" s="12" t="inlineStr">
        <is>
          <t>Instrumentation</t>
        </is>
      </c>
      <c r="C67" s="12" t="inlineStr">
        <is>
          <t>Instrumentation PLTC / TC-ER 300 V, #18 twisted shielded pairs, overall shield</t>
        </is>
      </c>
      <c r="D67" s="12" t="inlineStr">
        <is>
          <t>12 pr</t>
        </is>
      </c>
      <c r="E67" s="12" t="inlineStr">
        <is>
          <t>18</t>
        </is>
      </c>
      <c r="F67" s="17">
        <f>SUMIFS('Cable Schedule'!$AA$2:$AA$5696,'Cable Schedule'!$K$2:$K$5696,A67)</f>
        <v/>
      </c>
      <c r="G67" s="18">
        <f>SUMIFS('Cable Schedule'!$W$2:$W$5696,'Cable Schedule'!$K$2:$K$5696,A67)</f>
        <v/>
      </c>
      <c r="H67" s="19">
        <f>'Read Me'!$B$14</f>
        <v/>
      </c>
      <c r="I67" s="16">
        <f>ROUNDUP(G67*(1+H67),-2)</f>
        <v/>
      </c>
      <c r="J67" s="20" t="n">
        <v>5000</v>
      </c>
      <c r="K67" s="12">
        <f>IF(J67&gt;0,ROUNDUP(I67/J67,0),0)</f>
        <v/>
      </c>
      <c r="L67" s="21">
        <f>I67*0.3048/1000</f>
        <v/>
      </c>
    </row>
    <row r="68">
      <c r="A68" s="12" t="inlineStr">
        <is>
          <t>PLTC|24 pr|18</t>
        </is>
      </c>
      <c r="B68" s="12" t="inlineStr">
        <is>
          <t>Instrumentation</t>
        </is>
      </c>
      <c r="C68" s="12" t="inlineStr">
        <is>
          <t>Instrumentation PLTC / TC-ER 300 V, #18 twisted shielded pairs, overall shield</t>
        </is>
      </c>
      <c r="D68" s="12" t="inlineStr">
        <is>
          <t>24 pr</t>
        </is>
      </c>
      <c r="E68" s="12" t="inlineStr">
        <is>
          <t>18</t>
        </is>
      </c>
      <c r="F68" s="17">
        <f>SUMIFS('Cable Schedule'!$AA$2:$AA$5696,'Cable Schedule'!$K$2:$K$5696,A68)</f>
        <v/>
      </c>
      <c r="G68" s="18">
        <f>SUMIFS('Cable Schedule'!$W$2:$W$5696,'Cable Schedule'!$K$2:$K$5696,A68)</f>
        <v/>
      </c>
      <c r="H68" s="19">
        <f>'Read Me'!$B$14</f>
        <v/>
      </c>
      <c r="I68" s="16">
        <f>ROUNDUP(G68*(1+H68),-2)</f>
        <v/>
      </c>
      <c r="J68" s="20" t="n">
        <v>5000</v>
      </c>
      <c r="K68" s="12">
        <f>IF(J68&gt;0,ROUNDUP(I68/J68,0),0)</f>
        <v/>
      </c>
      <c r="L68" s="21">
        <f>I68*0.3048/1000</f>
        <v/>
      </c>
    </row>
    <row r="69">
      <c r="A69" s="12" t="inlineStr">
        <is>
          <t>PLTC|4 pr|18</t>
        </is>
      </c>
      <c r="B69" s="12" t="inlineStr">
        <is>
          <t>Instrumentation</t>
        </is>
      </c>
      <c r="C69" s="12" t="inlineStr">
        <is>
          <t>Instrumentation PLTC / TC-ER 300 V, #18 twisted shielded pairs, overall shield</t>
        </is>
      </c>
      <c r="D69" s="12" t="inlineStr">
        <is>
          <t>4 pr</t>
        </is>
      </c>
      <c r="E69" s="12" t="inlineStr">
        <is>
          <t>18</t>
        </is>
      </c>
      <c r="F69" s="17">
        <f>SUMIFS('Cable Schedule'!$AA$2:$AA$5696,'Cable Schedule'!$K$2:$K$5696,A69)</f>
        <v/>
      </c>
      <c r="G69" s="18">
        <f>SUMIFS('Cable Schedule'!$W$2:$W$5696,'Cable Schedule'!$K$2:$K$5696,A69)</f>
        <v/>
      </c>
      <c r="H69" s="19">
        <f>'Read Me'!$B$14</f>
        <v/>
      </c>
      <c r="I69" s="16">
        <f>ROUNDUP(G69*(1+H69),-2)</f>
        <v/>
      </c>
      <c r="J69" s="20" t="n">
        <v>5000</v>
      </c>
      <c r="K69" s="12">
        <f>IF(J69&gt;0,ROUNDUP(I69/J69,0),0)</f>
        <v/>
      </c>
      <c r="L69" s="21">
        <f>I69*0.3048/1000</f>
        <v/>
      </c>
    </row>
    <row r="70">
      <c r="A70" s="12" t="inlineStr">
        <is>
          <t>RTD|1 tri|18</t>
        </is>
      </c>
      <c r="B70" s="12" t="inlineStr">
        <is>
          <t>Instrumentation</t>
        </is>
      </c>
      <c r="C70" s="12" t="inlineStr">
        <is>
          <t>RTD cable, #18 shielded triads, PLTC</t>
        </is>
      </c>
      <c r="D70" s="12" t="inlineStr">
        <is>
          <t>1 tri</t>
        </is>
      </c>
      <c r="E70" s="12" t="inlineStr">
        <is>
          <t>18</t>
        </is>
      </c>
      <c r="F70" s="17">
        <f>SUMIFS('Cable Schedule'!$AA$2:$AA$5696,'Cable Schedule'!$K$2:$K$5696,A70)</f>
        <v/>
      </c>
      <c r="G70" s="18">
        <f>SUMIFS('Cable Schedule'!$W$2:$W$5696,'Cable Schedule'!$K$2:$K$5696,A70)</f>
        <v/>
      </c>
      <c r="H70" s="19">
        <f>'Read Me'!$B$14</f>
        <v/>
      </c>
      <c r="I70" s="16">
        <f>ROUNDUP(G70*(1+H70),-2)</f>
        <v/>
      </c>
      <c r="J70" s="20" t="n">
        <v>5000</v>
      </c>
      <c r="K70" s="12">
        <f>IF(J70&gt;0,ROUNDUP(I70/J70,0),0)</f>
        <v/>
      </c>
      <c r="L70" s="21">
        <f>I70*0.3048/1000</f>
        <v/>
      </c>
    </row>
    <row r="71">
      <c r="A71" s="12" t="inlineStr">
        <is>
          <t>RTD|12 tri|18</t>
        </is>
      </c>
      <c r="B71" s="12" t="inlineStr">
        <is>
          <t>Instrumentation</t>
        </is>
      </c>
      <c r="C71" s="12" t="inlineStr">
        <is>
          <t>RTD cable, #18 shielded triads, PLTC</t>
        </is>
      </c>
      <c r="D71" s="12" t="inlineStr">
        <is>
          <t>12 tri</t>
        </is>
      </c>
      <c r="E71" s="12" t="inlineStr">
        <is>
          <t>18</t>
        </is>
      </c>
      <c r="F71" s="17">
        <f>SUMIFS('Cable Schedule'!$AA$2:$AA$5696,'Cable Schedule'!$K$2:$K$5696,A71)</f>
        <v/>
      </c>
      <c r="G71" s="18">
        <f>SUMIFS('Cable Schedule'!$W$2:$W$5696,'Cable Schedule'!$K$2:$K$5696,A71)</f>
        <v/>
      </c>
      <c r="H71" s="19">
        <f>'Read Me'!$B$14</f>
        <v/>
      </c>
      <c r="I71" s="16">
        <f>ROUNDUP(G71*(1+H71),-2)</f>
        <v/>
      </c>
      <c r="J71" s="20" t="n">
        <v>5000</v>
      </c>
      <c r="K71" s="12">
        <f>IF(J71&gt;0,ROUNDUP(I71/J71,0),0)</f>
        <v/>
      </c>
      <c r="L71" s="21">
        <f>I71*0.3048/1000</f>
        <v/>
      </c>
    </row>
    <row r="72">
      <c r="A72" s="12" t="inlineStr">
        <is>
          <t>TCX|1 pr|16</t>
        </is>
      </c>
      <c r="B72" s="12" t="inlineStr">
        <is>
          <t>Instrumentation</t>
        </is>
      </c>
      <c r="C72" s="12" t="inlineStr">
        <is>
          <t>Thermocouple extension KX, #16 shielded pairs, PLTC</t>
        </is>
      </c>
      <c r="D72" s="12" t="inlineStr">
        <is>
          <t>1 pr</t>
        </is>
      </c>
      <c r="E72" s="12" t="inlineStr">
        <is>
          <t>16</t>
        </is>
      </c>
      <c r="F72" s="17">
        <f>SUMIFS('Cable Schedule'!$AA$2:$AA$5696,'Cable Schedule'!$K$2:$K$5696,A72)</f>
        <v/>
      </c>
      <c r="G72" s="18">
        <f>SUMIFS('Cable Schedule'!$W$2:$W$5696,'Cable Schedule'!$K$2:$K$5696,A72)</f>
        <v/>
      </c>
      <c r="H72" s="19">
        <f>'Read Me'!$B$14</f>
        <v/>
      </c>
      <c r="I72" s="16">
        <f>ROUNDUP(G72*(1+H72),-2)</f>
        <v/>
      </c>
      <c r="J72" s="20" t="n">
        <v>5000</v>
      </c>
      <c r="K72" s="12">
        <f>IF(J72&gt;0,ROUNDUP(I72/J72,0),0)</f>
        <v/>
      </c>
      <c r="L72" s="21">
        <f>I72*0.3048/1000</f>
        <v/>
      </c>
    </row>
    <row r="73">
      <c r="A73" s="12" t="inlineStr">
        <is>
          <t>TCX|12 pr|16</t>
        </is>
      </c>
      <c r="B73" s="12" t="inlineStr">
        <is>
          <t>Instrumentation</t>
        </is>
      </c>
      <c r="C73" s="12" t="inlineStr">
        <is>
          <t>Thermocouple extension KX, #16 shielded pairs, PLTC</t>
        </is>
      </c>
      <c r="D73" s="12" t="inlineStr">
        <is>
          <t>12 pr</t>
        </is>
      </c>
      <c r="E73" s="12" t="inlineStr">
        <is>
          <t>16</t>
        </is>
      </c>
      <c r="F73" s="17">
        <f>SUMIFS('Cable Schedule'!$AA$2:$AA$5696,'Cable Schedule'!$K$2:$K$5696,A73)</f>
        <v/>
      </c>
      <c r="G73" s="18">
        <f>SUMIFS('Cable Schedule'!$W$2:$W$5696,'Cable Schedule'!$K$2:$K$5696,A73)</f>
        <v/>
      </c>
      <c r="H73" s="19">
        <f>'Read Me'!$B$14</f>
        <v/>
      </c>
      <c r="I73" s="16">
        <f>ROUNDUP(G73*(1+H73),-2)</f>
        <v/>
      </c>
      <c r="J73" s="20" t="n">
        <v>5000</v>
      </c>
      <c r="K73" s="12">
        <f>IF(J73&gt;0,ROUNDUP(I73/J73,0),0)</f>
        <v/>
      </c>
      <c r="L73" s="21">
        <f>I73*0.3048/1000</f>
        <v/>
      </c>
    </row>
    <row r="74">
      <c r="A74" s="12" t="inlineStr">
        <is>
          <t>TCX|24 pr|16</t>
        </is>
      </c>
      <c r="B74" s="12" t="inlineStr">
        <is>
          <t>Instrumentation</t>
        </is>
      </c>
      <c r="C74" s="12" t="inlineStr">
        <is>
          <t>Thermocouple extension KX, #16 shielded pairs, PLTC</t>
        </is>
      </c>
      <c r="D74" s="12" t="inlineStr">
        <is>
          <t>24 pr</t>
        </is>
      </c>
      <c r="E74" s="12" t="inlineStr">
        <is>
          <t>16</t>
        </is>
      </c>
      <c r="F74" s="17">
        <f>SUMIFS('Cable Schedule'!$AA$2:$AA$5696,'Cable Schedule'!$K$2:$K$5696,A74)</f>
        <v/>
      </c>
      <c r="G74" s="18">
        <f>SUMIFS('Cable Schedule'!$W$2:$W$5696,'Cable Schedule'!$K$2:$K$5696,A74)</f>
        <v/>
      </c>
      <c r="H74" s="19">
        <f>'Read Me'!$B$14</f>
        <v/>
      </c>
      <c r="I74" s="16">
        <f>ROUNDUP(G74*(1+H74),-2)</f>
        <v/>
      </c>
      <c r="J74" s="20" t="n">
        <v>5000</v>
      </c>
      <c r="K74" s="12">
        <f>IF(J74&gt;0,ROUNDUP(I74/J74,0),0)</f>
        <v/>
      </c>
      <c r="L74" s="21">
        <f>I74*0.3048/1000</f>
        <v/>
      </c>
    </row>
    <row r="75">
      <c r="A75" s="12" t="inlineStr">
        <is>
          <t>FA|2/C|14</t>
        </is>
      </c>
      <c r="B75" s="12" t="inlineStr">
        <is>
          <t>Fire alarm</t>
        </is>
      </c>
      <c r="C75" s="12" t="inlineStr">
        <is>
          <t>Fire alarm FPLR 2/C #14 shielded, red jacket (NEC 760)</t>
        </is>
      </c>
      <c r="D75" s="12" t="inlineStr">
        <is>
          <t>2/C</t>
        </is>
      </c>
      <c r="E75" s="12" t="inlineStr">
        <is>
          <t>14</t>
        </is>
      </c>
      <c r="F75" s="17">
        <f>SUMIFS('Cable Schedule'!$AA$2:$AA$5696,'Cable Schedule'!$K$2:$K$5696,A75)</f>
        <v/>
      </c>
      <c r="G75" s="18">
        <f>SUMIFS('Cable Schedule'!$W$2:$W$5696,'Cable Schedule'!$K$2:$K$5696,A75)</f>
        <v/>
      </c>
      <c r="H75" s="19">
        <f>'Read Me'!$B$14</f>
        <v/>
      </c>
      <c r="I75" s="16">
        <f>ROUNDUP(G75*(1+H75),-2)</f>
        <v/>
      </c>
      <c r="J75" s="20" t="n">
        <v>5000</v>
      </c>
      <c r="K75" s="12">
        <f>IF(J75&gt;0,ROUNDUP(I75/J75,0),0)</f>
        <v/>
      </c>
      <c r="L75" s="21">
        <f>I75*0.3048/1000</f>
        <v/>
      </c>
    </row>
    <row r="76">
      <c r="A76" s="12" t="inlineStr">
        <is>
          <t>FO|12 SM|-</t>
        </is>
      </c>
      <c r="B76" s="12" t="inlineStr">
        <is>
          <t>Fibre / data</t>
        </is>
      </c>
      <c r="C76" s="12" t="inlineStr">
        <is>
          <t>Fibre optic, single-mode, 12-fibre, armored, orange jacket</t>
        </is>
      </c>
      <c r="D76" s="12" t="inlineStr">
        <is>
          <t>12 SM</t>
        </is>
      </c>
      <c r="E76" s="12" t="inlineStr">
        <is>
          <t>-</t>
        </is>
      </c>
      <c r="F76" s="17">
        <f>SUMIFS('Cable Schedule'!$AA$2:$AA$5696,'Cable Schedule'!$K$2:$K$5696,A76)</f>
        <v/>
      </c>
      <c r="G76" s="18">
        <f>SUMIFS('Cable Schedule'!$W$2:$W$5696,'Cable Schedule'!$K$2:$K$5696,A76)</f>
        <v/>
      </c>
      <c r="H76" s="19">
        <f>'Read Me'!$B$14</f>
        <v/>
      </c>
      <c r="I76" s="16">
        <f>ROUNDUP(G76*(1+H76),-2)</f>
        <v/>
      </c>
      <c r="J76" s="20" t="n">
        <v>10000</v>
      </c>
      <c r="K76" s="12">
        <f>IF(J76&gt;0,ROUNDUP(I76/J76,0),0)</f>
        <v/>
      </c>
      <c r="L76" s="21">
        <f>I76*0.3048/1000</f>
        <v/>
      </c>
    </row>
    <row r="77">
      <c r="A77" s="12" t="inlineStr">
        <is>
          <t>PV|1/C|500</t>
        </is>
      </c>
      <c r="B77" s="12" t="inlineStr">
        <is>
          <t>DC 2 kV</t>
        </is>
      </c>
      <c r="C77" s="12" t="inlineStr">
        <is>
          <t>PV / RHW-2 2 kV 1/C Cu, XLPE (DC)</t>
        </is>
      </c>
      <c r="D77" s="12" t="inlineStr">
        <is>
          <t>1/C</t>
        </is>
      </c>
      <c r="E77" s="12" t="inlineStr">
        <is>
          <t>500 kcmil</t>
        </is>
      </c>
      <c r="F77" s="17">
        <f>SUMIFS('Cable Schedule'!$AA$2:$AA$5696,'Cable Schedule'!$K$2:$K$5696,A77)</f>
        <v/>
      </c>
      <c r="G77" s="18">
        <f>SUMIFS('Cable Schedule'!$W$2:$W$5696,'Cable Schedule'!$K$2:$K$5696,A77)</f>
        <v/>
      </c>
      <c r="H77" s="19">
        <f>'Read Me'!$B$14</f>
        <v/>
      </c>
      <c r="I77" s="16">
        <f>ROUNDUP(G77*(1+H77),-2)</f>
        <v/>
      </c>
      <c r="J77" s="20" t="n">
        <v>2500</v>
      </c>
      <c r="K77" s="12">
        <f>IF(J77&gt;0,ROUNDUP(I77/J77,0),0)</f>
        <v/>
      </c>
      <c r="L77" s="21">
        <f>I77*0.3048/1000</f>
        <v/>
      </c>
    </row>
    <row r="78">
      <c r="A78" s="12" t="inlineStr">
        <is>
          <t>SHD|3/C|2</t>
        </is>
      </c>
      <c r="B78" s="12" t="inlineStr">
        <is>
          <t>Portable MV</t>
        </is>
      </c>
      <c r="C78" s="12" t="inlineStr">
        <is>
          <t>Type SHD-GC 15 kV 3/C Cu, 2 grounds + GC, yellow CPE (portable)</t>
        </is>
      </c>
      <c r="D78" s="12" t="inlineStr">
        <is>
          <t>3/C</t>
        </is>
      </c>
      <c r="E78" s="12" t="inlineStr">
        <is>
          <t>2</t>
        </is>
      </c>
      <c r="F78" s="17">
        <f>SUMIFS('Cable Schedule'!$AA$2:$AA$5696,'Cable Schedule'!$K$2:$K$5696,A78)</f>
        <v/>
      </c>
      <c r="G78" s="18">
        <f>SUMIFS('Cable Schedule'!$W$2:$W$5696,'Cable Schedule'!$K$2:$K$5696,A78)</f>
        <v/>
      </c>
      <c r="H78" s="19">
        <f>'Read Me'!$B$14</f>
        <v/>
      </c>
      <c r="I78" s="16">
        <f>ROUNDUP(G78*(1+H78),-2)</f>
        <v/>
      </c>
      <c r="J78" s="20" t="n">
        <v>1000</v>
      </c>
      <c r="K78" s="12">
        <f>IF(J78&gt;0,ROUNDUP(I78/J78,0),0)</f>
        <v/>
      </c>
      <c r="L78" s="21">
        <f>I78*0.3048/1000</f>
        <v/>
      </c>
    </row>
    <row r="79">
      <c r="A79" s="12" t="inlineStr">
        <is>
          <t>W|1/C|4/0</t>
        </is>
      </c>
      <c r="B79" s="12" t="inlineStr">
        <is>
          <t>Portable LV</t>
        </is>
      </c>
      <c r="C79" s="12" t="inlineStr">
        <is>
          <t>Type W 2 kV 1/C Cu, EPDM / CPE (portable, cam-lock)</t>
        </is>
      </c>
      <c r="D79" s="12" t="inlineStr">
        <is>
          <t>1/C</t>
        </is>
      </c>
      <c r="E79" s="12" t="inlineStr">
        <is>
          <t>4/0</t>
        </is>
      </c>
      <c r="F79" s="17">
        <f>SUMIFS('Cable Schedule'!$AA$2:$AA$5696,'Cable Schedule'!$K$2:$K$5696,A79)</f>
        <v/>
      </c>
      <c r="G79" s="18">
        <f>SUMIFS('Cable Schedule'!$W$2:$W$5696,'Cable Schedule'!$K$2:$K$5696,A79)</f>
        <v/>
      </c>
      <c r="H79" s="19">
        <f>'Read Me'!$B$14</f>
        <v/>
      </c>
      <c r="I79" s="16">
        <f>ROUNDUP(G79*(1+H79),-2)</f>
        <v/>
      </c>
      <c r="J79" s="20" t="n">
        <v>1000</v>
      </c>
      <c r="K79" s="12">
        <f>IF(J79&gt;0,ROUNDUP(I79/J79,0),0)</f>
        <v/>
      </c>
      <c r="L79" s="21">
        <f>I79*0.3048/1000</f>
        <v/>
      </c>
    </row>
    <row r="80">
      <c r="A80" s="12" t="inlineStr">
        <is>
          <t>THHN|1/C|12</t>
        </is>
      </c>
      <c r="B80" s="12" t="inlineStr">
        <is>
          <t>Building wire</t>
        </is>
      </c>
      <c r="C80" s="12" t="inlineStr">
        <is>
          <t>SIMpull THHN/THWN-2 600 V 1/C Cu (lighting, receptacles, small power)</t>
        </is>
      </c>
      <c r="D80" s="12" t="inlineStr">
        <is>
          <t>1/C</t>
        </is>
      </c>
      <c r="E80" s="12" t="inlineStr">
        <is>
          <t>12</t>
        </is>
      </c>
      <c r="F80" s="17">
        <f>SUMIFS('Cable Schedule'!$AA$2:$AA$5696,'Cable Schedule'!$K$2:$K$5696,A80)</f>
        <v/>
      </c>
      <c r="G80" s="18">
        <f>SUMIFS('Cable Schedule'!$W$2:$W$5696,'Cable Schedule'!$K$2:$K$5696,A80)</f>
        <v/>
      </c>
      <c r="H80" s="19">
        <f>'Read Me'!$B$14</f>
        <v/>
      </c>
      <c r="I80" s="16">
        <f>ROUNDUP(G80*(1+H80),-2)</f>
        <v/>
      </c>
      <c r="J80" s="20" t="n">
        <v>5000</v>
      </c>
      <c r="K80" s="12">
        <f>IF(J80&gt;0,ROUNDUP(I80/J80,0),0)</f>
        <v/>
      </c>
      <c r="L80" s="21">
        <f>I80*0.3048/1000</f>
        <v/>
      </c>
    </row>
    <row r="81">
      <c r="A81" s="12" t="inlineStr">
        <is>
          <t>BARE|1/C|4/0</t>
        </is>
      </c>
      <c r="B81" s="12" t="inlineStr">
        <is>
          <t>Grounding</t>
        </is>
      </c>
      <c r="C81" s="12" t="inlineStr">
        <is>
          <t>Bare Cu 4/0 AWG, 19 strand (ground grid and equipment grounds)</t>
        </is>
      </c>
      <c r="D81" s="12" t="inlineStr">
        <is>
          <t>1/C</t>
        </is>
      </c>
      <c r="E81" s="12" t="inlineStr">
        <is>
          <t>4/0</t>
        </is>
      </c>
      <c r="F81" s="17">
        <f>SUMIFS('Cable Schedule'!$AA$2:$AA$5696,'Cable Schedule'!$K$2:$K$5696,A81)</f>
        <v/>
      </c>
      <c r="G81" s="18">
        <f>SUMIFS('Cable Schedule'!$W$2:$W$5696,'Cable Schedule'!$K$2:$K$5696,A81)</f>
        <v/>
      </c>
      <c r="H81" s="19">
        <f>'Read Me'!$B$14</f>
        <v/>
      </c>
      <c r="I81" s="16">
        <f>ROUNDUP(G81*(1+H81),-2)</f>
        <v/>
      </c>
      <c r="J81" s="20" t="n">
        <v>5000</v>
      </c>
      <c r="K81" s="12">
        <f>IF(J81&gt;0,ROUNDUP(I81/J81,0),0)</f>
        <v/>
      </c>
      <c r="L81" s="21">
        <f>I81*0.3048/1000</f>
        <v/>
      </c>
    </row>
    <row r="82">
      <c r="A82" s="12" t="inlineStr">
        <is>
          <t>ACSR|1/C|1590</t>
        </is>
      </c>
      <c r="B82" s="12" t="inlineStr">
        <is>
          <t>Overhead</t>
        </is>
      </c>
      <c r="C82" s="12" t="inlineStr">
        <is>
          <t>Overhead conductor ACSR 1590 kcmil 'Falcon' (typ.)</t>
        </is>
      </c>
      <c r="D82" s="12" t="inlineStr">
        <is>
          <t>1/C</t>
        </is>
      </c>
      <c r="E82" s="12" t="inlineStr">
        <is>
          <t>1590 kcmil</t>
        </is>
      </c>
      <c r="F82" s="17">
        <f>SUMIFS('Cable Schedule'!$AA$2:$AA$5696,'Cable Schedule'!$K$2:$K$5696,A82)</f>
        <v/>
      </c>
      <c r="G82" s="18">
        <f>SUMIFS('Cable Schedule'!$W$2:$W$5696,'Cable Schedule'!$K$2:$K$5696,A82)</f>
        <v/>
      </c>
      <c r="H82" s="19">
        <f>'Read Me'!$B$14</f>
        <v/>
      </c>
      <c r="I82" s="16">
        <f>ROUNDUP(G82*(1+H82),-2)</f>
        <v/>
      </c>
      <c r="J82" s="20" t="n">
        <v>7000</v>
      </c>
      <c r="K82" s="12">
        <f>IF(J82&gt;0,ROUNDUP(I82/J82,0),0)</f>
        <v/>
      </c>
      <c r="L82" s="21">
        <f>I82*0.3048/1000</f>
        <v/>
      </c>
    </row>
    <row r="83">
      <c r="C83" s="22" t="inlineStr">
        <is>
          <t>Total</t>
        </is>
      </c>
      <c r="F83" s="23">
        <f>SUM(F2:F82)</f>
        <v/>
      </c>
      <c r="G83" s="23">
        <f>SUM(G2:G82)</f>
        <v/>
      </c>
      <c r="I83" s="23">
        <f>SUM(I2:I82)</f>
        <v/>
      </c>
      <c r="K83" s="23">
        <f>SUM(K2:K82)</f>
        <v/>
      </c>
      <c r="L83" s="24">
        <f>SUM(L2:L82)</f>
        <v/>
      </c>
    </row>
    <row r="85">
      <c r="A85" s="25" t="inlineStr">
        <is>
          <t>Standard reel lengths are typical inputs (blue); edit to the actual reel / SIMpull reel sizes.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80" customWidth="1" min="1" max="1"/>
    <col width="14" customWidth="1" min="2" max="2"/>
  </cols>
  <sheetData>
    <row r="1">
      <c r="A1" s="9" t="inlineStr">
        <is>
          <t>Accessory</t>
        </is>
      </c>
      <c r="B1" s="9" t="inlineStr">
        <is>
          <t>Quantity</t>
        </is>
      </c>
    </row>
    <row r="2">
      <c r="A2" s="12" t="inlineStr">
        <is>
          <t>MV termination kits (outdoor / indoor, per conductor or per 3/C end)</t>
        </is>
      </c>
      <c r="B2" s="18">
        <f>SUM('Cable Schedule'!X2:X5696)</f>
        <v/>
      </c>
    </row>
    <row r="3">
      <c r="A3" s="12" t="inlineStr">
        <is>
          <t>ARMOR-X / Type W connectors and glands</t>
        </is>
      </c>
      <c r="B3" s="18">
        <f>SUM('Cable Schedule'!Y2:Y5696)</f>
        <v/>
      </c>
    </row>
    <row r="4">
      <c r="A4" s="12" t="inlineStr">
        <is>
          <t>MV splice kits (allowance: 1 per 2,500 ft of MV 1/C)</t>
        </is>
      </c>
      <c r="B4" s="18">
        <f>ROUNDUP(SUMIFS('Cable Schedule'!W2:W5696,'Cable Schedule'!I2:I5696,"MV*",'Cable Schedule'!L2:L5696,"1/C")/2500,0)</f>
        <v/>
      </c>
    </row>
    <row r="5">
      <c r="A5" s="12" t="inlineStr">
        <is>
          <t>230 kV outdoor terminations</t>
        </is>
      </c>
      <c r="B5" s="18">
        <f>2*SUMIFS('Cable Schedule'!O2:O5696,'Cable Schedule'!I2:I5696,"HV 230 kV")</f>
        <v/>
      </c>
    </row>
    <row r="6">
      <c r="A6" s="12" t="inlineStr">
        <is>
          <t>600 V compression lugs (power, 4 per end)</t>
        </is>
      </c>
      <c r="B6" s="18">
        <f>2*4*SUMIFS('Cable Schedule'!N2:N5696,'Cable Schedule'!I2:I5696,"LV 600 V")</f>
        <v/>
      </c>
    </row>
    <row r="7">
      <c r="A7" s="12" t="inlineStr">
        <is>
          <t>Instrument / control cable glands (2 per run)</t>
        </is>
      </c>
      <c r="B7" s="18">
        <f>2*(COUNTIF('Cable Schedule'!I2:I5696,"Control")+COUNTIF('Cable Schedule'!I2:I5696,"Instrumentation"))</f>
        <v/>
      </c>
    </row>
    <row r="8">
      <c r="A8" s="12" t="inlineStr">
        <is>
          <t>Fibre patch / termination (2 per link)</t>
        </is>
      </c>
      <c r="B8" s="18">
        <f>2*COUNTIF('Cable Schedule'!I2:I5696,"Fibre / data")</f>
        <v/>
      </c>
    </row>
    <row r="9">
      <c r="A9" s="12" t="inlineStr">
        <is>
          <t>Ground connections: exothermic welds (allowance 1 per 25 ft of grid)</t>
        </is>
      </c>
      <c r="B9" s="18">
        <f>ROUNDUP(SUMIFS('Cable Schedule'!W2:W5696,'Cable Schedule'!I2:I5696,"Grounding")/25,0)</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27"/>
  <sheetViews>
    <sheetView workbookViewId="0">
      <selection activeCell="A1" sqref="A1"/>
    </sheetView>
  </sheetViews>
  <sheetFormatPr baseColWidth="8" defaultRowHeight="15"/>
  <cols>
    <col width="34"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c r="A1" s="26" t="inlineStr">
        <is>
          <t>Total cable length (ft) by zone and class</t>
        </is>
      </c>
    </row>
    <row r="2">
      <c r="A2" s="9" t="inlineStr">
        <is>
          <t>Zone</t>
        </is>
      </c>
      <c r="B2" s="27" t="inlineStr">
        <is>
          <t>MV 15 kV</t>
        </is>
      </c>
      <c r="C2" s="27" t="inlineStr">
        <is>
          <t>MV 5 kV</t>
        </is>
      </c>
      <c r="D2" s="27" t="inlineStr">
        <is>
          <t>MV 25 kV</t>
        </is>
      </c>
      <c r="E2" s="27" t="inlineStr">
        <is>
          <t>MV 35 kV</t>
        </is>
      </c>
      <c r="F2" s="27" t="inlineStr">
        <is>
          <t>HV 230 kV</t>
        </is>
      </c>
      <c r="G2" s="27" t="inlineStr">
        <is>
          <t>LV 600 V</t>
        </is>
      </c>
      <c r="H2" s="27" t="inlineStr">
        <is>
          <t>Control</t>
        </is>
      </c>
      <c r="I2" s="27" t="inlineStr">
        <is>
          <t>Instrumentation</t>
        </is>
      </c>
      <c r="J2" s="27" t="inlineStr">
        <is>
          <t>Fire alarm</t>
        </is>
      </c>
      <c r="K2" s="27" t="inlineStr">
        <is>
          <t>Fibre / data</t>
        </is>
      </c>
      <c r="L2" s="27" t="inlineStr">
        <is>
          <t>DC 2 kV</t>
        </is>
      </c>
      <c r="M2" s="27" t="inlineStr">
        <is>
          <t>Portable MV</t>
        </is>
      </c>
      <c r="N2" s="27" t="inlineStr">
        <is>
          <t>Portable LV</t>
        </is>
      </c>
      <c r="O2" s="27" t="inlineStr">
        <is>
          <t>Building wire</t>
        </is>
      </c>
      <c r="P2" s="27" t="inlineStr">
        <is>
          <t>Grounding</t>
        </is>
      </c>
      <c r="Q2" s="27" t="inlineStr">
        <is>
          <t>Overhead</t>
        </is>
      </c>
      <c r="R2" s="9" t="inlineStr">
        <is>
          <t>Total</t>
        </is>
      </c>
    </row>
    <row r="3">
      <c r="A3" s="12" t="inlineStr">
        <is>
          <t>A  Power block</t>
        </is>
      </c>
      <c r="B3" s="18">
        <f>SUMIFS('Cable Schedule'!$W$2:$W$5696,'Cable Schedule'!$B$2:$B$5696,"A",'Cable Schedule'!$I$2:$I$5696,"MV 15 kV")</f>
        <v/>
      </c>
      <c r="C3" s="18">
        <f>SUMIFS('Cable Schedule'!$W$2:$W$5696,'Cable Schedule'!$B$2:$B$5696,"A",'Cable Schedule'!$I$2:$I$5696,"MV 5 kV")</f>
        <v/>
      </c>
      <c r="D3" s="18">
        <f>SUMIFS('Cable Schedule'!$W$2:$W$5696,'Cable Schedule'!$B$2:$B$5696,"A",'Cable Schedule'!$I$2:$I$5696,"MV 25 kV")</f>
        <v/>
      </c>
      <c r="E3" s="18">
        <f>SUMIFS('Cable Schedule'!$W$2:$W$5696,'Cable Schedule'!$B$2:$B$5696,"A",'Cable Schedule'!$I$2:$I$5696,"MV 35 kV")</f>
        <v/>
      </c>
      <c r="F3" s="18">
        <f>SUMIFS('Cable Schedule'!$W$2:$W$5696,'Cable Schedule'!$B$2:$B$5696,"A",'Cable Schedule'!$I$2:$I$5696,"HV 230 kV")</f>
        <v/>
      </c>
      <c r="G3" s="18">
        <f>SUMIFS('Cable Schedule'!$W$2:$W$5696,'Cable Schedule'!$B$2:$B$5696,"A",'Cable Schedule'!$I$2:$I$5696,"LV 600 V")</f>
        <v/>
      </c>
      <c r="H3" s="18">
        <f>SUMIFS('Cable Schedule'!$W$2:$W$5696,'Cable Schedule'!$B$2:$B$5696,"A",'Cable Schedule'!$I$2:$I$5696,"Control")</f>
        <v/>
      </c>
      <c r="I3" s="18">
        <f>SUMIFS('Cable Schedule'!$W$2:$W$5696,'Cable Schedule'!$B$2:$B$5696,"A",'Cable Schedule'!$I$2:$I$5696,"Instrumentation")</f>
        <v/>
      </c>
      <c r="J3" s="18">
        <f>SUMIFS('Cable Schedule'!$W$2:$W$5696,'Cable Schedule'!$B$2:$B$5696,"A",'Cable Schedule'!$I$2:$I$5696,"Fire alarm")</f>
        <v/>
      </c>
      <c r="K3" s="18">
        <f>SUMIFS('Cable Schedule'!$W$2:$W$5696,'Cable Schedule'!$B$2:$B$5696,"A",'Cable Schedule'!$I$2:$I$5696,"Fibre / data")</f>
        <v/>
      </c>
      <c r="L3" s="18">
        <f>SUMIFS('Cable Schedule'!$W$2:$W$5696,'Cable Schedule'!$B$2:$B$5696,"A",'Cable Schedule'!$I$2:$I$5696,"DC 2 kV")</f>
        <v/>
      </c>
      <c r="M3" s="18">
        <f>SUMIFS('Cable Schedule'!$W$2:$W$5696,'Cable Schedule'!$B$2:$B$5696,"A",'Cable Schedule'!$I$2:$I$5696,"Portable MV")</f>
        <v/>
      </c>
      <c r="N3" s="18">
        <f>SUMIFS('Cable Schedule'!$W$2:$W$5696,'Cable Schedule'!$B$2:$B$5696,"A",'Cable Schedule'!$I$2:$I$5696,"Portable LV")</f>
        <v/>
      </c>
      <c r="O3" s="18">
        <f>SUMIFS('Cable Schedule'!$W$2:$W$5696,'Cable Schedule'!$B$2:$B$5696,"A",'Cable Schedule'!$I$2:$I$5696,"Building wire")</f>
        <v/>
      </c>
      <c r="P3" s="18">
        <f>SUMIFS('Cable Schedule'!$W$2:$W$5696,'Cable Schedule'!$B$2:$B$5696,"A",'Cable Schedule'!$I$2:$I$5696,"Grounding")</f>
        <v/>
      </c>
      <c r="Q3" s="18">
        <f>SUMIFS('Cable Schedule'!$W$2:$W$5696,'Cable Schedule'!$B$2:$B$5696,"A",'Cable Schedule'!$I$2:$I$5696,"Overhead")</f>
        <v/>
      </c>
      <c r="R3" s="28">
        <f>SUM(B3:Q3)</f>
        <v/>
      </c>
    </row>
    <row r="4">
      <c r="A4" s="12" t="inlineStr">
        <is>
          <t>B  ACC</t>
        </is>
      </c>
      <c r="B4" s="18">
        <f>SUMIFS('Cable Schedule'!$W$2:$W$5696,'Cable Schedule'!$B$2:$B$5696,"B",'Cable Schedule'!$I$2:$I$5696,"MV 15 kV")</f>
        <v/>
      </c>
      <c r="C4" s="18">
        <f>SUMIFS('Cable Schedule'!$W$2:$W$5696,'Cable Schedule'!$B$2:$B$5696,"B",'Cable Schedule'!$I$2:$I$5696,"MV 5 kV")</f>
        <v/>
      </c>
      <c r="D4" s="18">
        <f>SUMIFS('Cable Schedule'!$W$2:$W$5696,'Cable Schedule'!$B$2:$B$5696,"B",'Cable Schedule'!$I$2:$I$5696,"MV 25 kV")</f>
        <v/>
      </c>
      <c r="E4" s="18">
        <f>SUMIFS('Cable Schedule'!$W$2:$W$5696,'Cable Schedule'!$B$2:$B$5696,"B",'Cable Schedule'!$I$2:$I$5696,"MV 35 kV")</f>
        <v/>
      </c>
      <c r="F4" s="18">
        <f>SUMIFS('Cable Schedule'!$W$2:$W$5696,'Cable Schedule'!$B$2:$B$5696,"B",'Cable Schedule'!$I$2:$I$5696,"HV 230 kV")</f>
        <v/>
      </c>
      <c r="G4" s="18">
        <f>SUMIFS('Cable Schedule'!$W$2:$W$5696,'Cable Schedule'!$B$2:$B$5696,"B",'Cable Schedule'!$I$2:$I$5696,"LV 600 V")</f>
        <v/>
      </c>
      <c r="H4" s="18">
        <f>SUMIFS('Cable Schedule'!$W$2:$W$5696,'Cable Schedule'!$B$2:$B$5696,"B",'Cable Schedule'!$I$2:$I$5696,"Control")</f>
        <v/>
      </c>
      <c r="I4" s="18">
        <f>SUMIFS('Cable Schedule'!$W$2:$W$5696,'Cable Schedule'!$B$2:$B$5696,"B",'Cable Schedule'!$I$2:$I$5696,"Instrumentation")</f>
        <v/>
      </c>
      <c r="J4" s="18">
        <f>SUMIFS('Cable Schedule'!$W$2:$W$5696,'Cable Schedule'!$B$2:$B$5696,"B",'Cable Schedule'!$I$2:$I$5696,"Fire alarm")</f>
        <v/>
      </c>
      <c r="K4" s="18">
        <f>SUMIFS('Cable Schedule'!$W$2:$W$5696,'Cable Schedule'!$B$2:$B$5696,"B",'Cable Schedule'!$I$2:$I$5696,"Fibre / data")</f>
        <v/>
      </c>
      <c r="L4" s="18">
        <f>SUMIFS('Cable Schedule'!$W$2:$W$5696,'Cable Schedule'!$B$2:$B$5696,"B",'Cable Schedule'!$I$2:$I$5696,"DC 2 kV")</f>
        <v/>
      </c>
      <c r="M4" s="18">
        <f>SUMIFS('Cable Schedule'!$W$2:$W$5696,'Cable Schedule'!$B$2:$B$5696,"B",'Cable Schedule'!$I$2:$I$5696,"Portable MV")</f>
        <v/>
      </c>
      <c r="N4" s="18">
        <f>SUMIFS('Cable Schedule'!$W$2:$W$5696,'Cable Schedule'!$B$2:$B$5696,"B",'Cable Schedule'!$I$2:$I$5696,"Portable LV")</f>
        <v/>
      </c>
      <c r="O4" s="18">
        <f>SUMIFS('Cable Schedule'!$W$2:$W$5696,'Cable Schedule'!$B$2:$B$5696,"B",'Cable Schedule'!$I$2:$I$5696,"Building wire")</f>
        <v/>
      </c>
      <c r="P4" s="18">
        <f>SUMIFS('Cable Schedule'!$W$2:$W$5696,'Cable Schedule'!$B$2:$B$5696,"B",'Cable Schedule'!$I$2:$I$5696,"Grounding")</f>
        <v/>
      </c>
      <c r="Q4" s="18">
        <f>SUMIFS('Cable Schedule'!$W$2:$W$5696,'Cable Schedule'!$B$2:$B$5696,"B",'Cable Schedule'!$I$2:$I$5696,"Overhead")</f>
        <v/>
      </c>
      <c r="R4" s="28">
        <f>SUM(B4:Q4)</f>
        <v/>
      </c>
    </row>
    <row r="5">
      <c r="A5" s="12" t="inlineStr">
        <is>
          <t>C  Grid interface</t>
        </is>
      </c>
      <c r="B5" s="18">
        <f>SUMIFS('Cable Schedule'!$W$2:$W$5696,'Cable Schedule'!$B$2:$B$5696,"C",'Cable Schedule'!$I$2:$I$5696,"MV 15 kV")</f>
        <v/>
      </c>
      <c r="C5" s="18">
        <f>SUMIFS('Cable Schedule'!$W$2:$W$5696,'Cable Schedule'!$B$2:$B$5696,"C",'Cable Schedule'!$I$2:$I$5696,"MV 5 kV")</f>
        <v/>
      </c>
      <c r="D5" s="18">
        <f>SUMIFS('Cable Schedule'!$W$2:$W$5696,'Cable Schedule'!$B$2:$B$5696,"C",'Cable Schedule'!$I$2:$I$5696,"MV 25 kV")</f>
        <v/>
      </c>
      <c r="E5" s="18">
        <f>SUMIFS('Cable Schedule'!$W$2:$W$5696,'Cable Schedule'!$B$2:$B$5696,"C",'Cable Schedule'!$I$2:$I$5696,"MV 35 kV")</f>
        <v/>
      </c>
      <c r="F5" s="18">
        <f>SUMIFS('Cable Schedule'!$W$2:$W$5696,'Cable Schedule'!$B$2:$B$5696,"C",'Cable Schedule'!$I$2:$I$5696,"HV 230 kV")</f>
        <v/>
      </c>
      <c r="G5" s="18">
        <f>SUMIFS('Cable Schedule'!$W$2:$W$5696,'Cable Schedule'!$B$2:$B$5696,"C",'Cable Schedule'!$I$2:$I$5696,"LV 600 V")</f>
        <v/>
      </c>
      <c r="H5" s="18">
        <f>SUMIFS('Cable Schedule'!$W$2:$W$5696,'Cable Schedule'!$B$2:$B$5696,"C",'Cable Schedule'!$I$2:$I$5696,"Control")</f>
        <v/>
      </c>
      <c r="I5" s="18">
        <f>SUMIFS('Cable Schedule'!$W$2:$W$5696,'Cable Schedule'!$B$2:$B$5696,"C",'Cable Schedule'!$I$2:$I$5696,"Instrumentation")</f>
        <v/>
      </c>
      <c r="J5" s="18">
        <f>SUMIFS('Cable Schedule'!$W$2:$W$5696,'Cable Schedule'!$B$2:$B$5696,"C",'Cable Schedule'!$I$2:$I$5696,"Fire alarm")</f>
        <v/>
      </c>
      <c r="K5" s="18">
        <f>SUMIFS('Cable Schedule'!$W$2:$W$5696,'Cable Schedule'!$B$2:$B$5696,"C",'Cable Schedule'!$I$2:$I$5696,"Fibre / data")</f>
        <v/>
      </c>
      <c r="L5" s="18">
        <f>SUMIFS('Cable Schedule'!$W$2:$W$5696,'Cable Schedule'!$B$2:$B$5696,"C",'Cable Schedule'!$I$2:$I$5696,"DC 2 kV")</f>
        <v/>
      </c>
      <c r="M5" s="18">
        <f>SUMIFS('Cable Schedule'!$W$2:$W$5696,'Cable Schedule'!$B$2:$B$5696,"C",'Cable Schedule'!$I$2:$I$5696,"Portable MV")</f>
        <v/>
      </c>
      <c r="N5" s="18">
        <f>SUMIFS('Cable Schedule'!$W$2:$W$5696,'Cable Schedule'!$B$2:$B$5696,"C",'Cable Schedule'!$I$2:$I$5696,"Portable LV")</f>
        <v/>
      </c>
      <c r="O5" s="18">
        <f>SUMIFS('Cable Schedule'!$W$2:$W$5696,'Cable Schedule'!$B$2:$B$5696,"C",'Cable Schedule'!$I$2:$I$5696,"Building wire")</f>
        <v/>
      </c>
      <c r="P5" s="18">
        <f>SUMIFS('Cable Schedule'!$W$2:$W$5696,'Cable Schedule'!$B$2:$B$5696,"C",'Cable Schedule'!$I$2:$I$5696,"Grounding")</f>
        <v/>
      </c>
      <c r="Q5" s="18">
        <f>SUMIFS('Cable Schedule'!$W$2:$W$5696,'Cable Schedule'!$B$2:$B$5696,"C",'Cable Schedule'!$I$2:$I$5696,"Overhead")</f>
        <v/>
      </c>
      <c r="R5" s="28">
        <f>SUM(B5:Q5)</f>
        <v/>
      </c>
    </row>
    <row r="6">
      <c r="A6" s="12" t="inlineStr">
        <is>
          <t>D  Fuel gas</t>
        </is>
      </c>
      <c r="B6" s="18">
        <f>SUMIFS('Cable Schedule'!$W$2:$W$5696,'Cable Schedule'!$B$2:$B$5696,"D",'Cable Schedule'!$I$2:$I$5696,"MV 15 kV")</f>
        <v/>
      </c>
      <c r="C6" s="18">
        <f>SUMIFS('Cable Schedule'!$W$2:$W$5696,'Cable Schedule'!$B$2:$B$5696,"D",'Cable Schedule'!$I$2:$I$5696,"MV 5 kV")</f>
        <v/>
      </c>
      <c r="D6" s="18">
        <f>SUMIFS('Cable Schedule'!$W$2:$W$5696,'Cable Schedule'!$B$2:$B$5696,"D",'Cable Schedule'!$I$2:$I$5696,"MV 25 kV")</f>
        <v/>
      </c>
      <c r="E6" s="18">
        <f>SUMIFS('Cable Schedule'!$W$2:$W$5696,'Cable Schedule'!$B$2:$B$5696,"D",'Cable Schedule'!$I$2:$I$5696,"MV 35 kV")</f>
        <v/>
      </c>
      <c r="F6" s="18">
        <f>SUMIFS('Cable Schedule'!$W$2:$W$5696,'Cable Schedule'!$B$2:$B$5696,"D",'Cable Schedule'!$I$2:$I$5696,"HV 230 kV")</f>
        <v/>
      </c>
      <c r="G6" s="18">
        <f>SUMIFS('Cable Schedule'!$W$2:$W$5696,'Cable Schedule'!$B$2:$B$5696,"D",'Cable Schedule'!$I$2:$I$5696,"LV 600 V")</f>
        <v/>
      </c>
      <c r="H6" s="18">
        <f>SUMIFS('Cable Schedule'!$W$2:$W$5696,'Cable Schedule'!$B$2:$B$5696,"D",'Cable Schedule'!$I$2:$I$5696,"Control")</f>
        <v/>
      </c>
      <c r="I6" s="18">
        <f>SUMIFS('Cable Schedule'!$W$2:$W$5696,'Cable Schedule'!$B$2:$B$5696,"D",'Cable Schedule'!$I$2:$I$5696,"Instrumentation")</f>
        <v/>
      </c>
      <c r="J6" s="18">
        <f>SUMIFS('Cable Schedule'!$W$2:$W$5696,'Cable Schedule'!$B$2:$B$5696,"D",'Cable Schedule'!$I$2:$I$5696,"Fire alarm")</f>
        <v/>
      </c>
      <c r="K6" s="18">
        <f>SUMIFS('Cable Schedule'!$W$2:$W$5696,'Cable Schedule'!$B$2:$B$5696,"D",'Cable Schedule'!$I$2:$I$5696,"Fibre / data")</f>
        <v/>
      </c>
      <c r="L6" s="18">
        <f>SUMIFS('Cable Schedule'!$W$2:$W$5696,'Cable Schedule'!$B$2:$B$5696,"D",'Cable Schedule'!$I$2:$I$5696,"DC 2 kV")</f>
        <v/>
      </c>
      <c r="M6" s="18">
        <f>SUMIFS('Cable Schedule'!$W$2:$W$5696,'Cable Schedule'!$B$2:$B$5696,"D",'Cable Schedule'!$I$2:$I$5696,"Portable MV")</f>
        <v/>
      </c>
      <c r="N6" s="18">
        <f>SUMIFS('Cable Schedule'!$W$2:$W$5696,'Cable Schedule'!$B$2:$B$5696,"D",'Cable Schedule'!$I$2:$I$5696,"Portable LV")</f>
        <v/>
      </c>
      <c r="O6" s="18">
        <f>SUMIFS('Cable Schedule'!$W$2:$W$5696,'Cable Schedule'!$B$2:$B$5696,"D",'Cable Schedule'!$I$2:$I$5696,"Building wire")</f>
        <v/>
      </c>
      <c r="P6" s="18">
        <f>SUMIFS('Cable Schedule'!$W$2:$W$5696,'Cable Schedule'!$B$2:$B$5696,"D",'Cable Schedule'!$I$2:$I$5696,"Grounding")</f>
        <v/>
      </c>
      <c r="Q6" s="18">
        <f>SUMIFS('Cable Schedule'!$W$2:$W$5696,'Cable Schedule'!$B$2:$B$5696,"D",'Cable Schedule'!$I$2:$I$5696,"Overhead")</f>
        <v/>
      </c>
      <c r="R6" s="28">
        <f>SUM(B6:Q6)</f>
        <v/>
      </c>
    </row>
    <row r="7">
      <c r="A7" s="12" t="inlineStr">
        <is>
          <t>E  Water / utilities</t>
        </is>
      </c>
      <c r="B7" s="18">
        <f>SUMIFS('Cable Schedule'!$W$2:$W$5696,'Cable Schedule'!$B$2:$B$5696,"E",'Cable Schedule'!$I$2:$I$5696,"MV 15 kV")</f>
        <v/>
      </c>
      <c r="C7" s="18">
        <f>SUMIFS('Cable Schedule'!$W$2:$W$5696,'Cable Schedule'!$B$2:$B$5696,"E",'Cable Schedule'!$I$2:$I$5696,"MV 5 kV")</f>
        <v/>
      </c>
      <c r="D7" s="18">
        <f>SUMIFS('Cable Schedule'!$W$2:$W$5696,'Cable Schedule'!$B$2:$B$5696,"E",'Cable Schedule'!$I$2:$I$5696,"MV 25 kV")</f>
        <v/>
      </c>
      <c r="E7" s="18">
        <f>SUMIFS('Cable Schedule'!$W$2:$W$5696,'Cable Schedule'!$B$2:$B$5696,"E",'Cable Schedule'!$I$2:$I$5696,"MV 35 kV")</f>
        <v/>
      </c>
      <c r="F7" s="18">
        <f>SUMIFS('Cable Schedule'!$W$2:$W$5696,'Cable Schedule'!$B$2:$B$5696,"E",'Cable Schedule'!$I$2:$I$5696,"HV 230 kV")</f>
        <v/>
      </c>
      <c r="G7" s="18">
        <f>SUMIFS('Cable Schedule'!$W$2:$W$5696,'Cable Schedule'!$B$2:$B$5696,"E",'Cable Schedule'!$I$2:$I$5696,"LV 600 V")</f>
        <v/>
      </c>
      <c r="H7" s="18">
        <f>SUMIFS('Cable Schedule'!$W$2:$W$5696,'Cable Schedule'!$B$2:$B$5696,"E",'Cable Schedule'!$I$2:$I$5696,"Control")</f>
        <v/>
      </c>
      <c r="I7" s="18">
        <f>SUMIFS('Cable Schedule'!$W$2:$W$5696,'Cable Schedule'!$B$2:$B$5696,"E",'Cable Schedule'!$I$2:$I$5696,"Instrumentation")</f>
        <v/>
      </c>
      <c r="J7" s="18">
        <f>SUMIFS('Cable Schedule'!$W$2:$W$5696,'Cable Schedule'!$B$2:$B$5696,"E",'Cable Schedule'!$I$2:$I$5696,"Fire alarm")</f>
        <v/>
      </c>
      <c r="K7" s="18">
        <f>SUMIFS('Cable Schedule'!$W$2:$W$5696,'Cable Schedule'!$B$2:$B$5696,"E",'Cable Schedule'!$I$2:$I$5696,"Fibre / data")</f>
        <v/>
      </c>
      <c r="L7" s="18">
        <f>SUMIFS('Cable Schedule'!$W$2:$W$5696,'Cable Schedule'!$B$2:$B$5696,"E",'Cable Schedule'!$I$2:$I$5696,"DC 2 kV")</f>
        <v/>
      </c>
      <c r="M7" s="18">
        <f>SUMIFS('Cable Schedule'!$W$2:$W$5696,'Cable Schedule'!$B$2:$B$5696,"E",'Cable Schedule'!$I$2:$I$5696,"Portable MV")</f>
        <v/>
      </c>
      <c r="N7" s="18">
        <f>SUMIFS('Cable Schedule'!$W$2:$W$5696,'Cable Schedule'!$B$2:$B$5696,"E",'Cable Schedule'!$I$2:$I$5696,"Portable LV")</f>
        <v/>
      </c>
      <c r="O7" s="18">
        <f>SUMIFS('Cable Schedule'!$W$2:$W$5696,'Cable Schedule'!$B$2:$B$5696,"E",'Cable Schedule'!$I$2:$I$5696,"Building wire")</f>
        <v/>
      </c>
      <c r="P7" s="18">
        <f>SUMIFS('Cable Schedule'!$W$2:$W$5696,'Cable Schedule'!$B$2:$B$5696,"E",'Cable Schedule'!$I$2:$I$5696,"Grounding")</f>
        <v/>
      </c>
      <c r="Q7" s="18">
        <f>SUMIFS('Cable Schedule'!$W$2:$W$5696,'Cable Schedule'!$B$2:$B$5696,"E",'Cable Schedule'!$I$2:$I$5696,"Overhead")</f>
        <v/>
      </c>
      <c r="R7" s="28">
        <f>SUM(B7:Q7)</f>
        <v/>
      </c>
    </row>
    <row r="8">
      <c r="A8" s="12" t="inlineStr">
        <is>
          <t>F  Controls / service</t>
        </is>
      </c>
      <c r="B8" s="18">
        <f>SUMIFS('Cable Schedule'!$W$2:$W$5696,'Cable Schedule'!$B$2:$B$5696,"F",'Cable Schedule'!$I$2:$I$5696,"MV 15 kV")</f>
        <v/>
      </c>
      <c r="C8" s="18">
        <f>SUMIFS('Cable Schedule'!$W$2:$W$5696,'Cable Schedule'!$B$2:$B$5696,"F",'Cable Schedule'!$I$2:$I$5696,"MV 5 kV")</f>
        <v/>
      </c>
      <c r="D8" s="18">
        <f>SUMIFS('Cable Schedule'!$W$2:$W$5696,'Cable Schedule'!$B$2:$B$5696,"F",'Cable Schedule'!$I$2:$I$5696,"MV 25 kV")</f>
        <v/>
      </c>
      <c r="E8" s="18">
        <f>SUMIFS('Cable Schedule'!$W$2:$W$5696,'Cable Schedule'!$B$2:$B$5696,"F",'Cable Schedule'!$I$2:$I$5696,"MV 35 kV")</f>
        <v/>
      </c>
      <c r="F8" s="18">
        <f>SUMIFS('Cable Schedule'!$W$2:$W$5696,'Cable Schedule'!$B$2:$B$5696,"F",'Cable Schedule'!$I$2:$I$5696,"HV 230 kV")</f>
        <v/>
      </c>
      <c r="G8" s="18">
        <f>SUMIFS('Cable Schedule'!$W$2:$W$5696,'Cable Schedule'!$B$2:$B$5696,"F",'Cable Schedule'!$I$2:$I$5696,"LV 600 V")</f>
        <v/>
      </c>
      <c r="H8" s="18">
        <f>SUMIFS('Cable Schedule'!$W$2:$W$5696,'Cable Schedule'!$B$2:$B$5696,"F",'Cable Schedule'!$I$2:$I$5696,"Control")</f>
        <v/>
      </c>
      <c r="I8" s="18">
        <f>SUMIFS('Cable Schedule'!$W$2:$W$5696,'Cable Schedule'!$B$2:$B$5696,"F",'Cable Schedule'!$I$2:$I$5696,"Instrumentation")</f>
        <v/>
      </c>
      <c r="J8" s="18">
        <f>SUMIFS('Cable Schedule'!$W$2:$W$5696,'Cable Schedule'!$B$2:$B$5696,"F",'Cable Schedule'!$I$2:$I$5696,"Fire alarm")</f>
        <v/>
      </c>
      <c r="K8" s="18">
        <f>SUMIFS('Cable Schedule'!$W$2:$W$5696,'Cable Schedule'!$B$2:$B$5696,"F",'Cable Schedule'!$I$2:$I$5696,"Fibre / data")</f>
        <v/>
      </c>
      <c r="L8" s="18">
        <f>SUMIFS('Cable Schedule'!$W$2:$W$5696,'Cable Schedule'!$B$2:$B$5696,"F",'Cable Schedule'!$I$2:$I$5696,"DC 2 kV")</f>
        <v/>
      </c>
      <c r="M8" s="18">
        <f>SUMIFS('Cable Schedule'!$W$2:$W$5696,'Cable Schedule'!$B$2:$B$5696,"F",'Cable Schedule'!$I$2:$I$5696,"Portable MV")</f>
        <v/>
      </c>
      <c r="N8" s="18">
        <f>SUMIFS('Cable Schedule'!$W$2:$W$5696,'Cable Schedule'!$B$2:$B$5696,"F",'Cable Schedule'!$I$2:$I$5696,"Portable LV")</f>
        <v/>
      </c>
      <c r="O8" s="18">
        <f>SUMIFS('Cable Schedule'!$W$2:$W$5696,'Cable Schedule'!$B$2:$B$5696,"F",'Cable Schedule'!$I$2:$I$5696,"Building wire")</f>
        <v/>
      </c>
      <c r="P8" s="18">
        <f>SUMIFS('Cable Schedule'!$W$2:$W$5696,'Cable Schedule'!$B$2:$B$5696,"F",'Cable Schedule'!$I$2:$I$5696,"Grounding")</f>
        <v/>
      </c>
      <c r="Q8" s="18">
        <f>SUMIFS('Cable Schedule'!$W$2:$W$5696,'Cable Schedule'!$B$2:$B$5696,"F",'Cable Schedule'!$I$2:$I$5696,"Overhead")</f>
        <v/>
      </c>
      <c r="R8" s="28">
        <f>SUM(B8:Q8)</f>
        <v/>
      </c>
    </row>
    <row r="9">
      <c r="A9" s="12" t="inlineStr">
        <is>
          <t>G  Carbon capture</t>
        </is>
      </c>
      <c r="B9" s="18">
        <f>SUMIFS('Cable Schedule'!$W$2:$W$5696,'Cable Schedule'!$B$2:$B$5696,"G",'Cable Schedule'!$I$2:$I$5696,"MV 15 kV")</f>
        <v/>
      </c>
      <c r="C9" s="18">
        <f>SUMIFS('Cable Schedule'!$W$2:$W$5696,'Cable Schedule'!$B$2:$B$5696,"G",'Cable Schedule'!$I$2:$I$5696,"MV 5 kV")</f>
        <v/>
      </c>
      <c r="D9" s="18">
        <f>SUMIFS('Cable Schedule'!$W$2:$W$5696,'Cable Schedule'!$B$2:$B$5696,"G",'Cable Schedule'!$I$2:$I$5696,"MV 25 kV")</f>
        <v/>
      </c>
      <c r="E9" s="18">
        <f>SUMIFS('Cable Schedule'!$W$2:$W$5696,'Cable Schedule'!$B$2:$B$5696,"G",'Cable Schedule'!$I$2:$I$5696,"MV 35 kV")</f>
        <v/>
      </c>
      <c r="F9" s="18">
        <f>SUMIFS('Cable Schedule'!$W$2:$W$5696,'Cable Schedule'!$B$2:$B$5696,"G",'Cable Schedule'!$I$2:$I$5696,"HV 230 kV")</f>
        <v/>
      </c>
      <c r="G9" s="18">
        <f>SUMIFS('Cable Schedule'!$W$2:$W$5696,'Cable Schedule'!$B$2:$B$5696,"G",'Cable Schedule'!$I$2:$I$5696,"LV 600 V")</f>
        <v/>
      </c>
      <c r="H9" s="18">
        <f>SUMIFS('Cable Schedule'!$W$2:$W$5696,'Cable Schedule'!$B$2:$B$5696,"G",'Cable Schedule'!$I$2:$I$5696,"Control")</f>
        <v/>
      </c>
      <c r="I9" s="18">
        <f>SUMIFS('Cable Schedule'!$W$2:$W$5696,'Cable Schedule'!$B$2:$B$5696,"G",'Cable Schedule'!$I$2:$I$5696,"Instrumentation")</f>
        <v/>
      </c>
      <c r="J9" s="18">
        <f>SUMIFS('Cable Schedule'!$W$2:$W$5696,'Cable Schedule'!$B$2:$B$5696,"G",'Cable Schedule'!$I$2:$I$5696,"Fire alarm")</f>
        <v/>
      </c>
      <c r="K9" s="18">
        <f>SUMIFS('Cable Schedule'!$W$2:$W$5696,'Cable Schedule'!$B$2:$B$5696,"G",'Cable Schedule'!$I$2:$I$5696,"Fibre / data")</f>
        <v/>
      </c>
      <c r="L9" s="18">
        <f>SUMIFS('Cable Schedule'!$W$2:$W$5696,'Cable Schedule'!$B$2:$B$5696,"G",'Cable Schedule'!$I$2:$I$5696,"DC 2 kV")</f>
        <v/>
      </c>
      <c r="M9" s="18">
        <f>SUMIFS('Cable Schedule'!$W$2:$W$5696,'Cable Schedule'!$B$2:$B$5696,"G",'Cable Schedule'!$I$2:$I$5696,"Portable MV")</f>
        <v/>
      </c>
      <c r="N9" s="18">
        <f>SUMIFS('Cable Schedule'!$W$2:$W$5696,'Cable Schedule'!$B$2:$B$5696,"G",'Cable Schedule'!$I$2:$I$5696,"Portable LV")</f>
        <v/>
      </c>
      <c r="O9" s="18">
        <f>SUMIFS('Cable Schedule'!$W$2:$W$5696,'Cable Schedule'!$B$2:$B$5696,"G",'Cable Schedule'!$I$2:$I$5696,"Building wire")</f>
        <v/>
      </c>
      <c r="P9" s="18">
        <f>SUMIFS('Cable Schedule'!$W$2:$W$5696,'Cable Schedule'!$B$2:$B$5696,"G",'Cable Schedule'!$I$2:$I$5696,"Grounding")</f>
        <v/>
      </c>
      <c r="Q9" s="18">
        <f>SUMIFS('Cable Schedule'!$W$2:$W$5696,'Cable Schedule'!$B$2:$B$5696,"G",'Cable Schedule'!$I$2:$I$5696,"Overhead")</f>
        <v/>
      </c>
      <c r="R9" s="28">
        <f>SUM(B9:Q9)</f>
        <v/>
      </c>
    </row>
    <row r="10">
      <c r="A10" s="12" t="inlineStr">
        <is>
          <t>H  BESS</t>
        </is>
      </c>
      <c r="B10" s="18">
        <f>SUMIFS('Cable Schedule'!$W$2:$W$5696,'Cable Schedule'!$B$2:$B$5696,"H",'Cable Schedule'!$I$2:$I$5696,"MV 15 kV")</f>
        <v/>
      </c>
      <c r="C10" s="18">
        <f>SUMIFS('Cable Schedule'!$W$2:$W$5696,'Cable Schedule'!$B$2:$B$5696,"H",'Cable Schedule'!$I$2:$I$5696,"MV 5 kV")</f>
        <v/>
      </c>
      <c r="D10" s="18">
        <f>SUMIFS('Cable Schedule'!$W$2:$W$5696,'Cable Schedule'!$B$2:$B$5696,"H",'Cable Schedule'!$I$2:$I$5696,"MV 25 kV")</f>
        <v/>
      </c>
      <c r="E10" s="18">
        <f>SUMIFS('Cable Schedule'!$W$2:$W$5696,'Cable Schedule'!$B$2:$B$5696,"H",'Cable Schedule'!$I$2:$I$5696,"MV 35 kV")</f>
        <v/>
      </c>
      <c r="F10" s="18">
        <f>SUMIFS('Cable Schedule'!$W$2:$W$5696,'Cable Schedule'!$B$2:$B$5696,"H",'Cable Schedule'!$I$2:$I$5696,"HV 230 kV")</f>
        <v/>
      </c>
      <c r="G10" s="18">
        <f>SUMIFS('Cable Schedule'!$W$2:$W$5696,'Cable Schedule'!$B$2:$B$5696,"H",'Cable Schedule'!$I$2:$I$5696,"LV 600 V")</f>
        <v/>
      </c>
      <c r="H10" s="18">
        <f>SUMIFS('Cable Schedule'!$W$2:$W$5696,'Cable Schedule'!$B$2:$B$5696,"H",'Cable Schedule'!$I$2:$I$5696,"Control")</f>
        <v/>
      </c>
      <c r="I10" s="18">
        <f>SUMIFS('Cable Schedule'!$W$2:$W$5696,'Cable Schedule'!$B$2:$B$5696,"H",'Cable Schedule'!$I$2:$I$5696,"Instrumentation")</f>
        <v/>
      </c>
      <c r="J10" s="18">
        <f>SUMIFS('Cable Schedule'!$W$2:$W$5696,'Cable Schedule'!$B$2:$B$5696,"H",'Cable Schedule'!$I$2:$I$5696,"Fire alarm")</f>
        <v/>
      </c>
      <c r="K10" s="18">
        <f>SUMIFS('Cable Schedule'!$W$2:$W$5696,'Cable Schedule'!$B$2:$B$5696,"H",'Cable Schedule'!$I$2:$I$5696,"Fibre / data")</f>
        <v/>
      </c>
      <c r="L10" s="18">
        <f>SUMIFS('Cable Schedule'!$W$2:$W$5696,'Cable Schedule'!$B$2:$B$5696,"H",'Cable Schedule'!$I$2:$I$5696,"DC 2 kV")</f>
        <v/>
      </c>
      <c r="M10" s="18">
        <f>SUMIFS('Cable Schedule'!$W$2:$W$5696,'Cable Schedule'!$B$2:$B$5696,"H",'Cable Schedule'!$I$2:$I$5696,"Portable MV")</f>
        <v/>
      </c>
      <c r="N10" s="18">
        <f>SUMIFS('Cable Schedule'!$W$2:$W$5696,'Cable Schedule'!$B$2:$B$5696,"H",'Cable Schedule'!$I$2:$I$5696,"Portable LV")</f>
        <v/>
      </c>
      <c r="O10" s="18">
        <f>SUMIFS('Cable Schedule'!$W$2:$W$5696,'Cable Schedule'!$B$2:$B$5696,"H",'Cable Schedule'!$I$2:$I$5696,"Building wire")</f>
        <v/>
      </c>
      <c r="P10" s="18">
        <f>SUMIFS('Cable Schedule'!$W$2:$W$5696,'Cable Schedule'!$B$2:$B$5696,"H",'Cable Schedule'!$I$2:$I$5696,"Grounding")</f>
        <v/>
      </c>
      <c r="Q10" s="18">
        <f>SUMIFS('Cable Schedule'!$W$2:$W$5696,'Cable Schedule'!$B$2:$B$5696,"H",'Cable Schedule'!$I$2:$I$5696,"Overhead")</f>
        <v/>
      </c>
      <c r="R10" s="28">
        <f>SUM(B10:Q10)</f>
        <v/>
      </c>
    </row>
    <row r="11">
      <c r="A11" s="12" t="inlineStr">
        <is>
          <t>I  Modular / portable power</t>
        </is>
      </c>
      <c r="B11" s="18">
        <f>SUMIFS('Cable Schedule'!$W$2:$W$5696,'Cable Schedule'!$B$2:$B$5696,"I",'Cable Schedule'!$I$2:$I$5696,"MV 15 kV")</f>
        <v/>
      </c>
      <c r="C11" s="18">
        <f>SUMIFS('Cable Schedule'!$W$2:$W$5696,'Cable Schedule'!$B$2:$B$5696,"I",'Cable Schedule'!$I$2:$I$5696,"MV 5 kV")</f>
        <v/>
      </c>
      <c r="D11" s="18">
        <f>SUMIFS('Cable Schedule'!$W$2:$W$5696,'Cable Schedule'!$B$2:$B$5696,"I",'Cable Schedule'!$I$2:$I$5696,"MV 25 kV")</f>
        <v/>
      </c>
      <c r="E11" s="18">
        <f>SUMIFS('Cable Schedule'!$W$2:$W$5696,'Cable Schedule'!$B$2:$B$5696,"I",'Cable Schedule'!$I$2:$I$5696,"MV 35 kV")</f>
        <v/>
      </c>
      <c r="F11" s="18">
        <f>SUMIFS('Cable Schedule'!$W$2:$W$5696,'Cable Schedule'!$B$2:$B$5696,"I",'Cable Schedule'!$I$2:$I$5696,"HV 230 kV")</f>
        <v/>
      </c>
      <c r="G11" s="18">
        <f>SUMIFS('Cable Schedule'!$W$2:$W$5696,'Cable Schedule'!$B$2:$B$5696,"I",'Cable Schedule'!$I$2:$I$5696,"LV 600 V")</f>
        <v/>
      </c>
      <c r="H11" s="18">
        <f>SUMIFS('Cable Schedule'!$W$2:$W$5696,'Cable Schedule'!$B$2:$B$5696,"I",'Cable Schedule'!$I$2:$I$5696,"Control")</f>
        <v/>
      </c>
      <c r="I11" s="18">
        <f>SUMIFS('Cable Schedule'!$W$2:$W$5696,'Cable Schedule'!$B$2:$B$5696,"I",'Cable Schedule'!$I$2:$I$5696,"Instrumentation")</f>
        <v/>
      </c>
      <c r="J11" s="18">
        <f>SUMIFS('Cable Schedule'!$W$2:$W$5696,'Cable Schedule'!$B$2:$B$5696,"I",'Cable Schedule'!$I$2:$I$5696,"Fire alarm")</f>
        <v/>
      </c>
      <c r="K11" s="18">
        <f>SUMIFS('Cable Schedule'!$W$2:$W$5696,'Cable Schedule'!$B$2:$B$5696,"I",'Cable Schedule'!$I$2:$I$5696,"Fibre / data")</f>
        <v/>
      </c>
      <c r="L11" s="18">
        <f>SUMIFS('Cable Schedule'!$W$2:$W$5696,'Cable Schedule'!$B$2:$B$5696,"I",'Cable Schedule'!$I$2:$I$5696,"DC 2 kV")</f>
        <v/>
      </c>
      <c r="M11" s="18">
        <f>SUMIFS('Cable Schedule'!$W$2:$W$5696,'Cable Schedule'!$B$2:$B$5696,"I",'Cable Schedule'!$I$2:$I$5696,"Portable MV")</f>
        <v/>
      </c>
      <c r="N11" s="18">
        <f>SUMIFS('Cable Schedule'!$W$2:$W$5696,'Cable Schedule'!$B$2:$B$5696,"I",'Cable Schedule'!$I$2:$I$5696,"Portable LV")</f>
        <v/>
      </c>
      <c r="O11" s="18">
        <f>SUMIFS('Cable Schedule'!$W$2:$W$5696,'Cable Schedule'!$B$2:$B$5696,"I",'Cable Schedule'!$I$2:$I$5696,"Building wire")</f>
        <v/>
      </c>
      <c r="P11" s="18">
        <f>SUMIFS('Cable Schedule'!$W$2:$W$5696,'Cable Schedule'!$B$2:$B$5696,"I",'Cable Schedule'!$I$2:$I$5696,"Grounding")</f>
        <v/>
      </c>
      <c r="Q11" s="18">
        <f>SUMIFS('Cable Schedule'!$W$2:$W$5696,'Cable Schedule'!$B$2:$B$5696,"I",'Cable Schedule'!$I$2:$I$5696,"Overhead")</f>
        <v/>
      </c>
      <c r="R11" s="28">
        <f>SUM(B11:Q11)</f>
        <v/>
      </c>
    </row>
    <row r="12">
      <c r="A12" s="12" t="inlineStr">
        <is>
          <t>J  GT inlet chilling</t>
        </is>
      </c>
      <c r="B12" s="18">
        <f>SUMIFS('Cable Schedule'!$W$2:$W$5696,'Cable Schedule'!$B$2:$B$5696,"J",'Cable Schedule'!$I$2:$I$5696,"MV 15 kV")</f>
        <v/>
      </c>
      <c r="C12" s="18">
        <f>SUMIFS('Cable Schedule'!$W$2:$W$5696,'Cable Schedule'!$B$2:$B$5696,"J",'Cable Schedule'!$I$2:$I$5696,"MV 5 kV")</f>
        <v/>
      </c>
      <c r="D12" s="18">
        <f>SUMIFS('Cable Schedule'!$W$2:$W$5696,'Cable Schedule'!$B$2:$B$5696,"J",'Cable Schedule'!$I$2:$I$5696,"MV 25 kV")</f>
        <v/>
      </c>
      <c r="E12" s="18">
        <f>SUMIFS('Cable Schedule'!$W$2:$W$5696,'Cable Schedule'!$B$2:$B$5696,"J",'Cable Schedule'!$I$2:$I$5696,"MV 35 kV")</f>
        <v/>
      </c>
      <c r="F12" s="18">
        <f>SUMIFS('Cable Schedule'!$W$2:$W$5696,'Cable Schedule'!$B$2:$B$5696,"J",'Cable Schedule'!$I$2:$I$5696,"HV 230 kV")</f>
        <v/>
      </c>
      <c r="G12" s="18">
        <f>SUMIFS('Cable Schedule'!$W$2:$W$5696,'Cable Schedule'!$B$2:$B$5696,"J",'Cable Schedule'!$I$2:$I$5696,"LV 600 V")</f>
        <v/>
      </c>
      <c r="H12" s="18">
        <f>SUMIFS('Cable Schedule'!$W$2:$W$5696,'Cable Schedule'!$B$2:$B$5696,"J",'Cable Schedule'!$I$2:$I$5696,"Control")</f>
        <v/>
      </c>
      <c r="I12" s="18">
        <f>SUMIFS('Cable Schedule'!$W$2:$W$5696,'Cable Schedule'!$B$2:$B$5696,"J",'Cable Schedule'!$I$2:$I$5696,"Instrumentation")</f>
        <v/>
      </c>
      <c r="J12" s="18">
        <f>SUMIFS('Cable Schedule'!$W$2:$W$5696,'Cable Schedule'!$B$2:$B$5696,"J",'Cable Schedule'!$I$2:$I$5696,"Fire alarm")</f>
        <v/>
      </c>
      <c r="K12" s="18">
        <f>SUMIFS('Cable Schedule'!$W$2:$W$5696,'Cable Schedule'!$B$2:$B$5696,"J",'Cable Schedule'!$I$2:$I$5696,"Fibre / data")</f>
        <v/>
      </c>
      <c r="L12" s="18">
        <f>SUMIFS('Cable Schedule'!$W$2:$W$5696,'Cable Schedule'!$B$2:$B$5696,"J",'Cable Schedule'!$I$2:$I$5696,"DC 2 kV")</f>
        <v/>
      </c>
      <c r="M12" s="18">
        <f>SUMIFS('Cable Schedule'!$W$2:$W$5696,'Cable Schedule'!$B$2:$B$5696,"J",'Cable Schedule'!$I$2:$I$5696,"Portable MV")</f>
        <v/>
      </c>
      <c r="N12" s="18">
        <f>SUMIFS('Cable Schedule'!$W$2:$W$5696,'Cable Schedule'!$B$2:$B$5696,"J",'Cable Schedule'!$I$2:$I$5696,"Portable LV")</f>
        <v/>
      </c>
      <c r="O12" s="18">
        <f>SUMIFS('Cable Schedule'!$W$2:$W$5696,'Cable Schedule'!$B$2:$B$5696,"J",'Cable Schedule'!$I$2:$I$5696,"Building wire")</f>
        <v/>
      </c>
      <c r="P12" s="18">
        <f>SUMIFS('Cable Schedule'!$W$2:$W$5696,'Cable Schedule'!$B$2:$B$5696,"J",'Cable Schedule'!$I$2:$I$5696,"Grounding")</f>
        <v/>
      </c>
      <c r="Q12" s="18">
        <f>SUMIFS('Cable Schedule'!$W$2:$W$5696,'Cable Schedule'!$B$2:$B$5696,"J",'Cable Schedule'!$I$2:$I$5696,"Overhead")</f>
        <v/>
      </c>
      <c r="R12" s="28">
        <f>SUM(B12:Q12)</f>
        <v/>
      </c>
    </row>
    <row r="13">
      <c r="A13" s="12" t="inlineStr">
        <is>
          <t>K  Fuel supply (adjacent market)</t>
        </is>
      </c>
      <c r="B13" s="18">
        <f>SUMIFS('Cable Schedule'!$W$2:$W$5696,'Cable Schedule'!$B$2:$B$5696,"K",'Cable Schedule'!$I$2:$I$5696,"MV 15 kV")</f>
        <v/>
      </c>
      <c r="C13" s="18">
        <f>SUMIFS('Cable Schedule'!$W$2:$W$5696,'Cable Schedule'!$B$2:$B$5696,"K",'Cable Schedule'!$I$2:$I$5696,"MV 5 kV")</f>
        <v/>
      </c>
      <c r="D13" s="18">
        <f>SUMIFS('Cable Schedule'!$W$2:$W$5696,'Cable Schedule'!$B$2:$B$5696,"K",'Cable Schedule'!$I$2:$I$5696,"MV 25 kV")</f>
        <v/>
      </c>
      <c r="E13" s="18">
        <f>SUMIFS('Cable Schedule'!$W$2:$W$5696,'Cable Schedule'!$B$2:$B$5696,"K",'Cable Schedule'!$I$2:$I$5696,"MV 35 kV")</f>
        <v/>
      </c>
      <c r="F13" s="18">
        <f>SUMIFS('Cable Schedule'!$W$2:$W$5696,'Cable Schedule'!$B$2:$B$5696,"K",'Cable Schedule'!$I$2:$I$5696,"HV 230 kV")</f>
        <v/>
      </c>
      <c r="G13" s="18">
        <f>SUMIFS('Cable Schedule'!$W$2:$W$5696,'Cable Schedule'!$B$2:$B$5696,"K",'Cable Schedule'!$I$2:$I$5696,"LV 600 V")</f>
        <v/>
      </c>
      <c r="H13" s="18">
        <f>SUMIFS('Cable Schedule'!$W$2:$W$5696,'Cable Schedule'!$B$2:$B$5696,"K",'Cable Schedule'!$I$2:$I$5696,"Control")</f>
        <v/>
      </c>
      <c r="I13" s="18">
        <f>SUMIFS('Cable Schedule'!$W$2:$W$5696,'Cable Schedule'!$B$2:$B$5696,"K",'Cable Schedule'!$I$2:$I$5696,"Instrumentation")</f>
        <v/>
      </c>
      <c r="J13" s="18">
        <f>SUMIFS('Cable Schedule'!$W$2:$W$5696,'Cable Schedule'!$B$2:$B$5696,"K",'Cable Schedule'!$I$2:$I$5696,"Fire alarm")</f>
        <v/>
      </c>
      <c r="K13" s="18">
        <f>SUMIFS('Cable Schedule'!$W$2:$W$5696,'Cable Schedule'!$B$2:$B$5696,"K",'Cable Schedule'!$I$2:$I$5696,"Fibre / data")</f>
        <v/>
      </c>
      <c r="L13" s="18">
        <f>SUMIFS('Cable Schedule'!$W$2:$W$5696,'Cable Schedule'!$B$2:$B$5696,"K",'Cable Schedule'!$I$2:$I$5696,"DC 2 kV")</f>
        <v/>
      </c>
      <c r="M13" s="18">
        <f>SUMIFS('Cable Schedule'!$W$2:$W$5696,'Cable Schedule'!$B$2:$B$5696,"K",'Cable Schedule'!$I$2:$I$5696,"Portable MV")</f>
        <v/>
      </c>
      <c r="N13" s="18">
        <f>SUMIFS('Cable Schedule'!$W$2:$W$5696,'Cable Schedule'!$B$2:$B$5696,"K",'Cable Schedule'!$I$2:$I$5696,"Portable LV")</f>
        <v/>
      </c>
      <c r="O13" s="18">
        <f>SUMIFS('Cable Schedule'!$W$2:$W$5696,'Cable Schedule'!$B$2:$B$5696,"K",'Cable Schedule'!$I$2:$I$5696,"Building wire")</f>
        <v/>
      </c>
      <c r="P13" s="18">
        <f>SUMIFS('Cable Schedule'!$W$2:$W$5696,'Cable Schedule'!$B$2:$B$5696,"K",'Cable Schedule'!$I$2:$I$5696,"Grounding")</f>
        <v/>
      </c>
      <c r="Q13" s="18">
        <f>SUMIFS('Cable Schedule'!$W$2:$W$5696,'Cable Schedule'!$B$2:$B$5696,"K",'Cable Schedule'!$I$2:$I$5696,"Overhead")</f>
        <v/>
      </c>
      <c r="R13" s="28">
        <f>SUM(B13:Q13)</f>
        <v/>
      </c>
    </row>
    <row r="14">
      <c r="A14" s="22" t="inlineStr">
        <is>
          <t>Total</t>
        </is>
      </c>
      <c r="B14" s="28">
        <f>SUM(B3:B13)</f>
        <v/>
      </c>
      <c r="C14" s="28">
        <f>SUM(C3:C13)</f>
        <v/>
      </c>
      <c r="D14" s="28">
        <f>SUM(D3:D13)</f>
        <v/>
      </c>
      <c r="E14" s="28">
        <f>SUM(E3:E13)</f>
        <v/>
      </c>
      <c r="F14" s="28">
        <f>SUM(F3:F13)</f>
        <v/>
      </c>
      <c r="G14" s="28">
        <f>SUM(G3:G13)</f>
        <v/>
      </c>
      <c r="H14" s="28">
        <f>SUM(H3:H13)</f>
        <v/>
      </c>
      <c r="I14" s="28">
        <f>SUM(I3:I13)</f>
        <v/>
      </c>
      <c r="J14" s="28">
        <f>SUM(J3:J13)</f>
        <v/>
      </c>
      <c r="K14" s="28">
        <f>SUM(K3:K13)</f>
        <v/>
      </c>
      <c r="L14" s="28">
        <f>SUM(L3:L13)</f>
        <v/>
      </c>
      <c r="M14" s="28">
        <f>SUM(M3:M13)</f>
        <v/>
      </c>
      <c r="N14" s="28">
        <f>SUM(N3:N13)</f>
        <v/>
      </c>
      <c r="O14" s="28">
        <f>SUM(O3:O13)</f>
        <v/>
      </c>
      <c r="P14" s="28">
        <f>SUM(P3:P13)</f>
        <v/>
      </c>
      <c r="Q14" s="28">
        <f>SUM(Q3:Q13)</f>
        <v/>
      </c>
      <c r="R14" s="28">
        <f>SUM(R3:R13)</f>
        <v/>
      </c>
    </row>
    <row r="15">
      <c r="A15" s="22" t="inlineStr">
        <is>
          <t>Total (miles)</t>
        </is>
      </c>
      <c r="R15" s="29">
        <f>R14/5280</f>
        <v/>
      </c>
    </row>
    <row r="17">
      <c r="A17" s="22" t="inlineStr">
        <is>
          <t>Schedule rows</t>
        </is>
      </c>
      <c r="B17" s="17">
        <f>COUNTIF('Cable Schedule'!B2:B5696,"?")</f>
        <v/>
      </c>
    </row>
    <row r="18">
      <c r="A18" s="22" t="inlineStr">
        <is>
          <t>Cables (count)</t>
        </is>
      </c>
      <c r="B18" s="18">
        <f>SUM('Cable Schedule'!AA2:AA5696)</f>
        <v/>
      </c>
    </row>
    <row r="20">
      <c r="A20" s="22" t="inlineStr">
        <is>
          <t>Device count behind the schedule (typical for each equipment class)</t>
        </is>
      </c>
    </row>
    <row r="21">
      <c r="A21" s="12" t="inlineStr">
        <is>
          <t>Analog instruments</t>
        </is>
      </c>
      <c r="B21" s="30" t="n">
        <v>5981</v>
      </c>
    </row>
    <row r="22">
      <c r="A22" s="12" t="inlineStr">
        <is>
          <t>Discrete devices</t>
        </is>
      </c>
      <c r="B22" s="30" t="n">
        <v>6285</v>
      </c>
    </row>
    <row r="23">
      <c r="A23" s="12" t="inlineStr">
        <is>
          <t>Thermocouples</t>
        </is>
      </c>
      <c r="B23" s="30" t="n">
        <v>832</v>
      </c>
    </row>
    <row r="24">
      <c r="A24" s="12" t="inlineStr">
        <is>
          <t>RTDs</t>
        </is>
      </c>
      <c r="B24" s="30" t="n">
        <v>450</v>
      </c>
    </row>
    <row r="25">
      <c r="A25" s="12" t="inlineStr">
        <is>
          <t>Solenoids</t>
        </is>
      </c>
      <c r="B25" s="30" t="n">
        <v>544</v>
      </c>
    </row>
    <row r="26">
      <c r="A26" s="12" t="inlineStr">
        <is>
          <t>LV motors</t>
        </is>
      </c>
      <c r="B26" s="30" t="n">
        <v>722</v>
      </c>
    </row>
    <row r="27">
      <c r="A27" s="12" t="inlineStr">
        <is>
          <t>Motor-operated valves</t>
        </is>
      </c>
      <c r="B27" s="30" t="n">
        <v>269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655"/>
  <sheetViews>
    <sheetView workbookViewId="0">
      <pane ySplit="1" topLeftCell="A2" activePane="bottomLeft" state="frozen"/>
      <selection pane="bottomLeft" activeCell="A1" sqref="A1"/>
    </sheetView>
  </sheetViews>
  <sheetFormatPr baseColWidth="8" defaultRowHeight="15"/>
  <cols>
    <col width="50" customWidth="1" min="1" max="1"/>
    <col width="12" customWidth="1" min="2" max="2"/>
    <col width="6" customWidth="1" min="3" max="3"/>
    <col width="46" customWidth="1" min="4" max="4"/>
    <col width="10" customWidth="1" min="5" max="5"/>
    <col width="10" customWidth="1" min="6" max="6"/>
    <col width="10" customWidth="1" min="7" max="7"/>
    <col width="44" customWidth="1" min="8" max="8"/>
    <col width="14" customWidth="1" min="9" max="9"/>
    <col width="12" customWidth="1" min="10" max="10"/>
    <col width="6" customWidth="1" min="11" max="11"/>
  </cols>
  <sheetData>
    <row r="1">
      <c r="A1" s="9" t="inlineStr">
        <is>
          <t>Load (to)</t>
        </is>
      </c>
      <c r="B1" s="9" t="inlineStr">
        <is>
          <t>Tag</t>
        </is>
      </c>
      <c r="C1" s="9" t="inlineStr">
        <is>
          <t>Zone</t>
        </is>
      </c>
      <c r="D1" s="9" t="inlineStr">
        <is>
          <t>Service</t>
        </is>
      </c>
      <c r="E1" s="9" t="inlineStr">
        <is>
          <t>Voltage (V)</t>
        </is>
      </c>
      <c r="F1" s="9" t="inlineStr">
        <is>
          <t>Load (kW)</t>
        </is>
      </c>
      <c r="G1" s="9" t="inlineStr">
        <is>
          <t>Current (A)</t>
        </is>
      </c>
      <c r="H1" s="9" t="inlineStr">
        <is>
          <t>Source (from)</t>
        </is>
      </c>
      <c r="I1" s="9" t="inlineStr">
        <is>
          <t>Product</t>
        </is>
      </c>
      <c r="J1" s="9" t="inlineStr">
        <is>
          <t>Size</t>
        </is>
      </c>
      <c r="K1" s="9" t="inlineStr">
        <is>
          <t>Sets</t>
        </is>
      </c>
    </row>
    <row r="2">
      <c r="A2" s="12" t="inlineStr">
        <is>
          <t>Air compressors AC-A/B/C</t>
        </is>
      </c>
      <c r="B2" s="12" t="inlineStr">
        <is>
          <t>AC-A/B/C</t>
        </is>
      </c>
      <c r="C2" s="12" t="inlineStr">
        <is>
          <t>A</t>
        </is>
      </c>
      <c r="D2" s="12" t="inlineStr">
        <is>
          <t>Motor 1 of 3, 250 kW</t>
        </is>
      </c>
      <c r="E2" s="12" t="n">
        <v>480</v>
      </c>
      <c r="F2" s="12" t="n">
        <v>250</v>
      </c>
      <c r="G2" s="12" t="n">
        <v>353.8</v>
      </c>
      <c r="H2" s="12" t="inlineStr">
        <is>
          <t>R3: ST auxiliary electrical e-house (40 x 65 ft)</t>
        </is>
      </c>
      <c r="I2" s="12" t="inlineStr">
        <is>
          <t>LV 600 V</t>
        </is>
      </c>
      <c r="J2" s="12" t="inlineStr">
        <is>
          <t>4/0</t>
        </is>
      </c>
      <c r="K2" s="12" t="n">
        <v>2</v>
      </c>
    </row>
    <row r="3">
      <c r="A3" s="12" t="inlineStr">
        <is>
          <t>Air compressors AC-A/B/C</t>
        </is>
      </c>
      <c r="B3" s="12" t="inlineStr">
        <is>
          <t>AC-A/B/C</t>
        </is>
      </c>
      <c r="C3" s="12" t="inlineStr">
        <is>
          <t>A</t>
        </is>
      </c>
      <c r="D3" s="12" t="inlineStr">
        <is>
          <t>Motor 2 of 3, 250 kW</t>
        </is>
      </c>
      <c r="E3" s="12" t="n">
        <v>480</v>
      </c>
      <c r="F3" s="12" t="n">
        <v>250</v>
      </c>
      <c r="G3" s="12" t="n">
        <v>353.8</v>
      </c>
      <c r="H3" s="12" t="inlineStr">
        <is>
          <t>R3: ST auxiliary electrical e-house (40 x 65 ft)</t>
        </is>
      </c>
      <c r="I3" s="12" t="inlineStr">
        <is>
          <t>LV 600 V</t>
        </is>
      </c>
      <c r="J3" s="12" t="inlineStr">
        <is>
          <t>4/0</t>
        </is>
      </c>
      <c r="K3" s="12" t="n">
        <v>2</v>
      </c>
    </row>
    <row r="4">
      <c r="A4" s="12" t="inlineStr">
        <is>
          <t>Air compressors AC-A/B/C</t>
        </is>
      </c>
      <c r="B4" s="12" t="inlineStr">
        <is>
          <t>AC-A/B/C</t>
        </is>
      </c>
      <c r="C4" s="12" t="inlineStr">
        <is>
          <t>A</t>
        </is>
      </c>
      <c r="D4" s="12" t="inlineStr">
        <is>
          <t>Motor 3 of 3, 250 kW</t>
        </is>
      </c>
      <c r="E4" s="12" t="n">
        <v>480</v>
      </c>
      <c r="F4" s="12" t="n">
        <v>250</v>
      </c>
      <c r="G4" s="12" t="n">
        <v>353.8</v>
      </c>
      <c r="H4" s="12" t="inlineStr">
        <is>
          <t>R3: ST auxiliary electrical e-house (40 x 65 ft)</t>
        </is>
      </c>
      <c r="I4" s="12" t="inlineStr">
        <is>
          <t>LV 600 V</t>
        </is>
      </c>
      <c r="J4" s="12" t="inlineStr">
        <is>
          <t>4/0</t>
        </is>
      </c>
      <c r="K4" s="12" t="n">
        <v>2</v>
      </c>
    </row>
    <row r="5">
      <c r="A5" s="12" t="inlineStr">
        <is>
          <t>BFP-1A/B: boiler feed pumps (13.8 kV DOL)</t>
        </is>
      </c>
      <c r="B5" s="12" t="inlineStr">
        <is>
          <t>BFP-1</t>
        </is>
      </c>
      <c r="C5" s="12" t="inlineStr">
        <is>
          <t>A</t>
        </is>
      </c>
      <c r="D5" s="12" t="inlineStr">
        <is>
          <t>Motor 1 of 4, 15 kW</t>
        </is>
      </c>
      <c r="E5" s="12" t="n">
        <v>480</v>
      </c>
      <c r="F5" s="12" t="n">
        <v>15</v>
      </c>
      <c r="G5" s="12" t="n">
        <v>21.2</v>
      </c>
      <c r="H5" s="12" t="inlineStr">
        <is>
          <t>R2A: unit / HRSG electrical e-house (32 x 40 ft)</t>
        </is>
      </c>
      <c r="I5" s="12" t="inlineStr">
        <is>
          <t>LV 600 V</t>
        </is>
      </c>
      <c r="J5" s="12" t="inlineStr">
        <is>
          <t>6</t>
        </is>
      </c>
      <c r="K5" s="12" t="n">
        <v>1</v>
      </c>
    </row>
    <row r="6">
      <c r="A6" s="12" t="inlineStr">
        <is>
          <t>BFP-1A/B: boiler feed pumps (13.8 kV DOL)</t>
        </is>
      </c>
      <c r="B6" s="12" t="inlineStr">
        <is>
          <t>BFP-1</t>
        </is>
      </c>
      <c r="C6" s="12" t="inlineStr">
        <is>
          <t>A</t>
        </is>
      </c>
      <c r="D6" s="12" t="inlineStr">
        <is>
          <t>Motor 2 of 4, 15 kW</t>
        </is>
      </c>
      <c r="E6" s="12" t="n">
        <v>480</v>
      </c>
      <c r="F6" s="12" t="n">
        <v>15</v>
      </c>
      <c r="G6" s="12" t="n">
        <v>21.2</v>
      </c>
      <c r="H6" s="12" t="inlineStr">
        <is>
          <t>R2A: unit / HRSG electrical e-house (32 x 40 ft)</t>
        </is>
      </c>
      <c r="I6" s="12" t="inlineStr">
        <is>
          <t>LV 600 V</t>
        </is>
      </c>
      <c r="J6" s="12" t="inlineStr">
        <is>
          <t>6</t>
        </is>
      </c>
      <c r="K6" s="12" t="n">
        <v>1</v>
      </c>
    </row>
    <row r="7">
      <c r="A7" s="12" t="inlineStr">
        <is>
          <t>BFP-1A/B: boiler feed pumps (13.8 kV DOL)</t>
        </is>
      </c>
      <c r="B7" s="12" t="inlineStr">
        <is>
          <t>BFP-1</t>
        </is>
      </c>
      <c r="C7" s="12" t="inlineStr">
        <is>
          <t>A</t>
        </is>
      </c>
      <c r="D7" s="12" t="inlineStr">
        <is>
          <t>Motor 3 of 4, 15 kW</t>
        </is>
      </c>
      <c r="E7" s="12" t="n">
        <v>480</v>
      </c>
      <c r="F7" s="12" t="n">
        <v>15</v>
      </c>
      <c r="G7" s="12" t="n">
        <v>21.2</v>
      </c>
      <c r="H7" s="12" t="inlineStr">
        <is>
          <t>R2A: unit / HRSG electrical e-house (32 x 40 ft)</t>
        </is>
      </c>
      <c r="I7" s="12" t="inlineStr">
        <is>
          <t>LV 600 V</t>
        </is>
      </c>
      <c r="J7" s="12" t="inlineStr">
        <is>
          <t>6</t>
        </is>
      </c>
      <c r="K7" s="12" t="n">
        <v>1</v>
      </c>
    </row>
    <row r="8">
      <c r="A8" s="12" t="inlineStr">
        <is>
          <t>BFP-1A/B: boiler feed pumps (13.8 kV DOL)</t>
        </is>
      </c>
      <c r="B8" s="12" t="inlineStr">
        <is>
          <t>BFP-1</t>
        </is>
      </c>
      <c r="C8" s="12" t="inlineStr">
        <is>
          <t>A</t>
        </is>
      </c>
      <c r="D8" s="12" t="inlineStr">
        <is>
          <t>Motor 4 of 4, 15 kW</t>
        </is>
      </c>
      <c r="E8" s="12" t="n">
        <v>480</v>
      </c>
      <c r="F8" s="12" t="n">
        <v>15</v>
      </c>
      <c r="G8" s="12" t="n">
        <v>21.2</v>
      </c>
      <c r="H8" s="12" t="inlineStr">
        <is>
          <t>R2A: unit / HRSG electrical e-house (32 x 40 ft)</t>
        </is>
      </c>
      <c r="I8" s="12" t="inlineStr">
        <is>
          <t>LV 600 V</t>
        </is>
      </c>
      <c r="J8" s="12" t="inlineStr">
        <is>
          <t>6</t>
        </is>
      </c>
      <c r="K8" s="12" t="n">
        <v>1</v>
      </c>
    </row>
    <row r="9">
      <c r="A9" s="12" t="inlineStr">
        <is>
          <t>BFP-2A/B: boiler feed pumps (13.8 kV DOL)</t>
        </is>
      </c>
      <c r="B9" s="12" t="inlineStr">
        <is>
          <t>BFP-2</t>
        </is>
      </c>
      <c r="C9" s="12" t="inlineStr">
        <is>
          <t>A</t>
        </is>
      </c>
      <c r="D9" s="12" t="inlineStr">
        <is>
          <t>Motor 1 of 4, 15 kW</t>
        </is>
      </c>
      <c r="E9" s="12" t="n">
        <v>480</v>
      </c>
      <c r="F9" s="12" t="n">
        <v>15</v>
      </c>
      <c r="G9" s="12" t="n">
        <v>21.2</v>
      </c>
      <c r="H9" s="12" t="inlineStr">
        <is>
          <t>R2B: unit / HRSG electrical e-house (32 x 40 ft)</t>
        </is>
      </c>
      <c r="I9" s="12" t="inlineStr">
        <is>
          <t>LV 600 V</t>
        </is>
      </c>
      <c r="J9" s="12" t="inlineStr">
        <is>
          <t>6</t>
        </is>
      </c>
      <c r="K9" s="12" t="n">
        <v>1</v>
      </c>
    </row>
    <row r="10">
      <c r="A10" s="12" t="inlineStr">
        <is>
          <t>BFP-2A/B: boiler feed pumps (13.8 kV DOL)</t>
        </is>
      </c>
      <c r="B10" s="12" t="inlineStr">
        <is>
          <t>BFP-2</t>
        </is>
      </c>
      <c r="C10" s="12" t="inlineStr">
        <is>
          <t>A</t>
        </is>
      </c>
      <c r="D10" s="12" t="inlineStr">
        <is>
          <t>Motor 2 of 4, 15 kW</t>
        </is>
      </c>
      <c r="E10" s="12" t="n">
        <v>480</v>
      </c>
      <c r="F10" s="12" t="n">
        <v>15</v>
      </c>
      <c r="G10" s="12" t="n">
        <v>21.2</v>
      </c>
      <c r="H10" s="12" t="inlineStr">
        <is>
          <t>R2B: unit / HRSG electrical e-house (32 x 40 ft)</t>
        </is>
      </c>
      <c r="I10" s="12" t="inlineStr">
        <is>
          <t>LV 600 V</t>
        </is>
      </c>
      <c r="J10" s="12" t="inlineStr">
        <is>
          <t>6</t>
        </is>
      </c>
      <c r="K10" s="12" t="n">
        <v>1</v>
      </c>
    </row>
    <row r="11">
      <c r="A11" s="12" t="inlineStr">
        <is>
          <t>BFP-2A/B: boiler feed pumps (13.8 kV DOL)</t>
        </is>
      </c>
      <c r="B11" s="12" t="inlineStr">
        <is>
          <t>BFP-2</t>
        </is>
      </c>
      <c r="C11" s="12" t="inlineStr">
        <is>
          <t>A</t>
        </is>
      </c>
      <c r="D11" s="12" t="inlineStr">
        <is>
          <t>Motor 3 of 4, 15 kW</t>
        </is>
      </c>
      <c r="E11" s="12" t="n">
        <v>480</v>
      </c>
      <c r="F11" s="12" t="n">
        <v>15</v>
      </c>
      <c r="G11" s="12" t="n">
        <v>21.2</v>
      </c>
      <c r="H11" s="12" t="inlineStr">
        <is>
          <t>R2B: unit / HRSG electrical e-house (32 x 40 ft)</t>
        </is>
      </c>
      <c r="I11" s="12" t="inlineStr">
        <is>
          <t>LV 600 V</t>
        </is>
      </c>
      <c r="J11" s="12" t="inlineStr">
        <is>
          <t>6</t>
        </is>
      </c>
      <c r="K11" s="12" t="n">
        <v>1</v>
      </c>
    </row>
    <row r="12">
      <c r="A12" s="12" t="inlineStr">
        <is>
          <t>BFP-2A/B: boiler feed pumps (13.8 kV DOL)</t>
        </is>
      </c>
      <c r="B12" s="12" t="inlineStr">
        <is>
          <t>BFP-2</t>
        </is>
      </c>
      <c r="C12" s="12" t="inlineStr">
        <is>
          <t>A</t>
        </is>
      </c>
      <c r="D12" s="12" t="inlineStr">
        <is>
          <t>Motor 4 of 4, 15 kW</t>
        </is>
      </c>
      <c r="E12" s="12" t="n">
        <v>480</v>
      </c>
      <c r="F12" s="12" t="n">
        <v>15</v>
      </c>
      <c r="G12" s="12" t="n">
        <v>21.2</v>
      </c>
      <c r="H12" s="12" t="inlineStr">
        <is>
          <t>R2B: unit / HRSG electrical e-house (32 x 40 ft)</t>
        </is>
      </c>
      <c r="I12" s="12" t="inlineStr">
        <is>
          <t>LV 600 V</t>
        </is>
      </c>
      <c r="J12" s="12" t="inlineStr">
        <is>
          <t>6</t>
        </is>
      </c>
      <c r="K12" s="12" t="n">
        <v>1</v>
      </c>
    </row>
    <row r="13">
      <c r="A13" s="12" t="inlineStr">
        <is>
          <t>BFP-3A/B: boiler feed pumps (13.8 kV DOL)</t>
        </is>
      </c>
      <c r="B13" s="12" t="inlineStr">
        <is>
          <t>BFP-3</t>
        </is>
      </c>
      <c r="C13" s="12" t="inlineStr">
        <is>
          <t>A</t>
        </is>
      </c>
      <c r="D13" s="12" t="inlineStr">
        <is>
          <t>Motor 1 of 4, 15 kW</t>
        </is>
      </c>
      <c r="E13" s="12" t="n">
        <v>480</v>
      </c>
      <c r="F13" s="12" t="n">
        <v>15</v>
      </c>
      <c r="G13" s="12" t="n">
        <v>21.2</v>
      </c>
      <c r="H13" s="12" t="inlineStr">
        <is>
          <t>R2C: unit / HRSG electrical e-house (32 x 40 ft)</t>
        </is>
      </c>
      <c r="I13" s="12" t="inlineStr">
        <is>
          <t>LV 600 V</t>
        </is>
      </c>
      <c r="J13" s="12" t="inlineStr">
        <is>
          <t>6</t>
        </is>
      </c>
      <c r="K13" s="12" t="n">
        <v>1</v>
      </c>
    </row>
    <row r="14">
      <c r="A14" s="12" t="inlineStr">
        <is>
          <t>BFP-3A/B: boiler feed pumps (13.8 kV DOL)</t>
        </is>
      </c>
      <c r="B14" s="12" t="inlineStr">
        <is>
          <t>BFP-3</t>
        </is>
      </c>
      <c r="C14" s="12" t="inlineStr">
        <is>
          <t>A</t>
        </is>
      </c>
      <c r="D14" s="12" t="inlineStr">
        <is>
          <t>Motor 2 of 4, 15 kW</t>
        </is>
      </c>
      <c r="E14" s="12" t="n">
        <v>480</v>
      </c>
      <c r="F14" s="12" t="n">
        <v>15</v>
      </c>
      <c r="G14" s="12" t="n">
        <v>21.2</v>
      </c>
      <c r="H14" s="12" t="inlineStr">
        <is>
          <t>R2C: unit / HRSG electrical e-house (32 x 40 ft)</t>
        </is>
      </c>
      <c r="I14" s="12" t="inlineStr">
        <is>
          <t>LV 600 V</t>
        </is>
      </c>
      <c r="J14" s="12" t="inlineStr">
        <is>
          <t>6</t>
        </is>
      </c>
      <c r="K14" s="12" t="n">
        <v>1</v>
      </c>
    </row>
    <row r="15">
      <c r="A15" s="12" t="inlineStr">
        <is>
          <t>BFP-3A/B: boiler feed pumps (13.8 kV DOL)</t>
        </is>
      </c>
      <c r="B15" s="12" t="inlineStr">
        <is>
          <t>BFP-3</t>
        </is>
      </c>
      <c r="C15" s="12" t="inlineStr">
        <is>
          <t>A</t>
        </is>
      </c>
      <c r="D15" s="12" t="inlineStr">
        <is>
          <t>Motor 3 of 4, 15 kW</t>
        </is>
      </c>
      <c r="E15" s="12" t="n">
        <v>480</v>
      </c>
      <c r="F15" s="12" t="n">
        <v>15</v>
      </c>
      <c r="G15" s="12" t="n">
        <v>21.2</v>
      </c>
      <c r="H15" s="12" t="inlineStr">
        <is>
          <t>R2C: unit / HRSG electrical e-house (32 x 40 ft)</t>
        </is>
      </c>
      <c r="I15" s="12" t="inlineStr">
        <is>
          <t>LV 600 V</t>
        </is>
      </c>
      <c r="J15" s="12" t="inlineStr">
        <is>
          <t>6</t>
        </is>
      </c>
      <c r="K15" s="12" t="n">
        <v>1</v>
      </c>
    </row>
    <row r="16">
      <c r="A16" s="12" t="inlineStr">
        <is>
          <t>BFP-3A/B: boiler feed pumps (13.8 kV DOL)</t>
        </is>
      </c>
      <c r="B16" s="12" t="inlineStr">
        <is>
          <t>BFP-3</t>
        </is>
      </c>
      <c r="C16" s="12" t="inlineStr">
        <is>
          <t>A</t>
        </is>
      </c>
      <c r="D16" s="12" t="inlineStr">
        <is>
          <t>Motor 4 of 4, 15 kW</t>
        </is>
      </c>
      <c r="E16" s="12" t="n">
        <v>480</v>
      </c>
      <c r="F16" s="12" t="n">
        <v>15</v>
      </c>
      <c r="G16" s="12" t="n">
        <v>21.2</v>
      </c>
      <c r="H16" s="12" t="inlineStr">
        <is>
          <t>R2C: unit / HRSG electrical e-house (32 x 40 ft)</t>
        </is>
      </c>
      <c r="I16" s="12" t="inlineStr">
        <is>
          <t>LV 600 V</t>
        </is>
      </c>
      <c r="J16" s="12" t="inlineStr">
        <is>
          <t>6</t>
        </is>
      </c>
      <c r="K16" s="12" t="n">
        <v>1</v>
      </c>
    </row>
    <row r="17">
      <c r="A17" s="12" t="inlineStr">
        <is>
          <t>Bridge crane (parked over laydown bay)</t>
        </is>
      </c>
      <c r="B17" s="12" t="inlineStr">
        <is>
          <t>CRANE</t>
        </is>
      </c>
      <c r="C17" s="12" t="inlineStr">
        <is>
          <t>A</t>
        </is>
      </c>
      <c r="D17" s="12" t="inlineStr">
        <is>
          <t>Bridge crane conductor-bar feeder (fused disconnect, north wall)</t>
        </is>
      </c>
      <c r="E17" s="12" t="n">
        <v>480</v>
      </c>
      <c r="F17" s="12" t="n">
        <v>150</v>
      </c>
      <c r="G17" s="12" t="n">
        <v>212.3</v>
      </c>
      <c r="H17" s="12" t="inlineStr">
        <is>
          <t>R1 LC-480-A (480 V switchgear)</t>
        </is>
      </c>
      <c r="I17" s="12" t="inlineStr">
        <is>
          <t>LV 600 V</t>
        </is>
      </c>
      <c r="J17" s="12" t="inlineStr">
        <is>
          <t>350 kcmil</t>
        </is>
      </c>
      <c r="K17" s="12" t="n">
        <v>1</v>
      </c>
    </row>
    <row r="18">
      <c r="A18" s="12" t="inlineStr">
        <is>
          <t>CEMS shelter, HRSG 1</t>
        </is>
      </c>
      <c r="B18" s="12" t="inlineStr">
        <is>
          <t>CEMS-1</t>
        </is>
      </c>
      <c r="C18" s="12" t="inlineStr">
        <is>
          <t>A</t>
        </is>
      </c>
      <c r="D18" s="12" t="inlineStr">
        <is>
          <t>Motor 1 of 2, 5 kW</t>
        </is>
      </c>
      <c r="E18" s="12" t="n">
        <v>480</v>
      </c>
      <c r="F18" s="12" t="n">
        <v>5</v>
      </c>
      <c r="G18" s="12" t="n">
        <v>7.1</v>
      </c>
      <c r="H18" s="12" t="inlineStr">
        <is>
          <t>R2A: unit / HRSG electrical e-house (32 x 40 ft)</t>
        </is>
      </c>
      <c r="I18" s="12" t="inlineStr">
        <is>
          <t>LV 600 V</t>
        </is>
      </c>
      <c r="J18" s="12" t="inlineStr">
        <is>
          <t>10</t>
        </is>
      </c>
      <c r="K18" s="12" t="n">
        <v>1</v>
      </c>
    </row>
    <row r="19">
      <c r="A19" s="12" t="inlineStr">
        <is>
          <t>CEMS shelter, HRSG 1</t>
        </is>
      </c>
      <c r="B19" s="12" t="inlineStr">
        <is>
          <t>CEMS-1</t>
        </is>
      </c>
      <c r="C19" s="12" t="inlineStr">
        <is>
          <t>A</t>
        </is>
      </c>
      <c r="D19" s="12" t="inlineStr">
        <is>
          <t>Motor 2 of 2, 5 kW</t>
        </is>
      </c>
      <c r="E19" s="12" t="n">
        <v>480</v>
      </c>
      <c r="F19" s="12" t="n">
        <v>5</v>
      </c>
      <c r="G19" s="12" t="n">
        <v>7.1</v>
      </c>
      <c r="H19" s="12" t="inlineStr">
        <is>
          <t>R2A: unit / HRSG electrical e-house (32 x 40 ft)</t>
        </is>
      </c>
      <c r="I19" s="12" t="inlineStr">
        <is>
          <t>LV 600 V</t>
        </is>
      </c>
      <c r="J19" s="12" t="inlineStr">
        <is>
          <t>10</t>
        </is>
      </c>
      <c r="K19" s="12" t="n">
        <v>1</v>
      </c>
    </row>
    <row r="20">
      <c r="A20" s="12" t="inlineStr">
        <is>
          <t>CEMS shelter, HRSG 2</t>
        </is>
      </c>
      <c r="B20" s="12" t="inlineStr">
        <is>
          <t>CEMS-2</t>
        </is>
      </c>
      <c r="C20" s="12" t="inlineStr">
        <is>
          <t>A</t>
        </is>
      </c>
      <c r="D20" s="12" t="inlineStr">
        <is>
          <t>Motor 1 of 2, 5 kW</t>
        </is>
      </c>
      <c r="E20" s="12" t="n">
        <v>480</v>
      </c>
      <c r="F20" s="12" t="n">
        <v>5</v>
      </c>
      <c r="G20" s="12" t="n">
        <v>7.1</v>
      </c>
      <c r="H20" s="12" t="inlineStr">
        <is>
          <t>R2B: unit / HRSG electrical e-house (32 x 40 ft)</t>
        </is>
      </c>
      <c r="I20" s="12" t="inlineStr">
        <is>
          <t>LV 600 V</t>
        </is>
      </c>
      <c r="J20" s="12" t="inlineStr">
        <is>
          <t>10</t>
        </is>
      </c>
      <c r="K20" s="12" t="n">
        <v>1</v>
      </c>
    </row>
    <row r="21">
      <c r="A21" s="12" t="inlineStr">
        <is>
          <t>CEMS shelter, HRSG 2</t>
        </is>
      </c>
      <c r="B21" s="12" t="inlineStr">
        <is>
          <t>CEMS-2</t>
        </is>
      </c>
      <c r="C21" s="12" t="inlineStr">
        <is>
          <t>A</t>
        </is>
      </c>
      <c r="D21" s="12" t="inlineStr">
        <is>
          <t>Motor 2 of 2, 5 kW</t>
        </is>
      </c>
      <c r="E21" s="12" t="n">
        <v>480</v>
      </c>
      <c r="F21" s="12" t="n">
        <v>5</v>
      </c>
      <c r="G21" s="12" t="n">
        <v>7.1</v>
      </c>
      <c r="H21" s="12" t="inlineStr">
        <is>
          <t>R2B: unit / HRSG electrical e-house (32 x 40 ft)</t>
        </is>
      </c>
      <c r="I21" s="12" t="inlineStr">
        <is>
          <t>LV 600 V</t>
        </is>
      </c>
      <c r="J21" s="12" t="inlineStr">
        <is>
          <t>10</t>
        </is>
      </c>
      <c r="K21" s="12" t="n">
        <v>1</v>
      </c>
    </row>
    <row r="22">
      <c r="A22" s="12" t="inlineStr">
        <is>
          <t>CEMS shelter, HRSG 3</t>
        </is>
      </c>
      <c r="B22" s="12" t="inlineStr">
        <is>
          <t>CEMS-3</t>
        </is>
      </c>
      <c r="C22" s="12" t="inlineStr">
        <is>
          <t>A</t>
        </is>
      </c>
      <c r="D22" s="12" t="inlineStr">
        <is>
          <t>Motor 1 of 2, 5 kW</t>
        </is>
      </c>
      <c r="E22" s="12" t="n">
        <v>480</v>
      </c>
      <c r="F22" s="12" t="n">
        <v>5</v>
      </c>
      <c r="G22" s="12" t="n">
        <v>7.1</v>
      </c>
      <c r="H22" s="12" t="inlineStr">
        <is>
          <t>R2C: unit / HRSG electrical e-house (32 x 40 ft)</t>
        </is>
      </c>
      <c r="I22" s="12" t="inlineStr">
        <is>
          <t>LV 600 V</t>
        </is>
      </c>
      <c r="J22" s="12" t="inlineStr">
        <is>
          <t>10</t>
        </is>
      </c>
      <c r="K22" s="12" t="n">
        <v>1</v>
      </c>
    </row>
    <row r="23">
      <c r="A23" s="12" t="inlineStr">
        <is>
          <t>CEMS shelter, HRSG 3</t>
        </is>
      </c>
      <c r="B23" s="12" t="inlineStr">
        <is>
          <t>CEMS-3</t>
        </is>
      </c>
      <c r="C23" s="12" t="inlineStr">
        <is>
          <t>A</t>
        </is>
      </c>
      <c r="D23" s="12" t="inlineStr">
        <is>
          <t>Motor 2 of 2, 5 kW</t>
        </is>
      </c>
      <c r="E23" s="12" t="n">
        <v>480</v>
      </c>
      <c r="F23" s="12" t="n">
        <v>5</v>
      </c>
      <c r="G23" s="12" t="n">
        <v>7.1</v>
      </c>
      <c r="H23" s="12" t="inlineStr">
        <is>
          <t>R2C: unit / HRSG electrical e-house (32 x 40 ft)</t>
        </is>
      </c>
      <c r="I23" s="12" t="inlineStr">
        <is>
          <t>LV 600 V</t>
        </is>
      </c>
      <c r="J23" s="12" t="inlineStr">
        <is>
          <t>10</t>
        </is>
      </c>
      <c r="K23" s="12" t="n">
        <v>1</v>
      </c>
    </row>
    <row r="24">
      <c r="A24" s="12" t="inlineStr">
        <is>
          <t>Chemical feed</t>
        </is>
      </c>
      <c r="B24" s="12" t="inlineStr">
        <is>
          <t>Chem feed</t>
        </is>
      </c>
      <c r="C24" s="12" t="inlineStr">
        <is>
          <t>A</t>
        </is>
      </c>
      <c r="D24" s="12" t="inlineStr">
        <is>
          <t>Motor 1 of 6, 2 kW</t>
        </is>
      </c>
      <c r="E24" s="12" t="n">
        <v>480</v>
      </c>
      <c r="F24" s="12" t="n">
        <v>2</v>
      </c>
      <c r="G24" s="12" t="n">
        <v>2.8</v>
      </c>
      <c r="H24" s="12" t="inlineStr">
        <is>
          <t>R3: ST auxiliary electrical e-house (40 x 65 ft)</t>
        </is>
      </c>
      <c r="I24" s="12" t="inlineStr">
        <is>
          <t>LV 600 V</t>
        </is>
      </c>
      <c r="J24" s="12" t="inlineStr">
        <is>
          <t>10</t>
        </is>
      </c>
      <c r="K24" s="12" t="n">
        <v>1</v>
      </c>
    </row>
    <row r="25">
      <c r="A25" s="12" t="inlineStr">
        <is>
          <t>Chemical feed</t>
        </is>
      </c>
      <c r="B25" s="12" t="inlineStr">
        <is>
          <t>Chem feed</t>
        </is>
      </c>
      <c r="C25" s="12" t="inlineStr">
        <is>
          <t>A</t>
        </is>
      </c>
      <c r="D25" s="12" t="inlineStr">
        <is>
          <t>Motor 2 of 6, 2 kW</t>
        </is>
      </c>
      <c r="E25" s="12" t="n">
        <v>480</v>
      </c>
      <c r="F25" s="12" t="n">
        <v>2</v>
      </c>
      <c r="G25" s="12" t="n">
        <v>2.8</v>
      </c>
      <c r="H25" s="12" t="inlineStr">
        <is>
          <t>R3: ST auxiliary electrical e-house (40 x 65 ft)</t>
        </is>
      </c>
      <c r="I25" s="12" t="inlineStr">
        <is>
          <t>LV 600 V</t>
        </is>
      </c>
      <c r="J25" s="12" t="inlineStr">
        <is>
          <t>10</t>
        </is>
      </c>
      <c r="K25" s="12" t="n">
        <v>1</v>
      </c>
    </row>
    <row r="26">
      <c r="A26" s="12" t="inlineStr">
        <is>
          <t>Chemical feed</t>
        </is>
      </c>
      <c r="B26" s="12" t="inlineStr">
        <is>
          <t>Chem feed</t>
        </is>
      </c>
      <c r="C26" s="12" t="inlineStr">
        <is>
          <t>A</t>
        </is>
      </c>
      <c r="D26" s="12" t="inlineStr">
        <is>
          <t>Motor 3 of 6, 2 kW</t>
        </is>
      </c>
      <c r="E26" s="12" t="n">
        <v>480</v>
      </c>
      <c r="F26" s="12" t="n">
        <v>2</v>
      </c>
      <c r="G26" s="12" t="n">
        <v>2.8</v>
      </c>
      <c r="H26" s="12" t="inlineStr">
        <is>
          <t>R3: ST auxiliary electrical e-house (40 x 65 ft)</t>
        </is>
      </c>
      <c r="I26" s="12" t="inlineStr">
        <is>
          <t>LV 600 V</t>
        </is>
      </c>
      <c r="J26" s="12" t="inlineStr">
        <is>
          <t>10</t>
        </is>
      </c>
      <c r="K26" s="12" t="n">
        <v>1</v>
      </c>
    </row>
    <row r="27">
      <c r="A27" s="12" t="inlineStr">
        <is>
          <t>Chemical feed</t>
        </is>
      </c>
      <c r="B27" s="12" t="inlineStr">
        <is>
          <t>Chem feed</t>
        </is>
      </c>
      <c r="C27" s="12" t="inlineStr">
        <is>
          <t>A</t>
        </is>
      </c>
      <c r="D27" s="12" t="inlineStr">
        <is>
          <t>Motor 4 of 6, 2 kW</t>
        </is>
      </c>
      <c r="E27" s="12" t="n">
        <v>480</v>
      </c>
      <c r="F27" s="12" t="n">
        <v>2</v>
      </c>
      <c r="G27" s="12" t="n">
        <v>2.8</v>
      </c>
      <c r="H27" s="12" t="inlineStr">
        <is>
          <t>R3: ST auxiliary electrical e-house (40 x 65 ft)</t>
        </is>
      </c>
      <c r="I27" s="12" t="inlineStr">
        <is>
          <t>LV 600 V</t>
        </is>
      </c>
      <c r="J27" s="12" t="inlineStr">
        <is>
          <t>10</t>
        </is>
      </c>
      <c r="K27" s="12" t="n">
        <v>1</v>
      </c>
    </row>
    <row r="28">
      <c r="A28" s="12" t="inlineStr">
        <is>
          <t>Chemical feed</t>
        </is>
      </c>
      <c r="B28" s="12" t="inlineStr">
        <is>
          <t>Chem feed</t>
        </is>
      </c>
      <c r="C28" s="12" t="inlineStr">
        <is>
          <t>A</t>
        </is>
      </c>
      <c r="D28" s="12" t="inlineStr">
        <is>
          <t>Motor 5 of 6, 2 kW</t>
        </is>
      </c>
      <c r="E28" s="12" t="n">
        <v>480</v>
      </c>
      <c r="F28" s="12" t="n">
        <v>2</v>
      </c>
      <c r="G28" s="12" t="n">
        <v>2.8</v>
      </c>
      <c r="H28" s="12" t="inlineStr">
        <is>
          <t>R3: ST auxiliary electrical e-house (40 x 65 ft)</t>
        </is>
      </c>
      <c r="I28" s="12" t="inlineStr">
        <is>
          <t>LV 600 V</t>
        </is>
      </c>
      <c r="J28" s="12" t="inlineStr">
        <is>
          <t>10</t>
        </is>
      </c>
      <c r="K28" s="12" t="n">
        <v>1</v>
      </c>
    </row>
    <row r="29">
      <c r="A29" s="12" t="inlineStr">
        <is>
          <t>Chemical feed</t>
        </is>
      </c>
      <c r="B29" s="12" t="inlineStr">
        <is>
          <t>Chem feed</t>
        </is>
      </c>
      <c r="C29" s="12" t="inlineStr">
        <is>
          <t>A</t>
        </is>
      </c>
      <c r="D29" s="12" t="inlineStr">
        <is>
          <t>Motor 6 of 6, 2 kW</t>
        </is>
      </c>
      <c r="E29" s="12" t="n">
        <v>480</v>
      </c>
      <c r="F29" s="12" t="n">
        <v>2</v>
      </c>
      <c r="G29" s="12" t="n">
        <v>2.8</v>
      </c>
      <c r="H29" s="12" t="inlineStr">
        <is>
          <t>R3: ST auxiliary electrical e-house (40 x 65 ft)</t>
        </is>
      </c>
      <c r="I29" s="12" t="inlineStr">
        <is>
          <t>LV 600 V</t>
        </is>
      </c>
      <c r="J29" s="12" t="inlineStr">
        <is>
          <t>10</t>
        </is>
      </c>
      <c r="K29" s="12" t="n">
        <v>1</v>
      </c>
    </row>
    <row r="30">
      <c r="A30" s="12" t="inlineStr">
        <is>
          <t>Common turbine hall</t>
        </is>
      </c>
      <c r="B30" s="12" t="inlineStr">
        <is>
          <t>HALL</t>
        </is>
      </c>
      <c r="C30" s="12" t="inlineStr">
        <is>
          <t>A</t>
        </is>
      </c>
      <c r="D30" s="12" t="inlineStr">
        <is>
          <t>LV power feeder</t>
        </is>
      </c>
      <c r="E30" s="12" t="n">
        <v>480</v>
      </c>
      <c r="F30" s="12" t="n">
        <v>15</v>
      </c>
      <c r="G30" s="12" t="n">
        <v>21.2</v>
      </c>
      <c r="H30" s="12" t="inlineStr">
        <is>
          <t>R2B: unit / HRSG electrical e-house (32 x 40 ft)</t>
        </is>
      </c>
      <c r="I30" s="12" t="inlineStr">
        <is>
          <t>LV 600 V</t>
        </is>
      </c>
      <c r="J30" s="12" t="inlineStr">
        <is>
          <t>2</t>
        </is>
      </c>
      <c r="K30" s="12" t="n">
        <v>1</v>
      </c>
    </row>
    <row r="31">
      <c r="A31" s="12" t="inlineStr">
        <is>
          <t>EHC-ST: ST electro-hydraulic control power unit</t>
        </is>
      </c>
      <c r="B31" s="12" t="inlineStr">
        <is>
          <t>EHC-ST</t>
        </is>
      </c>
      <c r="C31" s="12" t="inlineStr">
        <is>
          <t>A</t>
        </is>
      </c>
      <c r="D31" s="12" t="inlineStr">
        <is>
          <t>Motor 1 of 2, 37 kW</t>
        </is>
      </c>
      <c r="E31" s="12" t="n">
        <v>480</v>
      </c>
      <c r="F31" s="12" t="n">
        <v>37</v>
      </c>
      <c r="G31" s="12" t="n">
        <v>52.4</v>
      </c>
      <c r="H31" s="12" t="inlineStr">
        <is>
          <t>R3: ST auxiliary electrical e-house (40 x 65 ft)</t>
        </is>
      </c>
      <c r="I31" s="12" t="inlineStr">
        <is>
          <t>LV 600 V</t>
        </is>
      </c>
      <c r="J31" s="12" t="inlineStr">
        <is>
          <t>4</t>
        </is>
      </c>
      <c r="K31" s="12" t="n">
        <v>1</v>
      </c>
    </row>
    <row r="32">
      <c r="A32" s="12" t="inlineStr">
        <is>
          <t>EHC-ST: ST electro-hydraulic control power unit</t>
        </is>
      </c>
      <c r="B32" s="12" t="inlineStr">
        <is>
          <t>EHC-ST</t>
        </is>
      </c>
      <c r="C32" s="12" t="inlineStr">
        <is>
          <t>A</t>
        </is>
      </c>
      <c r="D32" s="12" t="inlineStr">
        <is>
          <t>Motor 2 of 2, 37 kW</t>
        </is>
      </c>
      <c r="E32" s="12" t="n">
        <v>480</v>
      </c>
      <c r="F32" s="12" t="n">
        <v>37</v>
      </c>
      <c r="G32" s="12" t="n">
        <v>52.4</v>
      </c>
      <c r="H32" s="12" t="inlineStr">
        <is>
          <t>R3: ST auxiliary electrical e-house (40 x 65 ft)</t>
        </is>
      </c>
      <c r="I32" s="12" t="inlineStr">
        <is>
          <t>LV 600 V</t>
        </is>
      </c>
      <c r="J32" s="12" t="inlineStr">
        <is>
          <t>4</t>
        </is>
      </c>
      <c r="K32" s="12" t="n">
        <v>1</v>
      </c>
    </row>
    <row r="33">
      <c r="A33" s="12" t="inlineStr">
        <is>
          <t>FH-1 stair tower</t>
        </is>
      </c>
      <c r="B33" s="12" t="inlineStr"/>
      <c r="C33" s="12" t="inlineStr">
        <is>
          <t>A</t>
        </is>
      </c>
      <c r="D33" s="12" t="inlineStr">
        <is>
          <t>Area / platform lighting circuit 1 (8 fixtures)</t>
        </is>
      </c>
      <c r="E33" s="12" t="n">
        <v>480</v>
      </c>
      <c r="F33" s="12" t="n">
        <v>3</v>
      </c>
      <c r="G33" s="12" t="n">
        <v>5</v>
      </c>
      <c r="H33" s="12" t="inlineStr">
        <is>
          <t>R1 MCC-GT1</t>
        </is>
      </c>
      <c r="I33" s="12" t="inlineStr">
        <is>
          <t>LV 600 V</t>
        </is>
      </c>
      <c r="J33" s="12" t="inlineStr">
        <is>
          <t>10</t>
        </is>
      </c>
      <c r="K33" s="12" t="n">
        <v>1</v>
      </c>
    </row>
    <row r="34">
      <c r="A34" s="12" t="inlineStr">
        <is>
          <t>FH-1: GT inlet filter house on its own frame</t>
        </is>
      </c>
      <c r="B34" s="12" t="inlineStr">
        <is>
          <t>FH-1</t>
        </is>
      </c>
      <c r="C34" s="12" t="inlineStr">
        <is>
          <t>A</t>
        </is>
      </c>
      <c r="D34" s="12" t="inlineStr">
        <is>
          <t>Motor 1 of 2, 15 kW</t>
        </is>
      </c>
      <c r="E34" s="12" t="n">
        <v>480</v>
      </c>
      <c r="F34" s="12" t="n">
        <v>15</v>
      </c>
      <c r="G34" s="12" t="n">
        <v>21.2</v>
      </c>
      <c r="H34" s="12" t="inlineStr">
        <is>
          <t>R1 MCC-GT1</t>
        </is>
      </c>
      <c r="I34" s="12" t="inlineStr">
        <is>
          <t>LV 600 V</t>
        </is>
      </c>
      <c r="J34" s="12" t="inlineStr">
        <is>
          <t>6</t>
        </is>
      </c>
      <c r="K34" s="12" t="n">
        <v>1</v>
      </c>
    </row>
    <row r="35">
      <c r="A35" s="12" t="inlineStr">
        <is>
          <t>FH-1: GT inlet filter house on its own frame</t>
        </is>
      </c>
      <c r="B35" s="12" t="inlineStr">
        <is>
          <t>FH-1</t>
        </is>
      </c>
      <c r="C35" s="12" t="inlineStr">
        <is>
          <t>A</t>
        </is>
      </c>
      <c r="D35" s="12" t="inlineStr">
        <is>
          <t>Motor 2 of 2, 15 kW</t>
        </is>
      </c>
      <c r="E35" s="12" t="n">
        <v>480</v>
      </c>
      <c r="F35" s="12" t="n">
        <v>15</v>
      </c>
      <c r="G35" s="12" t="n">
        <v>21.2</v>
      </c>
      <c r="H35" s="12" t="inlineStr">
        <is>
          <t>R1 MCC-GT1</t>
        </is>
      </c>
      <c r="I35" s="12" t="inlineStr">
        <is>
          <t>LV 600 V</t>
        </is>
      </c>
      <c r="J35" s="12" t="inlineStr">
        <is>
          <t>6</t>
        </is>
      </c>
      <c r="K35" s="12" t="n">
        <v>1</v>
      </c>
    </row>
    <row r="36">
      <c r="A36" s="12" t="inlineStr">
        <is>
          <t>FH-1: GT inlet filter house on its own frame</t>
        </is>
      </c>
      <c r="B36" s="12" t="inlineStr">
        <is>
          <t>FH-1</t>
        </is>
      </c>
      <c r="C36" s="12" t="inlineStr">
        <is>
          <t>A</t>
        </is>
      </c>
      <c r="D36" s="12" t="inlineStr">
        <is>
          <t>Area / platform lighting circuit 1 (12 fixtures)</t>
        </is>
      </c>
      <c r="E36" s="12" t="n">
        <v>480</v>
      </c>
      <c r="F36" s="12" t="n">
        <v>3</v>
      </c>
      <c r="G36" s="12" t="n">
        <v>5</v>
      </c>
      <c r="H36" s="12" t="inlineStr">
        <is>
          <t>R1 MCC-GT1</t>
        </is>
      </c>
      <c r="I36" s="12" t="inlineStr">
        <is>
          <t>LV 600 V</t>
        </is>
      </c>
      <c r="J36" s="12" t="inlineStr">
        <is>
          <t>10</t>
        </is>
      </c>
      <c r="K36" s="12" t="n">
        <v>1</v>
      </c>
    </row>
    <row r="37">
      <c r="A37" s="12" t="inlineStr">
        <is>
          <t>FH-2 stair tower</t>
        </is>
      </c>
      <c r="B37" s="12" t="inlineStr"/>
      <c r="C37" s="12" t="inlineStr">
        <is>
          <t>A</t>
        </is>
      </c>
      <c r="D37" s="12" t="inlineStr">
        <is>
          <t>Area / platform lighting circuit 1 (8 fixtures)</t>
        </is>
      </c>
      <c r="E37" s="12" t="n">
        <v>480</v>
      </c>
      <c r="F37" s="12" t="n">
        <v>3</v>
      </c>
      <c r="G37" s="12" t="n">
        <v>5</v>
      </c>
      <c r="H37" s="12" t="inlineStr">
        <is>
          <t>R1 MCC-GT2</t>
        </is>
      </c>
      <c r="I37" s="12" t="inlineStr">
        <is>
          <t>LV 600 V</t>
        </is>
      </c>
      <c r="J37" s="12" t="inlineStr">
        <is>
          <t>10</t>
        </is>
      </c>
      <c r="K37" s="12" t="n">
        <v>1</v>
      </c>
    </row>
    <row r="38">
      <c r="A38" s="12" t="inlineStr">
        <is>
          <t>FH-2: GT inlet filter house on its own frame</t>
        </is>
      </c>
      <c r="B38" s="12" t="inlineStr">
        <is>
          <t>FH-2</t>
        </is>
      </c>
      <c r="C38" s="12" t="inlineStr">
        <is>
          <t>A</t>
        </is>
      </c>
      <c r="D38" s="12" t="inlineStr">
        <is>
          <t>Motor 1 of 2, 15 kW</t>
        </is>
      </c>
      <c r="E38" s="12" t="n">
        <v>480</v>
      </c>
      <c r="F38" s="12" t="n">
        <v>15</v>
      </c>
      <c r="G38" s="12" t="n">
        <v>21.2</v>
      </c>
      <c r="H38" s="12" t="inlineStr">
        <is>
          <t>R1 MCC-GT2</t>
        </is>
      </c>
      <c r="I38" s="12" t="inlineStr">
        <is>
          <t>LV 600 V</t>
        </is>
      </c>
      <c r="J38" s="12" t="inlineStr">
        <is>
          <t>4</t>
        </is>
      </c>
      <c r="K38" s="12" t="n">
        <v>1</v>
      </c>
    </row>
    <row r="39">
      <c r="A39" s="12" t="inlineStr">
        <is>
          <t>FH-2: GT inlet filter house on its own frame</t>
        </is>
      </c>
      <c r="B39" s="12" t="inlineStr">
        <is>
          <t>FH-2</t>
        </is>
      </c>
      <c r="C39" s="12" t="inlineStr">
        <is>
          <t>A</t>
        </is>
      </c>
      <c r="D39" s="12" t="inlineStr">
        <is>
          <t>Motor 2 of 2, 15 kW</t>
        </is>
      </c>
      <c r="E39" s="12" t="n">
        <v>480</v>
      </c>
      <c r="F39" s="12" t="n">
        <v>15</v>
      </c>
      <c r="G39" s="12" t="n">
        <v>21.2</v>
      </c>
      <c r="H39" s="12" t="inlineStr">
        <is>
          <t>R1 MCC-GT2</t>
        </is>
      </c>
      <c r="I39" s="12" t="inlineStr">
        <is>
          <t>LV 600 V</t>
        </is>
      </c>
      <c r="J39" s="12" t="inlineStr">
        <is>
          <t>4</t>
        </is>
      </c>
      <c r="K39" s="12" t="n">
        <v>1</v>
      </c>
    </row>
    <row r="40">
      <c r="A40" s="12" t="inlineStr">
        <is>
          <t>FH-2: GT inlet filter house on its own frame</t>
        </is>
      </c>
      <c r="B40" s="12" t="inlineStr">
        <is>
          <t>FH-2</t>
        </is>
      </c>
      <c r="C40" s="12" t="inlineStr">
        <is>
          <t>A</t>
        </is>
      </c>
      <c r="D40" s="12" t="inlineStr">
        <is>
          <t>Area / platform lighting circuit 1 (12 fixtures)</t>
        </is>
      </c>
      <c r="E40" s="12" t="n">
        <v>480</v>
      </c>
      <c r="F40" s="12" t="n">
        <v>3</v>
      </c>
      <c r="G40" s="12" t="n">
        <v>5</v>
      </c>
      <c r="H40" s="12" t="inlineStr">
        <is>
          <t>R1 MCC-GT2</t>
        </is>
      </c>
      <c r="I40" s="12" t="inlineStr">
        <is>
          <t>LV 600 V</t>
        </is>
      </c>
      <c r="J40" s="12" t="inlineStr">
        <is>
          <t>10</t>
        </is>
      </c>
      <c r="K40" s="12" t="n">
        <v>1</v>
      </c>
    </row>
    <row r="41">
      <c r="A41" s="12" t="inlineStr">
        <is>
          <t>FH-3 stair tower</t>
        </is>
      </c>
      <c r="B41" s="12" t="inlineStr"/>
      <c r="C41" s="12" t="inlineStr">
        <is>
          <t>A</t>
        </is>
      </c>
      <c r="D41" s="12" t="inlineStr">
        <is>
          <t>Area / platform lighting circuit 1 (8 fixtures)</t>
        </is>
      </c>
      <c r="E41" s="12" t="n">
        <v>480</v>
      </c>
      <c r="F41" s="12" t="n">
        <v>3</v>
      </c>
      <c r="G41" s="12" t="n">
        <v>5</v>
      </c>
      <c r="H41" s="12" t="inlineStr">
        <is>
          <t>R1 MCC-GT3</t>
        </is>
      </c>
      <c r="I41" s="12" t="inlineStr">
        <is>
          <t>LV 600 V</t>
        </is>
      </c>
      <c r="J41" s="12" t="inlineStr">
        <is>
          <t>8</t>
        </is>
      </c>
      <c r="K41" s="12" t="n">
        <v>1</v>
      </c>
    </row>
    <row r="42">
      <c r="A42" s="12" t="inlineStr">
        <is>
          <t>FH-3: GT inlet filter house on its own frame</t>
        </is>
      </c>
      <c r="B42" s="12" t="inlineStr">
        <is>
          <t>FH-3</t>
        </is>
      </c>
      <c r="C42" s="12" t="inlineStr">
        <is>
          <t>A</t>
        </is>
      </c>
      <c r="D42" s="12" t="inlineStr">
        <is>
          <t>Motor 1 of 2, 15 kW</t>
        </is>
      </c>
      <c r="E42" s="12" t="n">
        <v>480</v>
      </c>
      <c r="F42" s="12" t="n">
        <v>15</v>
      </c>
      <c r="G42" s="12" t="n">
        <v>21.2</v>
      </c>
      <c r="H42" s="12" t="inlineStr">
        <is>
          <t>R1 MCC-GT3</t>
        </is>
      </c>
      <c r="I42" s="12" t="inlineStr">
        <is>
          <t>LV 600 V</t>
        </is>
      </c>
      <c r="J42" s="12" t="inlineStr">
        <is>
          <t>4</t>
        </is>
      </c>
      <c r="K42" s="12" t="n">
        <v>1</v>
      </c>
    </row>
    <row r="43">
      <c r="A43" s="12" t="inlineStr">
        <is>
          <t>FH-3: GT inlet filter house on its own frame</t>
        </is>
      </c>
      <c r="B43" s="12" t="inlineStr">
        <is>
          <t>FH-3</t>
        </is>
      </c>
      <c r="C43" s="12" t="inlineStr">
        <is>
          <t>A</t>
        </is>
      </c>
      <c r="D43" s="12" t="inlineStr">
        <is>
          <t>Motor 2 of 2, 15 kW</t>
        </is>
      </c>
      <c r="E43" s="12" t="n">
        <v>480</v>
      </c>
      <c r="F43" s="12" t="n">
        <v>15</v>
      </c>
      <c r="G43" s="12" t="n">
        <v>21.2</v>
      </c>
      <c r="H43" s="12" t="inlineStr">
        <is>
          <t>R1 MCC-GT3</t>
        </is>
      </c>
      <c r="I43" s="12" t="inlineStr">
        <is>
          <t>LV 600 V</t>
        </is>
      </c>
      <c r="J43" s="12" t="inlineStr">
        <is>
          <t>4</t>
        </is>
      </c>
      <c r="K43" s="12" t="n">
        <v>1</v>
      </c>
    </row>
    <row r="44">
      <c r="A44" s="12" t="inlineStr">
        <is>
          <t>FH-3: GT inlet filter house on its own frame</t>
        </is>
      </c>
      <c r="B44" s="12" t="inlineStr">
        <is>
          <t>FH-3</t>
        </is>
      </c>
      <c r="C44" s="12" t="inlineStr">
        <is>
          <t>A</t>
        </is>
      </c>
      <c r="D44" s="12" t="inlineStr">
        <is>
          <t>Area / platform lighting circuit 1 (12 fixtures)</t>
        </is>
      </c>
      <c r="E44" s="12" t="n">
        <v>480</v>
      </c>
      <c r="F44" s="12" t="n">
        <v>3</v>
      </c>
      <c r="G44" s="12" t="n">
        <v>5</v>
      </c>
      <c r="H44" s="12" t="inlineStr">
        <is>
          <t>R1 MCC-GT3</t>
        </is>
      </c>
      <c r="I44" s="12" t="inlineStr">
        <is>
          <t>LV 600 V</t>
        </is>
      </c>
      <c r="J44" s="12" t="inlineStr">
        <is>
          <t>10</t>
        </is>
      </c>
      <c r="K44" s="12" t="n">
        <v>1</v>
      </c>
    </row>
    <row r="45">
      <c r="A45" s="12" t="inlineStr">
        <is>
          <t>FS-GT1: CO2 fire-suppression skid</t>
        </is>
      </c>
      <c r="B45" s="12" t="inlineStr">
        <is>
          <t>FS-GT1</t>
        </is>
      </c>
      <c r="C45" s="12" t="inlineStr">
        <is>
          <t>A</t>
        </is>
      </c>
      <c r="D45" s="12" t="inlineStr">
        <is>
          <t>LV power feeder</t>
        </is>
      </c>
      <c r="E45" s="12" t="n">
        <v>480</v>
      </c>
      <c r="F45" s="12" t="n">
        <v>150</v>
      </c>
      <c r="G45" s="12" t="n">
        <v>212.3</v>
      </c>
      <c r="H45" s="12" t="inlineStr">
        <is>
          <t>R1 MCC-GT1</t>
        </is>
      </c>
      <c r="I45" s="12" t="inlineStr">
        <is>
          <t>LV 600 V</t>
        </is>
      </c>
      <c r="J45" s="12" t="inlineStr">
        <is>
          <t>350 kcmil</t>
        </is>
      </c>
      <c r="K45" s="12" t="n">
        <v>1</v>
      </c>
    </row>
    <row r="46">
      <c r="A46" s="12" t="inlineStr">
        <is>
          <t>FS-GT2: CO2 fire-suppression skid</t>
        </is>
      </c>
      <c r="B46" s="12" t="inlineStr">
        <is>
          <t>FS-GT2</t>
        </is>
      </c>
      <c r="C46" s="12" t="inlineStr">
        <is>
          <t>A</t>
        </is>
      </c>
      <c r="D46" s="12" t="inlineStr">
        <is>
          <t>LV power feeder</t>
        </is>
      </c>
      <c r="E46" s="12" t="n">
        <v>480</v>
      </c>
      <c r="F46" s="12" t="n">
        <v>150</v>
      </c>
      <c r="G46" s="12" t="n">
        <v>212.3</v>
      </c>
      <c r="H46" s="12" t="inlineStr">
        <is>
          <t>R1 MCC-GT2</t>
        </is>
      </c>
      <c r="I46" s="12" t="inlineStr">
        <is>
          <t>LV 600 V</t>
        </is>
      </c>
      <c r="J46" s="12" t="inlineStr">
        <is>
          <t>350 kcmil</t>
        </is>
      </c>
      <c r="K46" s="12" t="n">
        <v>1</v>
      </c>
    </row>
    <row r="47">
      <c r="A47" s="12" t="inlineStr">
        <is>
          <t>FS-GT3: CO2 fire-suppression skid</t>
        </is>
      </c>
      <c r="B47" s="12" t="inlineStr">
        <is>
          <t>FS-GT3</t>
        </is>
      </c>
      <c r="C47" s="12" t="inlineStr">
        <is>
          <t>A</t>
        </is>
      </c>
      <c r="D47" s="12" t="inlineStr">
        <is>
          <t>LV power feeder</t>
        </is>
      </c>
      <c r="E47" s="12" t="n">
        <v>480</v>
      </c>
      <c r="F47" s="12" t="n">
        <v>150</v>
      </c>
      <c r="G47" s="12" t="n">
        <v>212.3</v>
      </c>
      <c r="H47" s="12" t="inlineStr">
        <is>
          <t>R1 MCC-GT3</t>
        </is>
      </c>
      <c r="I47" s="12" t="inlineStr">
        <is>
          <t>LV 600 V</t>
        </is>
      </c>
      <c r="J47" s="12" t="inlineStr">
        <is>
          <t>350 kcmil</t>
        </is>
      </c>
      <c r="K47" s="12" t="n">
        <v>1</v>
      </c>
    </row>
    <row r="48">
      <c r="A48" s="12" t="inlineStr">
        <is>
          <t>GFM-1: GT1 gas fuel module (stop / control valves, final strainer)</t>
        </is>
      </c>
      <c r="B48" s="12" t="inlineStr">
        <is>
          <t>GFM-1</t>
        </is>
      </c>
      <c r="C48" s="12" t="inlineStr">
        <is>
          <t>A</t>
        </is>
      </c>
      <c r="D48" s="12" t="inlineStr">
        <is>
          <t>LV power feeder</t>
        </is>
      </c>
      <c r="E48" s="12" t="n">
        <v>480</v>
      </c>
      <c r="F48" s="12" t="n">
        <v>15</v>
      </c>
      <c r="G48" s="12" t="n">
        <v>21.2</v>
      </c>
      <c r="H48" s="12" t="inlineStr">
        <is>
          <t>R1 MCC-GT1</t>
        </is>
      </c>
      <c r="I48" s="12" t="inlineStr">
        <is>
          <t>LV 600 V</t>
        </is>
      </c>
      <c r="J48" s="12" t="inlineStr">
        <is>
          <t>8</t>
        </is>
      </c>
      <c r="K48" s="12" t="n">
        <v>1</v>
      </c>
    </row>
    <row r="49">
      <c r="A49" s="12" t="inlineStr">
        <is>
          <t>GFM-2: GT2 gas fuel module (stop / control valves, final strainer)</t>
        </is>
      </c>
      <c r="B49" s="12" t="inlineStr">
        <is>
          <t>GFM-2</t>
        </is>
      </c>
      <c r="C49" s="12" t="inlineStr">
        <is>
          <t>A</t>
        </is>
      </c>
      <c r="D49" s="12" t="inlineStr">
        <is>
          <t>LV power feeder</t>
        </is>
      </c>
      <c r="E49" s="12" t="n">
        <v>480</v>
      </c>
      <c r="F49" s="12" t="n">
        <v>15</v>
      </c>
      <c r="G49" s="12" t="n">
        <v>21.2</v>
      </c>
      <c r="H49" s="12" t="inlineStr">
        <is>
          <t>R1 MCC-GT2</t>
        </is>
      </c>
      <c r="I49" s="12" t="inlineStr">
        <is>
          <t>LV 600 V</t>
        </is>
      </c>
      <c r="J49" s="12" t="inlineStr">
        <is>
          <t>6</t>
        </is>
      </c>
      <c r="K49" s="12" t="n">
        <v>1</v>
      </c>
    </row>
    <row r="50">
      <c r="A50" s="12" t="inlineStr">
        <is>
          <t>GFM-3: GT3 gas fuel module (stop / control valves, final strainer)</t>
        </is>
      </c>
      <c r="B50" s="12" t="inlineStr">
        <is>
          <t>GFM-3</t>
        </is>
      </c>
      <c r="C50" s="12" t="inlineStr">
        <is>
          <t>A</t>
        </is>
      </c>
      <c r="D50" s="12" t="inlineStr">
        <is>
          <t>LV power feeder</t>
        </is>
      </c>
      <c r="E50" s="12" t="n">
        <v>480</v>
      </c>
      <c r="F50" s="12" t="n">
        <v>15</v>
      </c>
      <c r="G50" s="12" t="n">
        <v>21.2</v>
      </c>
      <c r="H50" s="12" t="inlineStr">
        <is>
          <t>R1 MCC-GT3</t>
        </is>
      </c>
      <c r="I50" s="12" t="inlineStr">
        <is>
          <t>LV 600 V</t>
        </is>
      </c>
      <c r="J50" s="12" t="inlineStr">
        <is>
          <t>4</t>
        </is>
      </c>
      <c r="K50" s="12" t="n">
        <v>1</v>
      </c>
    </row>
    <row r="51">
      <c r="A51" s="12" t="inlineStr">
        <is>
          <t>GSC-ST: gland-steam condenser and exhausters</t>
        </is>
      </c>
      <c r="B51" s="12" t="inlineStr">
        <is>
          <t>GSC-ST</t>
        </is>
      </c>
      <c r="C51" s="12" t="inlineStr">
        <is>
          <t>A</t>
        </is>
      </c>
      <c r="D51" s="12" t="inlineStr">
        <is>
          <t>Motor 1 of 2, 30 kW</t>
        </is>
      </c>
      <c r="E51" s="12" t="n">
        <v>480</v>
      </c>
      <c r="F51" s="12" t="n">
        <v>30</v>
      </c>
      <c r="G51" s="12" t="n">
        <v>42.5</v>
      </c>
      <c r="H51" s="12" t="inlineStr">
        <is>
          <t>R3: ST auxiliary electrical e-house (40 x 65 ft)</t>
        </is>
      </c>
      <c r="I51" s="12" t="inlineStr">
        <is>
          <t>LV 600 V</t>
        </is>
      </c>
      <c r="J51" s="12" t="inlineStr">
        <is>
          <t>6</t>
        </is>
      </c>
      <c r="K51" s="12" t="n">
        <v>1</v>
      </c>
    </row>
    <row r="52">
      <c r="A52" s="12" t="inlineStr">
        <is>
          <t>GSC-ST: gland-steam condenser and exhausters</t>
        </is>
      </c>
      <c r="B52" s="12" t="inlineStr">
        <is>
          <t>GSC-ST</t>
        </is>
      </c>
      <c r="C52" s="12" t="inlineStr">
        <is>
          <t>A</t>
        </is>
      </c>
      <c r="D52" s="12" t="inlineStr">
        <is>
          <t>Motor 2 of 2, 30 kW</t>
        </is>
      </c>
      <c r="E52" s="12" t="n">
        <v>480</v>
      </c>
      <c r="F52" s="12" t="n">
        <v>30</v>
      </c>
      <c r="G52" s="12" t="n">
        <v>42.5</v>
      </c>
      <c r="H52" s="12" t="inlineStr">
        <is>
          <t>R3: ST auxiliary electrical e-house (40 x 65 ft)</t>
        </is>
      </c>
      <c r="I52" s="12" t="inlineStr">
        <is>
          <t>LV 600 V</t>
        </is>
      </c>
      <c r="J52" s="12" t="inlineStr">
        <is>
          <t>6</t>
        </is>
      </c>
      <c r="K52" s="12" t="n">
        <v>1</v>
      </c>
    </row>
    <row r="53">
      <c r="A53" s="12" t="inlineStr">
        <is>
          <t>GSU-1 firewall</t>
        </is>
      </c>
      <c r="B53" s="12" t="inlineStr"/>
      <c r="C53" s="12" t="inlineStr">
        <is>
          <t>A</t>
        </is>
      </c>
      <c r="D53" s="12" t="inlineStr">
        <is>
          <t>Motor 1 of 6, 2 kW</t>
        </is>
      </c>
      <c r="E53" s="12" t="n">
        <v>480</v>
      </c>
      <c r="F53" s="12" t="n">
        <v>2</v>
      </c>
      <c r="G53" s="12" t="n">
        <v>2.8</v>
      </c>
      <c r="H53" s="12" t="inlineStr">
        <is>
          <t>R2A: unit / HRSG electrical e-house (32 x 40 ft)</t>
        </is>
      </c>
      <c r="I53" s="12" t="inlineStr">
        <is>
          <t>LV 600 V</t>
        </is>
      </c>
      <c r="J53" s="12" t="inlineStr">
        <is>
          <t>10</t>
        </is>
      </c>
      <c r="K53" s="12" t="n">
        <v>1</v>
      </c>
    </row>
    <row r="54">
      <c r="A54" s="12" t="inlineStr">
        <is>
          <t>GSU-1 firewall</t>
        </is>
      </c>
      <c r="B54" s="12" t="inlineStr"/>
      <c r="C54" s="12" t="inlineStr">
        <is>
          <t>A</t>
        </is>
      </c>
      <c r="D54" s="12" t="inlineStr">
        <is>
          <t>Motor 2 of 6, 2 kW</t>
        </is>
      </c>
      <c r="E54" s="12" t="n">
        <v>480</v>
      </c>
      <c r="F54" s="12" t="n">
        <v>2</v>
      </c>
      <c r="G54" s="12" t="n">
        <v>2.8</v>
      </c>
      <c r="H54" s="12" t="inlineStr">
        <is>
          <t>R2A: unit / HRSG electrical e-house (32 x 40 ft)</t>
        </is>
      </c>
      <c r="I54" s="12" t="inlineStr">
        <is>
          <t>LV 600 V</t>
        </is>
      </c>
      <c r="J54" s="12" t="inlineStr">
        <is>
          <t>10</t>
        </is>
      </c>
      <c r="K54" s="12" t="n">
        <v>1</v>
      </c>
    </row>
    <row r="55">
      <c r="A55" s="12" t="inlineStr">
        <is>
          <t>GSU-1 firewall</t>
        </is>
      </c>
      <c r="B55" s="12" t="inlineStr"/>
      <c r="C55" s="12" t="inlineStr">
        <is>
          <t>A</t>
        </is>
      </c>
      <c r="D55" s="12" t="inlineStr">
        <is>
          <t>Motor 3 of 6, 2 kW</t>
        </is>
      </c>
      <c r="E55" s="12" t="n">
        <v>480</v>
      </c>
      <c r="F55" s="12" t="n">
        <v>2</v>
      </c>
      <c r="G55" s="12" t="n">
        <v>2.8</v>
      </c>
      <c r="H55" s="12" t="inlineStr">
        <is>
          <t>R2A: unit / HRSG electrical e-house (32 x 40 ft)</t>
        </is>
      </c>
      <c r="I55" s="12" t="inlineStr">
        <is>
          <t>LV 600 V</t>
        </is>
      </c>
      <c r="J55" s="12" t="inlineStr">
        <is>
          <t>10</t>
        </is>
      </c>
      <c r="K55" s="12" t="n">
        <v>1</v>
      </c>
    </row>
    <row r="56">
      <c r="A56" s="12" t="inlineStr">
        <is>
          <t>GSU-1 firewall</t>
        </is>
      </c>
      <c r="B56" s="12" t="inlineStr"/>
      <c r="C56" s="12" t="inlineStr">
        <is>
          <t>A</t>
        </is>
      </c>
      <c r="D56" s="12" t="inlineStr">
        <is>
          <t>Motor 4 of 6, 2 kW</t>
        </is>
      </c>
      <c r="E56" s="12" t="n">
        <v>480</v>
      </c>
      <c r="F56" s="12" t="n">
        <v>2</v>
      </c>
      <c r="G56" s="12" t="n">
        <v>2.8</v>
      </c>
      <c r="H56" s="12" t="inlineStr">
        <is>
          <t>R2A: unit / HRSG electrical e-house (32 x 40 ft)</t>
        </is>
      </c>
      <c r="I56" s="12" t="inlineStr">
        <is>
          <t>LV 600 V</t>
        </is>
      </c>
      <c r="J56" s="12" t="inlineStr">
        <is>
          <t>10</t>
        </is>
      </c>
      <c r="K56" s="12" t="n">
        <v>1</v>
      </c>
    </row>
    <row r="57">
      <c r="A57" s="12" t="inlineStr">
        <is>
          <t>GSU-1 firewall</t>
        </is>
      </c>
      <c r="B57" s="12" t="inlineStr"/>
      <c r="C57" s="12" t="inlineStr">
        <is>
          <t>A</t>
        </is>
      </c>
      <c r="D57" s="12" t="inlineStr">
        <is>
          <t>Motor 5 of 6, 2 kW</t>
        </is>
      </c>
      <c r="E57" s="12" t="n">
        <v>480</v>
      </c>
      <c r="F57" s="12" t="n">
        <v>2</v>
      </c>
      <c r="G57" s="12" t="n">
        <v>2.8</v>
      </c>
      <c r="H57" s="12" t="inlineStr">
        <is>
          <t>R2A: unit / HRSG electrical e-house (32 x 40 ft)</t>
        </is>
      </c>
      <c r="I57" s="12" t="inlineStr">
        <is>
          <t>LV 600 V</t>
        </is>
      </c>
      <c r="J57" s="12" t="inlineStr">
        <is>
          <t>10</t>
        </is>
      </c>
      <c r="K57" s="12" t="n">
        <v>1</v>
      </c>
    </row>
    <row r="58">
      <c r="A58" s="12" t="inlineStr">
        <is>
          <t>GSU-1 firewall</t>
        </is>
      </c>
      <c r="B58" s="12" t="inlineStr"/>
      <c r="C58" s="12" t="inlineStr">
        <is>
          <t>A</t>
        </is>
      </c>
      <c r="D58" s="12" t="inlineStr">
        <is>
          <t>Motor 6 of 6, 2 kW</t>
        </is>
      </c>
      <c r="E58" s="12" t="n">
        <v>480</v>
      </c>
      <c r="F58" s="12" t="n">
        <v>2</v>
      </c>
      <c r="G58" s="12" t="n">
        <v>2.8</v>
      </c>
      <c r="H58" s="12" t="inlineStr">
        <is>
          <t>R2A: unit / HRSG electrical e-house (32 x 40 ft)</t>
        </is>
      </c>
      <c r="I58" s="12" t="inlineStr">
        <is>
          <t>LV 600 V</t>
        </is>
      </c>
      <c r="J58" s="12" t="inlineStr">
        <is>
          <t>10</t>
        </is>
      </c>
      <c r="K58" s="12" t="n">
        <v>1</v>
      </c>
    </row>
    <row r="59">
      <c r="A59" s="12" t="inlineStr">
        <is>
          <t>GSU-1: 21/230 kV generator step-up transformer</t>
        </is>
      </c>
      <c r="B59" s="12" t="inlineStr">
        <is>
          <t>GSU-1</t>
        </is>
      </c>
      <c r="C59" s="12" t="inlineStr">
        <is>
          <t>A</t>
        </is>
      </c>
      <c r="D59" s="12" t="inlineStr">
        <is>
          <t>Motor 1 of 6, 2 kW</t>
        </is>
      </c>
      <c r="E59" s="12" t="n">
        <v>480</v>
      </c>
      <c r="F59" s="12" t="n">
        <v>2</v>
      </c>
      <c r="G59" s="12" t="n">
        <v>2.8</v>
      </c>
      <c r="H59" s="12" t="inlineStr">
        <is>
          <t>R2A: unit / HRSG electrical e-house (32 x 40 ft)</t>
        </is>
      </c>
      <c r="I59" s="12" t="inlineStr">
        <is>
          <t>LV 600 V</t>
        </is>
      </c>
      <c r="J59" s="12" t="inlineStr">
        <is>
          <t>10</t>
        </is>
      </c>
      <c r="K59" s="12" t="n">
        <v>1</v>
      </c>
    </row>
    <row r="60">
      <c r="A60" s="12" t="inlineStr">
        <is>
          <t>GSU-1: 21/230 kV generator step-up transformer</t>
        </is>
      </c>
      <c r="B60" s="12" t="inlineStr">
        <is>
          <t>GSU-1</t>
        </is>
      </c>
      <c r="C60" s="12" t="inlineStr">
        <is>
          <t>A</t>
        </is>
      </c>
      <c r="D60" s="12" t="inlineStr">
        <is>
          <t>Motor 2 of 6, 2 kW</t>
        </is>
      </c>
      <c r="E60" s="12" t="n">
        <v>480</v>
      </c>
      <c r="F60" s="12" t="n">
        <v>2</v>
      </c>
      <c r="G60" s="12" t="n">
        <v>2.8</v>
      </c>
      <c r="H60" s="12" t="inlineStr">
        <is>
          <t>R2A: unit / HRSG electrical e-house (32 x 40 ft)</t>
        </is>
      </c>
      <c r="I60" s="12" t="inlineStr">
        <is>
          <t>LV 600 V</t>
        </is>
      </c>
      <c r="J60" s="12" t="inlineStr">
        <is>
          <t>10</t>
        </is>
      </c>
      <c r="K60" s="12" t="n">
        <v>1</v>
      </c>
    </row>
    <row r="61">
      <c r="A61" s="12" t="inlineStr">
        <is>
          <t>GSU-1: 21/230 kV generator step-up transformer</t>
        </is>
      </c>
      <c r="B61" s="12" t="inlineStr">
        <is>
          <t>GSU-1</t>
        </is>
      </c>
      <c r="C61" s="12" t="inlineStr">
        <is>
          <t>A</t>
        </is>
      </c>
      <c r="D61" s="12" t="inlineStr">
        <is>
          <t>Motor 3 of 6, 2 kW</t>
        </is>
      </c>
      <c r="E61" s="12" t="n">
        <v>480</v>
      </c>
      <c r="F61" s="12" t="n">
        <v>2</v>
      </c>
      <c r="G61" s="12" t="n">
        <v>2.8</v>
      </c>
      <c r="H61" s="12" t="inlineStr">
        <is>
          <t>R2A: unit / HRSG electrical e-house (32 x 40 ft)</t>
        </is>
      </c>
      <c r="I61" s="12" t="inlineStr">
        <is>
          <t>LV 600 V</t>
        </is>
      </c>
      <c r="J61" s="12" t="inlineStr">
        <is>
          <t>10</t>
        </is>
      </c>
      <c r="K61" s="12" t="n">
        <v>1</v>
      </c>
    </row>
    <row r="62">
      <c r="A62" s="12" t="inlineStr">
        <is>
          <t>GSU-1: 21/230 kV generator step-up transformer</t>
        </is>
      </c>
      <c r="B62" s="12" t="inlineStr">
        <is>
          <t>GSU-1</t>
        </is>
      </c>
      <c r="C62" s="12" t="inlineStr">
        <is>
          <t>A</t>
        </is>
      </c>
      <c r="D62" s="12" t="inlineStr">
        <is>
          <t>Motor 4 of 6, 2 kW</t>
        </is>
      </c>
      <c r="E62" s="12" t="n">
        <v>480</v>
      </c>
      <c r="F62" s="12" t="n">
        <v>2</v>
      </c>
      <c r="G62" s="12" t="n">
        <v>2.8</v>
      </c>
      <c r="H62" s="12" t="inlineStr">
        <is>
          <t>R2A: unit / HRSG electrical e-house (32 x 40 ft)</t>
        </is>
      </c>
      <c r="I62" s="12" t="inlineStr">
        <is>
          <t>LV 600 V</t>
        </is>
      </c>
      <c r="J62" s="12" t="inlineStr">
        <is>
          <t>10</t>
        </is>
      </c>
      <c r="K62" s="12" t="n">
        <v>1</v>
      </c>
    </row>
    <row r="63">
      <c r="A63" s="12" t="inlineStr">
        <is>
          <t>GSU-1: 21/230 kV generator step-up transformer</t>
        </is>
      </c>
      <c r="B63" s="12" t="inlineStr">
        <is>
          <t>GSU-1</t>
        </is>
      </c>
      <c r="C63" s="12" t="inlineStr">
        <is>
          <t>A</t>
        </is>
      </c>
      <c r="D63" s="12" t="inlineStr">
        <is>
          <t>Motor 5 of 6, 2 kW</t>
        </is>
      </c>
      <c r="E63" s="12" t="n">
        <v>480</v>
      </c>
      <c r="F63" s="12" t="n">
        <v>2</v>
      </c>
      <c r="G63" s="12" t="n">
        <v>2.8</v>
      </c>
      <c r="H63" s="12" t="inlineStr">
        <is>
          <t>R2A: unit / HRSG electrical e-house (32 x 40 ft)</t>
        </is>
      </c>
      <c r="I63" s="12" t="inlineStr">
        <is>
          <t>LV 600 V</t>
        </is>
      </c>
      <c r="J63" s="12" t="inlineStr">
        <is>
          <t>10</t>
        </is>
      </c>
      <c r="K63" s="12" t="n">
        <v>1</v>
      </c>
    </row>
    <row r="64">
      <c r="A64" s="12" t="inlineStr">
        <is>
          <t>GSU-1: 21/230 kV generator step-up transformer</t>
        </is>
      </c>
      <c r="B64" s="12" t="inlineStr">
        <is>
          <t>GSU-1</t>
        </is>
      </c>
      <c r="C64" s="12" t="inlineStr">
        <is>
          <t>A</t>
        </is>
      </c>
      <c r="D64" s="12" t="inlineStr">
        <is>
          <t>Motor 6 of 6, 2 kW</t>
        </is>
      </c>
      <c r="E64" s="12" t="n">
        <v>480</v>
      </c>
      <c r="F64" s="12" t="n">
        <v>2</v>
      </c>
      <c r="G64" s="12" t="n">
        <v>2.8</v>
      </c>
      <c r="H64" s="12" t="inlineStr">
        <is>
          <t>R2A: unit / HRSG electrical e-house (32 x 40 ft)</t>
        </is>
      </c>
      <c r="I64" s="12" t="inlineStr">
        <is>
          <t>LV 600 V</t>
        </is>
      </c>
      <c r="J64" s="12" t="inlineStr">
        <is>
          <t>10</t>
        </is>
      </c>
      <c r="K64" s="12" t="n">
        <v>1</v>
      </c>
    </row>
    <row r="65">
      <c r="A65" s="12" t="inlineStr">
        <is>
          <t>GSU-2 firewall</t>
        </is>
      </c>
      <c r="B65" s="12" t="inlineStr"/>
      <c r="C65" s="12" t="inlineStr">
        <is>
          <t>A</t>
        </is>
      </c>
      <c r="D65" s="12" t="inlineStr">
        <is>
          <t>Motor 1 of 6, 2 kW</t>
        </is>
      </c>
      <c r="E65" s="12" t="n">
        <v>480</v>
      </c>
      <c r="F65" s="12" t="n">
        <v>2</v>
      </c>
      <c r="G65" s="12" t="n">
        <v>2.8</v>
      </c>
      <c r="H65" s="12" t="inlineStr">
        <is>
          <t>R2B: unit / HRSG electrical e-house (32 x 40 ft)</t>
        </is>
      </c>
      <c r="I65" s="12" t="inlineStr">
        <is>
          <t>LV 600 V</t>
        </is>
      </c>
      <c r="J65" s="12" t="inlineStr">
        <is>
          <t>10</t>
        </is>
      </c>
      <c r="K65" s="12" t="n">
        <v>1</v>
      </c>
    </row>
    <row r="66">
      <c r="A66" s="12" t="inlineStr">
        <is>
          <t>GSU-2 firewall</t>
        </is>
      </c>
      <c r="B66" s="12" t="inlineStr"/>
      <c r="C66" s="12" t="inlineStr">
        <is>
          <t>A</t>
        </is>
      </c>
      <c r="D66" s="12" t="inlineStr">
        <is>
          <t>Motor 2 of 6, 2 kW</t>
        </is>
      </c>
      <c r="E66" s="12" t="n">
        <v>480</v>
      </c>
      <c r="F66" s="12" t="n">
        <v>2</v>
      </c>
      <c r="G66" s="12" t="n">
        <v>2.8</v>
      </c>
      <c r="H66" s="12" t="inlineStr">
        <is>
          <t>R2B: unit / HRSG electrical e-house (32 x 40 ft)</t>
        </is>
      </c>
      <c r="I66" s="12" t="inlineStr">
        <is>
          <t>LV 600 V</t>
        </is>
      </c>
      <c r="J66" s="12" t="inlineStr">
        <is>
          <t>10</t>
        </is>
      </c>
      <c r="K66" s="12" t="n">
        <v>1</v>
      </c>
    </row>
    <row r="67">
      <c r="A67" s="12" t="inlineStr">
        <is>
          <t>GSU-2 firewall</t>
        </is>
      </c>
      <c r="B67" s="12" t="inlineStr"/>
      <c r="C67" s="12" t="inlineStr">
        <is>
          <t>A</t>
        </is>
      </c>
      <c r="D67" s="12" t="inlineStr">
        <is>
          <t>Motor 3 of 6, 2 kW</t>
        </is>
      </c>
      <c r="E67" s="12" t="n">
        <v>480</v>
      </c>
      <c r="F67" s="12" t="n">
        <v>2</v>
      </c>
      <c r="G67" s="12" t="n">
        <v>2.8</v>
      </c>
      <c r="H67" s="12" t="inlineStr">
        <is>
          <t>R2B: unit / HRSG electrical e-house (32 x 40 ft)</t>
        </is>
      </c>
      <c r="I67" s="12" t="inlineStr">
        <is>
          <t>LV 600 V</t>
        </is>
      </c>
      <c r="J67" s="12" t="inlineStr">
        <is>
          <t>10</t>
        </is>
      </c>
      <c r="K67" s="12" t="n">
        <v>1</v>
      </c>
    </row>
    <row r="68">
      <c r="A68" s="12" t="inlineStr">
        <is>
          <t>GSU-2 firewall</t>
        </is>
      </c>
      <c r="B68" s="12" t="inlineStr"/>
      <c r="C68" s="12" t="inlineStr">
        <is>
          <t>A</t>
        </is>
      </c>
      <c r="D68" s="12" t="inlineStr">
        <is>
          <t>Motor 4 of 6, 2 kW</t>
        </is>
      </c>
      <c r="E68" s="12" t="n">
        <v>480</v>
      </c>
      <c r="F68" s="12" t="n">
        <v>2</v>
      </c>
      <c r="G68" s="12" t="n">
        <v>2.8</v>
      </c>
      <c r="H68" s="12" t="inlineStr">
        <is>
          <t>R2B: unit / HRSG electrical e-house (32 x 40 ft)</t>
        </is>
      </c>
      <c r="I68" s="12" t="inlineStr">
        <is>
          <t>LV 600 V</t>
        </is>
      </c>
      <c r="J68" s="12" t="inlineStr">
        <is>
          <t>10</t>
        </is>
      </c>
      <c r="K68" s="12" t="n">
        <v>1</v>
      </c>
    </row>
    <row r="69">
      <c r="A69" s="12" t="inlineStr">
        <is>
          <t>GSU-2 firewall</t>
        </is>
      </c>
      <c r="B69" s="12" t="inlineStr"/>
      <c r="C69" s="12" t="inlineStr">
        <is>
          <t>A</t>
        </is>
      </c>
      <c r="D69" s="12" t="inlineStr">
        <is>
          <t>Motor 5 of 6, 2 kW</t>
        </is>
      </c>
      <c r="E69" s="12" t="n">
        <v>480</v>
      </c>
      <c r="F69" s="12" t="n">
        <v>2</v>
      </c>
      <c r="G69" s="12" t="n">
        <v>2.8</v>
      </c>
      <c r="H69" s="12" t="inlineStr">
        <is>
          <t>R2B: unit / HRSG electrical e-house (32 x 40 ft)</t>
        </is>
      </c>
      <c r="I69" s="12" t="inlineStr">
        <is>
          <t>LV 600 V</t>
        </is>
      </c>
      <c r="J69" s="12" t="inlineStr">
        <is>
          <t>10</t>
        </is>
      </c>
      <c r="K69" s="12" t="n">
        <v>1</v>
      </c>
    </row>
    <row r="70">
      <c r="A70" s="12" t="inlineStr">
        <is>
          <t>GSU-2 firewall</t>
        </is>
      </c>
      <c r="B70" s="12" t="inlineStr"/>
      <c r="C70" s="12" t="inlineStr">
        <is>
          <t>A</t>
        </is>
      </c>
      <c r="D70" s="12" t="inlineStr">
        <is>
          <t>Motor 6 of 6, 2 kW</t>
        </is>
      </c>
      <c r="E70" s="12" t="n">
        <v>480</v>
      </c>
      <c r="F70" s="12" t="n">
        <v>2</v>
      </c>
      <c r="G70" s="12" t="n">
        <v>2.8</v>
      </c>
      <c r="H70" s="12" t="inlineStr">
        <is>
          <t>R2B: unit / HRSG electrical e-house (32 x 40 ft)</t>
        </is>
      </c>
      <c r="I70" s="12" t="inlineStr">
        <is>
          <t>LV 600 V</t>
        </is>
      </c>
      <c r="J70" s="12" t="inlineStr">
        <is>
          <t>10</t>
        </is>
      </c>
      <c r="K70" s="12" t="n">
        <v>1</v>
      </c>
    </row>
    <row r="71">
      <c r="A71" s="12" t="inlineStr">
        <is>
          <t>GSU-2: 21/230 kV generator step-up transformer</t>
        </is>
      </c>
      <c r="B71" s="12" t="inlineStr">
        <is>
          <t>GSU-2</t>
        </is>
      </c>
      <c r="C71" s="12" t="inlineStr">
        <is>
          <t>A</t>
        </is>
      </c>
      <c r="D71" s="12" t="inlineStr">
        <is>
          <t>Motor 1 of 6, 2 kW</t>
        </is>
      </c>
      <c r="E71" s="12" t="n">
        <v>480</v>
      </c>
      <c r="F71" s="12" t="n">
        <v>2</v>
      </c>
      <c r="G71" s="12" t="n">
        <v>2.8</v>
      </c>
      <c r="H71" s="12" t="inlineStr">
        <is>
          <t>R2B: unit / HRSG electrical e-house (32 x 40 ft)</t>
        </is>
      </c>
      <c r="I71" s="12" t="inlineStr">
        <is>
          <t>LV 600 V</t>
        </is>
      </c>
      <c r="J71" s="12" t="inlineStr">
        <is>
          <t>10</t>
        </is>
      </c>
      <c r="K71" s="12" t="n">
        <v>1</v>
      </c>
    </row>
    <row r="72">
      <c r="A72" s="12" t="inlineStr">
        <is>
          <t>GSU-2: 21/230 kV generator step-up transformer</t>
        </is>
      </c>
      <c r="B72" s="12" t="inlineStr">
        <is>
          <t>GSU-2</t>
        </is>
      </c>
      <c r="C72" s="12" t="inlineStr">
        <is>
          <t>A</t>
        </is>
      </c>
      <c r="D72" s="12" t="inlineStr">
        <is>
          <t>Motor 2 of 6, 2 kW</t>
        </is>
      </c>
      <c r="E72" s="12" t="n">
        <v>480</v>
      </c>
      <c r="F72" s="12" t="n">
        <v>2</v>
      </c>
      <c r="G72" s="12" t="n">
        <v>2.8</v>
      </c>
      <c r="H72" s="12" t="inlineStr">
        <is>
          <t>R2B: unit / HRSG electrical e-house (32 x 40 ft)</t>
        </is>
      </c>
      <c r="I72" s="12" t="inlineStr">
        <is>
          <t>LV 600 V</t>
        </is>
      </c>
      <c r="J72" s="12" t="inlineStr">
        <is>
          <t>10</t>
        </is>
      </c>
      <c r="K72" s="12" t="n">
        <v>1</v>
      </c>
    </row>
    <row r="73">
      <c r="A73" s="12" t="inlineStr">
        <is>
          <t>GSU-2: 21/230 kV generator step-up transformer</t>
        </is>
      </c>
      <c r="B73" s="12" t="inlineStr">
        <is>
          <t>GSU-2</t>
        </is>
      </c>
      <c r="C73" s="12" t="inlineStr">
        <is>
          <t>A</t>
        </is>
      </c>
      <c r="D73" s="12" t="inlineStr">
        <is>
          <t>Motor 3 of 6, 2 kW</t>
        </is>
      </c>
      <c r="E73" s="12" t="n">
        <v>480</v>
      </c>
      <c r="F73" s="12" t="n">
        <v>2</v>
      </c>
      <c r="G73" s="12" t="n">
        <v>2.8</v>
      </c>
      <c r="H73" s="12" t="inlineStr">
        <is>
          <t>R2B: unit / HRSG electrical e-house (32 x 40 ft)</t>
        </is>
      </c>
      <c r="I73" s="12" t="inlineStr">
        <is>
          <t>LV 600 V</t>
        </is>
      </c>
      <c r="J73" s="12" t="inlineStr">
        <is>
          <t>10</t>
        </is>
      </c>
      <c r="K73" s="12" t="n">
        <v>1</v>
      </c>
    </row>
    <row r="74">
      <c r="A74" s="12" t="inlineStr">
        <is>
          <t>GSU-2: 21/230 kV generator step-up transformer</t>
        </is>
      </c>
      <c r="B74" s="12" t="inlineStr">
        <is>
          <t>GSU-2</t>
        </is>
      </c>
      <c r="C74" s="12" t="inlineStr">
        <is>
          <t>A</t>
        </is>
      </c>
      <c r="D74" s="12" t="inlineStr">
        <is>
          <t>Motor 4 of 6, 2 kW</t>
        </is>
      </c>
      <c r="E74" s="12" t="n">
        <v>480</v>
      </c>
      <c r="F74" s="12" t="n">
        <v>2</v>
      </c>
      <c r="G74" s="12" t="n">
        <v>2.8</v>
      </c>
      <c r="H74" s="12" t="inlineStr">
        <is>
          <t>R2B: unit / HRSG electrical e-house (32 x 40 ft)</t>
        </is>
      </c>
      <c r="I74" s="12" t="inlineStr">
        <is>
          <t>LV 600 V</t>
        </is>
      </c>
      <c r="J74" s="12" t="inlineStr">
        <is>
          <t>10</t>
        </is>
      </c>
      <c r="K74" s="12" t="n">
        <v>1</v>
      </c>
    </row>
    <row r="75">
      <c r="A75" s="12" t="inlineStr">
        <is>
          <t>GSU-2: 21/230 kV generator step-up transformer</t>
        </is>
      </c>
      <c r="B75" s="12" t="inlineStr">
        <is>
          <t>GSU-2</t>
        </is>
      </c>
      <c r="C75" s="12" t="inlineStr">
        <is>
          <t>A</t>
        </is>
      </c>
      <c r="D75" s="12" t="inlineStr">
        <is>
          <t>Motor 5 of 6, 2 kW</t>
        </is>
      </c>
      <c r="E75" s="12" t="n">
        <v>480</v>
      </c>
      <c r="F75" s="12" t="n">
        <v>2</v>
      </c>
      <c r="G75" s="12" t="n">
        <v>2.8</v>
      </c>
      <c r="H75" s="12" t="inlineStr">
        <is>
          <t>R2B: unit / HRSG electrical e-house (32 x 40 ft)</t>
        </is>
      </c>
      <c r="I75" s="12" t="inlineStr">
        <is>
          <t>LV 600 V</t>
        </is>
      </c>
      <c r="J75" s="12" t="inlineStr">
        <is>
          <t>10</t>
        </is>
      </c>
      <c r="K75" s="12" t="n">
        <v>1</v>
      </c>
    </row>
    <row r="76">
      <c r="A76" s="12" t="inlineStr">
        <is>
          <t>GSU-2: 21/230 kV generator step-up transformer</t>
        </is>
      </c>
      <c r="B76" s="12" t="inlineStr">
        <is>
          <t>GSU-2</t>
        </is>
      </c>
      <c r="C76" s="12" t="inlineStr">
        <is>
          <t>A</t>
        </is>
      </c>
      <c r="D76" s="12" t="inlineStr">
        <is>
          <t>Motor 6 of 6, 2 kW</t>
        </is>
      </c>
      <c r="E76" s="12" t="n">
        <v>480</v>
      </c>
      <c r="F76" s="12" t="n">
        <v>2</v>
      </c>
      <c r="G76" s="12" t="n">
        <v>2.8</v>
      </c>
      <c r="H76" s="12" t="inlineStr">
        <is>
          <t>R2B: unit / HRSG electrical e-house (32 x 40 ft)</t>
        </is>
      </c>
      <c r="I76" s="12" t="inlineStr">
        <is>
          <t>LV 600 V</t>
        </is>
      </c>
      <c r="J76" s="12" t="inlineStr">
        <is>
          <t>10</t>
        </is>
      </c>
      <c r="K76" s="12" t="n">
        <v>1</v>
      </c>
    </row>
    <row r="77">
      <c r="A77" s="12" t="inlineStr">
        <is>
          <t>GSU-3 firewall</t>
        </is>
      </c>
      <c r="B77" s="12" t="inlineStr"/>
      <c r="C77" s="12" t="inlineStr">
        <is>
          <t>A</t>
        </is>
      </c>
      <c r="D77" s="12" t="inlineStr">
        <is>
          <t>Motor 1 of 6, 2 kW</t>
        </is>
      </c>
      <c r="E77" s="12" t="n">
        <v>480</v>
      </c>
      <c r="F77" s="12" t="n">
        <v>2</v>
      </c>
      <c r="G77" s="12" t="n">
        <v>2.8</v>
      </c>
      <c r="H77" s="12" t="inlineStr">
        <is>
          <t>R2C: unit / HRSG electrical e-house (32 x 40 ft)</t>
        </is>
      </c>
      <c r="I77" s="12" t="inlineStr">
        <is>
          <t>LV 600 V</t>
        </is>
      </c>
      <c r="J77" s="12" t="inlineStr">
        <is>
          <t>10</t>
        </is>
      </c>
      <c r="K77" s="12" t="n">
        <v>1</v>
      </c>
    </row>
    <row r="78">
      <c r="A78" s="12" t="inlineStr">
        <is>
          <t>GSU-3 firewall</t>
        </is>
      </c>
      <c r="B78" s="12" t="inlineStr"/>
      <c r="C78" s="12" t="inlineStr">
        <is>
          <t>A</t>
        </is>
      </c>
      <c r="D78" s="12" t="inlineStr">
        <is>
          <t>Motor 2 of 6, 2 kW</t>
        </is>
      </c>
      <c r="E78" s="12" t="n">
        <v>480</v>
      </c>
      <c r="F78" s="12" t="n">
        <v>2</v>
      </c>
      <c r="G78" s="12" t="n">
        <v>2.8</v>
      </c>
      <c r="H78" s="12" t="inlineStr">
        <is>
          <t>R2C: unit / HRSG electrical e-house (32 x 40 ft)</t>
        </is>
      </c>
      <c r="I78" s="12" t="inlineStr">
        <is>
          <t>LV 600 V</t>
        </is>
      </c>
      <c r="J78" s="12" t="inlineStr">
        <is>
          <t>10</t>
        </is>
      </c>
      <c r="K78" s="12" t="n">
        <v>1</v>
      </c>
    </row>
    <row r="79">
      <c r="A79" s="12" t="inlineStr">
        <is>
          <t>GSU-3 firewall</t>
        </is>
      </c>
      <c r="B79" s="12" t="inlineStr"/>
      <c r="C79" s="12" t="inlineStr">
        <is>
          <t>A</t>
        </is>
      </c>
      <c r="D79" s="12" t="inlineStr">
        <is>
          <t>Motor 3 of 6, 2 kW</t>
        </is>
      </c>
      <c r="E79" s="12" t="n">
        <v>480</v>
      </c>
      <c r="F79" s="12" t="n">
        <v>2</v>
      </c>
      <c r="G79" s="12" t="n">
        <v>2.8</v>
      </c>
      <c r="H79" s="12" t="inlineStr">
        <is>
          <t>R2C: unit / HRSG electrical e-house (32 x 40 ft)</t>
        </is>
      </c>
      <c r="I79" s="12" t="inlineStr">
        <is>
          <t>LV 600 V</t>
        </is>
      </c>
      <c r="J79" s="12" t="inlineStr">
        <is>
          <t>10</t>
        </is>
      </c>
      <c r="K79" s="12" t="n">
        <v>1</v>
      </c>
    </row>
    <row r="80">
      <c r="A80" s="12" t="inlineStr">
        <is>
          <t>GSU-3 firewall</t>
        </is>
      </c>
      <c r="B80" s="12" t="inlineStr"/>
      <c r="C80" s="12" t="inlineStr">
        <is>
          <t>A</t>
        </is>
      </c>
      <c r="D80" s="12" t="inlineStr">
        <is>
          <t>Motor 4 of 6, 2 kW</t>
        </is>
      </c>
      <c r="E80" s="12" t="n">
        <v>480</v>
      </c>
      <c r="F80" s="12" t="n">
        <v>2</v>
      </c>
      <c r="G80" s="12" t="n">
        <v>2.8</v>
      </c>
      <c r="H80" s="12" t="inlineStr">
        <is>
          <t>R2C: unit / HRSG electrical e-house (32 x 40 ft)</t>
        </is>
      </c>
      <c r="I80" s="12" t="inlineStr">
        <is>
          <t>LV 600 V</t>
        </is>
      </c>
      <c r="J80" s="12" t="inlineStr">
        <is>
          <t>10</t>
        </is>
      </c>
      <c r="K80" s="12" t="n">
        <v>1</v>
      </c>
    </row>
    <row r="81">
      <c r="A81" s="12" t="inlineStr">
        <is>
          <t>GSU-3 firewall</t>
        </is>
      </c>
      <c r="B81" s="12" t="inlineStr"/>
      <c r="C81" s="12" t="inlineStr">
        <is>
          <t>A</t>
        </is>
      </c>
      <c r="D81" s="12" t="inlineStr">
        <is>
          <t>Motor 5 of 6, 2 kW</t>
        </is>
      </c>
      <c r="E81" s="12" t="n">
        <v>480</v>
      </c>
      <c r="F81" s="12" t="n">
        <v>2</v>
      </c>
      <c r="G81" s="12" t="n">
        <v>2.8</v>
      </c>
      <c r="H81" s="12" t="inlineStr">
        <is>
          <t>R2C: unit / HRSG electrical e-house (32 x 40 ft)</t>
        </is>
      </c>
      <c r="I81" s="12" t="inlineStr">
        <is>
          <t>LV 600 V</t>
        </is>
      </c>
      <c r="J81" s="12" t="inlineStr">
        <is>
          <t>10</t>
        </is>
      </c>
      <c r="K81" s="12" t="n">
        <v>1</v>
      </c>
    </row>
    <row r="82">
      <c r="A82" s="12" t="inlineStr">
        <is>
          <t>GSU-3 firewall</t>
        </is>
      </c>
      <c r="B82" s="12" t="inlineStr"/>
      <c r="C82" s="12" t="inlineStr">
        <is>
          <t>A</t>
        </is>
      </c>
      <c r="D82" s="12" t="inlineStr">
        <is>
          <t>Motor 6 of 6, 2 kW</t>
        </is>
      </c>
      <c r="E82" s="12" t="n">
        <v>480</v>
      </c>
      <c r="F82" s="12" t="n">
        <v>2</v>
      </c>
      <c r="G82" s="12" t="n">
        <v>2.8</v>
      </c>
      <c r="H82" s="12" t="inlineStr">
        <is>
          <t>R2C: unit / HRSG electrical e-house (32 x 40 ft)</t>
        </is>
      </c>
      <c r="I82" s="12" t="inlineStr">
        <is>
          <t>LV 600 V</t>
        </is>
      </c>
      <c r="J82" s="12" t="inlineStr">
        <is>
          <t>10</t>
        </is>
      </c>
      <c r="K82" s="12" t="n">
        <v>1</v>
      </c>
    </row>
    <row r="83">
      <c r="A83" s="12" t="inlineStr">
        <is>
          <t>GSU-3: 21/230 kV generator step-up transformer</t>
        </is>
      </c>
      <c r="B83" s="12" t="inlineStr">
        <is>
          <t>GSU-3</t>
        </is>
      </c>
      <c r="C83" s="12" t="inlineStr">
        <is>
          <t>A</t>
        </is>
      </c>
      <c r="D83" s="12" t="inlineStr">
        <is>
          <t>Motor 1 of 6, 2 kW</t>
        </is>
      </c>
      <c r="E83" s="12" t="n">
        <v>480</v>
      </c>
      <c r="F83" s="12" t="n">
        <v>2</v>
      </c>
      <c r="G83" s="12" t="n">
        <v>2.8</v>
      </c>
      <c r="H83" s="12" t="inlineStr">
        <is>
          <t>R2C: unit / HRSG electrical e-house (32 x 40 ft)</t>
        </is>
      </c>
      <c r="I83" s="12" t="inlineStr">
        <is>
          <t>LV 600 V</t>
        </is>
      </c>
      <c r="J83" s="12" t="inlineStr">
        <is>
          <t>10</t>
        </is>
      </c>
      <c r="K83" s="12" t="n">
        <v>1</v>
      </c>
    </row>
    <row r="84">
      <c r="A84" s="12" t="inlineStr">
        <is>
          <t>GSU-3: 21/230 kV generator step-up transformer</t>
        </is>
      </c>
      <c r="B84" s="12" t="inlineStr">
        <is>
          <t>GSU-3</t>
        </is>
      </c>
      <c r="C84" s="12" t="inlineStr">
        <is>
          <t>A</t>
        </is>
      </c>
      <c r="D84" s="12" t="inlineStr">
        <is>
          <t>Motor 2 of 6, 2 kW</t>
        </is>
      </c>
      <c r="E84" s="12" t="n">
        <v>480</v>
      </c>
      <c r="F84" s="12" t="n">
        <v>2</v>
      </c>
      <c r="G84" s="12" t="n">
        <v>2.8</v>
      </c>
      <c r="H84" s="12" t="inlineStr">
        <is>
          <t>R2C: unit / HRSG electrical e-house (32 x 40 ft)</t>
        </is>
      </c>
      <c r="I84" s="12" t="inlineStr">
        <is>
          <t>LV 600 V</t>
        </is>
      </c>
      <c r="J84" s="12" t="inlineStr">
        <is>
          <t>10</t>
        </is>
      </c>
      <c r="K84" s="12" t="n">
        <v>1</v>
      </c>
    </row>
    <row r="85">
      <c r="A85" s="12" t="inlineStr">
        <is>
          <t>GSU-3: 21/230 kV generator step-up transformer</t>
        </is>
      </c>
      <c r="B85" s="12" t="inlineStr">
        <is>
          <t>GSU-3</t>
        </is>
      </c>
      <c r="C85" s="12" t="inlineStr">
        <is>
          <t>A</t>
        </is>
      </c>
      <c r="D85" s="12" t="inlineStr">
        <is>
          <t>Motor 3 of 6, 2 kW</t>
        </is>
      </c>
      <c r="E85" s="12" t="n">
        <v>480</v>
      </c>
      <c r="F85" s="12" t="n">
        <v>2</v>
      </c>
      <c r="G85" s="12" t="n">
        <v>2.8</v>
      </c>
      <c r="H85" s="12" t="inlineStr">
        <is>
          <t>R2C: unit / HRSG electrical e-house (32 x 40 ft)</t>
        </is>
      </c>
      <c r="I85" s="12" t="inlineStr">
        <is>
          <t>LV 600 V</t>
        </is>
      </c>
      <c r="J85" s="12" t="inlineStr">
        <is>
          <t>10</t>
        </is>
      </c>
      <c r="K85" s="12" t="n">
        <v>1</v>
      </c>
    </row>
    <row r="86">
      <c r="A86" s="12" t="inlineStr">
        <is>
          <t>GSU-3: 21/230 kV generator step-up transformer</t>
        </is>
      </c>
      <c r="B86" s="12" t="inlineStr">
        <is>
          <t>GSU-3</t>
        </is>
      </c>
      <c r="C86" s="12" t="inlineStr">
        <is>
          <t>A</t>
        </is>
      </c>
      <c r="D86" s="12" t="inlineStr">
        <is>
          <t>Motor 4 of 6, 2 kW</t>
        </is>
      </c>
      <c r="E86" s="12" t="n">
        <v>480</v>
      </c>
      <c r="F86" s="12" t="n">
        <v>2</v>
      </c>
      <c r="G86" s="12" t="n">
        <v>2.8</v>
      </c>
      <c r="H86" s="12" t="inlineStr">
        <is>
          <t>R2C: unit / HRSG electrical e-house (32 x 40 ft)</t>
        </is>
      </c>
      <c r="I86" s="12" t="inlineStr">
        <is>
          <t>LV 600 V</t>
        </is>
      </c>
      <c r="J86" s="12" t="inlineStr">
        <is>
          <t>10</t>
        </is>
      </c>
      <c r="K86" s="12" t="n">
        <v>1</v>
      </c>
    </row>
    <row r="87">
      <c r="A87" s="12" t="inlineStr">
        <is>
          <t>GSU-3: 21/230 kV generator step-up transformer</t>
        </is>
      </c>
      <c r="B87" s="12" t="inlineStr">
        <is>
          <t>GSU-3</t>
        </is>
      </c>
      <c r="C87" s="12" t="inlineStr">
        <is>
          <t>A</t>
        </is>
      </c>
      <c r="D87" s="12" t="inlineStr">
        <is>
          <t>Motor 5 of 6, 2 kW</t>
        </is>
      </c>
      <c r="E87" s="12" t="n">
        <v>480</v>
      </c>
      <c r="F87" s="12" t="n">
        <v>2</v>
      </c>
      <c r="G87" s="12" t="n">
        <v>2.8</v>
      </c>
      <c r="H87" s="12" t="inlineStr">
        <is>
          <t>R2C: unit / HRSG electrical e-house (32 x 40 ft)</t>
        </is>
      </c>
      <c r="I87" s="12" t="inlineStr">
        <is>
          <t>LV 600 V</t>
        </is>
      </c>
      <c r="J87" s="12" t="inlineStr">
        <is>
          <t>10</t>
        </is>
      </c>
      <c r="K87" s="12" t="n">
        <v>1</v>
      </c>
    </row>
    <row r="88">
      <c r="A88" s="12" t="inlineStr">
        <is>
          <t>GSU-3: 21/230 kV generator step-up transformer</t>
        </is>
      </c>
      <c r="B88" s="12" t="inlineStr">
        <is>
          <t>GSU-3</t>
        </is>
      </c>
      <c r="C88" s="12" t="inlineStr">
        <is>
          <t>A</t>
        </is>
      </c>
      <c r="D88" s="12" t="inlineStr">
        <is>
          <t>Motor 6 of 6, 2 kW</t>
        </is>
      </c>
      <c r="E88" s="12" t="n">
        <v>480</v>
      </c>
      <c r="F88" s="12" t="n">
        <v>2</v>
      </c>
      <c r="G88" s="12" t="n">
        <v>2.8</v>
      </c>
      <c r="H88" s="12" t="inlineStr">
        <is>
          <t>R2C: unit / HRSG electrical e-house (32 x 40 ft)</t>
        </is>
      </c>
      <c r="I88" s="12" t="inlineStr">
        <is>
          <t>LV 600 V</t>
        </is>
      </c>
      <c r="J88" s="12" t="inlineStr">
        <is>
          <t>10</t>
        </is>
      </c>
      <c r="K88" s="12" t="n">
        <v>1</v>
      </c>
    </row>
    <row r="89">
      <c r="A89" s="12" t="inlineStr">
        <is>
          <t>GSU-ST firewall</t>
        </is>
      </c>
      <c r="B89" s="12" t="inlineStr"/>
      <c r="C89" s="12" t="inlineStr">
        <is>
          <t>A</t>
        </is>
      </c>
      <c r="D89" s="12" t="inlineStr">
        <is>
          <t>Motor 1 of 6, 2 kW</t>
        </is>
      </c>
      <c r="E89" s="12" t="n">
        <v>480</v>
      </c>
      <c r="F89" s="12" t="n">
        <v>2</v>
      </c>
      <c r="G89" s="12" t="n">
        <v>2.8</v>
      </c>
      <c r="H89" s="12" t="inlineStr">
        <is>
          <t>R3: ST auxiliary electrical e-house (40 x 65 ft)</t>
        </is>
      </c>
      <c r="I89" s="12" t="inlineStr">
        <is>
          <t>LV 600 V</t>
        </is>
      </c>
      <c r="J89" s="12" t="inlineStr">
        <is>
          <t>10</t>
        </is>
      </c>
      <c r="K89" s="12" t="n">
        <v>1</v>
      </c>
    </row>
    <row r="90">
      <c r="A90" s="12" t="inlineStr">
        <is>
          <t>GSU-ST firewall</t>
        </is>
      </c>
      <c r="B90" s="12" t="inlineStr"/>
      <c r="C90" s="12" t="inlineStr">
        <is>
          <t>A</t>
        </is>
      </c>
      <c r="D90" s="12" t="inlineStr">
        <is>
          <t>Motor 2 of 6, 2 kW</t>
        </is>
      </c>
      <c r="E90" s="12" t="n">
        <v>480</v>
      </c>
      <c r="F90" s="12" t="n">
        <v>2</v>
      </c>
      <c r="G90" s="12" t="n">
        <v>2.8</v>
      </c>
      <c r="H90" s="12" t="inlineStr">
        <is>
          <t>R3: ST auxiliary electrical e-house (40 x 65 ft)</t>
        </is>
      </c>
      <c r="I90" s="12" t="inlineStr">
        <is>
          <t>LV 600 V</t>
        </is>
      </c>
      <c r="J90" s="12" t="inlineStr">
        <is>
          <t>10</t>
        </is>
      </c>
      <c r="K90" s="12" t="n">
        <v>1</v>
      </c>
    </row>
    <row r="91">
      <c r="A91" s="12" t="inlineStr">
        <is>
          <t>GSU-ST firewall</t>
        </is>
      </c>
      <c r="B91" s="12" t="inlineStr"/>
      <c r="C91" s="12" t="inlineStr">
        <is>
          <t>A</t>
        </is>
      </c>
      <c r="D91" s="12" t="inlineStr">
        <is>
          <t>Motor 3 of 6, 2 kW</t>
        </is>
      </c>
      <c r="E91" s="12" t="n">
        <v>480</v>
      </c>
      <c r="F91" s="12" t="n">
        <v>2</v>
      </c>
      <c r="G91" s="12" t="n">
        <v>2.8</v>
      </c>
      <c r="H91" s="12" t="inlineStr">
        <is>
          <t>R3: ST auxiliary electrical e-house (40 x 65 ft)</t>
        </is>
      </c>
      <c r="I91" s="12" t="inlineStr">
        <is>
          <t>LV 600 V</t>
        </is>
      </c>
      <c r="J91" s="12" t="inlineStr">
        <is>
          <t>10</t>
        </is>
      </c>
      <c r="K91" s="12" t="n">
        <v>1</v>
      </c>
    </row>
    <row r="92">
      <c r="A92" s="12" t="inlineStr">
        <is>
          <t>GSU-ST firewall</t>
        </is>
      </c>
      <c r="B92" s="12" t="inlineStr"/>
      <c r="C92" s="12" t="inlineStr">
        <is>
          <t>A</t>
        </is>
      </c>
      <c r="D92" s="12" t="inlineStr">
        <is>
          <t>Motor 4 of 6, 2 kW</t>
        </is>
      </c>
      <c r="E92" s="12" t="n">
        <v>480</v>
      </c>
      <c r="F92" s="12" t="n">
        <v>2</v>
      </c>
      <c r="G92" s="12" t="n">
        <v>2.8</v>
      </c>
      <c r="H92" s="12" t="inlineStr">
        <is>
          <t>R3: ST auxiliary electrical e-house (40 x 65 ft)</t>
        </is>
      </c>
      <c r="I92" s="12" t="inlineStr">
        <is>
          <t>LV 600 V</t>
        </is>
      </c>
      <c r="J92" s="12" t="inlineStr">
        <is>
          <t>10</t>
        </is>
      </c>
      <c r="K92" s="12" t="n">
        <v>1</v>
      </c>
    </row>
    <row r="93">
      <c r="A93" s="12" t="inlineStr">
        <is>
          <t>GSU-ST firewall</t>
        </is>
      </c>
      <c r="B93" s="12" t="inlineStr"/>
      <c r="C93" s="12" t="inlineStr">
        <is>
          <t>A</t>
        </is>
      </c>
      <c r="D93" s="12" t="inlineStr">
        <is>
          <t>Motor 5 of 6, 2 kW</t>
        </is>
      </c>
      <c r="E93" s="12" t="n">
        <v>480</v>
      </c>
      <c r="F93" s="12" t="n">
        <v>2</v>
      </c>
      <c r="G93" s="12" t="n">
        <v>2.8</v>
      </c>
      <c r="H93" s="12" t="inlineStr">
        <is>
          <t>R3: ST auxiliary electrical e-house (40 x 65 ft)</t>
        </is>
      </c>
      <c r="I93" s="12" t="inlineStr">
        <is>
          <t>LV 600 V</t>
        </is>
      </c>
      <c r="J93" s="12" t="inlineStr">
        <is>
          <t>10</t>
        </is>
      </c>
      <c r="K93" s="12" t="n">
        <v>1</v>
      </c>
    </row>
    <row r="94">
      <c r="A94" s="12" t="inlineStr">
        <is>
          <t>GSU-ST firewall</t>
        </is>
      </c>
      <c r="B94" s="12" t="inlineStr"/>
      <c r="C94" s="12" t="inlineStr">
        <is>
          <t>A</t>
        </is>
      </c>
      <c r="D94" s="12" t="inlineStr">
        <is>
          <t>Motor 6 of 6, 2 kW</t>
        </is>
      </c>
      <c r="E94" s="12" t="n">
        <v>480</v>
      </c>
      <c r="F94" s="12" t="n">
        <v>2</v>
      </c>
      <c r="G94" s="12" t="n">
        <v>2.8</v>
      </c>
      <c r="H94" s="12" t="inlineStr">
        <is>
          <t>R3: ST auxiliary electrical e-house (40 x 65 ft)</t>
        </is>
      </c>
      <c r="I94" s="12" t="inlineStr">
        <is>
          <t>LV 600 V</t>
        </is>
      </c>
      <c r="J94" s="12" t="inlineStr">
        <is>
          <t>10</t>
        </is>
      </c>
      <c r="K94" s="12" t="n">
        <v>1</v>
      </c>
    </row>
    <row r="95">
      <c r="A95" s="12" t="inlineStr">
        <is>
          <t>GSU-ST: 21/230 kV (one ST GSU, baseline)</t>
        </is>
      </c>
      <c r="B95" s="12" t="inlineStr">
        <is>
          <t>GSU-ST</t>
        </is>
      </c>
      <c r="C95" s="12" t="inlineStr">
        <is>
          <t>A</t>
        </is>
      </c>
      <c r="D95" s="12" t="inlineStr">
        <is>
          <t>Motor 1 of 6, 2 kW</t>
        </is>
      </c>
      <c r="E95" s="12" t="n">
        <v>480</v>
      </c>
      <c r="F95" s="12" t="n">
        <v>2</v>
      </c>
      <c r="G95" s="12" t="n">
        <v>2.8</v>
      </c>
      <c r="H95" s="12" t="inlineStr">
        <is>
          <t>R3: ST auxiliary electrical e-house (40 x 65 ft)</t>
        </is>
      </c>
      <c r="I95" s="12" t="inlineStr">
        <is>
          <t>LV 600 V</t>
        </is>
      </c>
      <c r="J95" s="12" t="inlineStr">
        <is>
          <t>10</t>
        </is>
      </c>
      <c r="K95" s="12" t="n">
        <v>1</v>
      </c>
    </row>
    <row r="96">
      <c r="A96" s="12" t="inlineStr">
        <is>
          <t>GSU-ST: 21/230 kV (one ST GSU, baseline)</t>
        </is>
      </c>
      <c r="B96" s="12" t="inlineStr">
        <is>
          <t>GSU-ST</t>
        </is>
      </c>
      <c r="C96" s="12" t="inlineStr">
        <is>
          <t>A</t>
        </is>
      </c>
      <c r="D96" s="12" t="inlineStr">
        <is>
          <t>Motor 2 of 6, 2 kW</t>
        </is>
      </c>
      <c r="E96" s="12" t="n">
        <v>480</v>
      </c>
      <c r="F96" s="12" t="n">
        <v>2</v>
      </c>
      <c r="G96" s="12" t="n">
        <v>2.8</v>
      </c>
      <c r="H96" s="12" t="inlineStr">
        <is>
          <t>R3: ST auxiliary electrical e-house (40 x 65 ft)</t>
        </is>
      </c>
      <c r="I96" s="12" t="inlineStr">
        <is>
          <t>LV 600 V</t>
        </is>
      </c>
      <c r="J96" s="12" t="inlineStr">
        <is>
          <t>10</t>
        </is>
      </c>
      <c r="K96" s="12" t="n">
        <v>1</v>
      </c>
    </row>
    <row r="97">
      <c r="A97" s="12" t="inlineStr">
        <is>
          <t>GSU-ST: 21/230 kV (one ST GSU, baseline)</t>
        </is>
      </c>
      <c r="B97" s="12" t="inlineStr">
        <is>
          <t>GSU-ST</t>
        </is>
      </c>
      <c r="C97" s="12" t="inlineStr">
        <is>
          <t>A</t>
        </is>
      </c>
      <c r="D97" s="12" t="inlineStr">
        <is>
          <t>Motor 3 of 6, 2 kW</t>
        </is>
      </c>
      <c r="E97" s="12" t="n">
        <v>480</v>
      </c>
      <c r="F97" s="12" t="n">
        <v>2</v>
      </c>
      <c r="G97" s="12" t="n">
        <v>2.8</v>
      </c>
      <c r="H97" s="12" t="inlineStr">
        <is>
          <t>R3: ST auxiliary electrical e-house (40 x 65 ft)</t>
        </is>
      </c>
      <c r="I97" s="12" t="inlineStr">
        <is>
          <t>LV 600 V</t>
        </is>
      </c>
      <c r="J97" s="12" t="inlineStr">
        <is>
          <t>10</t>
        </is>
      </c>
      <c r="K97" s="12" t="n">
        <v>1</v>
      </c>
    </row>
    <row r="98">
      <c r="A98" s="12" t="inlineStr">
        <is>
          <t>GSU-ST: 21/230 kV (one ST GSU, baseline)</t>
        </is>
      </c>
      <c r="B98" s="12" t="inlineStr">
        <is>
          <t>GSU-ST</t>
        </is>
      </c>
      <c r="C98" s="12" t="inlineStr">
        <is>
          <t>A</t>
        </is>
      </c>
      <c r="D98" s="12" t="inlineStr">
        <is>
          <t>Motor 4 of 6, 2 kW</t>
        </is>
      </c>
      <c r="E98" s="12" t="n">
        <v>480</v>
      </c>
      <c r="F98" s="12" t="n">
        <v>2</v>
      </c>
      <c r="G98" s="12" t="n">
        <v>2.8</v>
      </c>
      <c r="H98" s="12" t="inlineStr">
        <is>
          <t>R3: ST auxiliary electrical e-house (40 x 65 ft)</t>
        </is>
      </c>
      <c r="I98" s="12" t="inlineStr">
        <is>
          <t>LV 600 V</t>
        </is>
      </c>
      <c r="J98" s="12" t="inlineStr">
        <is>
          <t>10</t>
        </is>
      </c>
      <c r="K98" s="12" t="n">
        <v>1</v>
      </c>
    </row>
    <row r="99">
      <c r="A99" s="12" t="inlineStr">
        <is>
          <t>GSU-ST: 21/230 kV (one ST GSU, baseline)</t>
        </is>
      </c>
      <c r="B99" s="12" t="inlineStr">
        <is>
          <t>GSU-ST</t>
        </is>
      </c>
      <c r="C99" s="12" t="inlineStr">
        <is>
          <t>A</t>
        </is>
      </c>
      <c r="D99" s="12" t="inlineStr">
        <is>
          <t>Motor 5 of 6, 2 kW</t>
        </is>
      </c>
      <c r="E99" s="12" t="n">
        <v>480</v>
      </c>
      <c r="F99" s="12" t="n">
        <v>2</v>
      </c>
      <c r="G99" s="12" t="n">
        <v>2.8</v>
      </c>
      <c r="H99" s="12" t="inlineStr">
        <is>
          <t>R3: ST auxiliary electrical e-house (40 x 65 ft)</t>
        </is>
      </c>
      <c r="I99" s="12" t="inlineStr">
        <is>
          <t>LV 600 V</t>
        </is>
      </c>
      <c r="J99" s="12" t="inlineStr">
        <is>
          <t>10</t>
        </is>
      </c>
      <c r="K99" s="12" t="n">
        <v>1</v>
      </c>
    </row>
    <row r="100">
      <c r="A100" s="12" t="inlineStr">
        <is>
          <t>GSU-ST: 21/230 kV (one ST GSU, baseline)</t>
        </is>
      </c>
      <c r="B100" s="12" t="inlineStr">
        <is>
          <t>GSU-ST</t>
        </is>
      </c>
      <c r="C100" s="12" t="inlineStr">
        <is>
          <t>A</t>
        </is>
      </c>
      <c r="D100" s="12" t="inlineStr">
        <is>
          <t>Motor 6 of 6, 2 kW</t>
        </is>
      </c>
      <c r="E100" s="12" t="n">
        <v>480</v>
      </c>
      <c r="F100" s="12" t="n">
        <v>2</v>
      </c>
      <c r="G100" s="12" t="n">
        <v>2.8</v>
      </c>
      <c r="H100" s="12" t="inlineStr">
        <is>
          <t>R3: ST auxiliary electrical e-house (40 x 65 ft)</t>
        </is>
      </c>
      <c r="I100" s="12" t="inlineStr">
        <is>
          <t>LV 600 V</t>
        </is>
      </c>
      <c r="J100" s="12" t="inlineStr">
        <is>
          <t>10</t>
        </is>
      </c>
      <c r="K100" s="12" t="n">
        <v>1</v>
      </c>
    </row>
    <row r="101">
      <c r="A101" s="12" t="inlineStr">
        <is>
          <t>GT1 aux: lube oil, hydraulics, enclosure fans</t>
        </is>
      </c>
      <c r="B101" s="12" t="inlineStr">
        <is>
          <t>GT1 aux</t>
        </is>
      </c>
      <c r="C101" s="12" t="inlineStr">
        <is>
          <t>A</t>
        </is>
      </c>
      <c r="D101" s="12" t="inlineStr">
        <is>
          <t>Motor 1 of 12, 45 kW</t>
        </is>
      </c>
      <c r="E101" s="12" t="n">
        <v>480</v>
      </c>
      <c r="F101" s="12" t="n">
        <v>45</v>
      </c>
      <c r="G101" s="12" t="n">
        <v>63.7</v>
      </c>
      <c r="H101" s="12" t="inlineStr">
        <is>
          <t>R1 MCC-GT1</t>
        </is>
      </c>
      <c r="I101" s="12" t="inlineStr">
        <is>
          <t>LV 600 V</t>
        </is>
      </c>
      <c r="J101" s="12" t="inlineStr">
        <is>
          <t>2</t>
        </is>
      </c>
      <c r="K101" s="12" t="n">
        <v>1</v>
      </c>
    </row>
    <row r="102">
      <c r="A102" s="12" t="inlineStr">
        <is>
          <t>GT1 aux: lube oil, hydraulics, enclosure fans</t>
        </is>
      </c>
      <c r="B102" s="12" t="inlineStr">
        <is>
          <t>GT1 aux</t>
        </is>
      </c>
      <c r="C102" s="12" t="inlineStr">
        <is>
          <t>A</t>
        </is>
      </c>
      <c r="D102" s="12" t="inlineStr">
        <is>
          <t>Motor 2 of 12, 45 kW</t>
        </is>
      </c>
      <c r="E102" s="12" t="n">
        <v>480</v>
      </c>
      <c r="F102" s="12" t="n">
        <v>45</v>
      </c>
      <c r="G102" s="12" t="n">
        <v>63.7</v>
      </c>
      <c r="H102" s="12" t="inlineStr">
        <is>
          <t>R1 MCC-GT1</t>
        </is>
      </c>
      <c r="I102" s="12" t="inlineStr">
        <is>
          <t>LV 600 V</t>
        </is>
      </c>
      <c r="J102" s="12" t="inlineStr">
        <is>
          <t>2</t>
        </is>
      </c>
      <c r="K102" s="12" t="n">
        <v>1</v>
      </c>
    </row>
    <row r="103">
      <c r="A103" s="12" t="inlineStr">
        <is>
          <t>GT1 aux: lube oil, hydraulics, enclosure fans</t>
        </is>
      </c>
      <c r="B103" s="12" t="inlineStr">
        <is>
          <t>GT1 aux</t>
        </is>
      </c>
      <c r="C103" s="12" t="inlineStr">
        <is>
          <t>A</t>
        </is>
      </c>
      <c r="D103" s="12" t="inlineStr">
        <is>
          <t>Motor 3 of 12, 45 kW</t>
        </is>
      </c>
      <c r="E103" s="12" t="n">
        <v>480</v>
      </c>
      <c r="F103" s="12" t="n">
        <v>45</v>
      </c>
      <c r="G103" s="12" t="n">
        <v>63.7</v>
      </c>
      <c r="H103" s="12" t="inlineStr">
        <is>
          <t>R1 MCC-GT1</t>
        </is>
      </c>
      <c r="I103" s="12" t="inlineStr">
        <is>
          <t>LV 600 V</t>
        </is>
      </c>
      <c r="J103" s="12" t="inlineStr">
        <is>
          <t>2</t>
        </is>
      </c>
      <c r="K103" s="12" t="n">
        <v>1</v>
      </c>
    </row>
    <row r="104">
      <c r="A104" s="12" t="inlineStr">
        <is>
          <t>GT1 aux: lube oil, hydraulics, enclosure fans</t>
        </is>
      </c>
      <c r="B104" s="12" t="inlineStr">
        <is>
          <t>GT1 aux</t>
        </is>
      </c>
      <c r="C104" s="12" t="inlineStr">
        <is>
          <t>A</t>
        </is>
      </c>
      <c r="D104" s="12" t="inlineStr">
        <is>
          <t>Motor 4 of 12, 45 kW</t>
        </is>
      </c>
      <c r="E104" s="12" t="n">
        <v>480</v>
      </c>
      <c r="F104" s="12" t="n">
        <v>45</v>
      </c>
      <c r="G104" s="12" t="n">
        <v>63.7</v>
      </c>
      <c r="H104" s="12" t="inlineStr">
        <is>
          <t>R1 MCC-GT1</t>
        </is>
      </c>
      <c r="I104" s="12" t="inlineStr">
        <is>
          <t>LV 600 V</t>
        </is>
      </c>
      <c r="J104" s="12" t="inlineStr">
        <is>
          <t>2</t>
        </is>
      </c>
      <c r="K104" s="12" t="n">
        <v>1</v>
      </c>
    </row>
    <row r="105">
      <c r="A105" s="12" t="inlineStr">
        <is>
          <t>GT1 aux: lube oil, hydraulics, enclosure fans</t>
        </is>
      </c>
      <c r="B105" s="12" t="inlineStr">
        <is>
          <t>GT1 aux</t>
        </is>
      </c>
      <c r="C105" s="12" t="inlineStr">
        <is>
          <t>A</t>
        </is>
      </c>
      <c r="D105" s="12" t="inlineStr">
        <is>
          <t>Motor 5 of 12, 45 kW</t>
        </is>
      </c>
      <c r="E105" s="12" t="n">
        <v>480</v>
      </c>
      <c r="F105" s="12" t="n">
        <v>45</v>
      </c>
      <c r="G105" s="12" t="n">
        <v>63.7</v>
      </c>
      <c r="H105" s="12" t="inlineStr">
        <is>
          <t>R1 MCC-GT1</t>
        </is>
      </c>
      <c r="I105" s="12" t="inlineStr">
        <is>
          <t>LV 600 V</t>
        </is>
      </c>
      <c r="J105" s="12" t="inlineStr">
        <is>
          <t>2</t>
        </is>
      </c>
      <c r="K105" s="12" t="n">
        <v>1</v>
      </c>
    </row>
    <row r="106">
      <c r="A106" s="12" t="inlineStr">
        <is>
          <t>GT1 aux: lube oil, hydraulics, enclosure fans</t>
        </is>
      </c>
      <c r="B106" s="12" t="inlineStr">
        <is>
          <t>GT1 aux</t>
        </is>
      </c>
      <c r="C106" s="12" t="inlineStr">
        <is>
          <t>A</t>
        </is>
      </c>
      <c r="D106" s="12" t="inlineStr">
        <is>
          <t>Motor 6 of 12, 45 kW</t>
        </is>
      </c>
      <c r="E106" s="12" t="n">
        <v>480</v>
      </c>
      <c r="F106" s="12" t="n">
        <v>45</v>
      </c>
      <c r="G106" s="12" t="n">
        <v>63.7</v>
      </c>
      <c r="H106" s="12" t="inlineStr">
        <is>
          <t>R1 MCC-GT1</t>
        </is>
      </c>
      <c r="I106" s="12" t="inlineStr">
        <is>
          <t>LV 600 V</t>
        </is>
      </c>
      <c r="J106" s="12" t="inlineStr">
        <is>
          <t>2</t>
        </is>
      </c>
      <c r="K106" s="12" t="n">
        <v>1</v>
      </c>
    </row>
    <row r="107">
      <c r="A107" s="12" t="inlineStr">
        <is>
          <t>GT1 aux: lube oil, hydraulics, enclosure fans</t>
        </is>
      </c>
      <c r="B107" s="12" t="inlineStr">
        <is>
          <t>GT1 aux</t>
        </is>
      </c>
      <c r="C107" s="12" t="inlineStr">
        <is>
          <t>A</t>
        </is>
      </c>
      <c r="D107" s="12" t="inlineStr">
        <is>
          <t>Motor 7 of 12, 45 kW</t>
        </is>
      </c>
      <c r="E107" s="12" t="n">
        <v>480</v>
      </c>
      <c r="F107" s="12" t="n">
        <v>45</v>
      </c>
      <c r="G107" s="12" t="n">
        <v>63.7</v>
      </c>
      <c r="H107" s="12" t="inlineStr">
        <is>
          <t>R1 MCC-GT1</t>
        </is>
      </c>
      <c r="I107" s="12" t="inlineStr">
        <is>
          <t>LV 600 V</t>
        </is>
      </c>
      <c r="J107" s="12" t="inlineStr">
        <is>
          <t>2</t>
        </is>
      </c>
      <c r="K107" s="12" t="n">
        <v>1</v>
      </c>
    </row>
    <row r="108">
      <c r="A108" s="12" t="inlineStr">
        <is>
          <t>GT1 aux: lube oil, hydraulics, enclosure fans</t>
        </is>
      </c>
      <c r="B108" s="12" t="inlineStr">
        <is>
          <t>GT1 aux</t>
        </is>
      </c>
      <c r="C108" s="12" t="inlineStr">
        <is>
          <t>A</t>
        </is>
      </c>
      <c r="D108" s="12" t="inlineStr">
        <is>
          <t>Motor 8 of 12, 45 kW</t>
        </is>
      </c>
      <c r="E108" s="12" t="n">
        <v>480</v>
      </c>
      <c r="F108" s="12" t="n">
        <v>45</v>
      </c>
      <c r="G108" s="12" t="n">
        <v>63.7</v>
      </c>
      <c r="H108" s="12" t="inlineStr">
        <is>
          <t>R1 MCC-GT1</t>
        </is>
      </c>
      <c r="I108" s="12" t="inlineStr">
        <is>
          <t>LV 600 V</t>
        </is>
      </c>
      <c r="J108" s="12" t="inlineStr">
        <is>
          <t>2</t>
        </is>
      </c>
      <c r="K108" s="12" t="n">
        <v>1</v>
      </c>
    </row>
    <row r="109">
      <c r="A109" s="12" t="inlineStr">
        <is>
          <t>GT1 aux: lube oil, hydraulics, enclosure fans</t>
        </is>
      </c>
      <c r="B109" s="12" t="inlineStr">
        <is>
          <t>GT1 aux</t>
        </is>
      </c>
      <c r="C109" s="12" t="inlineStr">
        <is>
          <t>A</t>
        </is>
      </c>
      <c r="D109" s="12" t="inlineStr">
        <is>
          <t>Motor 9 of 12, 45 kW</t>
        </is>
      </c>
      <c r="E109" s="12" t="n">
        <v>480</v>
      </c>
      <c r="F109" s="12" t="n">
        <v>45</v>
      </c>
      <c r="G109" s="12" t="n">
        <v>63.7</v>
      </c>
      <c r="H109" s="12" t="inlineStr">
        <is>
          <t>R1 MCC-GT1</t>
        </is>
      </c>
      <c r="I109" s="12" t="inlineStr">
        <is>
          <t>LV 600 V</t>
        </is>
      </c>
      <c r="J109" s="12" t="inlineStr">
        <is>
          <t>2</t>
        </is>
      </c>
      <c r="K109" s="12" t="n">
        <v>1</v>
      </c>
    </row>
    <row r="110">
      <c r="A110" s="12" t="inlineStr">
        <is>
          <t>GT1 aux: lube oil, hydraulics, enclosure fans</t>
        </is>
      </c>
      <c r="B110" s="12" t="inlineStr">
        <is>
          <t>GT1 aux</t>
        </is>
      </c>
      <c r="C110" s="12" t="inlineStr">
        <is>
          <t>A</t>
        </is>
      </c>
      <c r="D110" s="12" t="inlineStr">
        <is>
          <t>Motor 10 of 12, 45 kW</t>
        </is>
      </c>
      <c r="E110" s="12" t="n">
        <v>480</v>
      </c>
      <c r="F110" s="12" t="n">
        <v>45</v>
      </c>
      <c r="G110" s="12" t="n">
        <v>63.7</v>
      </c>
      <c r="H110" s="12" t="inlineStr">
        <is>
          <t>R1 MCC-GT1</t>
        </is>
      </c>
      <c r="I110" s="12" t="inlineStr">
        <is>
          <t>LV 600 V</t>
        </is>
      </c>
      <c r="J110" s="12" t="inlineStr">
        <is>
          <t>2</t>
        </is>
      </c>
      <c r="K110" s="12" t="n">
        <v>1</v>
      </c>
    </row>
    <row r="111">
      <c r="A111" s="12" t="inlineStr">
        <is>
          <t>GT1 aux: lube oil, hydraulics, enclosure fans</t>
        </is>
      </c>
      <c r="B111" s="12" t="inlineStr">
        <is>
          <t>GT1 aux</t>
        </is>
      </c>
      <c r="C111" s="12" t="inlineStr">
        <is>
          <t>A</t>
        </is>
      </c>
      <c r="D111" s="12" t="inlineStr">
        <is>
          <t>Motor 11 of 12, 45 kW</t>
        </is>
      </c>
      <c r="E111" s="12" t="n">
        <v>480</v>
      </c>
      <c r="F111" s="12" t="n">
        <v>45</v>
      </c>
      <c r="G111" s="12" t="n">
        <v>63.7</v>
      </c>
      <c r="H111" s="12" t="inlineStr">
        <is>
          <t>R1 MCC-GT1</t>
        </is>
      </c>
      <c r="I111" s="12" t="inlineStr">
        <is>
          <t>LV 600 V</t>
        </is>
      </c>
      <c r="J111" s="12" t="inlineStr">
        <is>
          <t>2</t>
        </is>
      </c>
      <c r="K111" s="12" t="n">
        <v>1</v>
      </c>
    </row>
    <row r="112">
      <c r="A112" s="12" t="inlineStr">
        <is>
          <t>GT1 aux: lube oil, hydraulics, enclosure fans</t>
        </is>
      </c>
      <c r="B112" s="12" t="inlineStr">
        <is>
          <t>GT1 aux</t>
        </is>
      </c>
      <c r="C112" s="12" t="inlineStr">
        <is>
          <t>A</t>
        </is>
      </c>
      <c r="D112" s="12" t="inlineStr">
        <is>
          <t>Motor 12 of 12, 45 kW</t>
        </is>
      </c>
      <c r="E112" s="12" t="n">
        <v>480</v>
      </c>
      <c r="F112" s="12" t="n">
        <v>45</v>
      </c>
      <c r="G112" s="12" t="n">
        <v>63.7</v>
      </c>
      <c r="H112" s="12" t="inlineStr">
        <is>
          <t>R1 MCC-GT1</t>
        </is>
      </c>
      <c r="I112" s="12" t="inlineStr">
        <is>
          <t>LV 600 V</t>
        </is>
      </c>
      <c r="J112" s="12" t="inlineStr">
        <is>
          <t>2</t>
        </is>
      </c>
      <c r="K112" s="12" t="n">
        <v>1</v>
      </c>
    </row>
    <row r="113">
      <c r="A113" s="12" t="inlineStr">
        <is>
          <t>GT1: H-class gas turbine (60 Hz)</t>
        </is>
      </c>
      <c r="B113" s="12" t="inlineStr">
        <is>
          <t>GT1</t>
        </is>
      </c>
      <c r="C113" s="12" t="inlineStr">
        <is>
          <t>A</t>
        </is>
      </c>
      <c r="D113" s="12" t="inlineStr">
        <is>
          <t>LV power feeder</t>
        </is>
      </c>
      <c r="E113" s="12" t="n">
        <v>480</v>
      </c>
      <c r="F113" s="12" t="n">
        <v>150</v>
      </c>
      <c r="G113" s="12" t="n">
        <v>212.3</v>
      </c>
      <c r="H113" s="12" t="inlineStr">
        <is>
          <t>R1 MCC-GT1</t>
        </is>
      </c>
      <c r="I113" s="12" t="inlineStr">
        <is>
          <t>LV 600 V</t>
        </is>
      </c>
      <c r="J113" s="12" t="inlineStr">
        <is>
          <t>350 kcmil</t>
        </is>
      </c>
      <c r="K113" s="12" t="n">
        <v>1</v>
      </c>
    </row>
    <row r="114">
      <c r="A114" s="12" t="inlineStr">
        <is>
          <t>GT1: H-class gas turbine (60 Hz)</t>
        </is>
      </c>
      <c r="B114" s="12" t="inlineStr">
        <is>
          <t>GT1</t>
        </is>
      </c>
      <c r="C114" s="12" t="inlineStr">
        <is>
          <t>A</t>
        </is>
      </c>
      <c r="D114" s="12" t="inlineStr">
        <is>
          <t>480 V welding receptacle 1</t>
        </is>
      </c>
      <c r="E114" s="12" t="n">
        <v>480</v>
      </c>
      <c r="F114" s="12" t="n">
        <v>60</v>
      </c>
      <c r="G114" s="12" t="n">
        <v>76</v>
      </c>
      <c r="H114" s="12" t="inlineStr">
        <is>
          <t>R1 MCC-GT1</t>
        </is>
      </c>
      <c r="I114" s="12" t="inlineStr">
        <is>
          <t>LV 600 V</t>
        </is>
      </c>
      <c r="J114" s="12" t="inlineStr">
        <is>
          <t>2</t>
        </is>
      </c>
      <c r="K114" s="12" t="n">
        <v>1</v>
      </c>
    </row>
    <row r="115">
      <c r="A115" s="12" t="inlineStr">
        <is>
          <t>GT1: H-class gas turbine (60 Hz)</t>
        </is>
      </c>
      <c r="B115" s="12" t="inlineStr">
        <is>
          <t>GT1</t>
        </is>
      </c>
      <c r="C115" s="12" t="inlineStr">
        <is>
          <t>A</t>
        </is>
      </c>
      <c r="D115" s="12" t="inlineStr">
        <is>
          <t>480 V welding receptacle 2</t>
        </is>
      </c>
      <c r="E115" s="12" t="n">
        <v>480</v>
      </c>
      <c r="F115" s="12" t="n">
        <v>60</v>
      </c>
      <c r="G115" s="12" t="n">
        <v>76</v>
      </c>
      <c r="H115" s="12" t="inlineStr">
        <is>
          <t>R1 MCC-GT1</t>
        </is>
      </c>
      <c r="I115" s="12" t="inlineStr">
        <is>
          <t>LV 600 V</t>
        </is>
      </c>
      <c r="J115" s="12" t="inlineStr">
        <is>
          <t>2</t>
        </is>
      </c>
      <c r="K115" s="12" t="n">
        <v>1</v>
      </c>
    </row>
    <row r="116">
      <c r="A116" s="12" t="inlineStr">
        <is>
          <t>GT1: H-class gas turbine (60 Hz)</t>
        </is>
      </c>
      <c r="B116" s="12" t="inlineStr">
        <is>
          <t>GT1</t>
        </is>
      </c>
      <c r="C116" s="12" t="inlineStr">
        <is>
          <t>A</t>
        </is>
      </c>
      <c r="D116" s="12" t="inlineStr">
        <is>
          <t>480 V welding receptacle 3</t>
        </is>
      </c>
      <c r="E116" s="12" t="n">
        <v>480</v>
      </c>
      <c r="F116" s="12" t="n">
        <v>60</v>
      </c>
      <c r="G116" s="12" t="n">
        <v>76</v>
      </c>
      <c r="H116" s="12" t="inlineStr">
        <is>
          <t>R1 MCC-GT1</t>
        </is>
      </c>
      <c r="I116" s="12" t="inlineStr">
        <is>
          <t>LV 600 V</t>
        </is>
      </c>
      <c r="J116" s="12" t="inlineStr">
        <is>
          <t>2</t>
        </is>
      </c>
      <c r="K116" s="12" t="n">
        <v>1</v>
      </c>
    </row>
    <row r="117">
      <c r="A117" s="12" t="inlineStr">
        <is>
          <t>GT1: H-class gas turbine (60 Hz)</t>
        </is>
      </c>
      <c r="B117" s="12" t="inlineStr">
        <is>
          <t>GT1</t>
        </is>
      </c>
      <c r="C117" s="12" t="inlineStr">
        <is>
          <t>A</t>
        </is>
      </c>
      <c r="D117" s="12" t="inlineStr">
        <is>
          <t>480 V welding receptacle 4</t>
        </is>
      </c>
      <c r="E117" s="12" t="n">
        <v>480</v>
      </c>
      <c r="F117" s="12" t="n">
        <v>60</v>
      </c>
      <c r="G117" s="12" t="n">
        <v>76</v>
      </c>
      <c r="H117" s="12" t="inlineStr">
        <is>
          <t>R1 MCC-GT1</t>
        </is>
      </c>
      <c r="I117" s="12" t="inlineStr">
        <is>
          <t>LV 600 V</t>
        </is>
      </c>
      <c r="J117" s="12" t="inlineStr">
        <is>
          <t>2</t>
        </is>
      </c>
      <c r="K117" s="12" t="n">
        <v>1</v>
      </c>
    </row>
    <row r="118">
      <c r="A118" s="12" t="inlineStr">
        <is>
          <t>GT2 aux: lube oil, hydraulics, enclosure fans</t>
        </is>
      </c>
      <c r="B118" s="12" t="inlineStr">
        <is>
          <t>GT2 aux</t>
        </is>
      </c>
      <c r="C118" s="12" t="inlineStr">
        <is>
          <t>A</t>
        </is>
      </c>
      <c r="D118" s="12" t="inlineStr">
        <is>
          <t>Motor 1 of 12, 45 kW</t>
        </is>
      </c>
      <c r="E118" s="12" t="n">
        <v>480</v>
      </c>
      <c r="F118" s="12" t="n">
        <v>45</v>
      </c>
      <c r="G118" s="12" t="n">
        <v>63.7</v>
      </c>
      <c r="H118" s="12" t="inlineStr">
        <is>
          <t>R1 MCC-GT2</t>
        </is>
      </c>
      <c r="I118" s="12" t="inlineStr">
        <is>
          <t>LV 600 V</t>
        </is>
      </c>
      <c r="J118" s="12" t="inlineStr">
        <is>
          <t>1</t>
        </is>
      </c>
      <c r="K118" s="12" t="n">
        <v>1</v>
      </c>
    </row>
    <row r="119">
      <c r="A119" s="12" t="inlineStr">
        <is>
          <t>GT2 aux: lube oil, hydraulics, enclosure fans</t>
        </is>
      </c>
      <c r="B119" s="12" t="inlineStr">
        <is>
          <t>GT2 aux</t>
        </is>
      </c>
      <c r="C119" s="12" t="inlineStr">
        <is>
          <t>A</t>
        </is>
      </c>
      <c r="D119" s="12" t="inlineStr">
        <is>
          <t>Motor 2 of 12, 45 kW</t>
        </is>
      </c>
      <c r="E119" s="12" t="n">
        <v>480</v>
      </c>
      <c r="F119" s="12" t="n">
        <v>45</v>
      </c>
      <c r="G119" s="12" t="n">
        <v>63.7</v>
      </c>
      <c r="H119" s="12" t="inlineStr">
        <is>
          <t>R1 MCC-GT2</t>
        </is>
      </c>
      <c r="I119" s="12" t="inlineStr">
        <is>
          <t>LV 600 V</t>
        </is>
      </c>
      <c r="J119" s="12" t="inlineStr">
        <is>
          <t>1</t>
        </is>
      </c>
      <c r="K119" s="12" t="n">
        <v>1</v>
      </c>
    </row>
    <row r="120">
      <c r="A120" s="12" t="inlineStr">
        <is>
          <t>GT2 aux: lube oil, hydraulics, enclosure fans</t>
        </is>
      </c>
      <c r="B120" s="12" t="inlineStr">
        <is>
          <t>GT2 aux</t>
        </is>
      </c>
      <c r="C120" s="12" t="inlineStr">
        <is>
          <t>A</t>
        </is>
      </c>
      <c r="D120" s="12" t="inlineStr">
        <is>
          <t>Motor 3 of 12, 45 kW</t>
        </is>
      </c>
      <c r="E120" s="12" t="n">
        <v>480</v>
      </c>
      <c r="F120" s="12" t="n">
        <v>45</v>
      </c>
      <c r="G120" s="12" t="n">
        <v>63.7</v>
      </c>
      <c r="H120" s="12" t="inlineStr">
        <is>
          <t>R1 MCC-GT2</t>
        </is>
      </c>
      <c r="I120" s="12" t="inlineStr">
        <is>
          <t>LV 600 V</t>
        </is>
      </c>
      <c r="J120" s="12" t="inlineStr">
        <is>
          <t>1</t>
        </is>
      </c>
      <c r="K120" s="12" t="n">
        <v>1</v>
      </c>
    </row>
    <row r="121">
      <c r="A121" s="12" t="inlineStr">
        <is>
          <t>GT2 aux: lube oil, hydraulics, enclosure fans</t>
        </is>
      </c>
      <c r="B121" s="12" t="inlineStr">
        <is>
          <t>GT2 aux</t>
        </is>
      </c>
      <c r="C121" s="12" t="inlineStr">
        <is>
          <t>A</t>
        </is>
      </c>
      <c r="D121" s="12" t="inlineStr">
        <is>
          <t>Motor 4 of 12, 45 kW</t>
        </is>
      </c>
      <c r="E121" s="12" t="n">
        <v>480</v>
      </c>
      <c r="F121" s="12" t="n">
        <v>45</v>
      </c>
      <c r="G121" s="12" t="n">
        <v>63.7</v>
      </c>
      <c r="H121" s="12" t="inlineStr">
        <is>
          <t>R1 MCC-GT2</t>
        </is>
      </c>
      <c r="I121" s="12" t="inlineStr">
        <is>
          <t>LV 600 V</t>
        </is>
      </c>
      <c r="J121" s="12" t="inlineStr">
        <is>
          <t>1</t>
        </is>
      </c>
      <c r="K121" s="12" t="n">
        <v>1</v>
      </c>
    </row>
    <row r="122">
      <c r="A122" s="12" t="inlineStr">
        <is>
          <t>GT2 aux: lube oil, hydraulics, enclosure fans</t>
        </is>
      </c>
      <c r="B122" s="12" t="inlineStr">
        <is>
          <t>GT2 aux</t>
        </is>
      </c>
      <c r="C122" s="12" t="inlineStr">
        <is>
          <t>A</t>
        </is>
      </c>
      <c r="D122" s="12" t="inlineStr">
        <is>
          <t>Motor 5 of 12, 45 kW</t>
        </is>
      </c>
      <c r="E122" s="12" t="n">
        <v>480</v>
      </c>
      <c r="F122" s="12" t="n">
        <v>45</v>
      </c>
      <c r="G122" s="12" t="n">
        <v>63.7</v>
      </c>
      <c r="H122" s="12" t="inlineStr">
        <is>
          <t>R1 MCC-GT2</t>
        </is>
      </c>
      <c r="I122" s="12" t="inlineStr">
        <is>
          <t>LV 600 V</t>
        </is>
      </c>
      <c r="J122" s="12" t="inlineStr">
        <is>
          <t>1</t>
        </is>
      </c>
      <c r="K122" s="12" t="n">
        <v>1</v>
      </c>
    </row>
    <row r="123">
      <c r="A123" s="12" t="inlineStr">
        <is>
          <t>GT2 aux: lube oil, hydraulics, enclosure fans</t>
        </is>
      </c>
      <c r="B123" s="12" t="inlineStr">
        <is>
          <t>GT2 aux</t>
        </is>
      </c>
      <c r="C123" s="12" t="inlineStr">
        <is>
          <t>A</t>
        </is>
      </c>
      <c r="D123" s="12" t="inlineStr">
        <is>
          <t>Motor 6 of 12, 45 kW</t>
        </is>
      </c>
      <c r="E123" s="12" t="n">
        <v>480</v>
      </c>
      <c r="F123" s="12" t="n">
        <v>45</v>
      </c>
      <c r="G123" s="12" t="n">
        <v>63.7</v>
      </c>
      <c r="H123" s="12" t="inlineStr">
        <is>
          <t>R1 MCC-GT2</t>
        </is>
      </c>
      <c r="I123" s="12" t="inlineStr">
        <is>
          <t>LV 600 V</t>
        </is>
      </c>
      <c r="J123" s="12" t="inlineStr">
        <is>
          <t>1</t>
        </is>
      </c>
      <c r="K123" s="12" t="n">
        <v>1</v>
      </c>
    </row>
    <row r="124">
      <c r="A124" s="12" t="inlineStr">
        <is>
          <t>GT2 aux: lube oil, hydraulics, enclosure fans</t>
        </is>
      </c>
      <c r="B124" s="12" t="inlineStr">
        <is>
          <t>GT2 aux</t>
        </is>
      </c>
      <c r="C124" s="12" t="inlineStr">
        <is>
          <t>A</t>
        </is>
      </c>
      <c r="D124" s="12" t="inlineStr">
        <is>
          <t>Motor 7 of 12, 45 kW</t>
        </is>
      </c>
      <c r="E124" s="12" t="n">
        <v>480</v>
      </c>
      <c r="F124" s="12" t="n">
        <v>45</v>
      </c>
      <c r="G124" s="12" t="n">
        <v>63.7</v>
      </c>
      <c r="H124" s="12" t="inlineStr">
        <is>
          <t>R1 MCC-GT2</t>
        </is>
      </c>
      <c r="I124" s="12" t="inlineStr">
        <is>
          <t>LV 600 V</t>
        </is>
      </c>
      <c r="J124" s="12" t="inlineStr">
        <is>
          <t>1</t>
        </is>
      </c>
      <c r="K124" s="12" t="n">
        <v>1</v>
      </c>
    </row>
    <row r="125">
      <c r="A125" s="12" t="inlineStr">
        <is>
          <t>GT2 aux: lube oil, hydraulics, enclosure fans</t>
        </is>
      </c>
      <c r="B125" s="12" t="inlineStr">
        <is>
          <t>GT2 aux</t>
        </is>
      </c>
      <c r="C125" s="12" t="inlineStr">
        <is>
          <t>A</t>
        </is>
      </c>
      <c r="D125" s="12" t="inlineStr">
        <is>
          <t>Motor 8 of 12, 45 kW</t>
        </is>
      </c>
      <c r="E125" s="12" t="n">
        <v>480</v>
      </c>
      <c r="F125" s="12" t="n">
        <v>45</v>
      </c>
      <c r="G125" s="12" t="n">
        <v>63.7</v>
      </c>
      <c r="H125" s="12" t="inlineStr">
        <is>
          <t>R1 MCC-GT2</t>
        </is>
      </c>
      <c r="I125" s="12" t="inlineStr">
        <is>
          <t>LV 600 V</t>
        </is>
      </c>
      <c r="J125" s="12" t="inlineStr">
        <is>
          <t>1</t>
        </is>
      </c>
      <c r="K125" s="12" t="n">
        <v>1</v>
      </c>
    </row>
    <row r="126">
      <c r="A126" s="12" t="inlineStr">
        <is>
          <t>GT2 aux: lube oil, hydraulics, enclosure fans</t>
        </is>
      </c>
      <c r="B126" s="12" t="inlineStr">
        <is>
          <t>GT2 aux</t>
        </is>
      </c>
      <c r="C126" s="12" t="inlineStr">
        <is>
          <t>A</t>
        </is>
      </c>
      <c r="D126" s="12" t="inlineStr">
        <is>
          <t>Motor 9 of 12, 45 kW</t>
        </is>
      </c>
      <c r="E126" s="12" t="n">
        <v>480</v>
      </c>
      <c r="F126" s="12" t="n">
        <v>45</v>
      </c>
      <c r="G126" s="12" t="n">
        <v>63.7</v>
      </c>
      <c r="H126" s="12" t="inlineStr">
        <is>
          <t>R1 MCC-GT2</t>
        </is>
      </c>
      <c r="I126" s="12" t="inlineStr">
        <is>
          <t>LV 600 V</t>
        </is>
      </c>
      <c r="J126" s="12" t="inlineStr">
        <is>
          <t>1</t>
        </is>
      </c>
      <c r="K126" s="12" t="n">
        <v>1</v>
      </c>
    </row>
    <row r="127">
      <c r="A127" s="12" t="inlineStr">
        <is>
          <t>GT2 aux: lube oil, hydraulics, enclosure fans</t>
        </is>
      </c>
      <c r="B127" s="12" t="inlineStr">
        <is>
          <t>GT2 aux</t>
        </is>
      </c>
      <c r="C127" s="12" t="inlineStr">
        <is>
          <t>A</t>
        </is>
      </c>
      <c r="D127" s="12" t="inlineStr">
        <is>
          <t>Motor 10 of 12, 45 kW</t>
        </is>
      </c>
      <c r="E127" s="12" t="n">
        <v>480</v>
      </c>
      <c r="F127" s="12" t="n">
        <v>45</v>
      </c>
      <c r="G127" s="12" t="n">
        <v>63.7</v>
      </c>
      <c r="H127" s="12" t="inlineStr">
        <is>
          <t>R1 MCC-GT2</t>
        </is>
      </c>
      <c r="I127" s="12" t="inlineStr">
        <is>
          <t>LV 600 V</t>
        </is>
      </c>
      <c r="J127" s="12" t="inlineStr">
        <is>
          <t>1</t>
        </is>
      </c>
      <c r="K127" s="12" t="n">
        <v>1</v>
      </c>
    </row>
    <row r="128">
      <c r="A128" s="12" t="inlineStr">
        <is>
          <t>GT2 aux: lube oil, hydraulics, enclosure fans</t>
        </is>
      </c>
      <c r="B128" s="12" t="inlineStr">
        <is>
          <t>GT2 aux</t>
        </is>
      </c>
      <c r="C128" s="12" t="inlineStr">
        <is>
          <t>A</t>
        </is>
      </c>
      <c r="D128" s="12" t="inlineStr">
        <is>
          <t>Motor 11 of 12, 45 kW</t>
        </is>
      </c>
      <c r="E128" s="12" t="n">
        <v>480</v>
      </c>
      <c r="F128" s="12" t="n">
        <v>45</v>
      </c>
      <c r="G128" s="12" t="n">
        <v>63.7</v>
      </c>
      <c r="H128" s="12" t="inlineStr">
        <is>
          <t>R1 MCC-GT2</t>
        </is>
      </c>
      <c r="I128" s="12" t="inlineStr">
        <is>
          <t>LV 600 V</t>
        </is>
      </c>
      <c r="J128" s="12" t="inlineStr">
        <is>
          <t>1</t>
        </is>
      </c>
      <c r="K128" s="12" t="n">
        <v>1</v>
      </c>
    </row>
    <row r="129">
      <c r="A129" s="12" t="inlineStr">
        <is>
          <t>GT2 aux: lube oil, hydraulics, enclosure fans</t>
        </is>
      </c>
      <c r="B129" s="12" t="inlineStr">
        <is>
          <t>GT2 aux</t>
        </is>
      </c>
      <c r="C129" s="12" t="inlineStr">
        <is>
          <t>A</t>
        </is>
      </c>
      <c r="D129" s="12" t="inlineStr">
        <is>
          <t>Motor 12 of 12, 45 kW</t>
        </is>
      </c>
      <c r="E129" s="12" t="n">
        <v>480</v>
      </c>
      <c r="F129" s="12" t="n">
        <v>45</v>
      </c>
      <c r="G129" s="12" t="n">
        <v>63.7</v>
      </c>
      <c r="H129" s="12" t="inlineStr">
        <is>
          <t>R1 MCC-GT2</t>
        </is>
      </c>
      <c r="I129" s="12" t="inlineStr">
        <is>
          <t>LV 600 V</t>
        </is>
      </c>
      <c r="J129" s="12" t="inlineStr">
        <is>
          <t>1</t>
        </is>
      </c>
      <c r="K129" s="12" t="n">
        <v>1</v>
      </c>
    </row>
    <row r="130">
      <c r="A130" s="12" t="inlineStr">
        <is>
          <t>GT2: H-class gas turbine (60 Hz)</t>
        </is>
      </c>
      <c r="B130" s="12" t="inlineStr">
        <is>
          <t>GT2</t>
        </is>
      </c>
      <c r="C130" s="12" t="inlineStr">
        <is>
          <t>A</t>
        </is>
      </c>
      <c r="D130" s="12" t="inlineStr">
        <is>
          <t>LV power feeder</t>
        </is>
      </c>
      <c r="E130" s="12" t="n">
        <v>480</v>
      </c>
      <c r="F130" s="12" t="n">
        <v>150</v>
      </c>
      <c r="G130" s="12" t="n">
        <v>212.3</v>
      </c>
      <c r="H130" s="12" t="inlineStr">
        <is>
          <t>R1 MCC-GT2</t>
        </is>
      </c>
      <c r="I130" s="12" t="inlineStr">
        <is>
          <t>LV 600 V</t>
        </is>
      </c>
      <c r="J130" s="12" t="inlineStr">
        <is>
          <t>350 kcmil</t>
        </is>
      </c>
      <c r="K130" s="12" t="n">
        <v>1</v>
      </c>
    </row>
    <row r="131">
      <c r="A131" s="12" t="inlineStr">
        <is>
          <t>GT2: H-class gas turbine (60 Hz)</t>
        </is>
      </c>
      <c r="B131" s="12" t="inlineStr">
        <is>
          <t>GT2</t>
        </is>
      </c>
      <c r="C131" s="12" t="inlineStr">
        <is>
          <t>A</t>
        </is>
      </c>
      <c r="D131" s="12" t="inlineStr">
        <is>
          <t>480 V welding receptacle 1</t>
        </is>
      </c>
      <c r="E131" s="12" t="n">
        <v>480</v>
      </c>
      <c r="F131" s="12" t="n">
        <v>60</v>
      </c>
      <c r="G131" s="12" t="n">
        <v>76</v>
      </c>
      <c r="H131" s="12" t="inlineStr">
        <is>
          <t>R1 MCC-GT2</t>
        </is>
      </c>
      <c r="I131" s="12" t="inlineStr">
        <is>
          <t>LV 600 V</t>
        </is>
      </c>
      <c r="J131" s="12" t="inlineStr">
        <is>
          <t>1</t>
        </is>
      </c>
      <c r="K131" s="12" t="n">
        <v>1</v>
      </c>
    </row>
    <row r="132">
      <c r="A132" s="12" t="inlineStr">
        <is>
          <t>GT2: H-class gas turbine (60 Hz)</t>
        </is>
      </c>
      <c r="B132" s="12" t="inlineStr">
        <is>
          <t>GT2</t>
        </is>
      </c>
      <c r="C132" s="12" t="inlineStr">
        <is>
          <t>A</t>
        </is>
      </c>
      <c r="D132" s="12" t="inlineStr">
        <is>
          <t>480 V welding receptacle 2</t>
        </is>
      </c>
      <c r="E132" s="12" t="n">
        <v>480</v>
      </c>
      <c r="F132" s="12" t="n">
        <v>60</v>
      </c>
      <c r="G132" s="12" t="n">
        <v>76</v>
      </c>
      <c r="H132" s="12" t="inlineStr">
        <is>
          <t>R1 MCC-GT2</t>
        </is>
      </c>
      <c r="I132" s="12" t="inlineStr">
        <is>
          <t>LV 600 V</t>
        </is>
      </c>
      <c r="J132" s="12" t="inlineStr">
        <is>
          <t>1</t>
        </is>
      </c>
      <c r="K132" s="12" t="n">
        <v>1</v>
      </c>
    </row>
    <row r="133">
      <c r="A133" s="12" t="inlineStr">
        <is>
          <t>GT2: H-class gas turbine (60 Hz)</t>
        </is>
      </c>
      <c r="B133" s="12" t="inlineStr">
        <is>
          <t>GT2</t>
        </is>
      </c>
      <c r="C133" s="12" t="inlineStr">
        <is>
          <t>A</t>
        </is>
      </c>
      <c r="D133" s="12" t="inlineStr">
        <is>
          <t>480 V welding receptacle 3</t>
        </is>
      </c>
      <c r="E133" s="12" t="n">
        <v>480</v>
      </c>
      <c r="F133" s="12" t="n">
        <v>60</v>
      </c>
      <c r="G133" s="12" t="n">
        <v>76</v>
      </c>
      <c r="H133" s="12" t="inlineStr">
        <is>
          <t>R1 MCC-GT2</t>
        </is>
      </c>
      <c r="I133" s="12" t="inlineStr">
        <is>
          <t>LV 600 V</t>
        </is>
      </c>
      <c r="J133" s="12" t="inlineStr">
        <is>
          <t>1</t>
        </is>
      </c>
      <c r="K133" s="12" t="n">
        <v>1</v>
      </c>
    </row>
    <row r="134">
      <c r="A134" s="12" t="inlineStr">
        <is>
          <t>GT2: H-class gas turbine (60 Hz)</t>
        </is>
      </c>
      <c r="B134" s="12" t="inlineStr">
        <is>
          <t>GT2</t>
        </is>
      </c>
      <c r="C134" s="12" t="inlineStr">
        <is>
          <t>A</t>
        </is>
      </c>
      <c r="D134" s="12" t="inlineStr">
        <is>
          <t>480 V welding receptacle 4</t>
        </is>
      </c>
      <c r="E134" s="12" t="n">
        <v>480</v>
      </c>
      <c r="F134" s="12" t="n">
        <v>60</v>
      </c>
      <c r="G134" s="12" t="n">
        <v>76</v>
      </c>
      <c r="H134" s="12" t="inlineStr">
        <is>
          <t>R1 MCC-GT2</t>
        </is>
      </c>
      <c r="I134" s="12" t="inlineStr">
        <is>
          <t>LV 600 V</t>
        </is>
      </c>
      <c r="J134" s="12" t="inlineStr">
        <is>
          <t>1</t>
        </is>
      </c>
      <c r="K134" s="12" t="n">
        <v>1</v>
      </c>
    </row>
    <row r="135">
      <c r="A135" s="12" t="inlineStr">
        <is>
          <t>GT3 aux: lube oil, hydraulics, enclosure fans</t>
        </is>
      </c>
      <c r="B135" s="12" t="inlineStr">
        <is>
          <t>GT3 aux</t>
        </is>
      </c>
      <c r="C135" s="12" t="inlineStr">
        <is>
          <t>A</t>
        </is>
      </c>
      <c r="D135" s="12" t="inlineStr">
        <is>
          <t>Motor 1 of 12, 45 kW</t>
        </is>
      </c>
      <c r="E135" s="12" t="n">
        <v>480</v>
      </c>
      <c r="F135" s="12" t="n">
        <v>45</v>
      </c>
      <c r="G135" s="12" t="n">
        <v>63.7</v>
      </c>
      <c r="H135" s="12" t="inlineStr">
        <is>
          <t>R1 MCC-GT3</t>
        </is>
      </c>
      <c r="I135" s="12" t="inlineStr">
        <is>
          <t>LV 600 V</t>
        </is>
      </c>
      <c r="J135" s="12" t="inlineStr">
        <is>
          <t>1/0</t>
        </is>
      </c>
      <c r="K135" s="12" t="n">
        <v>1</v>
      </c>
    </row>
    <row r="136">
      <c r="A136" s="12" t="inlineStr">
        <is>
          <t>GT3 aux: lube oil, hydraulics, enclosure fans</t>
        </is>
      </c>
      <c r="B136" s="12" t="inlineStr">
        <is>
          <t>GT3 aux</t>
        </is>
      </c>
      <c r="C136" s="12" t="inlineStr">
        <is>
          <t>A</t>
        </is>
      </c>
      <c r="D136" s="12" t="inlineStr">
        <is>
          <t>Motor 2 of 12, 45 kW</t>
        </is>
      </c>
      <c r="E136" s="12" t="n">
        <v>480</v>
      </c>
      <c r="F136" s="12" t="n">
        <v>45</v>
      </c>
      <c r="G136" s="12" t="n">
        <v>63.7</v>
      </c>
      <c r="H136" s="12" t="inlineStr">
        <is>
          <t>R1 MCC-GT3</t>
        </is>
      </c>
      <c r="I136" s="12" t="inlineStr">
        <is>
          <t>LV 600 V</t>
        </is>
      </c>
      <c r="J136" s="12" t="inlineStr">
        <is>
          <t>1/0</t>
        </is>
      </c>
      <c r="K136" s="12" t="n">
        <v>1</v>
      </c>
    </row>
    <row r="137">
      <c r="A137" s="12" t="inlineStr">
        <is>
          <t>GT3 aux: lube oil, hydraulics, enclosure fans</t>
        </is>
      </c>
      <c r="B137" s="12" t="inlineStr">
        <is>
          <t>GT3 aux</t>
        </is>
      </c>
      <c r="C137" s="12" t="inlineStr">
        <is>
          <t>A</t>
        </is>
      </c>
      <c r="D137" s="12" t="inlineStr">
        <is>
          <t>Motor 3 of 12, 45 kW</t>
        </is>
      </c>
      <c r="E137" s="12" t="n">
        <v>480</v>
      </c>
      <c r="F137" s="12" t="n">
        <v>45</v>
      </c>
      <c r="G137" s="12" t="n">
        <v>63.7</v>
      </c>
      <c r="H137" s="12" t="inlineStr">
        <is>
          <t>R1 MCC-GT3</t>
        </is>
      </c>
      <c r="I137" s="12" t="inlineStr">
        <is>
          <t>LV 600 V</t>
        </is>
      </c>
      <c r="J137" s="12" t="inlineStr">
        <is>
          <t>1/0</t>
        </is>
      </c>
      <c r="K137" s="12" t="n">
        <v>1</v>
      </c>
    </row>
    <row r="138">
      <c r="A138" s="12" t="inlineStr">
        <is>
          <t>GT3 aux: lube oil, hydraulics, enclosure fans</t>
        </is>
      </c>
      <c r="B138" s="12" t="inlineStr">
        <is>
          <t>GT3 aux</t>
        </is>
      </c>
      <c r="C138" s="12" t="inlineStr">
        <is>
          <t>A</t>
        </is>
      </c>
      <c r="D138" s="12" t="inlineStr">
        <is>
          <t>Motor 4 of 12, 45 kW</t>
        </is>
      </c>
      <c r="E138" s="12" t="n">
        <v>480</v>
      </c>
      <c r="F138" s="12" t="n">
        <v>45</v>
      </c>
      <c r="G138" s="12" t="n">
        <v>63.7</v>
      </c>
      <c r="H138" s="12" t="inlineStr">
        <is>
          <t>R1 MCC-GT3</t>
        </is>
      </c>
      <c r="I138" s="12" t="inlineStr">
        <is>
          <t>LV 600 V</t>
        </is>
      </c>
      <c r="J138" s="12" t="inlineStr">
        <is>
          <t>1/0</t>
        </is>
      </c>
      <c r="K138" s="12" t="n">
        <v>1</v>
      </c>
    </row>
    <row r="139">
      <c r="A139" s="12" t="inlineStr">
        <is>
          <t>GT3 aux: lube oil, hydraulics, enclosure fans</t>
        </is>
      </c>
      <c r="B139" s="12" t="inlineStr">
        <is>
          <t>GT3 aux</t>
        </is>
      </c>
      <c r="C139" s="12" t="inlineStr">
        <is>
          <t>A</t>
        </is>
      </c>
      <c r="D139" s="12" t="inlineStr">
        <is>
          <t>Motor 5 of 12, 45 kW</t>
        </is>
      </c>
      <c r="E139" s="12" t="n">
        <v>480</v>
      </c>
      <c r="F139" s="12" t="n">
        <v>45</v>
      </c>
      <c r="G139" s="12" t="n">
        <v>63.7</v>
      </c>
      <c r="H139" s="12" t="inlineStr">
        <is>
          <t>R1 MCC-GT3</t>
        </is>
      </c>
      <c r="I139" s="12" t="inlineStr">
        <is>
          <t>LV 600 V</t>
        </is>
      </c>
      <c r="J139" s="12" t="inlineStr">
        <is>
          <t>1/0</t>
        </is>
      </c>
      <c r="K139" s="12" t="n">
        <v>1</v>
      </c>
    </row>
    <row r="140">
      <c r="A140" s="12" t="inlineStr">
        <is>
          <t>GT3 aux: lube oil, hydraulics, enclosure fans</t>
        </is>
      </c>
      <c r="B140" s="12" t="inlineStr">
        <is>
          <t>GT3 aux</t>
        </is>
      </c>
      <c r="C140" s="12" t="inlineStr">
        <is>
          <t>A</t>
        </is>
      </c>
      <c r="D140" s="12" t="inlineStr">
        <is>
          <t>Motor 6 of 12, 45 kW</t>
        </is>
      </c>
      <c r="E140" s="12" t="n">
        <v>480</v>
      </c>
      <c r="F140" s="12" t="n">
        <v>45</v>
      </c>
      <c r="G140" s="12" t="n">
        <v>63.7</v>
      </c>
      <c r="H140" s="12" t="inlineStr">
        <is>
          <t>R1 MCC-GT3</t>
        </is>
      </c>
      <c r="I140" s="12" t="inlineStr">
        <is>
          <t>LV 600 V</t>
        </is>
      </c>
      <c r="J140" s="12" t="inlineStr">
        <is>
          <t>1/0</t>
        </is>
      </c>
      <c r="K140" s="12" t="n">
        <v>1</v>
      </c>
    </row>
    <row r="141">
      <c r="A141" s="12" t="inlineStr">
        <is>
          <t>GT3 aux: lube oil, hydraulics, enclosure fans</t>
        </is>
      </c>
      <c r="B141" s="12" t="inlineStr">
        <is>
          <t>GT3 aux</t>
        </is>
      </c>
      <c r="C141" s="12" t="inlineStr">
        <is>
          <t>A</t>
        </is>
      </c>
      <c r="D141" s="12" t="inlineStr">
        <is>
          <t>Motor 7 of 12, 45 kW</t>
        </is>
      </c>
      <c r="E141" s="12" t="n">
        <v>480</v>
      </c>
      <c r="F141" s="12" t="n">
        <v>45</v>
      </c>
      <c r="G141" s="12" t="n">
        <v>63.7</v>
      </c>
      <c r="H141" s="12" t="inlineStr">
        <is>
          <t>R1 MCC-GT3</t>
        </is>
      </c>
      <c r="I141" s="12" t="inlineStr">
        <is>
          <t>LV 600 V</t>
        </is>
      </c>
      <c r="J141" s="12" t="inlineStr">
        <is>
          <t>1/0</t>
        </is>
      </c>
      <c r="K141" s="12" t="n">
        <v>1</v>
      </c>
    </row>
    <row r="142">
      <c r="A142" s="12" t="inlineStr">
        <is>
          <t>GT3 aux: lube oil, hydraulics, enclosure fans</t>
        </is>
      </c>
      <c r="B142" s="12" t="inlineStr">
        <is>
          <t>GT3 aux</t>
        </is>
      </c>
      <c r="C142" s="12" t="inlineStr">
        <is>
          <t>A</t>
        </is>
      </c>
      <c r="D142" s="12" t="inlineStr">
        <is>
          <t>Motor 8 of 12, 45 kW</t>
        </is>
      </c>
      <c r="E142" s="12" t="n">
        <v>480</v>
      </c>
      <c r="F142" s="12" t="n">
        <v>45</v>
      </c>
      <c r="G142" s="12" t="n">
        <v>63.7</v>
      </c>
      <c r="H142" s="12" t="inlineStr">
        <is>
          <t>R1 MCC-GT3</t>
        </is>
      </c>
      <c r="I142" s="12" t="inlineStr">
        <is>
          <t>LV 600 V</t>
        </is>
      </c>
      <c r="J142" s="12" t="inlineStr">
        <is>
          <t>1/0</t>
        </is>
      </c>
      <c r="K142" s="12" t="n">
        <v>1</v>
      </c>
    </row>
    <row r="143">
      <c r="A143" s="12" t="inlineStr">
        <is>
          <t>GT3 aux: lube oil, hydraulics, enclosure fans</t>
        </is>
      </c>
      <c r="B143" s="12" t="inlineStr">
        <is>
          <t>GT3 aux</t>
        </is>
      </c>
      <c r="C143" s="12" t="inlineStr">
        <is>
          <t>A</t>
        </is>
      </c>
      <c r="D143" s="12" t="inlineStr">
        <is>
          <t>Motor 9 of 12, 45 kW</t>
        </is>
      </c>
      <c r="E143" s="12" t="n">
        <v>480</v>
      </c>
      <c r="F143" s="12" t="n">
        <v>45</v>
      </c>
      <c r="G143" s="12" t="n">
        <v>63.7</v>
      </c>
      <c r="H143" s="12" t="inlineStr">
        <is>
          <t>R1 MCC-GT3</t>
        </is>
      </c>
      <c r="I143" s="12" t="inlineStr">
        <is>
          <t>LV 600 V</t>
        </is>
      </c>
      <c r="J143" s="12" t="inlineStr">
        <is>
          <t>1/0</t>
        </is>
      </c>
      <c r="K143" s="12" t="n">
        <v>1</v>
      </c>
    </row>
    <row r="144">
      <c r="A144" s="12" t="inlineStr">
        <is>
          <t>GT3 aux: lube oil, hydraulics, enclosure fans</t>
        </is>
      </c>
      <c r="B144" s="12" t="inlineStr">
        <is>
          <t>GT3 aux</t>
        </is>
      </c>
      <c r="C144" s="12" t="inlineStr">
        <is>
          <t>A</t>
        </is>
      </c>
      <c r="D144" s="12" t="inlineStr">
        <is>
          <t>Motor 10 of 12, 45 kW</t>
        </is>
      </c>
      <c r="E144" s="12" t="n">
        <v>480</v>
      </c>
      <c r="F144" s="12" t="n">
        <v>45</v>
      </c>
      <c r="G144" s="12" t="n">
        <v>63.7</v>
      </c>
      <c r="H144" s="12" t="inlineStr">
        <is>
          <t>R1 MCC-GT3</t>
        </is>
      </c>
      <c r="I144" s="12" t="inlineStr">
        <is>
          <t>LV 600 V</t>
        </is>
      </c>
      <c r="J144" s="12" t="inlineStr">
        <is>
          <t>1/0</t>
        </is>
      </c>
      <c r="K144" s="12" t="n">
        <v>1</v>
      </c>
    </row>
    <row r="145">
      <c r="A145" s="12" t="inlineStr">
        <is>
          <t>GT3 aux: lube oil, hydraulics, enclosure fans</t>
        </is>
      </c>
      <c r="B145" s="12" t="inlineStr">
        <is>
          <t>GT3 aux</t>
        </is>
      </c>
      <c r="C145" s="12" t="inlineStr">
        <is>
          <t>A</t>
        </is>
      </c>
      <c r="D145" s="12" t="inlineStr">
        <is>
          <t>Motor 11 of 12, 45 kW</t>
        </is>
      </c>
      <c r="E145" s="12" t="n">
        <v>480</v>
      </c>
      <c r="F145" s="12" t="n">
        <v>45</v>
      </c>
      <c r="G145" s="12" t="n">
        <v>63.7</v>
      </c>
      <c r="H145" s="12" t="inlineStr">
        <is>
          <t>R1 MCC-GT3</t>
        </is>
      </c>
      <c r="I145" s="12" t="inlineStr">
        <is>
          <t>LV 600 V</t>
        </is>
      </c>
      <c r="J145" s="12" t="inlineStr">
        <is>
          <t>1/0</t>
        </is>
      </c>
      <c r="K145" s="12" t="n">
        <v>1</v>
      </c>
    </row>
    <row r="146">
      <c r="A146" s="12" t="inlineStr">
        <is>
          <t>GT3 aux: lube oil, hydraulics, enclosure fans</t>
        </is>
      </c>
      <c r="B146" s="12" t="inlineStr">
        <is>
          <t>GT3 aux</t>
        </is>
      </c>
      <c r="C146" s="12" t="inlineStr">
        <is>
          <t>A</t>
        </is>
      </c>
      <c r="D146" s="12" t="inlineStr">
        <is>
          <t>Motor 12 of 12, 45 kW</t>
        </is>
      </c>
      <c r="E146" s="12" t="n">
        <v>480</v>
      </c>
      <c r="F146" s="12" t="n">
        <v>45</v>
      </c>
      <c r="G146" s="12" t="n">
        <v>63.7</v>
      </c>
      <c r="H146" s="12" t="inlineStr">
        <is>
          <t>R1 MCC-GT3</t>
        </is>
      </c>
      <c r="I146" s="12" t="inlineStr">
        <is>
          <t>LV 600 V</t>
        </is>
      </c>
      <c r="J146" s="12" t="inlineStr">
        <is>
          <t>1/0</t>
        </is>
      </c>
      <c r="K146" s="12" t="n">
        <v>1</v>
      </c>
    </row>
    <row r="147">
      <c r="A147" s="12" t="inlineStr">
        <is>
          <t>GT3: H-class gas turbine (60 Hz)</t>
        </is>
      </c>
      <c r="B147" s="12" t="inlineStr">
        <is>
          <t>GT3</t>
        </is>
      </c>
      <c r="C147" s="12" t="inlineStr">
        <is>
          <t>A</t>
        </is>
      </c>
      <c r="D147" s="12" t="inlineStr">
        <is>
          <t>LV power feeder</t>
        </is>
      </c>
      <c r="E147" s="12" t="n">
        <v>480</v>
      </c>
      <c r="F147" s="12" t="n">
        <v>150</v>
      </c>
      <c r="G147" s="12" t="n">
        <v>212.3</v>
      </c>
      <c r="H147" s="12" t="inlineStr">
        <is>
          <t>R1 MCC-GT3</t>
        </is>
      </c>
      <c r="I147" s="12" t="inlineStr">
        <is>
          <t>LV 600 V</t>
        </is>
      </c>
      <c r="J147" s="12" t="inlineStr">
        <is>
          <t>350 kcmil</t>
        </is>
      </c>
      <c r="K147" s="12" t="n">
        <v>1</v>
      </c>
    </row>
    <row r="148">
      <c r="A148" s="12" t="inlineStr">
        <is>
          <t>GT3: H-class gas turbine (60 Hz)</t>
        </is>
      </c>
      <c r="B148" s="12" t="inlineStr">
        <is>
          <t>GT3</t>
        </is>
      </c>
      <c r="C148" s="12" t="inlineStr">
        <is>
          <t>A</t>
        </is>
      </c>
      <c r="D148" s="12" t="inlineStr">
        <is>
          <t>480 V welding receptacle 1</t>
        </is>
      </c>
      <c r="E148" s="12" t="n">
        <v>480</v>
      </c>
      <c r="F148" s="12" t="n">
        <v>60</v>
      </c>
      <c r="G148" s="12" t="n">
        <v>76</v>
      </c>
      <c r="H148" s="12" t="inlineStr">
        <is>
          <t>R1 MCC-GT3</t>
        </is>
      </c>
      <c r="I148" s="12" t="inlineStr">
        <is>
          <t>LV 600 V</t>
        </is>
      </c>
      <c r="J148" s="12" t="inlineStr">
        <is>
          <t>1/0</t>
        </is>
      </c>
      <c r="K148" s="12" t="n">
        <v>1</v>
      </c>
    </row>
    <row r="149">
      <c r="A149" s="12" t="inlineStr">
        <is>
          <t>GT3: H-class gas turbine (60 Hz)</t>
        </is>
      </c>
      <c r="B149" s="12" t="inlineStr">
        <is>
          <t>GT3</t>
        </is>
      </c>
      <c r="C149" s="12" t="inlineStr">
        <is>
          <t>A</t>
        </is>
      </c>
      <c r="D149" s="12" t="inlineStr">
        <is>
          <t>480 V welding receptacle 2</t>
        </is>
      </c>
      <c r="E149" s="12" t="n">
        <v>480</v>
      </c>
      <c r="F149" s="12" t="n">
        <v>60</v>
      </c>
      <c r="G149" s="12" t="n">
        <v>76</v>
      </c>
      <c r="H149" s="12" t="inlineStr">
        <is>
          <t>R1 MCC-GT3</t>
        </is>
      </c>
      <c r="I149" s="12" t="inlineStr">
        <is>
          <t>LV 600 V</t>
        </is>
      </c>
      <c r="J149" s="12" t="inlineStr">
        <is>
          <t>1/0</t>
        </is>
      </c>
      <c r="K149" s="12" t="n">
        <v>1</v>
      </c>
    </row>
    <row r="150">
      <c r="A150" s="12" t="inlineStr">
        <is>
          <t>GT3: H-class gas turbine (60 Hz)</t>
        </is>
      </c>
      <c r="B150" s="12" t="inlineStr">
        <is>
          <t>GT3</t>
        </is>
      </c>
      <c r="C150" s="12" t="inlineStr">
        <is>
          <t>A</t>
        </is>
      </c>
      <c r="D150" s="12" t="inlineStr">
        <is>
          <t>480 V welding receptacle 3</t>
        </is>
      </c>
      <c r="E150" s="12" t="n">
        <v>480</v>
      </c>
      <c r="F150" s="12" t="n">
        <v>60</v>
      </c>
      <c r="G150" s="12" t="n">
        <v>76</v>
      </c>
      <c r="H150" s="12" t="inlineStr">
        <is>
          <t>R1 MCC-GT3</t>
        </is>
      </c>
      <c r="I150" s="12" t="inlineStr">
        <is>
          <t>LV 600 V</t>
        </is>
      </c>
      <c r="J150" s="12" t="inlineStr">
        <is>
          <t>1/0</t>
        </is>
      </c>
      <c r="K150" s="12" t="n">
        <v>1</v>
      </c>
    </row>
    <row r="151">
      <c r="A151" s="12" t="inlineStr">
        <is>
          <t>GT3: H-class gas turbine (60 Hz)</t>
        </is>
      </c>
      <c r="B151" s="12" t="inlineStr">
        <is>
          <t>GT3</t>
        </is>
      </c>
      <c r="C151" s="12" t="inlineStr">
        <is>
          <t>A</t>
        </is>
      </c>
      <c r="D151" s="12" t="inlineStr">
        <is>
          <t>480 V welding receptacle 4</t>
        </is>
      </c>
      <c r="E151" s="12" t="n">
        <v>480</v>
      </c>
      <c r="F151" s="12" t="n">
        <v>60</v>
      </c>
      <c r="G151" s="12" t="n">
        <v>76</v>
      </c>
      <c r="H151" s="12" t="inlineStr">
        <is>
          <t>R1 MCC-GT3</t>
        </is>
      </c>
      <c r="I151" s="12" t="inlineStr">
        <is>
          <t>LV 600 V</t>
        </is>
      </c>
      <c r="J151" s="12" t="inlineStr">
        <is>
          <t>1/0</t>
        </is>
      </c>
      <c r="K151" s="12" t="n">
        <v>1</v>
      </c>
    </row>
    <row r="152">
      <c r="A152" s="12" t="inlineStr">
        <is>
          <t>GTG-1: GT generator</t>
        </is>
      </c>
      <c r="B152" s="12" t="inlineStr">
        <is>
          <t>GTG-1</t>
        </is>
      </c>
      <c r="C152" s="12" t="inlineStr">
        <is>
          <t>A</t>
        </is>
      </c>
      <c r="D152" s="12" t="inlineStr">
        <is>
          <t>Motor 1 of 4, 2 kW</t>
        </is>
      </c>
      <c r="E152" s="12" t="n">
        <v>480</v>
      </c>
      <c r="F152" s="12" t="n">
        <v>2</v>
      </c>
      <c r="G152" s="12" t="n">
        <v>2.8</v>
      </c>
      <c r="H152" s="12" t="inlineStr">
        <is>
          <t>R1 MCC-GT1</t>
        </is>
      </c>
      <c r="I152" s="12" t="inlineStr">
        <is>
          <t>LV 600 V</t>
        </is>
      </c>
      <c r="J152" s="12" t="inlineStr">
        <is>
          <t>10</t>
        </is>
      </c>
      <c r="K152" s="12" t="n">
        <v>1</v>
      </c>
    </row>
    <row r="153">
      <c r="A153" s="12" t="inlineStr">
        <is>
          <t>GTG-1: GT generator</t>
        </is>
      </c>
      <c r="B153" s="12" t="inlineStr">
        <is>
          <t>GTG-1</t>
        </is>
      </c>
      <c r="C153" s="12" t="inlineStr">
        <is>
          <t>A</t>
        </is>
      </c>
      <c r="D153" s="12" t="inlineStr">
        <is>
          <t>Motor 2 of 4, 2 kW</t>
        </is>
      </c>
      <c r="E153" s="12" t="n">
        <v>480</v>
      </c>
      <c r="F153" s="12" t="n">
        <v>2</v>
      </c>
      <c r="G153" s="12" t="n">
        <v>2.8</v>
      </c>
      <c r="H153" s="12" t="inlineStr">
        <is>
          <t>R1 MCC-GT1</t>
        </is>
      </c>
      <c r="I153" s="12" t="inlineStr">
        <is>
          <t>LV 600 V</t>
        </is>
      </c>
      <c r="J153" s="12" t="inlineStr">
        <is>
          <t>10</t>
        </is>
      </c>
      <c r="K153" s="12" t="n">
        <v>1</v>
      </c>
    </row>
    <row r="154">
      <c r="A154" s="12" t="inlineStr">
        <is>
          <t>GTG-1: GT generator</t>
        </is>
      </c>
      <c r="B154" s="12" t="inlineStr">
        <is>
          <t>GTG-1</t>
        </is>
      </c>
      <c r="C154" s="12" t="inlineStr">
        <is>
          <t>A</t>
        </is>
      </c>
      <c r="D154" s="12" t="inlineStr">
        <is>
          <t>Motor 3 of 4, 2 kW</t>
        </is>
      </c>
      <c r="E154" s="12" t="n">
        <v>480</v>
      </c>
      <c r="F154" s="12" t="n">
        <v>2</v>
      </c>
      <c r="G154" s="12" t="n">
        <v>2.8</v>
      </c>
      <c r="H154" s="12" t="inlineStr">
        <is>
          <t>R1 MCC-GT1</t>
        </is>
      </c>
      <c r="I154" s="12" t="inlineStr">
        <is>
          <t>LV 600 V</t>
        </is>
      </c>
      <c r="J154" s="12" t="inlineStr">
        <is>
          <t>10</t>
        </is>
      </c>
      <c r="K154" s="12" t="n">
        <v>1</v>
      </c>
    </row>
    <row r="155">
      <c r="A155" s="12" t="inlineStr">
        <is>
          <t>GTG-1: GT generator</t>
        </is>
      </c>
      <c r="B155" s="12" t="inlineStr">
        <is>
          <t>GTG-1</t>
        </is>
      </c>
      <c r="C155" s="12" t="inlineStr">
        <is>
          <t>A</t>
        </is>
      </c>
      <c r="D155" s="12" t="inlineStr">
        <is>
          <t>Motor 4 of 4, 2 kW</t>
        </is>
      </c>
      <c r="E155" s="12" t="n">
        <v>480</v>
      </c>
      <c r="F155" s="12" t="n">
        <v>2</v>
      </c>
      <c r="G155" s="12" t="n">
        <v>2.8</v>
      </c>
      <c r="H155" s="12" t="inlineStr">
        <is>
          <t>R1 MCC-GT1</t>
        </is>
      </c>
      <c r="I155" s="12" t="inlineStr">
        <is>
          <t>LV 600 V</t>
        </is>
      </c>
      <c r="J155" s="12" t="inlineStr">
        <is>
          <t>10</t>
        </is>
      </c>
      <c r="K155" s="12" t="n">
        <v>1</v>
      </c>
    </row>
    <row r="156">
      <c r="A156" s="12" t="inlineStr">
        <is>
          <t>GTG-2: GT generator</t>
        </is>
      </c>
      <c r="B156" s="12" t="inlineStr">
        <is>
          <t>GTG-2</t>
        </is>
      </c>
      <c r="C156" s="12" t="inlineStr">
        <is>
          <t>A</t>
        </is>
      </c>
      <c r="D156" s="12" t="inlineStr">
        <is>
          <t>Motor 1 of 4, 2 kW</t>
        </is>
      </c>
      <c r="E156" s="12" t="n">
        <v>480</v>
      </c>
      <c r="F156" s="12" t="n">
        <v>2</v>
      </c>
      <c r="G156" s="12" t="n">
        <v>2.8</v>
      </c>
      <c r="H156" s="12" t="inlineStr">
        <is>
          <t>R1 MCC-GT2</t>
        </is>
      </c>
      <c r="I156" s="12" t="inlineStr">
        <is>
          <t>LV 600 V</t>
        </is>
      </c>
      <c r="J156" s="12" t="inlineStr">
        <is>
          <t>10</t>
        </is>
      </c>
      <c r="K156" s="12" t="n">
        <v>1</v>
      </c>
    </row>
    <row r="157">
      <c r="A157" s="12" t="inlineStr">
        <is>
          <t>GTG-2: GT generator</t>
        </is>
      </c>
      <c r="B157" s="12" t="inlineStr">
        <is>
          <t>GTG-2</t>
        </is>
      </c>
      <c r="C157" s="12" t="inlineStr">
        <is>
          <t>A</t>
        </is>
      </c>
      <c r="D157" s="12" t="inlineStr">
        <is>
          <t>Motor 2 of 4, 2 kW</t>
        </is>
      </c>
      <c r="E157" s="12" t="n">
        <v>480</v>
      </c>
      <c r="F157" s="12" t="n">
        <v>2</v>
      </c>
      <c r="G157" s="12" t="n">
        <v>2.8</v>
      </c>
      <c r="H157" s="12" t="inlineStr">
        <is>
          <t>R1 MCC-GT2</t>
        </is>
      </c>
      <c r="I157" s="12" t="inlineStr">
        <is>
          <t>LV 600 V</t>
        </is>
      </c>
      <c r="J157" s="12" t="inlineStr">
        <is>
          <t>10</t>
        </is>
      </c>
      <c r="K157" s="12" t="n">
        <v>1</v>
      </c>
    </row>
    <row r="158">
      <c r="A158" s="12" t="inlineStr">
        <is>
          <t>GTG-2: GT generator</t>
        </is>
      </c>
      <c r="B158" s="12" t="inlineStr">
        <is>
          <t>GTG-2</t>
        </is>
      </c>
      <c r="C158" s="12" t="inlineStr">
        <is>
          <t>A</t>
        </is>
      </c>
      <c r="D158" s="12" t="inlineStr">
        <is>
          <t>Motor 3 of 4, 2 kW</t>
        </is>
      </c>
      <c r="E158" s="12" t="n">
        <v>480</v>
      </c>
      <c r="F158" s="12" t="n">
        <v>2</v>
      </c>
      <c r="G158" s="12" t="n">
        <v>2.8</v>
      </c>
      <c r="H158" s="12" t="inlineStr">
        <is>
          <t>R1 MCC-GT2</t>
        </is>
      </c>
      <c r="I158" s="12" t="inlineStr">
        <is>
          <t>LV 600 V</t>
        </is>
      </c>
      <c r="J158" s="12" t="inlineStr">
        <is>
          <t>10</t>
        </is>
      </c>
      <c r="K158" s="12" t="n">
        <v>1</v>
      </c>
    </row>
    <row r="159">
      <c r="A159" s="12" t="inlineStr">
        <is>
          <t>GTG-2: GT generator</t>
        </is>
      </c>
      <c r="B159" s="12" t="inlineStr">
        <is>
          <t>GTG-2</t>
        </is>
      </c>
      <c r="C159" s="12" t="inlineStr">
        <is>
          <t>A</t>
        </is>
      </c>
      <c r="D159" s="12" t="inlineStr">
        <is>
          <t>Motor 4 of 4, 2 kW</t>
        </is>
      </c>
      <c r="E159" s="12" t="n">
        <v>480</v>
      </c>
      <c r="F159" s="12" t="n">
        <v>2</v>
      </c>
      <c r="G159" s="12" t="n">
        <v>2.8</v>
      </c>
      <c r="H159" s="12" t="inlineStr">
        <is>
          <t>R1 MCC-GT2</t>
        </is>
      </c>
      <c r="I159" s="12" t="inlineStr">
        <is>
          <t>LV 600 V</t>
        </is>
      </c>
      <c r="J159" s="12" t="inlineStr">
        <is>
          <t>10</t>
        </is>
      </c>
      <c r="K159" s="12" t="n">
        <v>1</v>
      </c>
    </row>
    <row r="160">
      <c r="A160" s="12" t="inlineStr">
        <is>
          <t>GTG-3: GT generator</t>
        </is>
      </c>
      <c r="B160" s="12" t="inlineStr">
        <is>
          <t>GTG-3</t>
        </is>
      </c>
      <c r="C160" s="12" t="inlineStr">
        <is>
          <t>A</t>
        </is>
      </c>
      <c r="D160" s="12" t="inlineStr">
        <is>
          <t>Motor 1 of 4, 2 kW</t>
        </is>
      </c>
      <c r="E160" s="12" t="n">
        <v>480</v>
      </c>
      <c r="F160" s="12" t="n">
        <v>2</v>
      </c>
      <c r="G160" s="12" t="n">
        <v>2.8</v>
      </c>
      <c r="H160" s="12" t="inlineStr">
        <is>
          <t>R1 MCC-GT3</t>
        </is>
      </c>
      <c r="I160" s="12" t="inlineStr">
        <is>
          <t>LV 600 V</t>
        </is>
      </c>
      <c r="J160" s="12" t="inlineStr">
        <is>
          <t>10</t>
        </is>
      </c>
      <c r="K160" s="12" t="n">
        <v>1</v>
      </c>
    </row>
    <row r="161">
      <c r="A161" s="12" t="inlineStr">
        <is>
          <t>GTG-3: GT generator</t>
        </is>
      </c>
      <c r="B161" s="12" t="inlineStr">
        <is>
          <t>GTG-3</t>
        </is>
      </c>
      <c r="C161" s="12" t="inlineStr">
        <is>
          <t>A</t>
        </is>
      </c>
      <c r="D161" s="12" t="inlineStr">
        <is>
          <t>Motor 2 of 4, 2 kW</t>
        </is>
      </c>
      <c r="E161" s="12" t="n">
        <v>480</v>
      </c>
      <c r="F161" s="12" t="n">
        <v>2</v>
      </c>
      <c r="G161" s="12" t="n">
        <v>2.8</v>
      </c>
      <c r="H161" s="12" t="inlineStr">
        <is>
          <t>R1 MCC-GT3</t>
        </is>
      </c>
      <c r="I161" s="12" t="inlineStr">
        <is>
          <t>LV 600 V</t>
        </is>
      </c>
      <c r="J161" s="12" t="inlineStr">
        <is>
          <t>10</t>
        </is>
      </c>
      <c r="K161" s="12" t="n">
        <v>1</v>
      </c>
    </row>
    <row r="162">
      <c r="A162" s="12" t="inlineStr">
        <is>
          <t>GTG-3: GT generator</t>
        </is>
      </c>
      <c r="B162" s="12" t="inlineStr">
        <is>
          <t>GTG-3</t>
        </is>
      </c>
      <c r="C162" s="12" t="inlineStr">
        <is>
          <t>A</t>
        </is>
      </c>
      <c r="D162" s="12" t="inlineStr">
        <is>
          <t>Motor 3 of 4, 2 kW</t>
        </is>
      </c>
      <c r="E162" s="12" t="n">
        <v>480</v>
      </c>
      <c r="F162" s="12" t="n">
        <v>2</v>
      </c>
      <c r="G162" s="12" t="n">
        <v>2.8</v>
      </c>
      <c r="H162" s="12" t="inlineStr">
        <is>
          <t>R1 MCC-GT3</t>
        </is>
      </c>
      <c r="I162" s="12" t="inlineStr">
        <is>
          <t>LV 600 V</t>
        </is>
      </c>
      <c r="J162" s="12" t="inlineStr">
        <is>
          <t>10</t>
        </is>
      </c>
      <c r="K162" s="12" t="n">
        <v>1</v>
      </c>
    </row>
    <row r="163">
      <c r="A163" s="12" t="inlineStr">
        <is>
          <t>GTG-3: GT generator</t>
        </is>
      </c>
      <c r="B163" s="12" t="inlineStr">
        <is>
          <t>GTG-3</t>
        </is>
      </c>
      <c r="C163" s="12" t="inlineStr">
        <is>
          <t>A</t>
        </is>
      </c>
      <c r="D163" s="12" t="inlineStr">
        <is>
          <t>Motor 4 of 4, 2 kW</t>
        </is>
      </c>
      <c r="E163" s="12" t="n">
        <v>480</v>
      </c>
      <c r="F163" s="12" t="n">
        <v>2</v>
      </c>
      <c r="G163" s="12" t="n">
        <v>2.8</v>
      </c>
      <c r="H163" s="12" t="inlineStr">
        <is>
          <t>R1 MCC-GT3</t>
        </is>
      </c>
      <c r="I163" s="12" t="inlineStr">
        <is>
          <t>LV 600 V</t>
        </is>
      </c>
      <c r="J163" s="12" t="inlineStr">
        <is>
          <t>10</t>
        </is>
      </c>
      <c r="K163" s="12" t="n">
        <v>1</v>
      </c>
    </row>
    <row r="164">
      <c r="A164" s="12" t="inlineStr">
        <is>
          <t>HRSG 1 + SCR (3P reheat, horizontal)</t>
        </is>
      </c>
      <c r="B164" s="12" t="inlineStr">
        <is>
          <t>HRSG-1</t>
        </is>
      </c>
      <c r="C164" s="12" t="inlineStr">
        <is>
          <t>A</t>
        </is>
      </c>
      <c r="D164" s="12" t="inlineStr">
        <is>
          <t>Motor 1 of 4, 15 kW</t>
        </is>
      </c>
      <c r="E164" s="12" t="n">
        <v>480</v>
      </c>
      <c r="F164" s="12" t="n">
        <v>15</v>
      </c>
      <c r="G164" s="12" t="n">
        <v>21.2</v>
      </c>
      <c r="H164" s="12" t="inlineStr">
        <is>
          <t>R2A: unit / HRSG electrical e-house (32 x 40 ft)</t>
        </is>
      </c>
      <c r="I164" s="12" t="inlineStr">
        <is>
          <t>LV 600 V</t>
        </is>
      </c>
      <c r="J164" s="12" t="inlineStr">
        <is>
          <t>10</t>
        </is>
      </c>
      <c r="K164" s="12" t="n">
        <v>1</v>
      </c>
    </row>
    <row r="165">
      <c r="A165" s="12" t="inlineStr">
        <is>
          <t>HRSG 1 + SCR (3P reheat, horizontal)</t>
        </is>
      </c>
      <c r="B165" s="12" t="inlineStr">
        <is>
          <t>HRSG-1</t>
        </is>
      </c>
      <c r="C165" s="12" t="inlineStr">
        <is>
          <t>A</t>
        </is>
      </c>
      <c r="D165" s="12" t="inlineStr">
        <is>
          <t>Motor 2 of 4, 15 kW</t>
        </is>
      </c>
      <c r="E165" s="12" t="n">
        <v>480</v>
      </c>
      <c r="F165" s="12" t="n">
        <v>15</v>
      </c>
      <c r="G165" s="12" t="n">
        <v>21.2</v>
      </c>
      <c r="H165" s="12" t="inlineStr">
        <is>
          <t>R2A: unit / HRSG electrical e-house (32 x 40 ft)</t>
        </is>
      </c>
      <c r="I165" s="12" t="inlineStr">
        <is>
          <t>LV 600 V</t>
        </is>
      </c>
      <c r="J165" s="12" t="inlineStr">
        <is>
          <t>10</t>
        </is>
      </c>
      <c r="K165" s="12" t="n">
        <v>1</v>
      </c>
    </row>
    <row r="166">
      <c r="A166" s="12" t="inlineStr">
        <is>
          <t>HRSG 1 + SCR (3P reheat, horizontal)</t>
        </is>
      </c>
      <c r="B166" s="12" t="inlineStr">
        <is>
          <t>HRSG-1</t>
        </is>
      </c>
      <c r="C166" s="12" t="inlineStr">
        <is>
          <t>A</t>
        </is>
      </c>
      <c r="D166" s="12" t="inlineStr">
        <is>
          <t>Motor 3 of 4, 15 kW</t>
        </is>
      </c>
      <c r="E166" s="12" t="n">
        <v>480</v>
      </c>
      <c r="F166" s="12" t="n">
        <v>15</v>
      </c>
      <c r="G166" s="12" t="n">
        <v>21.2</v>
      </c>
      <c r="H166" s="12" t="inlineStr">
        <is>
          <t>R2A: unit / HRSG electrical e-house (32 x 40 ft)</t>
        </is>
      </c>
      <c r="I166" s="12" t="inlineStr">
        <is>
          <t>LV 600 V</t>
        </is>
      </c>
      <c r="J166" s="12" t="inlineStr">
        <is>
          <t>10</t>
        </is>
      </c>
      <c r="K166" s="12" t="n">
        <v>1</v>
      </c>
    </row>
    <row r="167">
      <c r="A167" s="12" t="inlineStr">
        <is>
          <t>HRSG 1 + SCR (3P reheat, horizontal)</t>
        </is>
      </c>
      <c r="B167" s="12" t="inlineStr">
        <is>
          <t>HRSG-1</t>
        </is>
      </c>
      <c r="C167" s="12" t="inlineStr">
        <is>
          <t>A</t>
        </is>
      </c>
      <c r="D167" s="12" t="inlineStr">
        <is>
          <t>Motor 4 of 4, 15 kW</t>
        </is>
      </c>
      <c r="E167" s="12" t="n">
        <v>480</v>
      </c>
      <c r="F167" s="12" t="n">
        <v>15</v>
      </c>
      <c r="G167" s="12" t="n">
        <v>21.2</v>
      </c>
      <c r="H167" s="12" t="inlineStr">
        <is>
          <t>R2A: unit / HRSG electrical e-house (32 x 40 ft)</t>
        </is>
      </c>
      <c r="I167" s="12" t="inlineStr">
        <is>
          <t>LV 600 V</t>
        </is>
      </c>
      <c r="J167" s="12" t="inlineStr">
        <is>
          <t>10</t>
        </is>
      </c>
      <c r="K167" s="12" t="n">
        <v>1</v>
      </c>
    </row>
    <row r="168">
      <c r="A168" s="12" t="inlineStr">
        <is>
          <t>HRSG 1 + SCR (3P reheat, horizontal)</t>
        </is>
      </c>
      <c r="B168" s="12" t="inlineStr">
        <is>
          <t>HRSG-1</t>
        </is>
      </c>
      <c r="C168" s="12" t="inlineStr">
        <is>
          <t>A</t>
        </is>
      </c>
      <c r="D168" s="12" t="inlineStr">
        <is>
          <t>MOV 1: power</t>
        </is>
      </c>
      <c r="E168" s="12" t="n">
        <v>480</v>
      </c>
      <c r="F168" s="12" t="n">
        <v>2.5</v>
      </c>
      <c r="G168" s="12" t="n">
        <v>3.5</v>
      </c>
      <c r="H168" s="12" t="inlineStr">
        <is>
          <t>R2A: unit / HRSG electrical e-house (32 x 40 ft)</t>
        </is>
      </c>
      <c r="I168" s="12" t="inlineStr">
        <is>
          <t>LV 600 V</t>
        </is>
      </c>
      <c r="J168" s="12" t="inlineStr">
        <is>
          <t>10</t>
        </is>
      </c>
      <c r="K168" s="12" t="n">
        <v>1</v>
      </c>
    </row>
    <row r="169">
      <c r="A169" s="12" t="inlineStr">
        <is>
          <t>HRSG 1 + SCR (3P reheat, horizontal)</t>
        </is>
      </c>
      <c r="B169" s="12" t="inlineStr">
        <is>
          <t>HRSG-1</t>
        </is>
      </c>
      <c r="C169" s="12" t="inlineStr">
        <is>
          <t>A</t>
        </is>
      </c>
      <c r="D169" s="12" t="inlineStr">
        <is>
          <t>MOV 2: power</t>
        </is>
      </c>
      <c r="E169" s="12" t="n">
        <v>480</v>
      </c>
      <c r="F169" s="12" t="n">
        <v>2.5</v>
      </c>
      <c r="G169" s="12" t="n">
        <v>3.5</v>
      </c>
      <c r="H169" s="12" t="inlineStr">
        <is>
          <t>R2A: unit / HRSG electrical e-house (32 x 40 ft)</t>
        </is>
      </c>
      <c r="I169" s="12" t="inlineStr">
        <is>
          <t>LV 600 V</t>
        </is>
      </c>
      <c r="J169" s="12" t="inlineStr">
        <is>
          <t>10</t>
        </is>
      </c>
      <c r="K169" s="12" t="n">
        <v>1</v>
      </c>
    </row>
    <row r="170">
      <c r="A170" s="12" t="inlineStr">
        <is>
          <t>HRSG 1 + SCR (3P reheat, horizontal)</t>
        </is>
      </c>
      <c r="B170" s="12" t="inlineStr">
        <is>
          <t>HRSG-1</t>
        </is>
      </c>
      <c r="C170" s="12" t="inlineStr">
        <is>
          <t>A</t>
        </is>
      </c>
      <c r="D170" s="12" t="inlineStr">
        <is>
          <t>MOV 3: power</t>
        </is>
      </c>
      <c r="E170" s="12" t="n">
        <v>480</v>
      </c>
      <c r="F170" s="12" t="n">
        <v>2.5</v>
      </c>
      <c r="G170" s="12" t="n">
        <v>3.5</v>
      </c>
      <c r="H170" s="12" t="inlineStr">
        <is>
          <t>R2A: unit / HRSG electrical e-house (32 x 40 ft)</t>
        </is>
      </c>
      <c r="I170" s="12" t="inlineStr">
        <is>
          <t>LV 600 V</t>
        </is>
      </c>
      <c r="J170" s="12" t="inlineStr">
        <is>
          <t>10</t>
        </is>
      </c>
      <c r="K170" s="12" t="n">
        <v>1</v>
      </c>
    </row>
    <row r="171">
      <c r="A171" s="12" t="inlineStr">
        <is>
          <t>HRSG 1 + SCR (3P reheat, horizontal)</t>
        </is>
      </c>
      <c r="B171" s="12" t="inlineStr">
        <is>
          <t>HRSG-1</t>
        </is>
      </c>
      <c r="C171" s="12" t="inlineStr">
        <is>
          <t>A</t>
        </is>
      </c>
      <c r="D171" s="12" t="inlineStr">
        <is>
          <t>MOV 4: power</t>
        </is>
      </c>
      <c r="E171" s="12" t="n">
        <v>480</v>
      </c>
      <c r="F171" s="12" t="n">
        <v>2.5</v>
      </c>
      <c r="G171" s="12" t="n">
        <v>3.5</v>
      </c>
      <c r="H171" s="12" t="inlineStr">
        <is>
          <t>R2A: unit / HRSG electrical e-house (32 x 40 ft)</t>
        </is>
      </c>
      <c r="I171" s="12" t="inlineStr">
        <is>
          <t>LV 600 V</t>
        </is>
      </c>
      <c r="J171" s="12" t="inlineStr">
        <is>
          <t>10</t>
        </is>
      </c>
      <c r="K171" s="12" t="n">
        <v>1</v>
      </c>
    </row>
    <row r="172">
      <c r="A172" s="12" t="inlineStr">
        <is>
          <t>HRSG 1 + SCR (3P reheat, horizontal)</t>
        </is>
      </c>
      <c r="B172" s="12" t="inlineStr">
        <is>
          <t>HRSG-1</t>
        </is>
      </c>
      <c r="C172" s="12" t="inlineStr">
        <is>
          <t>A</t>
        </is>
      </c>
      <c r="D172" s="12" t="inlineStr">
        <is>
          <t>MOV 5: power</t>
        </is>
      </c>
      <c r="E172" s="12" t="n">
        <v>480</v>
      </c>
      <c r="F172" s="12" t="n">
        <v>2.5</v>
      </c>
      <c r="G172" s="12" t="n">
        <v>3.5</v>
      </c>
      <c r="H172" s="12" t="inlineStr">
        <is>
          <t>R2A: unit / HRSG electrical e-house (32 x 40 ft)</t>
        </is>
      </c>
      <c r="I172" s="12" t="inlineStr">
        <is>
          <t>LV 600 V</t>
        </is>
      </c>
      <c r="J172" s="12" t="inlineStr">
        <is>
          <t>10</t>
        </is>
      </c>
      <c r="K172" s="12" t="n">
        <v>1</v>
      </c>
    </row>
    <row r="173">
      <c r="A173" s="12" t="inlineStr">
        <is>
          <t>HRSG 1 + SCR (3P reheat, horizontal)</t>
        </is>
      </c>
      <c r="B173" s="12" t="inlineStr">
        <is>
          <t>HRSG-1</t>
        </is>
      </c>
      <c r="C173" s="12" t="inlineStr">
        <is>
          <t>A</t>
        </is>
      </c>
      <c r="D173" s="12" t="inlineStr">
        <is>
          <t>MOV 6: power</t>
        </is>
      </c>
      <c r="E173" s="12" t="n">
        <v>480</v>
      </c>
      <c r="F173" s="12" t="n">
        <v>2.5</v>
      </c>
      <c r="G173" s="12" t="n">
        <v>3.5</v>
      </c>
      <c r="H173" s="12" t="inlineStr">
        <is>
          <t>R2A: unit / HRSG electrical e-house (32 x 40 ft)</t>
        </is>
      </c>
      <c r="I173" s="12" t="inlineStr">
        <is>
          <t>LV 600 V</t>
        </is>
      </c>
      <c r="J173" s="12" t="inlineStr">
        <is>
          <t>10</t>
        </is>
      </c>
      <c r="K173" s="12" t="n">
        <v>1</v>
      </c>
    </row>
    <row r="174">
      <c r="A174" s="12" t="inlineStr">
        <is>
          <t>HRSG 1 + SCR (3P reheat, horizontal)</t>
        </is>
      </c>
      <c r="B174" s="12" t="inlineStr">
        <is>
          <t>HRSG-1</t>
        </is>
      </c>
      <c r="C174" s="12" t="inlineStr">
        <is>
          <t>A</t>
        </is>
      </c>
      <c r="D174" s="12" t="inlineStr">
        <is>
          <t>MOV 7: power</t>
        </is>
      </c>
      <c r="E174" s="12" t="n">
        <v>480</v>
      </c>
      <c r="F174" s="12" t="n">
        <v>2.5</v>
      </c>
      <c r="G174" s="12" t="n">
        <v>3.5</v>
      </c>
      <c r="H174" s="12" t="inlineStr">
        <is>
          <t>R2A: unit / HRSG electrical e-house (32 x 40 ft)</t>
        </is>
      </c>
      <c r="I174" s="12" t="inlineStr">
        <is>
          <t>LV 600 V</t>
        </is>
      </c>
      <c r="J174" s="12" t="inlineStr">
        <is>
          <t>10</t>
        </is>
      </c>
      <c r="K174" s="12" t="n">
        <v>1</v>
      </c>
    </row>
    <row r="175">
      <c r="A175" s="12" t="inlineStr">
        <is>
          <t>HRSG 1 + SCR (3P reheat, horizontal)</t>
        </is>
      </c>
      <c r="B175" s="12" t="inlineStr">
        <is>
          <t>HRSG-1</t>
        </is>
      </c>
      <c r="C175" s="12" t="inlineStr">
        <is>
          <t>A</t>
        </is>
      </c>
      <c r="D175" s="12" t="inlineStr">
        <is>
          <t>MOV 8: power</t>
        </is>
      </c>
      <c r="E175" s="12" t="n">
        <v>480</v>
      </c>
      <c r="F175" s="12" t="n">
        <v>2.5</v>
      </c>
      <c r="G175" s="12" t="n">
        <v>3.5</v>
      </c>
      <c r="H175" s="12" t="inlineStr">
        <is>
          <t>R2A: unit / HRSG electrical e-house (32 x 40 ft)</t>
        </is>
      </c>
      <c r="I175" s="12" t="inlineStr">
        <is>
          <t>LV 600 V</t>
        </is>
      </c>
      <c r="J175" s="12" t="inlineStr">
        <is>
          <t>10</t>
        </is>
      </c>
      <c r="K175" s="12" t="n">
        <v>1</v>
      </c>
    </row>
    <row r="176">
      <c r="A176" s="12" t="inlineStr">
        <is>
          <t>HRSG 1 + SCR (3P reheat, horizontal)</t>
        </is>
      </c>
      <c r="B176" s="12" t="inlineStr">
        <is>
          <t>HRSG-1</t>
        </is>
      </c>
      <c r="C176" s="12" t="inlineStr">
        <is>
          <t>A</t>
        </is>
      </c>
      <c r="D176" s="12" t="inlineStr">
        <is>
          <t>MOV 9: power</t>
        </is>
      </c>
      <c r="E176" s="12" t="n">
        <v>480</v>
      </c>
      <c r="F176" s="12" t="n">
        <v>2.5</v>
      </c>
      <c r="G176" s="12" t="n">
        <v>3.5</v>
      </c>
      <c r="H176" s="12" t="inlineStr">
        <is>
          <t>R2A: unit / HRSG electrical e-house (32 x 40 ft)</t>
        </is>
      </c>
      <c r="I176" s="12" t="inlineStr">
        <is>
          <t>LV 600 V</t>
        </is>
      </c>
      <c r="J176" s="12" t="inlineStr">
        <is>
          <t>10</t>
        </is>
      </c>
      <c r="K176" s="12" t="n">
        <v>1</v>
      </c>
    </row>
    <row r="177">
      <c r="A177" s="12" t="inlineStr">
        <is>
          <t>HRSG 1 + SCR (3P reheat, horizontal)</t>
        </is>
      </c>
      <c r="B177" s="12" t="inlineStr">
        <is>
          <t>HRSG-1</t>
        </is>
      </c>
      <c r="C177" s="12" t="inlineStr">
        <is>
          <t>A</t>
        </is>
      </c>
      <c r="D177" s="12" t="inlineStr">
        <is>
          <t>MOV 10: power</t>
        </is>
      </c>
      <c r="E177" s="12" t="n">
        <v>480</v>
      </c>
      <c r="F177" s="12" t="n">
        <v>2.5</v>
      </c>
      <c r="G177" s="12" t="n">
        <v>3.5</v>
      </c>
      <c r="H177" s="12" t="inlineStr">
        <is>
          <t>R2A: unit / HRSG electrical e-house (32 x 40 ft)</t>
        </is>
      </c>
      <c r="I177" s="12" t="inlineStr">
        <is>
          <t>LV 600 V</t>
        </is>
      </c>
      <c r="J177" s="12" t="inlineStr">
        <is>
          <t>10</t>
        </is>
      </c>
      <c r="K177" s="12" t="n">
        <v>1</v>
      </c>
    </row>
    <row r="178">
      <c r="A178" s="12" t="inlineStr">
        <is>
          <t>HRSG 1 + SCR (3P reheat, horizontal)</t>
        </is>
      </c>
      <c r="B178" s="12" t="inlineStr">
        <is>
          <t>HRSG-1</t>
        </is>
      </c>
      <c r="C178" s="12" t="inlineStr">
        <is>
          <t>A</t>
        </is>
      </c>
      <c r="D178" s="12" t="inlineStr">
        <is>
          <t>MOV 11: power</t>
        </is>
      </c>
      <c r="E178" s="12" t="n">
        <v>480</v>
      </c>
      <c r="F178" s="12" t="n">
        <v>2.5</v>
      </c>
      <c r="G178" s="12" t="n">
        <v>3.5</v>
      </c>
      <c r="H178" s="12" t="inlineStr">
        <is>
          <t>R2A: unit / HRSG electrical e-house (32 x 40 ft)</t>
        </is>
      </c>
      <c r="I178" s="12" t="inlineStr">
        <is>
          <t>LV 600 V</t>
        </is>
      </c>
      <c r="J178" s="12" t="inlineStr">
        <is>
          <t>10</t>
        </is>
      </c>
      <c r="K178" s="12" t="n">
        <v>1</v>
      </c>
    </row>
    <row r="179">
      <c r="A179" s="12" t="inlineStr">
        <is>
          <t>HRSG 1 + SCR (3P reheat, horizontal)</t>
        </is>
      </c>
      <c r="B179" s="12" t="inlineStr">
        <is>
          <t>HRSG-1</t>
        </is>
      </c>
      <c r="C179" s="12" t="inlineStr">
        <is>
          <t>A</t>
        </is>
      </c>
      <c r="D179" s="12" t="inlineStr">
        <is>
          <t>MOV 12: power</t>
        </is>
      </c>
      <c r="E179" s="12" t="n">
        <v>480</v>
      </c>
      <c r="F179" s="12" t="n">
        <v>2.5</v>
      </c>
      <c r="G179" s="12" t="n">
        <v>3.5</v>
      </c>
      <c r="H179" s="12" t="inlineStr">
        <is>
          <t>R2A: unit / HRSG electrical e-house (32 x 40 ft)</t>
        </is>
      </c>
      <c r="I179" s="12" t="inlineStr">
        <is>
          <t>LV 600 V</t>
        </is>
      </c>
      <c r="J179" s="12" t="inlineStr">
        <is>
          <t>10</t>
        </is>
      </c>
      <c r="K179" s="12" t="n">
        <v>1</v>
      </c>
    </row>
    <row r="180">
      <c r="A180" s="12" t="inlineStr">
        <is>
          <t>HRSG 1 + SCR (3P reheat, horizontal)</t>
        </is>
      </c>
      <c r="B180" s="12" t="inlineStr">
        <is>
          <t>HRSG-1</t>
        </is>
      </c>
      <c r="C180" s="12" t="inlineStr">
        <is>
          <t>A</t>
        </is>
      </c>
      <c r="D180" s="12" t="inlineStr">
        <is>
          <t>MOV 13: power</t>
        </is>
      </c>
      <c r="E180" s="12" t="n">
        <v>480</v>
      </c>
      <c r="F180" s="12" t="n">
        <v>2.5</v>
      </c>
      <c r="G180" s="12" t="n">
        <v>3.5</v>
      </c>
      <c r="H180" s="12" t="inlineStr">
        <is>
          <t>R2A: unit / HRSG electrical e-house (32 x 40 ft)</t>
        </is>
      </c>
      <c r="I180" s="12" t="inlineStr">
        <is>
          <t>LV 600 V</t>
        </is>
      </c>
      <c r="J180" s="12" t="inlineStr">
        <is>
          <t>10</t>
        </is>
      </c>
      <c r="K180" s="12" t="n">
        <v>1</v>
      </c>
    </row>
    <row r="181">
      <c r="A181" s="12" t="inlineStr">
        <is>
          <t>HRSG 1 + SCR (3P reheat, horizontal)</t>
        </is>
      </c>
      <c r="B181" s="12" t="inlineStr">
        <is>
          <t>HRSG-1</t>
        </is>
      </c>
      <c r="C181" s="12" t="inlineStr">
        <is>
          <t>A</t>
        </is>
      </c>
      <c r="D181" s="12" t="inlineStr">
        <is>
          <t>MOV 14: power</t>
        </is>
      </c>
      <c r="E181" s="12" t="n">
        <v>480</v>
      </c>
      <c r="F181" s="12" t="n">
        <v>2.5</v>
      </c>
      <c r="G181" s="12" t="n">
        <v>3.5</v>
      </c>
      <c r="H181" s="12" t="inlineStr">
        <is>
          <t>R2A: unit / HRSG electrical e-house (32 x 40 ft)</t>
        </is>
      </c>
      <c r="I181" s="12" t="inlineStr">
        <is>
          <t>LV 600 V</t>
        </is>
      </c>
      <c r="J181" s="12" t="inlineStr">
        <is>
          <t>10</t>
        </is>
      </c>
      <c r="K181" s="12" t="n">
        <v>1</v>
      </c>
    </row>
    <row r="182">
      <c r="A182" s="12" t="inlineStr">
        <is>
          <t>HRSG 1 + SCR (3P reheat, horizontal)</t>
        </is>
      </c>
      <c r="B182" s="12" t="inlineStr">
        <is>
          <t>HRSG-1</t>
        </is>
      </c>
      <c r="C182" s="12" t="inlineStr">
        <is>
          <t>A</t>
        </is>
      </c>
      <c r="D182" s="12" t="inlineStr">
        <is>
          <t>MOV 15: power</t>
        </is>
      </c>
      <c r="E182" s="12" t="n">
        <v>480</v>
      </c>
      <c r="F182" s="12" t="n">
        <v>2.5</v>
      </c>
      <c r="G182" s="12" t="n">
        <v>3.5</v>
      </c>
      <c r="H182" s="12" t="inlineStr">
        <is>
          <t>R2A: unit / HRSG electrical e-house (32 x 40 ft)</t>
        </is>
      </c>
      <c r="I182" s="12" t="inlineStr">
        <is>
          <t>LV 600 V</t>
        </is>
      </c>
      <c r="J182" s="12" t="inlineStr">
        <is>
          <t>10</t>
        </is>
      </c>
      <c r="K182" s="12" t="n">
        <v>1</v>
      </c>
    </row>
    <row r="183">
      <c r="A183" s="12" t="inlineStr">
        <is>
          <t>HRSG 1 + SCR (3P reheat, horizontal)</t>
        </is>
      </c>
      <c r="B183" s="12" t="inlineStr">
        <is>
          <t>HRSG-1</t>
        </is>
      </c>
      <c r="C183" s="12" t="inlineStr">
        <is>
          <t>A</t>
        </is>
      </c>
      <c r="D183" s="12" t="inlineStr">
        <is>
          <t>MOV 16: power</t>
        </is>
      </c>
      <c r="E183" s="12" t="n">
        <v>480</v>
      </c>
      <c r="F183" s="12" t="n">
        <v>2.5</v>
      </c>
      <c r="G183" s="12" t="n">
        <v>3.5</v>
      </c>
      <c r="H183" s="12" t="inlineStr">
        <is>
          <t>R2A: unit / HRSG electrical e-house (32 x 40 ft)</t>
        </is>
      </c>
      <c r="I183" s="12" t="inlineStr">
        <is>
          <t>LV 600 V</t>
        </is>
      </c>
      <c r="J183" s="12" t="inlineStr">
        <is>
          <t>10</t>
        </is>
      </c>
      <c r="K183" s="12" t="n">
        <v>1</v>
      </c>
    </row>
    <row r="184">
      <c r="A184" s="12" t="inlineStr">
        <is>
          <t>HRSG 1 + SCR (3P reheat, horizontal)</t>
        </is>
      </c>
      <c r="B184" s="12" t="inlineStr">
        <is>
          <t>HRSG-1</t>
        </is>
      </c>
      <c r="C184" s="12" t="inlineStr">
        <is>
          <t>A</t>
        </is>
      </c>
      <c r="D184" s="12" t="inlineStr">
        <is>
          <t>MOV 17: power</t>
        </is>
      </c>
      <c r="E184" s="12" t="n">
        <v>480</v>
      </c>
      <c r="F184" s="12" t="n">
        <v>2.5</v>
      </c>
      <c r="G184" s="12" t="n">
        <v>3.5</v>
      </c>
      <c r="H184" s="12" t="inlineStr">
        <is>
          <t>R2A: unit / HRSG electrical e-house (32 x 40 ft)</t>
        </is>
      </c>
      <c r="I184" s="12" t="inlineStr">
        <is>
          <t>LV 600 V</t>
        </is>
      </c>
      <c r="J184" s="12" t="inlineStr">
        <is>
          <t>10</t>
        </is>
      </c>
      <c r="K184" s="12" t="n">
        <v>1</v>
      </c>
    </row>
    <row r="185">
      <c r="A185" s="12" t="inlineStr">
        <is>
          <t>HRSG 1 + SCR (3P reheat, horizontal)</t>
        </is>
      </c>
      <c r="B185" s="12" t="inlineStr">
        <is>
          <t>HRSG-1</t>
        </is>
      </c>
      <c r="C185" s="12" t="inlineStr">
        <is>
          <t>A</t>
        </is>
      </c>
      <c r="D185" s="12" t="inlineStr">
        <is>
          <t>MOV 18: power</t>
        </is>
      </c>
      <c r="E185" s="12" t="n">
        <v>480</v>
      </c>
      <c r="F185" s="12" t="n">
        <v>2.5</v>
      </c>
      <c r="G185" s="12" t="n">
        <v>3.5</v>
      </c>
      <c r="H185" s="12" t="inlineStr">
        <is>
          <t>R2A: unit / HRSG electrical e-house (32 x 40 ft)</t>
        </is>
      </c>
      <c r="I185" s="12" t="inlineStr">
        <is>
          <t>LV 600 V</t>
        </is>
      </c>
      <c r="J185" s="12" t="inlineStr">
        <is>
          <t>10</t>
        </is>
      </c>
      <c r="K185" s="12" t="n">
        <v>1</v>
      </c>
    </row>
    <row r="186">
      <c r="A186" s="12" t="inlineStr">
        <is>
          <t>HRSG 1 + SCR (3P reheat, horizontal)</t>
        </is>
      </c>
      <c r="B186" s="12" t="inlineStr">
        <is>
          <t>HRSG-1</t>
        </is>
      </c>
      <c r="C186" s="12" t="inlineStr">
        <is>
          <t>A</t>
        </is>
      </c>
      <c r="D186" s="12" t="inlineStr">
        <is>
          <t>MOV 19: power</t>
        </is>
      </c>
      <c r="E186" s="12" t="n">
        <v>480</v>
      </c>
      <c r="F186" s="12" t="n">
        <v>2.5</v>
      </c>
      <c r="G186" s="12" t="n">
        <v>3.5</v>
      </c>
      <c r="H186" s="12" t="inlineStr">
        <is>
          <t>R2A: unit / HRSG electrical e-house (32 x 40 ft)</t>
        </is>
      </c>
      <c r="I186" s="12" t="inlineStr">
        <is>
          <t>LV 600 V</t>
        </is>
      </c>
      <c r="J186" s="12" t="inlineStr">
        <is>
          <t>10</t>
        </is>
      </c>
      <c r="K186" s="12" t="n">
        <v>1</v>
      </c>
    </row>
    <row r="187">
      <c r="A187" s="12" t="inlineStr">
        <is>
          <t>HRSG 1 + SCR (3P reheat, horizontal)</t>
        </is>
      </c>
      <c r="B187" s="12" t="inlineStr">
        <is>
          <t>HRSG-1</t>
        </is>
      </c>
      <c r="C187" s="12" t="inlineStr">
        <is>
          <t>A</t>
        </is>
      </c>
      <c r="D187" s="12" t="inlineStr">
        <is>
          <t>MOV 20: power</t>
        </is>
      </c>
      <c r="E187" s="12" t="n">
        <v>480</v>
      </c>
      <c r="F187" s="12" t="n">
        <v>2.5</v>
      </c>
      <c r="G187" s="12" t="n">
        <v>3.5</v>
      </c>
      <c r="H187" s="12" t="inlineStr">
        <is>
          <t>R2A: unit / HRSG electrical e-house (32 x 40 ft)</t>
        </is>
      </c>
      <c r="I187" s="12" t="inlineStr">
        <is>
          <t>LV 600 V</t>
        </is>
      </c>
      <c r="J187" s="12" t="inlineStr">
        <is>
          <t>10</t>
        </is>
      </c>
      <c r="K187" s="12" t="n">
        <v>1</v>
      </c>
    </row>
    <row r="188">
      <c r="A188" s="12" t="inlineStr">
        <is>
          <t>HRSG 1 + SCR (3P reheat, horizontal)</t>
        </is>
      </c>
      <c r="B188" s="12" t="inlineStr">
        <is>
          <t>HRSG-1</t>
        </is>
      </c>
      <c r="C188" s="12" t="inlineStr">
        <is>
          <t>A</t>
        </is>
      </c>
      <c r="D188" s="12" t="inlineStr">
        <is>
          <t>MOV 21: power</t>
        </is>
      </c>
      <c r="E188" s="12" t="n">
        <v>480</v>
      </c>
      <c r="F188" s="12" t="n">
        <v>2.5</v>
      </c>
      <c r="G188" s="12" t="n">
        <v>3.5</v>
      </c>
      <c r="H188" s="12" t="inlineStr">
        <is>
          <t>R2A: unit / HRSG electrical e-house (32 x 40 ft)</t>
        </is>
      </c>
      <c r="I188" s="12" t="inlineStr">
        <is>
          <t>LV 600 V</t>
        </is>
      </c>
      <c r="J188" s="12" t="inlineStr">
        <is>
          <t>10</t>
        </is>
      </c>
      <c r="K188" s="12" t="n">
        <v>1</v>
      </c>
    </row>
    <row r="189">
      <c r="A189" s="12" t="inlineStr">
        <is>
          <t>HRSG 1 + SCR (3P reheat, horizontal)</t>
        </is>
      </c>
      <c r="B189" s="12" t="inlineStr">
        <is>
          <t>HRSG-1</t>
        </is>
      </c>
      <c r="C189" s="12" t="inlineStr">
        <is>
          <t>A</t>
        </is>
      </c>
      <c r="D189" s="12" t="inlineStr">
        <is>
          <t>MOV 22: power</t>
        </is>
      </c>
      <c r="E189" s="12" t="n">
        <v>480</v>
      </c>
      <c r="F189" s="12" t="n">
        <v>2.5</v>
      </c>
      <c r="G189" s="12" t="n">
        <v>3.5</v>
      </c>
      <c r="H189" s="12" t="inlineStr">
        <is>
          <t>R2A: unit / HRSG electrical e-house (32 x 40 ft)</t>
        </is>
      </c>
      <c r="I189" s="12" t="inlineStr">
        <is>
          <t>LV 600 V</t>
        </is>
      </c>
      <c r="J189" s="12" t="inlineStr">
        <is>
          <t>10</t>
        </is>
      </c>
      <c r="K189" s="12" t="n">
        <v>1</v>
      </c>
    </row>
    <row r="190">
      <c r="A190" s="12" t="inlineStr">
        <is>
          <t>HRSG 1 + SCR (3P reheat, horizontal)</t>
        </is>
      </c>
      <c r="B190" s="12" t="inlineStr">
        <is>
          <t>HRSG-1</t>
        </is>
      </c>
      <c r="C190" s="12" t="inlineStr">
        <is>
          <t>A</t>
        </is>
      </c>
      <c r="D190" s="12" t="inlineStr">
        <is>
          <t>MOV 23: power</t>
        </is>
      </c>
      <c r="E190" s="12" t="n">
        <v>480</v>
      </c>
      <c r="F190" s="12" t="n">
        <v>2.5</v>
      </c>
      <c r="G190" s="12" t="n">
        <v>3.5</v>
      </c>
      <c r="H190" s="12" t="inlineStr">
        <is>
          <t>R2A: unit / HRSG electrical e-house (32 x 40 ft)</t>
        </is>
      </c>
      <c r="I190" s="12" t="inlineStr">
        <is>
          <t>LV 600 V</t>
        </is>
      </c>
      <c r="J190" s="12" t="inlineStr">
        <is>
          <t>10</t>
        </is>
      </c>
      <c r="K190" s="12" t="n">
        <v>1</v>
      </c>
    </row>
    <row r="191">
      <c r="A191" s="12" t="inlineStr">
        <is>
          <t>HRSG 1 + SCR (3P reheat, horizontal)</t>
        </is>
      </c>
      <c r="B191" s="12" t="inlineStr">
        <is>
          <t>HRSG-1</t>
        </is>
      </c>
      <c r="C191" s="12" t="inlineStr">
        <is>
          <t>A</t>
        </is>
      </c>
      <c r="D191" s="12" t="inlineStr">
        <is>
          <t>MOV 24: power</t>
        </is>
      </c>
      <c r="E191" s="12" t="n">
        <v>480</v>
      </c>
      <c r="F191" s="12" t="n">
        <v>2.5</v>
      </c>
      <c r="G191" s="12" t="n">
        <v>3.5</v>
      </c>
      <c r="H191" s="12" t="inlineStr">
        <is>
          <t>R2A: unit / HRSG electrical e-house (32 x 40 ft)</t>
        </is>
      </c>
      <c r="I191" s="12" t="inlineStr">
        <is>
          <t>LV 600 V</t>
        </is>
      </c>
      <c r="J191" s="12" t="inlineStr">
        <is>
          <t>10</t>
        </is>
      </c>
      <c r="K191" s="12" t="n">
        <v>1</v>
      </c>
    </row>
    <row r="192">
      <c r="A192" s="12" t="inlineStr">
        <is>
          <t>HRSG 1 + SCR (3P reheat, horizontal)</t>
        </is>
      </c>
      <c r="B192" s="12" t="inlineStr">
        <is>
          <t>HRSG-1</t>
        </is>
      </c>
      <c r="C192" s="12" t="inlineStr">
        <is>
          <t>A</t>
        </is>
      </c>
      <c r="D192" s="12" t="inlineStr">
        <is>
          <t>MOV 25: power</t>
        </is>
      </c>
      <c r="E192" s="12" t="n">
        <v>480</v>
      </c>
      <c r="F192" s="12" t="n">
        <v>2.5</v>
      </c>
      <c r="G192" s="12" t="n">
        <v>3.5</v>
      </c>
      <c r="H192" s="12" t="inlineStr">
        <is>
          <t>R2A: unit / HRSG electrical e-house (32 x 40 ft)</t>
        </is>
      </c>
      <c r="I192" s="12" t="inlineStr">
        <is>
          <t>LV 600 V</t>
        </is>
      </c>
      <c r="J192" s="12" t="inlineStr">
        <is>
          <t>10</t>
        </is>
      </c>
      <c r="K192" s="12" t="n">
        <v>1</v>
      </c>
    </row>
    <row r="193">
      <c r="A193" s="12" t="inlineStr">
        <is>
          <t>HRSG 1 + SCR (3P reheat, horizontal)</t>
        </is>
      </c>
      <c r="B193" s="12" t="inlineStr">
        <is>
          <t>HRSG-1</t>
        </is>
      </c>
      <c r="C193" s="12" t="inlineStr">
        <is>
          <t>A</t>
        </is>
      </c>
      <c r="D193" s="12" t="inlineStr">
        <is>
          <t>MOV 26: power</t>
        </is>
      </c>
      <c r="E193" s="12" t="n">
        <v>480</v>
      </c>
      <c r="F193" s="12" t="n">
        <v>2.5</v>
      </c>
      <c r="G193" s="12" t="n">
        <v>3.5</v>
      </c>
      <c r="H193" s="12" t="inlineStr">
        <is>
          <t>R2A: unit / HRSG electrical e-house (32 x 40 ft)</t>
        </is>
      </c>
      <c r="I193" s="12" t="inlineStr">
        <is>
          <t>LV 600 V</t>
        </is>
      </c>
      <c r="J193" s="12" t="inlineStr">
        <is>
          <t>10</t>
        </is>
      </c>
      <c r="K193" s="12" t="n">
        <v>1</v>
      </c>
    </row>
    <row r="194">
      <c r="A194" s="12" t="inlineStr">
        <is>
          <t>HRSG 1 + SCR (3P reheat, horizontal)</t>
        </is>
      </c>
      <c r="B194" s="12" t="inlineStr">
        <is>
          <t>HRSG-1</t>
        </is>
      </c>
      <c r="C194" s="12" t="inlineStr">
        <is>
          <t>A</t>
        </is>
      </c>
      <c r="D194" s="12" t="inlineStr">
        <is>
          <t>MOV 27: power</t>
        </is>
      </c>
      <c r="E194" s="12" t="n">
        <v>480</v>
      </c>
      <c r="F194" s="12" t="n">
        <v>2.5</v>
      </c>
      <c r="G194" s="12" t="n">
        <v>3.5</v>
      </c>
      <c r="H194" s="12" t="inlineStr">
        <is>
          <t>R2A: unit / HRSG electrical e-house (32 x 40 ft)</t>
        </is>
      </c>
      <c r="I194" s="12" t="inlineStr">
        <is>
          <t>LV 600 V</t>
        </is>
      </c>
      <c r="J194" s="12" t="inlineStr">
        <is>
          <t>10</t>
        </is>
      </c>
      <c r="K194" s="12" t="n">
        <v>1</v>
      </c>
    </row>
    <row r="195">
      <c r="A195" s="12" t="inlineStr">
        <is>
          <t>HRSG 1 + SCR (3P reheat, horizontal)</t>
        </is>
      </c>
      <c r="B195" s="12" t="inlineStr">
        <is>
          <t>HRSG-1</t>
        </is>
      </c>
      <c r="C195" s="12" t="inlineStr">
        <is>
          <t>A</t>
        </is>
      </c>
      <c r="D195" s="12" t="inlineStr">
        <is>
          <t>MOV 28: power</t>
        </is>
      </c>
      <c r="E195" s="12" t="n">
        <v>480</v>
      </c>
      <c r="F195" s="12" t="n">
        <v>2.5</v>
      </c>
      <c r="G195" s="12" t="n">
        <v>3.5</v>
      </c>
      <c r="H195" s="12" t="inlineStr">
        <is>
          <t>R2A: unit / HRSG electrical e-house (32 x 40 ft)</t>
        </is>
      </c>
      <c r="I195" s="12" t="inlineStr">
        <is>
          <t>LV 600 V</t>
        </is>
      </c>
      <c r="J195" s="12" t="inlineStr">
        <is>
          <t>10</t>
        </is>
      </c>
      <c r="K195" s="12" t="n">
        <v>1</v>
      </c>
    </row>
    <row r="196">
      <c r="A196" s="12" t="inlineStr">
        <is>
          <t>HRSG 1 + SCR (3P reheat, horizontal)</t>
        </is>
      </c>
      <c r="B196" s="12" t="inlineStr">
        <is>
          <t>HRSG-1</t>
        </is>
      </c>
      <c r="C196" s="12" t="inlineStr">
        <is>
          <t>A</t>
        </is>
      </c>
      <c r="D196" s="12" t="inlineStr">
        <is>
          <t>MOV 29: power</t>
        </is>
      </c>
      <c r="E196" s="12" t="n">
        <v>480</v>
      </c>
      <c r="F196" s="12" t="n">
        <v>2.5</v>
      </c>
      <c r="G196" s="12" t="n">
        <v>3.5</v>
      </c>
      <c r="H196" s="12" t="inlineStr">
        <is>
          <t>R2A: unit / HRSG electrical e-house (32 x 40 ft)</t>
        </is>
      </c>
      <c r="I196" s="12" t="inlineStr">
        <is>
          <t>LV 600 V</t>
        </is>
      </c>
      <c r="J196" s="12" t="inlineStr">
        <is>
          <t>10</t>
        </is>
      </c>
      <c r="K196" s="12" t="n">
        <v>1</v>
      </c>
    </row>
    <row r="197">
      <c r="A197" s="12" t="inlineStr">
        <is>
          <t>HRSG 1 + SCR (3P reheat, horizontal)</t>
        </is>
      </c>
      <c r="B197" s="12" t="inlineStr">
        <is>
          <t>HRSG-1</t>
        </is>
      </c>
      <c r="C197" s="12" t="inlineStr">
        <is>
          <t>A</t>
        </is>
      </c>
      <c r="D197" s="12" t="inlineStr">
        <is>
          <t>MOV 30: power</t>
        </is>
      </c>
      <c r="E197" s="12" t="n">
        <v>480</v>
      </c>
      <c r="F197" s="12" t="n">
        <v>2.5</v>
      </c>
      <c r="G197" s="12" t="n">
        <v>3.5</v>
      </c>
      <c r="H197" s="12" t="inlineStr">
        <is>
          <t>R2A: unit / HRSG electrical e-house (32 x 40 ft)</t>
        </is>
      </c>
      <c r="I197" s="12" t="inlineStr">
        <is>
          <t>LV 600 V</t>
        </is>
      </c>
      <c r="J197" s="12" t="inlineStr">
        <is>
          <t>10</t>
        </is>
      </c>
      <c r="K197" s="12" t="n">
        <v>1</v>
      </c>
    </row>
    <row r="198">
      <c r="A198" s="12" t="inlineStr">
        <is>
          <t>HRSG 1 + SCR (3P reheat, horizontal)</t>
        </is>
      </c>
      <c r="B198" s="12" t="inlineStr">
        <is>
          <t>HRSG-1</t>
        </is>
      </c>
      <c r="C198" s="12" t="inlineStr">
        <is>
          <t>A</t>
        </is>
      </c>
      <c r="D198" s="12" t="inlineStr">
        <is>
          <t>MOV 31: power</t>
        </is>
      </c>
      <c r="E198" s="12" t="n">
        <v>480</v>
      </c>
      <c r="F198" s="12" t="n">
        <v>2.5</v>
      </c>
      <c r="G198" s="12" t="n">
        <v>3.5</v>
      </c>
      <c r="H198" s="12" t="inlineStr">
        <is>
          <t>R2A: unit / HRSG electrical e-house (32 x 40 ft)</t>
        </is>
      </c>
      <c r="I198" s="12" t="inlineStr">
        <is>
          <t>LV 600 V</t>
        </is>
      </c>
      <c r="J198" s="12" t="inlineStr">
        <is>
          <t>10</t>
        </is>
      </c>
      <c r="K198" s="12" t="n">
        <v>1</v>
      </c>
    </row>
    <row r="199">
      <c r="A199" s="12" t="inlineStr">
        <is>
          <t>HRSG 1 + SCR (3P reheat, horizontal)</t>
        </is>
      </c>
      <c r="B199" s="12" t="inlineStr">
        <is>
          <t>HRSG-1</t>
        </is>
      </c>
      <c r="C199" s="12" t="inlineStr">
        <is>
          <t>A</t>
        </is>
      </c>
      <c r="D199" s="12" t="inlineStr">
        <is>
          <t>MOV 32: power</t>
        </is>
      </c>
      <c r="E199" s="12" t="n">
        <v>480</v>
      </c>
      <c r="F199" s="12" t="n">
        <v>2.5</v>
      </c>
      <c r="G199" s="12" t="n">
        <v>3.5</v>
      </c>
      <c r="H199" s="12" t="inlineStr">
        <is>
          <t>R2A: unit / HRSG electrical e-house (32 x 40 ft)</t>
        </is>
      </c>
      <c r="I199" s="12" t="inlineStr">
        <is>
          <t>LV 600 V</t>
        </is>
      </c>
      <c r="J199" s="12" t="inlineStr">
        <is>
          <t>10</t>
        </is>
      </c>
      <c r="K199" s="12" t="n">
        <v>1</v>
      </c>
    </row>
    <row r="200">
      <c r="A200" s="12" t="inlineStr">
        <is>
          <t>HRSG 1 + SCR (3P reheat, horizontal)</t>
        </is>
      </c>
      <c r="B200" s="12" t="inlineStr">
        <is>
          <t>HRSG-1</t>
        </is>
      </c>
      <c r="C200" s="12" t="inlineStr">
        <is>
          <t>A</t>
        </is>
      </c>
      <c r="D200" s="12" t="inlineStr">
        <is>
          <t>MOV 33: power</t>
        </is>
      </c>
      <c r="E200" s="12" t="n">
        <v>480</v>
      </c>
      <c r="F200" s="12" t="n">
        <v>2.5</v>
      </c>
      <c r="G200" s="12" t="n">
        <v>3.5</v>
      </c>
      <c r="H200" s="12" t="inlineStr">
        <is>
          <t>R2A: unit / HRSG electrical e-house (32 x 40 ft)</t>
        </is>
      </c>
      <c r="I200" s="12" t="inlineStr">
        <is>
          <t>LV 600 V</t>
        </is>
      </c>
      <c r="J200" s="12" t="inlineStr">
        <is>
          <t>10</t>
        </is>
      </c>
      <c r="K200" s="12" t="n">
        <v>1</v>
      </c>
    </row>
    <row r="201">
      <c r="A201" s="12" t="inlineStr">
        <is>
          <t>HRSG 1 + SCR (3P reheat, horizontal)</t>
        </is>
      </c>
      <c r="B201" s="12" t="inlineStr">
        <is>
          <t>HRSG-1</t>
        </is>
      </c>
      <c r="C201" s="12" t="inlineStr">
        <is>
          <t>A</t>
        </is>
      </c>
      <c r="D201" s="12" t="inlineStr">
        <is>
          <t>MOV 34: power</t>
        </is>
      </c>
      <c r="E201" s="12" t="n">
        <v>480</v>
      </c>
      <c r="F201" s="12" t="n">
        <v>2.5</v>
      </c>
      <c r="G201" s="12" t="n">
        <v>3.5</v>
      </c>
      <c r="H201" s="12" t="inlineStr">
        <is>
          <t>R2A: unit / HRSG electrical e-house (32 x 40 ft)</t>
        </is>
      </c>
      <c r="I201" s="12" t="inlineStr">
        <is>
          <t>LV 600 V</t>
        </is>
      </c>
      <c r="J201" s="12" t="inlineStr">
        <is>
          <t>10</t>
        </is>
      </c>
      <c r="K201" s="12" t="n">
        <v>1</v>
      </c>
    </row>
    <row r="202">
      <c r="A202" s="12" t="inlineStr">
        <is>
          <t>HRSG 1 + SCR (3P reheat, horizontal)</t>
        </is>
      </c>
      <c r="B202" s="12" t="inlineStr">
        <is>
          <t>HRSG-1</t>
        </is>
      </c>
      <c r="C202" s="12" t="inlineStr">
        <is>
          <t>A</t>
        </is>
      </c>
      <c r="D202" s="12" t="inlineStr">
        <is>
          <t>MOV 35: power</t>
        </is>
      </c>
      <c r="E202" s="12" t="n">
        <v>480</v>
      </c>
      <c r="F202" s="12" t="n">
        <v>2.5</v>
      </c>
      <c r="G202" s="12" t="n">
        <v>3.5</v>
      </c>
      <c r="H202" s="12" t="inlineStr">
        <is>
          <t>R2A: unit / HRSG electrical e-house (32 x 40 ft)</t>
        </is>
      </c>
      <c r="I202" s="12" t="inlineStr">
        <is>
          <t>LV 600 V</t>
        </is>
      </c>
      <c r="J202" s="12" t="inlineStr">
        <is>
          <t>10</t>
        </is>
      </c>
      <c r="K202" s="12" t="n">
        <v>1</v>
      </c>
    </row>
    <row r="203">
      <c r="A203" s="12" t="inlineStr">
        <is>
          <t>HRSG 1 + SCR (3P reheat, horizontal)</t>
        </is>
      </c>
      <c r="B203" s="12" t="inlineStr">
        <is>
          <t>HRSG-1</t>
        </is>
      </c>
      <c r="C203" s="12" t="inlineStr">
        <is>
          <t>A</t>
        </is>
      </c>
      <c r="D203" s="12" t="inlineStr">
        <is>
          <t>MOV 36: power</t>
        </is>
      </c>
      <c r="E203" s="12" t="n">
        <v>480</v>
      </c>
      <c r="F203" s="12" t="n">
        <v>2.5</v>
      </c>
      <c r="G203" s="12" t="n">
        <v>3.5</v>
      </c>
      <c r="H203" s="12" t="inlineStr">
        <is>
          <t>R2A: unit / HRSG electrical e-house (32 x 40 ft)</t>
        </is>
      </c>
      <c r="I203" s="12" t="inlineStr">
        <is>
          <t>LV 600 V</t>
        </is>
      </c>
      <c r="J203" s="12" t="inlineStr">
        <is>
          <t>10</t>
        </is>
      </c>
      <c r="K203" s="12" t="n">
        <v>1</v>
      </c>
    </row>
    <row r="204">
      <c r="A204" s="12" t="inlineStr">
        <is>
          <t>HRSG 1 + SCR (3P reheat, horizontal)</t>
        </is>
      </c>
      <c r="B204" s="12" t="inlineStr">
        <is>
          <t>HRSG-1</t>
        </is>
      </c>
      <c r="C204" s="12" t="inlineStr">
        <is>
          <t>A</t>
        </is>
      </c>
      <c r="D204" s="12" t="inlineStr">
        <is>
          <t>MOV 37: power</t>
        </is>
      </c>
      <c r="E204" s="12" t="n">
        <v>480</v>
      </c>
      <c r="F204" s="12" t="n">
        <v>2.5</v>
      </c>
      <c r="G204" s="12" t="n">
        <v>3.5</v>
      </c>
      <c r="H204" s="12" t="inlineStr">
        <is>
          <t>R2A: unit / HRSG electrical e-house (32 x 40 ft)</t>
        </is>
      </c>
      <c r="I204" s="12" t="inlineStr">
        <is>
          <t>LV 600 V</t>
        </is>
      </c>
      <c r="J204" s="12" t="inlineStr">
        <is>
          <t>10</t>
        </is>
      </c>
      <c r="K204" s="12" t="n">
        <v>1</v>
      </c>
    </row>
    <row r="205">
      <c r="A205" s="12" t="inlineStr">
        <is>
          <t>HRSG 1 + SCR (3P reheat, horizontal)</t>
        </is>
      </c>
      <c r="B205" s="12" t="inlineStr">
        <is>
          <t>HRSG-1</t>
        </is>
      </c>
      <c r="C205" s="12" t="inlineStr">
        <is>
          <t>A</t>
        </is>
      </c>
      <c r="D205" s="12" t="inlineStr">
        <is>
          <t>MOV 38: power</t>
        </is>
      </c>
      <c r="E205" s="12" t="n">
        <v>480</v>
      </c>
      <c r="F205" s="12" t="n">
        <v>2.5</v>
      </c>
      <c r="G205" s="12" t="n">
        <v>3.5</v>
      </c>
      <c r="H205" s="12" t="inlineStr">
        <is>
          <t>R2A: unit / HRSG electrical e-house (32 x 40 ft)</t>
        </is>
      </c>
      <c r="I205" s="12" t="inlineStr">
        <is>
          <t>LV 600 V</t>
        </is>
      </c>
      <c r="J205" s="12" t="inlineStr">
        <is>
          <t>10</t>
        </is>
      </c>
      <c r="K205" s="12" t="n">
        <v>1</v>
      </c>
    </row>
    <row r="206">
      <c r="A206" s="12" t="inlineStr">
        <is>
          <t>HRSG 1 + SCR (3P reheat, horizontal)</t>
        </is>
      </c>
      <c r="B206" s="12" t="inlineStr">
        <is>
          <t>HRSG-1</t>
        </is>
      </c>
      <c r="C206" s="12" t="inlineStr">
        <is>
          <t>A</t>
        </is>
      </c>
      <c r="D206" s="12" t="inlineStr">
        <is>
          <t>MOV 39: power</t>
        </is>
      </c>
      <c r="E206" s="12" t="n">
        <v>480</v>
      </c>
      <c r="F206" s="12" t="n">
        <v>2.5</v>
      </c>
      <c r="G206" s="12" t="n">
        <v>3.5</v>
      </c>
      <c r="H206" s="12" t="inlineStr">
        <is>
          <t>R2A: unit / HRSG electrical e-house (32 x 40 ft)</t>
        </is>
      </c>
      <c r="I206" s="12" t="inlineStr">
        <is>
          <t>LV 600 V</t>
        </is>
      </c>
      <c r="J206" s="12" t="inlineStr">
        <is>
          <t>10</t>
        </is>
      </c>
      <c r="K206" s="12" t="n">
        <v>1</v>
      </c>
    </row>
    <row r="207">
      <c r="A207" s="12" t="inlineStr">
        <is>
          <t>HRSG 1 + SCR (3P reheat, horizontal)</t>
        </is>
      </c>
      <c r="B207" s="12" t="inlineStr">
        <is>
          <t>HRSG-1</t>
        </is>
      </c>
      <c r="C207" s="12" t="inlineStr">
        <is>
          <t>A</t>
        </is>
      </c>
      <c r="D207" s="12" t="inlineStr">
        <is>
          <t>MOV 40: power</t>
        </is>
      </c>
      <c r="E207" s="12" t="n">
        <v>480</v>
      </c>
      <c r="F207" s="12" t="n">
        <v>2.5</v>
      </c>
      <c r="G207" s="12" t="n">
        <v>3.5</v>
      </c>
      <c r="H207" s="12" t="inlineStr">
        <is>
          <t>R2A: unit / HRSG electrical e-house (32 x 40 ft)</t>
        </is>
      </c>
      <c r="I207" s="12" t="inlineStr">
        <is>
          <t>LV 600 V</t>
        </is>
      </c>
      <c r="J207" s="12" t="inlineStr">
        <is>
          <t>10</t>
        </is>
      </c>
      <c r="K207" s="12" t="n">
        <v>1</v>
      </c>
    </row>
    <row r="208">
      <c r="A208" s="12" t="inlineStr">
        <is>
          <t>HRSG 1 + SCR (3P reheat, horizontal)</t>
        </is>
      </c>
      <c r="B208" s="12" t="inlineStr">
        <is>
          <t>HRSG-1</t>
        </is>
      </c>
      <c r="C208" s="12" t="inlineStr">
        <is>
          <t>A</t>
        </is>
      </c>
      <c r="D208" s="12" t="inlineStr">
        <is>
          <t>MOV 41: power</t>
        </is>
      </c>
      <c r="E208" s="12" t="n">
        <v>480</v>
      </c>
      <c r="F208" s="12" t="n">
        <v>2.5</v>
      </c>
      <c r="G208" s="12" t="n">
        <v>3.5</v>
      </c>
      <c r="H208" s="12" t="inlineStr">
        <is>
          <t>R2A: unit / HRSG electrical e-house (32 x 40 ft)</t>
        </is>
      </c>
      <c r="I208" s="12" t="inlineStr">
        <is>
          <t>LV 600 V</t>
        </is>
      </c>
      <c r="J208" s="12" t="inlineStr">
        <is>
          <t>10</t>
        </is>
      </c>
      <c r="K208" s="12" t="n">
        <v>1</v>
      </c>
    </row>
    <row r="209">
      <c r="A209" s="12" t="inlineStr">
        <is>
          <t>HRSG 1 + SCR (3P reheat, horizontal)</t>
        </is>
      </c>
      <c r="B209" s="12" t="inlineStr">
        <is>
          <t>HRSG-1</t>
        </is>
      </c>
      <c r="C209" s="12" t="inlineStr">
        <is>
          <t>A</t>
        </is>
      </c>
      <c r="D209" s="12" t="inlineStr">
        <is>
          <t>MOV 42: power</t>
        </is>
      </c>
      <c r="E209" s="12" t="n">
        <v>480</v>
      </c>
      <c r="F209" s="12" t="n">
        <v>2.5</v>
      </c>
      <c r="G209" s="12" t="n">
        <v>3.5</v>
      </c>
      <c r="H209" s="12" t="inlineStr">
        <is>
          <t>R2A: unit / HRSG electrical e-house (32 x 40 ft)</t>
        </is>
      </c>
      <c r="I209" s="12" t="inlineStr">
        <is>
          <t>LV 600 V</t>
        </is>
      </c>
      <c r="J209" s="12" t="inlineStr">
        <is>
          <t>10</t>
        </is>
      </c>
      <c r="K209" s="12" t="n">
        <v>1</v>
      </c>
    </row>
    <row r="210">
      <c r="A210" s="12" t="inlineStr">
        <is>
          <t>HRSG 1 + SCR (3P reheat, horizontal)</t>
        </is>
      </c>
      <c r="B210" s="12" t="inlineStr">
        <is>
          <t>HRSG-1</t>
        </is>
      </c>
      <c r="C210" s="12" t="inlineStr">
        <is>
          <t>A</t>
        </is>
      </c>
      <c r="D210" s="12" t="inlineStr">
        <is>
          <t>MOV 43: power</t>
        </is>
      </c>
      <c r="E210" s="12" t="n">
        <v>480</v>
      </c>
      <c r="F210" s="12" t="n">
        <v>2.5</v>
      </c>
      <c r="G210" s="12" t="n">
        <v>3.5</v>
      </c>
      <c r="H210" s="12" t="inlineStr">
        <is>
          <t>R2A: unit / HRSG electrical e-house (32 x 40 ft)</t>
        </is>
      </c>
      <c r="I210" s="12" t="inlineStr">
        <is>
          <t>LV 600 V</t>
        </is>
      </c>
      <c r="J210" s="12" t="inlineStr">
        <is>
          <t>10</t>
        </is>
      </c>
      <c r="K210" s="12" t="n">
        <v>1</v>
      </c>
    </row>
    <row r="211">
      <c r="A211" s="12" t="inlineStr">
        <is>
          <t>HRSG 1 + SCR (3P reheat, horizontal)</t>
        </is>
      </c>
      <c r="B211" s="12" t="inlineStr">
        <is>
          <t>HRSG-1</t>
        </is>
      </c>
      <c r="C211" s="12" t="inlineStr">
        <is>
          <t>A</t>
        </is>
      </c>
      <c r="D211" s="12" t="inlineStr">
        <is>
          <t>MOV 44: power</t>
        </is>
      </c>
      <c r="E211" s="12" t="n">
        <v>480</v>
      </c>
      <c r="F211" s="12" t="n">
        <v>2.5</v>
      </c>
      <c r="G211" s="12" t="n">
        <v>3.5</v>
      </c>
      <c r="H211" s="12" t="inlineStr">
        <is>
          <t>R2A: unit / HRSG electrical e-house (32 x 40 ft)</t>
        </is>
      </c>
      <c r="I211" s="12" t="inlineStr">
        <is>
          <t>LV 600 V</t>
        </is>
      </c>
      <c r="J211" s="12" t="inlineStr">
        <is>
          <t>10</t>
        </is>
      </c>
      <c r="K211" s="12" t="n">
        <v>1</v>
      </c>
    </row>
    <row r="212">
      <c r="A212" s="12" t="inlineStr">
        <is>
          <t>HRSG 1 + SCR (3P reheat, horizontal)</t>
        </is>
      </c>
      <c r="B212" s="12" t="inlineStr">
        <is>
          <t>HRSG-1</t>
        </is>
      </c>
      <c r="C212" s="12" t="inlineStr">
        <is>
          <t>A</t>
        </is>
      </c>
      <c r="D212" s="12" t="inlineStr">
        <is>
          <t>MOV 45: power</t>
        </is>
      </c>
      <c r="E212" s="12" t="n">
        <v>480</v>
      </c>
      <c r="F212" s="12" t="n">
        <v>2.5</v>
      </c>
      <c r="G212" s="12" t="n">
        <v>3.5</v>
      </c>
      <c r="H212" s="12" t="inlineStr">
        <is>
          <t>R2A: unit / HRSG electrical e-house (32 x 40 ft)</t>
        </is>
      </c>
      <c r="I212" s="12" t="inlineStr">
        <is>
          <t>LV 600 V</t>
        </is>
      </c>
      <c r="J212" s="12" t="inlineStr">
        <is>
          <t>10</t>
        </is>
      </c>
      <c r="K212" s="12" t="n">
        <v>1</v>
      </c>
    </row>
    <row r="213">
      <c r="A213" s="12" t="inlineStr">
        <is>
          <t>HRSG 1 + SCR (3P reheat, horizontal)</t>
        </is>
      </c>
      <c r="B213" s="12" t="inlineStr">
        <is>
          <t>HRSG-1</t>
        </is>
      </c>
      <c r="C213" s="12" t="inlineStr">
        <is>
          <t>A</t>
        </is>
      </c>
      <c r="D213" s="12" t="inlineStr">
        <is>
          <t>Area / platform lighting circuit 1 (12 fixtures)</t>
        </is>
      </c>
      <c r="E213" s="12" t="n">
        <v>480</v>
      </c>
      <c r="F213" s="12" t="n">
        <v>3</v>
      </c>
      <c r="G213" s="12" t="n">
        <v>5</v>
      </c>
      <c r="H213" s="12" t="inlineStr">
        <is>
          <t>R2A: unit / HRSG electrical e-house (32 x 40 ft)</t>
        </is>
      </c>
      <c r="I213" s="12" t="inlineStr">
        <is>
          <t>LV 600 V</t>
        </is>
      </c>
      <c r="J213" s="12" t="inlineStr">
        <is>
          <t>10</t>
        </is>
      </c>
      <c r="K213" s="12" t="n">
        <v>1</v>
      </c>
    </row>
    <row r="214">
      <c r="A214" s="12" t="inlineStr">
        <is>
          <t>HRSG 1 + SCR (3P reheat, horizontal)</t>
        </is>
      </c>
      <c r="B214" s="12" t="inlineStr">
        <is>
          <t>HRSG-1</t>
        </is>
      </c>
      <c r="C214" s="12" t="inlineStr">
        <is>
          <t>A</t>
        </is>
      </c>
      <c r="D214" s="12" t="inlineStr">
        <is>
          <t>Area / platform lighting circuit 2 (12 fixtures)</t>
        </is>
      </c>
      <c r="E214" s="12" t="n">
        <v>480</v>
      </c>
      <c r="F214" s="12" t="n">
        <v>3</v>
      </c>
      <c r="G214" s="12" t="n">
        <v>5</v>
      </c>
      <c r="H214" s="12" t="inlineStr">
        <is>
          <t>R2A: unit / HRSG electrical e-house (32 x 40 ft)</t>
        </is>
      </c>
      <c r="I214" s="12" t="inlineStr">
        <is>
          <t>LV 600 V</t>
        </is>
      </c>
      <c r="J214" s="12" t="inlineStr">
        <is>
          <t>10</t>
        </is>
      </c>
      <c r="K214" s="12" t="n">
        <v>1</v>
      </c>
    </row>
    <row r="215">
      <c r="A215" s="12" t="inlineStr">
        <is>
          <t>HRSG 1 + SCR (3P reheat, horizontal)</t>
        </is>
      </c>
      <c r="B215" s="12" t="inlineStr">
        <is>
          <t>HRSG-1</t>
        </is>
      </c>
      <c r="C215" s="12" t="inlineStr">
        <is>
          <t>A</t>
        </is>
      </c>
      <c r="D215" s="12" t="inlineStr">
        <is>
          <t>Area / platform lighting circuit 3 (12 fixtures)</t>
        </is>
      </c>
      <c r="E215" s="12" t="n">
        <v>480</v>
      </c>
      <c r="F215" s="12" t="n">
        <v>3</v>
      </c>
      <c r="G215" s="12" t="n">
        <v>5</v>
      </c>
      <c r="H215" s="12" t="inlineStr">
        <is>
          <t>R2A: unit / HRSG electrical e-house (32 x 40 ft)</t>
        </is>
      </c>
      <c r="I215" s="12" t="inlineStr">
        <is>
          <t>LV 600 V</t>
        </is>
      </c>
      <c r="J215" s="12" t="inlineStr">
        <is>
          <t>10</t>
        </is>
      </c>
      <c r="K215" s="12" t="n">
        <v>1</v>
      </c>
    </row>
    <row r="216">
      <c r="A216" s="12" t="inlineStr">
        <is>
          <t>HRSG 1 + SCR (3P reheat, horizontal)</t>
        </is>
      </c>
      <c r="B216" s="12" t="inlineStr">
        <is>
          <t>HRSG-1</t>
        </is>
      </c>
      <c r="C216" s="12" t="inlineStr">
        <is>
          <t>A</t>
        </is>
      </c>
      <c r="D216" s="12" t="inlineStr">
        <is>
          <t>Area / platform lighting circuit 4 (4 fixtures)</t>
        </is>
      </c>
      <c r="E216" s="12" t="n">
        <v>480</v>
      </c>
      <c r="F216" s="12" t="n">
        <v>3</v>
      </c>
      <c r="G216" s="12" t="n">
        <v>5</v>
      </c>
      <c r="H216" s="12" t="inlineStr">
        <is>
          <t>R2A: unit / HRSG electrical e-house (32 x 40 ft)</t>
        </is>
      </c>
      <c r="I216" s="12" t="inlineStr">
        <is>
          <t>LV 600 V</t>
        </is>
      </c>
      <c r="J216" s="12" t="inlineStr">
        <is>
          <t>10</t>
        </is>
      </c>
      <c r="K216" s="12" t="n">
        <v>1</v>
      </c>
    </row>
    <row r="217">
      <c r="A217" s="12" t="inlineStr">
        <is>
          <t>HRSG 1 + SCR (3P reheat, horizontal)</t>
        </is>
      </c>
      <c r="B217" s="12" t="inlineStr">
        <is>
          <t>HRSG-1</t>
        </is>
      </c>
      <c r="C217" s="12" t="inlineStr">
        <is>
          <t>A</t>
        </is>
      </c>
      <c r="D217" s="12" t="inlineStr">
        <is>
          <t>480 V welding receptacle 1</t>
        </is>
      </c>
      <c r="E217" s="12" t="n">
        <v>480</v>
      </c>
      <c r="F217" s="12" t="n">
        <v>60</v>
      </c>
      <c r="G217" s="12" t="n">
        <v>76</v>
      </c>
      <c r="H217" s="12" t="inlineStr">
        <is>
          <t>R2A: unit / HRSG electrical e-house (32 x 40 ft)</t>
        </is>
      </c>
      <c r="I217" s="12" t="inlineStr">
        <is>
          <t>LV 600 V</t>
        </is>
      </c>
      <c r="J217" s="12" t="inlineStr">
        <is>
          <t>2</t>
        </is>
      </c>
      <c r="K217" s="12" t="n">
        <v>1</v>
      </c>
    </row>
    <row r="218">
      <c r="A218" s="12" t="inlineStr">
        <is>
          <t>HRSG 1 + SCR (3P reheat, horizontal)</t>
        </is>
      </c>
      <c r="B218" s="12" t="inlineStr">
        <is>
          <t>HRSG-1</t>
        </is>
      </c>
      <c r="C218" s="12" t="inlineStr">
        <is>
          <t>A</t>
        </is>
      </c>
      <c r="D218" s="12" t="inlineStr">
        <is>
          <t>480 V welding receptacle 2</t>
        </is>
      </c>
      <c r="E218" s="12" t="n">
        <v>480</v>
      </c>
      <c r="F218" s="12" t="n">
        <v>60</v>
      </c>
      <c r="G218" s="12" t="n">
        <v>76</v>
      </c>
      <c r="H218" s="12" t="inlineStr">
        <is>
          <t>R2A: unit / HRSG electrical e-house (32 x 40 ft)</t>
        </is>
      </c>
      <c r="I218" s="12" t="inlineStr">
        <is>
          <t>LV 600 V</t>
        </is>
      </c>
      <c r="J218" s="12" t="inlineStr">
        <is>
          <t>2</t>
        </is>
      </c>
      <c r="K218" s="12" t="n">
        <v>1</v>
      </c>
    </row>
    <row r="219">
      <c r="A219" s="12" t="inlineStr">
        <is>
          <t>HRSG 1 + SCR (3P reheat, horizontal)</t>
        </is>
      </c>
      <c r="B219" s="12" t="inlineStr">
        <is>
          <t>HRSG-1</t>
        </is>
      </c>
      <c r="C219" s="12" t="inlineStr">
        <is>
          <t>A</t>
        </is>
      </c>
      <c r="D219" s="12" t="inlineStr">
        <is>
          <t>480 V welding receptacle 3</t>
        </is>
      </c>
      <c r="E219" s="12" t="n">
        <v>480</v>
      </c>
      <c r="F219" s="12" t="n">
        <v>60</v>
      </c>
      <c r="G219" s="12" t="n">
        <v>76</v>
      </c>
      <c r="H219" s="12" t="inlineStr">
        <is>
          <t>R2A: unit / HRSG electrical e-house (32 x 40 ft)</t>
        </is>
      </c>
      <c r="I219" s="12" t="inlineStr">
        <is>
          <t>LV 600 V</t>
        </is>
      </c>
      <c r="J219" s="12" t="inlineStr">
        <is>
          <t>2</t>
        </is>
      </c>
      <c r="K219" s="12" t="n">
        <v>1</v>
      </c>
    </row>
    <row r="220">
      <c r="A220" s="12" t="inlineStr">
        <is>
          <t>HRSG 1 + SCR (3P reheat, horizontal)</t>
        </is>
      </c>
      <c r="B220" s="12" t="inlineStr">
        <is>
          <t>HRSG-1</t>
        </is>
      </c>
      <c r="C220" s="12" t="inlineStr">
        <is>
          <t>A</t>
        </is>
      </c>
      <c r="D220" s="12" t="inlineStr">
        <is>
          <t>480 V welding receptacle 4</t>
        </is>
      </c>
      <c r="E220" s="12" t="n">
        <v>480</v>
      </c>
      <c r="F220" s="12" t="n">
        <v>60</v>
      </c>
      <c r="G220" s="12" t="n">
        <v>76</v>
      </c>
      <c r="H220" s="12" t="inlineStr">
        <is>
          <t>R2A: unit / HRSG electrical e-house (32 x 40 ft)</t>
        </is>
      </c>
      <c r="I220" s="12" t="inlineStr">
        <is>
          <t>LV 600 V</t>
        </is>
      </c>
      <c r="J220" s="12" t="inlineStr">
        <is>
          <t>2</t>
        </is>
      </c>
      <c r="K220" s="12" t="n">
        <v>1</v>
      </c>
    </row>
    <row r="221">
      <c r="A221" s="12" t="inlineStr">
        <is>
          <t>HRSG 1 blowdown tank (continuous / intermittent)</t>
        </is>
      </c>
      <c r="B221" s="12" t="inlineStr"/>
      <c r="C221" s="12" t="inlineStr">
        <is>
          <t>A</t>
        </is>
      </c>
      <c r="D221" s="12" t="inlineStr">
        <is>
          <t>MOV 1: power</t>
        </is>
      </c>
      <c r="E221" s="12" t="n">
        <v>480</v>
      </c>
      <c r="F221" s="12" t="n">
        <v>2.5</v>
      </c>
      <c r="G221" s="12" t="n">
        <v>3.5</v>
      </c>
      <c r="H221" s="12" t="inlineStr">
        <is>
          <t>R2A: unit / HRSG electrical e-house (32 x 40 ft)</t>
        </is>
      </c>
      <c r="I221" s="12" t="inlineStr">
        <is>
          <t>LV 600 V</t>
        </is>
      </c>
      <c r="J221" s="12" t="inlineStr">
        <is>
          <t>10</t>
        </is>
      </c>
      <c r="K221" s="12" t="n">
        <v>1</v>
      </c>
    </row>
    <row r="222">
      <c r="A222" s="12" t="inlineStr">
        <is>
          <t>HRSG 1 blowdown tank (continuous / intermittent)</t>
        </is>
      </c>
      <c r="B222" s="12" t="inlineStr"/>
      <c r="C222" s="12" t="inlineStr">
        <is>
          <t>A</t>
        </is>
      </c>
      <c r="D222" s="12" t="inlineStr">
        <is>
          <t>MOV 2: power</t>
        </is>
      </c>
      <c r="E222" s="12" t="n">
        <v>480</v>
      </c>
      <c r="F222" s="12" t="n">
        <v>2.5</v>
      </c>
      <c r="G222" s="12" t="n">
        <v>3.5</v>
      </c>
      <c r="H222" s="12" t="inlineStr">
        <is>
          <t>R2A: unit / HRSG electrical e-house (32 x 40 ft)</t>
        </is>
      </c>
      <c r="I222" s="12" t="inlineStr">
        <is>
          <t>LV 600 V</t>
        </is>
      </c>
      <c r="J222" s="12" t="inlineStr">
        <is>
          <t>10</t>
        </is>
      </c>
      <c r="K222" s="12" t="n">
        <v>1</v>
      </c>
    </row>
    <row r="223">
      <c r="A223" s="12" t="inlineStr">
        <is>
          <t>HRSG 1 blowdown tank (continuous / intermittent)</t>
        </is>
      </c>
      <c r="B223" s="12" t="inlineStr"/>
      <c r="C223" s="12" t="inlineStr">
        <is>
          <t>A</t>
        </is>
      </c>
      <c r="D223" s="12" t="inlineStr">
        <is>
          <t>MOV 3: power</t>
        </is>
      </c>
      <c r="E223" s="12" t="n">
        <v>480</v>
      </c>
      <c r="F223" s="12" t="n">
        <v>2.5</v>
      </c>
      <c r="G223" s="12" t="n">
        <v>3.5</v>
      </c>
      <c r="H223" s="12" t="inlineStr">
        <is>
          <t>R2A: unit / HRSG electrical e-house (32 x 40 ft)</t>
        </is>
      </c>
      <c r="I223" s="12" t="inlineStr">
        <is>
          <t>LV 600 V</t>
        </is>
      </c>
      <c r="J223" s="12" t="inlineStr">
        <is>
          <t>10</t>
        </is>
      </c>
      <c r="K223" s="12" t="n">
        <v>1</v>
      </c>
    </row>
    <row r="224">
      <c r="A224" s="12" t="inlineStr">
        <is>
          <t>HRSG 1 blowdown tank (continuous / intermittent)</t>
        </is>
      </c>
      <c r="B224" s="12" t="inlineStr"/>
      <c r="C224" s="12" t="inlineStr">
        <is>
          <t>A</t>
        </is>
      </c>
      <c r="D224" s="12" t="inlineStr">
        <is>
          <t>MOV 4: power</t>
        </is>
      </c>
      <c r="E224" s="12" t="n">
        <v>480</v>
      </c>
      <c r="F224" s="12" t="n">
        <v>2.5</v>
      </c>
      <c r="G224" s="12" t="n">
        <v>3.5</v>
      </c>
      <c r="H224" s="12" t="inlineStr">
        <is>
          <t>R2A: unit / HRSG electrical e-house (32 x 40 ft)</t>
        </is>
      </c>
      <c r="I224" s="12" t="inlineStr">
        <is>
          <t>LV 600 V</t>
        </is>
      </c>
      <c r="J224" s="12" t="inlineStr">
        <is>
          <t>10</t>
        </is>
      </c>
      <c r="K224" s="12" t="n">
        <v>1</v>
      </c>
    </row>
    <row r="225">
      <c r="A225" s="12" t="inlineStr">
        <is>
          <t>HRSG 1 blowdown tank (continuous / intermittent)</t>
        </is>
      </c>
      <c r="B225" s="12" t="inlineStr"/>
      <c r="C225" s="12" t="inlineStr">
        <is>
          <t>A</t>
        </is>
      </c>
      <c r="D225" s="12" t="inlineStr">
        <is>
          <t>LV power feeder</t>
        </is>
      </c>
      <c r="E225" s="12" t="n">
        <v>480</v>
      </c>
      <c r="F225" s="12" t="n">
        <v>10</v>
      </c>
      <c r="G225" s="12" t="n">
        <v>14.2</v>
      </c>
      <c r="H225" s="12" t="inlineStr">
        <is>
          <t>R2A: unit / HRSG electrical e-house (32 x 40 ft)</t>
        </is>
      </c>
      <c r="I225" s="12" t="inlineStr">
        <is>
          <t>LV 600 V</t>
        </is>
      </c>
      <c r="J225" s="12" t="inlineStr">
        <is>
          <t>10</t>
        </is>
      </c>
      <c r="K225" s="12" t="n">
        <v>1</v>
      </c>
    </row>
    <row r="226">
      <c r="A226" s="12" t="inlineStr">
        <is>
          <t>HRSG 1 chemical feed skid (phosphate / amine)</t>
        </is>
      </c>
      <c r="B226" s="12" t="inlineStr"/>
      <c r="C226" s="12" t="inlineStr">
        <is>
          <t>A</t>
        </is>
      </c>
      <c r="D226" s="12" t="inlineStr">
        <is>
          <t>Motor 1 of 6, 2 kW</t>
        </is>
      </c>
      <c r="E226" s="12" t="n">
        <v>480</v>
      </c>
      <c r="F226" s="12" t="n">
        <v>2</v>
      </c>
      <c r="G226" s="12" t="n">
        <v>2.8</v>
      </c>
      <c r="H226" s="12" t="inlineStr">
        <is>
          <t>R2A: unit / HRSG electrical e-house (32 x 40 ft)</t>
        </is>
      </c>
      <c r="I226" s="12" t="inlineStr">
        <is>
          <t>LV 600 V</t>
        </is>
      </c>
      <c r="J226" s="12" t="inlineStr">
        <is>
          <t>10</t>
        </is>
      </c>
      <c r="K226" s="12" t="n">
        <v>1</v>
      </c>
    </row>
    <row r="227">
      <c r="A227" s="12" t="inlineStr">
        <is>
          <t>HRSG 1 chemical feed skid (phosphate / amine)</t>
        </is>
      </c>
      <c r="B227" s="12" t="inlineStr"/>
      <c r="C227" s="12" t="inlineStr">
        <is>
          <t>A</t>
        </is>
      </c>
      <c r="D227" s="12" t="inlineStr">
        <is>
          <t>Motor 2 of 6, 2 kW</t>
        </is>
      </c>
      <c r="E227" s="12" t="n">
        <v>480</v>
      </c>
      <c r="F227" s="12" t="n">
        <v>2</v>
      </c>
      <c r="G227" s="12" t="n">
        <v>2.8</v>
      </c>
      <c r="H227" s="12" t="inlineStr">
        <is>
          <t>R2A: unit / HRSG electrical e-house (32 x 40 ft)</t>
        </is>
      </c>
      <c r="I227" s="12" t="inlineStr">
        <is>
          <t>LV 600 V</t>
        </is>
      </c>
      <c r="J227" s="12" t="inlineStr">
        <is>
          <t>10</t>
        </is>
      </c>
      <c r="K227" s="12" t="n">
        <v>1</v>
      </c>
    </row>
    <row r="228">
      <c r="A228" s="12" t="inlineStr">
        <is>
          <t>HRSG 1 chemical feed skid (phosphate / amine)</t>
        </is>
      </c>
      <c r="B228" s="12" t="inlineStr"/>
      <c r="C228" s="12" t="inlineStr">
        <is>
          <t>A</t>
        </is>
      </c>
      <c r="D228" s="12" t="inlineStr">
        <is>
          <t>Motor 3 of 6, 2 kW</t>
        </is>
      </c>
      <c r="E228" s="12" t="n">
        <v>480</v>
      </c>
      <c r="F228" s="12" t="n">
        <v>2</v>
      </c>
      <c r="G228" s="12" t="n">
        <v>2.8</v>
      </c>
      <c r="H228" s="12" t="inlineStr">
        <is>
          <t>R2A: unit / HRSG electrical e-house (32 x 40 ft)</t>
        </is>
      </c>
      <c r="I228" s="12" t="inlineStr">
        <is>
          <t>LV 600 V</t>
        </is>
      </c>
      <c r="J228" s="12" t="inlineStr">
        <is>
          <t>10</t>
        </is>
      </c>
      <c r="K228" s="12" t="n">
        <v>1</v>
      </c>
    </row>
    <row r="229">
      <c r="A229" s="12" t="inlineStr">
        <is>
          <t>HRSG 1 chemical feed skid (phosphate / amine)</t>
        </is>
      </c>
      <c r="B229" s="12" t="inlineStr"/>
      <c r="C229" s="12" t="inlineStr">
        <is>
          <t>A</t>
        </is>
      </c>
      <c r="D229" s="12" t="inlineStr">
        <is>
          <t>Motor 4 of 6, 2 kW</t>
        </is>
      </c>
      <c r="E229" s="12" t="n">
        <v>480</v>
      </c>
      <c r="F229" s="12" t="n">
        <v>2</v>
      </c>
      <c r="G229" s="12" t="n">
        <v>2.8</v>
      </c>
      <c r="H229" s="12" t="inlineStr">
        <is>
          <t>R2A: unit / HRSG electrical e-house (32 x 40 ft)</t>
        </is>
      </c>
      <c r="I229" s="12" t="inlineStr">
        <is>
          <t>LV 600 V</t>
        </is>
      </c>
      <c r="J229" s="12" t="inlineStr">
        <is>
          <t>10</t>
        </is>
      </c>
      <c r="K229" s="12" t="n">
        <v>1</v>
      </c>
    </row>
    <row r="230">
      <c r="A230" s="12" t="inlineStr">
        <is>
          <t>HRSG 1 chemical feed skid (phosphate / amine)</t>
        </is>
      </c>
      <c r="B230" s="12" t="inlineStr"/>
      <c r="C230" s="12" t="inlineStr">
        <is>
          <t>A</t>
        </is>
      </c>
      <c r="D230" s="12" t="inlineStr">
        <is>
          <t>Motor 5 of 6, 2 kW</t>
        </is>
      </c>
      <c r="E230" s="12" t="n">
        <v>480</v>
      </c>
      <c r="F230" s="12" t="n">
        <v>2</v>
      </c>
      <c r="G230" s="12" t="n">
        <v>2.8</v>
      </c>
      <c r="H230" s="12" t="inlineStr">
        <is>
          <t>R2A: unit / HRSG electrical e-house (32 x 40 ft)</t>
        </is>
      </c>
      <c r="I230" s="12" t="inlineStr">
        <is>
          <t>LV 600 V</t>
        </is>
      </c>
      <c r="J230" s="12" t="inlineStr">
        <is>
          <t>10</t>
        </is>
      </c>
      <c r="K230" s="12" t="n">
        <v>1</v>
      </c>
    </row>
    <row r="231">
      <c r="A231" s="12" t="inlineStr">
        <is>
          <t>HRSG 1 chemical feed skid (phosphate / amine)</t>
        </is>
      </c>
      <c r="B231" s="12" t="inlineStr"/>
      <c r="C231" s="12" t="inlineStr">
        <is>
          <t>A</t>
        </is>
      </c>
      <c r="D231" s="12" t="inlineStr">
        <is>
          <t>Motor 6 of 6, 2 kW</t>
        </is>
      </c>
      <c r="E231" s="12" t="n">
        <v>480</v>
      </c>
      <c r="F231" s="12" t="n">
        <v>2</v>
      </c>
      <c r="G231" s="12" t="n">
        <v>2.8</v>
      </c>
      <c r="H231" s="12" t="inlineStr">
        <is>
          <t>R2A: unit / HRSG electrical e-house (32 x 40 ft)</t>
        </is>
      </c>
      <c r="I231" s="12" t="inlineStr">
        <is>
          <t>LV 600 V</t>
        </is>
      </c>
      <c r="J231" s="12" t="inlineStr">
        <is>
          <t>10</t>
        </is>
      </c>
      <c r="K231" s="12" t="n">
        <v>1</v>
      </c>
    </row>
    <row r="232">
      <c r="A232" s="12" t="inlineStr">
        <is>
          <t>HRSG 1 stack</t>
        </is>
      </c>
      <c r="B232" s="12" t="inlineStr">
        <is>
          <t>STK-1</t>
        </is>
      </c>
      <c r="C232" s="12" t="inlineStr">
        <is>
          <t>A</t>
        </is>
      </c>
      <c r="D232" s="12" t="inlineStr">
        <is>
          <t>Area / platform lighting circuit 1 (6 fixtures)</t>
        </is>
      </c>
      <c r="E232" s="12" t="n">
        <v>480</v>
      </c>
      <c r="F232" s="12" t="n">
        <v>3</v>
      </c>
      <c r="G232" s="12" t="n">
        <v>5</v>
      </c>
      <c r="H232" s="12" t="inlineStr">
        <is>
          <t>R2A: unit / HRSG electrical e-house (32 x 40 ft)</t>
        </is>
      </c>
      <c r="I232" s="12" t="inlineStr">
        <is>
          <t>LV 600 V</t>
        </is>
      </c>
      <c r="J232" s="12" t="inlineStr">
        <is>
          <t>10</t>
        </is>
      </c>
      <c r="K232" s="12" t="n">
        <v>1</v>
      </c>
    </row>
    <row r="233">
      <c r="A233" s="12" t="inlineStr">
        <is>
          <t>HRSG 2 + SCR (3P reheat, horizontal)</t>
        </is>
      </c>
      <c r="B233" s="12" t="inlineStr">
        <is>
          <t>HRSG-2</t>
        </is>
      </c>
      <c r="C233" s="12" t="inlineStr">
        <is>
          <t>A</t>
        </is>
      </c>
      <c r="D233" s="12" t="inlineStr">
        <is>
          <t>Motor 1 of 4, 15 kW</t>
        </is>
      </c>
      <c r="E233" s="12" t="n">
        <v>480</v>
      </c>
      <c r="F233" s="12" t="n">
        <v>15</v>
      </c>
      <c r="G233" s="12" t="n">
        <v>21.2</v>
      </c>
      <c r="H233" s="12" t="inlineStr">
        <is>
          <t>R2B: unit / HRSG electrical e-house (32 x 40 ft)</t>
        </is>
      </c>
      <c r="I233" s="12" t="inlineStr">
        <is>
          <t>LV 600 V</t>
        </is>
      </c>
      <c r="J233" s="12" t="inlineStr">
        <is>
          <t>10</t>
        </is>
      </c>
      <c r="K233" s="12" t="n">
        <v>1</v>
      </c>
    </row>
    <row r="234">
      <c r="A234" s="12" t="inlineStr">
        <is>
          <t>HRSG 2 + SCR (3P reheat, horizontal)</t>
        </is>
      </c>
      <c r="B234" s="12" t="inlineStr">
        <is>
          <t>HRSG-2</t>
        </is>
      </c>
      <c r="C234" s="12" t="inlineStr">
        <is>
          <t>A</t>
        </is>
      </c>
      <c r="D234" s="12" t="inlineStr">
        <is>
          <t>Motor 2 of 4, 15 kW</t>
        </is>
      </c>
      <c r="E234" s="12" t="n">
        <v>480</v>
      </c>
      <c r="F234" s="12" t="n">
        <v>15</v>
      </c>
      <c r="G234" s="12" t="n">
        <v>21.2</v>
      </c>
      <c r="H234" s="12" t="inlineStr">
        <is>
          <t>R2B: unit / HRSG electrical e-house (32 x 40 ft)</t>
        </is>
      </c>
      <c r="I234" s="12" t="inlineStr">
        <is>
          <t>LV 600 V</t>
        </is>
      </c>
      <c r="J234" s="12" t="inlineStr">
        <is>
          <t>10</t>
        </is>
      </c>
      <c r="K234" s="12" t="n">
        <v>1</v>
      </c>
    </row>
    <row r="235">
      <c r="A235" s="12" t="inlineStr">
        <is>
          <t>HRSG 2 + SCR (3P reheat, horizontal)</t>
        </is>
      </c>
      <c r="B235" s="12" t="inlineStr">
        <is>
          <t>HRSG-2</t>
        </is>
      </c>
      <c r="C235" s="12" t="inlineStr">
        <is>
          <t>A</t>
        </is>
      </c>
      <c r="D235" s="12" t="inlineStr">
        <is>
          <t>Motor 3 of 4, 15 kW</t>
        </is>
      </c>
      <c r="E235" s="12" t="n">
        <v>480</v>
      </c>
      <c r="F235" s="12" t="n">
        <v>15</v>
      </c>
      <c r="G235" s="12" t="n">
        <v>21.2</v>
      </c>
      <c r="H235" s="12" t="inlineStr">
        <is>
          <t>R2B: unit / HRSG electrical e-house (32 x 40 ft)</t>
        </is>
      </c>
      <c r="I235" s="12" t="inlineStr">
        <is>
          <t>LV 600 V</t>
        </is>
      </c>
      <c r="J235" s="12" t="inlineStr">
        <is>
          <t>10</t>
        </is>
      </c>
      <c r="K235" s="12" t="n">
        <v>1</v>
      </c>
    </row>
    <row r="236">
      <c r="A236" s="12" t="inlineStr">
        <is>
          <t>HRSG 2 + SCR (3P reheat, horizontal)</t>
        </is>
      </c>
      <c r="B236" s="12" t="inlineStr">
        <is>
          <t>HRSG-2</t>
        </is>
      </c>
      <c r="C236" s="12" t="inlineStr">
        <is>
          <t>A</t>
        </is>
      </c>
      <c r="D236" s="12" t="inlineStr">
        <is>
          <t>Motor 4 of 4, 15 kW</t>
        </is>
      </c>
      <c r="E236" s="12" t="n">
        <v>480</v>
      </c>
      <c r="F236" s="12" t="n">
        <v>15</v>
      </c>
      <c r="G236" s="12" t="n">
        <v>21.2</v>
      </c>
      <c r="H236" s="12" t="inlineStr">
        <is>
          <t>R2B: unit / HRSG electrical e-house (32 x 40 ft)</t>
        </is>
      </c>
      <c r="I236" s="12" t="inlineStr">
        <is>
          <t>LV 600 V</t>
        </is>
      </c>
      <c r="J236" s="12" t="inlineStr">
        <is>
          <t>10</t>
        </is>
      </c>
      <c r="K236" s="12" t="n">
        <v>1</v>
      </c>
    </row>
    <row r="237">
      <c r="A237" s="12" t="inlineStr">
        <is>
          <t>HRSG 2 + SCR (3P reheat, horizontal)</t>
        </is>
      </c>
      <c r="B237" s="12" t="inlineStr">
        <is>
          <t>HRSG-2</t>
        </is>
      </c>
      <c r="C237" s="12" t="inlineStr">
        <is>
          <t>A</t>
        </is>
      </c>
      <c r="D237" s="12" t="inlineStr">
        <is>
          <t>MOV 1: power</t>
        </is>
      </c>
      <c r="E237" s="12" t="n">
        <v>480</v>
      </c>
      <c r="F237" s="12" t="n">
        <v>2.5</v>
      </c>
      <c r="G237" s="12" t="n">
        <v>3.5</v>
      </c>
      <c r="H237" s="12" t="inlineStr">
        <is>
          <t>R2B: unit / HRSG electrical e-house (32 x 40 ft)</t>
        </is>
      </c>
      <c r="I237" s="12" t="inlineStr">
        <is>
          <t>LV 600 V</t>
        </is>
      </c>
      <c r="J237" s="12" t="inlineStr">
        <is>
          <t>10</t>
        </is>
      </c>
      <c r="K237" s="12" t="n">
        <v>1</v>
      </c>
    </row>
    <row r="238">
      <c r="A238" s="12" t="inlineStr">
        <is>
          <t>HRSG 2 + SCR (3P reheat, horizontal)</t>
        </is>
      </c>
      <c r="B238" s="12" t="inlineStr">
        <is>
          <t>HRSG-2</t>
        </is>
      </c>
      <c r="C238" s="12" t="inlineStr">
        <is>
          <t>A</t>
        </is>
      </c>
      <c r="D238" s="12" t="inlineStr">
        <is>
          <t>MOV 2: power</t>
        </is>
      </c>
      <c r="E238" s="12" t="n">
        <v>480</v>
      </c>
      <c r="F238" s="12" t="n">
        <v>2.5</v>
      </c>
      <c r="G238" s="12" t="n">
        <v>3.5</v>
      </c>
      <c r="H238" s="12" t="inlineStr">
        <is>
          <t>R2B: unit / HRSG electrical e-house (32 x 40 ft)</t>
        </is>
      </c>
      <c r="I238" s="12" t="inlineStr">
        <is>
          <t>LV 600 V</t>
        </is>
      </c>
      <c r="J238" s="12" t="inlineStr">
        <is>
          <t>10</t>
        </is>
      </c>
      <c r="K238" s="12" t="n">
        <v>1</v>
      </c>
    </row>
    <row r="239">
      <c r="A239" s="12" t="inlineStr">
        <is>
          <t>HRSG 2 + SCR (3P reheat, horizontal)</t>
        </is>
      </c>
      <c r="B239" s="12" t="inlineStr">
        <is>
          <t>HRSG-2</t>
        </is>
      </c>
      <c r="C239" s="12" t="inlineStr">
        <is>
          <t>A</t>
        </is>
      </c>
      <c r="D239" s="12" t="inlineStr">
        <is>
          <t>MOV 3: power</t>
        </is>
      </c>
      <c r="E239" s="12" t="n">
        <v>480</v>
      </c>
      <c r="F239" s="12" t="n">
        <v>2.5</v>
      </c>
      <c r="G239" s="12" t="n">
        <v>3.5</v>
      </c>
      <c r="H239" s="12" t="inlineStr">
        <is>
          <t>R2B: unit / HRSG electrical e-house (32 x 40 ft)</t>
        </is>
      </c>
      <c r="I239" s="12" t="inlineStr">
        <is>
          <t>LV 600 V</t>
        </is>
      </c>
      <c r="J239" s="12" t="inlineStr">
        <is>
          <t>10</t>
        </is>
      </c>
      <c r="K239" s="12" t="n">
        <v>1</v>
      </c>
    </row>
    <row r="240">
      <c r="A240" s="12" t="inlineStr">
        <is>
          <t>HRSG 2 + SCR (3P reheat, horizontal)</t>
        </is>
      </c>
      <c r="B240" s="12" t="inlineStr">
        <is>
          <t>HRSG-2</t>
        </is>
      </c>
      <c r="C240" s="12" t="inlineStr">
        <is>
          <t>A</t>
        </is>
      </c>
      <c r="D240" s="12" t="inlineStr">
        <is>
          <t>MOV 4: power</t>
        </is>
      </c>
      <c r="E240" s="12" t="n">
        <v>480</v>
      </c>
      <c r="F240" s="12" t="n">
        <v>2.5</v>
      </c>
      <c r="G240" s="12" t="n">
        <v>3.5</v>
      </c>
      <c r="H240" s="12" t="inlineStr">
        <is>
          <t>R2B: unit / HRSG electrical e-house (32 x 40 ft)</t>
        </is>
      </c>
      <c r="I240" s="12" t="inlineStr">
        <is>
          <t>LV 600 V</t>
        </is>
      </c>
      <c r="J240" s="12" t="inlineStr">
        <is>
          <t>10</t>
        </is>
      </c>
      <c r="K240" s="12" t="n">
        <v>1</v>
      </c>
    </row>
    <row r="241">
      <c r="A241" s="12" t="inlineStr">
        <is>
          <t>HRSG 2 + SCR (3P reheat, horizontal)</t>
        </is>
      </c>
      <c r="B241" s="12" t="inlineStr">
        <is>
          <t>HRSG-2</t>
        </is>
      </c>
      <c r="C241" s="12" t="inlineStr">
        <is>
          <t>A</t>
        </is>
      </c>
      <c r="D241" s="12" t="inlineStr">
        <is>
          <t>MOV 5: power</t>
        </is>
      </c>
      <c r="E241" s="12" t="n">
        <v>480</v>
      </c>
      <c r="F241" s="12" t="n">
        <v>2.5</v>
      </c>
      <c r="G241" s="12" t="n">
        <v>3.5</v>
      </c>
      <c r="H241" s="12" t="inlineStr">
        <is>
          <t>R2B: unit / HRSG electrical e-house (32 x 40 ft)</t>
        </is>
      </c>
      <c r="I241" s="12" t="inlineStr">
        <is>
          <t>LV 600 V</t>
        </is>
      </c>
      <c r="J241" s="12" t="inlineStr">
        <is>
          <t>10</t>
        </is>
      </c>
      <c r="K241" s="12" t="n">
        <v>1</v>
      </c>
    </row>
    <row r="242">
      <c r="A242" s="12" t="inlineStr">
        <is>
          <t>HRSG 2 + SCR (3P reheat, horizontal)</t>
        </is>
      </c>
      <c r="B242" s="12" t="inlineStr">
        <is>
          <t>HRSG-2</t>
        </is>
      </c>
      <c r="C242" s="12" t="inlineStr">
        <is>
          <t>A</t>
        </is>
      </c>
      <c r="D242" s="12" t="inlineStr">
        <is>
          <t>MOV 6: power</t>
        </is>
      </c>
      <c r="E242" s="12" t="n">
        <v>480</v>
      </c>
      <c r="F242" s="12" t="n">
        <v>2.5</v>
      </c>
      <c r="G242" s="12" t="n">
        <v>3.5</v>
      </c>
      <c r="H242" s="12" t="inlineStr">
        <is>
          <t>R2B: unit / HRSG electrical e-house (32 x 40 ft)</t>
        </is>
      </c>
      <c r="I242" s="12" t="inlineStr">
        <is>
          <t>LV 600 V</t>
        </is>
      </c>
      <c r="J242" s="12" t="inlineStr">
        <is>
          <t>10</t>
        </is>
      </c>
      <c r="K242" s="12" t="n">
        <v>1</v>
      </c>
    </row>
    <row r="243">
      <c r="A243" s="12" t="inlineStr">
        <is>
          <t>HRSG 2 + SCR (3P reheat, horizontal)</t>
        </is>
      </c>
      <c r="B243" s="12" t="inlineStr">
        <is>
          <t>HRSG-2</t>
        </is>
      </c>
      <c r="C243" s="12" t="inlineStr">
        <is>
          <t>A</t>
        </is>
      </c>
      <c r="D243" s="12" t="inlineStr">
        <is>
          <t>MOV 7: power</t>
        </is>
      </c>
      <c r="E243" s="12" t="n">
        <v>480</v>
      </c>
      <c r="F243" s="12" t="n">
        <v>2.5</v>
      </c>
      <c r="G243" s="12" t="n">
        <v>3.5</v>
      </c>
      <c r="H243" s="12" t="inlineStr">
        <is>
          <t>R2B: unit / HRSG electrical e-house (32 x 40 ft)</t>
        </is>
      </c>
      <c r="I243" s="12" t="inlineStr">
        <is>
          <t>LV 600 V</t>
        </is>
      </c>
      <c r="J243" s="12" t="inlineStr">
        <is>
          <t>10</t>
        </is>
      </c>
      <c r="K243" s="12" t="n">
        <v>1</v>
      </c>
    </row>
    <row r="244">
      <c r="A244" s="12" t="inlineStr">
        <is>
          <t>HRSG 2 + SCR (3P reheat, horizontal)</t>
        </is>
      </c>
      <c r="B244" s="12" t="inlineStr">
        <is>
          <t>HRSG-2</t>
        </is>
      </c>
      <c r="C244" s="12" t="inlineStr">
        <is>
          <t>A</t>
        </is>
      </c>
      <c r="D244" s="12" t="inlineStr">
        <is>
          <t>MOV 8: power</t>
        </is>
      </c>
      <c r="E244" s="12" t="n">
        <v>480</v>
      </c>
      <c r="F244" s="12" t="n">
        <v>2.5</v>
      </c>
      <c r="G244" s="12" t="n">
        <v>3.5</v>
      </c>
      <c r="H244" s="12" t="inlineStr">
        <is>
          <t>R2B: unit / HRSG electrical e-house (32 x 40 ft)</t>
        </is>
      </c>
      <c r="I244" s="12" t="inlineStr">
        <is>
          <t>LV 600 V</t>
        </is>
      </c>
      <c r="J244" s="12" t="inlineStr">
        <is>
          <t>10</t>
        </is>
      </c>
      <c r="K244" s="12" t="n">
        <v>1</v>
      </c>
    </row>
    <row r="245">
      <c r="A245" s="12" t="inlineStr">
        <is>
          <t>HRSG 2 + SCR (3P reheat, horizontal)</t>
        </is>
      </c>
      <c r="B245" s="12" t="inlineStr">
        <is>
          <t>HRSG-2</t>
        </is>
      </c>
      <c r="C245" s="12" t="inlineStr">
        <is>
          <t>A</t>
        </is>
      </c>
      <c r="D245" s="12" t="inlineStr">
        <is>
          <t>MOV 9: power</t>
        </is>
      </c>
      <c r="E245" s="12" t="n">
        <v>480</v>
      </c>
      <c r="F245" s="12" t="n">
        <v>2.5</v>
      </c>
      <c r="G245" s="12" t="n">
        <v>3.5</v>
      </c>
      <c r="H245" s="12" t="inlineStr">
        <is>
          <t>R2B: unit / HRSG electrical e-house (32 x 40 ft)</t>
        </is>
      </c>
      <c r="I245" s="12" t="inlineStr">
        <is>
          <t>LV 600 V</t>
        </is>
      </c>
      <c r="J245" s="12" t="inlineStr">
        <is>
          <t>10</t>
        </is>
      </c>
      <c r="K245" s="12" t="n">
        <v>1</v>
      </c>
    </row>
    <row r="246">
      <c r="A246" s="12" t="inlineStr">
        <is>
          <t>HRSG 2 + SCR (3P reheat, horizontal)</t>
        </is>
      </c>
      <c r="B246" s="12" t="inlineStr">
        <is>
          <t>HRSG-2</t>
        </is>
      </c>
      <c r="C246" s="12" t="inlineStr">
        <is>
          <t>A</t>
        </is>
      </c>
      <c r="D246" s="12" t="inlineStr">
        <is>
          <t>MOV 10: power</t>
        </is>
      </c>
      <c r="E246" s="12" t="n">
        <v>480</v>
      </c>
      <c r="F246" s="12" t="n">
        <v>2.5</v>
      </c>
      <c r="G246" s="12" t="n">
        <v>3.5</v>
      </c>
      <c r="H246" s="12" t="inlineStr">
        <is>
          <t>R2B: unit / HRSG electrical e-house (32 x 40 ft)</t>
        </is>
      </c>
      <c r="I246" s="12" t="inlineStr">
        <is>
          <t>LV 600 V</t>
        </is>
      </c>
      <c r="J246" s="12" t="inlineStr">
        <is>
          <t>10</t>
        </is>
      </c>
      <c r="K246" s="12" t="n">
        <v>1</v>
      </c>
    </row>
    <row r="247">
      <c r="A247" s="12" t="inlineStr">
        <is>
          <t>HRSG 2 + SCR (3P reheat, horizontal)</t>
        </is>
      </c>
      <c r="B247" s="12" t="inlineStr">
        <is>
          <t>HRSG-2</t>
        </is>
      </c>
      <c r="C247" s="12" t="inlineStr">
        <is>
          <t>A</t>
        </is>
      </c>
      <c r="D247" s="12" t="inlineStr">
        <is>
          <t>MOV 11: power</t>
        </is>
      </c>
      <c r="E247" s="12" t="n">
        <v>480</v>
      </c>
      <c r="F247" s="12" t="n">
        <v>2.5</v>
      </c>
      <c r="G247" s="12" t="n">
        <v>3.5</v>
      </c>
      <c r="H247" s="12" t="inlineStr">
        <is>
          <t>R2B: unit / HRSG electrical e-house (32 x 40 ft)</t>
        </is>
      </c>
      <c r="I247" s="12" t="inlineStr">
        <is>
          <t>LV 600 V</t>
        </is>
      </c>
      <c r="J247" s="12" t="inlineStr">
        <is>
          <t>10</t>
        </is>
      </c>
      <c r="K247" s="12" t="n">
        <v>1</v>
      </c>
    </row>
    <row r="248">
      <c r="A248" s="12" t="inlineStr">
        <is>
          <t>HRSG 2 + SCR (3P reheat, horizontal)</t>
        </is>
      </c>
      <c r="B248" s="12" t="inlineStr">
        <is>
          <t>HRSG-2</t>
        </is>
      </c>
      <c r="C248" s="12" t="inlineStr">
        <is>
          <t>A</t>
        </is>
      </c>
      <c r="D248" s="12" t="inlineStr">
        <is>
          <t>MOV 12: power</t>
        </is>
      </c>
      <c r="E248" s="12" t="n">
        <v>480</v>
      </c>
      <c r="F248" s="12" t="n">
        <v>2.5</v>
      </c>
      <c r="G248" s="12" t="n">
        <v>3.5</v>
      </c>
      <c r="H248" s="12" t="inlineStr">
        <is>
          <t>R2B: unit / HRSG electrical e-house (32 x 40 ft)</t>
        </is>
      </c>
      <c r="I248" s="12" t="inlineStr">
        <is>
          <t>LV 600 V</t>
        </is>
      </c>
      <c r="J248" s="12" t="inlineStr">
        <is>
          <t>10</t>
        </is>
      </c>
      <c r="K248" s="12" t="n">
        <v>1</v>
      </c>
    </row>
    <row r="249">
      <c r="A249" s="12" t="inlineStr">
        <is>
          <t>HRSG 2 + SCR (3P reheat, horizontal)</t>
        </is>
      </c>
      <c r="B249" s="12" t="inlineStr">
        <is>
          <t>HRSG-2</t>
        </is>
      </c>
      <c r="C249" s="12" t="inlineStr">
        <is>
          <t>A</t>
        </is>
      </c>
      <c r="D249" s="12" t="inlineStr">
        <is>
          <t>MOV 13: power</t>
        </is>
      </c>
      <c r="E249" s="12" t="n">
        <v>480</v>
      </c>
      <c r="F249" s="12" t="n">
        <v>2.5</v>
      </c>
      <c r="G249" s="12" t="n">
        <v>3.5</v>
      </c>
      <c r="H249" s="12" t="inlineStr">
        <is>
          <t>R2B: unit / HRSG electrical e-house (32 x 40 ft)</t>
        </is>
      </c>
      <c r="I249" s="12" t="inlineStr">
        <is>
          <t>LV 600 V</t>
        </is>
      </c>
      <c r="J249" s="12" t="inlineStr">
        <is>
          <t>10</t>
        </is>
      </c>
      <c r="K249" s="12" t="n">
        <v>1</v>
      </c>
    </row>
    <row r="250">
      <c r="A250" s="12" t="inlineStr">
        <is>
          <t>HRSG 2 + SCR (3P reheat, horizontal)</t>
        </is>
      </c>
      <c r="B250" s="12" t="inlineStr">
        <is>
          <t>HRSG-2</t>
        </is>
      </c>
      <c r="C250" s="12" t="inlineStr">
        <is>
          <t>A</t>
        </is>
      </c>
      <c r="D250" s="12" t="inlineStr">
        <is>
          <t>MOV 14: power</t>
        </is>
      </c>
      <c r="E250" s="12" t="n">
        <v>480</v>
      </c>
      <c r="F250" s="12" t="n">
        <v>2.5</v>
      </c>
      <c r="G250" s="12" t="n">
        <v>3.5</v>
      </c>
      <c r="H250" s="12" t="inlineStr">
        <is>
          <t>R2B: unit / HRSG electrical e-house (32 x 40 ft)</t>
        </is>
      </c>
      <c r="I250" s="12" t="inlineStr">
        <is>
          <t>LV 600 V</t>
        </is>
      </c>
      <c r="J250" s="12" t="inlineStr">
        <is>
          <t>10</t>
        </is>
      </c>
      <c r="K250" s="12" t="n">
        <v>1</v>
      </c>
    </row>
    <row r="251">
      <c r="A251" s="12" t="inlineStr">
        <is>
          <t>HRSG 2 + SCR (3P reheat, horizontal)</t>
        </is>
      </c>
      <c r="B251" s="12" t="inlineStr">
        <is>
          <t>HRSG-2</t>
        </is>
      </c>
      <c r="C251" s="12" t="inlineStr">
        <is>
          <t>A</t>
        </is>
      </c>
      <c r="D251" s="12" t="inlineStr">
        <is>
          <t>MOV 15: power</t>
        </is>
      </c>
      <c r="E251" s="12" t="n">
        <v>480</v>
      </c>
      <c r="F251" s="12" t="n">
        <v>2.5</v>
      </c>
      <c r="G251" s="12" t="n">
        <v>3.5</v>
      </c>
      <c r="H251" s="12" t="inlineStr">
        <is>
          <t>R2B: unit / HRSG electrical e-house (32 x 40 ft)</t>
        </is>
      </c>
      <c r="I251" s="12" t="inlineStr">
        <is>
          <t>LV 600 V</t>
        </is>
      </c>
      <c r="J251" s="12" t="inlineStr">
        <is>
          <t>10</t>
        </is>
      </c>
      <c r="K251" s="12" t="n">
        <v>1</v>
      </c>
    </row>
    <row r="252">
      <c r="A252" s="12" t="inlineStr">
        <is>
          <t>HRSG 2 + SCR (3P reheat, horizontal)</t>
        </is>
      </c>
      <c r="B252" s="12" t="inlineStr">
        <is>
          <t>HRSG-2</t>
        </is>
      </c>
      <c r="C252" s="12" t="inlineStr">
        <is>
          <t>A</t>
        </is>
      </c>
      <c r="D252" s="12" t="inlineStr">
        <is>
          <t>MOV 16: power</t>
        </is>
      </c>
      <c r="E252" s="12" t="n">
        <v>480</v>
      </c>
      <c r="F252" s="12" t="n">
        <v>2.5</v>
      </c>
      <c r="G252" s="12" t="n">
        <v>3.5</v>
      </c>
      <c r="H252" s="12" t="inlineStr">
        <is>
          <t>R2B: unit / HRSG electrical e-house (32 x 40 ft)</t>
        </is>
      </c>
      <c r="I252" s="12" t="inlineStr">
        <is>
          <t>LV 600 V</t>
        </is>
      </c>
      <c r="J252" s="12" t="inlineStr">
        <is>
          <t>10</t>
        </is>
      </c>
      <c r="K252" s="12" t="n">
        <v>1</v>
      </c>
    </row>
    <row r="253">
      <c r="A253" s="12" t="inlineStr">
        <is>
          <t>HRSG 2 + SCR (3P reheat, horizontal)</t>
        </is>
      </c>
      <c r="B253" s="12" t="inlineStr">
        <is>
          <t>HRSG-2</t>
        </is>
      </c>
      <c r="C253" s="12" t="inlineStr">
        <is>
          <t>A</t>
        </is>
      </c>
      <c r="D253" s="12" t="inlineStr">
        <is>
          <t>MOV 17: power</t>
        </is>
      </c>
      <c r="E253" s="12" t="n">
        <v>480</v>
      </c>
      <c r="F253" s="12" t="n">
        <v>2.5</v>
      </c>
      <c r="G253" s="12" t="n">
        <v>3.5</v>
      </c>
      <c r="H253" s="12" t="inlineStr">
        <is>
          <t>R2B: unit / HRSG electrical e-house (32 x 40 ft)</t>
        </is>
      </c>
      <c r="I253" s="12" t="inlineStr">
        <is>
          <t>LV 600 V</t>
        </is>
      </c>
      <c r="J253" s="12" t="inlineStr">
        <is>
          <t>10</t>
        </is>
      </c>
      <c r="K253" s="12" t="n">
        <v>1</v>
      </c>
    </row>
    <row r="254">
      <c r="A254" s="12" t="inlineStr">
        <is>
          <t>HRSG 2 + SCR (3P reheat, horizontal)</t>
        </is>
      </c>
      <c r="B254" s="12" t="inlineStr">
        <is>
          <t>HRSG-2</t>
        </is>
      </c>
      <c r="C254" s="12" t="inlineStr">
        <is>
          <t>A</t>
        </is>
      </c>
      <c r="D254" s="12" t="inlineStr">
        <is>
          <t>MOV 18: power</t>
        </is>
      </c>
      <c r="E254" s="12" t="n">
        <v>480</v>
      </c>
      <c r="F254" s="12" t="n">
        <v>2.5</v>
      </c>
      <c r="G254" s="12" t="n">
        <v>3.5</v>
      </c>
      <c r="H254" s="12" t="inlineStr">
        <is>
          <t>R2B: unit / HRSG electrical e-house (32 x 40 ft)</t>
        </is>
      </c>
      <c r="I254" s="12" t="inlineStr">
        <is>
          <t>LV 600 V</t>
        </is>
      </c>
      <c r="J254" s="12" t="inlineStr">
        <is>
          <t>10</t>
        </is>
      </c>
      <c r="K254" s="12" t="n">
        <v>1</v>
      </c>
    </row>
    <row r="255">
      <c r="A255" s="12" t="inlineStr">
        <is>
          <t>HRSG 2 + SCR (3P reheat, horizontal)</t>
        </is>
      </c>
      <c r="B255" s="12" t="inlineStr">
        <is>
          <t>HRSG-2</t>
        </is>
      </c>
      <c r="C255" s="12" t="inlineStr">
        <is>
          <t>A</t>
        </is>
      </c>
      <c r="D255" s="12" t="inlineStr">
        <is>
          <t>MOV 19: power</t>
        </is>
      </c>
      <c r="E255" s="12" t="n">
        <v>480</v>
      </c>
      <c r="F255" s="12" t="n">
        <v>2.5</v>
      </c>
      <c r="G255" s="12" t="n">
        <v>3.5</v>
      </c>
      <c r="H255" s="12" t="inlineStr">
        <is>
          <t>R2B: unit / HRSG electrical e-house (32 x 40 ft)</t>
        </is>
      </c>
      <c r="I255" s="12" t="inlineStr">
        <is>
          <t>LV 600 V</t>
        </is>
      </c>
      <c r="J255" s="12" t="inlineStr">
        <is>
          <t>10</t>
        </is>
      </c>
      <c r="K255" s="12" t="n">
        <v>1</v>
      </c>
    </row>
    <row r="256">
      <c r="A256" s="12" t="inlineStr">
        <is>
          <t>HRSG 2 + SCR (3P reheat, horizontal)</t>
        </is>
      </c>
      <c r="B256" s="12" t="inlineStr">
        <is>
          <t>HRSG-2</t>
        </is>
      </c>
      <c r="C256" s="12" t="inlineStr">
        <is>
          <t>A</t>
        </is>
      </c>
      <c r="D256" s="12" t="inlineStr">
        <is>
          <t>MOV 20: power</t>
        </is>
      </c>
      <c r="E256" s="12" t="n">
        <v>480</v>
      </c>
      <c r="F256" s="12" t="n">
        <v>2.5</v>
      </c>
      <c r="G256" s="12" t="n">
        <v>3.5</v>
      </c>
      <c r="H256" s="12" t="inlineStr">
        <is>
          <t>R2B: unit / HRSG electrical e-house (32 x 40 ft)</t>
        </is>
      </c>
      <c r="I256" s="12" t="inlineStr">
        <is>
          <t>LV 600 V</t>
        </is>
      </c>
      <c r="J256" s="12" t="inlineStr">
        <is>
          <t>10</t>
        </is>
      </c>
      <c r="K256" s="12" t="n">
        <v>1</v>
      </c>
    </row>
    <row r="257">
      <c r="A257" s="12" t="inlineStr">
        <is>
          <t>HRSG 2 + SCR (3P reheat, horizontal)</t>
        </is>
      </c>
      <c r="B257" s="12" t="inlineStr">
        <is>
          <t>HRSG-2</t>
        </is>
      </c>
      <c r="C257" s="12" t="inlineStr">
        <is>
          <t>A</t>
        </is>
      </c>
      <c r="D257" s="12" t="inlineStr">
        <is>
          <t>MOV 21: power</t>
        </is>
      </c>
      <c r="E257" s="12" t="n">
        <v>480</v>
      </c>
      <c r="F257" s="12" t="n">
        <v>2.5</v>
      </c>
      <c r="G257" s="12" t="n">
        <v>3.5</v>
      </c>
      <c r="H257" s="12" t="inlineStr">
        <is>
          <t>R2B: unit / HRSG electrical e-house (32 x 40 ft)</t>
        </is>
      </c>
      <c r="I257" s="12" t="inlineStr">
        <is>
          <t>LV 600 V</t>
        </is>
      </c>
      <c r="J257" s="12" t="inlineStr">
        <is>
          <t>10</t>
        </is>
      </c>
      <c r="K257" s="12" t="n">
        <v>1</v>
      </c>
    </row>
    <row r="258">
      <c r="A258" s="12" t="inlineStr">
        <is>
          <t>HRSG 2 + SCR (3P reheat, horizontal)</t>
        </is>
      </c>
      <c r="B258" s="12" t="inlineStr">
        <is>
          <t>HRSG-2</t>
        </is>
      </c>
      <c r="C258" s="12" t="inlineStr">
        <is>
          <t>A</t>
        </is>
      </c>
      <c r="D258" s="12" t="inlineStr">
        <is>
          <t>MOV 22: power</t>
        </is>
      </c>
      <c r="E258" s="12" t="n">
        <v>480</v>
      </c>
      <c r="F258" s="12" t="n">
        <v>2.5</v>
      </c>
      <c r="G258" s="12" t="n">
        <v>3.5</v>
      </c>
      <c r="H258" s="12" t="inlineStr">
        <is>
          <t>R2B: unit / HRSG electrical e-house (32 x 40 ft)</t>
        </is>
      </c>
      <c r="I258" s="12" t="inlineStr">
        <is>
          <t>LV 600 V</t>
        </is>
      </c>
      <c r="J258" s="12" t="inlineStr">
        <is>
          <t>10</t>
        </is>
      </c>
      <c r="K258" s="12" t="n">
        <v>1</v>
      </c>
    </row>
    <row r="259">
      <c r="A259" s="12" t="inlineStr">
        <is>
          <t>HRSG 2 + SCR (3P reheat, horizontal)</t>
        </is>
      </c>
      <c r="B259" s="12" t="inlineStr">
        <is>
          <t>HRSG-2</t>
        </is>
      </c>
      <c r="C259" s="12" t="inlineStr">
        <is>
          <t>A</t>
        </is>
      </c>
      <c r="D259" s="12" t="inlineStr">
        <is>
          <t>MOV 23: power</t>
        </is>
      </c>
      <c r="E259" s="12" t="n">
        <v>480</v>
      </c>
      <c r="F259" s="12" t="n">
        <v>2.5</v>
      </c>
      <c r="G259" s="12" t="n">
        <v>3.5</v>
      </c>
      <c r="H259" s="12" t="inlineStr">
        <is>
          <t>R2B: unit / HRSG electrical e-house (32 x 40 ft)</t>
        </is>
      </c>
      <c r="I259" s="12" t="inlineStr">
        <is>
          <t>LV 600 V</t>
        </is>
      </c>
      <c r="J259" s="12" t="inlineStr">
        <is>
          <t>10</t>
        </is>
      </c>
      <c r="K259" s="12" t="n">
        <v>1</v>
      </c>
    </row>
    <row r="260">
      <c r="A260" s="12" t="inlineStr">
        <is>
          <t>HRSG 2 + SCR (3P reheat, horizontal)</t>
        </is>
      </c>
      <c r="B260" s="12" t="inlineStr">
        <is>
          <t>HRSG-2</t>
        </is>
      </c>
      <c r="C260" s="12" t="inlineStr">
        <is>
          <t>A</t>
        </is>
      </c>
      <c r="D260" s="12" t="inlineStr">
        <is>
          <t>MOV 24: power</t>
        </is>
      </c>
      <c r="E260" s="12" t="n">
        <v>480</v>
      </c>
      <c r="F260" s="12" t="n">
        <v>2.5</v>
      </c>
      <c r="G260" s="12" t="n">
        <v>3.5</v>
      </c>
      <c r="H260" s="12" t="inlineStr">
        <is>
          <t>R2B: unit / HRSG electrical e-house (32 x 40 ft)</t>
        </is>
      </c>
      <c r="I260" s="12" t="inlineStr">
        <is>
          <t>LV 600 V</t>
        </is>
      </c>
      <c r="J260" s="12" t="inlineStr">
        <is>
          <t>10</t>
        </is>
      </c>
      <c r="K260" s="12" t="n">
        <v>1</v>
      </c>
    </row>
    <row r="261">
      <c r="A261" s="12" t="inlineStr">
        <is>
          <t>HRSG 2 + SCR (3P reheat, horizontal)</t>
        </is>
      </c>
      <c r="B261" s="12" t="inlineStr">
        <is>
          <t>HRSG-2</t>
        </is>
      </c>
      <c r="C261" s="12" t="inlineStr">
        <is>
          <t>A</t>
        </is>
      </c>
      <c r="D261" s="12" t="inlineStr">
        <is>
          <t>MOV 25: power</t>
        </is>
      </c>
      <c r="E261" s="12" t="n">
        <v>480</v>
      </c>
      <c r="F261" s="12" t="n">
        <v>2.5</v>
      </c>
      <c r="G261" s="12" t="n">
        <v>3.5</v>
      </c>
      <c r="H261" s="12" t="inlineStr">
        <is>
          <t>R2B: unit / HRSG electrical e-house (32 x 40 ft)</t>
        </is>
      </c>
      <c r="I261" s="12" t="inlineStr">
        <is>
          <t>LV 600 V</t>
        </is>
      </c>
      <c r="J261" s="12" t="inlineStr">
        <is>
          <t>10</t>
        </is>
      </c>
      <c r="K261" s="12" t="n">
        <v>1</v>
      </c>
    </row>
    <row r="262">
      <c r="A262" s="12" t="inlineStr">
        <is>
          <t>HRSG 2 + SCR (3P reheat, horizontal)</t>
        </is>
      </c>
      <c r="B262" s="12" t="inlineStr">
        <is>
          <t>HRSG-2</t>
        </is>
      </c>
      <c r="C262" s="12" t="inlineStr">
        <is>
          <t>A</t>
        </is>
      </c>
      <c r="D262" s="12" t="inlineStr">
        <is>
          <t>MOV 26: power</t>
        </is>
      </c>
      <c r="E262" s="12" t="n">
        <v>480</v>
      </c>
      <c r="F262" s="12" t="n">
        <v>2.5</v>
      </c>
      <c r="G262" s="12" t="n">
        <v>3.5</v>
      </c>
      <c r="H262" s="12" t="inlineStr">
        <is>
          <t>R2B: unit / HRSG electrical e-house (32 x 40 ft)</t>
        </is>
      </c>
      <c r="I262" s="12" t="inlineStr">
        <is>
          <t>LV 600 V</t>
        </is>
      </c>
      <c r="J262" s="12" t="inlineStr">
        <is>
          <t>10</t>
        </is>
      </c>
      <c r="K262" s="12" t="n">
        <v>1</v>
      </c>
    </row>
    <row r="263">
      <c r="A263" s="12" t="inlineStr">
        <is>
          <t>HRSG 2 + SCR (3P reheat, horizontal)</t>
        </is>
      </c>
      <c r="B263" s="12" t="inlineStr">
        <is>
          <t>HRSG-2</t>
        </is>
      </c>
      <c r="C263" s="12" t="inlineStr">
        <is>
          <t>A</t>
        </is>
      </c>
      <c r="D263" s="12" t="inlineStr">
        <is>
          <t>MOV 27: power</t>
        </is>
      </c>
      <c r="E263" s="12" t="n">
        <v>480</v>
      </c>
      <c r="F263" s="12" t="n">
        <v>2.5</v>
      </c>
      <c r="G263" s="12" t="n">
        <v>3.5</v>
      </c>
      <c r="H263" s="12" t="inlineStr">
        <is>
          <t>R2B: unit / HRSG electrical e-house (32 x 40 ft)</t>
        </is>
      </c>
      <c r="I263" s="12" t="inlineStr">
        <is>
          <t>LV 600 V</t>
        </is>
      </c>
      <c r="J263" s="12" t="inlineStr">
        <is>
          <t>10</t>
        </is>
      </c>
      <c r="K263" s="12" t="n">
        <v>1</v>
      </c>
    </row>
    <row r="264">
      <c r="A264" s="12" t="inlineStr">
        <is>
          <t>HRSG 2 + SCR (3P reheat, horizontal)</t>
        </is>
      </c>
      <c r="B264" s="12" t="inlineStr">
        <is>
          <t>HRSG-2</t>
        </is>
      </c>
      <c r="C264" s="12" t="inlineStr">
        <is>
          <t>A</t>
        </is>
      </c>
      <c r="D264" s="12" t="inlineStr">
        <is>
          <t>MOV 28: power</t>
        </is>
      </c>
      <c r="E264" s="12" t="n">
        <v>480</v>
      </c>
      <c r="F264" s="12" t="n">
        <v>2.5</v>
      </c>
      <c r="G264" s="12" t="n">
        <v>3.5</v>
      </c>
      <c r="H264" s="12" t="inlineStr">
        <is>
          <t>R2B: unit / HRSG electrical e-house (32 x 40 ft)</t>
        </is>
      </c>
      <c r="I264" s="12" t="inlineStr">
        <is>
          <t>LV 600 V</t>
        </is>
      </c>
      <c r="J264" s="12" t="inlineStr">
        <is>
          <t>10</t>
        </is>
      </c>
      <c r="K264" s="12" t="n">
        <v>1</v>
      </c>
    </row>
    <row r="265">
      <c r="A265" s="12" t="inlineStr">
        <is>
          <t>HRSG 2 + SCR (3P reheat, horizontal)</t>
        </is>
      </c>
      <c r="B265" s="12" t="inlineStr">
        <is>
          <t>HRSG-2</t>
        </is>
      </c>
      <c r="C265" s="12" t="inlineStr">
        <is>
          <t>A</t>
        </is>
      </c>
      <c r="D265" s="12" t="inlineStr">
        <is>
          <t>MOV 29: power</t>
        </is>
      </c>
      <c r="E265" s="12" t="n">
        <v>480</v>
      </c>
      <c r="F265" s="12" t="n">
        <v>2.5</v>
      </c>
      <c r="G265" s="12" t="n">
        <v>3.5</v>
      </c>
      <c r="H265" s="12" t="inlineStr">
        <is>
          <t>R2B: unit / HRSG electrical e-house (32 x 40 ft)</t>
        </is>
      </c>
      <c r="I265" s="12" t="inlineStr">
        <is>
          <t>LV 600 V</t>
        </is>
      </c>
      <c r="J265" s="12" t="inlineStr">
        <is>
          <t>10</t>
        </is>
      </c>
      <c r="K265" s="12" t="n">
        <v>1</v>
      </c>
    </row>
    <row r="266">
      <c r="A266" s="12" t="inlineStr">
        <is>
          <t>HRSG 2 + SCR (3P reheat, horizontal)</t>
        </is>
      </c>
      <c r="B266" s="12" t="inlineStr">
        <is>
          <t>HRSG-2</t>
        </is>
      </c>
      <c r="C266" s="12" t="inlineStr">
        <is>
          <t>A</t>
        </is>
      </c>
      <c r="D266" s="12" t="inlineStr">
        <is>
          <t>MOV 30: power</t>
        </is>
      </c>
      <c r="E266" s="12" t="n">
        <v>480</v>
      </c>
      <c r="F266" s="12" t="n">
        <v>2.5</v>
      </c>
      <c r="G266" s="12" t="n">
        <v>3.5</v>
      </c>
      <c r="H266" s="12" t="inlineStr">
        <is>
          <t>R2B: unit / HRSG electrical e-house (32 x 40 ft)</t>
        </is>
      </c>
      <c r="I266" s="12" t="inlineStr">
        <is>
          <t>LV 600 V</t>
        </is>
      </c>
      <c r="J266" s="12" t="inlineStr">
        <is>
          <t>10</t>
        </is>
      </c>
      <c r="K266" s="12" t="n">
        <v>1</v>
      </c>
    </row>
    <row r="267">
      <c r="A267" s="12" t="inlineStr">
        <is>
          <t>HRSG 2 + SCR (3P reheat, horizontal)</t>
        </is>
      </c>
      <c r="B267" s="12" t="inlineStr">
        <is>
          <t>HRSG-2</t>
        </is>
      </c>
      <c r="C267" s="12" t="inlineStr">
        <is>
          <t>A</t>
        </is>
      </c>
      <c r="D267" s="12" t="inlineStr">
        <is>
          <t>MOV 31: power</t>
        </is>
      </c>
      <c r="E267" s="12" t="n">
        <v>480</v>
      </c>
      <c r="F267" s="12" t="n">
        <v>2.5</v>
      </c>
      <c r="G267" s="12" t="n">
        <v>3.5</v>
      </c>
      <c r="H267" s="12" t="inlineStr">
        <is>
          <t>R2B: unit / HRSG electrical e-house (32 x 40 ft)</t>
        </is>
      </c>
      <c r="I267" s="12" t="inlineStr">
        <is>
          <t>LV 600 V</t>
        </is>
      </c>
      <c r="J267" s="12" t="inlineStr">
        <is>
          <t>10</t>
        </is>
      </c>
      <c r="K267" s="12" t="n">
        <v>1</v>
      </c>
    </row>
    <row r="268">
      <c r="A268" s="12" t="inlineStr">
        <is>
          <t>HRSG 2 + SCR (3P reheat, horizontal)</t>
        </is>
      </c>
      <c r="B268" s="12" t="inlineStr">
        <is>
          <t>HRSG-2</t>
        </is>
      </c>
      <c r="C268" s="12" t="inlineStr">
        <is>
          <t>A</t>
        </is>
      </c>
      <c r="D268" s="12" t="inlineStr">
        <is>
          <t>MOV 32: power</t>
        </is>
      </c>
      <c r="E268" s="12" t="n">
        <v>480</v>
      </c>
      <c r="F268" s="12" t="n">
        <v>2.5</v>
      </c>
      <c r="G268" s="12" t="n">
        <v>3.5</v>
      </c>
      <c r="H268" s="12" t="inlineStr">
        <is>
          <t>R2B: unit / HRSG electrical e-house (32 x 40 ft)</t>
        </is>
      </c>
      <c r="I268" s="12" t="inlineStr">
        <is>
          <t>LV 600 V</t>
        </is>
      </c>
      <c r="J268" s="12" t="inlineStr">
        <is>
          <t>10</t>
        </is>
      </c>
      <c r="K268" s="12" t="n">
        <v>1</v>
      </c>
    </row>
    <row r="269">
      <c r="A269" s="12" t="inlineStr">
        <is>
          <t>HRSG 2 + SCR (3P reheat, horizontal)</t>
        </is>
      </c>
      <c r="B269" s="12" t="inlineStr">
        <is>
          <t>HRSG-2</t>
        </is>
      </c>
      <c r="C269" s="12" t="inlineStr">
        <is>
          <t>A</t>
        </is>
      </c>
      <c r="D269" s="12" t="inlineStr">
        <is>
          <t>MOV 33: power</t>
        </is>
      </c>
      <c r="E269" s="12" t="n">
        <v>480</v>
      </c>
      <c r="F269" s="12" t="n">
        <v>2.5</v>
      </c>
      <c r="G269" s="12" t="n">
        <v>3.5</v>
      </c>
      <c r="H269" s="12" t="inlineStr">
        <is>
          <t>R2B: unit / HRSG electrical e-house (32 x 40 ft)</t>
        </is>
      </c>
      <c r="I269" s="12" t="inlineStr">
        <is>
          <t>LV 600 V</t>
        </is>
      </c>
      <c r="J269" s="12" t="inlineStr">
        <is>
          <t>10</t>
        </is>
      </c>
      <c r="K269" s="12" t="n">
        <v>1</v>
      </c>
    </row>
    <row r="270">
      <c r="A270" s="12" t="inlineStr">
        <is>
          <t>HRSG 2 + SCR (3P reheat, horizontal)</t>
        </is>
      </c>
      <c r="B270" s="12" t="inlineStr">
        <is>
          <t>HRSG-2</t>
        </is>
      </c>
      <c r="C270" s="12" t="inlineStr">
        <is>
          <t>A</t>
        </is>
      </c>
      <c r="D270" s="12" t="inlineStr">
        <is>
          <t>MOV 34: power</t>
        </is>
      </c>
      <c r="E270" s="12" t="n">
        <v>480</v>
      </c>
      <c r="F270" s="12" t="n">
        <v>2.5</v>
      </c>
      <c r="G270" s="12" t="n">
        <v>3.5</v>
      </c>
      <c r="H270" s="12" t="inlineStr">
        <is>
          <t>R2B: unit / HRSG electrical e-house (32 x 40 ft)</t>
        </is>
      </c>
      <c r="I270" s="12" t="inlineStr">
        <is>
          <t>LV 600 V</t>
        </is>
      </c>
      <c r="J270" s="12" t="inlineStr">
        <is>
          <t>10</t>
        </is>
      </c>
      <c r="K270" s="12" t="n">
        <v>1</v>
      </c>
    </row>
    <row r="271">
      <c r="A271" s="12" t="inlineStr">
        <is>
          <t>HRSG 2 + SCR (3P reheat, horizontal)</t>
        </is>
      </c>
      <c r="B271" s="12" t="inlineStr">
        <is>
          <t>HRSG-2</t>
        </is>
      </c>
      <c r="C271" s="12" t="inlineStr">
        <is>
          <t>A</t>
        </is>
      </c>
      <c r="D271" s="12" t="inlineStr">
        <is>
          <t>MOV 35: power</t>
        </is>
      </c>
      <c r="E271" s="12" t="n">
        <v>480</v>
      </c>
      <c r="F271" s="12" t="n">
        <v>2.5</v>
      </c>
      <c r="G271" s="12" t="n">
        <v>3.5</v>
      </c>
      <c r="H271" s="12" t="inlineStr">
        <is>
          <t>R2B: unit / HRSG electrical e-house (32 x 40 ft)</t>
        </is>
      </c>
      <c r="I271" s="12" t="inlineStr">
        <is>
          <t>LV 600 V</t>
        </is>
      </c>
      <c r="J271" s="12" t="inlineStr">
        <is>
          <t>10</t>
        </is>
      </c>
      <c r="K271" s="12" t="n">
        <v>1</v>
      </c>
    </row>
    <row r="272">
      <c r="A272" s="12" t="inlineStr">
        <is>
          <t>HRSG 2 + SCR (3P reheat, horizontal)</t>
        </is>
      </c>
      <c r="B272" s="12" t="inlineStr">
        <is>
          <t>HRSG-2</t>
        </is>
      </c>
      <c r="C272" s="12" t="inlineStr">
        <is>
          <t>A</t>
        </is>
      </c>
      <c r="D272" s="12" t="inlineStr">
        <is>
          <t>MOV 36: power</t>
        </is>
      </c>
      <c r="E272" s="12" t="n">
        <v>480</v>
      </c>
      <c r="F272" s="12" t="n">
        <v>2.5</v>
      </c>
      <c r="G272" s="12" t="n">
        <v>3.5</v>
      </c>
      <c r="H272" s="12" t="inlineStr">
        <is>
          <t>R2B: unit / HRSG electrical e-house (32 x 40 ft)</t>
        </is>
      </c>
      <c r="I272" s="12" t="inlineStr">
        <is>
          <t>LV 600 V</t>
        </is>
      </c>
      <c r="J272" s="12" t="inlineStr">
        <is>
          <t>10</t>
        </is>
      </c>
      <c r="K272" s="12" t="n">
        <v>1</v>
      </c>
    </row>
    <row r="273">
      <c r="A273" s="12" t="inlineStr">
        <is>
          <t>HRSG 2 + SCR (3P reheat, horizontal)</t>
        </is>
      </c>
      <c r="B273" s="12" t="inlineStr">
        <is>
          <t>HRSG-2</t>
        </is>
      </c>
      <c r="C273" s="12" t="inlineStr">
        <is>
          <t>A</t>
        </is>
      </c>
      <c r="D273" s="12" t="inlineStr">
        <is>
          <t>MOV 37: power</t>
        </is>
      </c>
      <c r="E273" s="12" t="n">
        <v>480</v>
      </c>
      <c r="F273" s="12" t="n">
        <v>2.5</v>
      </c>
      <c r="G273" s="12" t="n">
        <v>3.5</v>
      </c>
      <c r="H273" s="12" t="inlineStr">
        <is>
          <t>R2B: unit / HRSG electrical e-house (32 x 40 ft)</t>
        </is>
      </c>
      <c r="I273" s="12" t="inlineStr">
        <is>
          <t>LV 600 V</t>
        </is>
      </c>
      <c r="J273" s="12" t="inlineStr">
        <is>
          <t>10</t>
        </is>
      </c>
      <c r="K273" s="12" t="n">
        <v>1</v>
      </c>
    </row>
    <row r="274">
      <c r="A274" s="12" t="inlineStr">
        <is>
          <t>HRSG 2 + SCR (3P reheat, horizontal)</t>
        </is>
      </c>
      <c r="B274" s="12" t="inlineStr">
        <is>
          <t>HRSG-2</t>
        </is>
      </c>
      <c r="C274" s="12" t="inlineStr">
        <is>
          <t>A</t>
        </is>
      </c>
      <c r="D274" s="12" t="inlineStr">
        <is>
          <t>MOV 38: power</t>
        </is>
      </c>
      <c r="E274" s="12" t="n">
        <v>480</v>
      </c>
      <c r="F274" s="12" t="n">
        <v>2.5</v>
      </c>
      <c r="G274" s="12" t="n">
        <v>3.5</v>
      </c>
      <c r="H274" s="12" t="inlineStr">
        <is>
          <t>R2B: unit / HRSG electrical e-house (32 x 40 ft)</t>
        </is>
      </c>
      <c r="I274" s="12" t="inlineStr">
        <is>
          <t>LV 600 V</t>
        </is>
      </c>
      <c r="J274" s="12" t="inlineStr">
        <is>
          <t>10</t>
        </is>
      </c>
      <c r="K274" s="12" t="n">
        <v>1</v>
      </c>
    </row>
    <row r="275">
      <c r="A275" s="12" t="inlineStr">
        <is>
          <t>HRSG 2 + SCR (3P reheat, horizontal)</t>
        </is>
      </c>
      <c r="B275" s="12" t="inlineStr">
        <is>
          <t>HRSG-2</t>
        </is>
      </c>
      <c r="C275" s="12" t="inlineStr">
        <is>
          <t>A</t>
        </is>
      </c>
      <c r="D275" s="12" t="inlineStr">
        <is>
          <t>MOV 39: power</t>
        </is>
      </c>
      <c r="E275" s="12" t="n">
        <v>480</v>
      </c>
      <c r="F275" s="12" t="n">
        <v>2.5</v>
      </c>
      <c r="G275" s="12" t="n">
        <v>3.5</v>
      </c>
      <c r="H275" s="12" t="inlineStr">
        <is>
          <t>R2B: unit / HRSG electrical e-house (32 x 40 ft)</t>
        </is>
      </c>
      <c r="I275" s="12" t="inlineStr">
        <is>
          <t>LV 600 V</t>
        </is>
      </c>
      <c r="J275" s="12" t="inlineStr">
        <is>
          <t>10</t>
        </is>
      </c>
      <c r="K275" s="12" t="n">
        <v>1</v>
      </c>
    </row>
    <row r="276">
      <c r="A276" s="12" t="inlineStr">
        <is>
          <t>HRSG 2 + SCR (3P reheat, horizontal)</t>
        </is>
      </c>
      <c r="B276" s="12" t="inlineStr">
        <is>
          <t>HRSG-2</t>
        </is>
      </c>
      <c r="C276" s="12" t="inlineStr">
        <is>
          <t>A</t>
        </is>
      </c>
      <c r="D276" s="12" t="inlineStr">
        <is>
          <t>MOV 40: power</t>
        </is>
      </c>
      <c r="E276" s="12" t="n">
        <v>480</v>
      </c>
      <c r="F276" s="12" t="n">
        <v>2.5</v>
      </c>
      <c r="G276" s="12" t="n">
        <v>3.5</v>
      </c>
      <c r="H276" s="12" t="inlineStr">
        <is>
          <t>R2B: unit / HRSG electrical e-house (32 x 40 ft)</t>
        </is>
      </c>
      <c r="I276" s="12" t="inlineStr">
        <is>
          <t>LV 600 V</t>
        </is>
      </c>
      <c r="J276" s="12" t="inlineStr">
        <is>
          <t>10</t>
        </is>
      </c>
      <c r="K276" s="12" t="n">
        <v>1</v>
      </c>
    </row>
    <row r="277">
      <c r="A277" s="12" t="inlineStr">
        <is>
          <t>HRSG 2 + SCR (3P reheat, horizontal)</t>
        </is>
      </c>
      <c r="B277" s="12" t="inlineStr">
        <is>
          <t>HRSG-2</t>
        </is>
      </c>
      <c r="C277" s="12" t="inlineStr">
        <is>
          <t>A</t>
        </is>
      </c>
      <c r="D277" s="12" t="inlineStr">
        <is>
          <t>MOV 41: power</t>
        </is>
      </c>
      <c r="E277" s="12" t="n">
        <v>480</v>
      </c>
      <c r="F277" s="12" t="n">
        <v>2.5</v>
      </c>
      <c r="G277" s="12" t="n">
        <v>3.5</v>
      </c>
      <c r="H277" s="12" t="inlineStr">
        <is>
          <t>R2B: unit / HRSG electrical e-house (32 x 40 ft)</t>
        </is>
      </c>
      <c r="I277" s="12" t="inlineStr">
        <is>
          <t>LV 600 V</t>
        </is>
      </c>
      <c r="J277" s="12" t="inlineStr">
        <is>
          <t>10</t>
        </is>
      </c>
      <c r="K277" s="12" t="n">
        <v>1</v>
      </c>
    </row>
    <row r="278">
      <c r="A278" s="12" t="inlineStr">
        <is>
          <t>HRSG 2 + SCR (3P reheat, horizontal)</t>
        </is>
      </c>
      <c r="B278" s="12" t="inlineStr">
        <is>
          <t>HRSG-2</t>
        </is>
      </c>
      <c r="C278" s="12" t="inlineStr">
        <is>
          <t>A</t>
        </is>
      </c>
      <c r="D278" s="12" t="inlineStr">
        <is>
          <t>MOV 42: power</t>
        </is>
      </c>
      <c r="E278" s="12" t="n">
        <v>480</v>
      </c>
      <c r="F278" s="12" t="n">
        <v>2.5</v>
      </c>
      <c r="G278" s="12" t="n">
        <v>3.5</v>
      </c>
      <c r="H278" s="12" t="inlineStr">
        <is>
          <t>R2B: unit / HRSG electrical e-house (32 x 40 ft)</t>
        </is>
      </c>
      <c r="I278" s="12" t="inlineStr">
        <is>
          <t>LV 600 V</t>
        </is>
      </c>
      <c r="J278" s="12" t="inlineStr">
        <is>
          <t>10</t>
        </is>
      </c>
      <c r="K278" s="12" t="n">
        <v>1</v>
      </c>
    </row>
    <row r="279">
      <c r="A279" s="12" t="inlineStr">
        <is>
          <t>HRSG 2 + SCR (3P reheat, horizontal)</t>
        </is>
      </c>
      <c r="B279" s="12" t="inlineStr">
        <is>
          <t>HRSG-2</t>
        </is>
      </c>
      <c r="C279" s="12" t="inlineStr">
        <is>
          <t>A</t>
        </is>
      </c>
      <c r="D279" s="12" t="inlineStr">
        <is>
          <t>MOV 43: power</t>
        </is>
      </c>
      <c r="E279" s="12" t="n">
        <v>480</v>
      </c>
      <c r="F279" s="12" t="n">
        <v>2.5</v>
      </c>
      <c r="G279" s="12" t="n">
        <v>3.5</v>
      </c>
      <c r="H279" s="12" t="inlineStr">
        <is>
          <t>R2B: unit / HRSG electrical e-house (32 x 40 ft)</t>
        </is>
      </c>
      <c r="I279" s="12" t="inlineStr">
        <is>
          <t>LV 600 V</t>
        </is>
      </c>
      <c r="J279" s="12" t="inlineStr">
        <is>
          <t>10</t>
        </is>
      </c>
      <c r="K279" s="12" t="n">
        <v>1</v>
      </c>
    </row>
    <row r="280">
      <c r="A280" s="12" t="inlineStr">
        <is>
          <t>HRSG 2 + SCR (3P reheat, horizontal)</t>
        </is>
      </c>
      <c r="B280" s="12" t="inlineStr">
        <is>
          <t>HRSG-2</t>
        </is>
      </c>
      <c r="C280" s="12" t="inlineStr">
        <is>
          <t>A</t>
        </is>
      </c>
      <c r="D280" s="12" t="inlineStr">
        <is>
          <t>MOV 44: power</t>
        </is>
      </c>
      <c r="E280" s="12" t="n">
        <v>480</v>
      </c>
      <c r="F280" s="12" t="n">
        <v>2.5</v>
      </c>
      <c r="G280" s="12" t="n">
        <v>3.5</v>
      </c>
      <c r="H280" s="12" t="inlineStr">
        <is>
          <t>R2B: unit / HRSG electrical e-house (32 x 40 ft)</t>
        </is>
      </c>
      <c r="I280" s="12" t="inlineStr">
        <is>
          <t>LV 600 V</t>
        </is>
      </c>
      <c r="J280" s="12" t="inlineStr">
        <is>
          <t>10</t>
        </is>
      </c>
      <c r="K280" s="12" t="n">
        <v>1</v>
      </c>
    </row>
    <row r="281">
      <c r="A281" s="12" t="inlineStr">
        <is>
          <t>HRSG 2 + SCR (3P reheat, horizontal)</t>
        </is>
      </c>
      <c r="B281" s="12" t="inlineStr">
        <is>
          <t>HRSG-2</t>
        </is>
      </c>
      <c r="C281" s="12" t="inlineStr">
        <is>
          <t>A</t>
        </is>
      </c>
      <c r="D281" s="12" t="inlineStr">
        <is>
          <t>MOV 45: power</t>
        </is>
      </c>
      <c r="E281" s="12" t="n">
        <v>480</v>
      </c>
      <c r="F281" s="12" t="n">
        <v>2.5</v>
      </c>
      <c r="G281" s="12" t="n">
        <v>3.5</v>
      </c>
      <c r="H281" s="12" t="inlineStr">
        <is>
          <t>R2B: unit / HRSG electrical e-house (32 x 40 ft)</t>
        </is>
      </c>
      <c r="I281" s="12" t="inlineStr">
        <is>
          <t>LV 600 V</t>
        </is>
      </c>
      <c r="J281" s="12" t="inlineStr">
        <is>
          <t>10</t>
        </is>
      </c>
      <c r="K281" s="12" t="n">
        <v>1</v>
      </c>
    </row>
    <row r="282">
      <c r="A282" s="12" t="inlineStr">
        <is>
          <t>HRSG 2 + SCR (3P reheat, horizontal)</t>
        </is>
      </c>
      <c r="B282" s="12" t="inlineStr">
        <is>
          <t>HRSG-2</t>
        </is>
      </c>
      <c r="C282" s="12" t="inlineStr">
        <is>
          <t>A</t>
        </is>
      </c>
      <c r="D282" s="12" t="inlineStr">
        <is>
          <t>Area / platform lighting circuit 1 (12 fixtures)</t>
        </is>
      </c>
      <c r="E282" s="12" t="n">
        <v>480</v>
      </c>
      <c r="F282" s="12" t="n">
        <v>3</v>
      </c>
      <c r="G282" s="12" t="n">
        <v>5</v>
      </c>
      <c r="H282" s="12" t="inlineStr">
        <is>
          <t>R2B: unit / HRSG electrical e-house (32 x 40 ft)</t>
        </is>
      </c>
      <c r="I282" s="12" t="inlineStr">
        <is>
          <t>LV 600 V</t>
        </is>
      </c>
      <c r="J282" s="12" t="inlineStr">
        <is>
          <t>10</t>
        </is>
      </c>
      <c r="K282" s="12" t="n">
        <v>1</v>
      </c>
    </row>
    <row r="283">
      <c r="A283" s="12" t="inlineStr">
        <is>
          <t>HRSG 2 + SCR (3P reheat, horizontal)</t>
        </is>
      </c>
      <c r="B283" s="12" t="inlineStr">
        <is>
          <t>HRSG-2</t>
        </is>
      </c>
      <c r="C283" s="12" t="inlineStr">
        <is>
          <t>A</t>
        </is>
      </c>
      <c r="D283" s="12" t="inlineStr">
        <is>
          <t>Area / platform lighting circuit 2 (12 fixtures)</t>
        </is>
      </c>
      <c r="E283" s="12" t="n">
        <v>480</v>
      </c>
      <c r="F283" s="12" t="n">
        <v>3</v>
      </c>
      <c r="G283" s="12" t="n">
        <v>5</v>
      </c>
      <c r="H283" s="12" t="inlineStr">
        <is>
          <t>R2B: unit / HRSG electrical e-house (32 x 40 ft)</t>
        </is>
      </c>
      <c r="I283" s="12" t="inlineStr">
        <is>
          <t>LV 600 V</t>
        </is>
      </c>
      <c r="J283" s="12" t="inlineStr">
        <is>
          <t>10</t>
        </is>
      </c>
      <c r="K283" s="12" t="n">
        <v>1</v>
      </c>
    </row>
    <row r="284">
      <c r="A284" s="12" t="inlineStr">
        <is>
          <t>HRSG 2 + SCR (3P reheat, horizontal)</t>
        </is>
      </c>
      <c r="B284" s="12" t="inlineStr">
        <is>
          <t>HRSG-2</t>
        </is>
      </c>
      <c r="C284" s="12" t="inlineStr">
        <is>
          <t>A</t>
        </is>
      </c>
      <c r="D284" s="12" t="inlineStr">
        <is>
          <t>Area / platform lighting circuit 3 (12 fixtures)</t>
        </is>
      </c>
      <c r="E284" s="12" t="n">
        <v>480</v>
      </c>
      <c r="F284" s="12" t="n">
        <v>3</v>
      </c>
      <c r="G284" s="12" t="n">
        <v>5</v>
      </c>
      <c r="H284" s="12" t="inlineStr">
        <is>
          <t>R2B: unit / HRSG electrical e-house (32 x 40 ft)</t>
        </is>
      </c>
      <c r="I284" s="12" t="inlineStr">
        <is>
          <t>LV 600 V</t>
        </is>
      </c>
      <c r="J284" s="12" t="inlineStr">
        <is>
          <t>10</t>
        </is>
      </c>
      <c r="K284" s="12" t="n">
        <v>1</v>
      </c>
    </row>
    <row r="285">
      <c r="A285" s="12" t="inlineStr">
        <is>
          <t>HRSG 2 + SCR (3P reheat, horizontal)</t>
        </is>
      </c>
      <c r="B285" s="12" t="inlineStr">
        <is>
          <t>HRSG-2</t>
        </is>
      </c>
      <c r="C285" s="12" t="inlineStr">
        <is>
          <t>A</t>
        </is>
      </c>
      <c r="D285" s="12" t="inlineStr">
        <is>
          <t>Area / platform lighting circuit 4 (4 fixtures)</t>
        </is>
      </c>
      <c r="E285" s="12" t="n">
        <v>480</v>
      </c>
      <c r="F285" s="12" t="n">
        <v>3</v>
      </c>
      <c r="G285" s="12" t="n">
        <v>5</v>
      </c>
      <c r="H285" s="12" t="inlineStr">
        <is>
          <t>R2B: unit / HRSG electrical e-house (32 x 40 ft)</t>
        </is>
      </c>
      <c r="I285" s="12" t="inlineStr">
        <is>
          <t>LV 600 V</t>
        </is>
      </c>
      <c r="J285" s="12" t="inlineStr">
        <is>
          <t>10</t>
        </is>
      </c>
      <c r="K285" s="12" t="n">
        <v>1</v>
      </c>
    </row>
    <row r="286">
      <c r="A286" s="12" t="inlineStr">
        <is>
          <t>HRSG 2 + SCR (3P reheat, horizontal)</t>
        </is>
      </c>
      <c r="B286" s="12" t="inlineStr">
        <is>
          <t>HRSG-2</t>
        </is>
      </c>
      <c r="C286" s="12" t="inlineStr">
        <is>
          <t>A</t>
        </is>
      </c>
      <c r="D286" s="12" t="inlineStr">
        <is>
          <t>480 V welding receptacle 1</t>
        </is>
      </c>
      <c r="E286" s="12" t="n">
        <v>480</v>
      </c>
      <c r="F286" s="12" t="n">
        <v>60</v>
      </c>
      <c r="G286" s="12" t="n">
        <v>76</v>
      </c>
      <c r="H286" s="12" t="inlineStr">
        <is>
          <t>R2B: unit / HRSG electrical e-house (32 x 40 ft)</t>
        </is>
      </c>
      <c r="I286" s="12" t="inlineStr">
        <is>
          <t>LV 600 V</t>
        </is>
      </c>
      <c r="J286" s="12" t="inlineStr">
        <is>
          <t>2</t>
        </is>
      </c>
      <c r="K286" s="12" t="n">
        <v>1</v>
      </c>
    </row>
    <row r="287">
      <c r="A287" s="12" t="inlineStr">
        <is>
          <t>HRSG 2 + SCR (3P reheat, horizontal)</t>
        </is>
      </c>
      <c r="B287" s="12" t="inlineStr">
        <is>
          <t>HRSG-2</t>
        </is>
      </c>
      <c r="C287" s="12" t="inlineStr">
        <is>
          <t>A</t>
        </is>
      </c>
      <c r="D287" s="12" t="inlineStr">
        <is>
          <t>480 V welding receptacle 2</t>
        </is>
      </c>
      <c r="E287" s="12" t="n">
        <v>480</v>
      </c>
      <c r="F287" s="12" t="n">
        <v>60</v>
      </c>
      <c r="G287" s="12" t="n">
        <v>76</v>
      </c>
      <c r="H287" s="12" t="inlineStr">
        <is>
          <t>R2B: unit / HRSG electrical e-house (32 x 40 ft)</t>
        </is>
      </c>
      <c r="I287" s="12" t="inlineStr">
        <is>
          <t>LV 600 V</t>
        </is>
      </c>
      <c r="J287" s="12" t="inlineStr">
        <is>
          <t>2</t>
        </is>
      </c>
      <c r="K287" s="12" t="n">
        <v>1</v>
      </c>
    </row>
    <row r="288">
      <c r="A288" s="12" t="inlineStr">
        <is>
          <t>HRSG 2 + SCR (3P reheat, horizontal)</t>
        </is>
      </c>
      <c r="B288" s="12" t="inlineStr">
        <is>
          <t>HRSG-2</t>
        </is>
      </c>
      <c r="C288" s="12" t="inlineStr">
        <is>
          <t>A</t>
        </is>
      </c>
      <c r="D288" s="12" t="inlineStr">
        <is>
          <t>480 V welding receptacle 3</t>
        </is>
      </c>
      <c r="E288" s="12" t="n">
        <v>480</v>
      </c>
      <c r="F288" s="12" t="n">
        <v>60</v>
      </c>
      <c r="G288" s="12" t="n">
        <v>76</v>
      </c>
      <c r="H288" s="12" t="inlineStr">
        <is>
          <t>R2B: unit / HRSG electrical e-house (32 x 40 ft)</t>
        </is>
      </c>
      <c r="I288" s="12" t="inlineStr">
        <is>
          <t>LV 600 V</t>
        </is>
      </c>
      <c r="J288" s="12" t="inlineStr">
        <is>
          <t>2</t>
        </is>
      </c>
      <c r="K288" s="12" t="n">
        <v>1</v>
      </c>
    </row>
    <row r="289">
      <c r="A289" s="12" t="inlineStr">
        <is>
          <t>HRSG 2 + SCR (3P reheat, horizontal)</t>
        </is>
      </c>
      <c r="B289" s="12" t="inlineStr">
        <is>
          <t>HRSG-2</t>
        </is>
      </c>
      <c r="C289" s="12" t="inlineStr">
        <is>
          <t>A</t>
        </is>
      </c>
      <c r="D289" s="12" t="inlineStr">
        <is>
          <t>480 V welding receptacle 4</t>
        </is>
      </c>
      <c r="E289" s="12" t="n">
        <v>480</v>
      </c>
      <c r="F289" s="12" t="n">
        <v>60</v>
      </c>
      <c r="G289" s="12" t="n">
        <v>76</v>
      </c>
      <c r="H289" s="12" t="inlineStr">
        <is>
          <t>R2B: unit / HRSG electrical e-house (32 x 40 ft)</t>
        </is>
      </c>
      <c r="I289" s="12" t="inlineStr">
        <is>
          <t>LV 600 V</t>
        </is>
      </c>
      <c r="J289" s="12" t="inlineStr">
        <is>
          <t>2</t>
        </is>
      </c>
      <c r="K289" s="12" t="n">
        <v>1</v>
      </c>
    </row>
    <row r="290">
      <c r="A290" s="12" t="inlineStr">
        <is>
          <t>HRSG 2 blowdown tank (continuous / intermittent)</t>
        </is>
      </c>
      <c r="B290" s="12" t="inlineStr"/>
      <c r="C290" s="12" t="inlineStr">
        <is>
          <t>A</t>
        </is>
      </c>
      <c r="D290" s="12" t="inlineStr">
        <is>
          <t>MOV 1: power</t>
        </is>
      </c>
      <c r="E290" s="12" t="n">
        <v>480</v>
      </c>
      <c r="F290" s="12" t="n">
        <v>2.5</v>
      </c>
      <c r="G290" s="12" t="n">
        <v>3.5</v>
      </c>
      <c r="H290" s="12" t="inlineStr">
        <is>
          <t>R2B: unit / HRSG electrical e-house (32 x 40 ft)</t>
        </is>
      </c>
      <c r="I290" s="12" t="inlineStr">
        <is>
          <t>LV 600 V</t>
        </is>
      </c>
      <c r="J290" s="12" t="inlineStr">
        <is>
          <t>10</t>
        </is>
      </c>
      <c r="K290" s="12" t="n">
        <v>1</v>
      </c>
    </row>
    <row r="291">
      <c r="A291" s="12" t="inlineStr">
        <is>
          <t>HRSG 2 blowdown tank (continuous / intermittent)</t>
        </is>
      </c>
      <c r="B291" s="12" t="inlineStr"/>
      <c r="C291" s="12" t="inlineStr">
        <is>
          <t>A</t>
        </is>
      </c>
      <c r="D291" s="12" t="inlineStr">
        <is>
          <t>MOV 2: power</t>
        </is>
      </c>
      <c r="E291" s="12" t="n">
        <v>480</v>
      </c>
      <c r="F291" s="12" t="n">
        <v>2.5</v>
      </c>
      <c r="G291" s="12" t="n">
        <v>3.5</v>
      </c>
      <c r="H291" s="12" t="inlineStr">
        <is>
          <t>R2B: unit / HRSG electrical e-house (32 x 40 ft)</t>
        </is>
      </c>
      <c r="I291" s="12" t="inlineStr">
        <is>
          <t>LV 600 V</t>
        </is>
      </c>
      <c r="J291" s="12" t="inlineStr">
        <is>
          <t>10</t>
        </is>
      </c>
      <c r="K291" s="12" t="n">
        <v>1</v>
      </c>
    </row>
    <row r="292">
      <c r="A292" s="12" t="inlineStr">
        <is>
          <t>HRSG 2 blowdown tank (continuous / intermittent)</t>
        </is>
      </c>
      <c r="B292" s="12" t="inlineStr"/>
      <c r="C292" s="12" t="inlineStr">
        <is>
          <t>A</t>
        </is>
      </c>
      <c r="D292" s="12" t="inlineStr">
        <is>
          <t>MOV 3: power</t>
        </is>
      </c>
      <c r="E292" s="12" t="n">
        <v>480</v>
      </c>
      <c r="F292" s="12" t="n">
        <v>2.5</v>
      </c>
      <c r="G292" s="12" t="n">
        <v>3.5</v>
      </c>
      <c r="H292" s="12" t="inlineStr">
        <is>
          <t>R2B: unit / HRSG electrical e-house (32 x 40 ft)</t>
        </is>
      </c>
      <c r="I292" s="12" t="inlineStr">
        <is>
          <t>LV 600 V</t>
        </is>
      </c>
      <c r="J292" s="12" t="inlineStr">
        <is>
          <t>10</t>
        </is>
      </c>
      <c r="K292" s="12" t="n">
        <v>1</v>
      </c>
    </row>
    <row r="293">
      <c r="A293" s="12" t="inlineStr">
        <is>
          <t>HRSG 2 blowdown tank (continuous / intermittent)</t>
        </is>
      </c>
      <c r="B293" s="12" t="inlineStr"/>
      <c r="C293" s="12" t="inlineStr">
        <is>
          <t>A</t>
        </is>
      </c>
      <c r="D293" s="12" t="inlineStr">
        <is>
          <t>MOV 4: power</t>
        </is>
      </c>
      <c r="E293" s="12" t="n">
        <v>480</v>
      </c>
      <c r="F293" s="12" t="n">
        <v>2.5</v>
      </c>
      <c r="G293" s="12" t="n">
        <v>3.5</v>
      </c>
      <c r="H293" s="12" t="inlineStr">
        <is>
          <t>R2B: unit / HRSG electrical e-house (32 x 40 ft)</t>
        </is>
      </c>
      <c r="I293" s="12" t="inlineStr">
        <is>
          <t>LV 600 V</t>
        </is>
      </c>
      <c r="J293" s="12" t="inlineStr">
        <is>
          <t>10</t>
        </is>
      </c>
      <c r="K293" s="12" t="n">
        <v>1</v>
      </c>
    </row>
    <row r="294">
      <c r="A294" s="12" t="inlineStr">
        <is>
          <t>HRSG 2 blowdown tank (continuous / intermittent)</t>
        </is>
      </c>
      <c r="B294" s="12" t="inlineStr"/>
      <c r="C294" s="12" t="inlineStr">
        <is>
          <t>A</t>
        </is>
      </c>
      <c r="D294" s="12" t="inlineStr">
        <is>
          <t>LV power feeder</t>
        </is>
      </c>
      <c r="E294" s="12" t="n">
        <v>480</v>
      </c>
      <c r="F294" s="12" t="n">
        <v>10</v>
      </c>
      <c r="G294" s="12" t="n">
        <v>14.2</v>
      </c>
      <c r="H294" s="12" t="inlineStr">
        <is>
          <t>R2B: unit / HRSG electrical e-house (32 x 40 ft)</t>
        </is>
      </c>
      <c r="I294" s="12" t="inlineStr">
        <is>
          <t>LV 600 V</t>
        </is>
      </c>
      <c r="J294" s="12" t="inlineStr">
        <is>
          <t>10</t>
        </is>
      </c>
      <c r="K294" s="12" t="n">
        <v>1</v>
      </c>
    </row>
    <row r="295">
      <c r="A295" s="12" t="inlineStr">
        <is>
          <t>HRSG 2 chemical feed skid (phosphate / amine)</t>
        </is>
      </c>
      <c r="B295" s="12" t="inlineStr"/>
      <c r="C295" s="12" t="inlineStr">
        <is>
          <t>A</t>
        </is>
      </c>
      <c r="D295" s="12" t="inlineStr">
        <is>
          <t>Motor 1 of 6, 2 kW</t>
        </is>
      </c>
      <c r="E295" s="12" t="n">
        <v>480</v>
      </c>
      <c r="F295" s="12" t="n">
        <v>2</v>
      </c>
      <c r="G295" s="12" t="n">
        <v>2.8</v>
      </c>
      <c r="H295" s="12" t="inlineStr">
        <is>
          <t>R2B: unit / HRSG electrical e-house (32 x 40 ft)</t>
        </is>
      </c>
      <c r="I295" s="12" t="inlineStr">
        <is>
          <t>LV 600 V</t>
        </is>
      </c>
      <c r="J295" s="12" t="inlineStr">
        <is>
          <t>10</t>
        </is>
      </c>
      <c r="K295" s="12" t="n">
        <v>1</v>
      </c>
    </row>
    <row r="296">
      <c r="A296" s="12" t="inlineStr">
        <is>
          <t>HRSG 2 chemical feed skid (phosphate / amine)</t>
        </is>
      </c>
      <c r="B296" s="12" t="inlineStr"/>
      <c r="C296" s="12" t="inlineStr">
        <is>
          <t>A</t>
        </is>
      </c>
      <c r="D296" s="12" t="inlineStr">
        <is>
          <t>Motor 2 of 6, 2 kW</t>
        </is>
      </c>
      <c r="E296" s="12" t="n">
        <v>480</v>
      </c>
      <c r="F296" s="12" t="n">
        <v>2</v>
      </c>
      <c r="G296" s="12" t="n">
        <v>2.8</v>
      </c>
      <c r="H296" s="12" t="inlineStr">
        <is>
          <t>R2B: unit / HRSG electrical e-house (32 x 40 ft)</t>
        </is>
      </c>
      <c r="I296" s="12" t="inlineStr">
        <is>
          <t>LV 600 V</t>
        </is>
      </c>
      <c r="J296" s="12" t="inlineStr">
        <is>
          <t>10</t>
        </is>
      </c>
      <c r="K296" s="12" t="n">
        <v>1</v>
      </c>
    </row>
    <row r="297">
      <c r="A297" s="12" t="inlineStr">
        <is>
          <t>HRSG 2 chemical feed skid (phosphate / amine)</t>
        </is>
      </c>
      <c r="B297" s="12" t="inlineStr"/>
      <c r="C297" s="12" t="inlineStr">
        <is>
          <t>A</t>
        </is>
      </c>
      <c r="D297" s="12" t="inlineStr">
        <is>
          <t>Motor 3 of 6, 2 kW</t>
        </is>
      </c>
      <c r="E297" s="12" t="n">
        <v>480</v>
      </c>
      <c r="F297" s="12" t="n">
        <v>2</v>
      </c>
      <c r="G297" s="12" t="n">
        <v>2.8</v>
      </c>
      <c r="H297" s="12" t="inlineStr">
        <is>
          <t>R2B: unit / HRSG electrical e-house (32 x 40 ft)</t>
        </is>
      </c>
      <c r="I297" s="12" t="inlineStr">
        <is>
          <t>LV 600 V</t>
        </is>
      </c>
      <c r="J297" s="12" t="inlineStr">
        <is>
          <t>10</t>
        </is>
      </c>
      <c r="K297" s="12" t="n">
        <v>1</v>
      </c>
    </row>
    <row r="298">
      <c r="A298" s="12" t="inlineStr">
        <is>
          <t>HRSG 2 chemical feed skid (phosphate / amine)</t>
        </is>
      </c>
      <c r="B298" s="12" t="inlineStr"/>
      <c r="C298" s="12" t="inlineStr">
        <is>
          <t>A</t>
        </is>
      </c>
      <c r="D298" s="12" t="inlineStr">
        <is>
          <t>Motor 4 of 6, 2 kW</t>
        </is>
      </c>
      <c r="E298" s="12" t="n">
        <v>480</v>
      </c>
      <c r="F298" s="12" t="n">
        <v>2</v>
      </c>
      <c r="G298" s="12" t="n">
        <v>2.8</v>
      </c>
      <c r="H298" s="12" t="inlineStr">
        <is>
          <t>R2B: unit / HRSG electrical e-house (32 x 40 ft)</t>
        </is>
      </c>
      <c r="I298" s="12" t="inlineStr">
        <is>
          <t>LV 600 V</t>
        </is>
      </c>
      <c r="J298" s="12" t="inlineStr">
        <is>
          <t>10</t>
        </is>
      </c>
      <c r="K298" s="12" t="n">
        <v>1</v>
      </c>
    </row>
    <row r="299">
      <c r="A299" s="12" t="inlineStr">
        <is>
          <t>HRSG 2 chemical feed skid (phosphate / amine)</t>
        </is>
      </c>
      <c r="B299" s="12" t="inlineStr"/>
      <c r="C299" s="12" t="inlineStr">
        <is>
          <t>A</t>
        </is>
      </c>
      <c r="D299" s="12" t="inlineStr">
        <is>
          <t>Motor 5 of 6, 2 kW</t>
        </is>
      </c>
      <c r="E299" s="12" t="n">
        <v>480</v>
      </c>
      <c r="F299" s="12" t="n">
        <v>2</v>
      </c>
      <c r="G299" s="12" t="n">
        <v>2.8</v>
      </c>
      <c r="H299" s="12" t="inlineStr">
        <is>
          <t>R2B: unit / HRSG electrical e-house (32 x 40 ft)</t>
        </is>
      </c>
      <c r="I299" s="12" t="inlineStr">
        <is>
          <t>LV 600 V</t>
        </is>
      </c>
      <c r="J299" s="12" t="inlineStr">
        <is>
          <t>10</t>
        </is>
      </c>
      <c r="K299" s="12" t="n">
        <v>1</v>
      </c>
    </row>
    <row r="300">
      <c r="A300" s="12" t="inlineStr">
        <is>
          <t>HRSG 2 chemical feed skid (phosphate / amine)</t>
        </is>
      </c>
      <c r="B300" s="12" t="inlineStr"/>
      <c r="C300" s="12" t="inlineStr">
        <is>
          <t>A</t>
        </is>
      </c>
      <c r="D300" s="12" t="inlineStr">
        <is>
          <t>Motor 6 of 6, 2 kW</t>
        </is>
      </c>
      <c r="E300" s="12" t="n">
        <v>480</v>
      </c>
      <c r="F300" s="12" t="n">
        <v>2</v>
      </c>
      <c r="G300" s="12" t="n">
        <v>2.8</v>
      </c>
      <c r="H300" s="12" t="inlineStr">
        <is>
          <t>R2B: unit / HRSG electrical e-house (32 x 40 ft)</t>
        </is>
      </c>
      <c r="I300" s="12" t="inlineStr">
        <is>
          <t>LV 600 V</t>
        </is>
      </c>
      <c r="J300" s="12" t="inlineStr">
        <is>
          <t>10</t>
        </is>
      </c>
      <c r="K300" s="12" t="n">
        <v>1</v>
      </c>
    </row>
    <row r="301">
      <c r="A301" s="12" t="inlineStr">
        <is>
          <t>HRSG 2 stack</t>
        </is>
      </c>
      <c r="B301" s="12" t="inlineStr">
        <is>
          <t>STK-2</t>
        </is>
      </c>
      <c r="C301" s="12" t="inlineStr">
        <is>
          <t>A</t>
        </is>
      </c>
      <c r="D301" s="12" t="inlineStr">
        <is>
          <t>Area / platform lighting circuit 1 (6 fixtures)</t>
        </is>
      </c>
      <c r="E301" s="12" t="n">
        <v>480</v>
      </c>
      <c r="F301" s="12" t="n">
        <v>3</v>
      </c>
      <c r="G301" s="12" t="n">
        <v>5</v>
      </c>
      <c r="H301" s="12" t="inlineStr">
        <is>
          <t>R2B: unit / HRSG electrical e-house (32 x 40 ft)</t>
        </is>
      </c>
      <c r="I301" s="12" t="inlineStr">
        <is>
          <t>LV 600 V</t>
        </is>
      </c>
      <c r="J301" s="12" t="inlineStr">
        <is>
          <t>10</t>
        </is>
      </c>
      <c r="K301" s="12" t="n">
        <v>1</v>
      </c>
    </row>
    <row r="302">
      <c r="A302" s="12" t="inlineStr">
        <is>
          <t>HRSG 3 + SCR (3P reheat, horizontal)</t>
        </is>
      </c>
      <c r="B302" s="12" t="inlineStr">
        <is>
          <t>HRSG-3</t>
        </is>
      </c>
      <c r="C302" s="12" t="inlineStr">
        <is>
          <t>A</t>
        </is>
      </c>
      <c r="D302" s="12" t="inlineStr">
        <is>
          <t>Motor 1 of 4, 15 kW</t>
        </is>
      </c>
      <c r="E302" s="12" t="n">
        <v>480</v>
      </c>
      <c r="F302" s="12" t="n">
        <v>15</v>
      </c>
      <c r="G302" s="12" t="n">
        <v>21.2</v>
      </c>
      <c r="H302" s="12" t="inlineStr">
        <is>
          <t>R2C: unit / HRSG electrical e-house (32 x 40 ft)</t>
        </is>
      </c>
      <c r="I302" s="12" t="inlineStr">
        <is>
          <t>LV 600 V</t>
        </is>
      </c>
      <c r="J302" s="12" t="inlineStr">
        <is>
          <t>10</t>
        </is>
      </c>
      <c r="K302" s="12" t="n">
        <v>1</v>
      </c>
    </row>
    <row r="303">
      <c r="A303" s="12" t="inlineStr">
        <is>
          <t>HRSG 3 + SCR (3P reheat, horizontal)</t>
        </is>
      </c>
      <c r="B303" s="12" t="inlineStr">
        <is>
          <t>HRSG-3</t>
        </is>
      </c>
      <c r="C303" s="12" t="inlineStr">
        <is>
          <t>A</t>
        </is>
      </c>
      <c r="D303" s="12" t="inlineStr">
        <is>
          <t>Motor 2 of 4, 15 kW</t>
        </is>
      </c>
      <c r="E303" s="12" t="n">
        <v>480</v>
      </c>
      <c r="F303" s="12" t="n">
        <v>15</v>
      </c>
      <c r="G303" s="12" t="n">
        <v>21.2</v>
      </c>
      <c r="H303" s="12" t="inlineStr">
        <is>
          <t>R2C: unit / HRSG electrical e-house (32 x 40 ft)</t>
        </is>
      </c>
      <c r="I303" s="12" t="inlineStr">
        <is>
          <t>LV 600 V</t>
        </is>
      </c>
      <c r="J303" s="12" t="inlineStr">
        <is>
          <t>10</t>
        </is>
      </c>
      <c r="K303" s="12" t="n">
        <v>1</v>
      </c>
    </row>
    <row r="304">
      <c r="A304" s="12" t="inlineStr">
        <is>
          <t>HRSG 3 + SCR (3P reheat, horizontal)</t>
        </is>
      </c>
      <c r="B304" s="12" t="inlineStr">
        <is>
          <t>HRSG-3</t>
        </is>
      </c>
      <c r="C304" s="12" t="inlineStr">
        <is>
          <t>A</t>
        </is>
      </c>
      <c r="D304" s="12" t="inlineStr">
        <is>
          <t>Motor 3 of 4, 15 kW</t>
        </is>
      </c>
      <c r="E304" s="12" t="n">
        <v>480</v>
      </c>
      <c r="F304" s="12" t="n">
        <v>15</v>
      </c>
      <c r="G304" s="12" t="n">
        <v>21.2</v>
      </c>
      <c r="H304" s="12" t="inlineStr">
        <is>
          <t>R2C: unit / HRSG electrical e-house (32 x 40 ft)</t>
        </is>
      </c>
      <c r="I304" s="12" t="inlineStr">
        <is>
          <t>LV 600 V</t>
        </is>
      </c>
      <c r="J304" s="12" t="inlineStr">
        <is>
          <t>10</t>
        </is>
      </c>
      <c r="K304" s="12" t="n">
        <v>1</v>
      </c>
    </row>
    <row r="305">
      <c r="A305" s="12" t="inlineStr">
        <is>
          <t>HRSG 3 + SCR (3P reheat, horizontal)</t>
        </is>
      </c>
      <c r="B305" s="12" t="inlineStr">
        <is>
          <t>HRSG-3</t>
        </is>
      </c>
      <c r="C305" s="12" t="inlineStr">
        <is>
          <t>A</t>
        </is>
      </c>
      <c r="D305" s="12" t="inlineStr">
        <is>
          <t>Motor 4 of 4, 15 kW</t>
        </is>
      </c>
      <c r="E305" s="12" t="n">
        <v>480</v>
      </c>
      <c r="F305" s="12" t="n">
        <v>15</v>
      </c>
      <c r="G305" s="12" t="n">
        <v>21.2</v>
      </c>
      <c r="H305" s="12" t="inlineStr">
        <is>
          <t>R2C: unit / HRSG electrical e-house (32 x 40 ft)</t>
        </is>
      </c>
      <c r="I305" s="12" t="inlineStr">
        <is>
          <t>LV 600 V</t>
        </is>
      </c>
      <c r="J305" s="12" t="inlineStr">
        <is>
          <t>10</t>
        </is>
      </c>
      <c r="K305" s="12" t="n">
        <v>1</v>
      </c>
    </row>
    <row r="306">
      <c r="A306" s="12" t="inlineStr">
        <is>
          <t>HRSG 3 + SCR (3P reheat, horizontal)</t>
        </is>
      </c>
      <c r="B306" s="12" t="inlineStr">
        <is>
          <t>HRSG-3</t>
        </is>
      </c>
      <c r="C306" s="12" t="inlineStr">
        <is>
          <t>A</t>
        </is>
      </c>
      <c r="D306" s="12" t="inlineStr">
        <is>
          <t>MOV 1: power</t>
        </is>
      </c>
      <c r="E306" s="12" t="n">
        <v>480</v>
      </c>
      <c r="F306" s="12" t="n">
        <v>2.5</v>
      </c>
      <c r="G306" s="12" t="n">
        <v>3.5</v>
      </c>
      <c r="H306" s="12" t="inlineStr">
        <is>
          <t>R2C: unit / HRSG electrical e-house (32 x 40 ft)</t>
        </is>
      </c>
      <c r="I306" s="12" t="inlineStr">
        <is>
          <t>LV 600 V</t>
        </is>
      </c>
      <c r="J306" s="12" t="inlineStr">
        <is>
          <t>10</t>
        </is>
      </c>
      <c r="K306" s="12" t="n">
        <v>1</v>
      </c>
    </row>
    <row r="307">
      <c r="A307" s="12" t="inlineStr">
        <is>
          <t>HRSG 3 + SCR (3P reheat, horizontal)</t>
        </is>
      </c>
      <c r="B307" s="12" t="inlineStr">
        <is>
          <t>HRSG-3</t>
        </is>
      </c>
      <c r="C307" s="12" t="inlineStr">
        <is>
          <t>A</t>
        </is>
      </c>
      <c r="D307" s="12" t="inlineStr">
        <is>
          <t>MOV 2: power</t>
        </is>
      </c>
      <c r="E307" s="12" t="n">
        <v>480</v>
      </c>
      <c r="F307" s="12" t="n">
        <v>2.5</v>
      </c>
      <c r="G307" s="12" t="n">
        <v>3.5</v>
      </c>
      <c r="H307" s="12" t="inlineStr">
        <is>
          <t>R2C: unit / HRSG electrical e-house (32 x 40 ft)</t>
        </is>
      </c>
      <c r="I307" s="12" t="inlineStr">
        <is>
          <t>LV 600 V</t>
        </is>
      </c>
      <c r="J307" s="12" t="inlineStr">
        <is>
          <t>10</t>
        </is>
      </c>
      <c r="K307" s="12" t="n">
        <v>1</v>
      </c>
    </row>
    <row r="308">
      <c r="A308" s="12" t="inlineStr">
        <is>
          <t>HRSG 3 + SCR (3P reheat, horizontal)</t>
        </is>
      </c>
      <c r="B308" s="12" t="inlineStr">
        <is>
          <t>HRSG-3</t>
        </is>
      </c>
      <c r="C308" s="12" t="inlineStr">
        <is>
          <t>A</t>
        </is>
      </c>
      <c r="D308" s="12" t="inlineStr">
        <is>
          <t>MOV 3: power</t>
        </is>
      </c>
      <c r="E308" s="12" t="n">
        <v>480</v>
      </c>
      <c r="F308" s="12" t="n">
        <v>2.5</v>
      </c>
      <c r="G308" s="12" t="n">
        <v>3.5</v>
      </c>
      <c r="H308" s="12" t="inlineStr">
        <is>
          <t>R2C: unit / HRSG electrical e-house (32 x 40 ft)</t>
        </is>
      </c>
      <c r="I308" s="12" t="inlineStr">
        <is>
          <t>LV 600 V</t>
        </is>
      </c>
      <c r="J308" s="12" t="inlineStr">
        <is>
          <t>10</t>
        </is>
      </c>
      <c r="K308" s="12" t="n">
        <v>1</v>
      </c>
    </row>
    <row r="309">
      <c r="A309" s="12" t="inlineStr">
        <is>
          <t>HRSG 3 + SCR (3P reheat, horizontal)</t>
        </is>
      </c>
      <c r="B309" s="12" t="inlineStr">
        <is>
          <t>HRSG-3</t>
        </is>
      </c>
      <c r="C309" s="12" t="inlineStr">
        <is>
          <t>A</t>
        </is>
      </c>
      <c r="D309" s="12" t="inlineStr">
        <is>
          <t>MOV 4: power</t>
        </is>
      </c>
      <c r="E309" s="12" t="n">
        <v>480</v>
      </c>
      <c r="F309" s="12" t="n">
        <v>2.5</v>
      </c>
      <c r="G309" s="12" t="n">
        <v>3.5</v>
      </c>
      <c r="H309" s="12" t="inlineStr">
        <is>
          <t>R2C: unit / HRSG electrical e-house (32 x 40 ft)</t>
        </is>
      </c>
      <c r="I309" s="12" t="inlineStr">
        <is>
          <t>LV 600 V</t>
        </is>
      </c>
      <c r="J309" s="12" t="inlineStr">
        <is>
          <t>10</t>
        </is>
      </c>
      <c r="K309" s="12" t="n">
        <v>1</v>
      </c>
    </row>
    <row r="310">
      <c r="A310" s="12" t="inlineStr">
        <is>
          <t>HRSG 3 + SCR (3P reheat, horizontal)</t>
        </is>
      </c>
      <c r="B310" s="12" t="inlineStr">
        <is>
          <t>HRSG-3</t>
        </is>
      </c>
      <c r="C310" s="12" t="inlineStr">
        <is>
          <t>A</t>
        </is>
      </c>
      <c r="D310" s="12" t="inlineStr">
        <is>
          <t>MOV 5: power</t>
        </is>
      </c>
      <c r="E310" s="12" t="n">
        <v>480</v>
      </c>
      <c r="F310" s="12" t="n">
        <v>2.5</v>
      </c>
      <c r="G310" s="12" t="n">
        <v>3.5</v>
      </c>
      <c r="H310" s="12" t="inlineStr">
        <is>
          <t>R2C: unit / HRSG electrical e-house (32 x 40 ft)</t>
        </is>
      </c>
      <c r="I310" s="12" t="inlineStr">
        <is>
          <t>LV 600 V</t>
        </is>
      </c>
      <c r="J310" s="12" t="inlineStr">
        <is>
          <t>10</t>
        </is>
      </c>
      <c r="K310" s="12" t="n">
        <v>1</v>
      </c>
    </row>
    <row r="311">
      <c r="A311" s="12" t="inlineStr">
        <is>
          <t>HRSG 3 + SCR (3P reheat, horizontal)</t>
        </is>
      </c>
      <c r="B311" s="12" t="inlineStr">
        <is>
          <t>HRSG-3</t>
        </is>
      </c>
      <c r="C311" s="12" t="inlineStr">
        <is>
          <t>A</t>
        </is>
      </c>
      <c r="D311" s="12" t="inlineStr">
        <is>
          <t>MOV 6: power</t>
        </is>
      </c>
      <c r="E311" s="12" t="n">
        <v>480</v>
      </c>
      <c r="F311" s="12" t="n">
        <v>2.5</v>
      </c>
      <c r="G311" s="12" t="n">
        <v>3.5</v>
      </c>
      <c r="H311" s="12" t="inlineStr">
        <is>
          <t>R2C: unit / HRSG electrical e-house (32 x 40 ft)</t>
        </is>
      </c>
      <c r="I311" s="12" t="inlineStr">
        <is>
          <t>LV 600 V</t>
        </is>
      </c>
      <c r="J311" s="12" t="inlineStr">
        <is>
          <t>10</t>
        </is>
      </c>
      <c r="K311" s="12" t="n">
        <v>1</v>
      </c>
    </row>
    <row r="312">
      <c r="A312" s="12" t="inlineStr">
        <is>
          <t>HRSG 3 + SCR (3P reheat, horizontal)</t>
        </is>
      </c>
      <c r="B312" s="12" t="inlineStr">
        <is>
          <t>HRSG-3</t>
        </is>
      </c>
      <c r="C312" s="12" t="inlineStr">
        <is>
          <t>A</t>
        </is>
      </c>
      <c r="D312" s="12" t="inlineStr">
        <is>
          <t>MOV 7: power</t>
        </is>
      </c>
      <c r="E312" s="12" t="n">
        <v>480</v>
      </c>
      <c r="F312" s="12" t="n">
        <v>2.5</v>
      </c>
      <c r="G312" s="12" t="n">
        <v>3.5</v>
      </c>
      <c r="H312" s="12" t="inlineStr">
        <is>
          <t>R2C: unit / HRSG electrical e-house (32 x 40 ft)</t>
        </is>
      </c>
      <c r="I312" s="12" t="inlineStr">
        <is>
          <t>LV 600 V</t>
        </is>
      </c>
      <c r="J312" s="12" t="inlineStr">
        <is>
          <t>10</t>
        </is>
      </c>
      <c r="K312" s="12" t="n">
        <v>1</v>
      </c>
    </row>
    <row r="313">
      <c r="A313" s="12" t="inlineStr">
        <is>
          <t>HRSG 3 + SCR (3P reheat, horizontal)</t>
        </is>
      </c>
      <c r="B313" s="12" t="inlineStr">
        <is>
          <t>HRSG-3</t>
        </is>
      </c>
      <c r="C313" s="12" t="inlineStr">
        <is>
          <t>A</t>
        </is>
      </c>
      <c r="D313" s="12" t="inlineStr">
        <is>
          <t>MOV 8: power</t>
        </is>
      </c>
      <c r="E313" s="12" t="n">
        <v>480</v>
      </c>
      <c r="F313" s="12" t="n">
        <v>2.5</v>
      </c>
      <c r="G313" s="12" t="n">
        <v>3.5</v>
      </c>
      <c r="H313" s="12" t="inlineStr">
        <is>
          <t>R2C: unit / HRSG electrical e-house (32 x 40 ft)</t>
        </is>
      </c>
      <c r="I313" s="12" t="inlineStr">
        <is>
          <t>LV 600 V</t>
        </is>
      </c>
      <c r="J313" s="12" t="inlineStr">
        <is>
          <t>10</t>
        </is>
      </c>
      <c r="K313" s="12" t="n">
        <v>1</v>
      </c>
    </row>
    <row r="314">
      <c r="A314" s="12" t="inlineStr">
        <is>
          <t>HRSG 3 + SCR (3P reheat, horizontal)</t>
        </is>
      </c>
      <c r="B314" s="12" t="inlineStr">
        <is>
          <t>HRSG-3</t>
        </is>
      </c>
      <c r="C314" s="12" t="inlineStr">
        <is>
          <t>A</t>
        </is>
      </c>
      <c r="D314" s="12" t="inlineStr">
        <is>
          <t>MOV 9: power</t>
        </is>
      </c>
      <c r="E314" s="12" t="n">
        <v>480</v>
      </c>
      <c r="F314" s="12" t="n">
        <v>2.5</v>
      </c>
      <c r="G314" s="12" t="n">
        <v>3.5</v>
      </c>
      <c r="H314" s="12" t="inlineStr">
        <is>
          <t>R2C: unit / HRSG electrical e-house (32 x 40 ft)</t>
        </is>
      </c>
      <c r="I314" s="12" t="inlineStr">
        <is>
          <t>LV 600 V</t>
        </is>
      </c>
      <c r="J314" s="12" t="inlineStr">
        <is>
          <t>10</t>
        </is>
      </c>
      <c r="K314" s="12" t="n">
        <v>1</v>
      </c>
    </row>
    <row r="315">
      <c r="A315" s="12" t="inlineStr">
        <is>
          <t>HRSG 3 + SCR (3P reheat, horizontal)</t>
        </is>
      </c>
      <c r="B315" s="12" t="inlineStr">
        <is>
          <t>HRSG-3</t>
        </is>
      </c>
      <c r="C315" s="12" t="inlineStr">
        <is>
          <t>A</t>
        </is>
      </c>
      <c r="D315" s="12" t="inlineStr">
        <is>
          <t>MOV 10: power</t>
        </is>
      </c>
      <c r="E315" s="12" t="n">
        <v>480</v>
      </c>
      <c r="F315" s="12" t="n">
        <v>2.5</v>
      </c>
      <c r="G315" s="12" t="n">
        <v>3.5</v>
      </c>
      <c r="H315" s="12" t="inlineStr">
        <is>
          <t>R2C: unit / HRSG electrical e-house (32 x 40 ft)</t>
        </is>
      </c>
      <c r="I315" s="12" t="inlineStr">
        <is>
          <t>LV 600 V</t>
        </is>
      </c>
      <c r="J315" s="12" t="inlineStr">
        <is>
          <t>10</t>
        </is>
      </c>
      <c r="K315" s="12" t="n">
        <v>1</v>
      </c>
    </row>
    <row r="316">
      <c r="A316" s="12" t="inlineStr">
        <is>
          <t>HRSG 3 + SCR (3P reheat, horizontal)</t>
        </is>
      </c>
      <c r="B316" s="12" t="inlineStr">
        <is>
          <t>HRSG-3</t>
        </is>
      </c>
      <c r="C316" s="12" t="inlineStr">
        <is>
          <t>A</t>
        </is>
      </c>
      <c r="D316" s="12" t="inlineStr">
        <is>
          <t>MOV 11: power</t>
        </is>
      </c>
      <c r="E316" s="12" t="n">
        <v>480</v>
      </c>
      <c r="F316" s="12" t="n">
        <v>2.5</v>
      </c>
      <c r="G316" s="12" t="n">
        <v>3.5</v>
      </c>
      <c r="H316" s="12" t="inlineStr">
        <is>
          <t>R2C: unit / HRSG electrical e-house (32 x 40 ft)</t>
        </is>
      </c>
      <c r="I316" s="12" t="inlineStr">
        <is>
          <t>LV 600 V</t>
        </is>
      </c>
      <c r="J316" s="12" t="inlineStr">
        <is>
          <t>10</t>
        </is>
      </c>
      <c r="K316" s="12" t="n">
        <v>1</v>
      </c>
    </row>
    <row r="317">
      <c r="A317" s="12" t="inlineStr">
        <is>
          <t>HRSG 3 + SCR (3P reheat, horizontal)</t>
        </is>
      </c>
      <c r="B317" s="12" t="inlineStr">
        <is>
          <t>HRSG-3</t>
        </is>
      </c>
      <c r="C317" s="12" t="inlineStr">
        <is>
          <t>A</t>
        </is>
      </c>
      <c r="D317" s="12" t="inlineStr">
        <is>
          <t>MOV 12: power</t>
        </is>
      </c>
      <c r="E317" s="12" t="n">
        <v>480</v>
      </c>
      <c r="F317" s="12" t="n">
        <v>2.5</v>
      </c>
      <c r="G317" s="12" t="n">
        <v>3.5</v>
      </c>
      <c r="H317" s="12" t="inlineStr">
        <is>
          <t>R2C: unit / HRSG electrical e-house (32 x 40 ft)</t>
        </is>
      </c>
      <c r="I317" s="12" t="inlineStr">
        <is>
          <t>LV 600 V</t>
        </is>
      </c>
      <c r="J317" s="12" t="inlineStr">
        <is>
          <t>10</t>
        </is>
      </c>
      <c r="K317" s="12" t="n">
        <v>1</v>
      </c>
    </row>
    <row r="318">
      <c r="A318" s="12" t="inlineStr">
        <is>
          <t>HRSG 3 + SCR (3P reheat, horizontal)</t>
        </is>
      </c>
      <c r="B318" s="12" t="inlineStr">
        <is>
          <t>HRSG-3</t>
        </is>
      </c>
      <c r="C318" s="12" t="inlineStr">
        <is>
          <t>A</t>
        </is>
      </c>
      <c r="D318" s="12" t="inlineStr">
        <is>
          <t>MOV 13: power</t>
        </is>
      </c>
      <c r="E318" s="12" t="n">
        <v>480</v>
      </c>
      <c r="F318" s="12" t="n">
        <v>2.5</v>
      </c>
      <c r="G318" s="12" t="n">
        <v>3.5</v>
      </c>
      <c r="H318" s="12" t="inlineStr">
        <is>
          <t>R2C: unit / HRSG electrical e-house (32 x 40 ft)</t>
        </is>
      </c>
      <c r="I318" s="12" t="inlineStr">
        <is>
          <t>LV 600 V</t>
        </is>
      </c>
      <c r="J318" s="12" t="inlineStr">
        <is>
          <t>10</t>
        </is>
      </c>
      <c r="K318" s="12" t="n">
        <v>1</v>
      </c>
    </row>
    <row r="319">
      <c r="A319" s="12" t="inlineStr">
        <is>
          <t>HRSG 3 + SCR (3P reheat, horizontal)</t>
        </is>
      </c>
      <c r="B319" s="12" t="inlineStr">
        <is>
          <t>HRSG-3</t>
        </is>
      </c>
      <c r="C319" s="12" t="inlineStr">
        <is>
          <t>A</t>
        </is>
      </c>
      <c r="D319" s="12" t="inlineStr">
        <is>
          <t>MOV 14: power</t>
        </is>
      </c>
      <c r="E319" s="12" t="n">
        <v>480</v>
      </c>
      <c r="F319" s="12" t="n">
        <v>2.5</v>
      </c>
      <c r="G319" s="12" t="n">
        <v>3.5</v>
      </c>
      <c r="H319" s="12" t="inlineStr">
        <is>
          <t>R2C: unit / HRSG electrical e-house (32 x 40 ft)</t>
        </is>
      </c>
      <c r="I319" s="12" t="inlineStr">
        <is>
          <t>LV 600 V</t>
        </is>
      </c>
      <c r="J319" s="12" t="inlineStr">
        <is>
          <t>10</t>
        </is>
      </c>
      <c r="K319" s="12" t="n">
        <v>1</v>
      </c>
    </row>
    <row r="320">
      <c r="A320" s="12" t="inlineStr">
        <is>
          <t>HRSG 3 + SCR (3P reheat, horizontal)</t>
        </is>
      </c>
      <c r="B320" s="12" t="inlineStr">
        <is>
          <t>HRSG-3</t>
        </is>
      </c>
      <c r="C320" s="12" t="inlineStr">
        <is>
          <t>A</t>
        </is>
      </c>
      <c r="D320" s="12" t="inlineStr">
        <is>
          <t>MOV 15: power</t>
        </is>
      </c>
      <c r="E320" s="12" t="n">
        <v>480</v>
      </c>
      <c r="F320" s="12" t="n">
        <v>2.5</v>
      </c>
      <c r="G320" s="12" t="n">
        <v>3.5</v>
      </c>
      <c r="H320" s="12" t="inlineStr">
        <is>
          <t>R2C: unit / HRSG electrical e-house (32 x 40 ft)</t>
        </is>
      </c>
      <c r="I320" s="12" t="inlineStr">
        <is>
          <t>LV 600 V</t>
        </is>
      </c>
      <c r="J320" s="12" t="inlineStr">
        <is>
          <t>10</t>
        </is>
      </c>
      <c r="K320" s="12" t="n">
        <v>1</v>
      </c>
    </row>
    <row r="321">
      <c r="A321" s="12" t="inlineStr">
        <is>
          <t>HRSG 3 + SCR (3P reheat, horizontal)</t>
        </is>
      </c>
      <c r="B321" s="12" t="inlineStr">
        <is>
          <t>HRSG-3</t>
        </is>
      </c>
      <c r="C321" s="12" t="inlineStr">
        <is>
          <t>A</t>
        </is>
      </c>
      <c r="D321" s="12" t="inlineStr">
        <is>
          <t>MOV 16: power</t>
        </is>
      </c>
      <c r="E321" s="12" t="n">
        <v>480</v>
      </c>
      <c r="F321" s="12" t="n">
        <v>2.5</v>
      </c>
      <c r="G321" s="12" t="n">
        <v>3.5</v>
      </c>
      <c r="H321" s="12" t="inlineStr">
        <is>
          <t>R2C: unit / HRSG electrical e-house (32 x 40 ft)</t>
        </is>
      </c>
      <c r="I321" s="12" t="inlineStr">
        <is>
          <t>LV 600 V</t>
        </is>
      </c>
      <c r="J321" s="12" t="inlineStr">
        <is>
          <t>10</t>
        </is>
      </c>
      <c r="K321" s="12" t="n">
        <v>1</v>
      </c>
    </row>
    <row r="322">
      <c r="A322" s="12" t="inlineStr">
        <is>
          <t>HRSG 3 + SCR (3P reheat, horizontal)</t>
        </is>
      </c>
      <c r="B322" s="12" t="inlineStr">
        <is>
          <t>HRSG-3</t>
        </is>
      </c>
      <c r="C322" s="12" t="inlineStr">
        <is>
          <t>A</t>
        </is>
      </c>
      <c r="D322" s="12" t="inlineStr">
        <is>
          <t>MOV 17: power</t>
        </is>
      </c>
      <c r="E322" s="12" t="n">
        <v>480</v>
      </c>
      <c r="F322" s="12" t="n">
        <v>2.5</v>
      </c>
      <c r="G322" s="12" t="n">
        <v>3.5</v>
      </c>
      <c r="H322" s="12" t="inlineStr">
        <is>
          <t>R2C: unit / HRSG electrical e-house (32 x 40 ft)</t>
        </is>
      </c>
      <c r="I322" s="12" t="inlineStr">
        <is>
          <t>LV 600 V</t>
        </is>
      </c>
      <c r="J322" s="12" t="inlineStr">
        <is>
          <t>10</t>
        </is>
      </c>
      <c r="K322" s="12" t="n">
        <v>1</v>
      </c>
    </row>
    <row r="323">
      <c r="A323" s="12" t="inlineStr">
        <is>
          <t>HRSG 3 + SCR (3P reheat, horizontal)</t>
        </is>
      </c>
      <c r="B323" s="12" t="inlineStr">
        <is>
          <t>HRSG-3</t>
        </is>
      </c>
      <c r="C323" s="12" t="inlineStr">
        <is>
          <t>A</t>
        </is>
      </c>
      <c r="D323" s="12" t="inlineStr">
        <is>
          <t>MOV 18: power</t>
        </is>
      </c>
      <c r="E323" s="12" t="n">
        <v>480</v>
      </c>
      <c r="F323" s="12" t="n">
        <v>2.5</v>
      </c>
      <c r="G323" s="12" t="n">
        <v>3.5</v>
      </c>
      <c r="H323" s="12" t="inlineStr">
        <is>
          <t>R2C: unit / HRSG electrical e-house (32 x 40 ft)</t>
        </is>
      </c>
      <c r="I323" s="12" t="inlineStr">
        <is>
          <t>LV 600 V</t>
        </is>
      </c>
      <c r="J323" s="12" t="inlineStr">
        <is>
          <t>10</t>
        </is>
      </c>
      <c r="K323" s="12" t="n">
        <v>1</v>
      </c>
    </row>
    <row r="324">
      <c r="A324" s="12" t="inlineStr">
        <is>
          <t>HRSG 3 + SCR (3P reheat, horizontal)</t>
        </is>
      </c>
      <c r="B324" s="12" t="inlineStr">
        <is>
          <t>HRSG-3</t>
        </is>
      </c>
      <c r="C324" s="12" t="inlineStr">
        <is>
          <t>A</t>
        </is>
      </c>
      <c r="D324" s="12" t="inlineStr">
        <is>
          <t>MOV 19: power</t>
        </is>
      </c>
      <c r="E324" s="12" t="n">
        <v>480</v>
      </c>
      <c r="F324" s="12" t="n">
        <v>2.5</v>
      </c>
      <c r="G324" s="12" t="n">
        <v>3.5</v>
      </c>
      <c r="H324" s="12" t="inlineStr">
        <is>
          <t>R2C: unit / HRSG electrical e-house (32 x 40 ft)</t>
        </is>
      </c>
      <c r="I324" s="12" t="inlineStr">
        <is>
          <t>LV 600 V</t>
        </is>
      </c>
      <c r="J324" s="12" t="inlineStr">
        <is>
          <t>10</t>
        </is>
      </c>
      <c r="K324" s="12" t="n">
        <v>1</v>
      </c>
    </row>
    <row r="325">
      <c r="A325" s="12" t="inlineStr">
        <is>
          <t>HRSG 3 + SCR (3P reheat, horizontal)</t>
        </is>
      </c>
      <c r="B325" s="12" t="inlineStr">
        <is>
          <t>HRSG-3</t>
        </is>
      </c>
      <c r="C325" s="12" t="inlineStr">
        <is>
          <t>A</t>
        </is>
      </c>
      <c r="D325" s="12" t="inlineStr">
        <is>
          <t>MOV 20: power</t>
        </is>
      </c>
      <c r="E325" s="12" t="n">
        <v>480</v>
      </c>
      <c r="F325" s="12" t="n">
        <v>2.5</v>
      </c>
      <c r="G325" s="12" t="n">
        <v>3.5</v>
      </c>
      <c r="H325" s="12" t="inlineStr">
        <is>
          <t>R2C: unit / HRSG electrical e-house (32 x 40 ft)</t>
        </is>
      </c>
      <c r="I325" s="12" t="inlineStr">
        <is>
          <t>LV 600 V</t>
        </is>
      </c>
      <c r="J325" s="12" t="inlineStr">
        <is>
          <t>10</t>
        </is>
      </c>
      <c r="K325" s="12" t="n">
        <v>1</v>
      </c>
    </row>
    <row r="326">
      <c r="A326" s="12" t="inlineStr">
        <is>
          <t>HRSG 3 + SCR (3P reheat, horizontal)</t>
        </is>
      </c>
      <c r="B326" s="12" t="inlineStr">
        <is>
          <t>HRSG-3</t>
        </is>
      </c>
      <c r="C326" s="12" t="inlineStr">
        <is>
          <t>A</t>
        </is>
      </c>
      <c r="D326" s="12" t="inlineStr">
        <is>
          <t>MOV 21: power</t>
        </is>
      </c>
      <c r="E326" s="12" t="n">
        <v>480</v>
      </c>
      <c r="F326" s="12" t="n">
        <v>2.5</v>
      </c>
      <c r="G326" s="12" t="n">
        <v>3.5</v>
      </c>
      <c r="H326" s="12" t="inlineStr">
        <is>
          <t>R2C: unit / HRSG electrical e-house (32 x 40 ft)</t>
        </is>
      </c>
      <c r="I326" s="12" t="inlineStr">
        <is>
          <t>LV 600 V</t>
        </is>
      </c>
      <c r="J326" s="12" t="inlineStr">
        <is>
          <t>10</t>
        </is>
      </c>
      <c r="K326" s="12" t="n">
        <v>1</v>
      </c>
    </row>
    <row r="327">
      <c r="A327" s="12" t="inlineStr">
        <is>
          <t>HRSG 3 + SCR (3P reheat, horizontal)</t>
        </is>
      </c>
      <c r="B327" s="12" t="inlineStr">
        <is>
          <t>HRSG-3</t>
        </is>
      </c>
      <c r="C327" s="12" t="inlineStr">
        <is>
          <t>A</t>
        </is>
      </c>
      <c r="D327" s="12" t="inlineStr">
        <is>
          <t>MOV 22: power</t>
        </is>
      </c>
      <c r="E327" s="12" t="n">
        <v>480</v>
      </c>
      <c r="F327" s="12" t="n">
        <v>2.5</v>
      </c>
      <c r="G327" s="12" t="n">
        <v>3.5</v>
      </c>
      <c r="H327" s="12" t="inlineStr">
        <is>
          <t>R2C: unit / HRSG electrical e-house (32 x 40 ft)</t>
        </is>
      </c>
      <c r="I327" s="12" t="inlineStr">
        <is>
          <t>LV 600 V</t>
        </is>
      </c>
      <c r="J327" s="12" t="inlineStr">
        <is>
          <t>10</t>
        </is>
      </c>
      <c r="K327" s="12" t="n">
        <v>1</v>
      </c>
    </row>
    <row r="328">
      <c r="A328" s="12" t="inlineStr">
        <is>
          <t>HRSG 3 + SCR (3P reheat, horizontal)</t>
        </is>
      </c>
      <c r="B328" s="12" t="inlineStr">
        <is>
          <t>HRSG-3</t>
        </is>
      </c>
      <c r="C328" s="12" t="inlineStr">
        <is>
          <t>A</t>
        </is>
      </c>
      <c r="D328" s="12" t="inlineStr">
        <is>
          <t>MOV 23: power</t>
        </is>
      </c>
      <c r="E328" s="12" t="n">
        <v>480</v>
      </c>
      <c r="F328" s="12" t="n">
        <v>2.5</v>
      </c>
      <c r="G328" s="12" t="n">
        <v>3.5</v>
      </c>
      <c r="H328" s="12" t="inlineStr">
        <is>
          <t>R2C: unit / HRSG electrical e-house (32 x 40 ft)</t>
        </is>
      </c>
      <c r="I328" s="12" t="inlineStr">
        <is>
          <t>LV 600 V</t>
        </is>
      </c>
      <c r="J328" s="12" t="inlineStr">
        <is>
          <t>10</t>
        </is>
      </c>
      <c r="K328" s="12" t="n">
        <v>1</v>
      </c>
    </row>
    <row r="329">
      <c r="A329" s="12" t="inlineStr">
        <is>
          <t>HRSG 3 + SCR (3P reheat, horizontal)</t>
        </is>
      </c>
      <c r="B329" s="12" t="inlineStr">
        <is>
          <t>HRSG-3</t>
        </is>
      </c>
      <c r="C329" s="12" t="inlineStr">
        <is>
          <t>A</t>
        </is>
      </c>
      <c r="D329" s="12" t="inlineStr">
        <is>
          <t>MOV 24: power</t>
        </is>
      </c>
      <c r="E329" s="12" t="n">
        <v>480</v>
      </c>
      <c r="F329" s="12" t="n">
        <v>2.5</v>
      </c>
      <c r="G329" s="12" t="n">
        <v>3.5</v>
      </c>
      <c r="H329" s="12" t="inlineStr">
        <is>
          <t>R2C: unit / HRSG electrical e-house (32 x 40 ft)</t>
        </is>
      </c>
      <c r="I329" s="12" t="inlineStr">
        <is>
          <t>LV 600 V</t>
        </is>
      </c>
      <c r="J329" s="12" t="inlineStr">
        <is>
          <t>10</t>
        </is>
      </c>
      <c r="K329" s="12" t="n">
        <v>1</v>
      </c>
    </row>
    <row r="330">
      <c r="A330" s="12" t="inlineStr">
        <is>
          <t>HRSG 3 + SCR (3P reheat, horizontal)</t>
        </is>
      </c>
      <c r="B330" s="12" t="inlineStr">
        <is>
          <t>HRSG-3</t>
        </is>
      </c>
      <c r="C330" s="12" t="inlineStr">
        <is>
          <t>A</t>
        </is>
      </c>
      <c r="D330" s="12" t="inlineStr">
        <is>
          <t>MOV 25: power</t>
        </is>
      </c>
      <c r="E330" s="12" t="n">
        <v>480</v>
      </c>
      <c r="F330" s="12" t="n">
        <v>2.5</v>
      </c>
      <c r="G330" s="12" t="n">
        <v>3.5</v>
      </c>
      <c r="H330" s="12" t="inlineStr">
        <is>
          <t>R2C: unit / HRSG electrical e-house (32 x 40 ft)</t>
        </is>
      </c>
      <c r="I330" s="12" t="inlineStr">
        <is>
          <t>LV 600 V</t>
        </is>
      </c>
      <c r="J330" s="12" t="inlineStr">
        <is>
          <t>10</t>
        </is>
      </c>
      <c r="K330" s="12" t="n">
        <v>1</v>
      </c>
    </row>
    <row r="331">
      <c r="A331" s="12" t="inlineStr">
        <is>
          <t>HRSG 3 + SCR (3P reheat, horizontal)</t>
        </is>
      </c>
      <c r="B331" s="12" t="inlineStr">
        <is>
          <t>HRSG-3</t>
        </is>
      </c>
      <c r="C331" s="12" t="inlineStr">
        <is>
          <t>A</t>
        </is>
      </c>
      <c r="D331" s="12" t="inlineStr">
        <is>
          <t>MOV 26: power</t>
        </is>
      </c>
      <c r="E331" s="12" t="n">
        <v>480</v>
      </c>
      <c r="F331" s="12" t="n">
        <v>2.5</v>
      </c>
      <c r="G331" s="12" t="n">
        <v>3.5</v>
      </c>
      <c r="H331" s="12" t="inlineStr">
        <is>
          <t>R2C: unit / HRSG electrical e-house (32 x 40 ft)</t>
        </is>
      </c>
      <c r="I331" s="12" t="inlineStr">
        <is>
          <t>LV 600 V</t>
        </is>
      </c>
      <c r="J331" s="12" t="inlineStr">
        <is>
          <t>10</t>
        </is>
      </c>
      <c r="K331" s="12" t="n">
        <v>1</v>
      </c>
    </row>
    <row r="332">
      <c r="A332" s="12" t="inlineStr">
        <is>
          <t>HRSG 3 + SCR (3P reheat, horizontal)</t>
        </is>
      </c>
      <c r="B332" s="12" t="inlineStr">
        <is>
          <t>HRSG-3</t>
        </is>
      </c>
      <c r="C332" s="12" t="inlineStr">
        <is>
          <t>A</t>
        </is>
      </c>
      <c r="D332" s="12" t="inlineStr">
        <is>
          <t>MOV 27: power</t>
        </is>
      </c>
      <c r="E332" s="12" t="n">
        <v>480</v>
      </c>
      <c r="F332" s="12" t="n">
        <v>2.5</v>
      </c>
      <c r="G332" s="12" t="n">
        <v>3.5</v>
      </c>
      <c r="H332" s="12" t="inlineStr">
        <is>
          <t>R2C: unit / HRSG electrical e-house (32 x 40 ft)</t>
        </is>
      </c>
      <c r="I332" s="12" t="inlineStr">
        <is>
          <t>LV 600 V</t>
        </is>
      </c>
      <c r="J332" s="12" t="inlineStr">
        <is>
          <t>10</t>
        </is>
      </c>
      <c r="K332" s="12" t="n">
        <v>1</v>
      </c>
    </row>
    <row r="333">
      <c r="A333" s="12" t="inlineStr">
        <is>
          <t>HRSG 3 + SCR (3P reheat, horizontal)</t>
        </is>
      </c>
      <c r="B333" s="12" t="inlineStr">
        <is>
          <t>HRSG-3</t>
        </is>
      </c>
      <c r="C333" s="12" t="inlineStr">
        <is>
          <t>A</t>
        </is>
      </c>
      <c r="D333" s="12" t="inlineStr">
        <is>
          <t>MOV 28: power</t>
        </is>
      </c>
      <c r="E333" s="12" t="n">
        <v>480</v>
      </c>
      <c r="F333" s="12" t="n">
        <v>2.5</v>
      </c>
      <c r="G333" s="12" t="n">
        <v>3.5</v>
      </c>
      <c r="H333" s="12" t="inlineStr">
        <is>
          <t>R2C: unit / HRSG electrical e-house (32 x 40 ft)</t>
        </is>
      </c>
      <c r="I333" s="12" t="inlineStr">
        <is>
          <t>LV 600 V</t>
        </is>
      </c>
      <c r="J333" s="12" t="inlineStr">
        <is>
          <t>10</t>
        </is>
      </c>
      <c r="K333" s="12" t="n">
        <v>1</v>
      </c>
    </row>
    <row r="334">
      <c r="A334" s="12" t="inlineStr">
        <is>
          <t>HRSG 3 + SCR (3P reheat, horizontal)</t>
        </is>
      </c>
      <c r="B334" s="12" t="inlineStr">
        <is>
          <t>HRSG-3</t>
        </is>
      </c>
      <c r="C334" s="12" t="inlineStr">
        <is>
          <t>A</t>
        </is>
      </c>
      <c r="D334" s="12" t="inlineStr">
        <is>
          <t>MOV 29: power</t>
        </is>
      </c>
      <c r="E334" s="12" t="n">
        <v>480</v>
      </c>
      <c r="F334" s="12" t="n">
        <v>2.5</v>
      </c>
      <c r="G334" s="12" t="n">
        <v>3.5</v>
      </c>
      <c r="H334" s="12" t="inlineStr">
        <is>
          <t>R2C: unit / HRSG electrical e-house (32 x 40 ft)</t>
        </is>
      </c>
      <c r="I334" s="12" t="inlineStr">
        <is>
          <t>LV 600 V</t>
        </is>
      </c>
      <c r="J334" s="12" t="inlineStr">
        <is>
          <t>10</t>
        </is>
      </c>
      <c r="K334" s="12" t="n">
        <v>1</v>
      </c>
    </row>
    <row r="335">
      <c r="A335" s="12" t="inlineStr">
        <is>
          <t>HRSG 3 + SCR (3P reheat, horizontal)</t>
        </is>
      </c>
      <c r="B335" s="12" t="inlineStr">
        <is>
          <t>HRSG-3</t>
        </is>
      </c>
      <c r="C335" s="12" t="inlineStr">
        <is>
          <t>A</t>
        </is>
      </c>
      <c r="D335" s="12" t="inlineStr">
        <is>
          <t>MOV 30: power</t>
        </is>
      </c>
      <c r="E335" s="12" t="n">
        <v>480</v>
      </c>
      <c r="F335" s="12" t="n">
        <v>2.5</v>
      </c>
      <c r="G335" s="12" t="n">
        <v>3.5</v>
      </c>
      <c r="H335" s="12" t="inlineStr">
        <is>
          <t>R2C: unit / HRSG electrical e-house (32 x 40 ft)</t>
        </is>
      </c>
      <c r="I335" s="12" t="inlineStr">
        <is>
          <t>LV 600 V</t>
        </is>
      </c>
      <c r="J335" s="12" t="inlineStr">
        <is>
          <t>10</t>
        </is>
      </c>
      <c r="K335" s="12" t="n">
        <v>1</v>
      </c>
    </row>
    <row r="336">
      <c r="A336" s="12" t="inlineStr">
        <is>
          <t>HRSG 3 + SCR (3P reheat, horizontal)</t>
        </is>
      </c>
      <c r="B336" s="12" t="inlineStr">
        <is>
          <t>HRSG-3</t>
        </is>
      </c>
      <c r="C336" s="12" t="inlineStr">
        <is>
          <t>A</t>
        </is>
      </c>
      <c r="D336" s="12" t="inlineStr">
        <is>
          <t>MOV 31: power</t>
        </is>
      </c>
      <c r="E336" s="12" t="n">
        <v>480</v>
      </c>
      <c r="F336" s="12" t="n">
        <v>2.5</v>
      </c>
      <c r="G336" s="12" t="n">
        <v>3.5</v>
      </c>
      <c r="H336" s="12" t="inlineStr">
        <is>
          <t>R2C: unit / HRSG electrical e-house (32 x 40 ft)</t>
        </is>
      </c>
      <c r="I336" s="12" t="inlineStr">
        <is>
          <t>LV 600 V</t>
        </is>
      </c>
      <c r="J336" s="12" t="inlineStr">
        <is>
          <t>10</t>
        </is>
      </c>
      <c r="K336" s="12" t="n">
        <v>1</v>
      </c>
    </row>
    <row r="337">
      <c r="A337" s="12" t="inlineStr">
        <is>
          <t>HRSG 3 + SCR (3P reheat, horizontal)</t>
        </is>
      </c>
      <c r="B337" s="12" t="inlineStr">
        <is>
          <t>HRSG-3</t>
        </is>
      </c>
      <c r="C337" s="12" t="inlineStr">
        <is>
          <t>A</t>
        </is>
      </c>
      <c r="D337" s="12" t="inlineStr">
        <is>
          <t>MOV 32: power</t>
        </is>
      </c>
      <c r="E337" s="12" t="n">
        <v>480</v>
      </c>
      <c r="F337" s="12" t="n">
        <v>2.5</v>
      </c>
      <c r="G337" s="12" t="n">
        <v>3.5</v>
      </c>
      <c r="H337" s="12" t="inlineStr">
        <is>
          <t>R2C: unit / HRSG electrical e-house (32 x 40 ft)</t>
        </is>
      </c>
      <c r="I337" s="12" t="inlineStr">
        <is>
          <t>LV 600 V</t>
        </is>
      </c>
      <c r="J337" s="12" t="inlineStr">
        <is>
          <t>10</t>
        </is>
      </c>
      <c r="K337" s="12" t="n">
        <v>1</v>
      </c>
    </row>
    <row r="338">
      <c r="A338" s="12" t="inlineStr">
        <is>
          <t>HRSG 3 + SCR (3P reheat, horizontal)</t>
        </is>
      </c>
      <c r="B338" s="12" t="inlineStr">
        <is>
          <t>HRSG-3</t>
        </is>
      </c>
      <c r="C338" s="12" t="inlineStr">
        <is>
          <t>A</t>
        </is>
      </c>
      <c r="D338" s="12" t="inlineStr">
        <is>
          <t>MOV 33: power</t>
        </is>
      </c>
      <c r="E338" s="12" t="n">
        <v>480</v>
      </c>
      <c r="F338" s="12" t="n">
        <v>2.5</v>
      </c>
      <c r="G338" s="12" t="n">
        <v>3.5</v>
      </c>
      <c r="H338" s="12" t="inlineStr">
        <is>
          <t>R2C: unit / HRSG electrical e-house (32 x 40 ft)</t>
        </is>
      </c>
      <c r="I338" s="12" t="inlineStr">
        <is>
          <t>LV 600 V</t>
        </is>
      </c>
      <c r="J338" s="12" t="inlineStr">
        <is>
          <t>10</t>
        </is>
      </c>
      <c r="K338" s="12" t="n">
        <v>1</v>
      </c>
    </row>
    <row r="339">
      <c r="A339" s="12" t="inlineStr">
        <is>
          <t>HRSG 3 + SCR (3P reheat, horizontal)</t>
        </is>
      </c>
      <c r="B339" s="12" t="inlineStr">
        <is>
          <t>HRSG-3</t>
        </is>
      </c>
      <c r="C339" s="12" t="inlineStr">
        <is>
          <t>A</t>
        </is>
      </c>
      <c r="D339" s="12" t="inlineStr">
        <is>
          <t>MOV 34: power</t>
        </is>
      </c>
      <c r="E339" s="12" t="n">
        <v>480</v>
      </c>
      <c r="F339" s="12" t="n">
        <v>2.5</v>
      </c>
      <c r="G339" s="12" t="n">
        <v>3.5</v>
      </c>
      <c r="H339" s="12" t="inlineStr">
        <is>
          <t>R2C: unit / HRSG electrical e-house (32 x 40 ft)</t>
        </is>
      </c>
      <c r="I339" s="12" t="inlineStr">
        <is>
          <t>LV 600 V</t>
        </is>
      </c>
      <c r="J339" s="12" t="inlineStr">
        <is>
          <t>10</t>
        </is>
      </c>
      <c r="K339" s="12" t="n">
        <v>1</v>
      </c>
    </row>
    <row r="340">
      <c r="A340" s="12" t="inlineStr">
        <is>
          <t>HRSG 3 + SCR (3P reheat, horizontal)</t>
        </is>
      </c>
      <c r="B340" s="12" t="inlineStr">
        <is>
          <t>HRSG-3</t>
        </is>
      </c>
      <c r="C340" s="12" t="inlineStr">
        <is>
          <t>A</t>
        </is>
      </c>
      <c r="D340" s="12" t="inlineStr">
        <is>
          <t>MOV 35: power</t>
        </is>
      </c>
      <c r="E340" s="12" t="n">
        <v>480</v>
      </c>
      <c r="F340" s="12" t="n">
        <v>2.5</v>
      </c>
      <c r="G340" s="12" t="n">
        <v>3.5</v>
      </c>
      <c r="H340" s="12" t="inlineStr">
        <is>
          <t>R2C: unit / HRSG electrical e-house (32 x 40 ft)</t>
        </is>
      </c>
      <c r="I340" s="12" t="inlineStr">
        <is>
          <t>LV 600 V</t>
        </is>
      </c>
      <c r="J340" s="12" t="inlineStr">
        <is>
          <t>10</t>
        </is>
      </c>
      <c r="K340" s="12" t="n">
        <v>1</v>
      </c>
    </row>
    <row r="341">
      <c r="A341" s="12" t="inlineStr">
        <is>
          <t>HRSG 3 + SCR (3P reheat, horizontal)</t>
        </is>
      </c>
      <c r="B341" s="12" t="inlineStr">
        <is>
          <t>HRSG-3</t>
        </is>
      </c>
      <c r="C341" s="12" t="inlineStr">
        <is>
          <t>A</t>
        </is>
      </c>
      <c r="D341" s="12" t="inlineStr">
        <is>
          <t>MOV 36: power</t>
        </is>
      </c>
      <c r="E341" s="12" t="n">
        <v>480</v>
      </c>
      <c r="F341" s="12" t="n">
        <v>2.5</v>
      </c>
      <c r="G341" s="12" t="n">
        <v>3.5</v>
      </c>
      <c r="H341" s="12" t="inlineStr">
        <is>
          <t>R2C: unit / HRSG electrical e-house (32 x 40 ft)</t>
        </is>
      </c>
      <c r="I341" s="12" t="inlineStr">
        <is>
          <t>LV 600 V</t>
        </is>
      </c>
      <c r="J341" s="12" t="inlineStr">
        <is>
          <t>10</t>
        </is>
      </c>
      <c r="K341" s="12" t="n">
        <v>1</v>
      </c>
    </row>
    <row r="342">
      <c r="A342" s="12" t="inlineStr">
        <is>
          <t>HRSG 3 + SCR (3P reheat, horizontal)</t>
        </is>
      </c>
      <c r="B342" s="12" t="inlineStr">
        <is>
          <t>HRSG-3</t>
        </is>
      </c>
      <c r="C342" s="12" t="inlineStr">
        <is>
          <t>A</t>
        </is>
      </c>
      <c r="D342" s="12" t="inlineStr">
        <is>
          <t>MOV 37: power</t>
        </is>
      </c>
      <c r="E342" s="12" t="n">
        <v>480</v>
      </c>
      <c r="F342" s="12" t="n">
        <v>2.5</v>
      </c>
      <c r="G342" s="12" t="n">
        <v>3.5</v>
      </c>
      <c r="H342" s="12" t="inlineStr">
        <is>
          <t>R2C: unit / HRSG electrical e-house (32 x 40 ft)</t>
        </is>
      </c>
      <c r="I342" s="12" t="inlineStr">
        <is>
          <t>LV 600 V</t>
        </is>
      </c>
      <c r="J342" s="12" t="inlineStr">
        <is>
          <t>10</t>
        </is>
      </c>
      <c r="K342" s="12" t="n">
        <v>1</v>
      </c>
    </row>
    <row r="343">
      <c r="A343" s="12" t="inlineStr">
        <is>
          <t>HRSG 3 + SCR (3P reheat, horizontal)</t>
        </is>
      </c>
      <c r="B343" s="12" t="inlineStr">
        <is>
          <t>HRSG-3</t>
        </is>
      </c>
      <c r="C343" s="12" t="inlineStr">
        <is>
          <t>A</t>
        </is>
      </c>
      <c r="D343" s="12" t="inlineStr">
        <is>
          <t>MOV 38: power</t>
        </is>
      </c>
      <c r="E343" s="12" t="n">
        <v>480</v>
      </c>
      <c r="F343" s="12" t="n">
        <v>2.5</v>
      </c>
      <c r="G343" s="12" t="n">
        <v>3.5</v>
      </c>
      <c r="H343" s="12" t="inlineStr">
        <is>
          <t>R2C: unit / HRSG electrical e-house (32 x 40 ft)</t>
        </is>
      </c>
      <c r="I343" s="12" t="inlineStr">
        <is>
          <t>LV 600 V</t>
        </is>
      </c>
      <c r="J343" s="12" t="inlineStr">
        <is>
          <t>10</t>
        </is>
      </c>
      <c r="K343" s="12" t="n">
        <v>1</v>
      </c>
    </row>
    <row r="344">
      <c r="A344" s="12" t="inlineStr">
        <is>
          <t>HRSG 3 + SCR (3P reheat, horizontal)</t>
        </is>
      </c>
      <c r="B344" s="12" t="inlineStr">
        <is>
          <t>HRSG-3</t>
        </is>
      </c>
      <c r="C344" s="12" t="inlineStr">
        <is>
          <t>A</t>
        </is>
      </c>
      <c r="D344" s="12" t="inlineStr">
        <is>
          <t>MOV 39: power</t>
        </is>
      </c>
      <c r="E344" s="12" t="n">
        <v>480</v>
      </c>
      <c r="F344" s="12" t="n">
        <v>2.5</v>
      </c>
      <c r="G344" s="12" t="n">
        <v>3.5</v>
      </c>
      <c r="H344" s="12" t="inlineStr">
        <is>
          <t>R2C: unit / HRSG electrical e-house (32 x 40 ft)</t>
        </is>
      </c>
      <c r="I344" s="12" t="inlineStr">
        <is>
          <t>LV 600 V</t>
        </is>
      </c>
      <c r="J344" s="12" t="inlineStr">
        <is>
          <t>10</t>
        </is>
      </c>
      <c r="K344" s="12" t="n">
        <v>1</v>
      </c>
    </row>
    <row r="345">
      <c r="A345" s="12" t="inlineStr">
        <is>
          <t>HRSG 3 + SCR (3P reheat, horizontal)</t>
        </is>
      </c>
      <c r="B345" s="12" t="inlineStr">
        <is>
          <t>HRSG-3</t>
        </is>
      </c>
      <c r="C345" s="12" t="inlineStr">
        <is>
          <t>A</t>
        </is>
      </c>
      <c r="D345" s="12" t="inlineStr">
        <is>
          <t>MOV 40: power</t>
        </is>
      </c>
      <c r="E345" s="12" t="n">
        <v>480</v>
      </c>
      <c r="F345" s="12" t="n">
        <v>2.5</v>
      </c>
      <c r="G345" s="12" t="n">
        <v>3.5</v>
      </c>
      <c r="H345" s="12" t="inlineStr">
        <is>
          <t>R2C: unit / HRSG electrical e-house (32 x 40 ft)</t>
        </is>
      </c>
      <c r="I345" s="12" t="inlineStr">
        <is>
          <t>LV 600 V</t>
        </is>
      </c>
      <c r="J345" s="12" t="inlineStr">
        <is>
          <t>10</t>
        </is>
      </c>
      <c r="K345" s="12" t="n">
        <v>1</v>
      </c>
    </row>
    <row r="346">
      <c r="A346" s="12" t="inlineStr">
        <is>
          <t>HRSG 3 + SCR (3P reheat, horizontal)</t>
        </is>
      </c>
      <c r="B346" s="12" t="inlineStr">
        <is>
          <t>HRSG-3</t>
        </is>
      </c>
      <c r="C346" s="12" t="inlineStr">
        <is>
          <t>A</t>
        </is>
      </c>
      <c r="D346" s="12" t="inlineStr">
        <is>
          <t>MOV 41: power</t>
        </is>
      </c>
      <c r="E346" s="12" t="n">
        <v>480</v>
      </c>
      <c r="F346" s="12" t="n">
        <v>2.5</v>
      </c>
      <c r="G346" s="12" t="n">
        <v>3.5</v>
      </c>
      <c r="H346" s="12" t="inlineStr">
        <is>
          <t>R2C: unit / HRSG electrical e-house (32 x 40 ft)</t>
        </is>
      </c>
      <c r="I346" s="12" t="inlineStr">
        <is>
          <t>LV 600 V</t>
        </is>
      </c>
      <c r="J346" s="12" t="inlineStr">
        <is>
          <t>10</t>
        </is>
      </c>
      <c r="K346" s="12" t="n">
        <v>1</v>
      </c>
    </row>
    <row r="347">
      <c r="A347" s="12" t="inlineStr">
        <is>
          <t>HRSG 3 + SCR (3P reheat, horizontal)</t>
        </is>
      </c>
      <c r="B347" s="12" t="inlineStr">
        <is>
          <t>HRSG-3</t>
        </is>
      </c>
      <c r="C347" s="12" t="inlineStr">
        <is>
          <t>A</t>
        </is>
      </c>
      <c r="D347" s="12" t="inlineStr">
        <is>
          <t>MOV 42: power</t>
        </is>
      </c>
      <c r="E347" s="12" t="n">
        <v>480</v>
      </c>
      <c r="F347" s="12" t="n">
        <v>2.5</v>
      </c>
      <c r="G347" s="12" t="n">
        <v>3.5</v>
      </c>
      <c r="H347" s="12" t="inlineStr">
        <is>
          <t>R2C: unit / HRSG electrical e-house (32 x 40 ft)</t>
        </is>
      </c>
      <c r="I347" s="12" t="inlineStr">
        <is>
          <t>LV 600 V</t>
        </is>
      </c>
      <c r="J347" s="12" t="inlineStr">
        <is>
          <t>10</t>
        </is>
      </c>
      <c r="K347" s="12" t="n">
        <v>1</v>
      </c>
    </row>
    <row r="348">
      <c r="A348" s="12" t="inlineStr">
        <is>
          <t>HRSG 3 + SCR (3P reheat, horizontal)</t>
        </is>
      </c>
      <c r="B348" s="12" t="inlineStr">
        <is>
          <t>HRSG-3</t>
        </is>
      </c>
      <c r="C348" s="12" t="inlineStr">
        <is>
          <t>A</t>
        </is>
      </c>
      <c r="D348" s="12" t="inlineStr">
        <is>
          <t>MOV 43: power</t>
        </is>
      </c>
      <c r="E348" s="12" t="n">
        <v>480</v>
      </c>
      <c r="F348" s="12" t="n">
        <v>2.5</v>
      </c>
      <c r="G348" s="12" t="n">
        <v>3.5</v>
      </c>
      <c r="H348" s="12" t="inlineStr">
        <is>
          <t>R2C: unit / HRSG electrical e-house (32 x 40 ft)</t>
        </is>
      </c>
      <c r="I348" s="12" t="inlineStr">
        <is>
          <t>LV 600 V</t>
        </is>
      </c>
      <c r="J348" s="12" t="inlineStr">
        <is>
          <t>10</t>
        </is>
      </c>
      <c r="K348" s="12" t="n">
        <v>1</v>
      </c>
    </row>
    <row r="349">
      <c r="A349" s="12" t="inlineStr">
        <is>
          <t>HRSG 3 + SCR (3P reheat, horizontal)</t>
        </is>
      </c>
      <c r="B349" s="12" t="inlineStr">
        <is>
          <t>HRSG-3</t>
        </is>
      </c>
      <c r="C349" s="12" t="inlineStr">
        <is>
          <t>A</t>
        </is>
      </c>
      <c r="D349" s="12" t="inlineStr">
        <is>
          <t>MOV 44: power</t>
        </is>
      </c>
      <c r="E349" s="12" t="n">
        <v>480</v>
      </c>
      <c r="F349" s="12" t="n">
        <v>2.5</v>
      </c>
      <c r="G349" s="12" t="n">
        <v>3.5</v>
      </c>
      <c r="H349" s="12" t="inlineStr">
        <is>
          <t>R2C: unit / HRSG electrical e-house (32 x 40 ft)</t>
        </is>
      </c>
      <c r="I349" s="12" t="inlineStr">
        <is>
          <t>LV 600 V</t>
        </is>
      </c>
      <c r="J349" s="12" t="inlineStr">
        <is>
          <t>10</t>
        </is>
      </c>
      <c r="K349" s="12" t="n">
        <v>1</v>
      </c>
    </row>
    <row r="350">
      <c r="A350" s="12" t="inlineStr">
        <is>
          <t>HRSG 3 + SCR (3P reheat, horizontal)</t>
        </is>
      </c>
      <c r="B350" s="12" t="inlineStr">
        <is>
          <t>HRSG-3</t>
        </is>
      </c>
      <c r="C350" s="12" t="inlineStr">
        <is>
          <t>A</t>
        </is>
      </c>
      <c r="D350" s="12" t="inlineStr">
        <is>
          <t>MOV 45: power</t>
        </is>
      </c>
      <c r="E350" s="12" t="n">
        <v>480</v>
      </c>
      <c r="F350" s="12" t="n">
        <v>2.5</v>
      </c>
      <c r="G350" s="12" t="n">
        <v>3.5</v>
      </c>
      <c r="H350" s="12" t="inlineStr">
        <is>
          <t>R2C: unit / HRSG electrical e-house (32 x 40 ft)</t>
        </is>
      </c>
      <c r="I350" s="12" t="inlineStr">
        <is>
          <t>LV 600 V</t>
        </is>
      </c>
      <c r="J350" s="12" t="inlineStr">
        <is>
          <t>10</t>
        </is>
      </c>
      <c r="K350" s="12" t="n">
        <v>1</v>
      </c>
    </row>
    <row r="351">
      <c r="A351" s="12" t="inlineStr">
        <is>
          <t>HRSG 3 + SCR (3P reheat, horizontal)</t>
        </is>
      </c>
      <c r="B351" s="12" t="inlineStr">
        <is>
          <t>HRSG-3</t>
        </is>
      </c>
      <c r="C351" s="12" t="inlineStr">
        <is>
          <t>A</t>
        </is>
      </c>
      <c r="D351" s="12" t="inlineStr">
        <is>
          <t>Area / platform lighting circuit 1 (12 fixtures)</t>
        </is>
      </c>
      <c r="E351" s="12" t="n">
        <v>480</v>
      </c>
      <c r="F351" s="12" t="n">
        <v>3</v>
      </c>
      <c r="G351" s="12" t="n">
        <v>5</v>
      </c>
      <c r="H351" s="12" t="inlineStr">
        <is>
          <t>R2C: unit / HRSG electrical e-house (32 x 40 ft)</t>
        </is>
      </c>
      <c r="I351" s="12" t="inlineStr">
        <is>
          <t>LV 600 V</t>
        </is>
      </c>
      <c r="J351" s="12" t="inlineStr">
        <is>
          <t>10</t>
        </is>
      </c>
      <c r="K351" s="12" t="n">
        <v>1</v>
      </c>
    </row>
    <row r="352">
      <c r="A352" s="12" t="inlineStr">
        <is>
          <t>HRSG 3 + SCR (3P reheat, horizontal)</t>
        </is>
      </c>
      <c r="B352" s="12" t="inlineStr">
        <is>
          <t>HRSG-3</t>
        </is>
      </c>
      <c r="C352" s="12" t="inlineStr">
        <is>
          <t>A</t>
        </is>
      </c>
      <c r="D352" s="12" t="inlineStr">
        <is>
          <t>Area / platform lighting circuit 2 (12 fixtures)</t>
        </is>
      </c>
      <c r="E352" s="12" t="n">
        <v>480</v>
      </c>
      <c r="F352" s="12" t="n">
        <v>3</v>
      </c>
      <c r="G352" s="12" t="n">
        <v>5</v>
      </c>
      <c r="H352" s="12" t="inlineStr">
        <is>
          <t>R2C: unit / HRSG electrical e-house (32 x 40 ft)</t>
        </is>
      </c>
      <c r="I352" s="12" t="inlineStr">
        <is>
          <t>LV 600 V</t>
        </is>
      </c>
      <c r="J352" s="12" t="inlineStr">
        <is>
          <t>10</t>
        </is>
      </c>
      <c r="K352" s="12" t="n">
        <v>1</v>
      </c>
    </row>
    <row r="353">
      <c r="A353" s="12" t="inlineStr">
        <is>
          <t>HRSG 3 + SCR (3P reheat, horizontal)</t>
        </is>
      </c>
      <c r="B353" s="12" t="inlineStr">
        <is>
          <t>HRSG-3</t>
        </is>
      </c>
      <c r="C353" s="12" t="inlineStr">
        <is>
          <t>A</t>
        </is>
      </c>
      <c r="D353" s="12" t="inlineStr">
        <is>
          <t>Area / platform lighting circuit 3 (12 fixtures)</t>
        </is>
      </c>
      <c r="E353" s="12" t="n">
        <v>480</v>
      </c>
      <c r="F353" s="12" t="n">
        <v>3</v>
      </c>
      <c r="G353" s="12" t="n">
        <v>5</v>
      </c>
      <c r="H353" s="12" t="inlineStr">
        <is>
          <t>R2C: unit / HRSG electrical e-house (32 x 40 ft)</t>
        </is>
      </c>
      <c r="I353" s="12" t="inlineStr">
        <is>
          <t>LV 600 V</t>
        </is>
      </c>
      <c r="J353" s="12" t="inlineStr">
        <is>
          <t>10</t>
        </is>
      </c>
      <c r="K353" s="12" t="n">
        <v>1</v>
      </c>
    </row>
    <row r="354">
      <c r="A354" s="12" t="inlineStr">
        <is>
          <t>HRSG 3 + SCR (3P reheat, horizontal)</t>
        </is>
      </c>
      <c r="B354" s="12" t="inlineStr">
        <is>
          <t>HRSG-3</t>
        </is>
      </c>
      <c r="C354" s="12" t="inlineStr">
        <is>
          <t>A</t>
        </is>
      </c>
      <c r="D354" s="12" t="inlineStr">
        <is>
          <t>Area / platform lighting circuit 4 (4 fixtures)</t>
        </is>
      </c>
      <c r="E354" s="12" t="n">
        <v>480</v>
      </c>
      <c r="F354" s="12" t="n">
        <v>3</v>
      </c>
      <c r="G354" s="12" t="n">
        <v>5</v>
      </c>
      <c r="H354" s="12" t="inlineStr">
        <is>
          <t>R2C: unit / HRSG electrical e-house (32 x 40 ft)</t>
        </is>
      </c>
      <c r="I354" s="12" t="inlineStr">
        <is>
          <t>LV 600 V</t>
        </is>
      </c>
      <c r="J354" s="12" t="inlineStr">
        <is>
          <t>10</t>
        </is>
      </c>
      <c r="K354" s="12" t="n">
        <v>1</v>
      </c>
    </row>
    <row r="355">
      <c r="A355" s="12" t="inlineStr">
        <is>
          <t>HRSG 3 + SCR (3P reheat, horizontal)</t>
        </is>
      </c>
      <c r="B355" s="12" t="inlineStr">
        <is>
          <t>HRSG-3</t>
        </is>
      </c>
      <c r="C355" s="12" t="inlineStr">
        <is>
          <t>A</t>
        </is>
      </c>
      <c r="D355" s="12" t="inlineStr">
        <is>
          <t>480 V welding receptacle 1</t>
        </is>
      </c>
      <c r="E355" s="12" t="n">
        <v>480</v>
      </c>
      <c r="F355" s="12" t="n">
        <v>60</v>
      </c>
      <c r="G355" s="12" t="n">
        <v>76</v>
      </c>
      <c r="H355" s="12" t="inlineStr">
        <is>
          <t>R2C: unit / HRSG electrical e-house (32 x 40 ft)</t>
        </is>
      </c>
      <c r="I355" s="12" t="inlineStr">
        <is>
          <t>LV 600 V</t>
        </is>
      </c>
      <c r="J355" s="12" t="inlineStr">
        <is>
          <t>2</t>
        </is>
      </c>
      <c r="K355" s="12" t="n">
        <v>1</v>
      </c>
    </row>
    <row r="356">
      <c r="A356" s="12" t="inlineStr">
        <is>
          <t>HRSG 3 + SCR (3P reheat, horizontal)</t>
        </is>
      </c>
      <c r="B356" s="12" t="inlineStr">
        <is>
          <t>HRSG-3</t>
        </is>
      </c>
      <c r="C356" s="12" t="inlineStr">
        <is>
          <t>A</t>
        </is>
      </c>
      <c r="D356" s="12" t="inlineStr">
        <is>
          <t>480 V welding receptacle 2</t>
        </is>
      </c>
      <c r="E356" s="12" t="n">
        <v>480</v>
      </c>
      <c r="F356" s="12" t="n">
        <v>60</v>
      </c>
      <c r="G356" s="12" t="n">
        <v>76</v>
      </c>
      <c r="H356" s="12" t="inlineStr">
        <is>
          <t>R2C: unit / HRSG electrical e-house (32 x 40 ft)</t>
        </is>
      </c>
      <c r="I356" s="12" t="inlineStr">
        <is>
          <t>LV 600 V</t>
        </is>
      </c>
      <c r="J356" s="12" t="inlineStr">
        <is>
          <t>2</t>
        </is>
      </c>
      <c r="K356" s="12" t="n">
        <v>1</v>
      </c>
    </row>
    <row r="357">
      <c r="A357" s="12" t="inlineStr">
        <is>
          <t>HRSG 3 + SCR (3P reheat, horizontal)</t>
        </is>
      </c>
      <c r="B357" s="12" t="inlineStr">
        <is>
          <t>HRSG-3</t>
        </is>
      </c>
      <c r="C357" s="12" t="inlineStr">
        <is>
          <t>A</t>
        </is>
      </c>
      <c r="D357" s="12" t="inlineStr">
        <is>
          <t>480 V welding receptacle 3</t>
        </is>
      </c>
      <c r="E357" s="12" t="n">
        <v>480</v>
      </c>
      <c r="F357" s="12" t="n">
        <v>60</v>
      </c>
      <c r="G357" s="12" t="n">
        <v>76</v>
      </c>
      <c r="H357" s="12" t="inlineStr">
        <is>
          <t>R2C: unit / HRSG electrical e-house (32 x 40 ft)</t>
        </is>
      </c>
      <c r="I357" s="12" t="inlineStr">
        <is>
          <t>LV 600 V</t>
        </is>
      </c>
      <c r="J357" s="12" t="inlineStr">
        <is>
          <t>2</t>
        </is>
      </c>
      <c r="K357" s="12" t="n">
        <v>1</v>
      </c>
    </row>
    <row r="358">
      <c r="A358" s="12" t="inlineStr">
        <is>
          <t>HRSG 3 + SCR (3P reheat, horizontal)</t>
        </is>
      </c>
      <c r="B358" s="12" t="inlineStr">
        <is>
          <t>HRSG-3</t>
        </is>
      </c>
      <c r="C358" s="12" t="inlineStr">
        <is>
          <t>A</t>
        </is>
      </c>
      <c r="D358" s="12" t="inlineStr">
        <is>
          <t>480 V welding receptacle 4</t>
        </is>
      </c>
      <c r="E358" s="12" t="n">
        <v>480</v>
      </c>
      <c r="F358" s="12" t="n">
        <v>60</v>
      </c>
      <c r="G358" s="12" t="n">
        <v>76</v>
      </c>
      <c r="H358" s="12" t="inlineStr">
        <is>
          <t>R2C: unit / HRSG electrical e-house (32 x 40 ft)</t>
        </is>
      </c>
      <c r="I358" s="12" t="inlineStr">
        <is>
          <t>LV 600 V</t>
        </is>
      </c>
      <c r="J358" s="12" t="inlineStr">
        <is>
          <t>2</t>
        </is>
      </c>
      <c r="K358" s="12" t="n">
        <v>1</v>
      </c>
    </row>
    <row r="359">
      <c r="A359" s="12" t="inlineStr">
        <is>
          <t>HRSG 3 blowdown tank (continuous / intermittent)</t>
        </is>
      </c>
      <c r="B359" s="12" t="inlineStr"/>
      <c r="C359" s="12" t="inlineStr">
        <is>
          <t>A</t>
        </is>
      </c>
      <c r="D359" s="12" t="inlineStr">
        <is>
          <t>MOV 1: power</t>
        </is>
      </c>
      <c r="E359" s="12" t="n">
        <v>480</v>
      </c>
      <c r="F359" s="12" t="n">
        <v>2.5</v>
      </c>
      <c r="G359" s="12" t="n">
        <v>3.5</v>
      </c>
      <c r="H359" s="12" t="inlineStr">
        <is>
          <t>R2C: unit / HRSG electrical e-house (32 x 40 ft)</t>
        </is>
      </c>
      <c r="I359" s="12" t="inlineStr">
        <is>
          <t>LV 600 V</t>
        </is>
      </c>
      <c r="J359" s="12" t="inlineStr">
        <is>
          <t>10</t>
        </is>
      </c>
      <c r="K359" s="12" t="n">
        <v>1</v>
      </c>
    </row>
    <row r="360">
      <c r="A360" s="12" t="inlineStr">
        <is>
          <t>HRSG 3 blowdown tank (continuous / intermittent)</t>
        </is>
      </c>
      <c r="B360" s="12" t="inlineStr"/>
      <c r="C360" s="12" t="inlineStr">
        <is>
          <t>A</t>
        </is>
      </c>
      <c r="D360" s="12" t="inlineStr">
        <is>
          <t>MOV 2: power</t>
        </is>
      </c>
      <c r="E360" s="12" t="n">
        <v>480</v>
      </c>
      <c r="F360" s="12" t="n">
        <v>2.5</v>
      </c>
      <c r="G360" s="12" t="n">
        <v>3.5</v>
      </c>
      <c r="H360" s="12" t="inlineStr">
        <is>
          <t>R2C: unit / HRSG electrical e-house (32 x 40 ft)</t>
        </is>
      </c>
      <c r="I360" s="12" t="inlineStr">
        <is>
          <t>LV 600 V</t>
        </is>
      </c>
      <c r="J360" s="12" t="inlineStr">
        <is>
          <t>10</t>
        </is>
      </c>
      <c r="K360" s="12" t="n">
        <v>1</v>
      </c>
    </row>
    <row r="361">
      <c r="A361" s="12" t="inlineStr">
        <is>
          <t>HRSG 3 blowdown tank (continuous / intermittent)</t>
        </is>
      </c>
      <c r="B361" s="12" t="inlineStr"/>
      <c r="C361" s="12" t="inlineStr">
        <is>
          <t>A</t>
        </is>
      </c>
      <c r="D361" s="12" t="inlineStr">
        <is>
          <t>MOV 3: power</t>
        </is>
      </c>
      <c r="E361" s="12" t="n">
        <v>480</v>
      </c>
      <c r="F361" s="12" t="n">
        <v>2.5</v>
      </c>
      <c r="G361" s="12" t="n">
        <v>3.5</v>
      </c>
      <c r="H361" s="12" t="inlineStr">
        <is>
          <t>R2C: unit / HRSG electrical e-house (32 x 40 ft)</t>
        </is>
      </c>
      <c r="I361" s="12" t="inlineStr">
        <is>
          <t>LV 600 V</t>
        </is>
      </c>
      <c r="J361" s="12" t="inlineStr">
        <is>
          <t>10</t>
        </is>
      </c>
      <c r="K361" s="12" t="n">
        <v>1</v>
      </c>
    </row>
    <row r="362">
      <c r="A362" s="12" t="inlineStr">
        <is>
          <t>HRSG 3 blowdown tank (continuous / intermittent)</t>
        </is>
      </c>
      <c r="B362" s="12" t="inlineStr"/>
      <c r="C362" s="12" t="inlineStr">
        <is>
          <t>A</t>
        </is>
      </c>
      <c r="D362" s="12" t="inlineStr">
        <is>
          <t>MOV 4: power</t>
        </is>
      </c>
      <c r="E362" s="12" t="n">
        <v>480</v>
      </c>
      <c r="F362" s="12" t="n">
        <v>2.5</v>
      </c>
      <c r="G362" s="12" t="n">
        <v>3.5</v>
      </c>
      <c r="H362" s="12" t="inlineStr">
        <is>
          <t>R2C: unit / HRSG electrical e-house (32 x 40 ft)</t>
        </is>
      </c>
      <c r="I362" s="12" t="inlineStr">
        <is>
          <t>LV 600 V</t>
        </is>
      </c>
      <c r="J362" s="12" t="inlineStr">
        <is>
          <t>10</t>
        </is>
      </c>
      <c r="K362" s="12" t="n">
        <v>1</v>
      </c>
    </row>
    <row r="363">
      <c r="A363" s="12" t="inlineStr">
        <is>
          <t>HRSG 3 blowdown tank (continuous / intermittent)</t>
        </is>
      </c>
      <c r="B363" s="12" t="inlineStr"/>
      <c r="C363" s="12" t="inlineStr">
        <is>
          <t>A</t>
        </is>
      </c>
      <c r="D363" s="12" t="inlineStr">
        <is>
          <t>LV power feeder</t>
        </is>
      </c>
      <c r="E363" s="12" t="n">
        <v>480</v>
      </c>
      <c r="F363" s="12" t="n">
        <v>10</v>
      </c>
      <c r="G363" s="12" t="n">
        <v>14.2</v>
      </c>
      <c r="H363" s="12" t="inlineStr">
        <is>
          <t>R2C: unit / HRSG electrical e-house (32 x 40 ft)</t>
        </is>
      </c>
      <c r="I363" s="12" t="inlineStr">
        <is>
          <t>LV 600 V</t>
        </is>
      </c>
      <c r="J363" s="12" t="inlineStr">
        <is>
          <t>10</t>
        </is>
      </c>
      <c r="K363" s="12" t="n">
        <v>1</v>
      </c>
    </row>
    <row r="364">
      <c r="A364" s="12" t="inlineStr">
        <is>
          <t>HRSG 3 chemical feed skid (phosphate / amine)</t>
        </is>
      </c>
      <c r="B364" s="12" t="inlineStr"/>
      <c r="C364" s="12" t="inlineStr">
        <is>
          <t>A</t>
        </is>
      </c>
      <c r="D364" s="12" t="inlineStr">
        <is>
          <t>Motor 1 of 6, 2 kW</t>
        </is>
      </c>
      <c r="E364" s="12" t="n">
        <v>480</v>
      </c>
      <c r="F364" s="12" t="n">
        <v>2</v>
      </c>
      <c r="G364" s="12" t="n">
        <v>2.8</v>
      </c>
      <c r="H364" s="12" t="inlineStr">
        <is>
          <t>R2C: unit / HRSG electrical e-house (32 x 40 ft)</t>
        </is>
      </c>
      <c r="I364" s="12" t="inlineStr">
        <is>
          <t>LV 600 V</t>
        </is>
      </c>
      <c r="J364" s="12" t="inlineStr">
        <is>
          <t>10</t>
        </is>
      </c>
      <c r="K364" s="12" t="n">
        <v>1</v>
      </c>
    </row>
    <row r="365">
      <c r="A365" s="12" t="inlineStr">
        <is>
          <t>HRSG 3 chemical feed skid (phosphate / amine)</t>
        </is>
      </c>
      <c r="B365" s="12" t="inlineStr"/>
      <c r="C365" s="12" t="inlineStr">
        <is>
          <t>A</t>
        </is>
      </c>
      <c r="D365" s="12" t="inlineStr">
        <is>
          <t>Motor 2 of 6, 2 kW</t>
        </is>
      </c>
      <c r="E365" s="12" t="n">
        <v>480</v>
      </c>
      <c r="F365" s="12" t="n">
        <v>2</v>
      </c>
      <c r="G365" s="12" t="n">
        <v>2.8</v>
      </c>
      <c r="H365" s="12" t="inlineStr">
        <is>
          <t>R2C: unit / HRSG electrical e-house (32 x 40 ft)</t>
        </is>
      </c>
      <c r="I365" s="12" t="inlineStr">
        <is>
          <t>LV 600 V</t>
        </is>
      </c>
      <c r="J365" s="12" t="inlineStr">
        <is>
          <t>10</t>
        </is>
      </c>
      <c r="K365" s="12" t="n">
        <v>1</v>
      </c>
    </row>
    <row r="366">
      <c r="A366" s="12" t="inlineStr">
        <is>
          <t>HRSG 3 chemical feed skid (phosphate / amine)</t>
        </is>
      </c>
      <c r="B366" s="12" t="inlineStr"/>
      <c r="C366" s="12" t="inlineStr">
        <is>
          <t>A</t>
        </is>
      </c>
      <c r="D366" s="12" t="inlineStr">
        <is>
          <t>Motor 3 of 6, 2 kW</t>
        </is>
      </c>
      <c r="E366" s="12" t="n">
        <v>480</v>
      </c>
      <c r="F366" s="12" t="n">
        <v>2</v>
      </c>
      <c r="G366" s="12" t="n">
        <v>2.8</v>
      </c>
      <c r="H366" s="12" t="inlineStr">
        <is>
          <t>R2C: unit / HRSG electrical e-house (32 x 40 ft)</t>
        </is>
      </c>
      <c r="I366" s="12" t="inlineStr">
        <is>
          <t>LV 600 V</t>
        </is>
      </c>
      <c r="J366" s="12" t="inlineStr">
        <is>
          <t>10</t>
        </is>
      </c>
      <c r="K366" s="12" t="n">
        <v>1</v>
      </c>
    </row>
    <row r="367">
      <c r="A367" s="12" t="inlineStr">
        <is>
          <t>HRSG 3 chemical feed skid (phosphate / amine)</t>
        </is>
      </c>
      <c r="B367" s="12" t="inlineStr"/>
      <c r="C367" s="12" t="inlineStr">
        <is>
          <t>A</t>
        </is>
      </c>
      <c r="D367" s="12" t="inlineStr">
        <is>
          <t>Motor 4 of 6, 2 kW</t>
        </is>
      </c>
      <c r="E367" s="12" t="n">
        <v>480</v>
      </c>
      <c r="F367" s="12" t="n">
        <v>2</v>
      </c>
      <c r="G367" s="12" t="n">
        <v>2.8</v>
      </c>
      <c r="H367" s="12" t="inlineStr">
        <is>
          <t>R2C: unit / HRSG electrical e-house (32 x 40 ft)</t>
        </is>
      </c>
      <c r="I367" s="12" t="inlineStr">
        <is>
          <t>LV 600 V</t>
        </is>
      </c>
      <c r="J367" s="12" t="inlineStr">
        <is>
          <t>10</t>
        </is>
      </c>
      <c r="K367" s="12" t="n">
        <v>1</v>
      </c>
    </row>
    <row r="368">
      <c r="A368" s="12" t="inlineStr">
        <is>
          <t>HRSG 3 chemical feed skid (phosphate / amine)</t>
        </is>
      </c>
      <c r="B368" s="12" t="inlineStr"/>
      <c r="C368" s="12" t="inlineStr">
        <is>
          <t>A</t>
        </is>
      </c>
      <c r="D368" s="12" t="inlineStr">
        <is>
          <t>Motor 5 of 6, 2 kW</t>
        </is>
      </c>
      <c r="E368" s="12" t="n">
        <v>480</v>
      </c>
      <c r="F368" s="12" t="n">
        <v>2</v>
      </c>
      <c r="G368" s="12" t="n">
        <v>2.8</v>
      </c>
      <c r="H368" s="12" t="inlineStr">
        <is>
          <t>R2C: unit / HRSG electrical e-house (32 x 40 ft)</t>
        </is>
      </c>
      <c r="I368" s="12" t="inlineStr">
        <is>
          <t>LV 600 V</t>
        </is>
      </c>
      <c r="J368" s="12" t="inlineStr">
        <is>
          <t>10</t>
        </is>
      </c>
      <c r="K368" s="12" t="n">
        <v>1</v>
      </c>
    </row>
    <row r="369">
      <c r="A369" s="12" t="inlineStr">
        <is>
          <t>HRSG 3 chemical feed skid (phosphate / amine)</t>
        </is>
      </c>
      <c r="B369" s="12" t="inlineStr"/>
      <c r="C369" s="12" t="inlineStr">
        <is>
          <t>A</t>
        </is>
      </c>
      <c r="D369" s="12" t="inlineStr">
        <is>
          <t>Motor 6 of 6, 2 kW</t>
        </is>
      </c>
      <c r="E369" s="12" t="n">
        <v>480</v>
      </c>
      <c r="F369" s="12" t="n">
        <v>2</v>
      </c>
      <c r="G369" s="12" t="n">
        <v>2.8</v>
      </c>
      <c r="H369" s="12" t="inlineStr">
        <is>
          <t>R2C: unit / HRSG electrical e-house (32 x 40 ft)</t>
        </is>
      </c>
      <c r="I369" s="12" t="inlineStr">
        <is>
          <t>LV 600 V</t>
        </is>
      </c>
      <c r="J369" s="12" t="inlineStr">
        <is>
          <t>10</t>
        </is>
      </c>
      <c r="K369" s="12" t="n">
        <v>1</v>
      </c>
    </row>
    <row r="370">
      <c r="A370" s="12" t="inlineStr">
        <is>
          <t>HRSG 3 stack</t>
        </is>
      </c>
      <c r="B370" s="12" t="inlineStr">
        <is>
          <t>STK-3</t>
        </is>
      </c>
      <c r="C370" s="12" t="inlineStr">
        <is>
          <t>A</t>
        </is>
      </c>
      <c r="D370" s="12" t="inlineStr">
        <is>
          <t>Area / platform lighting circuit 1 (6 fixtures)</t>
        </is>
      </c>
      <c r="E370" s="12" t="n">
        <v>480</v>
      </c>
      <c r="F370" s="12" t="n">
        <v>3</v>
      </c>
      <c r="G370" s="12" t="n">
        <v>5</v>
      </c>
      <c r="H370" s="12" t="inlineStr">
        <is>
          <t>R2C: unit / HRSG electrical e-house (32 x 40 ft)</t>
        </is>
      </c>
      <c r="I370" s="12" t="inlineStr">
        <is>
          <t>LV 600 V</t>
        </is>
      </c>
      <c r="J370" s="12" t="inlineStr">
        <is>
          <t>10</t>
        </is>
      </c>
      <c r="K370" s="12" t="n">
        <v>1</v>
      </c>
    </row>
    <row r="371">
      <c r="A371" s="12" t="inlineStr">
        <is>
          <t>HTP-1: heat-trace panel (rack)</t>
        </is>
      </c>
      <c r="B371" s="12" t="inlineStr">
        <is>
          <t>HTP-1</t>
        </is>
      </c>
      <c r="C371" s="12" t="inlineStr">
        <is>
          <t>A</t>
        </is>
      </c>
      <c r="D371" s="12" t="inlineStr">
        <is>
          <t>LV power feeder</t>
        </is>
      </c>
      <c r="E371" s="12" t="n">
        <v>480</v>
      </c>
      <c r="F371" s="12" t="n">
        <v>120</v>
      </c>
      <c r="G371" s="12" t="n">
        <v>169.8</v>
      </c>
      <c r="H371" s="12" t="inlineStr">
        <is>
          <t>R1 LC-480-B (480 V switchgear)</t>
        </is>
      </c>
      <c r="I371" s="12" t="inlineStr">
        <is>
          <t>LV 600 V</t>
        </is>
      </c>
      <c r="J371" s="12" t="inlineStr">
        <is>
          <t>4/0</t>
        </is>
      </c>
      <c r="K371" s="12" t="n">
        <v>1</v>
      </c>
    </row>
    <row r="372">
      <c r="A372" s="12" t="inlineStr">
        <is>
          <t>HTP-1: heat-trace panel (rack)</t>
        </is>
      </c>
      <c r="B372" s="12" t="inlineStr">
        <is>
          <t>HTP-1</t>
        </is>
      </c>
      <c r="C372" s="12" t="inlineStr">
        <is>
          <t>A</t>
        </is>
      </c>
      <c r="D372" s="12" t="inlineStr">
        <is>
          <t>Heat-trace circuit 1 (power to the trace junction box)</t>
        </is>
      </c>
      <c r="E372" s="12" t="n">
        <v>480</v>
      </c>
      <c r="F372" s="12" t="n">
        <v>4</v>
      </c>
      <c r="G372" s="12" t="n">
        <v>6</v>
      </c>
      <c r="H372" s="12" t="inlineStr">
        <is>
          <t>HTP-1: heat-trace panel (rack)</t>
        </is>
      </c>
      <c r="I372" s="12" t="inlineStr">
        <is>
          <t>LV 600 V</t>
        </is>
      </c>
      <c r="J372" s="12" t="inlineStr">
        <is>
          <t>10</t>
        </is>
      </c>
      <c r="K372" s="12" t="n">
        <v>1</v>
      </c>
    </row>
    <row r="373">
      <c r="A373" s="12" t="inlineStr">
        <is>
          <t>HTP-1: heat-trace panel (rack)</t>
        </is>
      </c>
      <c r="B373" s="12" t="inlineStr">
        <is>
          <t>HTP-1</t>
        </is>
      </c>
      <c r="C373" s="12" t="inlineStr">
        <is>
          <t>A</t>
        </is>
      </c>
      <c r="D373" s="12" t="inlineStr">
        <is>
          <t>Heat-trace circuit 2 (power to the trace junction box)</t>
        </is>
      </c>
      <c r="E373" s="12" t="n">
        <v>480</v>
      </c>
      <c r="F373" s="12" t="n">
        <v>4</v>
      </c>
      <c r="G373" s="12" t="n">
        <v>6</v>
      </c>
      <c r="H373" s="12" t="inlineStr">
        <is>
          <t>HTP-1: heat-trace panel (rack)</t>
        </is>
      </c>
      <c r="I373" s="12" t="inlineStr">
        <is>
          <t>LV 600 V</t>
        </is>
      </c>
      <c r="J373" s="12" t="inlineStr">
        <is>
          <t>10</t>
        </is>
      </c>
      <c r="K373" s="12" t="n">
        <v>1</v>
      </c>
    </row>
    <row r="374">
      <c r="A374" s="12" t="inlineStr">
        <is>
          <t>HTP-1: heat-trace panel (rack)</t>
        </is>
      </c>
      <c r="B374" s="12" t="inlineStr">
        <is>
          <t>HTP-1</t>
        </is>
      </c>
      <c r="C374" s="12" t="inlineStr">
        <is>
          <t>A</t>
        </is>
      </c>
      <c r="D374" s="12" t="inlineStr">
        <is>
          <t>Heat-trace circuit 3 (power to the trace junction box)</t>
        </is>
      </c>
      <c r="E374" s="12" t="n">
        <v>480</v>
      </c>
      <c r="F374" s="12" t="n">
        <v>4</v>
      </c>
      <c r="G374" s="12" t="n">
        <v>6</v>
      </c>
      <c r="H374" s="12" t="inlineStr">
        <is>
          <t>HTP-1: heat-trace panel (rack)</t>
        </is>
      </c>
      <c r="I374" s="12" t="inlineStr">
        <is>
          <t>LV 600 V</t>
        </is>
      </c>
      <c r="J374" s="12" t="inlineStr">
        <is>
          <t>10</t>
        </is>
      </c>
      <c r="K374" s="12" t="n">
        <v>1</v>
      </c>
    </row>
    <row r="375">
      <c r="A375" s="12" t="inlineStr">
        <is>
          <t>HTP-1: heat-trace panel (rack)</t>
        </is>
      </c>
      <c r="B375" s="12" t="inlineStr">
        <is>
          <t>HTP-1</t>
        </is>
      </c>
      <c r="C375" s="12" t="inlineStr">
        <is>
          <t>A</t>
        </is>
      </c>
      <c r="D375" s="12" t="inlineStr">
        <is>
          <t>Heat-trace circuit 4 (power to the trace junction box)</t>
        </is>
      </c>
      <c r="E375" s="12" t="n">
        <v>480</v>
      </c>
      <c r="F375" s="12" t="n">
        <v>4</v>
      </c>
      <c r="G375" s="12" t="n">
        <v>6</v>
      </c>
      <c r="H375" s="12" t="inlineStr">
        <is>
          <t>HTP-1: heat-trace panel (rack)</t>
        </is>
      </c>
      <c r="I375" s="12" t="inlineStr">
        <is>
          <t>LV 600 V</t>
        </is>
      </c>
      <c r="J375" s="12" t="inlineStr">
        <is>
          <t>10</t>
        </is>
      </c>
      <c r="K375" s="12" t="n">
        <v>1</v>
      </c>
    </row>
    <row r="376">
      <c r="A376" s="12" t="inlineStr">
        <is>
          <t>HTP-1: heat-trace panel (rack)</t>
        </is>
      </c>
      <c r="B376" s="12" t="inlineStr">
        <is>
          <t>HTP-1</t>
        </is>
      </c>
      <c r="C376" s="12" t="inlineStr">
        <is>
          <t>A</t>
        </is>
      </c>
      <c r="D376" s="12" t="inlineStr">
        <is>
          <t>Heat-trace circuit 5 (power to the trace junction box)</t>
        </is>
      </c>
      <c r="E376" s="12" t="n">
        <v>480</v>
      </c>
      <c r="F376" s="12" t="n">
        <v>4</v>
      </c>
      <c r="G376" s="12" t="n">
        <v>6</v>
      </c>
      <c r="H376" s="12" t="inlineStr">
        <is>
          <t>HTP-1: heat-trace panel (rack)</t>
        </is>
      </c>
      <c r="I376" s="12" t="inlineStr">
        <is>
          <t>LV 600 V</t>
        </is>
      </c>
      <c r="J376" s="12" t="inlineStr">
        <is>
          <t>10</t>
        </is>
      </c>
      <c r="K376" s="12" t="n">
        <v>1</v>
      </c>
    </row>
    <row r="377">
      <c r="A377" s="12" t="inlineStr">
        <is>
          <t>HTP-1: heat-trace panel (rack)</t>
        </is>
      </c>
      <c r="B377" s="12" t="inlineStr">
        <is>
          <t>HTP-1</t>
        </is>
      </c>
      <c r="C377" s="12" t="inlineStr">
        <is>
          <t>A</t>
        </is>
      </c>
      <c r="D377" s="12" t="inlineStr">
        <is>
          <t>Heat-trace circuit 6 (power to the trace junction box)</t>
        </is>
      </c>
      <c r="E377" s="12" t="n">
        <v>480</v>
      </c>
      <c r="F377" s="12" t="n">
        <v>4</v>
      </c>
      <c r="G377" s="12" t="n">
        <v>6</v>
      </c>
      <c r="H377" s="12" t="inlineStr">
        <is>
          <t>HTP-1: heat-trace panel (rack)</t>
        </is>
      </c>
      <c r="I377" s="12" t="inlineStr">
        <is>
          <t>LV 600 V</t>
        </is>
      </c>
      <c r="J377" s="12" t="inlineStr">
        <is>
          <t>10</t>
        </is>
      </c>
      <c r="K377" s="12" t="n">
        <v>1</v>
      </c>
    </row>
    <row r="378">
      <c r="A378" s="12" t="inlineStr">
        <is>
          <t>HTP-1: heat-trace panel (rack)</t>
        </is>
      </c>
      <c r="B378" s="12" t="inlineStr">
        <is>
          <t>HTP-1</t>
        </is>
      </c>
      <c r="C378" s="12" t="inlineStr">
        <is>
          <t>A</t>
        </is>
      </c>
      <c r="D378" s="12" t="inlineStr">
        <is>
          <t>Heat-trace circuit 7 (power to the trace junction box)</t>
        </is>
      </c>
      <c r="E378" s="12" t="n">
        <v>480</v>
      </c>
      <c r="F378" s="12" t="n">
        <v>4</v>
      </c>
      <c r="G378" s="12" t="n">
        <v>6</v>
      </c>
      <c r="H378" s="12" t="inlineStr">
        <is>
          <t>HTP-1: heat-trace panel (rack)</t>
        </is>
      </c>
      <c r="I378" s="12" t="inlineStr">
        <is>
          <t>LV 600 V</t>
        </is>
      </c>
      <c r="J378" s="12" t="inlineStr">
        <is>
          <t>10</t>
        </is>
      </c>
      <c r="K378" s="12" t="n">
        <v>1</v>
      </c>
    </row>
    <row r="379">
      <c r="A379" s="12" t="inlineStr">
        <is>
          <t>HTP-1: heat-trace panel (rack)</t>
        </is>
      </c>
      <c r="B379" s="12" t="inlineStr">
        <is>
          <t>HTP-1</t>
        </is>
      </c>
      <c r="C379" s="12" t="inlineStr">
        <is>
          <t>A</t>
        </is>
      </c>
      <c r="D379" s="12" t="inlineStr">
        <is>
          <t>Heat-trace circuit 8 (power to the trace junction box)</t>
        </is>
      </c>
      <c r="E379" s="12" t="n">
        <v>480</v>
      </c>
      <c r="F379" s="12" t="n">
        <v>4</v>
      </c>
      <c r="G379" s="12" t="n">
        <v>6</v>
      </c>
      <c r="H379" s="12" t="inlineStr">
        <is>
          <t>HTP-1: heat-trace panel (rack)</t>
        </is>
      </c>
      <c r="I379" s="12" t="inlineStr">
        <is>
          <t>LV 600 V</t>
        </is>
      </c>
      <c r="J379" s="12" t="inlineStr">
        <is>
          <t>10</t>
        </is>
      </c>
      <c r="K379" s="12" t="n">
        <v>1</v>
      </c>
    </row>
    <row r="380">
      <c r="A380" s="12" t="inlineStr">
        <is>
          <t>HTP-1: heat-trace panel (rack)</t>
        </is>
      </c>
      <c r="B380" s="12" t="inlineStr">
        <is>
          <t>HTP-1</t>
        </is>
      </c>
      <c r="C380" s="12" t="inlineStr">
        <is>
          <t>A</t>
        </is>
      </c>
      <c r="D380" s="12" t="inlineStr">
        <is>
          <t>Heat-trace circuit 9 (power to the trace junction box)</t>
        </is>
      </c>
      <c r="E380" s="12" t="n">
        <v>480</v>
      </c>
      <c r="F380" s="12" t="n">
        <v>4</v>
      </c>
      <c r="G380" s="12" t="n">
        <v>6</v>
      </c>
      <c r="H380" s="12" t="inlineStr">
        <is>
          <t>HTP-1: heat-trace panel (rack)</t>
        </is>
      </c>
      <c r="I380" s="12" t="inlineStr">
        <is>
          <t>LV 600 V</t>
        </is>
      </c>
      <c r="J380" s="12" t="inlineStr">
        <is>
          <t>10</t>
        </is>
      </c>
      <c r="K380" s="12" t="n">
        <v>1</v>
      </c>
    </row>
    <row r="381">
      <c r="A381" s="12" t="inlineStr">
        <is>
          <t>HTP-1: heat-trace panel (rack)</t>
        </is>
      </c>
      <c r="B381" s="12" t="inlineStr">
        <is>
          <t>HTP-1</t>
        </is>
      </c>
      <c r="C381" s="12" t="inlineStr">
        <is>
          <t>A</t>
        </is>
      </c>
      <c r="D381" s="12" t="inlineStr">
        <is>
          <t>Heat-trace circuit 10 (power to the trace junction box)</t>
        </is>
      </c>
      <c r="E381" s="12" t="n">
        <v>480</v>
      </c>
      <c r="F381" s="12" t="n">
        <v>4</v>
      </c>
      <c r="G381" s="12" t="n">
        <v>6</v>
      </c>
      <c r="H381" s="12" t="inlineStr">
        <is>
          <t>HTP-1: heat-trace panel (rack)</t>
        </is>
      </c>
      <c r="I381" s="12" t="inlineStr">
        <is>
          <t>LV 600 V</t>
        </is>
      </c>
      <c r="J381" s="12" t="inlineStr">
        <is>
          <t>10</t>
        </is>
      </c>
      <c r="K381" s="12" t="n">
        <v>1</v>
      </c>
    </row>
    <row r="382">
      <c r="A382" s="12" t="inlineStr">
        <is>
          <t>HTP-1: heat-trace panel (rack)</t>
        </is>
      </c>
      <c r="B382" s="12" t="inlineStr">
        <is>
          <t>HTP-1</t>
        </is>
      </c>
      <c r="C382" s="12" t="inlineStr">
        <is>
          <t>A</t>
        </is>
      </c>
      <c r="D382" s="12" t="inlineStr">
        <is>
          <t>Heat-trace circuit 11 (power to the trace junction box)</t>
        </is>
      </c>
      <c r="E382" s="12" t="n">
        <v>480</v>
      </c>
      <c r="F382" s="12" t="n">
        <v>4</v>
      </c>
      <c r="G382" s="12" t="n">
        <v>6</v>
      </c>
      <c r="H382" s="12" t="inlineStr">
        <is>
          <t>HTP-1: heat-trace panel (rack)</t>
        </is>
      </c>
      <c r="I382" s="12" t="inlineStr">
        <is>
          <t>LV 600 V</t>
        </is>
      </c>
      <c r="J382" s="12" t="inlineStr">
        <is>
          <t>10</t>
        </is>
      </c>
      <c r="K382" s="12" t="n">
        <v>1</v>
      </c>
    </row>
    <row r="383">
      <c r="A383" s="12" t="inlineStr">
        <is>
          <t>HTP-1: heat-trace panel (rack)</t>
        </is>
      </c>
      <c r="B383" s="12" t="inlineStr">
        <is>
          <t>HTP-1</t>
        </is>
      </c>
      <c r="C383" s="12" t="inlineStr">
        <is>
          <t>A</t>
        </is>
      </c>
      <c r="D383" s="12" t="inlineStr">
        <is>
          <t>Heat-trace circuit 12 (power to the trace junction box)</t>
        </is>
      </c>
      <c r="E383" s="12" t="n">
        <v>480</v>
      </c>
      <c r="F383" s="12" t="n">
        <v>4</v>
      </c>
      <c r="G383" s="12" t="n">
        <v>6</v>
      </c>
      <c r="H383" s="12" t="inlineStr">
        <is>
          <t>HTP-1: heat-trace panel (rack)</t>
        </is>
      </c>
      <c r="I383" s="12" t="inlineStr">
        <is>
          <t>LV 600 V</t>
        </is>
      </c>
      <c r="J383" s="12" t="inlineStr">
        <is>
          <t>10</t>
        </is>
      </c>
      <c r="K383" s="12" t="n">
        <v>1</v>
      </c>
    </row>
    <row r="384">
      <c r="A384" s="12" t="inlineStr">
        <is>
          <t>HTP-1: heat-trace panel (rack)</t>
        </is>
      </c>
      <c r="B384" s="12" t="inlineStr">
        <is>
          <t>HTP-1</t>
        </is>
      </c>
      <c r="C384" s="12" t="inlineStr">
        <is>
          <t>A</t>
        </is>
      </c>
      <c r="D384" s="12" t="inlineStr">
        <is>
          <t>Heat-trace circuit 13 (power to the trace junction box)</t>
        </is>
      </c>
      <c r="E384" s="12" t="n">
        <v>480</v>
      </c>
      <c r="F384" s="12" t="n">
        <v>4</v>
      </c>
      <c r="G384" s="12" t="n">
        <v>6</v>
      </c>
      <c r="H384" s="12" t="inlineStr">
        <is>
          <t>HTP-1: heat-trace panel (rack)</t>
        </is>
      </c>
      <c r="I384" s="12" t="inlineStr">
        <is>
          <t>LV 600 V</t>
        </is>
      </c>
      <c r="J384" s="12" t="inlineStr">
        <is>
          <t>10</t>
        </is>
      </c>
      <c r="K384" s="12" t="n">
        <v>1</v>
      </c>
    </row>
    <row r="385">
      <c r="A385" s="12" t="inlineStr">
        <is>
          <t>HTP-1: heat-trace panel (rack)</t>
        </is>
      </c>
      <c r="B385" s="12" t="inlineStr">
        <is>
          <t>HTP-1</t>
        </is>
      </c>
      <c r="C385" s="12" t="inlineStr">
        <is>
          <t>A</t>
        </is>
      </c>
      <c r="D385" s="12" t="inlineStr">
        <is>
          <t>Heat-trace circuit 14 (power to the trace junction box)</t>
        </is>
      </c>
      <c r="E385" s="12" t="n">
        <v>480</v>
      </c>
      <c r="F385" s="12" t="n">
        <v>4</v>
      </c>
      <c r="G385" s="12" t="n">
        <v>6</v>
      </c>
      <c r="H385" s="12" t="inlineStr">
        <is>
          <t>HTP-1: heat-trace panel (rack)</t>
        </is>
      </c>
      <c r="I385" s="12" t="inlineStr">
        <is>
          <t>LV 600 V</t>
        </is>
      </c>
      <c r="J385" s="12" t="inlineStr">
        <is>
          <t>10</t>
        </is>
      </c>
      <c r="K385" s="12" t="n">
        <v>1</v>
      </c>
    </row>
    <row r="386">
      <c r="A386" s="12" t="inlineStr">
        <is>
          <t>HTP-1: heat-trace panel (rack)</t>
        </is>
      </c>
      <c r="B386" s="12" t="inlineStr">
        <is>
          <t>HTP-1</t>
        </is>
      </c>
      <c r="C386" s="12" t="inlineStr">
        <is>
          <t>A</t>
        </is>
      </c>
      <c r="D386" s="12" t="inlineStr">
        <is>
          <t>Heat-trace circuit 15 (power to the trace junction box)</t>
        </is>
      </c>
      <c r="E386" s="12" t="n">
        <v>480</v>
      </c>
      <c r="F386" s="12" t="n">
        <v>4</v>
      </c>
      <c r="G386" s="12" t="n">
        <v>6</v>
      </c>
      <c r="H386" s="12" t="inlineStr">
        <is>
          <t>HTP-1: heat-trace panel (rack)</t>
        </is>
      </c>
      <c r="I386" s="12" t="inlineStr">
        <is>
          <t>LV 600 V</t>
        </is>
      </c>
      <c r="J386" s="12" t="inlineStr">
        <is>
          <t>10</t>
        </is>
      </c>
      <c r="K386" s="12" t="n">
        <v>1</v>
      </c>
    </row>
    <row r="387">
      <c r="A387" s="12" t="inlineStr">
        <is>
          <t>HTP-1: heat-trace panel (rack)</t>
        </is>
      </c>
      <c r="B387" s="12" t="inlineStr">
        <is>
          <t>HTP-1</t>
        </is>
      </c>
      <c r="C387" s="12" t="inlineStr">
        <is>
          <t>A</t>
        </is>
      </c>
      <c r="D387" s="12" t="inlineStr">
        <is>
          <t>Heat-trace circuit 16 (power to the trace junction box)</t>
        </is>
      </c>
      <c r="E387" s="12" t="n">
        <v>480</v>
      </c>
      <c r="F387" s="12" t="n">
        <v>4</v>
      </c>
      <c r="G387" s="12" t="n">
        <v>6</v>
      </c>
      <c r="H387" s="12" t="inlineStr">
        <is>
          <t>HTP-1: heat-trace panel (rack)</t>
        </is>
      </c>
      <c r="I387" s="12" t="inlineStr">
        <is>
          <t>LV 600 V</t>
        </is>
      </c>
      <c r="J387" s="12" t="inlineStr">
        <is>
          <t>10</t>
        </is>
      </c>
      <c r="K387" s="12" t="n">
        <v>1</v>
      </c>
    </row>
    <row r="388">
      <c r="A388" s="12" t="inlineStr">
        <is>
          <t>HTP-1: heat-trace panel (rack)</t>
        </is>
      </c>
      <c r="B388" s="12" t="inlineStr">
        <is>
          <t>HTP-1</t>
        </is>
      </c>
      <c r="C388" s="12" t="inlineStr">
        <is>
          <t>A</t>
        </is>
      </c>
      <c r="D388" s="12" t="inlineStr">
        <is>
          <t>Heat-trace circuit 17 (power to the trace junction box)</t>
        </is>
      </c>
      <c r="E388" s="12" t="n">
        <v>480</v>
      </c>
      <c r="F388" s="12" t="n">
        <v>4</v>
      </c>
      <c r="G388" s="12" t="n">
        <v>6</v>
      </c>
      <c r="H388" s="12" t="inlineStr">
        <is>
          <t>HTP-1: heat-trace panel (rack)</t>
        </is>
      </c>
      <c r="I388" s="12" t="inlineStr">
        <is>
          <t>LV 600 V</t>
        </is>
      </c>
      <c r="J388" s="12" t="inlineStr">
        <is>
          <t>10</t>
        </is>
      </c>
      <c r="K388" s="12" t="n">
        <v>1</v>
      </c>
    </row>
    <row r="389">
      <c r="A389" s="12" t="inlineStr">
        <is>
          <t>HTP-1: heat-trace panel (rack)</t>
        </is>
      </c>
      <c r="B389" s="12" t="inlineStr">
        <is>
          <t>HTP-1</t>
        </is>
      </c>
      <c r="C389" s="12" t="inlineStr">
        <is>
          <t>A</t>
        </is>
      </c>
      <c r="D389" s="12" t="inlineStr">
        <is>
          <t>Heat-trace circuit 18 (power to the trace junction box)</t>
        </is>
      </c>
      <c r="E389" s="12" t="n">
        <v>480</v>
      </c>
      <c r="F389" s="12" t="n">
        <v>4</v>
      </c>
      <c r="G389" s="12" t="n">
        <v>6</v>
      </c>
      <c r="H389" s="12" t="inlineStr">
        <is>
          <t>HTP-1: heat-trace panel (rack)</t>
        </is>
      </c>
      <c r="I389" s="12" t="inlineStr">
        <is>
          <t>LV 600 V</t>
        </is>
      </c>
      <c r="J389" s="12" t="inlineStr">
        <is>
          <t>10</t>
        </is>
      </c>
      <c r="K389" s="12" t="n">
        <v>1</v>
      </c>
    </row>
    <row r="390">
      <c r="A390" s="12" t="inlineStr">
        <is>
          <t>HTP-1: heat-trace panel (rack)</t>
        </is>
      </c>
      <c r="B390" s="12" t="inlineStr">
        <is>
          <t>HTP-1</t>
        </is>
      </c>
      <c r="C390" s="12" t="inlineStr">
        <is>
          <t>A</t>
        </is>
      </c>
      <c r="D390" s="12" t="inlineStr">
        <is>
          <t>Heat-trace circuit 19 (power to the trace junction box)</t>
        </is>
      </c>
      <c r="E390" s="12" t="n">
        <v>480</v>
      </c>
      <c r="F390" s="12" t="n">
        <v>4</v>
      </c>
      <c r="G390" s="12" t="n">
        <v>6</v>
      </c>
      <c r="H390" s="12" t="inlineStr">
        <is>
          <t>HTP-1: heat-trace panel (rack)</t>
        </is>
      </c>
      <c r="I390" s="12" t="inlineStr">
        <is>
          <t>LV 600 V</t>
        </is>
      </c>
      <c r="J390" s="12" t="inlineStr">
        <is>
          <t>10</t>
        </is>
      </c>
      <c r="K390" s="12" t="n">
        <v>1</v>
      </c>
    </row>
    <row r="391">
      <c r="A391" s="12" t="inlineStr">
        <is>
          <t>HTP-1: heat-trace panel (rack)</t>
        </is>
      </c>
      <c r="B391" s="12" t="inlineStr">
        <is>
          <t>HTP-1</t>
        </is>
      </c>
      <c r="C391" s="12" t="inlineStr">
        <is>
          <t>A</t>
        </is>
      </c>
      <c r="D391" s="12" t="inlineStr">
        <is>
          <t>Heat-trace circuit 20 (power to the trace junction box)</t>
        </is>
      </c>
      <c r="E391" s="12" t="n">
        <v>480</v>
      </c>
      <c r="F391" s="12" t="n">
        <v>4</v>
      </c>
      <c r="G391" s="12" t="n">
        <v>6</v>
      </c>
      <c r="H391" s="12" t="inlineStr">
        <is>
          <t>HTP-1: heat-trace panel (rack)</t>
        </is>
      </c>
      <c r="I391" s="12" t="inlineStr">
        <is>
          <t>LV 600 V</t>
        </is>
      </c>
      <c r="J391" s="12" t="inlineStr">
        <is>
          <t>10</t>
        </is>
      </c>
      <c r="K391" s="12" t="n">
        <v>1</v>
      </c>
    </row>
    <row r="392">
      <c r="A392" s="12" t="inlineStr">
        <is>
          <t>HTP-1: heat-trace panel (rack)</t>
        </is>
      </c>
      <c r="B392" s="12" t="inlineStr">
        <is>
          <t>HTP-1</t>
        </is>
      </c>
      <c r="C392" s="12" t="inlineStr">
        <is>
          <t>A</t>
        </is>
      </c>
      <c r="D392" s="12" t="inlineStr">
        <is>
          <t>Heat-trace circuit 21 (power to the trace junction box)</t>
        </is>
      </c>
      <c r="E392" s="12" t="n">
        <v>480</v>
      </c>
      <c r="F392" s="12" t="n">
        <v>4</v>
      </c>
      <c r="G392" s="12" t="n">
        <v>6</v>
      </c>
      <c r="H392" s="12" t="inlineStr">
        <is>
          <t>HTP-1: heat-trace panel (rack)</t>
        </is>
      </c>
      <c r="I392" s="12" t="inlineStr">
        <is>
          <t>LV 600 V</t>
        </is>
      </c>
      <c r="J392" s="12" t="inlineStr">
        <is>
          <t>10</t>
        </is>
      </c>
      <c r="K392" s="12" t="n">
        <v>1</v>
      </c>
    </row>
    <row r="393">
      <c r="A393" s="12" t="inlineStr">
        <is>
          <t>HTP-1: heat-trace panel (rack)</t>
        </is>
      </c>
      <c r="B393" s="12" t="inlineStr">
        <is>
          <t>HTP-1</t>
        </is>
      </c>
      <c r="C393" s="12" t="inlineStr">
        <is>
          <t>A</t>
        </is>
      </c>
      <c r="D393" s="12" t="inlineStr">
        <is>
          <t>Heat-trace circuit 22 (power to the trace junction box)</t>
        </is>
      </c>
      <c r="E393" s="12" t="n">
        <v>480</v>
      </c>
      <c r="F393" s="12" t="n">
        <v>4</v>
      </c>
      <c r="G393" s="12" t="n">
        <v>6</v>
      </c>
      <c r="H393" s="12" t="inlineStr">
        <is>
          <t>HTP-1: heat-trace panel (rack)</t>
        </is>
      </c>
      <c r="I393" s="12" t="inlineStr">
        <is>
          <t>LV 600 V</t>
        </is>
      </c>
      <c r="J393" s="12" t="inlineStr">
        <is>
          <t>10</t>
        </is>
      </c>
      <c r="K393" s="12" t="n">
        <v>1</v>
      </c>
    </row>
    <row r="394">
      <c r="A394" s="12" t="inlineStr">
        <is>
          <t>HTP-1: heat-trace panel (rack)</t>
        </is>
      </c>
      <c r="B394" s="12" t="inlineStr">
        <is>
          <t>HTP-1</t>
        </is>
      </c>
      <c r="C394" s="12" t="inlineStr">
        <is>
          <t>A</t>
        </is>
      </c>
      <c r="D394" s="12" t="inlineStr">
        <is>
          <t>Heat-trace circuit 23 (power to the trace junction box)</t>
        </is>
      </c>
      <c r="E394" s="12" t="n">
        <v>480</v>
      </c>
      <c r="F394" s="12" t="n">
        <v>4</v>
      </c>
      <c r="G394" s="12" t="n">
        <v>6</v>
      </c>
      <c r="H394" s="12" t="inlineStr">
        <is>
          <t>HTP-1: heat-trace panel (rack)</t>
        </is>
      </c>
      <c r="I394" s="12" t="inlineStr">
        <is>
          <t>LV 600 V</t>
        </is>
      </c>
      <c r="J394" s="12" t="inlineStr">
        <is>
          <t>10</t>
        </is>
      </c>
      <c r="K394" s="12" t="n">
        <v>1</v>
      </c>
    </row>
    <row r="395">
      <c r="A395" s="12" t="inlineStr">
        <is>
          <t>HTP-1: heat-trace panel (rack)</t>
        </is>
      </c>
      <c r="B395" s="12" t="inlineStr">
        <is>
          <t>HTP-1</t>
        </is>
      </c>
      <c r="C395" s="12" t="inlineStr">
        <is>
          <t>A</t>
        </is>
      </c>
      <c r="D395" s="12" t="inlineStr">
        <is>
          <t>Heat-trace circuit 24 (power to the trace junction box)</t>
        </is>
      </c>
      <c r="E395" s="12" t="n">
        <v>480</v>
      </c>
      <c r="F395" s="12" t="n">
        <v>4</v>
      </c>
      <c r="G395" s="12" t="n">
        <v>6</v>
      </c>
      <c r="H395" s="12" t="inlineStr">
        <is>
          <t>HTP-1: heat-trace panel (rack)</t>
        </is>
      </c>
      <c r="I395" s="12" t="inlineStr">
        <is>
          <t>LV 600 V</t>
        </is>
      </c>
      <c r="J395" s="12" t="inlineStr">
        <is>
          <t>10</t>
        </is>
      </c>
      <c r="K395" s="12" t="n">
        <v>1</v>
      </c>
    </row>
    <row r="396">
      <c r="A396" s="12" t="inlineStr">
        <is>
          <t>LCT-A: 13.8/0.48 kV load-centre transformer</t>
        </is>
      </c>
      <c r="B396" s="12" t="inlineStr">
        <is>
          <t>LCT-A</t>
        </is>
      </c>
      <c r="C396" s="12" t="inlineStr">
        <is>
          <t>A</t>
        </is>
      </c>
      <c r="D396" s="12" t="inlineStr">
        <is>
          <t>Motor 1 of 6, 2 kW</t>
        </is>
      </c>
      <c r="E396" s="12" t="n">
        <v>480</v>
      </c>
      <c r="F396" s="12" t="n">
        <v>2</v>
      </c>
      <c r="G396" s="12" t="n">
        <v>2.8</v>
      </c>
      <c r="H396" s="12" t="inlineStr">
        <is>
          <t>R1 LC-480-B (480 V switchgear)</t>
        </is>
      </c>
      <c r="I396" s="12" t="inlineStr">
        <is>
          <t>LV 600 V</t>
        </is>
      </c>
      <c r="J396" s="12" t="inlineStr">
        <is>
          <t>10</t>
        </is>
      </c>
      <c r="K396" s="12" t="n">
        <v>1</v>
      </c>
    </row>
    <row r="397">
      <c r="A397" s="12" t="inlineStr">
        <is>
          <t>LCT-A: 13.8/0.48 kV load-centre transformer</t>
        </is>
      </c>
      <c r="B397" s="12" t="inlineStr">
        <is>
          <t>LCT-A</t>
        </is>
      </c>
      <c r="C397" s="12" t="inlineStr">
        <is>
          <t>A</t>
        </is>
      </c>
      <c r="D397" s="12" t="inlineStr">
        <is>
          <t>Motor 2 of 6, 2 kW</t>
        </is>
      </c>
      <c r="E397" s="12" t="n">
        <v>480</v>
      </c>
      <c r="F397" s="12" t="n">
        <v>2</v>
      </c>
      <c r="G397" s="12" t="n">
        <v>2.8</v>
      </c>
      <c r="H397" s="12" t="inlineStr">
        <is>
          <t>R1 LC-480-B (480 V switchgear)</t>
        </is>
      </c>
      <c r="I397" s="12" t="inlineStr">
        <is>
          <t>LV 600 V</t>
        </is>
      </c>
      <c r="J397" s="12" t="inlineStr">
        <is>
          <t>10</t>
        </is>
      </c>
      <c r="K397" s="12" t="n">
        <v>1</v>
      </c>
    </row>
    <row r="398">
      <c r="A398" s="12" t="inlineStr">
        <is>
          <t>LCT-A: 13.8/0.48 kV load-centre transformer</t>
        </is>
      </c>
      <c r="B398" s="12" t="inlineStr">
        <is>
          <t>LCT-A</t>
        </is>
      </c>
      <c r="C398" s="12" t="inlineStr">
        <is>
          <t>A</t>
        </is>
      </c>
      <c r="D398" s="12" t="inlineStr">
        <is>
          <t>Motor 3 of 6, 2 kW</t>
        </is>
      </c>
      <c r="E398" s="12" t="n">
        <v>480</v>
      </c>
      <c r="F398" s="12" t="n">
        <v>2</v>
      </c>
      <c r="G398" s="12" t="n">
        <v>2.8</v>
      </c>
      <c r="H398" s="12" t="inlineStr">
        <is>
          <t>R1 LC-480-B (480 V switchgear)</t>
        </is>
      </c>
      <c r="I398" s="12" t="inlineStr">
        <is>
          <t>LV 600 V</t>
        </is>
      </c>
      <c r="J398" s="12" t="inlineStr">
        <is>
          <t>10</t>
        </is>
      </c>
      <c r="K398" s="12" t="n">
        <v>1</v>
      </c>
    </row>
    <row r="399">
      <c r="A399" s="12" t="inlineStr">
        <is>
          <t>LCT-A: 13.8/0.48 kV load-centre transformer</t>
        </is>
      </c>
      <c r="B399" s="12" t="inlineStr">
        <is>
          <t>LCT-A</t>
        </is>
      </c>
      <c r="C399" s="12" t="inlineStr">
        <is>
          <t>A</t>
        </is>
      </c>
      <c r="D399" s="12" t="inlineStr">
        <is>
          <t>Motor 4 of 6, 2 kW</t>
        </is>
      </c>
      <c r="E399" s="12" t="n">
        <v>480</v>
      </c>
      <c r="F399" s="12" t="n">
        <v>2</v>
      </c>
      <c r="G399" s="12" t="n">
        <v>2.8</v>
      </c>
      <c r="H399" s="12" t="inlineStr">
        <is>
          <t>R1 LC-480-B (480 V switchgear)</t>
        </is>
      </c>
      <c r="I399" s="12" t="inlineStr">
        <is>
          <t>LV 600 V</t>
        </is>
      </c>
      <c r="J399" s="12" t="inlineStr">
        <is>
          <t>10</t>
        </is>
      </c>
      <c r="K399" s="12" t="n">
        <v>1</v>
      </c>
    </row>
    <row r="400">
      <c r="A400" s="12" t="inlineStr">
        <is>
          <t>LCT-A: 13.8/0.48 kV load-centre transformer</t>
        </is>
      </c>
      <c r="B400" s="12" t="inlineStr">
        <is>
          <t>LCT-A</t>
        </is>
      </c>
      <c r="C400" s="12" t="inlineStr">
        <is>
          <t>A</t>
        </is>
      </c>
      <c r="D400" s="12" t="inlineStr">
        <is>
          <t>Motor 5 of 6, 2 kW</t>
        </is>
      </c>
      <c r="E400" s="12" t="n">
        <v>480</v>
      </c>
      <c r="F400" s="12" t="n">
        <v>2</v>
      </c>
      <c r="G400" s="12" t="n">
        <v>2.8</v>
      </c>
      <c r="H400" s="12" t="inlineStr">
        <is>
          <t>R1 LC-480-B (480 V switchgear)</t>
        </is>
      </c>
      <c r="I400" s="12" t="inlineStr">
        <is>
          <t>LV 600 V</t>
        </is>
      </c>
      <c r="J400" s="12" t="inlineStr">
        <is>
          <t>10</t>
        </is>
      </c>
      <c r="K400" s="12" t="n">
        <v>1</v>
      </c>
    </row>
    <row r="401">
      <c r="A401" s="12" t="inlineStr">
        <is>
          <t>LCT-A: 13.8/0.48 kV load-centre transformer</t>
        </is>
      </c>
      <c r="B401" s="12" t="inlineStr">
        <is>
          <t>LCT-A</t>
        </is>
      </c>
      <c r="C401" s="12" t="inlineStr">
        <is>
          <t>A</t>
        </is>
      </c>
      <c r="D401" s="12" t="inlineStr">
        <is>
          <t>Motor 6 of 6, 2 kW</t>
        </is>
      </c>
      <c r="E401" s="12" t="n">
        <v>480</v>
      </c>
      <c r="F401" s="12" t="n">
        <v>2</v>
      </c>
      <c r="G401" s="12" t="n">
        <v>2.8</v>
      </c>
      <c r="H401" s="12" t="inlineStr">
        <is>
          <t>R1 LC-480-B (480 V switchgear)</t>
        </is>
      </c>
      <c r="I401" s="12" t="inlineStr">
        <is>
          <t>LV 600 V</t>
        </is>
      </c>
      <c r="J401" s="12" t="inlineStr">
        <is>
          <t>10</t>
        </is>
      </c>
      <c r="K401" s="12" t="n">
        <v>1</v>
      </c>
    </row>
    <row r="402">
      <c r="A402" s="12" t="inlineStr">
        <is>
          <t>LCT-B: 13.8/0.48 kV load-centre transformer</t>
        </is>
      </c>
      <c r="B402" s="12" t="inlineStr">
        <is>
          <t>LCT-B</t>
        </is>
      </c>
      <c r="C402" s="12" t="inlineStr">
        <is>
          <t>A</t>
        </is>
      </c>
      <c r="D402" s="12" t="inlineStr">
        <is>
          <t>Motor 1 of 6, 2 kW</t>
        </is>
      </c>
      <c r="E402" s="12" t="n">
        <v>480</v>
      </c>
      <c r="F402" s="12" t="n">
        <v>2</v>
      </c>
      <c r="G402" s="12" t="n">
        <v>2.8</v>
      </c>
      <c r="H402" s="12" t="inlineStr">
        <is>
          <t>R1 LC-480-B (480 V switchgear)</t>
        </is>
      </c>
      <c r="I402" s="12" t="inlineStr">
        <is>
          <t>LV 600 V</t>
        </is>
      </c>
      <c r="J402" s="12" t="inlineStr">
        <is>
          <t>10</t>
        </is>
      </c>
      <c r="K402" s="12" t="n">
        <v>1</v>
      </c>
    </row>
    <row r="403">
      <c r="A403" s="12" t="inlineStr">
        <is>
          <t>LCT-B: 13.8/0.48 kV load-centre transformer</t>
        </is>
      </c>
      <c r="B403" s="12" t="inlineStr">
        <is>
          <t>LCT-B</t>
        </is>
      </c>
      <c r="C403" s="12" t="inlineStr">
        <is>
          <t>A</t>
        </is>
      </c>
      <c r="D403" s="12" t="inlineStr">
        <is>
          <t>Motor 2 of 6, 2 kW</t>
        </is>
      </c>
      <c r="E403" s="12" t="n">
        <v>480</v>
      </c>
      <c r="F403" s="12" t="n">
        <v>2</v>
      </c>
      <c r="G403" s="12" t="n">
        <v>2.8</v>
      </c>
      <c r="H403" s="12" t="inlineStr">
        <is>
          <t>R1 LC-480-B (480 V switchgear)</t>
        </is>
      </c>
      <c r="I403" s="12" t="inlineStr">
        <is>
          <t>LV 600 V</t>
        </is>
      </c>
      <c r="J403" s="12" t="inlineStr">
        <is>
          <t>10</t>
        </is>
      </c>
      <c r="K403" s="12" t="n">
        <v>1</v>
      </c>
    </row>
    <row r="404">
      <c r="A404" s="12" t="inlineStr">
        <is>
          <t>LCT-B: 13.8/0.48 kV load-centre transformer</t>
        </is>
      </c>
      <c r="B404" s="12" t="inlineStr">
        <is>
          <t>LCT-B</t>
        </is>
      </c>
      <c r="C404" s="12" t="inlineStr">
        <is>
          <t>A</t>
        </is>
      </c>
      <c r="D404" s="12" t="inlineStr">
        <is>
          <t>Motor 3 of 6, 2 kW</t>
        </is>
      </c>
      <c r="E404" s="12" t="n">
        <v>480</v>
      </c>
      <c r="F404" s="12" t="n">
        <v>2</v>
      </c>
      <c r="G404" s="12" t="n">
        <v>2.8</v>
      </c>
      <c r="H404" s="12" t="inlineStr">
        <is>
          <t>R1 LC-480-B (480 V switchgear)</t>
        </is>
      </c>
      <c r="I404" s="12" t="inlineStr">
        <is>
          <t>LV 600 V</t>
        </is>
      </c>
      <c r="J404" s="12" t="inlineStr">
        <is>
          <t>10</t>
        </is>
      </c>
      <c r="K404" s="12" t="n">
        <v>1</v>
      </c>
    </row>
    <row r="405">
      <c r="A405" s="12" t="inlineStr">
        <is>
          <t>LCT-B: 13.8/0.48 kV load-centre transformer</t>
        </is>
      </c>
      <c r="B405" s="12" t="inlineStr">
        <is>
          <t>LCT-B</t>
        </is>
      </c>
      <c r="C405" s="12" t="inlineStr">
        <is>
          <t>A</t>
        </is>
      </c>
      <c r="D405" s="12" t="inlineStr">
        <is>
          <t>Motor 4 of 6, 2 kW</t>
        </is>
      </c>
      <c r="E405" s="12" t="n">
        <v>480</v>
      </c>
      <c r="F405" s="12" t="n">
        <v>2</v>
      </c>
      <c r="G405" s="12" t="n">
        <v>2.8</v>
      </c>
      <c r="H405" s="12" t="inlineStr">
        <is>
          <t>R1 LC-480-B (480 V switchgear)</t>
        </is>
      </c>
      <c r="I405" s="12" t="inlineStr">
        <is>
          <t>LV 600 V</t>
        </is>
      </c>
      <c r="J405" s="12" t="inlineStr">
        <is>
          <t>10</t>
        </is>
      </c>
      <c r="K405" s="12" t="n">
        <v>1</v>
      </c>
    </row>
    <row r="406">
      <c r="A406" s="12" t="inlineStr">
        <is>
          <t>LCT-B: 13.8/0.48 kV load-centre transformer</t>
        </is>
      </c>
      <c r="B406" s="12" t="inlineStr">
        <is>
          <t>LCT-B</t>
        </is>
      </c>
      <c r="C406" s="12" t="inlineStr">
        <is>
          <t>A</t>
        </is>
      </c>
      <c r="D406" s="12" t="inlineStr">
        <is>
          <t>Motor 5 of 6, 2 kW</t>
        </is>
      </c>
      <c r="E406" s="12" t="n">
        <v>480</v>
      </c>
      <c r="F406" s="12" t="n">
        <v>2</v>
      </c>
      <c r="G406" s="12" t="n">
        <v>2.8</v>
      </c>
      <c r="H406" s="12" t="inlineStr">
        <is>
          <t>R1 LC-480-B (480 V switchgear)</t>
        </is>
      </c>
      <c r="I406" s="12" t="inlineStr">
        <is>
          <t>LV 600 V</t>
        </is>
      </c>
      <c r="J406" s="12" t="inlineStr">
        <is>
          <t>10</t>
        </is>
      </c>
      <c r="K406" s="12" t="n">
        <v>1</v>
      </c>
    </row>
    <row r="407">
      <c r="A407" s="12" t="inlineStr">
        <is>
          <t>LCT-B: 13.8/0.48 kV load-centre transformer</t>
        </is>
      </c>
      <c r="B407" s="12" t="inlineStr">
        <is>
          <t>LCT-B</t>
        </is>
      </c>
      <c r="C407" s="12" t="inlineStr">
        <is>
          <t>A</t>
        </is>
      </c>
      <c r="D407" s="12" t="inlineStr">
        <is>
          <t>Motor 6 of 6, 2 kW</t>
        </is>
      </c>
      <c r="E407" s="12" t="n">
        <v>480</v>
      </c>
      <c r="F407" s="12" t="n">
        <v>2</v>
      </c>
      <c r="G407" s="12" t="n">
        <v>2.8</v>
      </c>
      <c r="H407" s="12" t="inlineStr">
        <is>
          <t>R1 LC-480-B (480 V switchgear)</t>
        </is>
      </c>
      <c r="I407" s="12" t="inlineStr">
        <is>
          <t>LV 600 V</t>
        </is>
      </c>
      <c r="J407" s="12" t="inlineStr">
        <is>
          <t>10</t>
        </is>
      </c>
      <c r="K407" s="12" t="n">
        <v>1</v>
      </c>
    </row>
    <row r="408">
      <c r="A408" s="12" t="inlineStr">
        <is>
          <t>R1 EMCC (emergency MCC)</t>
        </is>
      </c>
      <c r="B408" s="12" t="inlineStr">
        <is>
          <t>EMCC</t>
        </is>
      </c>
      <c r="C408" s="12" t="inlineStr">
        <is>
          <t>A</t>
        </is>
      </c>
      <c r="D408" s="12" t="inlineStr">
        <is>
          <t>EDG-1 480 V output to EMCC</t>
        </is>
      </c>
      <c r="E408" s="12" t="n">
        <v>480</v>
      </c>
      <c r="F408" s="12" t="n">
        <v>3000</v>
      </c>
      <c r="G408" s="12" t="n">
        <v>3609</v>
      </c>
      <c r="H408" s="12" t="inlineStr">
        <is>
          <t>EDG-1: 3 MW emergency diesel generator (480 V)</t>
        </is>
      </c>
      <c r="I408" s="12" t="inlineStr">
        <is>
          <t>LV 600 V</t>
        </is>
      </c>
      <c r="J408" s="12" t="inlineStr">
        <is>
          <t>500 kcmil</t>
        </is>
      </c>
      <c r="K408" s="12" t="n">
        <v>13</v>
      </c>
    </row>
    <row r="409">
      <c r="A409" s="12" t="inlineStr">
        <is>
          <t>R1 EMCC (emergency MCC)</t>
        </is>
      </c>
      <c r="B409" s="12" t="inlineStr">
        <is>
          <t>EMCC</t>
        </is>
      </c>
      <c r="C409" s="12" t="inlineStr">
        <is>
          <t>A</t>
        </is>
      </c>
      <c r="D409" s="12" t="inlineStr">
        <is>
          <t>EDG-2 480 V output to EMCC</t>
        </is>
      </c>
      <c r="E409" s="12" t="n">
        <v>480</v>
      </c>
      <c r="F409" s="12" t="n">
        <v>3000</v>
      </c>
      <c r="G409" s="12" t="n">
        <v>3609</v>
      </c>
      <c r="H409" s="12" t="inlineStr">
        <is>
          <t>EDG-2: 3 MW emergency diesel generator (480 V)</t>
        </is>
      </c>
      <c r="I409" s="12" t="inlineStr">
        <is>
          <t>LV 600 V</t>
        </is>
      </c>
      <c r="J409" s="12" t="inlineStr">
        <is>
          <t>500 kcmil</t>
        </is>
      </c>
      <c r="K409" s="12" t="n">
        <v>13</v>
      </c>
    </row>
    <row r="410">
      <c r="A410" s="12" t="inlineStr">
        <is>
          <t>R1 EMCC (emergency MCC)</t>
        </is>
      </c>
      <c r="B410" s="12" t="inlineStr">
        <is>
          <t>EMCC</t>
        </is>
      </c>
      <c r="C410" s="12" t="inlineStr">
        <is>
          <t>A</t>
        </is>
      </c>
      <c r="D410" s="12" t="inlineStr">
        <is>
          <t>EMCC normal supply from LC-480-A</t>
        </is>
      </c>
      <c r="E410" s="12" t="n">
        <v>480</v>
      </c>
      <c r="F410" s="12" t="n">
        <v>400</v>
      </c>
      <c r="G410" s="12" t="n">
        <v>506.5</v>
      </c>
      <c r="H410" s="12" t="inlineStr">
        <is>
          <t>R1 LC-480-A (480 V switchgear)</t>
        </is>
      </c>
      <c r="I410" s="12" t="inlineStr">
        <is>
          <t>LV 600 V</t>
        </is>
      </c>
      <c r="J410" s="12" t="inlineStr">
        <is>
          <t>500 kcmil</t>
        </is>
      </c>
      <c r="K410" s="12" t="n">
        <v>2</v>
      </c>
    </row>
    <row r="411">
      <c r="A411" s="12" t="inlineStr">
        <is>
          <t>R1: main electrical building (64 x 180 ft)</t>
        </is>
      </c>
      <c r="B411" s="12" t="inlineStr">
        <is>
          <t>R1</t>
        </is>
      </c>
      <c r="C411" s="12" t="inlineStr">
        <is>
          <t>A</t>
        </is>
      </c>
      <c r="D411" s="12" t="inlineStr">
        <is>
          <t>LV panel / distribution feeder</t>
        </is>
      </c>
      <c r="E411" s="12" t="n">
        <v>480</v>
      </c>
      <c r="F411" s="12" t="n">
        <v>138</v>
      </c>
      <c r="G411" s="12" t="n">
        <v>195.3</v>
      </c>
      <c r="H411" s="12" t="inlineStr">
        <is>
          <t>R1 LC-480-A (480 V switchgear)</t>
        </is>
      </c>
      <c r="I411" s="12" t="inlineStr">
        <is>
          <t>LV 600 V</t>
        </is>
      </c>
      <c r="J411" s="12" t="inlineStr">
        <is>
          <t>350 kcmil</t>
        </is>
      </c>
      <c r="K411" s="12" t="n">
        <v>1</v>
      </c>
    </row>
    <row r="412">
      <c r="A412" s="12" t="inlineStr">
        <is>
          <t>R2A: unit / HRSG electrical e-house (32 x 40 ft)</t>
        </is>
      </c>
      <c r="B412" s="12" t="inlineStr">
        <is>
          <t>R2A</t>
        </is>
      </c>
      <c r="C412" s="12" t="inlineStr">
        <is>
          <t>A</t>
        </is>
      </c>
      <c r="D412" s="12" t="inlineStr">
        <is>
          <t>LV panel / distribution feeder</t>
        </is>
      </c>
      <c r="E412" s="12" t="n">
        <v>480</v>
      </c>
      <c r="F412" s="12" t="n">
        <v>30</v>
      </c>
      <c r="G412" s="12" t="n">
        <v>42.5</v>
      </c>
      <c r="H412" s="12" t="inlineStr">
        <is>
          <t>R2A: unit / HRSG electrical e-house (32 x 40 ft)</t>
        </is>
      </c>
      <c r="I412" s="12" t="inlineStr">
        <is>
          <t>LV 600 V</t>
        </is>
      </c>
      <c r="J412" s="12" t="inlineStr">
        <is>
          <t>6</t>
        </is>
      </c>
      <c r="K412" s="12" t="n">
        <v>1</v>
      </c>
    </row>
    <row r="413">
      <c r="A413" s="12" t="inlineStr">
        <is>
          <t>R2B: unit / HRSG electrical e-house (32 x 40 ft)</t>
        </is>
      </c>
      <c r="B413" s="12" t="inlineStr">
        <is>
          <t>R2B</t>
        </is>
      </c>
      <c r="C413" s="12" t="inlineStr">
        <is>
          <t>A</t>
        </is>
      </c>
      <c r="D413" s="12" t="inlineStr">
        <is>
          <t>LV panel / distribution feeder</t>
        </is>
      </c>
      <c r="E413" s="12" t="n">
        <v>480</v>
      </c>
      <c r="F413" s="12" t="n">
        <v>30</v>
      </c>
      <c r="G413" s="12" t="n">
        <v>42.5</v>
      </c>
      <c r="H413" s="12" t="inlineStr">
        <is>
          <t>R2B: unit / HRSG electrical e-house (32 x 40 ft)</t>
        </is>
      </c>
      <c r="I413" s="12" t="inlineStr">
        <is>
          <t>LV 600 V</t>
        </is>
      </c>
      <c r="J413" s="12" t="inlineStr">
        <is>
          <t>6</t>
        </is>
      </c>
      <c r="K413" s="12" t="n">
        <v>1</v>
      </c>
    </row>
    <row r="414">
      <c r="A414" s="12" t="inlineStr">
        <is>
          <t>R2C: unit / HRSG electrical e-house (32 x 40 ft)</t>
        </is>
      </c>
      <c r="B414" s="12" t="inlineStr">
        <is>
          <t>R2C</t>
        </is>
      </c>
      <c r="C414" s="12" t="inlineStr">
        <is>
          <t>A</t>
        </is>
      </c>
      <c r="D414" s="12" t="inlineStr">
        <is>
          <t>LV panel / distribution feeder</t>
        </is>
      </c>
      <c r="E414" s="12" t="n">
        <v>480</v>
      </c>
      <c r="F414" s="12" t="n">
        <v>30</v>
      </c>
      <c r="G414" s="12" t="n">
        <v>42.5</v>
      </c>
      <c r="H414" s="12" t="inlineStr">
        <is>
          <t>R2C: unit / HRSG electrical e-house (32 x 40 ft)</t>
        </is>
      </c>
      <c r="I414" s="12" t="inlineStr">
        <is>
          <t>LV 600 V</t>
        </is>
      </c>
      <c r="J414" s="12" t="inlineStr">
        <is>
          <t>6</t>
        </is>
      </c>
      <c r="K414" s="12" t="n">
        <v>1</v>
      </c>
    </row>
    <row r="415">
      <c r="A415" s="12" t="inlineStr">
        <is>
          <t>R3: ST auxiliary electrical e-house (40 x 65 ft)</t>
        </is>
      </c>
      <c r="B415" s="12" t="inlineStr">
        <is>
          <t>R3</t>
        </is>
      </c>
      <c r="C415" s="12" t="inlineStr">
        <is>
          <t>A</t>
        </is>
      </c>
      <c r="D415" s="12" t="inlineStr">
        <is>
          <t>LV panel / distribution feeder</t>
        </is>
      </c>
      <c r="E415" s="12" t="n">
        <v>480</v>
      </c>
      <c r="F415" s="12" t="n">
        <v>250</v>
      </c>
      <c r="G415" s="12" t="n">
        <v>353.8</v>
      </c>
      <c r="H415" s="12" t="inlineStr">
        <is>
          <t>R3: ST auxiliary electrical e-house (40 x 65 ft)</t>
        </is>
      </c>
      <c r="I415" s="12" t="inlineStr">
        <is>
          <t>LV 600 V</t>
        </is>
      </c>
      <c r="J415" s="12" t="inlineStr">
        <is>
          <t>4/0</t>
        </is>
      </c>
      <c r="K415" s="12" t="n">
        <v>2</v>
      </c>
    </row>
    <row r="416">
      <c r="A416" s="12" t="inlineStr">
        <is>
          <t>SCRB-1A/B: SCR dilution-air blowers</t>
        </is>
      </c>
      <c r="B416" s="12" t="inlineStr">
        <is>
          <t>SCRB-1</t>
        </is>
      </c>
      <c r="C416" s="12" t="inlineStr">
        <is>
          <t>A</t>
        </is>
      </c>
      <c r="D416" s="12" t="inlineStr">
        <is>
          <t>Motor 1 of 2, 110 kW</t>
        </is>
      </c>
      <c r="E416" s="12" t="n">
        <v>480</v>
      </c>
      <c r="F416" s="12" t="n">
        <v>110</v>
      </c>
      <c r="G416" s="12" t="n">
        <v>155.7</v>
      </c>
      <c r="H416" s="12" t="inlineStr">
        <is>
          <t>R2A: unit / HRSG electrical e-house (32 x 40 ft)</t>
        </is>
      </c>
      <c r="I416" s="12" t="inlineStr">
        <is>
          <t>LV 600 V</t>
        </is>
      </c>
      <c r="J416" s="12" t="inlineStr">
        <is>
          <t>3/0</t>
        </is>
      </c>
      <c r="K416" s="12" t="n">
        <v>1</v>
      </c>
    </row>
    <row r="417">
      <c r="A417" s="12" t="inlineStr">
        <is>
          <t>SCRB-1A/B: SCR dilution-air blowers</t>
        </is>
      </c>
      <c r="B417" s="12" t="inlineStr">
        <is>
          <t>SCRB-1</t>
        </is>
      </c>
      <c r="C417" s="12" t="inlineStr">
        <is>
          <t>A</t>
        </is>
      </c>
      <c r="D417" s="12" t="inlineStr">
        <is>
          <t>Motor 2 of 2, 110 kW</t>
        </is>
      </c>
      <c r="E417" s="12" t="n">
        <v>480</v>
      </c>
      <c r="F417" s="12" t="n">
        <v>110</v>
      </c>
      <c r="G417" s="12" t="n">
        <v>155.7</v>
      </c>
      <c r="H417" s="12" t="inlineStr">
        <is>
          <t>R2A: unit / HRSG electrical e-house (32 x 40 ft)</t>
        </is>
      </c>
      <c r="I417" s="12" t="inlineStr">
        <is>
          <t>LV 600 V</t>
        </is>
      </c>
      <c r="J417" s="12" t="inlineStr">
        <is>
          <t>3/0</t>
        </is>
      </c>
      <c r="K417" s="12" t="n">
        <v>1</v>
      </c>
    </row>
    <row r="418">
      <c r="A418" s="12" t="inlineStr">
        <is>
          <t>SCRB-2A/B: SCR dilution-air blowers</t>
        </is>
      </c>
      <c r="B418" s="12" t="inlineStr">
        <is>
          <t>SCRB-2</t>
        </is>
      </c>
      <c r="C418" s="12" t="inlineStr">
        <is>
          <t>A</t>
        </is>
      </c>
      <c r="D418" s="12" t="inlineStr">
        <is>
          <t>Motor 1 of 2, 110 kW</t>
        </is>
      </c>
      <c r="E418" s="12" t="n">
        <v>480</v>
      </c>
      <c r="F418" s="12" t="n">
        <v>110</v>
      </c>
      <c r="G418" s="12" t="n">
        <v>155.7</v>
      </c>
      <c r="H418" s="12" t="inlineStr">
        <is>
          <t>R2B: unit / HRSG electrical e-house (32 x 40 ft)</t>
        </is>
      </c>
      <c r="I418" s="12" t="inlineStr">
        <is>
          <t>LV 600 V</t>
        </is>
      </c>
      <c r="J418" s="12" t="inlineStr">
        <is>
          <t>3/0</t>
        </is>
      </c>
      <c r="K418" s="12" t="n">
        <v>1</v>
      </c>
    </row>
    <row r="419">
      <c r="A419" s="12" t="inlineStr">
        <is>
          <t>SCRB-2A/B: SCR dilution-air blowers</t>
        </is>
      </c>
      <c r="B419" s="12" t="inlineStr">
        <is>
          <t>SCRB-2</t>
        </is>
      </c>
      <c r="C419" s="12" t="inlineStr">
        <is>
          <t>A</t>
        </is>
      </c>
      <c r="D419" s="12" t="inlineStr">
        <is>
          <t>Motor 2 of 2, 110 kW</t>
        </is>
      </c>
      <c r="E419" s="12" t="n">
        <v>480</v>
      </c>
      <c r="F419" s="12" t="n">
        <v>110</v>
      </c>
      <c r="G419" s="12" t="n">
        <v>155.7</v>
      </c>
      <c r="H419" s="12" t="inlineStr">
        <is>
          <t>R2B: unit / HRSG electrical e-house (32 x 40 ft)</t>
        </is>
      </c>
      <c r="I419" s="12" t="inlineStr">
        <is>
          <t>LV 600 V</t>
        </is>
      </c>
      <c r="J419" s="12" t="inlineStr">
        <is>
          <t>3/0</t>
        </is>
      </c>
      <c r="K419" s="12" t="n">
        <v>1</v>
      </c>
    </row>
    <row r="420">
      <c r="A420" s="12" t="inlineStr">
        <is>
          <t>SCRB-3A/B: SCR dilution-air blowers</t>
        </is>
      </c>
      <c r="B420" s="12" t="inlineStr">
        <is>
          <t>SCRB-3</t>
        </is>
      </c>
      <c r="C420" s="12" t="inlineStr">
        <is>
          <t>A</t>
        </is>
      </c>
      <c r="D420" s="12" t="inlineStr">
        <is>
          <t>Motor 1 of 2, 110 kW</t>
        </is>
      </c>
      <c r="E420" s="12" t="n">
        <v>480</v>
      </c>
      <c r="F420" s="12" t="n">
        <v>110</v>
      </c>
      <c r="G420" s="12" t="n">
        <v>155.7</v>
      </c>
      <c r="H420" s="12" t="inlineStr">
        <is>
          <t>R2C: unit / HRSG electrical e-house (32 x 40 ft)</t>
        </is>
      </c>
      <c r="I420" s="12" t="inlineStr">
        <is>
          <t>LV 600 V</t>
        </is>
      </c>
      <c r="J420" s="12" t="inlineStr">
        <is>
          <t>3/0</t>
        </is>
      </c>
      <c r="K420" s="12" t="n">
        <v>1</v>
      </c>
    </row>
    <row r="421">
      <c r="A421" s="12" t="inlineStr">
        <is>
          <t>SCRB-3A/B: SCR dilution-air blowers</t>
        </is>
      </c>
      <c r="B421" s="12" t="inlineStr">
        <is>
          <t>SCRB-3</t>
        </is>
      </c>
      <c r="C421" s="12" t="inlineStr">
        <is>
          <t>A</t>
        </is>
      </c>
      <c r="D421" s="12" t="inlineStr">
        <is>
          <t>Motor 2 of 2, 110 kW</t>
        </is>
      </c>
      <c r="E421" s="12" t="n">
        <v>480</v>
      </c>
      <c r="F421" s="12" t="n">
        <v>110</v>
      </c>
      <c r="G421" s="12" t="n">
        <v>155.7</v>
      </c>
      <c r="H421" s="12" t="inlineStr">
        <is>
          <t>R2C: unit / HRSG electrical e-house (32 x 40 ft)</t>
        </is>
      </c>
      <c r="I421" s="12" t="inlineStr">
        <is>
          <t>LV 600 V</t>
        </is>
      </c>
      <c r="J421" s="12" t="inlineStr">
        <is>
          <t>3/0</t>
        </is>
      </c>
      <c r="K421" s="12" t="n">
        <v>1</v>
      </c>
    </row>
    <row r="422">
      <c r="A422" s="12" t="inlineStr">
        <is>
          <t>SOS-1: GTG-1 seal-oil and H2 / CO2 gas-control skid</t>
        </is>
      </c>
      <c r="B422" s="12" t="inlineStr">
        <is>
          <t>SOS-1</t>
        </is>
      </c>
      <c r="C422" s="12" t="inlineStr">
        <is>
          <t>A</t>
        </is>
      </c>
      <c r="D422" s="12" t="inlineStr">
        <is>
          <t>Motor 1 of 3, 15 kW</t>
        </is>
      </c>
      <c r="E422" s="12" t="n">
        <v>480</v>
      </c>
      <c r="F422" s="12" t="n">
        <v>15</v>
      </c>
      <c r="G422" s="12" t="n">
        <v>21.2</v>
      </c>
      <c r="H422" s="12" t="inlineStr">
        <is>
          <t>R1 MCC-GT1</t>
        </is>
      </c>
      <c r="I422" s="12" t="inlineStr">
        <is>
          <t>LV 600 V</t>
        </is>
      </c>
      <c r="J422" s="12" t="inlineStr">
        <is>
          <t>6</t>
        </is>
      </c>
      <c r="K422" s="12" t="n">
        <v>1</v>
      </c>
    </row>
    <row r="423">
      <c r="A423" s="12" t="inlineStr">
        <is>
          <t>SOS-1: GTG-1 seal-oil and H2 / CO2 gas-control skid</t>
        </is>
      </c>
      <c r="B423" s="12" t="inlineStr">
        <is>
          <t>SOS-1</t>
        </is>
      </c>
      <c r="C423" s="12" t="inlineStr">
        <is>
          <t>A</t>
        </is>
      </c>
      <c r="D423" s="12" t="inlineStr">
        <is>
          <t>Motor 2 of 3, 15 kW</t>
        </is>
      </c>
      <c r="E423" s="12" t="n">
        <v>480</v>
      </c>
      <c r="F423" s="12" t="n">
        <v>15</v>
      </c>
      <c r="G423" s="12" t="n">
        <v>21.2</v>
      </c>
      <c r="H423" s="12" t="inlineStr">
        <is>
          <t>R1 MCC-GT1</t>
        </is>
      </c>
      <c r="I423" s="12" t="inlineStr">
        <is>
          <t>LV 600 V</t>
        </is>
      </c>
      <c r="J423" s="12" t="inlineStr">
        <is>
          <t>6</t>
        </is>
      </c>
      <c r="K423" s="12" t="n">
        <v>1</v>
      </c>
    </row>
    <row r="424">
      <c r="A424" s="12" t="inlineStr">
        <is>
          <t>SOS-1: GTG-1 seal-oil and H2 / CO2 gas-control skid</t>
        </is>
      </c>
      <c r="B424" s="12" t="inlineStr">
        <is>
          <t>SOS-1</t>
        </is>
      </c>
      <c r="C424" s="12" t="inlineStr">
        <is>
          <t>A</t>
        </is>
      </c>
      <c r="D424" s="12" t="inlineStr">
        <is>
          <t>Motor 3 of 3, 15 kW</t>
        </is>
      </c>
      <c r="E424" s="12" t="n">
        <v>480</v>
      </c>
      <c r="F424" s="12" t="n">
        <v>15</v>
      </c>
      <c r="G424" s="12" t="n">
        <v>21.2</v>
      </c>
      <c r="H424" s="12" t="inlineStr">
        <is>
          <t>R1 MCC-GT1</t>
        </is>
      </c>
      <c r="I424" s="12" t="inlineStr">
        <is>
          <t>LV 600 V</t>
        </is>
      </c>
      <c r="J424" s="12" t="inlineStr">
        <is>
          <t>6</t>
        </is>
      </c>
      <c r="K424" s="12" t="n">
        <v>1</v>
      </c>
    </row>
    <row r="425">
      <c r="A425" s="12" t="inlineStr">
        <is>
          <t>SOS-2: GTG-2 seal-oil and H2 / CO2 gas-control skid</t>
        </is>
      </c>
      <c r="B425" s="12" t="inlineStr">
        <is>
          <t>SOS-2</t>
        </is>
      </c>
      <c r="C425" s="12" t="inlineStr">
        <is>
          <t>A</t>
        </is>
      </c>
      <c r="D425" s="12" t="inlineStr">
        <is>
          <t>Motor 1 of 3, 15 kW</t>
        </is>
      </c>
      <c r="E425" s="12" t="n">
        <v>480</v>
      </c>
      <c r="F425" s="12" t="n">
        <v>15</v>
      </c>
      <c r="G425" s="12" t="n">
        <v>21.2</v>
      </c>
      <c r="H425" s="12" t="inlineStr">
        <is>
          <t>R1 MCC-GT2</t>
        </is>
      </c>
      <c r="I425" s="12" t="inlineStr">
        <is>
          <t>LV 600 V</t>
        </is>
      </c>
      <c r="J425" s="12" t="inlineStr">
        <is>
          <t>4</t>
        </is>
      </c>
      <c r="K425" s="12" t="n">
        <v>1</v>
      </c>
    </row>
    <row r="426">
      <c r="A426" s="12" t="inlineStr">
        <is>
          <t>SOS-2: GTG-2 seal-oil and H2 / CO2 gas-control skid</t>
        </is>
      </c>
      <c r="B426" s="12" t="inlineStr">
        <is>
          <t>SOS-2</t>
        </is>
      </c>
      <c r="C426" s="12" t="inlineStr">
        <is>
          <t>A</t>
        </is>
      </c>
      <c r="D426" s="12" t="inlineStr">
        <is>
          <t>Motor 2 of 3, 15 kW</t>
        </is>
      </c>
      <c r="E426" s="12" t="n">
        <v>480</v>
      </c>
      <c r="F426" s="12" t="n">
        <v>15</v>
      </c>
      <c r="G426" s="12" t="n">
        <v>21.2</v>
      </c>
      <c r="H426" s="12" t="inlineStr">
        <is>
          <t>R1 MCC-GT2</t>
        </is>
      </c>
      <c r="I426" s="12" t="inlineStr">
        <is>
          <t>LV 600 V</t>
        </is>
      </c>
      <c r="J426" s="12" t="inlineStr">
        <is>
          <t>4</t>
        </is>
      </c>
      <c r="K426" s="12" t="n">
        <v>1</v>
      </c>
    </row>
    <row r="427">
      <c r="A427" s="12" t="inlineStr">
        <is>
          <t>SOS-2: GTG-2 seal-oil and H2 / CO2 gas-control skid</t>
        </is>
      </c>
      <c r="B427" s="12" t="inlineStr">
        <is>
          <t>SOS-2</t>
        </is>
      </c>
      <c r="C427" s="12" t="inlineStr">
        <is>
          <t>A</t>
        </is>
      </c>
      <c r="D427" s="12" t="inlineStr">
        <is>
          <t>Motor 3 of 3, 15 kW</t>
        </is>
      </c>
      <c r="E427" s="12" t="n">
        <v>480</v>
      </c>
      <c r="F427" s="12" t="n">
        <v>15</v>
      </c>
      <c r="G427" s="12" t="n">
        <v>21.2</v>
      </c>
      <c r="H427" s="12" t="inlineStr">
        <is>
          <t>R1 MCC-GT2</t>
        </is>
      </c>
      <c r="I427" s="12" t="inlineStr">
        <is>
          <t>LV 600 V</t>
        </is>
      </c>
      <c r="J427" s="12" t="inlineStr">
        <is>
          <t>4</t>
        </is>
      </c>
      <c r="K427" s="12" t="n">
        <v>1</v>
      </c>
    </row>
    <row r="428">
      <c r="A428" s="12" t="inlineStr">
        <is>
          <t>SOS-3: GTG-3 seal-oil and H2 / CO2 gas-control skid</t>
        </is>
      </c>
      <c r="B428" s="12" t="inlineStr">
        <is>
          <t>SOS-3</t>
        </is>
      </c>
      <c r="C428" s="12" t="inlineStr">
        <is>
          <t>A</t>
        </is>
      </c>
      <c r="D428" s="12" t="inlineStr">
        <is>
          <t>Motor 1 of 3, 15 kW</t>
        </is>
      </c>
      <c r="E428" s="12" t="n">
        <v>480</v>
      </c>
      <c r="F428" s="12" t="n">
        <v>15</v>
      </c>
      <c r="G428" s="12" t="n">
        <v>21.2</v>
      </c>
      <c r="H428" s="12" t="inlineStr">
        <is>
          <t>R1 MCC-GT3</t>
        </is>
      </c>
      <c r="I428" s="12" t="inlineStr">
        <is>
          <t>LV 600 V</t>
        </is>
      </c>
      <c r="J428" s="12" t="inlineStr">
        <is>
          <t>4</t>
        </is>
      </c>
      <c r="K428" s="12" t="n">
        <v>1</v>
      </c>
    </row>
    <row r="429">
      <c r="A429" s="12" t="inlineStr">
        <is>
          <t>SOS-3: GTG-3 seal-oil and H2 / CO2 gas-control skid</t>
        </is>
      </c>
      <c r="B429" s="12" t="inlineStr">
        <is>
          <t>SOS-3</t>
        </is>
      </c>
      <c r="C429" s="12" t="inlineStr">
        <is>
          <t>A</t>
        </is>
      </c>
      <c r="D429" s="12" t="inlineStr">
        <is>
          <t>Motor 2 of 3, 15 kW</t>
        </is>
      </c>
      <c r="E429" s="12" t="n">
        <v>480</v>
      </c>
      <c r="F429" s="12" t="n">
        <v>15</v>
      </c>
      <c r="G429" s="12" t="n">
        <v>21.2</v>
      </c>
      <c r="H429" s="12" t="inlineStr">
        <is>
          <t>R1 MCC-GT3</t>
        </is>
      </c>
      <c r="I429" s="12" t="inlineStr">
        <is>
          <t>LV 600 V</t>
        </is>
      </c>
      <c r="J429" s="12" t="inlineStr">
        <is>
          <t>4</t>
        </is>
      </c>
      <c r="K429" s="12" t="n">
        <v>1</v>
      </c>
    </row>
    <row r="430">
      <c r="A430" s="12" t="inlineStr">
        <is>
          <t>SOS-3: GTG-3 seal-oil and H2 / CO2 gas-control skid</t>
        </is>
      </c>
      <c r="B430" s="12" t="inlineStr">
        <is>
          <t>SOS-3</t>
        </is>
      </c>
      <c r="C430" s="12" t="inlineStr">
        <is>
          <t>A</t>
        </is>
      </c>
      <c r="D430" s="12" t="inlineStr">
        <is>
          <t>Motor 3 of 3, 15 kW</t>
        </is>
      </c>
      <c r="E430" s="12" t="n">
        <v>480</v>
      </c>
      <c r="F430" s="12" t="n">
        <v>15</v>
      </c>
      <c r="G430" s="12" t="n">
        <v>21.2</v>
      </c>
      <c r="H430" s="12" t="inlineStr">
        <is>
          <t>R1 MCC-GT3</t>
        </is>
      </c>
      <c r="I430" s="12" t="inlineStr">
        <is>
          <t>LV 600 V</t>
        </is>
      </c>
      <c r="J430" s="12" t="inlineStr">
        <is>
          <t>4</t>
        </is>
      </c>
      <c r="K430" s="12" t="n">
        <v>1</v>
      </c>
    </row>
    <row r="431">
      <c r="A431" s="12" t="inlineStr">
        <is>
          <t>ST aux: lube oil, turning gear, EHC</t>
        </is>
      </c>
      <c r="B431" s="12" t="inlineStr">
        <is>
          <t>ST aux</t>
        </is>
      </c>
      <c r="C431" s="12" t="inlineStr">
        <is>
          <t>A</t>
        </is>
      </c>
      <c r="D431" s="12" t="inlineStr">
        <is>
          <t>Motor 1 of 10, 40 kW</t>
        </is>
      </c>
      <c r="E431" s="12" t="n">
        <v>480</v>
      </c>
      <c r="F431" s="12" t="n">
        <v>40</v>
      </c>
      <c r="G431" s="12" t="n">
        <v>56.6</v>
      </c>
      <c r="H431" s="12" t="inlineStr">
        <is>
          <t>R3: ST auxiliary electrical e-house (40 x 65 ft)</t>
        </is>
      </c>
      <c r="I431" s="12" t="inlineStr">
        <is>
          <t>LV 600 V</t>
        </is>
      </c>
      <c r="J431" s="12" t="inlineStr">
        <is>
          <t>4</t>
        </is>
      </c>
      <c r="K431" s="12" t="n">
        <v>1</v>
      </c>
    </row>
    <row r="432">
      <c r="A432" s="12" t="inlineStr">
        <is>
          <t>ST aux: lube oil, turning gear, EHC</t>
        </is>
      </c>
      <c r="B432" s="12" t="inlineStr">
        <is>
          <t>ST aux</t>
        </is>
      </c>
      <c r="C432" s="12" t="inlineStr">
        <is>
          <t>A</t>
        </is>
      </c>
      <c r="D432" s="12" t="inlineStr">
        <is>
          <t>Motor 2 of 10, 40 kW</t>
        </is>
      </c>
      <c r="E432" s="12" t="n">
        <v>480</v>
      </c>
      <c r="F432" s="12" t="n">
        <v>40</v>
      </c>
      <c r="G432" s="12" t="n">
        <v>56.6</v>
      </c>
      <c r="H432" s="12" t="inlineStr">
        <is>
          <t>R3: ST auxiliary electrical e-house (40 x 65 ft)</t>
        </is>
      </c>
      <c r="I432" s="12" t="inlineStr">
        <is>
          <t>LV 600 V</t>
        </is>
      </c>
      <c r="J432" s="12" t="inlineStr">
        <is>
          <t>4</t>
        </is>
      </c>
      <c r="K432" s="12" t="n">
        <v>1</v>
      </c>
    </row>
    <row r="433">
      <c r="A433" s="12" t="inlineStr">
        <is>
          <t>ST aux: lube oil, turning gear, EHC</t>
        </is>
      </c>
      <c r="B433" s="12" t="inlineStr">
        <is>
          <t>ST aux</t>
        </is>
      </c>
      <c r="C433" s="12" t="inlineStr">
        <is>
          <t>A</t>
        </is>
      </c>
      <c r="D433" s="12" t="inlineStr">
        <is>
          <t>Motor 3 of 10, 40 kW</t>
        </is>
      </c>
      <c r="E433" s="12" t="n">
        <v>480</v>
      </c>
      <c r="F433" s="12" t="n">
        <v>40</v>
      </c>
      <c r="G433" s="12" t="n">
        <v>56.6</v>
      </c>
      <c r="H433" s="12" t="inlineStr">
        <is>
          <t>R3: ST auxiliary electrical e-house (40 x 65 ft)</t>
        </is>
      </c>
      <c r="I433" s="12" t="inlineStr">
        <is>
          <t>LV 600 V</t>
        </is>
      </c>
      <c r="J433" s="12" t="inlineStr">
        <is>
          <t>4</t>
        </is>
      </c>
      <c r="K433" s="12" t="n">
        <v>1</v>
      </c>
    </row>
    <row r="434">
      <c r="A434" s="12" t="inlineStr">
        <is>
          <t>ST aux: lube oil, turning gear, EHC</t>
        </is>
      </c>
      <c r="B434" s="12" t="inlineStr">
        <is>
          <t>ST aux</t>
        </is>
      </c>
      <c r="C434" s="12" t="inlineStr">
        <is>
          <t>A</t>
        </is>
      </c>
      <c r="D434" s="12" t="inlineStr">
        <is>
          <t>Motor 4 of 10, 40 kW</t>
        </is>
      </c>
      <c r="E434" s="12" t="n">
        <v>480</v>
      </c>
      <c r="F434" s="12" t="n">
        <v>40</v>
      </c>
      <c r="G434" s="12" t="n">
        <v>56.6</v>
      </c>
      <c r="H434" s="12" t="inlineStr">
        <is>
          <t>R3: ST auxiliary electrical e-house (40 x 65 ft)</t>
        </is>
      </c>
      <c r="I434" s="12" t="inlineStr">
        <is>
          <t>LV 600 V</t>
        </is>
      </c>
      <c r="J434" s="12" t="inlineStr">
        <is>
          <t>4</t>
        </is>
      </c>
      <c r="K434" s="12" t="n">
        <v>1</v>
      </c>
    </row>
    <row r="435">
      <c r="A435" s="12" t="inlineStr">
        <is>
          <t>ST aux: lube oil, turning gear, EHC</t>
        </is>
      </c>
      <c r="B435" s="12" t="inlineStr">
        <is>
          <t>ST aux</t>
        </is>
      </c>
      <c r="C435" s="12" t="inlineStr">
        <is>
          <t>A</t>
        </is>
      </c>
      <c r="D435" s="12" t="inlineStr">
        <is>
          <t>Motor 5 of 10, 40 kW</t>
        </is>
      </c>
      <c r="E435" s="12" t="n">
        <v>480</v>
      </c>
      <c r="F435" s="12" t="n">
        <v>40</v>
      </c>
      <c r="G435" s="12" t="n">
        <v>56.6</v>
      </c>
      <c r="H435" s="12" t="inlineStr">
        <is>
          <t>R3: ST auxiliary electrical e-house (40 x 65 ft)</t>
        </is>
      </c>
      <c r="I435" s="12" t="inlineStr">
        <is>
          <t>LV 600 V</t>
        </is>
      </c>
      <c r="J435" s="12" t="inlineStr">
        <is>
          <t>4</t>
        </is>
      </c>
      <c r="K435" s="12" t="n">
        <v>1</v>
      </c>
    </row>
    <row r="436">
      <c r="A436" s="12" t="inlineStr">
        <is>
          <t>ST aux: lube oil, turning gear, EHC</t>
        </is>
      </c>
      <c r="B436" s="12" t="inlineStr">
        <is>
          <t>ST aux</t>
        </is>
      </c>
      <c r="C436" s="12" t="inlineStr">
        <is>
          <t>A</t>
        </is>
      </c>
      <c r="D436" s="12" t="inlineStr">
        <is>
          <t>Motor 6 of 10, 40 kW</t>
        </is>
      </c>
      <c r="E436" s="12" t="n">
        <v>480</v>
      </c>
      <c r="F436" s="12" t="n">
        <v>40</v>
      </c>
      <c r="G436" s="12" t="n">
        <v>56.6</v>
      </c>
      <c r="H436" s="12" t="inlineStr">
        <is>
          <t>R3: ST auxiliary electrical e-house (40 x 65 ft)</t>
        </is>
      </c>
      <c r="I436" s="12" t="inlineStr">
        <is>
          <t>LV 600 V</t>
        </is>
      </c>
      <c r="J436" s="12" t="inlineStr">
        <is>
          <t>4</t>
        </is>
      </c>
      <c r="K436" s="12" t="n">
        <v>1</v>
      </c>
    </row>
    <row r="437">
      <c r="A437" s="12" t="inlineStr">
        <is>
          <t>ST aux: lube oil, turning gear, EHC</t>
        </is>
      </c>
      <c r="B437" s="12" t="inlineStr">
        <is>
          <t>ST aux</t>
        </is>
      </c>
      <c r="C437" s="12" t="inlineStr">
        <is>
          <t>A</t>
        </is>
      </c>
      <c r="D437" s="12" t="inlineStr">
        <is>
          <t>Motor 7 of 10, 40 kW</t>
        </is>
      </c>
      <c r="E437" s="12" t="n">
        <v>480</v>
      </c>
      <c r="F437" s="12" t="n">
        <v>40</v>
      </c>
      <c r="G437" s="12" t="n">
        <v>56.6</v>
      </c>
      <c r="H437" s="12" t="inlineStr">
        <is>
          <t>R3: ST auxiliary electrical e-house (40 x 65 ft)</t>
        </is>
      </c>
      <c r="I437" s="12" t="inlineStr">
        <is>
          <t>LV 600 V</t>
        </is>
      </c>
      <c r="J437" s="12" t="inlineStr">
        <is>
          <t>4</t>
        </is>
      </c>
      <c r="K437" s="12" t="n">
        <v>1</v>
      </c>
    </row>
    <row r="438">
      <c r="A438" s="12" t="inlineStr">
        <is>
          <t>ST aux: lube oil, turning gear, EHC</t>
        </is>
      </c>
      <c r="B438" s="12" t="inlineStr">
        <is>
          <t>ST aux</t>
        </is>
      </c>
      <c r="C438" s="12" t="inlineStr">
        <is>
          <t>A</t>
        </is>
      </c>
      <c r="D438" s="12" t="inlineStr">
        <is>
          <t>Motor 8 of 10, 40 kW</t>
        </is>
      </c>
      <c r="E438" s="12" t="n">
        <v>480</v>
      </c>
      <c r="F438" s="12" t="n">
        <v>40</v>
      </c>
      <c r="G438" s="12" t="n">
        <v>56.6</v>
      </c>
      <c r="H438" s="12" t="inlineStr">
        <is>
          <t>R3: ST auxiliary electrical e-house (40 x 65 ft)</t>
        </is>
      </c>
      <c r="I438" s="12" t="inlineStr">
        <is>
          <t>LV 600 V</t>
        </is>
      </c>
      <c r="J438" s="12" t="inlineStr">
        <is>
          <t>4</t>
        </is>
      </c>
      <c r="K438" s="12" t="n">
        <v>1</v>
      </c>
    </row>
    <row r="439">
      <c r="A439" s="12" t="inlineStr">
        <is>
          <t>ST aux: lube oil, turning gear, EHC</t>
        </is>
      </c>
      <c r="B439" s="12" t="inlineStr">
        <is>
          <t>ST aux</t>
        </is>
      </c>
      <c r="C439" s="12" t="inlineStr">
        <is>
          <t>A</t>
        </is>
      </c>
      <c r="D439" s="12" t="inlineStr">
        <is>
          <t>Motor 9 of 10, 40 kW</t>
        </is>
      </c>
      <c r="E439" s="12" t="n">
        <v>480</v>
      </c>
      <c r="F439" s="12" t="n">
        <v>40</v>
      </c>
      <c r="G439" s="12" t="n">
        <v>56.6</v>
      </c>
      <c r="H439" s="12" t="inlineStr">
        <is>
          <t>R3: ST auxiliary electrical e-house (40 x 65 ft)</t>
        </is>
      </c>
      <c r="I439" s="12" t="inlineStr">
        <is>
          <t>LV 600 V</t>
        </is>
      </c>
      <c r="J439" s="12" t="inlineStr">
        <is>
          <t>4</t>
        </is>
      </c>
      <c r="K439" s="12" t="n">
        <v>1</v>
      </c>
    </row>
    <row r="440">
      <c r="A440" s="12" t="inlineStr">
        <is>
          <t>ST aux: lube oil, turning gear, EHC</t>
        </is>
      </c>
      <c r="B440" s="12" t="inlineStr">
        <is>
          <t>ST aux</t>
        </is>
      </c>
      <c r="C440" s="12" t="inlineStr">
        <is>
          <t>A</t>
        </is>
      </c>
      <c r="D440" s="12" t="inlineStr">
        <is>
          <t>Motor 10 of 10, 40 kW</t>
        </is>
      </c>
      <c r="E440" s="12" t="n">
        <v>480</v>
      </c>
      <c r="F440" s="12" t="n">
        <v>40</v>
      </c>
      <c r="G440" s="12" t="n">
        <v>56.6</v>
      </c>
      <c r="H440" s="12" t="inlineStr">
        <is>
          <t>R3: ST auxiliary electrical e-house (40 x 65 ft)</t>
        </is>
      </c>
      <c r="I440" s="12" t="inlineStr">
        <is>
          <t>LV 600 V</t>
        </is>
      </c>
      <c r="J440" s="12" t="inlineStr">
        <is>
          <t>4</t>
        </is>
      </c>
      <c r="K440" s="12" t="n">
        <v>1</v>
      </c>
    </row>
    <row r="441">
      <c r="A441" s="12" t="inlineStr">
        <is>
          <t>ST: steam turbine (HP/IP + LP), ACC plant</t>
        </is>
      </c>
      <c r="B441" s="12" t="inlineStr">
        <is>
          <t>ST</t>
        </is>
      </c>
      <c r="C441" s="12" t="inlineStr">
        <is>
          <t>A</t>
        </is>
      </c>
      <c r="D441" s="12" t="inlineStr">
        <is>
          <t>MOV 1: power</t>
        </is>
      </c>
      <c r="E441" s="12" t="n">
        <v>480</v>
      </c>
      <c r="F441" s="12" t="n">
        <v>2.5</v>
      </c>
      <c r="G441" s="12" t="n">
        <v>3.5</v>
      </c>
      <c r="H441" s="12" t="inlineStr">
        <is>
          <t>R3: ST auxiliary electrical e-house (40 x 65 ft)</t>
        </is>
      </c>
      <c r="I441" s="12" t="inlineStr">
        <is>
          <t>LV 600 V</t>
        </is>
      </c>
      <c r="J441" s="12" t="inlineStr">
        <is>
          <t>10</t>
        </is>
      </c>
      <c r="K441" s="12" t="n">
        <v>1</v>
      </c>
    </row>
    <row r="442">
      <c r="A442" s="12" t="inlineStr">
        <is>
          <t>ST: steam turbine (HP/IP + LP), ACC plant</t>
        </is>
      </c>
      <c r="B442" s="12" t="inlineStr">
        <is>
          <t>ST</t>
        </is>
      </c>
      <c r="C442" s="12" t="inlineStr">
        <is>
          <t>A</t>
        </is>
      </c>
      <c r="D442" s="12" t="inlineStr">
        <is>
          <t>MOV 2: power</t>
        </is>
      </c>
      <c r="E442" s="12" t="n">
        <v>480</v>
      </c>
      <c r="F442" s="12" t="n">
        <v>2.5</v>
      </c>
      <c r="G442" s="12" t="n">
        <v>3.5</v>
      </c>
      <c r="H442" s="12" t="inlineStr">
        <is>
          <t>R3: ST auxiliary electrical e-house (40 x 65 ft)</t>
        </is>
      </c>
      <c r="I442" s="12" t="inlineStr">
        <is>
          <t>LV 600 V</t>
        </is>
      </c>
      <c r="J442" s="12" t="inlineStr">
        <is>
          <t>10</t>
        </is>
      </c>
      <c r="K442" s="12" t="n">
        <v>1</v>
      </c>
    </row>
    <row r="443">
      <c r="A443" s="12" t="inlineStr">
        <is>
          <t>ST: steam turbine (HP/IP + LP), ACC plant</t>
        </is>
      </c>
      <c r="B443" s="12" t="inlineStr">
        <is>
          <t>ST</t>
        </is>
      </c>
      <c r="C443" s="12" t="inlineStr">
        <is>
          <t>A</t>
        </is>
      </c>
      <c r="D443" s="12" t="inlineStr">
        <is>
          <t>MOV 3: power</t>
        </is>
      </c>
      <c r="E443" s="12" t="n">
        <v>480</v>
      </c>
      <c r="F443" s="12" t="n">
        <v>2.5</v>
      </c>
      <c r="G443" s="12" t="n">
        <v>3.5</v>
      </c>
      <c r="H443" s="12" t="inlineStr">
        <is>
          <t>R3: ST auxiliary electrical e-house (40 x 65 ft)</t>
        </is>
      </c>
      <c r="I443" s="12" t="inlineStr">
        <is>
          <t>LV 600 V</t>
        </is>
      </c>
      <c r="J443" s="12" t="inlineStr">
        <is>
          <t>10</t>
        </is>
      </c>
      <c r="K443" s="12" t="n">
        <v>1</v>
      </c>
    </row>
    <row r="444">
      <c r="A444" s="12" t="inlineStr">
        <is>
          <t>ST: steam turbine (HP/IP + LP), ACC plant</t>
        </is>
      </c>
      <c r="B444" s="12" t="inlineStr">
        <is>
          <t>ST</t>
        </is>
      </c>
      <c r="C444" s="12" t="inlineStr">
        <is>
          <t>A</t>
        </is>
      </c>
      <c r="D444" s="12" t="inlineStr">
        <is>
          <t>MOV 4: power</t>
        </is>
      </c>
      <c r="E444" s="12" t="n">
        <v>480</v>
      </c>
      <c r="F444" s="12" t="n">
        <v>2.5</v>
      </c>
      <c r="G444" s="12" t="n">
        <v>3.5</v>
      </c>
      <c r="H444" s="12" t="inlineStr">
        <is>
          <t>R3: ST auxiliary electrical e-house (40 x 65 ft)</t>
        </is>
      </c>
      <c r="I444" s="12" t="inlineStr">
        <is>
          <t>LV 600 V</t>
        </is>
      </c>
      <c r="J444" s="12" t="inlineStr">
        <is>
          <t>10</t>
        </is>
      </c>
      <c r="K444" s="12" t="n">
        <v>1</v>
      </c>
    </row>
    <row r="445">
      <c r="A445" s="12" t="inlineStr">
        <is>
          <t>ST: steam turbine (HP/IP + LP), ACC plant</t>
        </is>
      </c>
      <c r="B445" s="12" t="inlineStr">
        <is>
          <t>ST</t>
        </is>
      </c>
      <c r="C445" s="12" t="inlineStr">
        <is>
          <t>A</t>
        </is>
      </c>
      <c r="D445" s="12" t="inlineStr">
        <is>
          <t>MOV 5: power</t>
        </is>
      </c>
      <c r="E445" s="12" t="n">
        <v>480</v>
      </c>
      <c r="F445" s="12" t="n">
        <v>2.5</v>
      </c>
      <c r="G445" s="12" t="n">
        <v>3.5</v>
      </c>
      <c r="H445" s="12" t="inlineStr">
        <is>
          <t>R3: ST auxiliary electrical e-house (40 x 65 ft)</t>
        </is>
      </c>
      <c r="I445" s="12" t="inlineStr">
        <is>
          <t>LV 600 V</t>
        </is>
      </c>
      <c r="J445" s="12" t="inlineStr">
        <is>
          <t>10</t>
        </is>
      </c>
      <c r="K445" s="12" t="n">
        <v>1</v>
      </c>
    </row>
    <row r="446">
      <c r="A446" s="12" t="inlineStr">
        <is>
          <t>ST: steam turbine (HP/IP + LP), ACC plant</t>
        </is>
      </c>
      <c r="B446" s="12" t="inlineStr">
        <is>
          <t>ST</t>
        </is>
      </c>
      <c r="C446" s="12" t="inlineStr">
        <is>
          <t>A</t>
        </is>
      </c>
      <c r="D446" s="12" t="inlineStr">
        <is>
          <t>MOV 6: power</t>
        </is>
      </c>
      <c r="E446" s="12" t="n">
        <v>480</v>
      </c>
      <c r="F446" s="12" t="n">
        <v>2.5</v>
      </c>
      <c r="G446" s="12" t="n">
        <v>3.5</v>
      </c>
      <c r="H446" s="12" t="inlineStr">
        <is>
          <t>R3: ST auxiliary electrical e-house (40 x 65 ft)</t>
        </is>
      </c>
      <c r="I446" s="12" t="inlineStr">
        <is>
          <t>LV 600 V</t>
        </is>
      </c>
      <c r="J446" s="12" t="inlineStr">
        <is>
          <t>10</t>
        </is>
      </c>
      <c r="K446" s="12" t="n">
        <v>1</v>
      </c>
    </row>
    <row r="447">
      <c r="A447" s="12" t="inlineStr">
        <is>
          <t>ST: steam turbine (HP/IP + LP), ACC plant</t>
        </is>
      </c>
      <c r="B447" s="12" t="inlineStr">
        <is>
          <t>ST</t>
        </is>
      </c>
      <c r="C447" s="12" t="inlineStr">
        <is>
          <t>A</t>
        </is>
      </c>
      <c r="D447" s="12" t="inlineStr">
        <is>
          <t>MOV 7: power</t>
        </is>
      </c>
      <c r="E447" s="12" t="n">
        <v>480</v>
      </c>
      <c r="F447" s="12" t="n">
        <v>2.5</v>
      </c>
      <c r="G447" s="12" t="n">
        <v>3.5</v>
      </c>
      <c r="H447" s="12" t="inlineStr">
        <is>
          <t>R3: ST auxiliary electrical e-house (40 x 65 ft)</t>
        </is>
      </c>
      <c r="I447" s="12" t="inlineStr">
        <is>
          <t>LV 600 V</t>
        </is>
      </c>
      <c r="J447" s="12" t="inlineStr">
        <is>
          <t>10</t>
        </is>
      </c>
      <c r="K447" s="12" t="n">
        <v>1</v>
      </c>
    </row>
    <row r="448">
      <c r="A448" s="12" t="inlineStr">
        <is>
          <t>ST: steam turbine (HP/IP + LP), ACC plant</t>
        </is>
      </c>
      <c r="B448" s="12" t="inlineStr">
        <is>
          <t>ST</t>
        </is>
      </c>
      <c r="C448" s="12" t="inlineStr">
        <is>
          <t>A</t>
        </is>
      </c>
      <c r="D448" s="12" t="inlineStr">
        <is>
          <t>MOV 8: power</t>
        </is>
      </c>
      <c r="E448" s="12" t="n">
        <v>480</v>
      </c>
      <c r="F448" s="12" t="n">
        <v>2.5</v>
      </c>
      <c r="G448" s="12" t="n">
        <v>3.5</v>
      </c>
      <c r="H448" s="12" t="inlineStr">
        <is>
          <t>R3: ST auxiliary electrical e-house (40 x 65 ft)</t>
        </is>
      </c>
      <c r="I448" s="12" t="inlineStr">
        <is>
          <t>LV 600 V</t>
        </is>
      </c>
      <c r="J448" s="12" t="inlineStr">
        <is>
          <t>10</t>
        </is>
      </c>
      <c r="K448" s="12" t="n">
        <v>1</v>
      </c>
    </row>
    <row r="449">
      <c r="A449" s="12" t="inlineStr">
        <is>
          <t>ST: steam turbine (HP/IP + LP), ACC plant</t>
        </is>
      </c>
      <c r="B449" s="12" t="inlineStr">
        <is>
          <t>ST</t>
        </is>
      </c>
      <c r="C449" s="12" t="inlineStr">
        <is>
          <t>A</t>
        </is>
      </c>
      <c r="D449" s="12" t="inlineStr">
        <is>
          <t>MOV 9: power</t>
        </is>
      </c>
      <c r="E449" s="12" t="n">
        <v>480</v>
      </c>
      <c r="F449" s="12" t="n">
        <v>2.5</v>
      </c>
      <c r="G449" s="12" t="n">
        <v>3.5</v>
      </c>
      <c r="H449" s="12" t="inlineStr">
        <is>
          <t>R3: ST auxiliary electrical e-house (40 x 65 ft)</t>
        </is>
      </c>
      <c r="I449" s="12" t="inlineStr">
        <is>
          <t>LV 600 V</t>
        </is>
      </c>
      <c r="J449" s="12" t="inlineStr">
        <is>
          <t>10</t>
        </is>
      </c>
      <c r="K449" s="12" t="n">
        <v>1</v>
      </c>
    </row>
    <row r="450">
      <c r="A450" s="12" t="inlineStr">
        <is>
          <t>ST: steam turbine (HP/IP + LP), ACC plant</t>
        </is>
      </c>
      <c r="B450" s="12" t="inlineStr">
        <is>
          <t>ST</t>
        </is>
      </c>
      <c r="C450" s="12" t="inlineStr">
        <is>
          <t>A</t>
        </is>
      </c>
      <c r="D450" s="12" t="inlineStr">
        <is>
          <t>MOV 10: power</t>
        </is>
      </c>
      <c r="E450" s="12" t="n">
        <v>480</v>
      </c>
      <c r="F450" s="12" t="n">
        <v>2.5</v>
      </c>
      <c r="G450" s="12" t="n">
        <v>3.5</v>
      </c>
      <c r="H450" s="12" t="inlineStr">
        <is>
          <t>R3: ST auxiliary electrical e-house (40 x 65 ft)</t>
        </is>
      </c>
      <c r="I450" s="12" t="inlineStr">
        <is>
          <t>LV 600 V</t>
        </is>
      </c>
      <c r="J450" s="12" t="inlineStr">
        <is>
          <t>10</t>
        </is>
      </c>
      <c r="K450" s="12" t="n">
        <v>1</v>
      </c>
    </row>
    <row r="451">
      <c r="A451" s="12" t="inlineStr">
        <is>
          <t>ST: steam turbine (HP/IP + LP), ACC plant</t>
        </is>
      </c>
      <c r="B451" s="12" t="inlineStr">
        <is>
          <t>ST</t>
        </is>
      </c>
      <c r="C451" s="12" t="inlineStr">
        <is>
          <t>A</t>
        </is>
      </c>
      <c r="D451" s="12" t="inlineStr">
        <is>
          <t>MOV 11: power</t>
        </is>
      </c>
      <c r="E451" s="12" t="n">
        <v>480</v>
      </c>
      <c r="F451" s="12" t="n">
        <v>2.5</v>
      </c>
      <c r="G451" s="12" t="n">
        <v>3.5</v>
      </c>
      <c r="H451" s="12" t="inlineStr">
        <is>
          <t>R3: ST auxiliary electrical e-house (40 x 65 ft)</t>
        </is>
      </c>
      <c r="I451" s="12" t="inlineStr">
        <is>
          <t>LV 600 V</t>
        </is>
      </c>
      <c r="J451" s="12" t="inlineStr">
        <is>
          <t>10</t>
        </is>
      </c>
      <c r="K451" s="12" t="n">
        <v>1</v>
      </c>
    </row>
    <row r="452">
      <c r="A452" s="12" t="inlineStr">
        <is>
          <t>ST: steam turbine (HP/IP + LP), ACC plant</t>
        </is>
      </c>
      <c r="B452" s="12" t="inlineStr">
        <is>
          <t>ST</t>
        </is>
      </c>
      <c r="C452" s="12" t="inlineStr">
        <is>
          <t>A</t>
        </is>
      </c>
      <c r="D452" s="12" t="inlineStr">
        <is>
          <t>MOV 12: power</t>
        </is>
      </c>
      <c r="E452" s="12" t="n">
        <v>480</v>
      </c>
      <c r="F452" s="12" t="n">
        <v>2.5</v>
      </c>
      <c r="G452" s="12" t="n">
        <v>3.5</v>
      </c>
      <c r="H452" s="12" t="inlineStr">
        <is>
          <t>R3: ST auxiliary electrical e-house (40 x 65 ft)</t>
        </is>
      </c>
      <c r="I452" s="12" t="inlineStr">
        <is>
          <t>LV 600 V</t>
        </is>
      </c>
      <c r="J452" s="12" t="inlineStr">
        <is>
          <t>10</t>
        </is>
      </c>
      <c r="K452" s="12" t="n">
        <v>1</v>
      </c>
    </row>
    <row r="453">
      <c r="A453" s="12" t="inlineStr">
        <is>
          <t>ST: steam turbine (HP/IP + LP), ACC plant</t>
        </is>
      </c>
      <c r="B453" s="12" t="inlineStr">
        <is>
          <t>ST</t>
        </is>
      </c>
      <c r="C453" s="12" t="inlineStr">
        <is>
          <t>A</t>
        </is>
      </c>
      <c r="D453" s="12" t="inlineStr">
        <is>
          <t>MOV 13: power</t>
        </is>
      </c>
      <c r="E453" s="12" t="n">
        <v>480</v>
      </c>
      <c r="F453" s="12" t="n">
        <v>2.5</v>
      </c>
      <c r="G453" s="12" t="n">
        <v>3.5</v>
      </c>
      <c r="H453" s="12" t="inlineStr">
        <is>
          <t>R3: ST auxiliary electrical e-house (40 x 65 ft)</t>
        </is>
      </c>
      <c r="I453" s="12" t="inlineStr">
        <is>
          <t>LV 600 V</t>
        </is>
      </c>
      <c r="J453" s="12" t="inlineStr">
        <is>
          <t>10</t>
        </is>
      </c>
      <c r="K453" s="12" t="n">
        <v>1</v>
      </c>
    </row>
    <row r="454">
      <c r="A454" s="12" t="inlineStr">
        <is>
          <t>ST: steam turbine (HP/IP + LP), ACC plant</t>
        </is>
      </c>
      <c r="B454" s="12" t="inlineStr">
        <is>
          <t>ST</t>
        </is>
      </c>
      <c r="C454" s="12" t="inlineStr">
        <is>
          <t>A</t>
        </is>
      </c>
      <c r="D454" s="12" t="inlineStr">
        <is>
          <t>MOV 14: power</t>
        </is>
      </c>
      <c r="E454" s="12" t="n">
        <v>480</v>
      </c>
      <c r="F454" s="12" t="n">
        <v>2.5</v>
      </c>
      <c r="G454" s="12" t="n">
        <v>3.5</v>
      </c>
      <c r="H454" s="12" t="inlineStr">
        <is>
          <t>R3: ST auxiliary electrical e-house (40 x 65 ft)</t>
        </is>
      </c>
      <c r="I454" s="12" t="inlineStr">
        <is>
          <t>LV 600 V</t>
        </is>
      </c>
      <c r="J454" s="12" t="inlineStr">
        <is>
          <t>10</t>
        </is>
      </c>
      <c r="K454" s="12" t="n">
        <v>1</v>
      </c>
    </row>
    <row r="455">
      <c r="A455" s="12" t="inlineStr">
        <is>
          <t>ST: steam turbine (HP/IP + LP), ACC plant</t>
        </is>
      </c>
      <c r="B455" s="12" t="inlineStr">
        <is>
          <t>ST</t>
        </is>
      </c>
      <c r="C455" s="12" t="inlineStr">
        <is>
          <t>A</t>
        </is>
      </c>
      <c r="D455" s="12" t="inlineStr">
        <is>
          <t>MOV 15: power</t>
        </is>
      </c>
      <c r="E455" s="12" t="n">
        <v>480</v>
      </c>
      <c r="F455" s="12" t="n">
        <v>2.5</v>
      </c>
      <c r="G455" s="12" t="n">
        <v>3.5</v>
      </c>
      <c r="H455" s="12" t="inlineStr">
        <is>
          <t>R3: ST auxiliary electrical e-house (40 x 65 ft)</t>
        </is>
      </c>
      <c r="I455" s="12" t="inlineStr">
        <is>
          <t>LV 600 V</t>
        </is>
      </c>
      <c r="J455" s="12" t="inlineStr">
        <is>
          <t>10</t>
        </is>
      </c>
      <c r="K455" s="12" t="n">
        <v>1</v>
      </c>
    </row>
    <row r="456">
      <c r="A456" s="12" t="inlineStr">
        <is>
          <t>ST: steam turbine (HP/IP + LP), ACC plant</t>
        </is>
      </c>
      <c r="B456" s="12" t="inlineStr">
        <is>
          <t>ST</t>
        </is>
      </c>
      <c r="C456" s="12" t="inlineStr">
        <is>
          <t>A</t>
        </is>
      </c>
      <c r="D456" s="12" t="inlineStr">
        <is>
          <t>MOV 16: power</t>
        </is>
      </c>
      <c r="E456" s="12" t="n">
        <v>480</v>
      </c>
      <c r="F456" s="12" t="n">
        <v>2.5</v>
      </c>
      <c r="G456" s="12" t="n">
        <v>3.5</v>
      </c>
      <c r="H456" s="12" t="inlineStr">
        <is>
          <t>R3: ST auxiliary electrical e-house (40 x 65 ft)</t>
        </is>
      </c>
      <c r="I456" s="12" t="inlineStr">
        <is>
          <t>LV 600 V</t>
        </is>
      </c>
      <c r="J456" s="12" t="inlineStr">
        <is>
          <t>10</t>
        </is>
      </c>
      <c r="K456" s="12" t="n">
        <v>1</v>
      </c>
    </row>
    <row r="457">
      <c r="A457" s="12" t="inlineStr">
        <is>
          <t>ST: steam turbine (HP/IP + LP), ACC plant</t>
        </is>
      </c>
      <c r="B457" s="12" t="inlineStr">
        <is>
          <t>ST</t>
        </is>
      </c>
      <c r="C457" s="12" t="inlineStr">
        <is>
          <t>A</t>
        </is>
      </c>
      <c r="D457" s="12" t="inlineStr">
        <is>
          <t>MOV 17: power</t>
        </is>
      </c>
      <c r="E457" s="12" t="n">
        <v>480</v>
      </c>
      <c r="F457" s="12" t="n">
        <v>2.5</v>
      </c>
      <c r="G457" s="12" t="n">
        <v>3.5</v>
      </c>
      <c r="H457" s="12" t="inlineStr">
        <is>
          <t>R3: ST auxiliary electrical e-house (40 x 65 ft)</t>
        </is>
      </c>
      <c r="I457" s="12" t="inlineStr">
        <is>
          <t>LV 600 V</t>
        </is>
      </c>
      <c r="J457" s="12" t="inlineStr">
        <is>
          <t>10</t>
        </is>
      </c>
      <c r="K457" s="12" t="n">
        <v>1</v>
      </c>
    </row>
    <row r="458">
      <c r="A458" s="12" t="inlineStr">
        <is>
          <t>ST: steam turbine (HP/IP + LP), ACC plant</t>
        </is>
      </c>
      <c r="B458" s="12" t="inlineStr">
        <is>
          <t>ST</t>
        </is>
      </c>
      <c r="C458" s="12" t="inlineStr">
        <is>
          <t>A</t>
        </is>
      </c>
      <c r="D458" s="12" t="inlineStr">
        <is>
          <t>MOV 18: power</t>
        </is>
      </c>
      <c r="E458" s="12" t="n">
        <v>480</v>
      </c>
      <c r="F458" s="12" t="n">
        <v>2.5</v>
      </c>
      <c r="G458" s="12" t="n">
        <v>3.5</v>
      </c>
      <c r="H458" s="12" t="inlineStr">
        <is>
          <t>R3: ST auxiliary electrical e-house (40 x 65 ft)</t>
        </is>
      </c>
      <c r="I458" s="12" t="inlineStr">
        <is>
          <t>LV 600 V</t>
        </is>
      </c>
      <c r="J458" s="12" t="inlineStr">
        <is>
          <t>10</t>
        </is>
      </c>
      <c r="K458" s="12" t="n">
        <v>1</v>
      </c>
    </row>
    <row r="459">
      <c r="A459" s="12" t="inlineStr">
        <is>
          <t>ST: steam turbine (HP/IP + LP), ACC plant</t>
        </is>
      </c>
      <c r="B459" s="12" t="inlineStr">
        <is>
          <t>ST</t>
        </is>
      </c>
      <c r="C459" s="12" t="inlineStr">
        <is>
          <t>A</t>
        </is>
      </c>
      <c r="D459" s="12" t="inlineStr">
        <is>
          <t>MOV 19: power</t>
        </is>
      </c>
      <c r="E459" s="12" t="n">
        <v>480</v>
      </c>
      <c r="F459" s="12" t="n">
        <v>2.5</v>
      </c>
      <c r="G459" s="12" t="n">
        <v>3.5</v>
      </c>
      <c r="H459" s="12" t="inlineStr">
        <is>
          <t>R3: ST auxiliary electrical e-house (40 x 65 ft)</t>
        </is>
      </c>
      <c r="I459" s="12" t="inlineStr">
        <is>
          <t>LV 600 V</t>
        </is>
      </c>
      <c r="J459" s="12" t="inlineStr">
        <is>
          <t>10</t>
        </is>
      </c>
      <c r="K459" s="12" t="n">
        <v>1</v>
      </c>
    </row>
    <row r="460">
      <c r="A460" s="12" t="inlineStr">
        <is>
          <t>ST: steam turbine (HP/IP + LP), ACC plant</t>
        </is>
      </c>
      <c r="B460" s="12" t="inlineStr">
        <is>
          <t>ST</t>
        </is>
      </c>
      <c r="C460" s="12" t="inlineStr">
        <is>
          <t>A</t>
        </is>
      </c>
      <c r="D460" s="12" t="inlineStr">
        <is>
          <t>MOV 20: power</t>
        </is>
      </c>
      <c r="E460" s="12" t="n">
        <v>480</v>
      </c>
      <c r="F460" s="12" t="n">
        <v>2.5</v>
      </c>
      <c r="G460" s="12" t="n">
        <v>3.5</v>
      </c>
      <c r="H460" s="12" t="inlineStr">
        <is>
          <t>R3: ST auxiliary electrical e-house (40 x 65 ft)</t>
        </is>
      </c>
      <c r="I460" s="12" t="inlineStr">
        <is>
          <t>LV 600 V</t>
        </is>
      </c>
      <c r="J460" s="12" t="inlineStr">
        <is>
          <t>10</t>
        </is>
      </c>
      <c r="K460" s="12" t="n">
        <v>1</v>
      </c>
    </row>
    <row r="461">
      <c r="A461" s="12" t="inlineStr">
        <is>
          <t>ST: steam turbine (HP/IP + LP), ACC plant</t>
        </is>
      </c>
      <c r="B461" s="12" t="inlineStr">
        <is>
          <t>ST</t>
        </is>
      </c>
      <c r="C461" s="12" t="inlineStr">
        <is>
          <t>A</t>
        </is>
      </c>
      <c r="D461" s="12" t="inlineStr">
        <is>
          <t>LV power feeder</t>
        </is>
      </c>
      <c r="E461" s="12" t="n">
        <v>480</v>
      </c>
      <c r="F461" s="12" t="n">
        <v>15</v>
      </c>
      <c r="G461" s="12" t="n">
        <v>21.2</v>
      </c>
      <c r="H461" s="12" t="inlineStr">
        <is>
          <t>R3: ST auxiliary electrical e-house (40 x 65 ft)</t>
        </is>
      </c>
      <c r="I461" s="12" t="inlineStr">
        <is>
          <t>LV 600 V</t>
        </is>
      </c>
      <c r="J461" s="12" t="inlineStr">
        <is>
          <t>10</t>
        </is>
      </c>
      <c r="K461" s="12" t="n">
        <v>1</v>
      </c>
    </row>
    <row r="462">
      <c r="A462" s="12" t="inlineStr">
        <is>
          <t>ST: steam turbine (HP/IP + LP), ACC plant</t>
        </is>
      </c>
      <c r="B462" s="12" t="inlineStr">
        <is>
          <t>ST</t>
        </is>
      </c>
      <c r="C462" s="12" t="inlineStr">
        <is>
          <t>A</t>
        </is>
      </c>
      <c r="D462" s="12" t="inlineStr">
        <is>
          <t>480 V welding receptacle 1</t>
        </is>
      </c>
      <c r="E462" s="12" t="n">
        <v>480</v>
      </c>
      <c r="F462" s="12" t="n">
        <v>60</v>
      </c>
      <c r="G462" s="12" t="n">
        <v>76</v>
      </c>
      <c r="H462" s="12" t="inlineStr">
        <is>
          <t>R3: ST auxiliary electrical e-house (40 x 65 ft)</t>
        </is>
      </c>
      <c r="I462" s="12" t="inlineStr">
        <is>
          <t>LV 600 V</t>
        </is>
      </c>
      <c r="J462" s="12" t="inlineStr">
        <is>
          <t>2</t>
        </is>
      </c>
      <c r="K462" s="12" t="n">
        <v>1</v>
      </c>
    </row>
    <row r="463">
      <c r="A463" s="12" t="inlineStr">
        <is>
          <t>ST: steam turbine (HP/IP + LP), ACC plant</t>
        </is>
      </c>
      <c r="B463" s="12" t="inlineStr">
        <is>
          <t>ST</t>
        </is>
      </c>
      <c r="C463" s="12" t="inlineStr">
        <is>
          <t>A</t>
        </is>
      </c>
      <c r="D463" s="12" t="inlineStr">
        <is>
          <t>480 V welding receptacle 2</t>
        </is>
      </c>
      <c r="E463" s="12" t="n">
        <v>480</v>
      </c>
      <c r="F463" s="12" t="n">
        <v>60</v>
      </c>
      <c r="G463" s="12" t="n">
        <v>76</v>
      </c>
      <c r="H463" s="12" t="inlineStr">
        <is>
          <t>R3: ST auxiliary electrical e-house (40 x 65 ft)</t>
        </is>
      </c>
      <c r="I463" s="12" t="inlineStr">
        <is>
          <t>LV 600 V</t>
        </is>
      </c>
      <c r="J463" s="12" t="inlineStr">
        <is>
          <t>2</t>
        </is>
      </c>
      <c r="K463" s="12" t="n">
        <v>1</v>
      </c>
    </row>
    <row r="464">
      <c r="A464" s="12" t="inlineStr">
        <is>
          <t>ST: steam turbine (HP/IP + LP), ACC plant</t>
        </is>
      </c>
      <c r="B464" s="12" t="inlineStr">
        <is>
          <t>ST</t>
        </is>
      </c>
      <c r="C464" s="12" t="inlineStr">
        <is>
          <t>A</t>
        </is>
      </c>
      <c r="D464" s="12" t="inlineStr">
        <is>
          <t>480 V welding receptacle 3</t>
        </is>
      </c>
      <c r="E464" s="12" t="n">
        <v>480</v>
      </c>
      <c r="F464" s="12" t="n">
        <v>60</v>
      </c>
      <c r="G464" s="12" t="n">
        <v>76</v>
      </c>
      <c r="H464" s="12" t="inlineStr">
        <is>
          <t>R3: ST auxiliary electrical e-house (40 x 65 ft)</t>
        </is>
      </c>
      <c r="I464" s="12" t="inlineStr">
        <is>
          <t>LV 600 V</t>
        </is>
      </c>
      <c r="J464" s="12" t="inlineStr">
        <is>
          <t>2</t>
        </is>
      </c>
      <c r="K464" s="12" t="n">
        <v>1</v>
      </c>
    </row>
    <row r="465">
      <c r="A465" s="12" t="inlineStr">
        <is>
          <t>ST: steam turbine (HP/IP + LP), ACC plant</t>
        </is>
      </c>
      <c r="B465" s="12" t="inlineStr">
        <is>
          <t>ST</t>
        </is>
      </c>
      <c r="C465" s="12" t="inlineStr">
        <is>
          <t>A</t>
        </is>
      </c>
      <c r="D465" s="12" t="inlineStr">
        <is>
          <t>480 V welding receptacle 4</t>
        </is>
      </c>
      <c r="E465" s="12" t="n">
        <v>480</v>
      </c>
      <c r="F465" s="12" t="n">
        <v>60</v>
      </c>
      <c r="G465" s="12" t="n">
        <v>76</v>
      </c>
      <c r="H465" s="12" t="inlineStr">
        <is>
          <t>R3: ST auxiliary electrical e-house (40 x 65 ft)</t>
        </is>
      </c>
      <c r="I465" s="12" t="inlineStr">
        <is>
          <t>LV 600 V</t>
        </is>
      </c>
      <c r="J465" s="12" t="inlineStr">
        <is>
          <t>2</t>
        </is>
      </c>
      <c r="K465" s="12" t="n">
        <v>1</v>
      </c>
    </row>
    <row r="466">
      <c r="A466" s="12" t="inlineStr">
        <is>
          <t>STG: steam-turbine generator</t>
        </is>
      </c>
      <c r="B466" s="12" t="inlineStr">
        <is>
          <t>STG</t>
        </is>
      </c>
      <c r="C466" s="12" t="inlineStr">
        <is>
          <t>A</t>
        </is>
      </c>
      <c r="D466" s="12" t="inlineStr">
        <is>
          <t>Motor 1 of 4, 2 kW</t>
        </is>
      </c>
      <c r="E466" s="12" t="n">
        <v>480</v>
      </c>
      <c r="F466" s="12" t="n">
        <v>2</v>
      </c>
      <c r="G466" s="12" t="n">
        <v>2.8</v>
      </c>
      <c r="H466" s="12" t="inlineStr">
        <is>
          <t>R3: ST auxiliary electrical e-house (40 x 65 ft)</t>
        </is>
      </c>
      <c r="I466" s="12" t="inlineStr">
        <is>
          <t>LV 600 V</t>
        </is>
      </c>
      <c r="J466" s="12" t="inlineStr">
        <is>
          <t>10</t>
        </is>
      </c>
      <c r="K466" s="12" t="n">
        <v>1</v>
      </c>
    </row>
    <row r="467">
      <c r="A467" s="12" t="inlineStr">
        <is>
          <t>STG: steam-turbine generator</t>
        </is>
      </c>
      <c r="B467" s="12" t="inlineStr">
        <is>
          <t>STG</t>
        </is>
      </c>
      <c r="C467" s="12" t="inlineStr">
        <is>
          <t>A</t>
        </is>
      </c>
      <c r="D467" s="12" t="inlineStr">
        <is>
          <t>Motor 2 of 4, 2 kW</t>
        </is>
      </c>
      <c r="E467" s="12" t="n">
        <v>480</v>
      </c>
      <c r="F467" s="12" t="n">
        <v>2</v>
      </c>
      <c r="G467" s="12" t="n">
        <v>2.8</v>
      </c>
      <c r="H467" s="12" t="inlineStr">
        <is>
          <t>R3: ST auxiliary electrical e-house (40 x 65 ft)</t>
        </is>
      </c>
      <c r="I467" s="12" t="inlineStr">
        <is>
          <t>LV 600 V</t>
        </is>
      </c>
      <c r="J467" s="12" t="inlineStr">
        <is>
          <t>10</t>
        </is>
      </c>
      <c r="K467" s="12" t="n">
        <v>1</v>
      </c>
    </row>
    <row r="468">
      <c r="A468" s="12" t="inlineStr">
        <is>
          <t>STG: steam-turbine generator</t>
        </is>
      </c>
      <c r="B468" s="12" t="inlineStr">
        <is>
          <t>STG</t>
        </is>
      </c>
      <c r="C468" s="12" t="inlineStr">
        <is>
          <t>A</t>
        </is>
      </c>
      <c r="D468" s="12" t="inlineStr">
        <is>
          <t>Motor 3 of 4, 2 kW</t>
        </is>
      </c>
      <c r="E468" s="12" t="n">
        <v>480</v>
      </c>
      <c r="F468" s="12" t="n">
        <v>2</v>
      </c>
      <c r="G468" s="12" t="n">
        <v>2.8</v>
      </c>
      <c r="H468" s="12" t="inlineStr">
        <is>
          <t>R3: ST auxiliary electrical e-house (40 x 65 ft)</t>
        </is>
      </c>
      <c r="I468" s="12" t="inlineStr">
        <is>
          <t>LV 600 V</t>
        </is>
      </c>
      <c r="J468" s="12" t="inlineStr">
        <is>
          <t>10</t>
        </is>
      </c>
      <c r="K468" s="12" t="n">
        <v>1</v>
      </c>
    </row>
    <row r="469">
      <c r="A469" s="12" t="inlineStr">
        <is>
          <t>STG: steam-turbine generator</t>
        </is>
      </c>
      <c r="B469" s="12" t="inlineStr">
        <is>
          <t>STG</t>
        </is>
      </c>
      <c r="C469" s="12" t="inlineStr">
        <is>
          <t>A</t>
        </is>
      </c>
      <c r="D469" s="12" t="inlineStr">
        <is>
          <t>Motor 4 of 4, 2 kW</t>
        </is>
      </c>
      <c r="E469" s="12" t="n">
        <v>480</v>
      </c>
      <c r="F469" s="12" t="n">
        <v>2</v>
      </c>
      <c r="G469" s="12" t="n">
        <v>2.8</v>
      </c>
      <c r="H469" s="12" t="inlineStr">
        <is>
          <t>R3: ST auxiliary electrical e-house (40 x 65 ft)</t>
        </is>
      </c>
      <c r="I469" s="12" t="inlineStr">
        <is>
          <t>LV 600 V</t>
        </is>
      </c>
      <c r="J469" s="12" t="inlineStr">
        <is>
          <t>10</t>
        </is>
      </c>
      <c r="K469" s="12" t="n">
        <v>1</v>
      </c>
    </row>
    <row r="470">
      <c r="A470" s="12" t="inlineStr">
        <is>
          <t>SWAS: steam and water analysis</t>
        </is>
      </c>
      <c r="B470" s="12" t="inlineStr">
        <is>
          <t>SWAS</t>
        </is>
      </c>
      <c r="C470" s="12" t="inlineStr">
        <is>
          <t>A</t>
        </is>
      </c>
      <c r="D470" s="12" t="inlineStr">
        <is>
          <t>LV power feeder</t>
        </is>
      </c>
      <c r="E470" s="12" t="n">
        <v>480</v>
      </c>
      <c r="F470" s="12" t="n">
        <v>15</v>
      </c>
      <c r="G470" s="12" t="n">
        <v>21.2</v>
      </c>
      <c r="H470" s="12" t="inlineStr">
        <is>
          <t>R3: ST auxiliary electrical e-house (40 x 65 ft)</t>
        </is>
      </c>
      <c r="I470" s="12" t="inlineStr">
        <is>
          <t>LV 600 V</t>
        </is>
      </c>
      <c r="J470" s="12" t="inlineStr">
        <is>
          <t>10</t>
        </is>
      </c>
      <c r="K470" s="12" t="n">
        <v>1</v>
      </c>
    </row>
    <row r="471">
      <c r="A471" s="12" t="inlineStr">
        <is>
          <t>T-R2A: 13.8/0.48 kV</t>
        </is>
      </c>
      <c r="B471" s="12" t="inlineStr"/>
      <c r="C471" s="12" t="inlineStr">
        <is>
          <t>A</t>
        </is>
      </c>
      <c r="D471" s="12" t="inlineStr">
        <is>
          <t>Motor 1 of 6, 2 kW</t>
        </is>
      </c>
      <c r="E471" s="12" t="n">
        <v>480</v>
      </c>
      <c r="F471" s="12" t="n">
        <v>2</v>
      </c>
      <c r="G471" s="12" t="n">
        <v>2.8</v>
      </c>
      <c r="H471" s="12" t="inlineStr">
        <is>
          <t>R2A: unit / HRSG electrical e-house (32 x 40 ft)</t>
        </is>
      </c>
      <c r="I471" s="12" t="inlineStr">
        <is>
          <t>LV 600 V</t>
        </is>
      </c>
      <c r="J471" s="12" t="inlineStr">
        <is>
          <t>10</t>
        </is>
      </c>
      <c r="K471" s="12" t="n">
        <v>1</v>
      </c>
    </row>
    <row r="472">
      <c r="A472" s="12" t="inlineStr">
        <is>
          <t>T-R2A: 13.8/0.48 kV</t>
        </is>
      </c>
      <c r="B472" s="12" t="inlineStr"/>
      <c r="C472" s="12" t="inlineStr">
        <is>
          <t>A</t>
        </is>
      </c>
      <c r="D472" s="12" t="inlineStr">
        <is>
          <t>Motor 2 of 6, 2 kW</t>
        </is>
      </c>
      <c r="E472" s="12" t="n">
        <v>480</v>
      </c>
      <c r="F472" s="12" t="n">
        <v>2</v>
      </c>
      <c r="G472" s="12" t="n">
        <v>2.8</v>
      </c>
      <c r="H472" s="12" t="inlineStr">
        <is>
          <t>R2A: unit / HRSG electrical e-house (32 x 40 ft)</t>
        </is>
      </c>
      <c r="I472" s="12" t="inlineStr">
        <is>
          <t>LV 600 V</t>
        </is>
      </c>
      <c r="J472" s="12" t="inlineStr">
        <is>
          <t>10</t>
        </is>
      </c>
      <c r="K472" s="12" t="n">
        <v>1</v>
      </c>
    </row>
    <row r="473">
      <c r="A473" s="12" t="inlineStr">
        <is>
          <t>T-R2A: 13.8/0.48 kV</t>
        </is>
      </c>
      <c r="B473" s="12" t="inlineStr"/>
      <c r="C473" s="12" t="inlineStr">
        <is>
          <t>A</t>
        </is>
      </c>
      <c r="D473" s="12" t="inlineStr">
        <is>
          <t>Motor 3 of 6, 2 kW</t>
        </is>
      </c>
      <c r="E473" s="12" t="n">
        <v>480</v>
      </c>
      <c r="F473" s="12" t="n">
        <v>2</v>
      </c>
      <c r="G473" s="12" t="n">
        <v>2.8</v>
      </c>
      <c r="H473" s="12" t="inlineStr">
        <is>
          <t>R2A: unit / HRSG electrical e-house (32 x 40 ft)</t>
        </is>
      </c>
      <c r="I473" s="12" t="inlineStr">
        <is>
          <t>LV 600 V</t>
        </is>
      </c>
      <c r="J473" s="12" t="inlineStr">
        <is>
          <t>10</t>
        </is>
      </c>
      <c r="K473" s="12" t="n">
        <v>1</v>
      </c>
    </row>
    <row r="474">
      <c r="A474" s="12" t="inlineStr">
        <is>
          <t>T-R2A: 13.8/0.48 kV</t>
        </is>
      </c>
      <c r="B474" s="12" t="inlineStr"/>
      <c r="C474" s="12" t="inlineStr">
        <is>
          <t>A</t>
        </is>
      </c>
      <c r="D474" s="12" t="inlineStr">
        <is>
          <t>Motor 4 of 6, 2 kW</t>
        </is>
      </c>
      <c r="E474" s="12" t="n">
        <v>480</v>
      </c>
      <c r="F474" s="12" t="n">
        <v>2</v>
      </c>
      <c r="G474" s="12" t="n">
        <v>2.8</v>
      </c>
      <c r="H474" s="12" t="inlineStr">
        <is>
          <t>R2A: unit / HRSG electrical e-house (32 x 40 ft)</t>
        </is>
      </c>
      <c r="I474" s="12" t="inlineStr">
        <is>
          <t>LV 600 V</t>
        </is>
      </c>
      <c r="J474" s="12" t="inlineStr">
        <is>
          <t>10</t>
        </is>
      </c>
      <c r="K474" s="12" t="n">
        <v>1</v>
      </c>
    </row>
    <row r="475">
      <c r="A475" s="12" t="inlineStr">
        <is>
          <t>T-R2A: 13.8/0.48 kV</t>
        </is>
      </c>
      <c r="B475" s="12" t="inlineStr"/>
      <c r="C475" s="12" t="inlineStr">
        <is>
          <t>A</t>
        </is>
      </c>
      <c r="D475" s="12" t="inlineStr">
        <is>
          <t>Motor 5 of 6, 2 kW</t>
        </is>
      </c>
      <c r="E475" s="12" t="n">
        <v>480</v>
      </c>
      <c r="F475" s="12" t="n">
        <v>2</v>
      </c>
      <c r="G475" s="12" t="n">
        <v>2.8</v>
      </c>
      <c r="H475" s="12" t="inlineStr">
        <is>
          <t>R2A: unit / HRSG electrical e-house (32 x 40 ft)</t>
        </is>
      </c>
      <c r="I475" s="12" t="inlineStr">
        <is>
          <t>LV 600 V</t>
        </is>
      </c>
      <c r="J475" s="12" t="inlineStr">
        <is>
          <t>10</t>
        </is>
      </c>
      <c r="K475" s="12" t="n">
        <v>1</v>
      </c>
    </row>
    <row r="476">
      <c r="A476" s="12" t="inlineStr">
        <is>
          <t>T-R2A: 13.8/0.48 kV</t>
        </is>
      </c>
      <c r="B476" s="12" t="inlineStr"/>
      <c r="C476" s="12" t="inlineStr">
        <is>
          <t>A</t>
        </is>
      </c>
      <c r="D476" s="12" t="inlineStr">
        <is>
          <t>Motor 6 of 6, 2 kW</t>
        </is>
      </c>
      <c r="E476" s="12" t="n">
        <v>480</v>
      </c>
      <c r="F476" s="12" t="n">
        <v>2</v>
      </c>
      <c r="G476" s="12" t="n">
        <v>2.8</v>
      </c>
      <c r="H476" s="12" t="inlineStr">
        <is>
          <t>R2A: unit / HRSG electrical e-house (32 x 40 ft)</t>
        </is>
      </c>
      <c r="I476" s="12" t="inlineStr">
        <is>
          <t>LV 600 V</t>
        </is>
      </c>
      <c r="J476" s="12" t="inlineStr">
        <is>
          <t>10</t>
        </is>
      </c>
      <c r="K476" s="12" t="n">
        <v>1</v>
      </c>
    </row>
    <row r="477">
      <c r="A477" s="12" t="inlineStr">
        <is>
          <t>T-R2B: 13.8/0.48 kV</t>
        </is>
      </c>
      <c r="B477" s="12" t="inlineStr"/>
      <c r="C477" s="12" t="inlineStr">
        <is>
          <t>A</t>
        </is>
      </c>
      <c r="D477" s="12" t="inlineStr">
        <is>
          <t>Motor 1 of 6, 2 kW</t>
        </is>
      </c>
      <c r="E477" s="12" t="n">
        <v>480</v>
      </c>
      <c r="F477" s="12" t="n">
        <v>2</v>
      </c>
      <c r="G477" s="12" t="n">
        <v>2.8</v>
      </c>
      <c r="H477" s="12" t="inlineStr">
        <is>
          <t>R2B: unit / HRSG electrical e-house (32 x 40 ft)</t>
        </is>
      </c>
      <c r="I477" s="12" t="inlineStr">
        <is>
          <t>LV 600 V</t>
        </is>
      </c>
      <c r="J477" s="12" t="inlineStr">
        <is>
          <t>10</t>
        </is>
      </c>
      <c r="K477" s="12" t="n">
        <v>1</v>
      </c>
    </row>
    <row r="478">
      <c r="A478" s="12" t="inlineStr">
        <is>
          <t>T-R2B: 13.8/0.48 kV</t>
        </is>
      </c>
      <c r="B478" s="12" t="inlineStr"/>
      <c r="C478" s="12" t="inlineStr">
        <is>
          <t>A</t>
        </is>
      </c>
      <c r="D478" s="12" t="inlineStr">
        <is>
          <t>Motor 2 of 6, 2 kW</t>
        </is>
      </c>
      <c r="E478" s="12" t="n">
        <v>480</v>
      </c>
      <c r="F478" s="12" t="n">
        <v>2</v>
      </c>
      <c r="G478" s="12" t="n">
        <v>2.8</v>
      </c>
      <c r="H478" s="12" t="inlineStr">
        <is>
          <t>R2B: unit / HRSG electrical e-house (32 x 40 ft)</t>
        </is>
      </c>
      <c r="I478" s="12" t="inlineStr">
        <is>
          <t>LV 600 V</t>
        </is>
      </c>
      <c r="J478" s="12" t="inlineStr">
        <is>
          <t>10</t>
        </is>
      </c>
      <c r="K478" s="12" t="n">
        <v>1</v>
      </c>
    </row>
    <row r="479">
      <c r="A479" s="12" t="inlineStr">
        <is>
          <t>T-R2B: 13.8/0.48 kV</t>
        </is>
      </c>
      <c r="B479" s="12" t="inlineStr"/>
      <c r="C479" s="12" t="inlineStr">
        <is>
          <t>A</t>
        </is>
      </c>
      <c r="D479" s="12" t="inlineStr">
        <is>
          <t>Motor 3 of 6, 2 kW</t>
        </is>
      </c>
      <c r="E479" s="12" t="n">
        <v>480</v>
      </c>
      <c r="F479" s="12" t="n">
        <v>2</v>
      </c>
      <c r="G479" s="12" t="n">
        <v>2.8</v>
      </c>
      <c r="H479" s="12" t="inlineStr">
        <is>
          <t>R2B: unit / HRSG electrical e-house (32 x 40 ft)</t>
        </is>
      </c>
      <c r="I479" s="12" t="inlineStr">
        <is>
          <t>LV 600 V</t>
        </is>
      </c>
      <c r="J479" s="12" t="inlineStr">
        <is>
          <t>10</t>
        </is>
      </c>
      <c r="K479" s="12" t="n">
        <v>1</v>
      </c>
    </row>
    <row r="480">
      <c r="A480" s="12" t="inlineStr">
        <is>
          <t>T-R2B: 13.8/0.48 kV</t>
        </is>
      </c>
      <c r="B480" s="12" t="inlineStr"/>
      <c r="C480" s="12" t="inlineStr">
        <is>
          <t>A</t>
        </is>
      </c>
      <c r="D480" s="12" t="inlineStr">
        <is>
          <t>Motor 4 of 6, 2 kW</t>
        </is>
      </c>
      <c r="E480" s="12" t="n">
        <v>480</v>
      </c>
      <c r="F480" s="12" t="n">
        <v>2</v>
      </c>
      <c r="G480" s="12" t="n">
        <v>2.8</v>
      </c>
      <c r="H480" s="12" t="inlineStr">
        <is>
          <t>R2B: unit / HRSG electrical e-house (32 x 40 ft)</t>
        </is>
      </c>
      <c r="I480" s="12" t="inlineStr">
        <is>
          <t>LV 600 V</t>
        </is>
      </c>
      <c r="J480" s="12" t="inlineStr">
        <is>
          <t>10</t>
        </is>
      </c>
      <c r="K480" s="12" t="n">
        <v>1</v>
      </c>
    </row>
    <row r="481">
      <c r="A481" s="12" t="inlineStr">
        <is>
          <t>T-R2B: 13.8/0.48 kV</t>
        </is>
      </c>
      <c r="B481" s="12" t="inlineStr"/>
      <c r="C481" s="12" t="inlineStr">
        <is>
          <t>A</t>
        </is>
      </c>
      <c r="D481" s="12" t="inlineStr">
        <is>
          <t>Motor 5 of 6, 2 kW</t>
        </is>
      </c>
      <c r="E481" s="12" t="n">
        <v>480</v>
      </c>
      <c r="F481" s="12" t="n">
        <v>2</v>
      </c>
      <c r="G481" s="12" t="n">
        <v>2.8</v>
      </c>
      <c r="H481" s="12" t="inlineStr">
        <is>
          <t>R2B: unit / HRSG electrical e-house (32 x 40 ft)</t>
        </is>
      </c>
      <c r="I481" s="12" t="inlineStr">
        <is>
          <t>LV 600 V</t>
        </is>
      </c>
      <c r="J481" s="12" t="inlineStr">
        <is>
          <t>10</t>
        </is>
      </c>
      <c r="K481" s="12" t="n">
        <v>1</v>
      </c>
    </row>
    <row r="482">
      <c r="A482" s="12" t="inlineStr">
        <is>
          <t>T-R2B: 13.8/0.48 kV</t>
        </is>
      </c>
      <c r="B482" s="12" t="inlineStr"/>
      <c r="C482" s="12" t="inlineStr">
        <is>
          <t>A</t>
        </is>
      </c>
      <c r="D482" s="12" t="inlineStr">
        <is>
          <t>Motor 6 of 6, 2 kW</t>
        </is>
      </c>
      <c r="E482" s="12" t="n">
        <v>480</v>
      </c>
      <c r="F482" s="12" t="n">
        <v>2</v>
      </c>
      <c r="G482" s="12" t="n">
        <v>2.8</v>
      </c>
      <c r="H482" s="12" t="inlineStr">
        <is>
          <t>R2B: unit / HRSG electrical e-house (32 x 40 ft)</t>
        </is>
      </c>
      <c r="I482" s="12" t="inlineStr">
        <is>
          <t>LV 600 V</t>
        </is>
      </c>
      <c r="J482" s="12" t="inlineStr">
        <is>
          <t>10</t>
        </is>
      </c>
      <c r="K482" s="12" t="n">
        <v>1</v>
      </c>
    </row>
    <row r="483">
      <c r="A483" s="12" t="inlineStr">
        <is>
          <t>T-R2C: 13.8/0.48 kV</t>
        </is>
      </c>
      <c r="B483" s="12" t="inlineStr"/>
      <c r="C483" s="12" t="inlineStr">
        <is>
          <t>A</t>
        </is>
      </c>
      <c r="D483" s="12" t="inlineStr">
        <is>
          <t>Motor 1 of 6, 2 kW</t>
        </is>
      </c>
      <c r="E483" s="12" t="n">
        <v>480</v>
      </c>
      <c r="F483" s="12" t="n">
        <v>2</v>
      </c>
      <c r="G483" s="12" t="n">
        <v>2.8</v>
      </c>
      <c r="H483" s="12" t="inlineStr">
        <is>
          <t>R2C: unit / HRSG electrical e-house (32 x 40 ft)</t>
        </is>
      </c>
      <c r="I483" s="12" t="inlineStr">
        <is>
          <t>LV 600 V</t>
        </is>
      </c>
      <c r="J483" s="12" t="inlineStr">
        <is>
          <t>10</t>
        </is>
      </c>
      <c r="K483" s="12" t="n">
        <v>1</v>
      </c>
    </row>
    <row r="484">
      <c r="A484" s="12" t="inlineStr">
        <is>
          <t>T-R2C: 13.8/0.48 kV</t>
        </is>
      </c>
      <c r="B484" s="12" t="inlineStr"/>
      <c r="C484" s="12" t="inlineStr">
        <is>
          <t>A</t>
        </is>
      </c>
      <c r="D484" s="12" t="inlineStr">
        <is>
          <t>Motor 2 of 6, 2 kW</t>
        </is>
      </c>
      <c r="E484" s="12" t="n">
        <v>480</v>
      </c>
      <c r="F484" s="12" t="n">
        <v>2</v>
      </c>
      <c r="G484" s="12" t="n">
        <v>2.8</v>
      </c>
      <c r="H484" s="12" t="inlineStr">
        <is>
          <t>R2C: unit / HRSG electrical e-house (32 x 40 ft)</t>
        </is>
      </c>
      <c r="I484" s="12" t="inlineStr">
        <is>
          <t>LV 600 V</t>
        </is>
      </c>
      <c r="J484" s="12" t="inlineStr">
        <is>
          <t>10</t>
        </is>
      </c>
      <c r="K484" s="12" t="n">
        <v>1</v>
      </c>
    </row>
    <row r="485">
      <c r="A485" s="12" t="inlineStr">
        <is>
          <t>T-R2C: 13.8/0.48 kV</t>
        </is>
      </c>
      <c r="B485" s="12" t="inlineStr"/>
      <c r="C485" s="12" t="inlineStr">
        <is>
          <t>A</t>
        </is>
      </c>
      <c r="D485" s="12" t="inlineStr">
        <is>
          <t>Motor 3 of 6, 2 kW</t>
        </is>
      </c>
      <c r="E485" s="12" t="n">
        <v>480</v>
      </c>
      <c r="F485" s="12" t="n">
        <v>2</v>
      </c>
      <c r="G485" s="12" t="n">
        <v>2.8</v>
      </c>
      <c r="H485" s="12" t="inlineStr">
        <is>
          <t>R2C: unit / HRSG electrical e-house (32 x 40 ft)</t>
        </is>
      </c>
      <c r="I485" s="12" t="inlineStr">
        <is>
          <t>LV 600 V</t>
        </is>
      </c>
      <c r="J485" s="12" t="inlineStr">
        <is>
          <t>10</t>
        </is>
      </c>
      <c r="K485" s="12" t="n">
        <v>1</v>
      </c>
    </row>
    <row r="486">
      <c r="A486" s="12" t="inlineStr">
        <is>
          <t>T-R2C: 13.8/0.48 kV</t>
        </is>
      </c>
      <c r="B486" s="12" t="inlineStr"/>
      <c r="C486" s="12" t="inlineStr">
        <is>
          <t>A</t>
        </is>
      </c>
      <c r="D486" s="12" t="inlineStr">
        <is>
          <t>Motor 4 of 6, 2 kW</t>
        </is>
      </c>
      <c r="E486" s="12" t="n">
        <v>480</v>
      </c>
      <c r="F486" s="12" t="n">
        <v>2</v>
      </c>
      <c r="G486" s="12" t="n">
        <v>2.8</v>
      </c>
      <c r="H486" s="12" t="inlineStr">
        <is>
          <t>R2C: unit / HRSG electrical e-house (32 x 40 ft)</t>
        </is>
      </c>
      <c r="I486" s="12" t="inlineStr">
        <is>
          <t>LV 600 V</t>
        </is>
      </c>
      <c r="J486" s="12" t="inlineStr">
        <is>
          <t>10</t>
        </is>
      </c>
      <c r="K486" s="12" t="n">
        <v>1</v>
      </c>
    </row>
    <row r="487">
      <c r="A487" s="12" t="inlineStr">
        <is>
          <t>T-R2C: 13.8/0.48 kV</t>
        </is>
      </c>
      <c r="B487" s="12" t="inlineStr"/>
      <c r="C487" s="12" t="inlineStr">
        <is>
          <t>A</t>
        </is>
      </c>
      <c r="D487" s="12" t="inlineStr">
        <is>
          <t>Motor 5 of 6, 2 kW</t>
        </is>
      </c>
      <c r="E487" s="12" t="n">
        <v>480</v>
      </c>
      <c r="F487" s="12" t="n">
        <v>2</v>
      </c>
      <c r="G487" s="12" t="n">
        <v>2.8</v>
      </c>
      <c r="H487" s="12" t="inlineStr">
        <is>
          <t>R2C: unit / HRSG electrical e-house (32 x 40 ft)</t>
        </is>
      </c>
      <c r="I487" s="12" t="inlineStr">
        <is>
          <t>LV 600 V</t>
        </is>
      </c>
      <c r="J487" s="12" t="inlineStr">
        <is>
          <t>10</t>
        </is>
      </c>
      <c r="K487" s="12" t="n">
        <v>1</v>
      </c>
    </row>
    <row r="488">
      <c r="A488" s="12" t="inlineStr">
        <is>
          <t>T-R2C: 13.8/0.48 kV</t>
        </is>
      </c>
      <c r="B488" s="12" t="inlineStr"/>
      <c r="C488" s="12" t="inlineStr">
        <is>
          <t>A</t>
        </is>
      </c>
      <c r="D488" s="12" t="inlineStr">
        <is>
          <t>Motor 6 of 6, 2 kW</t>
        </is>
      </c>
      <c r="E488" s="12" t="n">
        <v>480</v>
      </c>
      <c r="F488" s="12" t="n">
        <v>2</v>
      </c>
      <c r="G488" s="12" t="n">
        <v>2.8</v>
      </c>
      <c r="H488" s="12" t="inlineStr">
        <is>
          <t>R2C: unit / HRSG electrical e-house (32 x 40 ft)</t>
        </is>
      </c>
      <c r="I488" s="12" t="inlineStr">
        <is>
          <t>LV 600 V</t>
        </is>
      </c>
      <c r="J488" s="12" t="inlineStr">
        <is>
          <t>10</t>
        </is>
      </c>
      <c r="K488" s="12" t="n">
        <v>1</v>
      </c>
    </row>
    <row r="489">
      <c r="A489" s="12" t="inlineStr">
        <is>
          <t>T-R3: 13.8/0.48 kV</t>
        </is>
      </c>
      <c r="B489" s="12" t="inlineStr"/>
      <c r="C489" s="12" t="inlineStr">
        <is>
          <t>A</t>
        </is>
      </c>
      <c r="D489" s="12" t="inlineStr">
        <is>
          <t>Motor 1 of 6, 2 kW</t>
        </is>
      </c>
      <c r="E489" s="12" t="n">
        <v>480</v>
      </c>
      <c r="F489" s="12" t="n">
        <v>2</v>
      </c>
      <c r="G489" s="12" t="n">
        <v>2.8</v>
      </c>
      <c r="H489" s="12" t="inlineStr">
        <is>
          <t>R3: ST auxiliary electrical e-house (40 x 65 ft)</t>
        </is>
      </c>
      <c r="I489" s="12" t="inlineStr">
        <is>
          <t>LV 600 V</t>
        </is>
      </c>
      <c r="J489" s="12" t="inlineStr">
        <is>
          <t>10</t>
        </is>
      </c>
      <c r="K489" s="12" t="n">
        <v>1</v>
      </c>
    </row>
    <row r="490">
      <c r="A490" s="12" t="inlineStr">
        <is>
          <t>T-R3: 13.8/0.48 kV</t>
        </is>
      </c>
      <c r="B490" s="12" t="inlineStr"/>
      <c r="C490" s="12" t="inlineStr">
        <is>
          <t>A</t>
        </is>
      </c>
      <c r="D490" s="12" t="inlineStr">
        <is>
          <t>Motor 2 of 6, 2 kW</t>
        </is>
      </c>
      <c r="E490" s="12" t="n">
        <v>480</v>
      </c>
      <c r="F490" s="12" t="n">
        <v>2</v>
      </c>
      <c r="G490" s="12" t="n">
        <v>2.8</v>
      </c>
      <c r="H490" s="12" t="inlineStr">
        <is>
          <t>R3: ST auxiliary electrical e-house (40 x 65 ft)</t>
        </is>
      </c>
      <c r="I490" s="12" t="inlineStr">
        <is>
          <t>LV 600 V</t>
        </is>
      </c>
      <c r="J490" s="12" t="inlineStr">
        <is>
          <t>10</t>
        </is>
      </c>
      <c r="K490" s="12" t="n">
        <v>1</v>
      </c>
    </row>
    <row r="491">
      <c r="A491" s="12" t="inlineStr">
        <is>
          <t>T-R3: 13.8/0.48 kV</t>
        </is>
      </c>
      <c r="B491" s="12" t="inlineStr"/>
      <c r="C491" s="12" t="inlineStr">
        <is>
          <t>A</t>
        </is>
      </c>
      <c r="D491" s="12" t="inlineStr">
        <is>
          <t>Motor 3 of 6, 2 kW</t>
        </is>
      </c>
      <c r="E491" s="12" t="n">
        <v>480</v>
      </c>
      <c r="F491" s="12" t="n">
        <v>2</v>
      </c>
      <c r="G491" s="12" t="n">
        <v>2.8</v>
      </c>
      <c r="H491" s="12" t="inlineStr">
        <is>
          <t>R3: ST auxiliary electrical e-house (40 x 65 ft)</t>
        </is>
      </c>
      <c r="I491" s="12" t="inlineStr">
        <is>
          <t>LV 600 V</t>
        </is>
      </c>
      <c r="J491" s="12" t="inlineStr">
        <is>
          <t>10</t>
        </is>
      </c>
      <c r="K491" s="12" t="n">
        <v>1</v>
      </c>
    </row>
    <row r="492">
      <c r="A492" s="12" t="inlineStr">
        <is>
          <t>T-R3: 13.8/0.48 kV</t>
        </is>
      </c>
      <c r="B492" s="12" t="inlineStr"/>
      <c r="C492" s="12" t="inlineStr">
        <is>
          <t>A</t>
        </is>
      </c>
      <c r="D492" s="12" t="inlineStr">
        <is>
          <t>Motor 4 of 6, 2 kW</t>
        </is>
      </c>
      <c r="E492" s="12" t="n">
        <v>480</v>
      </c>
      <c r="F492" s="12" t="n">
        <v>2</v>
      </c>
      <c r="G492" s="12" t="n">
        <v>2.8</v>
      </c>
      <c r="H492" s="12" t="inlineStr">
        <is>
          <t>R3: ST auxiliary electrical e-house (40 x 65 ft)</t>
        </is>
      </c>
      <c r="I492" s="12" t="inlineStr">
        <is>
          <t>LV 600 V</t>
        </is>
      </c>
      <c r="J492" s="12" t="inlineStr">
        <is>
          <t>10</t>
        </is>
      </c>
      <c r="K492" s="12" t="n">
        <v>1</v>
      </c>
    </row>
    <row r="493">
      <c r="A493" s="12" t="inlineStr">
        <is>
          <t>T-R3: 13.8/0.48 kV</t>
        </is>
      </c>
      <c r="B493" s="12" t="inlineStr"/>
      <c r="C493" s="12" t="inlineStr">
        <is>
          <t>A</t>
        </is>
      </c>
      <c r="D493" s="12" t="inlineStr">
        <is>
          <t>Motor 5 of 6, 2 kW</t>
        </is>
      </c>
      <c r="E493" s="12" t="n">
        <v>480</v>
      </c>
      <c r="F493" s="12" t="n">
        <v>2</v>
      </c>
      <c r="G493" s="12" t="n">
        <v>2.8</v>
      </c>
      <c r="H493" s="12" t="inlineStr">
        <is>
          <t>R3: ST auxiliary electrical e-house (40 x 65 ft)</t>
        </is>
      </c>
      <c r="I493" s="12" t="inlineStr">
        <is>
          <t>LV 600 V</t>
        </is>
      </c>
      <c r="J493" s="12" t="inlineStr">
        <is>
          <t>10</t>
        </is>
      </c>
      <c r="K493" s="12" t="n">
        <v>1</v>
      </c>
    </row>
    <row r="494">
      <c r="A494" s="12" t="inlineStr">
        <is>
          <t>T-R3: 13.8/0.48 kV</t>
        </is>
      </c>
      <c r="B494" s="12" t="inlineStr"/>
      <c r="C494" s="12" t="inlineStr">
        <is>
          <t>A</t>
        </is>
      </c>
      <c r="D494" s="12" t="inlineStr">
        <is>
          <t>Motor 6 of 6, 2 kW</t>
        </is>
      </c>
      <c r="E494" s="12" t="n">
        <v>480</v>
      </c>
      <c r="F494" s="12" t="n">
        <v>2</v>
      </c>
      <c r="G494" s="12" t="n">
        <v>2.8</v>
      </c>
      <c r="H494" s="12" t="inlineStr">
        <is>
          <t>R3: ST auxiliary electrical e-house (40 x 65 ft)</t>
        </is>
      </c>
      <c r="I494" s="12" t="inlineStr">
        <is>
          <t>LV 600 V</t>
        </is>
      </c>
      <c r="J494" s="12" t="inlineStr">
        <is>
          <t>10</t>
        </is>
      </c>
      <c r="K494" s="12" t="n">
        <v>1</v>
      </c>
    </row>
    <row r="495">
      <c r="A495" s="12" t="inlineStr">
        <is>
          <t>T4-A: 13.8/4.16 kV station transformer</t>
        </is>
      </c>
      <c r="B495" s="12" t="inlineStr">
        <is>
          <t>T4-A</t>
        </is>
      </c>
      <c r="C495" s="12" t="inlineStr">
        <is>
          <t>A</t>
        </is>
      </c>
      <c r="D495" s="12" t="inlineStr">
        <is>
          <t>Motor 1 of 6, 2 kW</t>
        </is>
      </c>
      <c r="E495" s="12" t="n">
        <v>480</v>
      </c>
      <c r="F495" s="12" t="n">
        <v>2</v>
      </c>
      <c r="G495" s="12" t="n">
        <v>2.8</v>
      </c>
      <c r="H495" s="12" t="inlineStr">
        <is>
          <t>R1 LC-480-B (480 V switchgear)</t>
        </is>
      </c>
      <c r="I495" s="12" t="inlineStr">
        <is>
          <t>LV 600 V</t>
        </is>
      </c>
      <c r="J495" s="12" t="inlineStr">
        <is>
          <t>10</t>
        </is>
      </c>
      <c r="K495" s="12" t="n">
        <v>1</v>
      </c>
    </row>
    <row r="496">
      <c r="A496" s="12" t="inlineStr">
        <is>
          <t>T4-A: 13.8/4.16 kV station transformer</t>
        </is>
      </c>
      <c r="B496" s="12" t="inlineStr">
        <is>
          <t>T4-A</t>
        </is>
      </c>
      <c r="C496" s="12" t="inlineStr">
        <is>
          <t>A</t>
        </is>
      </c>
      <c r="D496" s="12" t="inlineStr">
        <is>
          <t>Motor 2 of 6, 2 kW</t>
        </is>
      </c>
      <c r="E496" s="12" t="n">
        <v>480</v>
      </c>
      <c r="F496" s="12" t="n">
        <v>2</v>
      </c>
      <c r="G496" s="12" t="n">
        <v>2.8</v>
      </c>
      <c r="H496" s="12" t="inlineStr">
        <is>
          <t>R1 LC-480-B (480 V switchgear)</t>
        </is>
      </c>
      <c r="I496" s="12" t="inlineStr">
        <is>
          <t>LV 600 V</t>
        </is>
      </c>
      <c r="J496" s="12" t="inlineStr">
        <is>
          <t>10</t>
        </is>
      </c>
      <c r="K496" s="12" t="n">
        <v>1</v>
      </c>
    </row>
    <row r="497">
      <c r="A497" s="12" t="inlineStr">
        <is>
          <t>T4-A: 13.8/4.16 kV station transformer</t>
        </is>
      </c>
      <c r="B497" s="12" t="inlineStr">
        <is>
          <t>T4-A</t>
        </is>
      </c>
      <c r="C497" s="12" t="inlineStr">
        <is>
          <t>A</t>
        </is>
      </c>
      <c r="D497" s="12" t="inlineStr">
        <is>
          <t>Motor 3 of 6, 2 kW</t>
        </is>
      </c>
      <c r="E497" s="12" t="n">
        <v>480</v>
      </c>
      <c r="F497" s="12" t="n">
        <v>2</v>
      </c>
      <c r="G497" s="12" t="n">
        <v>2.8</v>
      </c>
      <c r="H497" s="12" t="inlineStr">
        <is>
          <t>R1 LC-480-B (480 V switchgear)</t>
        </is>
      </c>
      <c r="I497" s="12" t="inlineStr">
        <is>
          <t>LV 600 V</t>
        </is>
      </c>
      <c r="J497" s="12" t="inlineStr">
        <is>
          <t>10</t>
        </is>
      </c>
      <c r="K497" s="12" t="n">
        <v>1</v>
      </c>
    </row>
    <row r="498">
      <c r="A498" s="12" t="inlineStr">
        <is>
          <t>T4-A: 13.8/4.16 kV station transformer</t>
        </is>
      </c>
      <c r="B498" s="12" t="inlineStr">
        <is>
          <t>T4-A</t>
        </is>
      </c>
      <c r="C498" s="12" t="inlineStr">
        <is>
          <t>A</t>
        </is>
      </c>
      <c r="D498" s="12" t="inlineStr">
        <is>
          <t>Motor 4 of 6, 2 kW</t>
        </is>
      </c>
      <c r="E498" s="12" t="n">
        <v>480</v>
      </c>
      <c r="F498" s="12" t="n">
        <v>2</v>
      </c>
      <c r="G498" s="12" t="n">
        <v>2.8</v>
      </c>
      <c r="H498" s="12" t="inlineStr">
        <is>
          <t>R1 LC-480-B (480 V switchgear)</t>
        </is>
      </c>
      <c r="I498" s="12" t="inlineStr">
        <is>
          <t>LV 600 V</t>
        </is>
      </c>
      <c r="J498" s="12" t="inlineStr">
        <is>
          <t>10</t>
        </is>
      </c>
      <c r="K498" s="12" t="n">
        <v>1</v>
      </c>
    </row>
    <row r="499">
      <c r="A499" s="12" t="inlineStr">
        <is>
          <t>T4-A: 13.8/4.16 kV station transformer</t>
        </is>
      </c>
      <c r="B499" s="12" t="inlineStr">
        <is>
          <t>T4-A</t>
        </is>
      </c>
      <c r="C499" s="12" t="inlineStr">
        <is>
          <t>A</t>
        </is>
      </c>
      <c r="D499" s="12" t="inlineStr">
        <is>
          <t>Motor 5 of 6, 2 kW</t>
        </is>
      </c>
      <c r="E499" s="12" t="n">
        <v>480</v>
      </c>
      <c r="F499" s="12" t="n">
        <v>2</v>
      </c>
      <c r="G499" s="12" t="n">
        <v>2.8</v>
      </c>
      <c r="H499" s="12" t="inlineStr">
        <is>
          <t>R1 LC-480-B (480 V switchgear)</t>
        </is>
      </c>
      <c r="I499" s="12" t="inlineStr">
        <is>
          <t>LV 600 V</t>
        </is>
      </c>
      <c r="J499" s="12" t="inlineStr">
        <is>
          <t>10</t>
        </is>
      </c>
      <c r="K499" s="12" t="n">
        <v>1</v>
      </c>
    </row>
    <row r="500">
      <c r="A500" s="12" t="inlineStr">
        <is>
          <t>T4-A: 13.8/4.16 kV station transformer</t>
        </is>
      </c>
      <c r="B500" s="12" t="inlineStr">
        <is>
          <t>T4-A</t>
        </is>
      </c>
      <c r="C500" s="12" t="inlineStr">
        <is>
          <t>A</t>
        </is>
      </c>
      <c r="D500" s="12" t="inlineStr">
        <is>
          <t>Motor 6 of 6, 2 kW</t>
        </is>
      </c>
      <c r="E500" s="12" t="n">
        <v>480</v>
      </c>
      <c r="F500" s="12" t="n">
        <v>2</v>
      </c>
      <c r="G500" s="12" t="n">
        <v>2.8</v>
      </c>
      <c r="H500" s="12" t="inlineStr">
        <is>
          <t>R1 LC-480-B (480 V switchgear)</t>
        </is>
      </c>
      <c r="I500" s="12" t="inlineStr">
        <is>
          <t>LV 600 V</t>
        </is>
      </c>
      <c r="J500" s="12" t="inlineStr">
        <is>
          <t>10</t>
        </is>
      </c>
      <c r="K500" s="12" t="n">
        <v>1</v>
      </c>
    </row>
    <row r="501">
      <c r="A501" s="12" t="inlineStr">
        <is>
          <t>T4-B: 13.8/4.16 kV station transformer</t>
        </is>
      </c>
      <c r="B501" s="12" t="inlineStr">
        <is>
          <t>T4-B</t>
        </is>
      </c>
      <c r="C501" s="12" t="inlineStr">
        <is>
          <t>A</t>
        </is>
      </c>
      <c r="D501" s="12" t="inlineStr">
        <is>
          <t>Motor 1 of 6, 2 kW</t>
        </is>
      </c>
      <c r="E501" s="12" t="n">
        <v>480</v>
      </c>
      <c r="F501" s="12" t="n">
        <v>2</v>
      </c>
      <c r="G501" s="12" t="n">
        <v>2.8</v>
      </c>
      <c r="H501" s="12" t="inlineStr">
        <is>
          <t>R1 LC-480-B (480 V switchgear)</t>
        </is>
      </c>
      <c r="I501" s="12" t="inlineStr">
        <is>
          <t>LV 600 V</t>
        </is>
      </c>
      <c r="J501" s="12" t="inlineStr">
        <is>
          <t>10</t>
        </is>
      </c>
      <c r="K501" s="12" t="n">
        <v>1</v>
      </c>
    </row>
    <row r="502">
      <c r="A502" s="12" t="inlineStr">
        <is>
          <t>T4-B: 13.8/4.16 kV station transformer</t>
        </is>
      </c>
      <c r="B502" s="12" t="inlineStr">
        <is>
          <t>T4-B</t>
        </is>
      </c>
      <c r="C502" s="12" t="inlineStr">
        <is>
          <t>A</t>
        </is>
      </c>
      <c r="D502" s="12" t="inlineStr">
        <is>
          <t>Motor 2 of 6, 2 kW</t>
        </is>
      </c>
      <c r="E502" s="12" t="n">
        <v>480</v>
      </c>
      <c r="F502" s="12" t="n">
        <v>2</v>
      </c>
      <c r="G502" s="12" t="n">
        <v>2.8</v>
      </c>
      <c r="H502" s="12" t="inlineStr">
        <is>
          <t>R1 LC-480-B (480 V switchgear)</t>
        </is>
      </c>
      <c r="I502" s="12" t="inlineStr">
        <is>
          <t>LV 600 V</t>
        </is>
      </c>
      <c r="J502" s="12" t="inlineStr">
        <is>
          <t>10</t>
        </is>
      </c>
      <c r="K502" s="12" t="n">
        <v>1</v>
      </c>
    </row>
    <row r="503">
      <c r="A503" s="12" t="inlineStr">
        <is>
          <t>T4-B: 13.8/4.16 kV station transformer</t>
        </is>
      </c>
      <c r="B503" s="12" t="inlineStr">
        <is>
          <t>T4-B</t>
        </is>
      </c>
      <c r="C503" s="12" t="inlineStr">
        <is>
          <t>A</t>
        </is>
      </c>
      <c r="D503" s="12" t="inlineStr">
        <is>
          <t>Motor 3 of 6, 2 kW</t>
        </is>
      </c>
      <c r="E503" s="12" t="n">
        <v>480</v>
      </c>
      <c r="F503" s="12" t="n">
        <v>2</v>
      </c>
      <c r="G503" s="12" t="n">
        <v>2.8</v>
      </c>
      <c r="H503" s="12" t="inlineStr">
        <is>
          <t>R1 LC-480-B (480 V switchgear)</t>
        </is>
      </c>
      <c r="I503" s="12" t="inlineStr">
        <is>
          <t>LV 600 V</t>
        </is>
      </c>
      <c r="J503" s="12" t="inlineStr">
        <is>
          <t>10</t>
        </is>
      </c>
      <c r="K503" s="12" t="n">
        <v>1</v>
      </c>
    </row>
    <row r="504">
      <c r="A504" s="12" t="inlineStr">
        <is>
          <t>T4-B: 13.8/4.16 kV station transformer</t>
        </is>
      </c>
      <c r="B504" s="12" t="inlineStr">
        <is>
          <t>T4-B</t>
        </is>
      </c>
      <c r="C504" s="12" t="inlineStr">
        <is>
          <t>A</t>
        </is>
      </c>
      <c r="D504" s="12" t="inlineStr">
        <is>
          <t>Motor 4 of 6, 2 kW</t>
        </is>
      </c>
      <c r="E504" s="12" t="n">
        <v>480</v>
      </c>
      <c r="F504" s="12" t="n">
        <v>2</v>
      </c>
      <c r="G504" s="12" t="n">
        <v>2.8</v>
      </c>
      <c r="H504" s="12" t="inlineStr">
        <is>
          <t>R1 LC-480-B (480 V switchgear)</t>
        </is>
      </c>
      <c r="I504" s="12" t="inlineStr">
        <is>
          <t>LV 600 V</t>
        </is>
      </c>
      <c r="J504" s="12" t="inlineStr">
        <is>
          <t>10</t>
        </is>
      </c>
      <c r="K504" s="12" t="n">
        <v>1</v>
      </c>
    </row>
    <row r="505">
      <c r="A505" s="12" t="inlineStr">
        <is>
          <t>T4-B: 13.8/4.16 kV station transformer</t>
        </is>
      </c>
      <c r="B505" s="12" t="inlineStr">
        <is>
          <t>T4-B</t>
        </is>
      </c>
      <c r="C505" s="12" t="inlineStr">
        <is>
          <t>A</t>
        </is>
      </c>
      <c r="D505" s="12" t="inlineStr">
        <is>
          <t>Motor 5 of 6, 2 kW</t>
        </is>
      </c>
      <c r="E505" s="12" t="n">
        <v>480</v>
      </c>
      <c r="F505" s="12" t="n">
        <v>2</v>
      </c>
      <c r="G505" s="12" t="n">
        <v>2.8</v>
      </c>
      <c r="H505" s="12" t="inlineStr">
        <is>
          <t>R1 LC-480-B (480 V switchgear)</t>
        </is>
      </c>
      <c r="I505" s="12" t="inlineStr">
        <is>
          <t>LV 600 V</t>
        </is>
      </c>
      <c r="J505" s="12" t="inlineStr">
        <is>
          <t>10</t>
        </is>
      </c>
      <c r="K505" s="12" t="n">
        <v>1</v>
      </c>
    </row>
    <row r="506">
      <c r="A506" s="12" t="inlineStr">
        <is>
          <t>T4-B: 13.8/4.16 kV station transformer</t>
        </is>
      </c>
      <c r="B506" s="12" t="inlineStr">
        <is>
          <t>T4-B</t>
        </is>
      </c>
      <c r="C506" s="12" t="inlineStr">
        <is>
          <t>A</t>
        </is>
      </c>
      <c r="D506" s="12" t="inlineStr">
        <is>
          <t>Motor 6 of 6, 2 kW</t>
        </is>
      </c>
      <c r="E506" s="12" t="n">
        <v>480</v>
      </c>
      <c r="F506" s="12" t="n">
        <v>2</v>
      </c>
      <c r="G506" s="12" t="n">
        <v>2.8</v>
      </c>
      <c r="H506" s="12" t="inlineStr">
        <is>
          <t>R1 LC-480-B (480 V switchgear)</t>
        </is>
      </c>
      <c r="I506" s="12" t="inlineStr">
        <is>
          <t>LV 600 V</t>
        </is>
      </c>
      <c r="J506" s="12" t="inlineStr">
        <is>
          <t>10</t>
        </is>
      </c>
      <c r="K506" s="12" t="n">
        <v>1</v>
      </c>
    </row>
    <row r="507">
      <c r="A507" s="12" t="inlineStr">
        <is>
          <t>TCP-1: GT1 turbine control and protection cabinets</t>
        </is>
      </c>
      <c r="B507" s="12" t="inlineStr">
        <is>
          <t>TCP-1</t>
        </is>
      </c>
      <c r="C507" s="12" t="inlineStr">
        <is>
          <t>A</t>
        </is>
      </c>
      <c r="D507" s="12" t="inlineStr">
        <is>
          <t>LV power feeder</t>
        </is>
      </c>
      <c r="E507" s="12" t="n">
        <v>480</v>
      </c>
      <c r="F507" s="12" t="n">
        <v>15</v>
      </c>
      <c r="G507" s="12" t="n">
        <v>21.2</v>
      </c>
      <c r="H507" s="12" t="inlineStr">
        <is>
          <t>R1 MCC-GT1</t>
        </is>
      </c>
      <c r="I507" s="12" t="inlineStr">
        <is>
          <t>LV 600 V</t>
        </is>
      </c>
      <c r="J507" s="12" t="inlineStr">
        <is>
          <t>8</t>
        </is>
      </c>
      <c r="K507" s="12" t="n">
        <v>1</v>
      </c>
    </row>
    <row r="508">
      <c r="A508" s="12" t="inlineStr">
        <is>
          <t>TCP-2: GT2 turbine control and protection cabinets</t>
        </is>
      </c>
      <c r="B508" s="12" t="inlineStr">
        <is>
          <t>TCP-2</t>
        </is>
      </c>
      <c r="C508" s="12" t="inlineStr">
        <is>
          <t>A</t>
        </is>
      </c>
      <c r="D508" s="12" t="inlineStr">
        <is>
          <t>LV power feeder</t>
        </is>
      </c>
      <c r="E508" s="12" t="n">
        <v>480</v>
      </c>
      <c r="F508" s="12" t="n">
        <v>15</v>
      </c>
      <c r="G508" s="12" t="n">
        <v>21.2</v>
      </c>
      <c r="H508" s="12" t="inlineStr">
        <is>
          <t>R1 MCC-GT2</t>
        </is>
      </c>
      <c r="I508" s="12" t="inlineStr">
        <is>
          <t>LV 600 V</t>
        </is>
      </c>
      <c r="J508" s="12" t="inlineStr">
        <is>
          <t>6</t>
        </is>
      </c>
      <c r="K508" s="12" t="n">
        <v>1</v>
      </c>
    </row>
    <row r="509">
      <c r="A509" s="12" t="inlineStr">
        <is>
          <t>TCP-3: GT3 turbine control and protection cabinets</t>
        </is>
      </c>
      <c r="B509" s="12" t="inlineStr">
        <is>
          <t>TCP-3</t>
        </is>
      </c>
      <c r="C509" s="12" t="inlineStr">
        <is>
          <t>A</t>
        </is>
      </c>
      <c r="D509" s="12" t="inlineStr">
        <is>
          <t>LV power feeder</t>
        </is>
      </c>
      <c r="E509" s="12" t="n">
        <v>480</v>
      </c>
      <c r="F509" s="12" t="n">
        <v>15</v>
      </c>
      <c r="G509" s="12" t="n">
        <v>21.2</v>
      </c>
      <c r="H509" s="12" t="inlineStr">
        <is>
          <t>R1 MCC-GT3</t>
        </is>
      </c>
      <c r="I509" s="12" t="inlineStr">
        <is>
          <t>LV 600 V</t>
        </is>
      </c>
      <c r="J509" s="12" t="inlineStr">
        <is>
          <t>4</t>
        </is>
      </c>
      <c r="K509" s="12" t="n">
        <v>1</v>
      </c>
    </row>
    <row r="510">
      <c r="A510" s="12" t="inlineStr">
        <is>
          <t>TCP-ST: ST turbine control and protection cabinets</t>
        </is>
      </c>
      <c r="B510" s="12" t="inlineStr">
        <is>
          <t>TCP-ST</t>
        </is>
      </c>
      <c r="C510" s="12" t="inlineStr">
        <is>
          <t>A</t>
        </is>
      </c>
      <c r="D510" s="12" t="inlineStr">
        <is>
          <t>LV power feeder</t>
        </is>
      </c>
      <c r="E510" s="12" t="n">
        <v>480</v>
      </c>
      <c r="F510" s="12" t="n">
        <v>15</v>
      </c>
      <c r="G510" s="12" t="n">
        <v>21.2</v>
      </c>
      <c r="H510" s="12" t="inlineStr">
        <is>
          <t>R3: ST auxiliary electrical e-house (40 x 65 ft)</t>
        </is>
      </c>
      <c r="I510" s="12" t="inlineStr">
        <is>
          <t>LV 600 V</t>
        </is>
      </c>
      <c r="J510" s="12" t="inlineStr">
        <is>
          <t>6</t>
        </is>
      </c>
      <c r="K510" s="12" t="n">
        <v>1</v>
      </c>
    </row>
    <row r="511">
      <c r="A511" s="12" t="inlineStr">
        <is>
          <t>Turbine hall exterior electrical: MC-cable risers, roof exhausters, wa</t>
        </is>
      </c>
      <c r="B511" s="12" t="inlineStr"/>
      <c r="C511" s="12" t="inlineStr">
        <is>
          <t>A</t>
        </is>
      </c>
      <c r="D511" s="12" t="inlineStr">
        <is>
          <t>Turbine hall roof exhausters / louvres / exterior lighting panel</t>
        </is>
      </c>
      <c r="E511" s="12" t="n">
        <v>480</v>
      </c>
      <c r="F511" s="12" t="n">
        <v>120</v>
      </c>
      <c r="G511" s="12" t="n">
        <v>151.9</v>
      </c>
      <c r="H511" s="12" t="inlineStr">
        <is>
          <t>R1 LC-480-A (480 V switchgear)</t>
        </is>
      </c>
      <c r="I511" s="12" t="inlineStr">
        <is>
          <t>LV 600 V</t>
        </is>
      </c>
      <c r="J511" s="12" t="inlineStr">
        <is>
          <t>3/0</t>
        </is>
      </c>
      <c r="K511" s="12" t="n">
        <v>1</v>
      </c>
    </row>
    <row r="512">
      <c r="A512" s="12" t="inlineStr">
        <is>
          <t>UAT-1: 21/13.8 kV unit auxiliary transformer</t>
        </is>
      </c>
      <c r="B512" s="12" t="inlineStr">
        <is>
          <t>UAT-1</t>
        </is>
      </c>
      <c r="C512" s="12" t="inlineStr">
        <is>
          <t>A</t>
        </is>
      </c>
      <c r="D512" s="12" t="inlineStr">
        <is>
          <t>Motor 1 of 6, 2 kW</t>
        </is>
      </c>
      <c r="E512" s="12" t="n">
        <v>480</v>
      </c>
      <c r="F512" s="12" t="n">
        <v>2</v>
      </c>
      <c r="G512" s="12" t="n">
        <v>2.8</v>
      </c>
      <c r="H512" s="12" t="inlineStr">
        <is>
          <t>R2A: unit / HRSG electrical e-house (32 x 40 ft)</t>
        </is>
      </c>
      <c r="I512" s="12" t="inlineStr">
        <is>
          <t>LV 600 V</t>
        </is>
      </c>
      <c r="J512" s="12" t="inlineStr">
        <is>
          <t>10</t>
        </is>
      </c>
      <c r="K512" s="12" t="n">
        <v>1</v>
      </c>
    </row>
    <row r="513">
      <c r="A513" s="12" t="inlineStr">
        <is>
          <t>UAT-1: 21/13.8 kV unit auxiliary transformer</t>
        </is>
      </c>
      <c r="B513" s="12" t="inlineStr">
        <is>
          <t>UAT-1</t>
        </is>
      </c>
      <c r="C513" s="12" t="inlineStr">
        <is>
          <t>A</t>
        </is>
      </c>
      <c r="D513" s="12" t="inlineStr">
        <is>
          <t>Motor 2 of 6, 2 kW</t>
        </is>
      </c>
      <c r="E513" s="12" t="n">
        <v>480</v>
      </c>
      <c r="F513" s="12" t="n">
        <v>2</v>
      </c>
      <c r="G513" s="12" t="n">
        <v>2.8</v>
      </c>
      <c r="H513" s="12" t="inlineStr">
        <is>
          <t>R2A: unit / HRSG electrical e-house (32 x 40 ft)</t>
        </is>
      </c>
      <c r="I513" s="12" t="inlineStr">
        <is>
          <t>LV 600 V</t>
        </is>
      </c>
      <c r="J513" s="12" t="inlineStr">
        <is>
          <t>10</t>
        </is>
      </c>
      <c r="K513" s="12" t="n">
        <v>1</v>
      </c>
    </row>
    <row r="514">
      <c r="A514" s="12" t="inlineStr">
        <is>
          <t>UAT-1: 21/13.8 kV unit auxiliary transformer</t>
        </is>
      </c>
      <c r="B514" s="12" t="inlineStr">
        <is>
          <t>UAT-1</t>
        </is>
      </c>
      <c r="C514" s="12" t="inlineStr">
        <is>
          <t>A</t>
        </is>
      </c>
      <c r="D514" s="12" t="inlineStr">
        <is>
          <t>Motor 3 of 6, 2 kW</t>
        </is>
      </c>
      <c r="E514" s="12" t="n">
        <v>480</v>
      </c>
      <c r="F514" s="12" t="n">
        <v>2</v>
      </c>
      <c r="G514" s="12" t="n">
        <v>2.8</v>
      </c>
      <c r="H514" s="12" t="inlineStr">
        <is>
          <t>R2A: unit / HRSG electrical e-house (32 x 40 ft)</t>
        </is>
      </c>
      <c r="I514" s="12" t="inlineStr">
        <is>
          <t>LV 600 V</t>
        </is>
      </c>
      <c r="J514" s="12" t="inlineStr">
        <is>
          <t>10</t>
        </is>
      </c>
      <c r="K514" s="12" t="n">
        <v>1</v>
      </c>
    </row>
    <row r="515">
      <c r="A515" s="12" t="inlineStr">
        <is>
          <t>UAT-1: 21/13.8 kV unit auxiliary transformer</t>
        </is>
      </c>
      <c r="B515" s="12" t="inlineStr">
        <is>
          <t>UAT-1</t>
        </is>
      </c>
      <c r="C515" s="12" t="inlineStr">
        <is>
          <t>A</t>
        </is>
      </c>
      <c r="D515" s="12" t="inlineStr">
        <is>
          <t>Motor 4 of 6, 2 kW</t>
        </is>
      </c>
      <c r="E515" s="12" t="n">
        <v>480</v>
      </c>
      <c r="F515" s="12" t="n">
        <v>2</v>
      </c>
      <c r="G515" s="12" t="n">
        <v>2.8</v>
      </c>
      <c r="H515" s="12" t="inlineStr">
        <is>
          <t>R2A: unit / HRSG electrical e-house (32 x 40 ft)</t>
        </is>
      </c>
      <c r="I515" s="12" t="inlineStr">
        <is>
          <t>LV 600 V</t>
        </is>
      </c>
      <c r="J515" s="12" t="inlineStr">
        <is>
          <t>10</t>
        </is>
      </c>
      <c r="K515" s="12" t="n">
        <v>1</v>
      </c>
    </row>
    <row r="516">
      <c r="A516" s="12" t="inlineStr">
        <is>
          <t>UAT-1: 21/13.8 kV unit auxiliary transformer</t>
        </is>
      </c>
      <c r="B516" s="12" t="inlineStr">
        <is>
          <t>UAT-1</t>
        </is>
      </c>
      <c r="C516" s="12" t="inlineStr">
        <is>
          <t>A</t>
        </is>
      </c>
      <c r="D516" s="12" t="inlineStr">
        <is>
          <t>Motor 5 of 6, 2 kW</t>
        </is>
      </c>
      <c r="E516" s="12" t="n">
        <v>480</v>
      </c>
      <c r="F516" s="12" t="n">
        <v>2</v>
      </c>
      <c r="G516" s="12" t="n">
        <v>2.8</v>
      </c>
      <c r="H516" s="12" t="inlineStr">
        <is>
          <t>R2A: unit / HRSG electrical e-house (32 x 40 ft)</t>
        </is>
      </c>
      <c r="I516" s="12" t="inlineStr">
        <is>
          <t>LV 600 V</t>
        </is>
      </c>
      <c r="J516" s="12" t="inlineStr">
        <is>
          <t>10</t>
        </is>
      </c>
      <c r="K516" s="12" t="n">
        <v>1</v>
      </c>
    </row>
    <row r="517">
      <c r="A517" s="12" t="inlineStr">
        <is>
          <t>UAT-1: 21/13.8 kV unit auxiliary transformer</t>
        </is>
      </c>
      <c r="B517" s="12" t="inlineStr">
        <is>
          <t>UAT-1</t>
        </is>
      </c>
      <c r="C517" s="12" t="inlineStr">
        <is>
          <t>A</t>
        </is>
      </c>
      <c r="D517" s="12" t="inlineStr">
        <is>
          <t>Motor 6 of 6, 2 kW</t>
        </is>
      </c>
      <c r="E517" s="12" t="n">
        <v>480</v>
      </c>
      <c r="F517" s="12" t="n">
        <v>2</v>
      </c>
      <c r="G517" s="12" t="n">
        <v>2.8</v>
      </c>
      <c r="H517" s="12" t="inlineStr">
        <is>
          <t>R2A: unit / HRSG electrical e-house (32 x 40 ft)</t>
        </is>
      </c>
      <c r="I517" s="12" t="inlineStr">
        <is>
          <t>LV 600 V</t>
        </is>
      </c>
      <c r="J517" s="12" t="inlineStr">
        <is>
          <t>10</t>
        </is>
      </c>
      <c r="K517" s="12" t="n">
        <v>1</v>
      </c>
    </row>
    <row r="518">
      <c r="A518" s="12" t="inlineStr">
        <is>
          <t>UAT-2: 21/13.8 kV unit auxiliary transformer</t>
        </is>
      </c>
      <c r="B518" s="12" t="inlineStr">
        <is>
          <t>UAT-2</t>
        </is>
      </c>
      <c r="C518" s="12" t="inlineStr">
        <is>
          <t>A</t>
        </is>
      </c>
      <c r="D518" s="12" t="inlineStr">
        <is>
          <t>Motor 1 of 6, 2 kW</t>
        </is>
      </c>
      <c r="E518" s="12" t="n">
        <v>480</v>
      </c>
      <c r="F518" s="12" t="n">
        <v>2</v>
      </c>
      <c r="G518" s="12" t="n">
        <v>2.8</v>
      </c>
      <c r="H518" s="12" t="inlineStr">
        <is>
          <t>R2B: unit / HRSG electrical e-house (32 x 40 ft)</t>
        </is>
      </c>
      <c r="I518" s="12" t="inlineStr">
        <is>
          <t>LV 600 V</t>
        </is>
      </c>
      <c r="J518" s="12" t="inlineStr">
        <is>
          <t>10</t>
        </is>
      </c>
      <c r="K518" s="12" t="n">
        <v>1</v>
      </c>
    </row>
    <row r="519">
      <c r="A519" s="12" t="inlineStr">
        <is>
          <t>UAT-2: 21/13.8 kV unit auxiliary transformer</t>
        </is>
      </c>
      <c r="B519" s="12" t="inlineStr">
        <is>
          <t>UAT-2</t>
        </is>
      </c>
      <c r="C519" s="12" t="inlineStr">
        <is>
          <t>A</t>
        </is>
      </c>
      <c r="D519" s="12" t="inlineStr">
        <is>
          <t>Motor 2 of 6, 2 kW</t>
        </is>
      </c>
      <c r="E519" s="12" t="n">
        <v>480</v>
      </c>
      <c r="F519" s="12" t="n">
        <v>2</v>
      </c>
      <c r="G519" s="12" t="n">
        <v>2.8</v>
      </c>
      <c r="H519" s="12" t="inlineStr">
        <is>
          <t>R2B: unit / HRSG electrical e-house (32 x 40 ft)</t>
        </is>
      </c>
      <c r="I519" s="12" t="inlineStr">
        <is>
          <t>LV 600 V</t>
        </is>
      </c>
      <c r="J519" s="12" t="inlineStr">
        <is>
          <t>10</t>
        </is>
      </c>
      <c r="K519" s="12" t="n">
        <v>1</v>
      </c>
    </row>
    <row r="520">
      <c r="A520" s="12" t="inlineStr">
        <is>
          <t>UAT-2: 21/13.8 kV unit auxiliary transformer</t>
        </is>
      </c>
      <c r="B520" s="12" t="inlineStr">
        <is>
          <t>UAT-2</t>
        </is>
      </c>
      <c r="C520" s="12" t="inlineStr">
        <is>
          <t>A</t>
        </is>
      </c>
      <c r="D520" s="12" t="inlineStr">
        <is>
          <t>Motor 3 of 6, 2 kW</t>
        </is>
      </c>
      <c r="E520" s="12" t="n">
        <v>480</v>
      </c>
      <c r="F520" s="12" t="n">
        <v>2</v>
      </c>
      <c r="G520" s="12" t="n">
        <v>2.8</v>
      </c>
      <c r="H520" s="12" t="inlineStr">
        <is>
          <t>R2B: unit / HRSG electrical e-house (32 x 40 ft)</t>
        </is>
      </c>
      <c r="I520" s="12" t="inlineStr">
        <is>
          <t>LV 600 V</t>
        </is>
      </c>
      <c r="J520" s="12" t="inlineStr">
        <is>
          <t>10</t>
        </is>
      </c>
      <c r="K520" s="12" t="n">
        <v>1</v>
      </c>
    </row>
    <row r="521">
      <c r="A521" s="12" t="inlineStr">
        <is>
          <t>UAT-2: 21/13.8 kV unit auxiliary transformer</t>
        </is>
      </c>
      <c r="B521" s="12" t="inlineStr">
        <is>
          <t>UAT-2</t>
        </is>
      </c>
      <c r="C521" s="12" t="inlineStr">
        <is>
          <t>A</t>
        </is>
      </c>
      <c r="D521" s="12" t="inlineStr">
        <is>
          <t>Motor 4 of 6, 2 kW</t>
        </is>
      </c>
      <c r="E521" s="12" t="n">
        <v>480</v>
      </c>
      <c r="F521" s="12" t="n">
        <v>2</v>
      </c>
      <c r="G521" s="12" t="n">
        <v>2.8</v>
      </c>
      <c r="H521" s="12" t="inlineStr">
        <is>
          <t>R2B: unit / HRSG electrical e-house (32 x 40 ft)</t>
        </is>
      </c>
      <c r="I521" s="12" t="inlineStr">
        <is>
          <t>LV 600 V</t>
        </is>
      </c>
      <c r="J521" s="12" t="inlineStr">
        <is>
          <t>10</t>
        </is>
      </c>
      <c r="K521" s="12" t="n">
        <v>1</v>
      </c>
    </row>
    <row r="522">
      <c r="A522" s="12" t="inlineStr">
        <is>
          <t>UAT-2: 21/13.8 kV unit auxiliary transformer</t>
        </is>
      </c>
      <c r="B522" s="12" t="inlineStr">
        <is>
          <t>UAT-2</t>
        </is>
      </c>
      <c r="C522" s="12" t="inlineStr">
        <is>
          <t>A</t>
        </is>
      </c>
      <c r="D522" s="12" t="inlineStr">
        <is>
          <t>Motor 5 of 6, 2 kW</t>
        </is>
      </c>
      <c r="E522" s="12" t="n">
        <v>480</v>
      </c>
      <c r="F522" s="12" t="n">
        <v>2</v>
      </c>
      <c r="G522" s="12" t="n">
        <v>2.8</v>
      </c>
      <c r="H522" s="12" t="inlineStr">
        <is>
          <t>R2B: unit / HRSG electrical e-house (32 x 40 ft)</t>
        </is>
      </c>
      <c r="I522" s="12" t="inlineStr">
        <is>
          <t>LV 600 V</t>
        </is>
      </c>
      <c r="J522" s="12" t="inlineStr">
        <is>
          <t>10</t>
        </is>
      </c>
      <c r="K522" s="12" t="n">
        <v>1</v>
      </c>
    </row>
    <row r="523">
      <c r="A523" s="12" t="inlineStr">
        <is>
          <t>UAT-2: 21/13.8 kV unit auxiliary transformer</t>
        </is>
      </c>
      <c r="B523" s="12" t="inlineStr">
        <is>
          <t>UAT-2</t>
        </is>
      </c>
      <c r="C523" s="12" t="inlineStr">
        <is>
          <t>A</t>
        </is>
      </c>
      <c r="D523" s="12" t="inlineStr">
        <is>
          <t>Motor 6 of 6, 2 kW</t>
        </is>
      </c>
      <c r="E523" s="12" t="n">
        <v>480</v>
      </c>
      <c r="F523" s="12" t="n">
        <v>2</v>
      </c>
      <c r="G523" s="12" t="n">
        <v>2.8</v>
      </c>
      <c r="H523" s="12" t="inlineStr">
        <is>
          <t>R2B: unit / HRSG electrical e-house (32 x 40 ft)</t>
        </is>
      </c>
      <c r="I523" s="12" t="inlineStr">
        <is>
          <t>LV 600 V</t>
        </is>
      </c>
      <c r="J523" s="12" t="inlineStr">
        <is>
          <t>10</t>
        </is>
      </c>
      <c r="K523" s="12" t="n">
        <v>1</v>
      </c>
    </row>
    <row r="524">
      <c r="A524" s="12" t="inlineStr">
        <is>
          <t>UAT-3: 21/13.8 kV unit auxiliary transformer</t>
        </is>
      </c>
      <c r="B524" s="12" t="inlineStr">
        <is>
          <t>UAT-3</t>
        </is>
      </c>
      <c r="C524" s="12" t="inlineStr">
        <is>
          <t>A</t>
        </is>
      </c>
      <c r="D524" s="12" t="inlineStr">
        <is>
          <t>Motor 1 of 6, 2 kW</t>
        </is>
      </c>
      <c r="E524" s="12" t="n">
        <v>480</v>
      </c>
      <c r="F524" s="12" t="n">
        <v>2</v>
      </c>
      <c r="G524" s="12" t="n">
        <v>2.8</v>
      </c>
      <c r="H524" s="12" t="inlineStr">
        <is>
          <t>R2C: unit / HRSG electrical e-house (32 x 40 ft)</t>
        </is>
      </c>
      <c r="I524" s="12" t="inlineStr">
        <is>
          <t>LV 600 V</t>
        </is>
      </c>
      <c r="J524" s="12" t="inlineStr">
        <is>
          <t>10</t>
        </is>
      </c>
      <c r="K524" s="12" t="n">
        <v>1</v>
      </c>
    </row>
    <row r="525">
      <c r="A525" s="12" t="inlineStr">
        <is>
          <t>UAT-3: 21/13.8 kV unit auxiliary transformer</t>
        </is>
      </c>
      <c r="B525" s="12" t="inlineStr">
        <is>
          <t>UAT-3</t>
        </is>
      </c>
      <c r="C525" s="12" t="inlineStr">
        <is>
          <t>A</t>
        </is>
      </c>
      <c r="D525" s="12" t="inlineStr">
        <is>
          <t>Motor 2 of 6, 2 kW</t>
        </is>
      </c>
      <c r="E525" s="12" t="n">
        <v>480</v>
      </c>
      <c r="F525" s="12" t="n">
        <v>2</v>
      </c>
      <c r="G525" s="12" t="n">
        <v>2.8</v>
      </c>
      <c r="H525" s="12" t="inlineStr">
        <is>
          <t>R2C: unit / HRSG electrical e-house (32 x 40 ft)</t>
        </is>
      </c>
      <c r="I525" s="12" t="inlineStr">
        <is>
          <t>LV 600 V</t>
        </is>
      </c>
      <c r="J525" s="12" t="inlineStr">
        <is>
          <t>10</t>
        </is>
      </c>
      <c r="K525" s="12" t="n">
        <v>1</v>
      </c>
    </row>
    <row r="526">
      <c r="A526" s="12" t="inlineStr">
        <is>
          <t>UAT-3: 21/13.8 kV unit auxiliary transformer</t>
        </is>
      </c>
      <c r="B526" s="12" t="inlineStr">
        <is>
          <t>UAT-3</t>
        </is>
      </c>
      <c r="C526" s="12" t="inlineStr">
        <is>
          <t>A</t>
        </is>
      </c>
      <c r="D526" s="12" t="inlineStr">
        <is>
          <t>Motor 3 of 6, 2 kW</t>
        </is>
      </c>
      <c r="E526" s="12" t="n">
        <v>480</v>
      </c>
      <c r="F526" s="12" t="n">
        <v>2</v>
      </c>
      <c r="G526" s="12" t="n">
        <v>2.8</v>
      </c>
      <c r="H526" s="12" t="inlineStr">
        <is>
          <t>R2C: unit / HRSG electrical e-house (32 x 40 ft)</t>
        </is>
      </c>
      <c r="I526" s="12" t="inlineStr">
        <is>
          <t>LV 600 V</t>
        </is>
      </c>
      <c r="J526" s="12" t="inlineStr">
        <is>
          <t>10</t>
        </is>
      </c>
      <c r="K526" s="12" t="n">
        <v>1</v>
      </c>
    </row>
    <row r="527">
      <c r="A527" s="12" t="inlineStr">
        <is>
          <t>UAT-3: 21/13.8 kV unit auxiliary transformer</t>
        </is>
      </c>
      <c r="B527" s="12" t="inlineStr">
        <is>
          <t>UAT-3</t>
        </is>
      </c>
      <c r="C527" s="12" t="inlineStr">
        <is>
          <t>A</t>
        </is>
      </c>
      <c r="D527" s="12" t="inlineStr">
        <is>
          <t>Motor 4 of 6, 2 kW</t>
        </is>
      </c>
      <c r="E527" s="12" t="n">
        <v>480</v>
      </c>
      <c r="F527" s="12" t="n">
        <v>2</v>
      </c>
      <c r="G527" s="12" t="n">
        <v>2.8</v>
      </c>
      <c r="H527" s="12" t="inlineStr">
        <is>
          <t>R2C: unit / HRSG electrical e-house (32 x 40 ft)</t>
        </is>
      </c>
      <c r="I527" s="12" t="inlineStr">
        <is>
          <t>LV 600 V</t>
        </is>
      </c>
      <c r="J527" s="12" t="inlineStr">
        <is>
          <t>10</t>
        </is>
      </c>
      <c r="K527" s="12" t="n">
        <v>1</v>
      </c>
    </row>
    <row r="528">
      <c r="A528" s="12" t="inlineStr">
        <is>
          <t>UAT-3: 21/13.8 kV unit auxiliary transformer</t>
        </is>
      </c>
      <c r="B528" s="12" t="inlineStr">
        <is>
          <t>UAT-3</t>
        </is>
      </c>
      <c r="C528" s="12" t="inlineStr">
        <is>
          <t>A</t>
        </is>
      </c>
      <c r="D528" s="12" t="inlineStr">
        <is>
          <t>Motor 5 of 6, 2 kW</t>
        </is>
      </c>
      <c r="E528" s="12" t="n">
        <v>480</v>
      </c>
      <c r="F528" s="12" t="n">
        <v>2</v>
      </c>
      <c r="G528" s="12" t="n">
        <v>2.8</v>
      </c>
      <c r="H528" s="12" t="inlineStr">
        <is>
          <t>R2C: unit / HRSG electrical e-house (32 x 40 ft)</t>
        </is>
      </c>
      <c r="I528" s="12" t="inlineStr">
        <is>
          <t>LV 600 V</t>
        </is>
      </c>
      <c r="J528" s="12" t="inlineStr">
        <is>
          <t>10</t>
        </is>
      </c>
      <c r="K528" s="12" t="n">
        <v>1</v>
      </c>
    </row>
    <row r="529">
      <c r="A529" s="12" t="inlineStr">
        <is>
          <t>UAT-3: 21/13.8 kV unit auxiliary transformer</t>
        </is>
      </c>
      <c r="B529" s="12" t="inlineStr">
        <is>
          <t>UAT-3</t>
        </is>
      </c>
      <c r="C529" s="12" t="inlineStr">
        <is>
          <t>A</t>
        </is>
      </c>
      <c r="D529" s="12" t="inlineStr">
        <is>
          <t>Motor 6 of 6, 2 kW</t>
        </is>
      </c>
      <c r="E529" s="12" t="n">
        <v>480</v>
      </c>
      <c r="F529" s="12" t="n">
        <v>2</v>
      </c>
      <c r="G529" s="12" t="n">
        <v>2.8</v>
      </c>
      <c r="H529" s="12" t="inlineStr">
        <is>
          <t>R2C: unit / HRSG electrical e-house (32 x 40 ft)</t>
        </is>
      </c>
      <c r="I529" s="12" t="inlineStr">
        <is>
          <t>LV 600 V</t>
        </is>
      </c>
      <c r="J529" s="12" t="inlineStr">
        <is>
          <t>10</t>
        </is>
      </c>
      <c r="K529" s="12" t="n">
        <v>1</v>
      </c>
    </row>
    <row r="530">
      <c r="A530" s="12" t="inlineStr">
        <is>
          <t>WASH-GT1: compressor water-wash skid</t>
        </is>
      </c>
      <c r="B530" s="12" t="inlineStr">
        <is>
          <t>WASH-GT1</t>
        </is>
      </c>
      <c r="C530" s="12" t="inlineStr">
        <is>
          <t>A</t>
        </is>
      </c>
      <c r="D530" s="12" t="inlineStr">
        <is>
          <t>Motor 1 of 2, 22 kW</t>
        </is>
      </c>
      <c r="E530" s="12" t="n">
        <v>480</v>
      </c>
      <c r="F530" s="12" t="n">
        <v>22</v>
      </c>
      <c r="G530" s="12" t="n">
        <v>31.1</v>
      </c>
      <c r="H530" s="12" t="inlineStr">
        <is>
          <t>R1 MCC-GT1</t>
        </is>
      </c>
      <c r="I530" s="12" t="inlineStr">
        <is>
          <t>LV 600 V</t>
        </is>
      </c>
      <c r="J530" s="12" t="inlineStr">
        <is>
          <t>6</t>
        </is>
      </c>
      <c r="K530" s="12" t="n">
        <v>1</v>
      </c>
    </row>
    <row r="531">
      <c r="A531" s="12" t="inlineStr">
        <is>
          <t>WASH-GT1: compressor water-wash skid</t>
        </is>
      </c>
      <c r="B531" s="12" t="inlineStr">
        <is>
          <t>WASH-GT1</t>
        </is>
      </c>
      <c r="C531" s="12" t="inlineStr">
        <is>
          <t>A</t>
        </is>
      </c>
      <c r="D531" s="12" t="inlineStr">
        <is>
          <t>Motor 2 of 2, 22 kW</t>
        </is>
      </c>
      <c r="E531" s="12" t="n">
        <v>480</v>
      </c>
      <c r="F531" s="12" t="n">
        <v>22</v>
      </c>
      <c r="G531" s="12" t="n">
        <v>31.1</v>
      </c>
      <c r="H531" s="12" t="inlineStr">
        <is>
          <t>R1 MCC-GT1</t>
        </is>
      </c>
      <c r="I531" s="12" t="inlineStr">
        <is>
          <t>LV 600 V</t>
        </is>
      </c>
      <c r="J531" s="12" t="inlineStr">
        <is>
          <t>6</t>
        </is>
      </c>
      <c r="K531" s="12" t="n">
        <v>1</v>
      </c>
    </row>
    <row r="532">
      <c r="A532" s="12" t="inlineStr">
        <is>
          <t>WASH-GT2: compressor water-wash skid</t>
        </is>
      </c>
      <c r="B532" s="12" t="inlineStr">
        <is>
          <t>WASH-GT2</t>
        </is>
      </c>
      <c r="C532" s="12" t="inlineStr">
        <is>
          <t>A</t>
        </is>
      </c>
      <c r="D532" s="12" t="inlineStr">
        <is>
          <t>Motor 1 of 2, 22 kW</t>
        </is>
      </c>
      <c r="E532" s="12" t="n">
        <v>480</v>
      </c>
      <c r="F532" s="12" t="n">
        <v>22</v>
      </c>
      <c r="G532" s="12" t="n">
        <v>31.1</v>
      </c>
      <c r="H532" s="12" t="inlineStr">
        <is>
          <t>R1 MCC-GT2</t>
        </is>
      </c>
      <c r="I532" s="12" t="inlineStr">
        <is>
          <t>LV 600 V</t>
        </is>
      </c>
      <c r="J532" s="12" t="inlineStr">
        <is>
          <t>4</t>
        </is>
      </c>
      <c r="K532" s="12" t="n">
        <v>1</v>
      </c>
    </row>
    <row r="533">
      <c r="A533" s="12" t="inlineStr">
        <is>
          <t>WASH-GT2: compressor water-wash skid</t>
        </is>
      </c>
      <c r="B533" s="12" t="inlineStr">
        <is>
          <t>WASH-GT2</t>
        </is>
      </c>
      <c r="C533" s="12" t="inlineStr">
        <is>
          <t>A</t>
        </is>
      </c>
      <c r="D533" s="12" t="inlineStr">
        <is>
          <t>Motor 2 of 2, 22 kW</t>
        </is>
      </c>
      <c r="E533" s="12" t="n">
        <v>480</v>
      </c>
      <c r="F533" s="12" t="n">
        <v>22</v>
      </c>
      <c r="G533" s="12" t="n">
        <v>31.1</v>
      </c>
      <c r="H533" s="12" t="inlineStr">
        <is>
          <t>R1 MCC-GT2</t>
        </is>
      </c>
      <c r="I533" s="12" t="inlineStr">
        <is>
          <t>LV 600 V</t>
        </is>
      </c>
      <c r="J533" s="12" t="inlineStr">
        <is>
          <t>4</t>
        </is>
      </c>
      <c r="K533" s="12" t="n">
        <v>1</v>
      </c>
    </row>
    <row r="534">
      <c r="A534" s="12" t="inlineStr">
        <is>
          <t>WASH-GT3: compressor water-wash skid</t>
        </is>
      </c>
      <c r="B534" s="12" t="inlineStr">
        <is>
          <t>WASH-GT3</t>
        </is>
      </c>
      <c r="C534" s="12" t="inlineStr">
        <is>
          <t>A</t>
        </is>
      </c>
      <c r="D534" s="12" t="inlineStr">
        <is>
          <t>Motor 1 of 2, 22 kW</t>
        </is>
      </c>
      <c r="E534" s="12" t="n">
        <v>480</v>
      </c>
      <c r="F534" s="12" t="n">
        <v>22</v>
      </c>
      <c r="G534" s="12" t="n">
        <v>31.1</v>
      </c>
      <c r="H534" s="12" t="inlineStr">
        <is>
          <t>R1 MCC-GT3</t>
        </is>
      </c>
      <c r="I534" s="12" t="inlineStr">
        <is>
          <t>LV 600 V</t>
        </is>
      </c>
      <c r="J534" s="12" t="inlineStr">
        <is>
          <t>4</t>
        </is>
      </c>
      <c r="K534" s="12" t="n">
        <v>1</v>
      </c>
    </row>
    <row r="535">
      <c r="A535" s="12" t="inlineStr">
        <is>
          <t>WASH-GT3: compressor water-wash skid</t>
        </is>
      </c>
      <c r="B535" s="12" t="inlineStr">
        <is>
          <t>WASH-GT3</t>
        </is>
      </c>
      <c r="C535" s="12" t="inlineStr">
        <is>
          <t>A</t>
        </is>
      </c>
      <c r="D535" s="12" t="inlineStr">
        <is>
          <t>Motor 2 of 2, 22 kW</t>
        </is>
      </c>
      <c r="E535" s="12" t="n">
        <v>480</v>
      </c>
      <c r="F535" s="12" t="n">
        <v>22</v>
      </c>
      <c r="G535" s="12" t="n">
        <v>31.1</v>
      </c>
      <c r="H535" s="12" t="inlineStr">
        <is>
          <t>R1 MCC-GT3</t>
        </is>
      </c>
      <c r="I535" s="12" t="inlineStr">
        <is>
          <t>LV 600 V</t>
        </is>
      </c>
      <c r="J535" s="12" t="inlineStr">
        <is>
          <t>4</t>
        </is>
      </c>
      <c r="K535" s="12" t="n">
        <v>1</v>
      </c>
    </row>
    <row r="536">
      <c r="A536" s="12" t="inlineStr">
        <is>
          <t>BFP-1A/B: boiler feed pumps (13.8 kV DOL)</t>
        </is>
      </c>
      <c r="B536" s="12" t="inlineStr">
        <is>
          <t>BFP-1</t>
        </is>
      </c>
      <c r="C536" s="12" t="inlineStr">
        <is>
          <t>A</t>
        </is>
      </c>
      <c r="D536" s="12" t="inlineStr">
        <is>
          <t>Boiler feed pump BFP-1A / 1B</t>
        </is>
      </c>
      <c r="E536" s="12" t="n">
        <v>13800</v>
      </c>
      <c r="F536" s="12" t="n">
        <v>5000</v>
      </c>
      <c r="G536" s="12" t="n">
        <v>232</v>
      </c>
      <c r="H536" s="12" t="inlineStr">
        <is>
          <t>R1 SWGR-13.8-1 (11 x 36 in cubicles, 15 kV metal-clad)</t>
        </is>
      </c>
      <c r="I536" s="12" t="inlineStr">
        <is>
          <t>MV 15 kV</t>
        </is>
      </c>
      <c r="J536" s="12" t="inlineStr">
        <is>
          <t>250 kcmil</t>
        </is>
      </c>
      <c r="K536" s="12" t="n">
        <v>1</v>
      </c>
    </row>
    <row r="537">
      <c r="A537" s="12" t="inlineStr">
        <is>
          <t>BFP-1A/B: boiler feed pumps (13.8 kV DOL)</t>
        </is>
      </c>
      <c r="B537" s="12" t="inlineStr">
        <is>
          <t>BFP-1</t>
        </is>
      </c>
      <c r="C537" s="12" t="inlineStr">
        <is>
          <t>A</t>
        </is>
      </c>
      <c r="D537" s="12" t="inlineStr">
        <is>
          <t>Boiler feed pump BFP-1A / 1B</t>
        </is>
      </c>
      <c r="E537" s="12" t="n">
        <v>13800</v>
      </c>
      <c r="F537" s="12" t="n">
        <v>5000</v>
      </c>
      <c r="G537" s="12" t="n">
        <v>232</v>
      </c>
      <c r="H537" s="12" t="inlineStr">
        <is>
          <t>R1 SWGR-13.8-1 (11 x 36 in cubicles, 15 kV metal-clad)</t>
        </is>
      </c>
      <c r="I537" s="12" t="inlineStr">
        <is>
          <t>MV 15 kV</t>
        </is>
      </c>
      <c r="J537" s="12" t="inlineStr">
        <is>
          <t>250 kcmil</t>
        </is>
      </c>
      <c r="K537" s="12" t="n">
        <v>1</v>
      </c>
    </row>
    <row r="538">
      <c r="A538" s="12" t="inlineStr">
        <is>
          <t>BFP-2A/B: boiler feed pumps (13.8 kV DOL)</t>
        </is>
      </c>
      <c r="B538" s="12" t="inlineStr">
        <is>
          <t>BFP-2</t>
        </is>
      </c>
      <c r="C538" s="12" t="inlineStr">
        <is>
          <t>A</t>
        </is>
      </c>
      <c r="D538" s="12" t="inlineStr">
        <is>
          <t>Boiler feed pump BFP-2A / 2B</t>
        </is>
      </c>
      <c r="E538" s="12" t="n">
        <v>13800</v>
      </c>
      <c r="F538" s="12" t="n">
        <v>5000</v>
      </c>
      <c r="G538" s="12" t="n">
        <v>232</v>
      </c>
      <c r="H538" s="12" t="inlineStr">
        <is>
          <t>R1 SWGR-13.8-2 (11 x 36 in cubicles, 15 kV metal-clad)</t>
        </is>
      </c>
      <c r="I538" s="12" t="inlineStr">
        <is>
          <t>MV 15 kV</t>
        </is>
      </c>
      <c r="J538" s="12" t="inlineStr">
        <is>
          <t>250 kcmil</t>
        </is>
      </c>
      <c r="K538" s="12" t="n">
        <v>1</v>
      </c>
    </row>
    <row r="539">
      <c r="A539" s="12" t="inlineStr">
        <is>
          <t>BFP-2A/B: boiler feed pumps (13.8 kV DOL)</t>
        </is>
      </c>
      <c r="B539" s="12" t="inlineStr">
        <is>
          <t>BFP-2</t>
        </is>
      </c>
      <c r="C539" s="12" t="inlineStr">
        <is>
          <t>A</t>
        </is>
      </c>
      <c r="D539" s="12" t="inlineStr">
        <is>
          <t>Boiler feed pump BFP-2A / 2B</t>
        </is>
      </c>
      <c r="E539" s="12" t="n">
        <v>13800</v>
      </c>
      <c r="F539" s="12" t="n">
        <v>5000</v>
      </c>
      <c r="G539" s="12" t="n">
        <v>232</v>
      </c>
      <c r="H539" s="12" t="inlineStr">
        <is>
          <t>R1 SWGR-13.8-2 (11 x 36 in cubicles, 15 kV metal-clad)</t>
        </is>
      </c>
      <c r="I539" s="12" t="inlineStr">
        <is>
          <t>MV 15 kV</t>
        </is>
      </c>
      <c r="J539" s="12" t="inlineStr">
        <is>
          <t>250 kcmil</t>
        </is>
      </c>
      <c r="K539" s="12" t="n">
        <v>1</v>
      </c>
    </row>
    <row r="540">
      <c r="A540" s="12" t="inlineStr">
        <is>
          <t>BFP-3A/B: boiler feed pumps (13.8 kV DOL)</t>
        </is>
      </c>
      <c r="B540" s="12" t="inlineStr">
        <is>
          <t>BFP-3</t>
        </is>
      </c>
      <c r="C540" s="12" t="inlineStr">
        <is>
          <t>A</t>
        </is>
      </c>
      <c r="D540" s="12" t="inlineStr">
        <is>
          <t>Boiler feed pump BFP-3A / 3B</t>
        </is>
      </c>
      <c r="E540" s="12" t="n">
        <v>13800</v>
      </c>
      <c r="F540" s="12" t="n">
        <v>5000</v>
      </c>
      <c r="G540" s="12" t="n">
        <v>232</v>
      </c>
      <c r="H540" s="12" t="inlineStr">
        <is>
          <t>R1 SWGR-13.8-3 (11 x 36 in cubicles, 15 kV metal-clad)</t>
        </is>
      </c>
      <c r="I540" s="12" t="inlineStr">
        <is>
          <t>MV 15 kV</t>
        </is>
      </c>
      <c r="J540" s="12" t="inlineStr">
        <is>
          <t>250 kcmil</t>
        </is>
      </c>
      <c r="K540" s="12" t="n">
        <v>1</v>
      </c>
    </row>
    <row r="541">
      <c r="A541" s="12" t="inlineStr">
        <is>
          <t>BFP-3A/B: boiler feed pumps (13.8 kV DOL)</t>
        </is>
      </c>
      <c r="B541" s="12" t="inlineStr">
        <is>
          <t>BFP-3</t>
        </is>
      </c>
      <c r="C541" s="12" t="inlineStr">
        <is>
          <t>A</t>
        </is>
      </c>
      <c r="D541" s="12" t="inlineStr">
        <is>
          <t>Boiler feed pump BFP-3A / 3B</t>
        </is>
      </c>
      <c r="E541" s="12" t="n">
        <v>13800</v>
      </c>
      <c r="F541" s="12" t="n">
        <v>5000</v>
      </c>
      <c r="G541" s="12" t="n">
        <v>232</v>
      </c>
      <c r="H541" s="12" t="inlineStr">
        <is>
          <t>R1 SWGR-13.8-3 (11 x 36 in cubicles, 15 kV metal-clad)</t>
        </is>
      </c>
      <c r="I541" s="12" t="inlineStr">
        <is>
          <t>MV 15 kV</t>
        </is>
      </c>
      <c r="J541" s="12" t="inlineStr">
        <is>
          <t>250 kcmil</t>
        </is>
      </c>
      <c r="K541" s="12" t="n">
        <v>1</v>
      </c>
    </row>
    <row r="542">
      <c r="A542" s="12" t="inlineStr">
        <is>
          <t>LCT-A: 13.8/0.48 kV load-centre transformer</t>
        </is>
      </c>
      <c r="B542" s="12" t="inlineStr">
        <is>
          <t>LCT-A</t>
        </is>
      </c>
      <c r="C542" s="12" t="inlineStr">
        <is>
          <t>A</t>
        </is>
      </c>
      <c r="D542" s="12" t="inlineStr">
        <is>
          <t>LCT-A unit / load-centre transformer primary</t>
        </is>
      </c>
      <c r="E542" s="12" t="n">
        <v>13800</v>
      </c>
      <c r="F542" s="12" t="n">
        <v>3000</v>
      </c>
      <c r="G542" s="12" t="n">
        <v>126</v>
      </c>
      <c r="H542" s="12" t="inlineStr">
        <is>
          <t>R1 SWGR-13.8-1 (11 x 36 in cubicles, 15 kV metal-clad)</t>
        </is>
      </c>
      <c r="I542" s="12" t="inlineStr">
        <is>
          <t>MV 15 kV</t>
        </is>
      </c>
      <c r="J542" s="12" t="inlineStr">
        <is>
          <t>1/0</t>
        </is>
      </c>
      <c r="K542" s="12" t="n">
        <v>1</v>
      </c>
    </row>
    <row r="543">
      <c r="A543" s="12" t="inlineStr">
        <is>
          <t>LCT-B: 13.8/0.48 kV load-centre transformer</t>
        </is>
      </c>
      <c r="B543" s="12" t="inlineStr">
        <is>
          <t>LCT-B</t>
        </is>
      </c>
      <c r="C543" s="12" t="inlineStr">
        <is>
          <t>A</t>
        </is>
      </c>
      <c r="D543" s="12" t="inlineStr">
        <is>
          <t>LCT-B unit / load-centre transformer primary</t>
        </is>
      </c>
      <c r="E543" s="12" t="n">
        <v>13800</v>
      </c>
      <c r="F543" s="12" t="n">
        <v>3000</v>
      </c>
      <c r="G543" s="12" t="n">
        <v>126</v>
      </c>
      <c r="H543" s="12" t="inlineStr">
        <is>
          <t>R1 SWGR-13.8-3 (11 x 36 in cubicles, 15 kV metal-clad)</t>
        </is>
      </c>
      <c r="I543" s="12" t="inlineStr">
        <is>
          <t>MV 15 kV</t>
        </is>
      </c>
      <c r="J543" s="12" t="inlineStr">
        <is>
          <t>1/0</t>
        </is>
      </c>
      <c r="K543" s="12" t="n">
        <v>1</v>
      </c>
    </row>
    <row r="544">
      <c r="A544" s="12" t="inlineStr">
        <is>
          <t>R1 SWGR-13.8-1 (11 x 36 in cubicles, 15 kV metal-clad)</t>
        </is>
      </c>
      <c r="B544" s="12" t="inlineStr">
        <is>
          <t>SWGR-13.8-1</t>
        </is>
      </c>
      <c r="C544" s="12" t="inlineStr">
        <is>
          <t>A</t>
        </is>
      </c>
      <c r="D544" s="12" t="inlineStr">
        <is>
          <t>UAT-1 secondary to SWGR-13.8-1 incomer</t>
        </is>
      </c>
      <c r="E544" s="12" t="n">
        <v>13800</v>
      </c>
      <c r="F544" s="12" t="n">
        <v>40000</v>
      </c>
      <c r="G544" s="12" t="n">
        <v>1674</v>
      </c>
      <c r="H544" s="12" t="inlineStr">
        <is>
          <t>UAT-1: 21/13.8 kV unit auxiliary transformer</t>
        </is>
      </c>
      <c r="I544" s="12" t="inlineStr">
        <is>
          <t>MV 15 kV</t>
        </is>
      </c>
      <c r="J544" s="12" t="inlineStr">
        <is>
          <t>750 kcmil</t>
        </is>
      </c>
      <c r="K544" s="12" t="n">
        <v>4</v>
      </c>
    </row>
    <row r="545">
      <c r="A545" s="12" t="inlineStr">
        <is>
          <t>R1 SWGR-13.8-2 (11 x 36 in cubicles, 15 kV metal-clad)</t>
        </is>
      </c>
      <c r="B545" s="12" t="inlineStr">
        <is>
          <t>SWGR-13.8-2</t>
        </is>
      </c>
      <c r="C545" s="12" t="inlineStr">
        <is>
          <t>A</t>
        </is>
      </c>
      <c r="D545" s="12" t="inlineStr">
        <is>
          <t>UAT-2 secondary to SWGR-13.8-2 incomer</t>
        </is>
      </c>
      <c r="E545" s="12" t="n">
        <v>13800</v>
      </c>
      <c r="F545" s="12" t="n">
        <v>40000</v>
      </c>
      <c r="G545" s="12" t="n">
        <v>1674</v>
      </c>
      <c r="H545" s="12" t="inlineStr">
        <is>
          <t>UAT-2: 21/13.8 kV unit auxiliary transformer</t>
        </is>
      </c>
      <c r="I545" s="12" t="inlineStr">
        <is>
          <t>MV 15 kV</t>
        </is>
      </c>
      <c r="J545" s="12" t="inlineStr">
        <is>
          <t>750 kcmil</t>
        </is>
      </c>
      <c r="K545" s="12" t="n">
        <v>4</v>
      </c>
    </row>
    <row r="546">
      <c r="A546" s="12" t="inlineStr">
        <is>
          <t>R1 SWGR-13.8-3 (11 x 36 in cubicles, 15 kV metal-clad)</t>
        </is>
      </c>
      <c r="B546" s="12" t="inlineStr">
        <is>
          <t>SWGR-13.8-3</t>
        </is>
      </c>
      <c r="C546" s="12" t="inlineStr">
        <is>
          <t>A</t>
        </is>
      </c>
      <c r="D546" s="12" t="inlineStr">
        <is>
          <t>UAT-3 secondary to SWGR-13.8-3 incomer</t>
        </is>
      </c>
      <c r="E546" s="12" t="n">
        <v>13800</v>
      </c>
      <c r="F546" s="12" t="n">
        <v>40000</v>
      </c>
      <c r="G546" s="12" t="n">
        <v>1674</v>
      </c>
      <c r="H546" s="12" t="inlineStr">
        <is>
          <t>UAT-3: 21/13.8 kV unit auxiliary transformer</t>
        </is>
      </c>
      <c r="I546" s="12" t="inlineStr">
        <is>
          <t>MV 15 kV</t>
        </is>
      </c>
      <c r="J546" s="12" t="inlineStr">
        <is>
          <t>750 kcmil</t>
        </is>
      </c>
      <c r="K546" s="12" t="n">
        <v>4</v>
      </c>
    </row>
    <row r="547">
      <c r="A547" s="12" t="inlineStr">
        <is>
          <t>R1 TX-LCI-1 dry-type input transformer</t>
        </is>
      </c>
      <c r="B547" s="12" t="inlineStr">
        <is>
          <t>TX-LCI-1</t>
        </is>
      </c>
      <c r="C547" s="12" t="inlineStr">
        <is>
          <t>A</t>
        </is>
      </c>
      <c r="D547" s="12" t="inlineStr">
        <is>
          <t>Static starter LCI-1 input transformer</t>
        </is>
      </c>
      <c r="E547" s="12" t="n">
        <v>13800</v>
      </c>
      <c r="F547" s="12" t="n">
        <v>9000</v>
      </c>
      <c r="G547" s="12" t="n">
        <v>377</v>
      </c>
      <c r="H547" s="12" t="inlineStr">
        <is>
          <t>R1 SWGR-13.8-1 (11 x 36 in cubicles, 15 kV metal-clad)</t>
        </is>
      </c>
      <c r="I547" s="12" t="inlineStr">
        <is>
          <t>MV 15 kV</t>
        </is>
      </c>
      <c r="J547" s="12" t="inlineStr">
        <is>
          <t>750 kcmil</t>
        </is>
      </c>
      <c r="K547" s="12" t="n">
        <v>1</v>
      </c>
    </row>
    <row r="548">
      <c r="A548" s="12" t="inlineStr">
        <is>
          <t>R1 TX-LCI-2 dry-type input transformer</t>
        </is>
      </c>
      <c r="B548" s="12" t="inlineStr">
        <is>
          <t>TX-LCI-2</t>
        </is>
      </c>
      <c r="C548" s="12" t="inlineStr">
        <is>
          <t>A</t>
        </is>
      </c>
      <c r="D548" s="12" t="inlineStr">
        <is>
          <t>Static starter LCI-2 input transformer</t>
        </is>
      </c>
      <c r="E548" s="12" t="n">
        <v>13800</v>
      </c>
      <c r="F548" s="12" t="n">
        <v>9000</v>
      </c>
      <c r="G548" s="12" t="n">
        <v>377</v>
      </c>
      <c r="H548" s="12" t="inlineStr">
        <is>
          <t>R1 SWGR-13.8-2 (11 x 36 in cubicles, 15 kV metal-clad)</t>
        </is>
      </c>
      <c r="I548" s="12" t="inlineStr">
        <is>
          <t>MV 15 kV</t>
        </is>
      </c>
      <c r="J548" s="12" t="inlineStr">
        <is>
          <t>750 kcmil</t>
        </is>
      </c>
      <c r="K548" s="12" t="n">
        <v>1</v>
      </c>
    </row>
    <row r="549">
      <c r="A549" s="12" t="inlineStr">
        <is>
          <t>R1 TX-LCI-3 dry-type input transformer</t>
        </is>
      </c>
      <c r="B549" s="12" t="inlineStr">
        <is>
          <t>TX-LCI-3</t>
        </is>
      </c>
      <c r="C549" s="12" t="inlineStr">
        <is>
          <t>A</t>
        </is>
      </c>
      <c r="D549" s="12" t="inlineStr">
        <is>
          <t>Static starter LCI-3 input transformer</t>
        </is>
      </c>
      <c r="E549" s="12" t="n">
        <v>13800</v>
      </c>
      <c r="F549" s="12" t="n">
        <v>9000</v>
      </c>
      <c r="G549" s="12" t="n">
        <v>377</v>
      </c>
      <c r="H549" s="12" t="inlineStr">
        <is>
          <t>R1 SWGR-13.8-3 (11 x 36 in cubicles, 15 kV metal-clad)</t>
        </is>
      </c>
      <c r="I549" s="12" t="inlineStr">
        <is>
          <t>MV 15 kV</t>
        </is>
      </c>
      <c r="J549" s="12" t="inlineStr">
        <is>
          <t>750 kcmil</t>
        </is>
      </c>
      <c r="K549" s="12" t="n">
        <v>1</v>
      </c>
    </row>
    <row r="550">
      <c r="A550" s="12" t="inlineStr">
        <is>
          <t>T-R2A: 13.8/0.48 kV</t>
        </is>
      </c>
      <c r="B550" s="12" t="inlineStr"/>
      <c r="C550" s="12" t="inlineStr">
        <is>
          <t>A</t>
        </is>
      </c>
      <c r="D550" s="12" t="inlineStr">
        <is>
          <t>T-R2A unit / load-centre transformer primary</t>
        </is>
      </c>
      <c r="E550" s="12" t="n">
        <v>13800</v>
      </c>
      <c r="F550" s="12" t="n">
        <v>2500</v>
      </c>
      <c r="G550" s="12" t="n">
        <v>105</v>
      </c>
      <c r="H550" s="12" t="inlineStr">
        <is>
          <t>R1 SWGR-13.8-1 (11 x 36 in cubicles, 15 kV metal-clad)</t>
        </is>
      </c>
      <c r="I550" s="12" t="inlineStr">
        <is>
          <t>MV 15 kV</t>
        </is>
      </c>
      <c r="J550" s="12" t="inlineStr">
        <is>
          <t>2</t>
        </is>
      </c>
      <c r="K550" s="12" t="n">
        <v>1</v>
      </c>
    </row>
    <row r="551">
      <c r="A551" s="12" t="inlineStr">
        <is>
          <t>T-R2B: 13.8/0.48 kV</t>
        </is>
      </c>
      <c r="B551" s="12" t="inlineStr"/>
      <c r="C551" s="12" t="inlineStr">
        <is>
          <t>A</t>
        </is>
      </c>
      <c r="D551" s="12" t="inlineStr">
        <is>
          <t>T-R2B unit / load-centre transformer primary</t>
        </is>
      </c>
      <c r="E551" s="12" t="n">
        <v>13800</v>
      </c>
      <c r="F551" s="12" t="n">
        <v>2500</v>
      </c>
      <c r="G551" s="12" t="n">
        <v>105</v>
      </c>
      <c r="H551" s="12" t="inlineStr">
        <is>
          <t>R1 SWGR-13.8-2 (11 x 36 in cubicles, 15 kV metal-clad)</t>
        </is>
      </c>
      <c r="I551" s="12" t="inlineStr">
        <is>
          <t>MV 15 kV</t>
        </is>
      </c>
      <c r="J551" s="12" t="inlineStr">
        <is>
          <t>2</t>
        </is>
      </c>
      <c r="K551" s="12" t="n">
        <v>1</v>
      </c>
    </row>
    <row r="552">
      <c r="A552" s="12" t="inlineStr">
        <is>
          <t>T-R2C: 13.8/0.48 kV</t>
        </is>
      </c>
      <c r="B552" s="12" t="inlineStr"/>
      <c r="C552" s="12" t="inlineStr">
        <is>
          <t>A</t>
        </is>
      </c>
      <c r="D552" s="12" t="inlineStr">
        <is>
          <t>T-R2C unit / load-centre transformer primary</t>
        </is>
      </c>
      <c r="E552" s="12" t="n">
        <v>13800</v>
      </c>
      <c r="F552" s="12" t="n">
        <v>2500</v>
      </c>
      <c r="G552" s="12" t="n">
        <v>105</v>
      </c>
      <c r="H552" s="12" t="inlineStr">
        <is>
          <t>R1 SWGR-13.8-3 (11 x 36 in cubicles, 15 kV metal-clad)</t>
        </is>
      </c>
      <c r="I552" s="12" t="inlineStr">
        <is>
          <t>MV 15 kV</t>
        </is>
      </c>
      <c r="J552" s="12" t="inlineStr">
        <is>
          <t>2</t>
        </is>
      </c>
      <c r="K552" s="12" t="n">
        <v>1</v>
      </c>
    </row>
    <row r="553">
      <c r="A553" s="12" t="inlineStr">
        <is>
          <t>T-R3: 13.8/0.48 kV</t>
        </is>
      </c>
      <c r="B553" s="12" t="inlineStr"/>
      <c r="C553" s="12" t="inlineStr">
        <is>
          <t>A</t>
        </is>
      </c>
      <c r="D553" s="12" t="inlineStr">
        <is>
          <t>T-R3 unit / load-centre transformer primary</t>
        </is>
      </c>
      <c r="E553" s="12" t="n">
        <v>13800</v>
      </c>
      <c r="F553" s="12" t="n">
        <v>3000</v>
      </c>
      <c r="G553" s="12" t="n">
        <v>126</v>
      </c>
      <c r="H553" s="12" t="inlineStr">
        <is>
          <t>R1 SWGR-13.8-2 (11 x 36 in cubicles, 15 kV metal-clad)</t>
        </is>
      </c>
      <c r="I553" s="12" t="inlineStr">
        <is>
          <t>MV 15 kV</t>
        </is>
      </c>
      <c r="J553" s="12" t="inlineStr">
        <is>
          <t>1/0</t>
        </is>
      </c>
      <c r="K553" s="12" t="n">
        <v>1</v>
      </c>
    </row>
    <row r="554">
      <c r="A554" s="12" t="inlineStr">
        <is>
          <t>T4-A: 13.8/4.16 kV station transformer</t>
        </is>
      </c>
      <c r="B554" s="12" t="inlineStr">
        <is>
          <t>T4-A</t>
        </is>
      </c>
      <c r="C554" s="12" t="inlineStr">
        <is>
          <t>A</t>
        </is>
      </c>
      <c r="D554" s="12" t="inlineStr">
        <is>
          <t>T4-A station transformer primary</t>
        </is>
      </c>
      <c r="E554" s="12" t="n">
        <v>13800</v>
      </c>
      <c r="F554" s="12" t="n">
        <v>10000</v>
      </c>
      <c r="G554" s="12" t="n">
        <v>418</v>
      </c>
      <c r="H554" s="12" t="inlineStr">
        <is>
          <t>R1 SWGR-13.8-1 (11 x 36 in cubicles, 15 kV metal-clad)</t>
        </is>
      </c>
      <c r="I554" s="12" t="inlineStr">
        <is>
          <t>MV 15 kV</t>
        </is>
      </c>
      <c r="J554" s="12" t="inlineStr">
        <is>
          <t>750 kcmil</t>
        </is>
      </c>
      <c r="K554" s="12" t="n">
        <v>1</v>
      </c>
    </row>
    <row r="555">
      <c r="A555" s="12" t="inlineStr">
        <is>
          <t>T4-B: 13.8/4.16 kV station transformer</t>
        </is>
      </c>
      <c r="B555" s="12" t="inlineStr">
        <is>
          <t>T4-B</t>
        </is>
      </c>
      <c r="C555" s="12" t="inlineStr">
        <is>
          <t>A</t>
        </is>
      </c>
      <c r="D555" s="12" t="inlineStr">
        <is>
          <t>T4-B station transformer primary</t>
        </is>
      </c>
      <c r="E555" s="12" t="n">
        <v>13800</v>
      </c>
      <c r="F555" s="12" t="n">
        <v>10000</v>
      </c>
      <c r="G555" s="12" t="n">
        <v>418</v>
      </c>
      <c r="H555" s="12" t="inlineStr">
        <is>
          <t>R1 SWGR-13.8-3 (11 x 36 in cubicles, 15 kV metal-clad)</t>
        </is>
      </c>
      <c r="I555" s="12" t="inlineStr">
        <is>
          <t>MV 15 kV</t>
        </is>
      </c>
      <c r="J555" s="12" t="inlineStr">
        <is>
          <t>750 kcmil</t>
        </is>
      </c>
      <c r="K555" s="12" t="n">
        <v>1</v>
      </c>
    </row>
    <row r="556">
      <c r="A556" s="12" t="inlineStr">
        <is>
          <t>ET-1: excitation transformer (dry type, GTG-1 terminals)</t>
        </is>
      </c>
      <c r="B556" s="12" t="inlineStr">
        <is>
          <t>ET-1</t>
        </is>
      </c>
      <c r="C556" s="12" t="inlineStr">
        <is>
          <t>A</t>
        </is>
      </c>
      <c r="D556" s="12" t="inlineStr">
        <is>
          <t>Excitation transformer ET-1 from the IPB tap</t>
        </is>
      </c>
      <c r="E556" s="12" t="n">
        <v>21000</v>
      </c>
      <c r="F556" s="12" t="n">
        <v>3000</v>
      </c>
      <c r="G556" s="12" t="n">
        <v>82</v>
      </c>
      <c r="H556" s="12" t="inlineStr">
        <is>
          <t>GSU-1: 21/230 kV generator step-up transformer</t>
        </is>
      </c>
      <c r="I556" s="12" t="inlineStr">
        <is>
          <t>MV 25 kV</t>
        </is>
      </c>
      <c r="J556" s="12" t="inlineStr">
        <is>
          <t>2</t>
        </is>
      </c>
      <c r="K556" s="12" t="n">
        <v>1</v>
      </c>
    </row>
    <row r="557">
      <c r="A557" s="12" t="inlineStr">
        <is>
          <t>ET-2: excitation transformer (dry type, GTG-2 terminals)</t>
        </is>
      </c>
      <c r="B557" s="12" t="inlineStr">
        <is>
          <t>ET-2</t>
        </is>
      </c>
      <c r="C557" s="12" t="inlineStr">
        <is>
          <t>A</t>
        </is>
      </c>
      <c r="D557" s="12" t="inlineStr">
        <is>
          <t>Excitation transformer ET-2 from the IPB tap</t>
        </is>
      </c>
      <c r="E557" s="12" t="n">
        <v>21000</v>
      </c>
      <c r="F557" s="12" t="n">
        <v>3000</v>
      </c>
      <c r="G557" s="12" t="n">
        <v>82</v>
      </c>
      <c r="H557" s="12" t="inlineStr">
        <is>
          <t>GSU-2: 21/230 kV generator step-up transformer</t>
        </is>
      </c>
      <c r="I557" s="12" t="inlineStr">
        <is>
          <t>MV 25 kV</t>
        </is>
      </c>
      <c r="J557" s="12" t="inlineStr">
        <is>
          <t>2</t>
        </is>
      </c>
      <c r="K557" s="12" t="n">
        <v>1</v>
      </c>
    </row>
    <row r="558">
      <c r="A558" s="12" t="inlineStr">
        <is>
          <t>ET-3: excitation transformer (dry type, GTG-3 terminals)</t>
        </is>
      </c>
      <c r="B558" s="12" t="inlineStr">
        <is>
          <t>ET-3</t>
        </is>
      </c>
      <c r="C558" s="12" t="inlineStr">
        <is>
          <t>A</t>
        </is>
      </c>
      <c r="D558" s="12" t="inlineStr">
        <is>
          <t>Excitation transformer ET-3 from the IPB tap</t>
        </is>
      </c>
      <c r="E558" s="12" t="n">
        <v>21000</v>
      </c>
      <c r="F558" s="12" t="n">
        <v>3000</v>
      </c>
      <c r="G558" s="12" t="n">
        <v>82</v>
      </c>
      <c r="H558" s="12" t="inlineStr">
        <is>
          <t>GSU-3: 21/230 kV generator step-up transformer</t>
        </is>
      </c>
      <c r="I558" s="12" t="inlineStr">
        <is>
          <t>MV 25 kV</t>
        </is>
      </c>
      <c r="J558" s="12" t="inlineStr">
        <is>
          <t>2</t>
        </is>
      </c>
      <c r="K558" s="12" t="n">
        <v>1</v>
      </c>
    </row>
    <row r="559">
      <c r="A559" s="12" t="inlineStr">
        <is>
          <t>R1 SWGR-4.16-A (9 x 36 in cubicles, 5 kV metal-clad)</t>
        </is>
      </c>
      <c r="B559" s="12" t="inlineStr">
        <is>
          <t>SWGR-4.16-A</t>
        </is>
      </c>
      <c r="C559" s="12" t="inlineStr">
        <is>
          <t>A</t>
        </is>
      </c>
      <c r="D559" s="12" t="inlineStr">
        <is>
          <t>T4-A secondary to SWGR-4.16-A incomer</t>
        </is>
      </c>
      <c r="E559" s="12" t="n">
        <v>4160</v>
      </c>
      <c r="F559" s="12" t="n">
        <v>10000</v>
      </c>
      <c r="G559" s="12" t="n">
        <v>1388</v>
      </c>
      <c r="H559" s="12" t="inlineStr">
        <is>
          <t>T4-A: 13.8/4.16 kV station transformer</t>
        </is>
      </c>
      <c r="I559" s="12" t="inlineStr">
        <is>
          <t>MV 5 kV</t>
        </is>
      </c>
      <c r="J559" s="12" t="inlineStr">
        <is>
          <t>1000 kcmil</t>
        </is>
      </c>
      <c r="K559" s="12" t="n">
        <v>3</v>
      </c>
    </row>
    <row r="560">
      <c r="A560" s="12" t="inlineStr">
        <is>
          <t>R1 SWGR-4.16-B (5 kV metal-clad)</t>
        </is>
      </c>
      <c r="B560" s="12" t="inlineStr">
        <is>
          <t>SWGR-4.16-B</t>
        </is>
      </c>
      <c r="C560" s="12" t="inlineStr">
        <is>
          <t>A</t>
        </is>
      </c>
      <c r="D560" s="12" t="inlineStr">
        <is>
          <t>T4-B secondary to SWGR-4.16-B incomer</t>
        </is>
      </c>
      <c r="E560" s="12" t="n">
        <v>4160</v>
      </c>
      <c r="F560" s="12" t="n">
        <v>10000</v>
      </c>
      <c r="G560" s="12" t="n">
        <v>1388</v>
      </c>
      <c r="H560" s="12" t="inlineStr">
        <is>
          <t>T4-B: 13.8/4.16 kV station transformer</t>
        </is>
      </c>
      <c r="I560" s="12" t="inlineStr">
        <is>
          <t>MV 5 kV</t>
        </is>
      </c>
      <c r="J560" s="12" t="inlineStr">
        <is>
          <t>1000 kcmil</t>
        </is>
      </c>
      <c r="K560" s="12" t="n">
        <v>3</v>
      </c>
    </row>
    <row r="561">
      <c r="A561" s="12" t="inlineStr">
        <is>
          <t>ACC fan motor F01</t>
        </is>
      </c>
      <c r="B561" s="12" t="inlineStr">
        <is>
          <t>ACC-F01</t>
        </is>
      </c>
      <c r="C561" s="12" t="inlineStr">
        <is>
          <t>B</t>
        </is>
      </c>
      <c r="D561" s="12" t="inlineStr">
        <is>
          <t>ACC fan F01 motor (VFD output)</t>
        </is>
      </c>
      <c r="E561" s="12" t="n">
        <v>480</v>
      </c>
      <c r="F561" s="12" t="n">
        <v>150</v>
      </c>
      <c r="G561" s="12" t="n">
        <v>212</v>
      </c>
      <c r="H561" s="12" t="inlineStr">
        <is>
          <t>R4: ACC electrical (VFD) e-house (60 x 120 ft)</t>
        </is>
      </c>
      <c r="I561" s="12" t="inlineStr">
        <is>
          <t>LV 600 V</t>
        </is>
      </c>
      <c r="J561" s="12" t="inlineStr">
        <is>
          <t>350 kcmil</t>
        </is>
      </c>
      <c r="K561" s="12" t="n">
        <v>1</v>
      </c>
    </row>
    <row r="562">
      <c r="A562" s="12" t="inlineStr">
        <is>
          <t>ACC fan motor F02</t>
        </is>
      </c>
      <c r="B562" s="12" t="inlineStr">
        <is>
          <t>ACC-F02</t>
        </is>
      </c>
      <c r="C562" s="12" t="inlineStr">
        <is>
          <t>B</t>
        </is>
      </c>
      <c r="D562" s="12" t="inlineStr">
        <is>
          <t>ACC fan F02 motor (VFD output)</t>
        </is>
      </c>
      <c r="E562" s="12" t="n">
        <v>480</v>
      </c>
      <c r="F562" s="12" t="n">
        <v>150</v>
      </c>
      <c r="G562" s="12" t="n">
        <v>212</v>
      </c>
      <c r="H562" s="12" t="inlineStr">
        <is>
          <t>R4: ACC electrical (VFD) e-house (60 x 120 ft)</t>
        </is>
      </c>
      <c r="I562" s="12" t="inlineStr">
        <is>
          <t>LV 600 V</t>
        </is>
      </c>
      <c r="J562" s="12" t="inlineStr">
        <is>
          <t>350 kcmil</t>
        </is>
      </c>
      <c r="K562" s="12" t="n">
        <v>1</v>
      </c>
    </row>
    <row r="563">
      <c r="A563" s="12" t="inlineStr">
        <is>
          <t>ACC fan motor F03</t>
        </is>
      </c>
      <c r="B563" s="12" t="inlineStr">
        <is>
          <t>ACC-F03</t>
        </is>
      </c>
      <c r="C563" s="12" t="inlineStr">
        <is>
          <t>B</t>
        </is>
      </c>
      <c r="D563" s="12" t="inlineStr">
        <is>
          <t>ACC fan F03 motor (VFD output)</t>
        </is>
      </c>
      <c r="E563" s="12" t="n">
        <v>480</v>
      </c>
      <c r="F563" s="12" t="n">
        <v>150</v>
      </c>
      <c r="G563" s="12" t="n">
        <v>212</v>
      </c>
      <c r="H563" s="12" t="inlineStr">
        <is>
          <t>R4: ACC electrical (VFD) e-house (60 x 120 ft)</t>
        </is>
      </c>
      <c r="I563" s="12" t="inlineStr">
        <is>
          <t>LV 600 V</t>
        </is>
      </c>
      <c r="J563" s="12" t="inlineStr">
        <is>
          <t>350 kcmil</t>
        </is>
      </c>
      <c r="K563" s="12" t="n">
        <v>1</v>
      </c>
    </row>
    <row r="564">
      <c r="A564" s="12" t="inlineStr">
        <is>
          <t>ACC fan motor F04</t>
        </is>
      </c>
      <c r="B564" s="12" t="inlineStr">
        <is>
          <t>ACC-F04</t>
        </is>
      </c>
      <c r="C564" s="12" t="inlineStr">
        <is>
          <t>B</t>
        </is>
      </c>
      <c r="D564" s="12" t="inlineStr">
        <is>
          <t>ACC fan F04 motor (VFD output)</t>
        </is>
      </c>
      <c r="E564" s="12" t="n">
        <v>480</v>
      </c>
      <c r="F564" s="12" t="n">
        <v>150</v>
      </c>
      <c r="G564" s="12" t="n">
        <v>212</v>
      </c>
      <c r="H564" s="12" t="inlineStr">
        <is>
          <t>R4: ACC electrical (VFD) e-house (60 x 120 ft)</t>
        </is>
      </c>
      <c r="I564" s="12" t="inlineStr">
        <is>
          <t>LV 600 V</t>
        </is>
      </c>
      <c r="J564" s="12" t="inlineStr">
        <is>
          <t>350 kcmil</t>
        </is>
      </c>
      <c r="K564" s="12" t="n">
        <v>1</v>
      </c>
    </row>
    <row r="565">
      <c r="A565" s="12" t="inlineStr">
        <is>
          <t>ACC fan motor F05</t>
        </is>
      </c>
      <c r="B565" s="12" t="inlineStr">
        <is>
          <t>ACC-F05</t>
        </is>
      </c>
      <c r="C565" s="12" t="inlineStr">
        <is>
          <t>B</t>
        </is>
      </c>
      <c r="D565" s="12" t="inlineStr">
        <is>
          <t>ACC fan F05 motor (VFD output)</t>
        </is>
      </c>
      <c r="E565" s="12" t="n">
        <v>480</v>
      </c>
      <c r="F565" s="12" t="n">
        <v>150</v>
      </c>
      <c r="G565" s="12" t="n">
        <v>212</v>
      </c>
      <c r="H565" s="12" t="inlineStr">
        <is>
          <t>R4: ACC electrical (VFD) e-house (60 x 120 ft)</t>
        </is>
      </c>
      <c r="I565" s="12" t="inlineStr">
        <is>
          <t>LV 600 V</t>
        </is>
      </c>
      <c r="J565" s="12" t="inlineStr">
        <is>
          <t>350 kcmil</t>
        </is>
      </c>
      <c r="K565" s="12" t="n">
        <v>1</v>
      </c>
    </row>
    <row r="566">
      <c r="A566" s="12" t="inlineStr">
        <is>
          <t>ACC fan motor F06</t>
        </is>
      </c>
      <c r="B566" s="12" t="inlineStr">
        <is>
          <t>ACC-F06</t>
        </is>
      </c>
      <c r="C566" s="12" t="inlineStr">
        <is>
          <t>B</t>
        </is>
      </c>
      <c r="D566" s="12" t="inlineStr">
        <is>
          <t>ACC fan F06 motor (VFD output)</t>
        </is>
      </c>
      <c r="E566" s="12" t="n">
        <v>480</v>
      </c>
      <c r="F566" s="12" t="n">
        <v>150</v>
      </c>
      <c r="G566" s="12" t="n">
        <v>212</v>
      </c>
      <c r="H566" s="12" t="inlineStr">
        <is>
          <t>R4: ACC electrical (VFD) e-house (60 x 120 ft)</t>
        </is>
      </c>
      <c r="I566" s="12" t="inlineStr">
        <is>
          <t>LV 600 V</t>
        </is>
      </c>
      <c r="J566" s="12" t="inlineStr">
        <is>
          <t>350 kcmil</t>
        </is>
      </c>
      <c r="K566" s="12" t="n">
        <v>1</v>
      </c>
    </row>
    <row r="567">
      <c r="A567" s="12" t="inlineStr">
        <is>
          <t>ACC fan motor F07</t>
        </is>
      </c>
      <c r="B567" s="12" t="inlineStr">
        <is>
          <t>ACC-F07</t>
        </is>
      </c>
      <c r="C567" s="12" t="inlineStr">
        <is>
          <t>B</t>
        </is>
      </c>
      <c r="D567" s="12" t="inlineStr">
        <is>
          <t>ACC fan F07 motor (VFD output)</t>
        </is>
      </c>
      <c r="E567" s="12" t="n">
        <v>480</v>
      </c>
      <c r="F567" s="12" t="n">
        <v>150</v>
      </c>
      <c r="G567" s="12" t="n">
        <v>212</v>
      </c>
      <c r="H567" s="12" t="inlineStr">
        <is>
          <t>R4: ACC electrical (VFD) e-house (60 x 120 ft)</t>
        </is>
      </c>
      <c r="I567" s="12" t="inlineStr">
        <is>
          <t>LV 600 V</t>
        </is>
      </c>
      <c r="J567" s="12" t="inlineStr">
        <is>
          <t>350 kcmil</t>
        </is>
      </c>
      <c r="K567" s="12" t="n">
        <v>1</v>
      </c>
    </row>
    <row r="568">
      <c r="A568" s="12" t="inlineStr">
        <is>
          <t>ACC fan motor F08</t>
        </is>
      </c>
      <c r="B568" s="12" t="inlineStr">
        <is>
          <t>ACC-F08</t>
        </is>
      </c>
      <c r="C568" s="12" t="inlineStr">
        <is>
          <t>B</t>
        </is>
      </c>
      <c r="D568" s="12" t="inlineStr">
        <is>
          <t>ACC fan F08 motor (VFD output)</t>
        </is>
      </c>
      <c r="E568" s="12" t="n">
        <v>480</v>
      </c>
      <c r="F568" s="12" t="n">
        <v>150</v>
      </c>
      <c r="G568" s="12" t="n">
        <v>212</v>
      </c>
      <c r="H568" s="12" t="inlineStr">
        <is>
          <t>R4: ACC electrical (VFD) e-house (60 x 120 ft)</t>
        </is>
      </c>
      <c r="I568" s="12" t="inlineStr">
        <is>
          <t>LV 600 V</t>
        </is>
      </c>
      <c r="J568" s="12" t="inlineStr">
        <is>
          <t>350 kcmil</t>
        </is>
      </c>
      <c r="K568" s="12" t="n">
        <v>1</v>
      </c>
    </row>
    <row r="569">
      <c r="A569" s="12" t="inlineStr">
        <is>
          <t>ACC fan motor F09</t>
        </is>
      </c>
      <c r="B569" s="12" t="inlineStr">
        <is>
          <t>ACC-F09</t>
        </is>
      </c>
      <c r="C569" s="12" t="inlineStr">
        <is>
          <t>B</t>
        </is>
      </c>
      <c r="D569" s="12" t="inlineStr">
        <is>
          <t>ACC fan F09 motor (VFD output)</t>
        </is>
      </c>
      <c r="E569" s="12" t="n">
        <v>480</v>
      </c>
      <c r="F569" s="12" t="n">
        <v>150</v>
      </c>
      <c r="G569" s="12" t="n">
        <v>212</v>
      </c>
      <c r="H569" s="12" t="inlineStr">
        <is>
          <t>R4: ACC electrical (VFD) e-house (60 x 120 ft)</t>
        </is>
      </c>
      <c r="I569" s="12" t="inlineStr">
        <is>
          <t>LV 600 V</t>
        </is>
      </c>
      <c r="J569" s="12" t="inlineStr">
        <is>
          <t>350 kcmil</t>
        </is>
      </c>
      <c r="K569" s="12" t="n">
        <v>1</v>
      </c>
    </row>
    <row r="570">
      <c r="A570" s="12" t="inlineStr">
        <is>
          <t>ACC fan motor F10</t>
        </is>
      </c>
      <c r="B570" s="12" t="inlineStr">
        <is>
          <t>ACC-F10</t>
        </is>
      </c>
      <c r="C570" s="12" t="inlineStr">
        <is>
          <t>B</t>
        </is>
      </c>
      <c r="D570" s="12" t="inlineStr">
        <is>
          <t>ACC fan F10 motor (VFD output)</t>
        </is>
      </c>
      <c r="E570" s="12" t="n">
        <v>480</v>
      </c>
      <c r="F570" s="12" t="n">
        <v>150</v>
      </c>
      <c r="G570" s="12" t="n">
        <v>212</v>
      </c>
      <c r="H570" s="12" t="inlineStr">
        <is>
          <t>R4: ACC electrical (VFD) e-house (60 x 120 ft)</t>
        </is>
      </c>
      <c r="I570" s="12" t="inlineStr">
        <is>
          <t>LV 600 V</t>
        </is>
      </c>
      <c r="J570" s="12" t="inlineStr">
        <is>
          <t>350 kcmil</t>
        </is>
      </c>
      <c r="K570" s="12" t="n">
        <v>1</v>
      </c>
    </row>
    <row r="571">
      <c r="A571" s="12" t="inlineStr">
        <is>
          <t>ACC fan motor F11</t>
        </is>
      </c>
      <c r="B571" s="12" t="inlineStr">
        <is>
          <t>ACC-F11</t>
        </is>
      </c>
      <c r="C571" s="12" t="inlineStr">
        <is>
          <t>B</t>
        </is>
      </c>
      <c r="D571" s="12" t="inlineStr">
        <is>
          <t>ACC fan F11 motor (VFD output)</t>
        </is>
      </c>
      <c r="E571" s="12" t="n">
        <v>480</v>
      </c>
      <c r="F571" s="12" t="n">
        <v>150</v>
      </c>
      <c r="G571" s="12" t="n">
        <v>212</v>
      </c>
      <c r="H571" s="12" t="inlineStr">
        <is>
          <t>R4: ACC electrical (VFD) e-house (60 x 120 ft)</t>
        </is>
      </c>
      <c r="I571" s="12" t="inlineStr">
        <is>
          <t>LV 600 V</t>
        </is>
      </c>
      <c r="J571" s="12" t="inlineStr">
        <is>
          <t>350 kcmil</t>
        </is>
      </c>
      <c r="K571" s="12" t="n">
        <v>1</v>
      </c>
    </row>
    <row r="572">
      <c r="A572" s="12" t="inlineStr">
        <is>
          <t>ACC fan motor F12</t>
        </is>
      </c>
      <c r="B572" s="12" t="inlineStr">
        <is>
          <t>ACC-F12</t>
        </is>
      </c>
      <c r="C572" s="12" t="inlineStr">
        <is>
          <t>B</t>
        </is>
      </c>
      <c r="D572" s="12" t="inlineStr">
        <is>
          <t>ACC fan F12 motor (VFD output)</t>
        </is>
      </c>
      <c r="E572" s="12" t="n">
        <v>480</v>
      </c>
      <c r="F572" s="12" t="n">
        <v>150</v>
      </c>
      <c r="G572" s="12" t="n">
        <v>212</v>
      </c>
      <c r="H572" s="12" t="inlineStr">
        <is>
          <t>R4: ACC electrical (VFD) e-house (60 x 120 ft)</t>
        </is>
      </c>
      <c r="I572" s="12" t="inlineStr">
        <is>
          <t>LV 600 V</t>
        </is>
      </c>
      <c r="J572" s="12" t="inlineStr">
        <is>
          <t>350 kcmil</t>
        </is>
      </c>
      <c r="K572" s="12" t="n">
        <v>1</v>
      </c>
    </row>
    <row r="573">
      <c r="A573" s="12" t="inlineStr">
        <is>
          <t>ACC fan motor F13</t>
        </is>
      </c>
      <c r="B573" s="12" t="inlineStr">
        <is>
          <t>ACC-F13</t>
        </is>
      </c>
      <c r="C573" s="12" t="inlineStr">
        <is>
          <t>B</t>
        </is>
      </c>
      <c r="D573" s="12" t="inlineStr">
        <is>
          <t>ACC fan F13 motor (VFD output)</t>
        </is>
      </c>
      <c r="E573" s="12" t="n">
        <v>480</v>
      </c>
      <c r="F573" s="12" t="n">
        <v>150</v>
      </c>
      <c r="G573" s="12" t="n">
        <v>212</v>
      </c>
      <c r="H573" s="12" t="inlineStr">
        <is>
          <t>R4: ACC electrical (VFD) e-house (60 x 120 ft)</t>
        </is>
      </c>
      <c r="I573" s="12" t="inlineStr">
        <is>
          <t>LV 600 V</t>
        </is>
      </c>
      <c r="J573" s="12" t="inlineStr">
        <is>
          <t>350 kcmil</t>
        </is>
      </c>
      <c r="K573" s="12" t="n">
        <v>1</v>
      </c>
    </row>
    <row r="574">
      <c r="A574" s="12" t="inlineStr">
        <is>
          <t>ACC fan motor F14</t>
        </is>
      </c>
      <c r="B574" s="12" t="inlineStr">
        <is>
          <t>ACC-F14</t>
        </is>
      </c>
      <c r="C574" s="12" t="inlineStr">
        <is>
          <t>B</t>
        </is>
      </c>
      <c r="D574" s="12" t="inlineStr">
        <is>
          <t>ACC fan F14 motor (VFD output)</t>
        </is>
      </c>
      <c r="E574" s="12" t="n">
        <v>480</v>
      </c>
      <c r="F574" s="12" t="n">
        <v>150</v>
      </c>
      <c r="G574" s="12" t="n">
        <v>212</v>
      </c>
      <c r="H574" s="12" t="inlineStr">
        <is>
          <t>R4: ACC electrical (VFD) e-house (60 x 120 ft)</t>
        </is>
      </c>
      <c r="I574" s="12" t="inlineStr">
        <is>
          <t>LV 600 V</t>
        </is>
      </c>
      <c r="J574" s="12" t="inlineStr">
        <is>
          <t>350 kcmil</t>
        </is>
      </c>
      <c r="K574" s="12" t="n">
        <v>1</v>
      </c>
    </row>
    <row r="575">
      <c r="A575" s="12" t="inlineStr">
        <is>
          <t>ACC fan motor F15</t>
        </is>
      </c>
      <c r="B575" s="12" t="inlineStr">
        <is>
          <t>ACC-F15</t>
        </is>
      </c>
      <c r="C575" s="12" t="inlineStr">
        <is>
          <t>B</t>
        </is>
      </c>
      <c r="D575" s="12" t="inlineStr">
        <is>
          <t>ACC fan F15 motor (VFD output)</t>
        </is>
      </c>
      <c r="E575" s="12" t="n">
        <v>480</v>
      </c>
      <c r="F575" s="12" t="n">
        <v>150</v>
      </c>
      <c r="G575" s="12" t="n">
        <v>212</v>
      </c>
      <c r="H575" s="12" t="inlineStr">
        <is>
          <t>R4: ACC electrical (VFD) e-house (60 x 120 ft)</t>
        </is>
      </c>
      <c r="I575" s="12" t="inlineStr">
        <is>
          <t>LV 600 V</t>
        </is>
      </c>
      <c r="J575" s="12" t="inlineStr">
        <is>
          <t>350 kcmil</t>
        </is>
      </c>
      <c r="K575" s="12" t="n">
        <v>1</v>
      </c>
    </row>
    <row r="576">
      <c r="A576" s="12" t="inlineStr">
        <is>
          <t>ACC fan motor F16</t>
        </is>
      </c>
      <c r="B576" s="12" t="inlineStr">
        <is>
          <t>ACC-F16</t>
        </is>
      </c>
      <c r="C576" s="12" t="inlineStr">
        <is>
          <t>B</t>
        </is>
      </c>
      <c r="D576" s="12" t="inlineStr">
        <is>
          <t>ACC fan F16 motor (VFD output)</t>
        </is>
      </c>
      <c r="E576" s="12" t="n">
        <v>480</v>
      </c>
      <c r="F576" s="12" t="n">
        <v>150</v>
      </c>
      <c r="G576" s="12" t="n">
        <v>212</v>
      </c>
      <c r="H576" s="12" t="inlineStr">
        <is>
          <t>R4: ACC electrical (VFD) e-house (60 x 120 ft)</t>
        </is>
      </c>
      <c r="I576" s="12" t="inlineStr">
        <is>
          <t>LV 600 V</t>
        </is>
      </c>
      <c r="J576" s="12" t="inlineStr">
        <is>
          <t>350 kcmil</t>
        </is>
      </c>
      <c r="K576" s="12" t="n">
        <v>1</v>
      </c>
    </row>
    <row r="577">
      <c r="A577" s="12" t="inlineStr">
        <is>
          <t>ACC fan motor F17</t>
        </is>
      </c>
      <c r="B577" s="12" t="inlineStr">
        <is>
          <t>ACC-F17</t>
        </is>
      </c>
      <c r="C577" s="12" t="inlineStr">
        <is>
          <t>B</t>
        </is>
      </c>
      <c r="D577" s="12" t="inlineStr">
        <is>
          <t>ACC fan F17 motor (VFD output)</t>
        </is>
      </c>
      <c r="E577" s="12" t="n">
        <v>480</v>
      </c>
      <c r="F577" s="12" t="n">
        <v>150</v>
      </c>
      <c r="G577" s="12" t="n">
        <v>212</v>
      </c>
      <c r="H577" s="12" t="inlineStr">
        <is>
          <t>R4: ACC electrical (VFD) e-house (60 x 120 ft)</t>
        </is>
      </c>
      <c r="I577" s="12" t="inlineStr">
        <is>
          <t>LV 600 V</t>
        </is>
      </c>
      <c r="J577" s="12" t="inlineStr">
        <is>
          <t>350 kcmil</t>
        </is>
      </c>
      <c r="K577" s="12" t="n">
        <v>1</v>
      </c>
    </row>
    <row r="578">
      <c r="A578" s="12" t="inlineStr">
        <is>
          <t>ACC fan motor F18</t>
        </is>
      </c>
      <c r="B578" s="12" t="inlineStr">
        <is>
          <t>ACC-F18</t>
        </is>
      </c>
      <c r="C578" s="12" t="inlineStr">
        <is>
          <t>B</t>
        </is>
      </c>
      <c r="D578" s="12" t="inlineStr">
        <is>
          <t>ACC fan F18 motor (VFD output)</t>
        </is>
      </c>
      <c r="E578" s="12" t="n">
        <v>480</v>
      </c>
      <c r="F578" s="12" t="n">
        <v>150</v>
      </c>
      <c r="G578" s="12" t="n">
        <v>212</v>
      </c>
      <c r="H578" s="12" t="inlineStr">
        <is>
          <t>R4: ACC electrical (VFD) e-house (60 x 120 ft)</t>
        </is>
      </c>
      <c r="I578" s="12" t="inlineStr">
        <is>
          <t>LV 600 V</t>
        </is>
      </c>
      <c r="J578" s="12" t="inlineStr">
        <is>
          <t>350 kcmil</t>
        </is>
      </c>
      <c r="K578" s="12" t="n">
        <v>1</v>
      </c>
    </row>
    <row r="579">
      <c r="A579" s="12" t="inlineStr">
        <is>
          <t>ACC fan motor F19</t>
        </is>
      </c>
      <c r="B579" s="12" t="inlineStr">
        <is>
          <t>ACC-F19</t>
        </is>
      </c>
      <c r="C579" s="12" t="inlineStr">
        <is>
          <t>B</t>
        </is>
      </c>
      <c r="D579" s="12" t="inlineStr">
        <is>
          <t>ACC fan F19 motor (VFD output)</t>
        </is>
      </c>
      <c r="E579" s="12" t="n">
        <v>480</v>
      </c>
      <c r="F579" s="12" t="n">
        <v>150</v>
      </c>
      <c r="G579" s="12" t="n">
        <v>212</v>
      </c>
      <c r="H579" s="12" t="inlineStr">
        <is>
          <t>R4: ACC electrical (VFD) e-house (60 x 120 ft)</t>
        </is>
      </c>
      <c r="I579" s="12" t="inlineStr">
        <is>
          <t>LV 600 V</t>
        </is>
      </c>
      <c r="J579" s="12" t="inlineStr">
        <is>
          <t>350 kcmil</t>
        </is>
      </c>
      <c r="K579" s="12" t="n">
        <v>1</v>
      </c>
    </row>
    <row r="580">
      <c r="A580" s="12" t="inlineStr">
        <is>
          <t>ACC fan motor F20</t>
        </is>
      </c>
      <c r="B580" s="12" t="inlineStr">
        <is>
          <t>ACC-F20</t>
        </is>
      </c>
      <c r="C580" s="12" t="inlineStr">
        <is>
          <t>B</t>
        </is>
      </c>
      <c r="D580" s="12" t="inlineStr">
        <is>
          <t>ACC fan F20 motor (VFD output)</t>
        </is>
      </c>
      <c r="E580" s="12" t="n">
        <v>480</v>
      </c>
      <c r="F580" s="12" t="n">
        <v>150</v>
      </c>
      <c r="G580" s="12" t="n">
        <v>212</v>
      </c>
      <c r="H580" s="12" t="inlineStr">
        <is>
          <t>R4: ACC electrical (VFD) e-house (60 x 120 ft)</t>
        </is>
      </c>
      <c r="I580" s="12" t="inlineStr">
        <is>
          <t>LV 600 V</t>
        </is>
      </c>
      <c r="J580" s="12" t="inlineStr">
        <is>
          <t>350 kcmil</t>
        </is>
      </c>
      <c r="K580" s="12" t="n">
        <v>1</v>
      </c>
    </row>
    <row r="581">
      <c r="A581" s="12" t="inlineStr">
        <is>
          <t>ACC fan motor F21</t>
        </is>
      </c>
      <c r="B581" s="12" t="inlineStr">
        <is>
          <t>ACC-F21</t>
        </is>
      </c>
      <c r="C581" s="12" t="inlineStr">
        <is>
          <t>B</t>
        </is>
      </c>
      <c r="D581" s="12" t="inlineStr">
        <is>
          <t>ACC fan F21 motor (VFD output)</t>
        </is>
      </c>
      <c r="E581" s="12" t="n">
        <v>480</v>
      </c>
      <c r="F581" s="12" t="n">
        <v>150</v>
      </c>
      <c r="G581" s="12" t="n">
        <v>212</v>
      </c>
      <c r="H581" s="12" t="inlineStr">
        <is>
          <t>R4: ACC electrical (VFD) e-house (60 x 120 ft)</t>
        </is>
      </c>
      <c r="I581" s="12" t="inlineStr">
        <is>
          <t>LV 600 V</t>
        </is>
      </c>
      <c r="J581" s="12" t="inlineStr">
        <is>
          <t>350 kcmil</t>
        </is>
      </c>
      <c r="K581" s="12" t="n">
        <v>1</v>
      </c>
    </row>
    <row r="582">
      <c r="A582" s="12" t="inlineStr">
        <is>
          <t>ACC fan motor F22</t>
        </is>
      </c>
      <c r="B582" s="12" t="inlineStr">
        <is>
          <t>ACC-F22</t>
        </is>
      </c>
      <c r="C582" s="12" t="inlineStr">
        <is>
          <t>B</t>
        </is>
      </c>
      <c r="D582" s="12" t="inlineStr">
        <is>
          <t>ACC fan F22 motor (VFD output)</t>
        </is>
      </c>
      <c r="E582" s="12" t="n">
        <v>480</v>
      </c>
      <c r="F582" s="12" t="n">
        <v>150</v>
      </c>
      <c r="G582" s="12" t="n">
        <v>212</v>
      </c>
      <c r="H582" s="12" t="inlineStr">
        <is>
          <t>R4: ACC electrical (VFD) e-house (60 x 120 ft)</t>
        </is>
      </c>
      <c r="I582" s="12" t="inlineStr">
        <is>
          <t>LV 600 V</t>
        </is>
      </c>
      <c r="J582" s="12" t="inlineStr">
        <is>
          <t>350 kcmil</t>
        </is>
      </c>
      <c r="K582" s="12" t="n">
        <v>1</v>
      </c>
    </row>
    <row r="583">
      <c r="A583" s="12" t="inlineStr">
        <is>
          <t>ACC fan motor F23</t>
        </is>
      </c>
      <c r="B583" s="12" t="inlineStr">
        <is>
          <t>ACC-F23</t>
        </is>
      </c>
      <c r="C583" s="12" t="inlineStr">
        <is>
          <t>B</t>
        </is>
      </c>
      <c r="D583" s="12" t="inlineStr">
        <is>
          <t>ACC fan F23 motor (VFD output)</t>
        </is>
      </c>
      <c r="E583" s="12" t="n">
        <v>480</v>
      </c>
      <c r="F583" s="12" t="n">
        <v>150</v>
      </c>
      <c r="G583" s="12" t="n">
        <v>212</v>
      </c>
      <c r="H583" s="12" t="inlineStr">
        <is>
          <t>R4: ACC electrical (VFD) e-house (60 x 120 ft)</t>
        </is>
      </c>
      <c r="I583" s="12" t="inlineStr">
        <is>
          <t>LV 600 V</t>
        </is>
      </c>
      <c r="J583" s="12" t="inlineStr">
        <is>
          <t>350 kcmil</t>
        </is>
      </c>
      <c r="K583" s="12" t="n">
        <v>1</v>
      </c>
    </row>
    <row r="584">
      <c r="A584" s="12" t="inlineStr">
        <is>
          <t>ACC fan motor F24</t>
        </is>
      </c>
      <c r="B584" s="12" t="inlineStr">
        <is>
          <t>ACC-F24</t>
        </is>
      </c>
      <c r="C584" s="12" t="inlineStr">
        <is>
          <t>B</t>
        </is>
      </c>
      <c r="D584" s="12" t="inlineStr">
        <is>
          <t>ACC fan F24 motor (VFD output)</t>
        </is>
      </c>
      <c r="E584" s="12" t="n">
        <v>480</v>
      </c>
      <c r="F584" s="12" t="n">
        <v>150</v>
      </c>
      <c r="G584" s="12" t="n">
        <v>212</v>
      </c>
      <c r="H584" s="12" t="inlineStr">
        <is>
          <t>R4: ACC electrical (VFD) e-house (60 x 120 ft)</t>
        </is>
      </c>
      <c r="I584" s="12" t="inlineStr">
        <is>
          <t>LV 600 V</t>
        </is>
      </c>
      <c r="J584" s="12" t="inlineStr">
        <is>
          <t>350 kcmil</t>
        </is>
      </c>
      <c r="K584" s="12" t="n">
        <v>1</v>
      </c>
    </row>
    <row r="585">
      <c r="A585" s="12" t="inlineStr">
        <is>
          <t>ACC fan motor F25</t>
        </is>
      </c>
      <c r="B585" s="12" t="inlineStr">
        <is>
          <t>ACC-F25</t>
        </is>
      </c>
      <c r="C585" s="12" t="inlineStr">
        <is>
          <t>B</t>
        </is>
      </c>
      <c r="D585" s="12" t="inlineStr">
        <is>
          <t>ACC fan F25 motor (VFD output)</t>
        </is>
      </c>
      <c r="E585" s="12" t="n">
        <v>480</v>
      </c>
      <c r="F585" s="12" t="n">
        <v>150</v>
      </c>
      <c r="G585" s="12" t="n">
        <v>212</v>
      </c>
      <c r="H585" s="12" t="inlineStr">
        <is>
          <t>R4: ACC electrical (VFD) e-house (60 x 120 ft)</t>
        </is>
      </c>
      <c r="I585" s="12" t="inlineStr">
        <is>
          <t>LV 600 V</t>
        </is>
      </c>
      <c r="J585" s="12" t="inlineStr">
        <is>
          <t>350 kcmil</t>
        </is>
      </c>
      <c r="K585" s="12" t="n">
        <v>1</v>
      </c>
    </row>
    <row r="586">
      <c r="A586" s="12" t="inlineStr">
        <is>
          <t>ACC fan motor F26</t>
        </is>
      </c>
      <c r="B586" s="12" t="inlineStr">
        <is>
          <t>ACC-F26</t>
        </is>
      </c>
      <c r="C586" s="12" t="inlineStr">
        <is>
          <t>B</t>
        </is>
      </c>
      <c r="D586" s="12" t="inlineStr">
        <is>
          <t>ACC fan F26 motor (VFD output)</t>
        </is>
      </c>
      <c r="E586" s="12" t="n">
        <v>480</v>
      </c>
      <c r="F586" s="12" t="n">
        <v>150</v>
      </c>
      <c r="G586" s="12" t="n">
        <v>212</v>
      </c>
      <c r="H586" s="12" t="inlineStr">
        <is>
          <t>R4: ACC electrical (VFD) e-house (60 x 120 ft)</t>
        </is>
      </c>
      <c r="I586" s="12" t="inlineStr">
        <is>
          <t>LV 600 V</t>
        </is>
      </c>
      <c r="J586" s="12" t="inlineStr">
        <is>
          <t>350 kcmil</t>
        </is>
      </c>
      <c r="K586" s="12" t="n">
        <v>1</v>
      </c>
    </row>
    <row r="587">
      <c r="A587" s="12" t="inlineStr">
        <is>
          <t>ACC fan motor F27</t>
        </is>
      </c>
      <c r="B587" s="12" t="inlineStr">
        <is>
          <t>ACC-F27</t>
        </is>
      </c>
      <c r="C587" s="12" t="inlineStr">
        <is>
          <t>B</t>
        </is>
      </c>
      <c r="D587" s="12" t="inlineStr">
        <is>
          <t>ACC fan F27 motor (VFD output)</t>
        </is>
      </c>
      <c r="E587" s="12" t="n">
        <v>480</v>
      </c>
      <c r="F587" s="12" t="n">
        <v>150</v>
      </c>
      <c r="G587" s="12" t="n">
        <v>212</v>
      </c>
      <c r="H587" s="12" t="inlineStr">
        <is>
          <t>R4: ACC electrical (VFD) e-house (60 x 120 ft)</t>
        </is>
      </c>
      <c r="I587" s="12" t="inlineStr">
        <is>
          <t>LV 600 V</t>
        </is>
      </c>
      <c r="J587" s="12" t="inlineStr">
        <is>
          <t>350 kcmil</t>
        </is>
      </c>
      <c r="K587" s="12" t="n">
        <v>1</v>
      </c>
    </row>
    <row r="588">
      <c r="A588" s="12" t="inlineStr">
        <is>
          <t>ACC fan motor F28</t>
        </is>
      </c>
      <c r="B588" s="12" t="inlineStr">
        <is>
          <t>ACC-F28</t>
        </is>
      </c>
      <c r="C588" s="12" t="inlineStr">
        <is>
          <t>B</t>
        </is>
      </c>
      <c r="D588" s="12" t="inlineStr">
        <is>
          <t>ACC fan F28 motor (VFD output)</t>
        </is>
      </c>
      <c r="E588" s="12" t="n">
        <v>480</v>
      </c>
      <c r="F588" s="12" t="n">
        <v>150</v>
      </c>
      <c r="G588" s="12" t="n">
        <v>212</v>
      </c>
      <c r="H588" s="12" t="inlineStr">
        <is>
          <t>R4: ACC electrical (VFD) e-house (60 x 120 ft)</t>
        </is>
      </c>
      <c r="I588" s="12" t="inlineStr">
        <is>
          <t>LV 600 V</t>
        </is>
      </c>
      <c r="J588" s="12" t="inlineStr">
        <is>
          <t>350 kcmil</t>
        </is>
      </c>
      <c r="K588" s="12" t="n">
        <v>1</v>
      </c>
    </row>
    <row r="589">
      <c r="A589" s="12" t="inlineStr">
        <is>
          <t>ACC fan motor F29</t>
        </is>
      </c>
      <c r="B589" s="12" t="inlineStr">
        <is>
          <t>ACC-F29</t>
        </is>
      </c>
      <c r="C589" s="12" t="inlineStr">
        <is>
          <t>B</t>
        </is>
      </c>
      <c r="D589" s="12" t="inlineStr">
        <is>
          <t>ACC fan F29 motor (VFD output)</t>
        </is>
      </c>
      <c r="E589" s="12" t="n">
        <v>480</v>
      </c>
      <c r="F589" s="12" t="n">
        <v>150</v>
      </c>
      <c r="G589" s="12" t="n">
        <v>212</v>
      </c>
      <c r="H589" s="12" t="inlineStr">
        <is>
          <t>R4: ACC electrical (VFD) e-house (60 x 120 ft)</t>
        </is>
      </c>
      <c r="I589" s="12" t="inlineStr">
        <is>
          <t>LV 600 V</t>
        </is>
      </c>
      <c r="J589" s="12" t="inlineStr">
        <is>
          <t>350 kcmil</t>
        </is>
      </c>
      <c r="K589" s="12" t="n">
        <v>1</v>
      </c>
    </row>
    <row r="590">
      <c r="A590" s="12" t="inlineStr">
        <is>
          <t>ACC fan motor F30</t>
        </is>
      </c>
      <c r="B590" s="12" t="inlineStr">
        <is>
          <t>ACC-F30</t>
        </is>
      </c>
      <c r="C590" s="12" t="inlineStr">
        <is>
          <t>B</t>
        </is>
      </c>
      <c r="D590" s="12" t="inlineStr">
        <is>
          <t>ACC fan F30 motor (VFD output)</t>
        </is>
      </c>
      <c r="E590" s="12" t="n">
        <v>480</v>
      </c>
      <c r="F590" s="12" t="n">
        <v>150</v>
      </c>
      <c r="G590" s="12" t="n">
        <v>212</v>
      </c>
      <c r="H590" s="12" t="inlineStr">
        <is>
          <t>R4: ACC electrical (VFD) e-house (60 x 120 ft)</t>
        </is>
      </c>
      <c r="I590" s="12" t="inlineStr">
        <is>
          <t>LV 600 V</t>
        </is>
      </c>
      <c r="J590" s="12" t="inlineStr">
        <is>
          <t>350 kcmil</t>
        </is>
      </c>
      <c r="K590" s="12" t="n">
        <v>1</v>
      </c>
    </row>
    <row r="591">
      <c r="A591" s="12" t="inlineStr">
        <is>
          <t>ACC fan motor F31</t>
        </is>
      </c>
      <c r="B591" s="12" t="inlineStr">
        <is>
          <t>ACC-F31</t>
        </is>
      </c>
      <c r="C591" s="12" t="inlineStr">
        <is>
          <t>B</t>
        </is>
      </c>
      <c r="D591" s="12" t="inlineStr">
        <is>
          <t>ACC fan F31 motor (VFD output)</t>
        </is>
      </c>
      <c r="E591" s="12" t="n">
        <v>480</v>
      </c>
      <c r="F591" s="12" t="n">
        <v>150</v>
      </c>
      <c r="G591" s="12" t="n">
        <v>212</v>
      </c>
      <c r="H591" s="12" t="inlineStr">
        <is>
          <t>R4: ACC electrical (VFD) e-house (60 x 120 ft)</t>
        </is>
      </c>
      <c r="I591" s="12" t="inlineStr">
        <is>
          <t>LV 600 V</t>
        </is>
      </c>
      <c r="J591" s="12" t="inlineStr">
        <is>
          <t>350 kcmil</t>
        </is>
      </c>
      <c r="K591" s="12" t="n">
        <v>1</v>
      </c>
    </row>
    <row r="592">
      <c r="A592" s="12" t="inlineStr">
        <is>
          <t>ACC fan motor F32</t>
        </is>
      </c>
      <c r="B592" s="12" t="inlineStr">
        <is>
          <t>ACC-F32</t>
        </is>
      </c>
      <c r="C592" s="12" t="inlineStr">
        <is>
          <t>B</t>
        </is>
      </c>
      <c r="D592" s="12" t="inlineStr">
        <is>
          <t>ACC fan F32 motor (VFD output)</t>
        </is>
      </c>
      <c r="E592" s="12" t="n">
        <v>480</v>
      </c>
      <c r="F592" s="12" t="n">
        <v>150</v>
      </c>
      <c r="G592" s="12" t="n">
        <v>212</v>
      </c>
      <c r="H592" s="12" t="inlineStr">
        <is>
          <t>R4: ACC electrical (VFD) e-house (60 x 120 ft)</t>
        </is>
      </c>
      <c r="I592" s="12" t="inlineStr">
        <is>
          <t>LV 600 V</t>
        </is>
      </c>
      <c r="J592" s="12" t="inlineStr">
        <is>
          <t>350 kcmil</t>
        </is>
      </c>
      <c r="K592" s="12" t="n">
        <v>1</v>
      </c>
    </row>
    <row r="593">
      <c r="A593" s="12" t="inlineStr">
        <is>
          <t>ACC fan motor F33</t>
        </is>
      </c>
      <c r="B593" s="12" t="inlineStr">
        <is>
          <t>ACC-F33</t>
        </is>
      </c>
      <c r="C593" s="12" t="inlineStr">
        <is>
          <t>B</t>
        </is>
      </c>
      <c r="D593" s="12" t="inlineStr">
        <is>
          <t>ACC fan F33 motor (VFD output)</t>
        </is>
      </c>
      <c r="E593" s="12" t="n">
        <v>480</v>
      </c>
      <c r="F593" s="12" t="n">
        <v>150</v>
      </c>
      <c r="G593" s="12" t="n">
        <v>212</v>
      </c>
      <c r="H593" s="12" t="inlineStr">
        <is>
          <t>R4: ACC electrical (VFD) e-house (60 x 120 ft)</t>
        </is>
      </c>
      <c r="I593" s="12" t="inlineStr">
        <is>
          <t>LV 600 V</t>
        </is>
      </c>
      <c r="J593" s="12" t="inlineStr">
        <is>
          <t>350 kcmil</t>
        </is>
      </c>
      <c r="K593" s="12" t="n">
        <v>1</v>
      </c>
    </row>
    <row r="594">
      <c r="A594" s="12" t="inlineStr">
        <is>
          <t>ACC fan motor F34</t>
        </is>
      </c>
      <c r="B594" s="12" t="inlineStr">
        <is>
          <t>ACC-F34</t>
        </is>
      </c>
      <c r="C594" s="12" t="inlineStr">
        <is>
          <t>B</t>
        </is>
      </c>
      <c r="D594" s="12" t="inlineStr">
        <is>
          <t>ACC fan F34 motor (VFD output)</t>
        </is>
      </c>
      <c r="E594" s="12" t="n">
        <v>480</v>
      </c>
      <c r="F594" s="12" t="n">
        <v>150</v>
      </c>
      <c r="G594" s="12" t="n">
        <v>212</v>
      </c>
      <c r="H594" s="12" t="inlineStr">
        <is>
          <t>R4: ACC electrical (VFD) e-house (60 x 120 ft)</t>
        </is>
      </c>
      <c r="I594" s="12" t="inlineStr">
        <is>
          <t>LV 600 V</t>
        </is>
      </c>
      <c r="J594" s="12" t="inlineStr">
        <is>
          <t>350 kcmil</t>
        </is>
      </c>
      <c r="K594" s="12" t="n">
        <v>1</v>
      </c>
    </row>
    <row r="595">
      <c r="A595" s="12" t="inlineStr">
        <is>
          <t>ACC fan motor F35</t>
        </is>
      </c>
      <c r="B595" s="12" t="inlineStr">
        <is>
          <t>ACC-F35</t>
        </is>
      </c>
      <c r="C595" s="12" t="inlineStr">
        <is>
          <t>B</t>
        </is>
      </c>
      <c r="D595" s="12" t="inlineStr">
        <is>
          <t>ACC fan F35 motor (VFD output)</t>
        </is>
      </c>
      <c r="E595" s="12" t="n">
        <v>480</v>
      </c>
      <c r="F595" s="12" t="n">
        <v>150</v>
      </c>
      <c r="G595" s="12" t="n">
        <v>212</v>
      </c>
      <c r="H595" s="12" t="inlineStr">
        <is>
          <t>R4: ACC electrical (VFD) e-house (60 x 120 ft)</t>
        </is>
      </c>
      <c r="I595" s="12" t="inlineStr">
        <is>
          <t>LV 600 V</t>
        </is>
      </c>
      <c r="J595" s="12" t="inlineStr">
        <is>
          <t>350 kcmil</t>
        </is>
      </c>
      <c r="K595" s="12" t="n">
        <v>1</v>
      </c>
    </row>
    <row r="596">
      <c r="A596" s="12" t="inlineStr">
        <is>
          <t>ACC fan motor F36</t>
        </is>
      </c>
      <c r="B596" s="12" t="inlineStr">
        <is>
          <t>ACC-F36</t>
        </is>
      </c>
      <c r="C596" s="12" t="inlineStr">
        <is>
          <t>B</t>
        </is>
      </c>
      <c r="D596" s="12" t="inlineStr">
        <is>
          <t>ACC fan F36 motor (VFD output)</t>
        </is>
      </c>
      <c r="E596" s="12" t="n">
        <v>480</v>
      </c>
      <c r="F596" s="12" t="n">
        <v>150</v>
      </c>
      <c r="G596" s="12" t="n">
        <v>212</v>
      </c>
      <c r="H596" s="12" t="inlineStr">
        <is>
          <t>R4: ACC electrical (VFD) e-house (60 x 120 ft)</t>
        </is>
      </c>
      <c r="I596" s="12" t="inlineStr">
        <is>
          <t>LV 600 V</t>
        </is>
      </c>
      <c r="J596" s="12" t="inlineStr">
        <is>
          <t>350 kcmil</t>
        </is>
      </c>
      <c r="K596" s="12" t="n">
        <v>1</v>
      </c>
    </row>
    <row r="597">
      <c r="A597" s="12" t="inlineStr">
        <is>
          <t>ACC fan motor F37</t>
        </is>
      </c>
      <c r="B597" s="12" t="inlineStr">
        <is>
          <t>ACC-F37</t>
        </is>
      </c>
      <c r="C597" s="12" t="inlineStr">
        <is>
          <t>B</t>
        </is>
      </c>
      <c r="D597" s="12" t="inlineStr">
        <is>
          <t>ACC fan F37 motor (VFD output)</t>
        </is>
      </c>
      <c r="E597" s="12" t="n">
        <v>480</v>
      </c>
      <c r="F597" s="12" t="n">
        <v>150</v>
      </c>
      <c r="G597" s="12" t="n">
        <v>212</v>
      </c>
      <c r="H597" s="12" t="inlineStr">
        <is>
          <t>R4: ACC electrical (VFD) e-house (60 x 120 ft)</t>
        </is>
      </c>
      <c r="I597" s="12" t="inlineStr">
        <is>
          <t>LV 600 V</t>
        </is>
      </c>
      <c r="J597" s="12" t="inlineStr">
        <is>
          <t>350 kcmil</t>
        </is>
      </c>
      <c r="K597" s="12" t="n">
        <v>1</v>
      </c>
    </row>
    <row r="598">
      <c r="A598" s="12" t="inlineStr">
        <is>
          <t>ACC fan motor F38</t>
        </is>
      </c>
      <c r="B598" s="12" t="inlineStr">
        <is>
          <t>ACC-F38</t>
        </is>
      </c>
      <c r="C598" s="12" t="inlineStr">
        <is>
          <t>B</t>
        </is>
      </c>
      <c r="D598" s="12" t="inlineStr">
        <is>
          <t>ACC fan F38 motor (VFD output)</t>
        </is>
      </c>
      <c r="E598" s="12" t="n">
        <v>480</v>
      </c>
      <c r="F598" s="12" t="n">
        <v>150</v>
      </c>
      <c r="G598" s="12" t="n">
        <v>212</v>
      </c>
      <c r="H598" s="12" t="inlineStr">
        <is>
          <t>R4: ACC electrical (VFD) e-house (60 x 120 ft)</t>
        </is>
      </c>
      <c r="I598" s="12" t="inlineStr">
        <is>
          <t>LV 600 V</t>
        </is>
      </c>
      <c r="J598" s="12" t="inlineStr">
        <is>
          <t>350 kcmil</t>
        </is>
      </c>
      <c r="K598" s="12" t="n">
        <v>1</v>
      </c>
    </row>
    <row r="599">
      <c r="A599" s="12" t="inlineStr">
        <is>
          <t>ACC fan motor F39</t>
        </is>
      </c>
      <c r="B599" s="12" t="inlineStr">
        <is>
          <t>ACC-F39</t>
        </is>
      </c>
      <c r="C599" s="12" t="inlineStr">
        <is>
          <t>B</t>
        </is>
      </c>
      <c r="D599" s="12" t="inlineStr">
        <is>
          <t>ACC fan F39 motor (VFD output)</t>
        </is>
      </c>
      <c r="E599" s="12" t="n">
        <v>480</v>
      </c>
      <c r="F599" s="12" t="n">
        <v>150</v>
      </c>
      <c r="G599" s="12" t="n">
        <v>212</v>
      </c>
      <c r="H599" s="12" t="inlineStr">
        <is>
          <t>R4: ACC electrical (VFD) e-house (60 x 120 ft)</t>
        </is>
      </c>
      <c r="I599" s="12" t="inlineStr">
        <is>
          <t>LV 600 V</t>
        </is>
      </c>
      <c r="J599" s="12" t="inlineStr">
        <is>
          <t>350 kcmil</t>
        </is>
      </c>
      <c r="K599" s="12" t="n">
        <v>1</v>
      </c>
    </row>
    <row r="600">
      <c r="A600" s="12" t="inlineStr">
        <is>
          <t>ACC fan motor F40</t>
        </is>
      </c>
      <c r="B600" s="12" t="inlineStr">
        <is>
          <t>ACC-F40</t>
        </is>
      </c>
      <c r="C600" s="12" t="inlineStr">
        <is>
          <t>B</t>
        </is>
      </c>
      <c r="D600" s="12" t="inlineStr">
        <is>
          <t>ACC fan F40 motor (VFD output)</t>
        </is>
      </c>
      <c r="E600" s="12" t="n">
        <v>480</v>
      </c>
      <c r="F600" s="12" t="n">
        <v>150</v>
      </c>
      <c r="G600" s="12" t="n">
        <v>212</v>
      </c>
      <c r="H600" s="12" t="inlineStr">
        <is>
          <t>R4: ACC electrical (VFD) e-house (60 x 120 ft)</t>
        </is>
      </c>
      <c r="I600" s="12" t="inlineStr">
        <is>
          <t>LV 600 V</t>
        </is>
      </c>
      <c r="J600" s="12" t="inlineStr">
        <is>
          <t>350 kcmil</t>
        </is>
      </c>
      <c r="K600" s="12" t="n">
        <v>1</v>
      </c>
    </row>
    <row r="601">
      <c r="A601" s="12" t="inlineStr">
        <is>
          <t>ACC fan motor F41</t>
        </is>
      </c>
      <c r="B601" s="12" t="inlineStr">
        <is>
          <t>ACC-F41</t>
        </is>
      </c>
      <c r="C601" s="12" t="inlineStr">
        <is>
          <t>B</t>
        </is>
      </c>
      <c r="D601" s="12" t="inlineStr">
        <is>
          <t>ACC fan F41 motor (VFD output)</t>
        </is>
      </c>
      <c r="E601" s="12" t="n">
        <v>480</v>
      </c>
      <c r="F601" s="12" t="n">
        <v>150</v>
      </c>
      <c r="G601" s="12" t="n">
        <v>212</v>
      </c>
      <c r="H601" s="12" t="inlineStr">
        <is>
          <t>R4: ACC electrical (VFD) e-house (60 x 120 ft)</t>
        </is>
      </c>
      <c r="I601" s="12" t="inlineStr">
        <is>
          <t>LV 600 V</t>
        </is>
      </c>
      <c r="J601" s="12" t="inlineStr">
        <is>
          <t>350 kcmil</t>
        </is>
      </c>
      <c r="K601" s="12" t="n">
        <v>1</v>
      </c>
    </row>
    <row r="602">
      <c r="A602" s="12" t="inlineStr">
        <is>
          <t>ACC fan motor F42</t>
        </is>
      </c>
      <c r="B602" s="12" t="inlineStr">
        <is>
          <t>ACC-F42</t>
        </is>
      </c>
      <c r="C602" s="12" t="inlineStr">
        <is>
          <t>B</t>
        </is>
      </c>
      <c r="D602" s="12" t="inlineStr">
        <is>
          <t>ACC fan F42 motor (VFD output)</t>
        </is>
      </c>
      <c r="E602" s="12" t="n">
        <v>480</v>
      </c>
      <c r="F602" s="12" t="n">
        <v>150</v>
      </c>
      <c r="G602" s="12" t="n">
        <v>212</v>
      </c>
      <c r="H602" s="12" t="inlineStr">
        <is>
          <t>R4: ACC electrical (VFD) e-house (60 x 120 ft)</t>
        </is>
      </c>
      <c r="I602" s="12" t="inlineStr">
        <is>
          <t>LV 600 V</t>
        </is>
      </c>
      <c r="J602" s="12" t="inlineStr">
        <is>
          <t>350 kcmil</t>
        </is>
      </c>
      <c r="K602" s="12" t="n">
        <v>1</v>
      </c>
    </row>
    <row r="603">
      <c r="A603" s="12" t="inlineStr">
        <is>
          <t>ACC fan motor F43</t>
        </is>
      </c>
      <c r="B603" s="12" t="inlineStr">
        <is>
          <t>ACC-F43</t>
        </is>
      </c>
      <c r="C603" s="12" t="inlineStr">
        <is>
          <t>B</t>
        </is>
      </c>
      <c r="D603" s="12" t="inlineStr">
        <is>
          <t>ACC fan F43 motor (VFD output)</t>
        </is>
      </c>
      <c r="E603" s="12" t="n">
        <v>480</v>
      </c>
      <c r="F603" s="12" t="n">
        <v>150</v>
      </c>
      <c r="G603" s="12" t="n">
        <v>212</v>
      </c>
      <c r="H603" s="12" t="inlineStr">
        <is>
          <t>R4: ACC electrical (VFD) e-house (60 x 120 ft)</t>
        </is>
      </c>
      <c r="I603" s="12" t="inlineStr">
        <is>
          <t>LV 600 V</t>
        </is>
      </c>
      <c r="J603" s="12" t="inlineStr">
        <is>
          <t>350 kcmil</t>
        </is>
      </c>
      <c r="K603" s="12" t="n">
        <v>1</v>
      </c>
    </row>
    <row r="604">
      <c r="A604" s="12" t="inlineStr">
        <is>
          <t>ACC fan motor F44</t>
        </is>
      </c>
      <c r="B604" s="12" t="inlineStr">
        <is>
          <t>ACC-F44</t>
        </is>
      </c>
      <c r="C604" s="12" t="inlineStr">
        <is>
          <t>B</t>
        </is>
      </c>
      <c r="D604" s="12" t="inlineStr">
        <is>
          <t>ACC fan F44 motor (VFD output)</t>
        </is>
      </c>
      <c r="E604" s="12" t="n">
        <v>480</v>
      </c>
      <c r="F604" s="12" t="n">
        <v>150</v>
      </c>
      <c r="G604" s="12" t="n">
        <v>212</v>
      </c>
      <c r="H604" s="12" t="inlineStr">
        <is>
          <t>R4: ACC electrical (VFD) e-house (60 x 120 ft)</t>
        </is>
      </c>
      <c r="I604" s="12" t="inlineStr">
        <is>
          <t>LV 600 V</t>
        </is>
      </c>
      <c r="J604" s="12" t="inlineStr">
        <is>
          <t>350 kcmil</t>
        </is>
      </c>
      <c r="K604" s="12" t="n">
        <v>1</v>
      </c>
    </row>
    <row r="605">
      <c r="A605" s="12" t="inlineStr">
        <is>
          <t>ACC fan motor F45</t>
        </is>
      </c>
      <c r="B605" s="12" t="inlineStr">
        <is>
          <t>ACC-F45</t>
        </is>
      </c>
      <c r="C605" s="12" t="inlineStr">
        <is>
          <t>B</t>
        </is>
      </c>
      <c r="D605" s="12" t="inlineStr">
        <is>
          <t>ACC fan F45 motor (VFD output)</t>
        </is>
      </c>
      <c r="E605" s="12" t="n">
        <v>480</v>
      </c>
      <c r="F605" s="12" t="n">
        <v>150</v>
      </c>
      <c r="G605" s="12" t="n">
        <v>212</v>
      </c>
      <c r="H605" s="12" t="inlineStr">
        <is>
          <t>R4: ACC electrical (VFD) e-house (60 x 120 ft)</t>
        </is>
      </c>
      <c r="I605" s="12" t="inlineStr">
        <is>
          <t>LV 600 V</t>
        </is>
      </c>
      <c r="J605" s="12" t="inlineStr">
        <is>
          <t>350 kcmil</t>
        </is>
      </c>
      <c r="K605" s="12" t="n">
        <v>1</v>
      </c>
    </row>
    <row r="606">
      <c r="A606" s="12" t="inlineStr">
        <is>
          <t>ACC fan motor F46</t>
        </is>
      </c>
      <c r="B606" s="12" t="inlineStr">
        <is>
          <t>ACC-F46</t>
        </is>
      </c>
      <c r="C606" s="12" t="inlineStr">
        <is>
          <t>B</t>
        </is>
      </c>
      <c r="D606" s="12" t="inlineStr">
        <is>
          <t>ACC fan F46 motor (VFD output)</t>
        </is>
      </c>
      <c r="E606" s="12" t="n">
        <v>480</v>
      </c>
      <c r="F606" s="12" t="n">
        <v>150</v>
      </c>
      <c r="G606" s="12" t="n">
        <v>212</v>
      </c>
      <c r="H606" s="12" t="inlineStr">
        <is>
          <t>R4: ACC electrical (VFD) e-house (60 x 120 ft)</t>
        </is>
      </c>
      <c r="I606" s="12" t="inlineStr">
        <is>
          <t>LV 600 V</t>
        </is>
      </c>
      <c r="J606" s="12" t="inlineStr">
        <is>
          <t>350 kcmil</t>
        </is>
      </c>
      <c r="K606" s="12" t="n">
        <v>1</v>
      </c>
    </row>
    <row r="607">
      <c r="A607" s="12" t="inlineStr">
        <is>
          <t>ACC fan motor F47</t>
        </is>
      </c>
      <c r="B607" s="12" t="inlineStr">
        <is>
          <t>ACC-F47</t>
        </is>
      </c>
      <c r="C607" s="12" t="inlineStr">
        <is>
          <t>B</t>
        </is>
      </c>
      <c r="D607" s="12" t="inlineStr">
        <is>
          <t>ACC fan F47 motor (VFD output)</t>
        </is>
      </c>
      <c r="E607" s="12" t="n">
        <v>480</v>
      </c>
      <c r="F607" s="12" t="n">
        <v>150</v>
      </c>
      <c r="G607" s="12" t="n">
        <v>212</v>
      </c>
      <c r="H607" s="12" t="inlineStr">
        <is>
          <t>R4: ACC electrical (VFD) e-house (60 x 120 ft)</t>
        </is>
      </c>
      <c r="I607" s="12" t="inlineStr">
        <is>
          <t>LV 600 V</t>
        </is>
      </c>
      <c r="J607" s="12" t="inlineStr">
        <is>
          <t>350 kcmil</t>
        </is>
      </c>
      <c r="K607" s="12" t="n">
        <v>1</v>
      </c>
    </row>
    <row r="608">
      <c r="A608" s="12" t="inlineStr">
        <is>
          <t>ACC fan motor F48</t>
        </is>
      </c>
      <c r="B608" s="12" t="inlineStr">
        <is>
          <t>ACC-F48</t>
        </is>
      </c>
      <c r="C608" s="12" t="inlineStr">
        <is>
          <t>B</t>
        </is>
      </c>
      <c r="D608" s="12" t="inlineStr">
        <is>
          <t>ACC fan F48 motor (VFD output)</t>
        </is>
      </c>
      <c r="E608" s="12" t="n">
        <v>480</v>
      </c>
      <c r="F608" s="12" t="n">
        <v>150</v>
      </c>
      <c r="G608" s="12" t="n">
        <v>212</v>
      </c>
      <c r="H608" s="12" t="inlineStr">
        <is>
          <t>R4: ACC electrical (VFD) e-house (60 x 120 ft)</t>
        </is>
      </c>
      <c r="I608" s="12" t="inlineStr">
        <is>
          <t>LV 600 V</t>
        </is>
      </c>
      <c r="J608" s="12" t="inlineStr">
        <is>
          <t>350 kcmil</t>
        </is>
      </c>
      <c r="K608" s="12" t="n">
        <v>1</v>
      </c>
    </row>
    <row r="609">
      <c r="A609" s="12" t="inlineStr">
        <is>
          <t>ACC fan motor F49</t>
        </is>
      </c>
      <c r="B609" s="12" t="inlineStr">
        <is>
          <t>ACC-F49</t>
        </is>
      </c>
      <c r="C609" s="12" t="inlineStr">
        <is>
          <t>B</t>
        </is>
      </c>
      <c r="D609" s="12" t="inlineStr">
        <is>
          <t>ACC fan F49 motor (VFD output)</t>
        </is>
      </c>
      <c r="E609" s="12" t="n">
        <v>480</v>
      </c>
      <c r="F609" s="12" t="n">
        <v>150</v>
      </c>
      <c r="G609" s="12" t="n">
        <v>212</v>
      </c>
      <c r="H609" s="12" t="inlineStr">
        <is>
          <t>R4: ACC electrical (VFD) e-house (60 x 120 ft)</t>
        </is>
      </c>
      <c r="I609" s="12" t="inlineStr">
        <is>
          <t>LV 600 V</t>
        </is>
      </c>
      <c r="J609" s="12" t="inlineStr">
        <is>
          <t>350 kcmil</t>
        </is>
      </c>
      <c r="K609" s="12" t="n">
        <v>1</v>
      </c>
    </row>
    <row r="610">
      <c r="A610" s="12" t="inlineStr">
        <is>
          <t>ACC fan motor F50</t>
        </is>
      </c>
      <c r="B610" s="12" t="inlineStr">
        <is>
          <t>ACC-F50</t>
        </is>
      </c>
      <c r="C610" s="12" t="inlineStr">
        <is>
          <t>B</t>
        </is>
      </c>
      <c r="D610" s="12" t="inlineStr">
        <is>
          <t>ACC fan F50 motor (VFD output)</t>
        </is>
      </c>
      <c r="E610" s="12" t="n">
        <v>480</v>
      </c>
      <c r="F610" s="12" t="n">
        <v>150</v>
      </c>
      <c r="G610" s="12" t="n">
        <v>212</v>
      </c>
      <c r="H610" s="12" t="inlineStr">
        <is>
          <t>R4: ACC electrical (VFD) e-house (60 x 120 ft)</t>
        </is>
      </c>
      <c r="I610" s="12" t="inlineStr">
        <is>
          <t>LV 600 V</t>
        </is>
      </c>
      <c r="J610" s="12" t="inlineStr">
        <is>
          <t>350 kcmil</t>
        </is>
      </c>
      <c r="K610" s="12" t="n">
        <v>1</v>
      </c>
    </row>
    <row r="611">
      <c r="A611" s="12" t="inlineStr">
        <is>
          <t>ACC fan motor F51</t>
        </is>
      </c>
      <c r="B611" s="12" t="inlineStr">
        <is>
          <t>ACC-F51</t>
        </is>
      </c>
      <c r="C611" s="12" t="inlineStr">
        <is>
          <t>B</t>
        </is>
      </c>
      <c r="D611" s="12" t="inlineStr">
        <is>
          <t>ACC fan F51 motor (VFD output)</t>
        </is>
      </c>
      <c r="E611" s="12" t="n">
        <v>480</v>
      </c>
      <c r="F611" s="12" t="n">
        <v>150</v>
      </c>
      <c r="G611" s="12" t="n">
        <v>212</v>
      </c>
      <c r="H611" s="12" t="inlineStr">
        <is>
          <t>R4: ACC electrical (VFD) e-house (60 x 120 ft)</t>
        </is>
      </c>
      <c r="I611" s="12" t="inlineStr">
        <is>
          <t>LV 600 V</t>
        </is>
      </c>
      <c r="J611" s="12" t="inlineStr">
        <is>
          <t>350 kcmil</t>
        </is>
      </c>
      <c r="K611" s="12" t="n">
        <v>1</v>
      </c>
    </row>
    <row r="612">
      <c r="A612" s="12" t="inlineStr">
        <is>
          <t>ACC fan motor F52</t>
        </is>
      </c>
      <c r="B612" s="12" t="inlineStr">
        <is>
          <t>ACC-F52</t>
        </is>
      </c>
      <c r="C612" s="12" t="inlineStr">
        <is>
          <t>B</t>
        </is>
      </c>
      <c r="D612" s="12" t="inlineStr">
        <is>
          <t>ACC fan F52 motor (VFD output)</t>
        </is>
      </c>
      <c r="E612" s="12" t="n">
        <v>480</v>
      </c>
      <c r="F612" s="12" t="n">
        <v>150</v>
      </c>
      <c r="G612" s="12" t="n">
        <v>212</v>
      </c>
      <c r="H612" s="12" t="inlineStr">
        <is>
          <t>R4: ACC electrical (VFD) e-house (60 x 120 ft)</t>
        </is>
      </c>
      <c r="I612" s="12" t="inlineStr">
        <is>
          <t>LV 600 V</t>
        </is>
      </c>
      <c r="J612" s="12" t="inlineStr">
        <is>
          <t>350 kcmil</t>
        </is>
      </c>
      <c r="K612" s="12" t="n">
        <v>1</v>
      </c>
    </row>
    <row r="613">
      <c r="A613" s="12" t="inlineStr">
        <is>
          <t>ACC fan motor F53</t>
        </is>
      </c>
      <c r="B613" s="12" t="inlineStr">
        <is>
          <t>ACC-F53</t>
        </is>
      </c>
      <c r="C613" s="12" t="inlineStr">
        <is>
          <t>B</t>
        </is>
      </c>
      <c r="D613" s="12" t="inlineStr">
        <is>
          <t>ACC fan F53 motor (VFD output)</t>
        </is>
      </c>
      <c r="E613" s="12" t="n">
        <v>480</v>
      </c>
      <c r="F613" s="12" t="n">
        <v>150</v>
      </c>
      <c r="G613" s="12" t="n">
        <v>212</v>
      </c>
      <c r="H613" s="12" t="inlineStr">
        <is>
          <t>R4: ACC electrical (VFD) e-house (60 x 120 ft)</t>
        </is>
      </c>
      <c r="I613" s="12" t="inlineStr">
        <is>
          <t>LV 600 V</t>
        </is>
      </c>
      <c r="J613" s="12" t="inlineStr">
        <is>
          <t>350 kcmil</t>
        </is>
      </c>
      <c r="K613" s="12" t="n">
        <v>1</v>
      </c>
    </row>
    <row r="614">
      <c r="A614" s="12" t="inlineStr">
        <is>
          <t>ACC fan motor F54</t>
        </is>
      </c>
      <c r="B614" s="12" t="inlineStr">
        <is>
          <t>ACC-F54</t>
        </is>
      </c>
      <c r="C614" s="12" t="inlineStr">
        <is>
          <t>B</t>
        </is>
      </c>
      <c r="D614" s="12" t="inlineStr">
        <is>
          <t>ACC fan F54 motor (VFD output)</t>
        </is>
      </c>
      <c r="E614" s="12" t="n">
        <v>480</v>
      </c>
      <c r="F614" s="12" t="n">
        <v>150</v>
      </c>
      <c r="G614" s="12" t="n">
        <v>212</v>
      </c>
      <c r="H614" s="12" t="inlineStr">
        <is>
          <t>R4: ACC electrical (VFD) e-house (60 x 120 ft)</t>
        </is>
      </c>
      <c r="I614" s="12" t="inlineStr">
        <is>
          <t>LV 600 V</t>
        </is>
      </c>
      <c r="J614" s="12" t="inlineStr">
        <is>
          <t>350 kcmil</t>
        </is>
      </c>
      <c r="K614" s="12" t="n">
        <v>1</v>
      </c>
    </row>
    <row r="615">
      <c r="A615" s="12" t="inlineStr">
        <is>
          <t>ACC fan motor F55</t>
        </is>
      </c>
      <c r="B615" s="12" t="inlineStr">
        <is>
          <t>ACC-F55</t>
        </is>
      </c>
      <c r="C615" s="12" t="inlineStr">
        <is>
          <t>B</t>
        </is>
      </c>
      <c r="D615" s="12" t="inlineStr">
        <is>
          <t>ACC fan F55 motor (VFD output)</t>
        </is>
      </c>
      <c r="E615" s="12" t="n">
        <v>480</v>
      </c>
      <c r="F615" s="12" t="n">
        <v>150</v>
      </c>
      <c r="G615" s="12" t="n">
        <v>212</v>
      </c>
      <c r="H615" s="12" t="inlineStr">
        <is>
          <t>R4: ACC electrical (VFD) e-house (60 x 120 ft)</t>
        </is>
      </c>
      <c r="I615" s="12" t="inlineStr">
        <is>
          <t>LV 600 V</t>
        </is>
      </c>
      <c r="J615" s="12" t="inlineStr">
        <is>
          <t>350 kcmil</t>
        </is>
      </c>
      <c r="K615" s="12" t="n">
        <v>1</v>
      </c>
    </row>
    <row r="616">
      <c r="A616" s="12" t="inlineStr">
        <is>
          <t>ACC fan motor F56</t>
        </is>
      </c>
      <c r="B616" s="12" t="inlineStr">
        <is>
          <t>ACC-F56</t>
        </is>
      </c>
      <c r="C616" s="12" t="inlineStr">
        <is>
          <t>B</t>
        </is>
      </c>
      <c r="D616" s="12" t="inlineStr">
        <is>
          <t>ACC fan F56 motor (VFD output)</t>
        </is>
      </c>
      <c r="E616" s="12" t="n">
        <v>480</v>
      </c>
      <c r="F616" s="12" t="n">
        <v>150</v>
      </c>
      <c r="G616" s="12" t="n">
        <v>212</v>
      </c>
      <c r="H616" s="12" t="inlineStr">
        <is>
          <t>R4: ACC electrical (VFD) e-house (60 x 120 ft)</t>
        </is>
      </c>
      <c r="I616" s="12" t="inlineStr">
        <is>
          <t>LV 600 V</t>
        </is>
      </c>
      <c r="J616" s="12" t="inlineStr">
        <is>
          <t>350 kcmil</t>
        </is>
      </c>
      <c r="K616" s="12" t="n">
        <v>1</v>
      </c>
    </row>
    <row r="617">
      <c r="A617" s="12" t="inlineStr">
        <is>
          <t>ACC fan motor F57</t>
        </is>
      </c>
      <c r="B617" s="12" t="inlineStr">
        <is>
          <t>ACC-F57</t>
        </is>
      </c>
      <c r="C617" s="12" t="inlineStr">
        <is>
          <t>B</t>
        </is>
      </c>
      <c r="D617" s="12" t="inlineStr">
        <is>
          <t>ACC fan F57 motor (VFD output)</t>
        </is>
      </c>
      <c r="E617" s="12" t="n">
        <v>480</v>
      </c>
      <c r="F617" s="12" t="n">
        <v>150</v>
      </c>
      <c r="G617" s="12" t="n">
        <v>212</v>
      </c>
      <c r="H617" s="12" t="inlineStr">
        <is>
          <t>R4: ACC electrical (VFD) e-house (60 x 120 ft)</t>
        </is>
      </c>
      <c r="I617" s="12" t="inlineStr">
        <is>
          <t>LV 600 V</t>
        </is>
      </c>
      <c r="J617" s="12" t="inlineStr">
        <is>
          <t>350 kcmil</t>
        </is>
      </c>
      <c r="K617" s="12" t="n">
        <v>1</v>
      </c>
    </row>
    <row r="618">
      <c r="A618" s="12" t="inlineStr">
        <is>
          <t>ACC fan motor F58</t>
        </is>
      </c>
      <c r="B618" s="12" t="inlineStr">
        <is>
          <t>ACC-F58</t>
        </is>
      </c>
      <c r="C618" s="12" t="inlineStr">
        <is>
          <t>B</t>
        </is>
      </c>
      <c r="D618" s="12" t="inlineStr">
        <is>
          <t>ACC fan F58 motor (VFD output)</t>
        </is>
      </c>
      <c r="E618" s="12" t="n">
        <v>480</v>
      </c>
      <c r="F618" s="12" t="n">
        <v>150</v>
      </c>
      <c r="G618" s="12" t="n">
        <v>212</v>
      </c>
      <c r="H618" s="12" t="inlineStr">
        <is>
          <t>R4: ACC electrical (VFD) e-house (60 x 120 ft)</t>
        </is>
      </c>
      <c r="I618" s="12" t="inlineStr">
        <is>
          <t>LV 600 V</t>
        </is>
      </c>
      <c r="J618" s="12" t="inlineStr">
        <is>
          <t>350 kcmil</t>
        </is>
      </c>
      <c r="K618" s="12" t="n">
        <v>1</v>
      </c>
    </row>
    <row r="619">
      <c r="A619" s="12" t="inlineStr">
        <is>
          <t>ACC fan motor F59</t>
        </is>
      </c>
      <c r="B619" s="12" t="inlineStr">
        <is>
          <t>ACC-F59</t>
        </is>
      </c>
      <c r="C619" s="12" t="inlineStr">
        <is>
          <t>B</t>
        </is>
      </c>
      <c r="D619" s="12" t="inlineStr">
        <is>
          <t>ACC fan F59 motor (VFD output)</t>
        </is>
      </c>
      <c r="E619" s="12" t="n">
        <v>480</v>
      </c>
      <c r="F619" s="12" t="n">
        <v>150</v>
      </c>
      <c r="G619" s="12" t="n">
        <v>212</v>
      </c>
      <c r="H619" s="12" t="inlineStr">
        <is>
          <t>R4: ACC electrical (VFD) e-house (60 x 120 ft)</t>
        </is>
      </c>
      <c r="I619" s="12" t="inlineStr">
        <is>
          <t>LV 600 V</t>
        </is>
      </c>
      <c r="J619" s="12" t="inlineStr">
        <is>
          <t>350 kcmil</t>
        </is>
      </c>
      <c r="K619" s="12" t="n">
        <v>1</v>
      </c>
    </row>
    <row r="620">
      <c r="A620" s="12" t="inlineStr">
        <is>
          <t>ACC fan motor F60</t>
        </is>
      </c>
      <c r="B620" s="12" t="inlineStr">
        <is>
          <t>ACC-F60</t>
        </is>
      </c>
      <c r="C620" s="12" t="inlineStr">
        <is>
          <t>B</t>
        </is>
      </c>
      <c r="D620" s="12" t="inlineStr">
        <is>
          <t>ACC fan F60 motor (VFD output)</t>
        </is>
      </c>
      <c r="E620" s="12" t="n">
        <v>480</v>
      </c>
      <c r="F620" s="12" t="n">
        <v>150</v>
      </c>
      <c r="G620" s="12" t="n">
        <v>212</v>
      </c>
      <c r="H620" s="12" t="inlineStr">
        <is>
          <t>R4: ACC electrical (VFD) e-house (60 x 120 ft)</t>
        </is>
      </c>
      <c r="I620" s="12" t="inlineStr">
        <is>
          <t>LV 600 V</t>
        </is>
      </c>
      <c r="J620" s="12" t="inlineStr">
        <is>
          <t>350 kcmil</t>
        </is>
      </c>
      <c r="K620" s="12" t="n">
        <v>1</v>
      </c>
    </row>
    <row r="621">
      <c r="A621" s="12" t="inlineStr">
        <is>
          <t>ACC fan motor F61</t>
        </is>
      </c>
      <c r="B621" s="12" t="inlineStr">
        <is>
          <t>ACC-F61</t>
        </is>
      </c>
      <c r="C621" s="12" t="inlineStr">
        <is>
          <t>B</t>
        </is>
      </c>
      <c r="D621" s="12" t="inlineStr">
        <is>
          <t>ACC fan F61 motor (VFD output)</t>
        </is>
      </c>
      <c r="E621" s="12" t="n">
        <v>480</v>
      </c>
      <c r="F621" s="12" t="n">
        <v>150</v>
      </c>
      <c r="G621" s="12" t="n">
        <v>212</v>
      </c>
      <c r="H621" s="12" t="inlineStr">
        <is>
          <t>R4: ACC electrical (VFD) e-house (60 x 120 ft)</t>
        </is>
      </c>
      <c r="I621" s="12" t="inlineStr">
        <is>
          <t>LV 600 V</t>
        </is>
      </c>
      <c r="J621" s="12" t="inlineStr">
        <is>
          <t>350 kcmil</t>
        </is>
      </c>
      <c r="K621" s="12" t="n">
        <v>1</v>
      </c>
    </row>
    <row r="622">
      <c r="A622" s="12" t="inlineStr">
        <is>
          <t>ACC fan motor F62</t>
        </is>
      </c>
      <c r="B622" s="12" t="inlineStr">
        <is>
          <t>ACC-F62</t>
        </is>
      </c>
      <c r="C622" s="12" t="inlineStr">
        <is>
          <t>B</t>
        </is>
      </c>
      <c r="D622" s="12" t="inlineStr">
        <is>
          <t>ACC fan F62 motor (VFD output)</t>
        </is>
      </c>
      <c r="E622" s="12" t="n">
        <v>480</v>
      </c>
      <c r="F622" s="12" t="n">
        <v>150</v>
      </c>
      <c r="G622" s="12" t="n">
        <v>212</v>
      </c>
      <c r="H622" s="12" t="inlineStr">
        <is>
          <t>R4: ACC electrical (VFD) e-house (60 x 120 ft)</t>
        </is>
      </c>
      <c r="I622" s="12" t="inlineStr">
        <is>
          <t>LV 600 V</t>
        </is>
      </c>
      <c r="J622" s="12" t="inlineStr">
        <is>
          <t>350 kcmil</t>
        </is>
      </c>
      <c r="K622" s="12" t="n">
        <v>1</v>
      </c>
    </row>
    <row r="623">
      <c r="A623" s="12" t="inlineStr">
        <is>
          <t>ACC fan motor F63</t>
        </is>
      </c>
      <c r="B623" s="12" t="inlineStr">
        <is>
          <t>ACC-F63</t>
        </is>
      </c>
      <c r="C623" s="12" t="inlineStr">
        <is>
          <t>B</t>
        </is>
      </c>
      <c r="D623" s="12" t="inlineStr">
        <is>
          <t>ACC fan F63 motor (VFD output)</t>
        </is>
      </c>
      <c r="E623" s="12" t="n">
        <v>480</v>
      </c>
      <c r="F623" s="12" t="n">
        <v>150</v>
      </c>
      <c r="G623" s="12" t="n">
        <v>212</v>
      </c>
      <c r="H623" s="12" t="inlineStr">
        <is>
          <t>R4: ACC electrical (VFD) e-house (60 x 120 ft)</t>
        </is>
      </c>
      <c r="I623" s="12" t="inlineStr">
        <is>
          <t>LV 600 V</t>
        </is>
      </c>
      <c r="J623" s="12" t="inlineStr">
        <is>
          <t>350 kcmil</t>
        </is>
      </c>
      <c r="K623" s="12" t="n">
        <v>1</v>
      </c>
    </row>
    <row r="624">
      <c r="A624" s="12" t="inlineStr">
        <is>
          <t>ACC fan motor F64</t>
        </is>
      </c>
      <c r="B624" s="12" t="inlineStr">
        <is>
          <t>ACC-F64</t>
        </is>
      </c>
      <c r="C624" s="12" t="inlineStr">
        <is>
          <t>B</t>
        </is>
      </c>
      <c r="D624" s="12" t="inlineStr">
        <is>
          <t>ACC fan F64 motor (VFD output)</t>
        </is>
      </c>
      <c r="E624" s="12" t="n">
        <v>480</v>
      </c>
      <c r="F624" s="12" t="n">
        <v>150</v>
      </c>
      <c r="G624" s="12" t="n">
        <v>212</v>
      </c>
      <c r="H624" s="12" t="inlineStr">
        <is>
          <t>R4: ACC electrical (VFD) e-house (60 x 120 ft)</t>
        </is>
      </c>
      <c r="I624" s="12" t="inlineStr">
        <is>
          <t>LV 600 V</t>
        </is>
      </c>
      <c r="J624" s="12" t="inlineStr">
        <is>
          <t>350 kcmil</t>
        </is>
      </c>
      <c r="K624" s="12" t="n">
        <v>1</v>
      </c>
    </row>
    <row r="625">
      <c r="A625" s="12" t="inlineStr">
        <is>
          <t>ACC fan motor F65</t>
        </is>
      </c>
      <c r="B625" s="12" t="inlineStr">
        <is>
          <t>ACC-F65</t>
        </is>
      </c>
      <c r="C625" s="12" t="inlineStr">
        <is>
          <t>B</t>
        </is>
      </c>
      <c r="D625" s="12" t="inlineStr">
        <is>
          <t>ACC fan F65 motor (VFD output)</t>
        </is>
      </c>
      <c r="E625" s="12" t="n">
        <v>480</v>
      </c>
      <c r="F625" s="12" t="n">
        <v>150</v>
      </c>
      <c r="G625" s="12" t="n">
        <v>212</v>
      </c>
      <c r="H625" s="12" t="inlineStr">
        <is>
          <t>R4: ACC electrical (VFD) e-house (60 x 120 ft)</t>
        </is>
      </c>
      <c r="I625" s="12" t="inlineStr">
        <is>
          <t>LV 600 V</t>
        </is>
      </c>
      <c r="J625" s="12" t="inlineStr">
        <is>
          <t>350 kcmil</t>
        </is>
      </c>
      <c r="K625" s="12" t="n">
        <v>1</v>
      </c>
    </row>
    <row r="626">
      <c r="A626" s="12" t="inlineStr">
        <is>
          <t>ACC fan motor F66</t>
        </is>
      </c>
      <c r="B626" s="12" t="inlineStr">
        <is>
          <t>ACC-F66</t>
        </is>
      </c>
      <c r="C626" s="12" t="inlineStr">
        <is>
          <t>B</t>
        </is>
      </c>
      <c r="D626" s="12" t="inlineStr">
        <is>
          <t>ACC fan F66 motor (VFD output)</t>
        </is>
      </c>
      <c r="E626" s="12" t="n">
        <v>480</v>
      </c>
      <c r="F626" s="12" t="n">
        <v>150</v>
      </c>
      <c r="G626" s="12" t="n">
        <v>212</v>
      </c>
      <c r="H626" s="12" t="inlineStr">
        <is>
          <t>R4: ACC electrical (VFD) e-house (60 x 120 ft)</t>
        </is>
      </c>
      <c r="I626" s="12" t="inlineStr">
        <is>
          <t>LV 600 V</t>
        </is>
      </c>
      <c r="J626" s="12" t="inlineStr">
        <is>
          <t>350 kcmil</t>
        </is>
      </c>
      <c r="K626" s="12" t="n">
        <v>1</v>
      </c>
    </row>
    <row r="627">
      <c r="A627" s="12" t="inlineStr">
        <is>
          <t>ACC fan motor F67</t>
        </is>
      </c>
      <c r="B627" s="12" t="inlineStr">
        <is>
          <t>ACC-F67</t>
        </is>
      </c>
      <c r="C627" s="12" t="inlineStr">
        <is>
          <t>B</t>
        </is>
      </c>
      <c r="D627" s="12" t="inlineStr">
        <is>
          <t>ACC fan F67 motor (VFD output)</t>
        </is>
      </c>
      <c r="E627" s="12" t="n">
        <v>480</v>
      </c>
      <c r="F627" s="12" t="n">
        <v>150</v>
      </c>
      <c r="G627" s="12" t="n">
        <v>212</v>
      </c>
      <c r="H627" s="12" t="inlineStr">
        <is>
          <t>R4: ACC electrical (VFD) e-house (60 x 120 ft)</t>
        </is>
      </c>
      <c r="I627" s="12" t="inlineStr">
        <is>
          <t>LV 600 V</t>
        </is>
      </c>
      <c r="J627" s="12" t="inlineStr">
        <is>
          <t>350 kcmil</t>
        </is>
      </c>
      <c r="K627" s="12" t="n">
        <v>1</v>
      </c>
    </row>
    <row r="628">
      <c r="A628" s="12" t="inlineStr">
        <is>
          <t>ACC fan motor F68</t>
        </is>
      </c>
      <c r="B628" s="12" t="inlineStr">
        <is>
          <t>ACC-F68</t>
        </is>
      </c>
      <c r="C628" s="12" t="inlineStr">
        <is>
          <t>B</t>
        </is>
      </c>
      <c r="D628" s="12" t="inlineStr">
        <is>
          <t>ACC fan F68 motor (VFD output)</t>
        </is>
      </c>
      <c r="E628" s="12" t="n">
        <v>480</v>
      </c>
      <c r="F628" s="12" t="n">
        <v>150</v>
      </c>
      <c r="G628" s="12" t="n">
        <v>212</v>
      </c>
      <c r="H628" s="12" t="inlineStr">
        <is>
          <t>R4: ACC electrical (VFD) e-house (60 x 120 ft)</t>
        </is>
      </c>
      <c r="I628" s="12" t="inlineStr">
        <is>
          <t>LV 600 V</t>
        </is>
      </c>
      <c r="J628" s="12" t="inlineStr">
        <is>
          <t>350 kcmil</t>
        </is>
      </c>
      <c r="K628" s="12" t="n">
        <v>1</v>
      </c>
    </row>
    <row r="629">
      <c r="A629" s="12" t="inlineStr">
        <is>
          <t>ACC fan motor F69</t>
        </is>
      </c>
      <c r="B629" s="12" t="inlineStr">
        <is>
          <t>ACC-F69</t>
        </is>
      </c>
      <c r="C629" s="12" t="inlineStr">
        <is>
          <t>B</t>
        </is>
      </c>
      <c r="D629" s="12" t="inlineStr">
        <is>
          <t>ACC fan F69 motor (VFD output)</t>
        </is>
      </c>
      <c r="E629" s="12" t="n">
        <v>480</v>
      </c>
      <c r="F629" s="12" t="n">
        <v>150</v>
      </c>
      <c r="G629" s="12" t="n">
        <v>212</v>
      </c>
      <c r="H629" s="12" t="inlineStr">
        <is>
          <t>R4: ACC electrical (VFD) e-house (60 x 120 ft)</t>
        </is>
      </c>
      <c r="I629" s="12" t="inlineStr">
        <is>
          <t>LV 600 V</t>
        </is>
      </c>
      <c r="J629" s="12" t="inlineStr">
        <is>
          <t>350 kcmil</t>
        </is>
      </c>
      <c r="K629" s="12" t="n">
        <v>1</v>
      </c>
    </row>
    <row r="630">
      <c r="A630" s="12" t="inlineStr">
        <is>
          <t>ACC fan motor F70</t>
        </is>
      </c>
      <c r="B630" s="12" t="inlineStr">
        <is>
          <t>ACC-F70</t>
        </is>
      </c>
      <c r="C630" s="12" t="inlineStr">
        <is>
          <t>B</t>
        </is>
      </c>
      <c r="D630" s="12" t="inlineStr">
        <is>
          <t>ACC fan F70 motor (VFD output)</t>
        </is>
      </c>
      <c r="E630" s="12" t="n">
        <v>480</v>
      </c>
      <c r="F630" s="12" t="n">
        <v>150</v>
      </c>
      <c r="G630" s="12" t="n">
        <v>212</v>
      </c>
      <c r="H630" s="12" t="inlineStr">
        <is>
          <t>R4: ACC electrical (VFD) e-house (60 x 120 ft)</t>
        </is>
      </c>
      <c r="I630" s="12" t="inlineStr">
        <is>
          <t>LV 600 V</t>
        </is>
      </c>
      <c r="J630" s="12" t="inlineStr">
        <is>
          <t>350 kcmil</t>
        </is>
      </c>
      <c r="K630" s="12" t="n">
        <v>1</v>
      </c>
    </row>
    <row r="631">
      <c r="A631" s="12" t="inlineStr">
        <is>
          <t>ACC fan motor F71</t>
        </is>
      </c>
      <c r="B631" s="12" t="inlineStr">
        <is>
          <t>ACC-F71</t>
        </is>
      </c>
      <c r="C631" s="12" t="inlineStr">
        <is>
          <t>B</t>
        </is>
      </c>
      <c r="D631" s="12" t="inlineStr">
        <is>
          <t>ACC fan F71 motor (VFD output)</t>
        </is>
      </c>
      <c r="E631" s="12" t="n">
        <v>480</v>
      </c>
      <c r="F631" s="12" t="n">
        <v>150</v>
      </c>
      <c r="G631" s="12" t="n">
        <v>212</v>
      </c>
      <c r="H631" s="12" t="inlineStr">
        <is>
          <t>R4: ACC electrical (VFD) e-house (60 x 120 ft)</t>
        </is>
      </c>
      <c r="I631" s="12" t="inlineStr">
        <is>
          <t>LV 600 V</t>
        </is>
      </c>
      <c r="J631" s="12" t="inlineStr">
        <is>
          <t>350 kcmil</t>
        </is>
      </c>
      <c r="K631" s="12" t="n">
        <v>1</v>
      </c>
    </row>
    <row r="632">
      <c r="A632" s="12" t="inlineStr">
        <is>
          <t>ACC fan motor F72</t>
        </is>
      </c>
      <c r="B632" s="12" t="inlineStr">
        <is>
          <t>ACC-F72</t>
        </is>
      </c>
      <c r="C632" s="12" t="inlineStr">
        <is>
          <t>B</t>
        </is>
      </c>
      <c r="D632" s="12" t="inlineStr">
        <is>
          <t>ACC fan F72 motor (VFD output)</t>
        </is>
      </c>
      <c r="E632" s="12" t="n">
        <v>480</v>
      </c>
      <c r="F632" s="12" t="n">
        <v>150</v>
      </c>
      <c r="G632" s="12" t="n">
        <v>212</v>
      </c>
      <c r="H632" s="12" t="inlineStr">
        <is>
          <t>R4: ACC electrical (VFD) e-house (60 x 120 ft)</t>
        </is>
      </c>
      <c r="I632" s="12" t="inlineStr">
        <is>
          <t>LV 600 V</t>
        </is>
      </c>
      <c r="J632" s="12" t="inlineStr">
        <is>
          <t>350 kcmil</t>
        </is>
      </c>
      <c r="K632" s="12" t="n">
        <v>1</v>
      </c>
    </row>
    <row r="633">
      <c r="A633" s="12" t="inlineStr">
        <is>
          <t>ACC fan motor F73</t>
        </is>
      </c>
      <c r="B633" s="12" t="inlineStr">
        <is>
          <t>ACC-F73</t>
        </is>
      </c>
      <c r="C633" s="12" t="inlineStr">
        <is>
          <t>B</t>
        </is>
      </c>
      <c r="D633" s="12" t="inlineStr">
        <is>
          <t>ACC fan F73 motor (VFD output)</t>
        </is>
      </c>
      <c r="E633" s="12" t="n">
        <v>480</v>
      </c>
      <c r="F633" s="12" t="n">
        <v>150</v>
      </c>
      <c r="G633" s="12" t="n">
        <v>212</v>
      </c>
      <c r="H633" s="12" t="inlineStr">
        <is>
          <t>R4: ACC electrical (VFD) e-house (60 x 120 ft)</t>
        </is>
      </c>
      <c r="I633" s="12" t="inlineStr">
        <is>
          <t>LV 600 V</t>
        </is>
      </c>
      <c r="J633" s="12" t="inlineStr">
        <is>
          <t>350 kcmil</t>
        </is>
      </c>
      <c r="K633" s="12" t="n">
        <v>1</v>
      </c>
    </row>
    <row r="634">
      <c r="A634" s="12" t="inlineStr">
        <is>
          <t>ACC fan motor F74</t>
        </is>
      </c>
      <c r="B634" s="12" t="inlineStr">
        <is>
          <t>ACC-F74</t>
        </is>
      </c>
      <c r="C634" s="12" t="inlineStr">
        <is>
          <t>B</t>
        </is>
      </c>
      <c r="D634" s="12" t="inlineStr">
        <is>
          <t>ACC fan F74 motor (VFD output)</t>
        </is>
      </c>
      <c r="E634" s="12" t="n">
        <v>480</v>
      </c>
      <c r="F634" s="12" t="n">
        <v>150</v>
      </c>
      <c r="G634" s="12" t="n">
        <v>212</v>
      </c>
      <c r="H634" s="12" t="inlineStr">
        <is>
          <t>R4: ACC electrical (VFD) e-house (60 x 120 ft)</t>
        </is>
      </c>
      <c r="I634" s="12" t="inlineStr">
        <is>
          <t>LV 600 V</t>
        </is>
      </c>
      <c r="J634" s="12" t="inlineStr">
        <is>
          <t>350 kcmil</t>
        </is>
      </c>
      <c r="K634" s="12" t="n">
        <v>1</v>
      </c>
    </row>
    <row r="635">
      <c r="A635" s="12" t="inlineStr">
        <is>
          <t>ACC fan motor F75</t>
        </is>
      </c>
      <c r="B635" s="12" t="inlineStr">
        <is>
          <t>ACC-F75</t>
        </is>
      </c>
      <c r="C635" s="12" t="inlineStr">
        <is>
          <t>B</t>
        </is>
      </c>
      <c r="D635" s="12" t="inlineStr">
        <is>
          <t>ACC fan F75 motor (VFD output)</t>
        </is>
      </c>
      <c r="E635" s="12" t="n">
        <v>480</v>
      </c>
      <c r="F635" s="12" t="n">
        <v>150</v>
      </c>
      <c r="G635" s="12" t="n">
        <v>212</v>
      </c>
      <c r="H635" s="12" t="inlineStr">
        <is>
          <t>R4: ACC electrical (VFD) e-house (60 x 120 ft)</t>
        </is>
      </c>
      <c r="I635" s="12" t="inlineStr">
        <is>
          <t>LV 600 V</t>
        </is>
      </c>
      <c r="J635" s="12" t="inlineStr">
        <is>
          <t>350 kcmil</t>
        </is>
      </c>
      <c r="K635" s="12" t="n">
        <v>1</v>
      </c>
    </row>
    <row r="636">
      <c r="A636" s="12" t="inlineStr">
        <is>
          <t>ACC fan motor F76</t>
        </is>
      </c>
      <c r="B636" s="12" t="inlineStr">
        <is>
          <t>ACC-F76</t>
        </is>
      </c>
      <c r="C636" s="12" t="inlineStr">
        <is>
          <t>B</t>
        </is>
      </c>
      <c r="D636" s="12" t="inlineStr">
        <is>
          <t>ACC fan F76 motor (VFD output)</t>
        </is>
      </c>
      <c r="E636" s="12" t="n">
        <v>480</v>
      </c>
      <c r="F636" s="12" t="n">
        <v>150</v>
      </c>
      <c r="G636" s="12" t="n">
        <v>212</v>
      </c>
      <c r="H636" s="12" t="inlineStr">
        <is>
          <t>R4: ACC electrical (VFD) e-house (60 x 120 ft)</t>
        </is>
      </c>
      <c r="I636" s="12" t="inlineStr">
        <is>
          <t>LV 600 V</t>
        </is>
      </c>
      <c r="J636" s="12" t="inlineStr">
        <is>
          <t>350 kcmil</t>
        </is>
      </c>
      <c r="K636" s="12" t="n">
        <v>1</v>
      </c>
    </row>
    <row r="637">
      <c r="A637" s="12" t="inlineStr">
        <is>
          <t>ACC fan motor F77</t>
        </is>
      </c>
      <c r="B637" s="12" t="inlineStr">
        <is>
          <t>ACC-F77</t>
        </is>
      </c>
      <c r="C637" s="12" t="inlineStr">
        <is>
          <t>B</t>
        </is>
      </c>
      <c r="D637" s="12" t="inlineStr">
        <is>
          <t>ACC fan F77 motor (VFD output)</t>
        </is>
      </c>
      <c r="E637" s="12" t="n">
        <v>480</v>
      </c>
      <c r="F637" s="12" t="n">
        <v>150</v>
      </c>
      <c r="G637" s="12" t="n">
        <v>212</v>
      </c>
      <c r="H637" s="12" t="inlineStr">
        <is>
          <t>R4: ACC electrical (VFD) e-house (60 x 120 ft)</t>
        </is>
      </c>
      <c r="I637" s="12" t="inlineStr">
        <is>
          <t>LV 600 V</t>
        </is>
      </c>
      <c r="J637" s="12" t="inlineStr">
        <is>
          <t>350 kcmil</t>
        </is>
      </c>
      <c r="K637" s="12" t="n">
        <v>1</v>
      </c>
    </row>
    <row r="638">
      <c r="A638" s="12" t="inlineStr">
        <is>
          <t>ACC fan motor F78</t>
        </is>
      </c>
      <c r="B638" s="12" t="inlineStr">
        <is>
          <t>ACC-F78</t>
        </is>
      </c>
      <c r="C638" s="12" t="inlineStr">
        <is>
          <t>B</t>
        </is>
      </c>
      <c r="D638" s="12" t="inlineStr">
        <is>
          <t>ACC fan F78 motor (VFD output)</t>
        </is>
      </c>
      <c r="E638" s="12" t="n">
        <v>480</v>
      </c>
      <c r="F638" s="12" t="n">
        <v>150</v>
      </c>
      <c r="G638" s="12" t="n">
        <v>212</v>
      </c>
      <c r="H638" s="12" t="inlineStr">
        <is>
          <t>R4: ACC electrical (VFD) e-house (60 x 120 ft)</t>
        </is>
      </c>
      <c r="I638" s="12" t="inlineStr">
        <is>
          <t>LV 600 V</t>
        </is>
      </c>
      <c r="J638" s="12" t="inlineStr">
        <is>
          <t>350 kcmil</t>
        </is>
      </c>
      <c r="K638" s="12" t="n">
        <v>1</v>
      </c>
    </row>
    <row r="639">
      <c r="A639" s="12" t="inlineStr">
        <is>
          <t>ACC fan motor F79</t>
        </is>
      </c>
      <c r="B639" s="12" t="inlineStr">
        <is>
          <t>ACC-F79</t>
        </is>
      </c>
      <c r="C639" s="12" t="inlineStr">
        <is>
          <t>B</t>
        </is>
      </c>
      <c r="D639" s="12" t="inlineStr">
        <is>
          <t>ACC fan F79 motor (VFD output)</t>
        </is>
      </c>
      <c r="E639" s="12" t="n">
        <v>480</v>
      </c>
      <c r="F639" s="12" t="n">
        <v>150</v>
      </c>
      <c r="G639" s="12" t="n">
        <v>212</v>
      </c>
      <c r="H639" s="12" t="inlineStr">
        <is>
          <t>R4: ACC electrical (VFD) e-house (60 x 120 ft)</t>
        </is>
      </c>
      <c r="I639" s="12" t="inlineStr">
        <is>
          <t>LV 600 V</t>
        </is>
      </c>
      <c r="J639" s="12" t="inlineStr">
        <is>
          <t>350 kcmil</t>
        </is>
      </c>
      <c r="K639" s="12" t="n">
        <v>1</v>
      </c>
    </row>
    <row r="640">
      <c r="A640" s="12" t="inlineStr">
        <is>
          <t>ACC fan motor F80</t>
        </is>
      </c>
      <c r="B640" s="12" t="inlineStr">
        <is>
          <t>ACC-F80</t>
        </is>
      </c>
      <c r="C640" s="12" t="inlineStr">
        <is>
          <t>B</t>
        </is>
      </c>
      <c r="D640" s="12" t="inlineStr">
        <is>
          <t>ACC fan F80 motor (VFD output)</t>
        </is>
      </c>
      <c r="E640" s="12" t="n">
        <v>480</v>
      </c>
      <c r="F640" s="12" t="n">
        <v>150</v>
      </c>
      <c r="G640" s="12" t="n">
        <v>212</v>
      </c>
      <c r="H640" s="12" t="inlineStr">
        <is>
          <t>R4: ACC electrical (VFD) e-house (60 x 120 ft)</t>
        </is>
      </c>
      <c r="I640" s="12" t="inlineStr">
        <is>
          <t>LV 600 V</t>
        </is>
      </c>
      <c r="J640" s="12" t="inlineStr">
        <is>
          <t>350 kcmil</t>
        </is>
      </c>
      <c r="K640" s="12" t="n">
        <v>1</v>
      </c>
    </row>
    <row r="641">
      <c r="A641" s="12" t="inlineStr">
        <is>
          <t>Air-cooled condenser, 80 cells (steam-cycle heat rejection)</t>
        </is>
      </c>
      <c r="B641" s="12" t="inlineStr">
        <is>
          <t>ACC</t>
        </is>
      </c>
      <c r="C641" s="12" t="inlineStr">
        <is>
          <t>B</t>
        </is>
      </c>
      <c r="D641" s="12" t="inlineStr">
        <is>
          <t>MOV 1: power</t>
        </is>
      </c>
      <c r="E641" s="12" t="n">
        <v>480</v>
      </c>
      <c r="F641" s="12" t="n">
        <v>2.5</v>
      </c>
      <c r="G641" s="12" t="n">
        <v>3.5</v>
      </c>
      <c r="H641" s="12" t="inlineStr">
        <is>
          <t>R4 480 V switchgear + vacuum-pump MCC</t>
        </is>
      </c>
      <c r="I641" s="12" t="inlineStr">
        <is>
          <t>LV 600 V</t>
        </is>
      </c>
      <c r="J641" s="12" t="inlineStr">
        <is>
          <t>10</t>
        </is>
      </c>
      <c r="K641" s="12" t="n">
        <v>1</v>
      </c>
    </row>
    <row r="642">
      <c r="A642" s="12" t="inlineStr">
        <is>
          <t>Air-cooled condenser, 80 cells (steam-cycle heat rejection)</t>
        </is>
      </c>
      <c r="B642" s="12" t="inlineStr">
        <is>
          <t>ACC</t>
        </is>
      </c>
      <c r="C642" s="12" t="inlineStr">
        <is>
          <t>B</t>
        </is>
      </c>
      <c r="D642" s="12" t="inlineStr">
        <is>
          <t>MOV 2: power</t>
        </is>
      </c>
      <c r="E642" s="12" t="n">
        <v>480</v>
      </c>
      <c r="F642" s="12" t="n">
        <v>2.5</v>
      </c>
      <c r="G642" s="12" t="n">
        <v>3.5</v>
      </c>
      <c r="H642" s="12" t="inlineStr">
        <is>
          <t>R4 480 V switchgear + vacuum-pump MCC</t>
        </is>
      </c>
      <c r="I642" s="12" t="inlineStr">
        <is>
          <t>LV 600 V</t>
        </is>
      </c>
      <c r="J642" s="12" t="inlineStr">
        <is>
          <t>10</t>
        </is>
      </c>
      <c r="K642" s="12" t="n">
        <v>1</v>
      </c>
    </row>
    <row r="643">
      <c r="A643" s="12" t="inlineStr">
        <is>
          <t>Air-cooled condenser, 80 cells (steam-cycle heat rejection)</t>
        </is>
      </c>
      <c r="B643" s="12" t="inlineStr">
        <is>
          <t>ACC</t>
        </is>
      </c>
      <c r="C643" s="12" t="inlineStr">
        <is>
          <t>B</t>
        </is>
      </c>
      <c r="D643" s="12" t="inlineStr">
        <is>
          <t>MOV 3: power</t>
        </is>
      </c>
      <c r="E643" s="12" t="n">
        <v>480</v>
      </c>
      <c r="F643" s="12" t="n">
        <v>2.5</v>
      </c>
      <c r="G643" s="12" t="n">
        <v>3.5</v>
      </c>
      <c r="H643" s="12" t="inlineStr">
        <is>
          <t>R4 480 V switchgear + vacuum-pump MCC</t>
        </is>
      </c>
      <c r="I643" s="12" t="inlineStr">
        <is>
          <t>LV 600 V</t>
        </is>
      </c>
      <c r="J643" s="12" t="inlineStr">
        <is>
          <t>10</t>
        </is>
      </c>
      <c r="K643" s="12" t="n">
        <v>1</v>
      </c>
    </row>
    <row r="644">
      <c r="A644" s="12" t="inlineStr">
        <is>
          <t>Air-cooled condenser, 80 cells (steam-cycle heat rejection)</t>
        </is>
      </c>
      <c r="B644" s="12" t="inlineStr">
        <is>
          <t>ACC</t>
        </is>
      </c>
      <c r="C644" s="12" t="inlineStr">
        <is>
          <t>B</t>
        </is>
      </c>
      <c r="D644" s="12" t="inlineStr">
        <is>
          <t>MOV 4: power</t>
        </is>
      </c>
      <c r="E644" s="12" t="n">
        <v>480</v>
      </c>
      <c r="F644" s="12" t="n">
        <v>2.5</v>
      </c>
      <c r="G644" s="12" t="n">
        <v>3.5</v>
      </c>
      <c r="H644" s="12" t="inlineStr">
        <is>
          <t>R4 480 V switchgear + vacuum-pump MCC</t>
        </is>
      </c>
      <c r="I644" s="12" t="inlineStr">
        <is>
          <t>LV 600 V</t>
        </is>
      </c>
      <c r="J644" s="12" t="inlineStr">
        <is>
          <t>10</t>
        </is>
      </c>
      <c r="K644" s="12" t="n">
        <v>1</v>
      </c>
    </row>
    <row r="645">
      <c r="A645" s="12" t="inlineStr">
        <is>
          <t>Air-cooled condenser, 80 cells (steam-cycle heat rejection)</t>
        </is>
      </c>
      <c r="B645" s="12" t="inlineStr">
        <is>
          <t>ACC</t>
        </is>
      </c>
      <c r="C645" s="12" t="inlineStr">
        <is>
          <t>B</t>
        </is>
      </c>
      <c r="D645" s="12" t="inlineStr">
        <is>
          <t>MOV 5: power</t>
        </is>
      </c>
      <c r="E645" s="12" t="n">
        <v>480</v>
      </c>
      <c r="F645" s="12" t="n">
        <v>2.5</v>
      </c>
      <c r="G645" s="12" t="n">
        <v>3.5</v>
      </c>
      <c r="H645" s="12" t="inlineStr">
        <is>
          <t>R4 480 V switchgear + vacuum-pump MCC</t>
        </is>
      </c>
      <c r="I645" s="12" t="inlineStr">
        <is>
          <t>LV 600 V</t>
        </is>
      </c>
      <c r="J645" s="12" t="inlineStr">
        <is>
          <t>10</t>
        </is>
      </c>
      <c r="K645" s="12" t="n">
        <v>1</v>
      </c>
    </row>
    <row r="646">
      <c r="A646" s="12" t="inlineStr">
        <is>
          <t>Air-cooled condenser, 80 cells (steam-cycle heat rejection)</t>
        </is>
      </c>
      <c r="B646" s="12" t="inlineStr">
        <is>
          <t>ACC</t>
        </is>
      </c>
      <c r="C646" s="12" t="inlineStr">
        <is>
          <t>B</t>
        </is>
      </c>
      <c r="D646" s="12" t="inlineStr">
        <is>
          <t>MOV 6: power</t>
        </is>
      </c>
      <c r="E646" s="12" t="n">
        <v>480</v>
      </c>
      <c r="F646" s="12" t="n">
        <v>2.5</v>
      </c>
      <c r="G646" s="12" t="n">
        <v>3.5</v>
      </c>
      <c r="H646" s="12" t="inlineStr">
        <is>
          <t>R4 480 V switchgear + vacuum-pump MCC</t>
        </is>
      </c>
      <c r="I646" s="12" t="inlineStr">
        <is>
          <t>LV 600 V</t>
        </is>
      </c>
      <c r="J646" s="12" t="inlineStr">
        <is>
          <t>10</t>
        </is>
      </c>
      <c r="K646" s="12" t="n">
        <v>1</v>
      </c>
    </row>
    <row r="647">
      <c r="A647" s="12" t="inlineStr">
        <is>
          <t>Air-cooled condenser, 80 cells (steam-cycle heat rejection)</t>
        </is>
      </c>
      <c r="B647" s="12" t="inlineStr">
        <is>
          <t>ACC</t>
        </is>
      </c>
      <c r="C647" s="12" t="inlineStr">
        <is>
          <t>B</t>
        </is>
      </c>
      <c r="D647" s="12" t="inlineStr">
        <is>
          <t>MOV 7: power</t>
        </is>
      </c>
      <c r="E647" s="12" t="n">
        <v>480</v>
      </c>
      <c r="F647" s="12" t="n">
        <v>2.5</v>
      </c>
      <c r="G647" s="12" t="n">
        <v>3.5</v>
      </c>
      <c r="H647" s="12" t="inlineStr">
        <is>
          <t>R4 480 V switchgear + vacuum-pump MCC</t>
        </is>
      </c>
      <c r="I647" s="12" t="inlineStr">
        <is>
          <t>LV 600 V</t>
        </is>
      </c>
      <c r="J647" s="12" t="inlineStr">
        <is>
          <t>10</t>
        </is>
      </c>
      <c r="K647" s="12" t="n">
        <v>1</v>
      </c>
    </row>
    <row r="648">
      <c r="A648" s="12" t="inlineStr">
        <is>
          <t>Air-cooled condenser, 80 cells (steam-cycle heat rejection)</t>
        </is>
      </c>
      <c r="B648" s="12" t="inlineStr">
        <is>
          <t>ACC</t>
        </is>
      </c>
      <c r="C648" s="12" t="inlineStr">
        <is>
          <t>B</t>
        </is>
      </c>
      <c r="D648" s="12" t="inlineStr">
        <is>
          <t>MOV 8: power</t>
        </is>
      </c>
      <c r="E648" s="12" t="n">
        <v>480</v>
      </c>
      <c r="F648" s="12" t="n">
        <v>2.5</v>
      </c>
      <c r="G648" s="12" t="n">
        <v>3.5</v>
      </c>
      <c r="H648" s="12" t="inlineStr">
        <is>
          <t>R4 480 V switchgear + vacuum-pump MCC</t>
        </is>
      </c>
      <c r="I648" s="12" t="inlineStr">
        <is>
          <t>LV 600 V</t>
        </is>
      </c>
      <c r="J648" s="12" t="inlineStr">
        <is>
          <t>10</t>
        </is>
      </c>
      <c r="K648" s="12" t="n">
        <v>1</v>
      </c>
    </row>
    <row r="649">
      <c r="A649" s="12" t="inlineStr">
        <is>
          <t>Air-cooled condenser, 80 cells (steam-cycle heat rejection)</t>
        </is>
      </c>
      <c r="B649" s="12" t="inlineStr">
        <is>
          <t>ACC</t>
        </is>
      </c>
      <c r="C649" s="12" t="inlineStr">
        <is>
          <t>B</t>
        </is>
      </c>
      <c r="D649" s="12" t="inlineStr">
        <is>
          <t>MOV 9: power</t>
        </is>
      </c>
      <c r="E649" s="12" t="n">
        <v>480</v>
      </c>
      <c r="F649" s="12" t="n">
        <v>2.5</v>
      </c>
      <c r="G649" s="12" t="n">
        <v>3.5</v>
      </c>
      <c r="H649" s="12" t="inlineStr">
        <is>
          <t>R4 480 V switchgear + vacuum-pump MCC</t>
        </is>
      </c>
      <c r="I649" s="12" t="inlineStr">
        <is>
          <t>LV 600 V</t>
        </is>
      </c>
      <c r="J649" s="12" t="inlineStr">
        <is>
          <t>10</t>
        </is>
      </c>
      <c r="K649" s="12" t="n">
        <v>1</v>
      </c>
    </row>
    <row r="650">
      <c r="A650" s="12" t="inlineStr">
        <is>
          <t>Air-cooled condenser, 80 cells (steam-cycle heat rejection)</t>
        </is>
      </c>
      <c r="B650" s="12" t="inlineStr">
        <is>
          <t>ACC</t>
        </is>
      </c>
      <c r="C650" s="12" t="inlineStr">
        <is>
          <t>B</t>
        </is>
      </c>
      <c r="D650" s="12" t="inlineStr">
        <is>
          <t>MOV 10: power</t>
        </is>
      </c>
      <c r="E650" s="12" t="n">
        <v>480</v>
      </c>
      <c r="F650" s="12" t="n">
        <v>2.5</v>
      </c>
      <c r="G650" s="12" t="n">
        <v>3.5</v>
      </c>
      <c r="H650" s="12" t="inlineStr">
        <is>
          <t>R4 480 V switchgear + vacuum-pump MCC</t>
        </is>
      </c>
      <c r="I650" s="12" t="inlineStr">
        <is>
          <t>LV 600 V</t>
        </is>
      </c>
      <c r="J650" s="12" t="inlineStr">
        <is>
          <t>10</t>
        </is>
      </c>
      <c r="K650" s="12" t="n">
        <v>1</v>
      </c>
    </row>
    <row r="651">
      <c r="A651" s="12" t="inlineStr">
        <is>
          <t>Air-cooled condenser, 80 cells (steam-cycle heat rejection)</t>
        </is>
      </c>
      <c r="B651" s="12" t="inlineStr">
        <is>
          <t>ACC</t>
        </is>
      </c>
      <c r="C651" s="12" t="inlineStr">
        <is>
          <t>B</t>
        </is>
      </c>
      <c r="D651" s="12" t="inlineStr">
        <is>
          <t>MOV 11: power</t>
        </is>
      </c>
      <c r="E651" s="12" t="n">
        <v>480</v>
      </c>
      <c r="F651" s="12" t="n">
        <v>2.5</v>
      </c>
      <c r="G651" s="12" t="n">
        <v>3.5</v>
      </c>
      <c r="H651" s="12" t="inlineStr">
        <is>
          <t>R4 480 V switchgear + vacuum-pump MCC</t>
        </is>
      </c>
      <c r="I651" s="12" t="inlineStr">
        <is>
          <t>LV 600 V</t>
        </is>
      </c>
      <c r="J651" s="12" t="inlineStr">
        <is>
          <t>10</t>
        </is>
      </c>
      <c r="K651" s="12" t="n">
        <v>1</v>
      </c>
    </row>
    <row r="652">
      <c r="A652" s="12" t="inlineStr">
        <is>
          <t>Air-cooled condenser, 80 cells (steam-cycle heat rejection)</t>
        </is>
      </c>
      <c r="B652" s="12" t="inlineStr">
        <is>
          <t>ACC</t>
        </is>
      </c>
      <c r="C652" s="12" t="inlineStr">
        <is>
          <t>B</t>
        </is>
      </c>
      <c r="D652" s="12" t="inlineStr">
        <is>
          <t>MOV 12: power</t>
        </is>
      </c>
      <c r="E652" s="12" t="n">
        <v>480</v>
      </c>
      <c r="F652" s="12" t="n">
        <v>2.5</v>
      </c>
      <c r="G652" s="12" t="n">
        <v>3.5</v>
      </c>
      <c r="H652" s="12" t="inlineStr">
        <is>
          <t>R4 480 V switchgear + vacuum-pump MCC</t>
        </is>
      </c>
      <c r="I652" s="12" t="inlineStr">
        <is>
          <t>LV 600 V</t>
        </is>
      </c>
      <c r="J652" s="12" t="inlineStr">
        <is>
          <t>10</t>
        </is>
      </c>
      <c r="K652" s="12" t="n">
        <v>1</v>
      </c>
    </row>
    <row r="653">
      <c r="A653" s="12" t="inlineStr">
        <is>
          <t>Air-cooled condenser, 80 cells (steam-cycle heat rejection)</t>
        </is>
      </c>
      <c r="B653" s="12" t="inlineStr">
        <is>
          <t>ACC</t>
        </is>
      </c>
      <c r="C653" s="12" t="inlineStr">
        <is>
          <t>B</t>
        </is>
      </c>
      <c r="D653" s="12" t="inlineStr">
        <is>
          <t>MOV 13: power</t>
        </is>
      </c>
      <c r="E653" s="12" t="n">
        <v>480</v>
      </c>
      <c r="F653" s="12" t="n">
        <v>2.5</v>
      </c>
      <c r="G653" s="12" t="n">
        <v>3.5</v>
      </c>
      <c r="H653" s="12" t="inlineStr">
        <is>
          <t>R4 480 V switchgear + vacuum-pump MCC</t>
        </is>
      </c>
      <c r="I653" s="12" t="inlineStr">
        <is>
          <t>LV 600 V</t>
        </is>
      </c>
      <c r="J653" s="12" t="inlineStr">
        <is>
          <t>10</t>
        </is>
      </c>
      <c r="K653" s="12" t="n">
        <v>1</v>
      </c>
    </row>
    <row r="654">
      <c r="A654" s="12" t="inlineStr">
        <is>
          <t>Air-cooled condenser, 80 cells (steam-cycle heat rejection)</t>
        </is>
      </c>
      <c r="B654" s="12" t="inlineStr">
        <is>
          <t>ACC</t>
        </is>
      </c>
      <c r="C654" s="12" t="inlineStr">
        <is>
          <t>B</t>
        </is>
      </c>
      <c r="D654" s="12" t="inlineStr">
        <is>
          <t>MOV 14: power</t>
        </is>
      </c>
      <c r="E654" s="12" t="n">
        <v>480</v>
      </c>
      <c r="F654" s="12" t="n">
        <v>2.5</v>
      </c>
      <c r="G654" s="12" t="n">
        <v>3.5</v>
      </c>
      <c r="H654" s="12" t="inlineStr">
        <is>
          <t>R4 480 V switchgear + vacuum-pump MCC</t>
        </is>
      </c>
      <c r="I654" s="12" t="inlineStr">
        <is>
          <t>LV 600 V</t>
        </is>
      </c>
      <c r="J654" s="12" t="inlineStr">
        <is>
          <t>10</t>
        </is>
      </c>
      <c r="K654" s="12" t="n">
        <v>1</v>
      </c>
    </row>
    <row r="655">
      <c r="A655" s="12" t="inlineStr">
        <is>
          <t>Air-cooled condenser, 80 cells (steam-cycle heat rejection)</t>
        </is>
      </c>
      <c r="B655" s="12" t="inlineStr">
        <is>
          <t>ACC</t>
        </is>
      </c>
      <c r="C655" s="12" t="inlineStr">
        <is>
          <t>B</t>
        </is>
      </c>
      <c r="D655" s="12" t="inlineStr">
        <is>
          <t>MOV 15: power</t>
        </is>
      </c>
      <c r="E655" s="12" t="n">
        <v>480</v>
      </c>
      <c r="F655" s="12" t="n">
        <v>2.5</v>
      </c>
      <c r="G655" s="12" t="n">
        <v>3.5</v>
      </c>
      <c r="H655" s="12" t="inlineStr">
        <is>
          <t>R4 480 V switchgear + vacuum-pump MCC</t>
        </is>
      </c>
      <c r="I655" s="12" t="inlineStr">
        <is>
          <t>LV 600 V</t>
        </is>
      </c>
      <c r="J655" s="12" t="inlineStr">
        <is>
          <t>10</t>
        </is>
      </c>
      <c r="K655" s="12" t="n">
        <v>1</v>
      </c>
    </row>
    <row r="656">
      <c r="A656" s="12" t="inlineStr">
        <is>
          <t>Air-cooled condenser, 80 cells (steam-cycle heat rejection)</t>
        </is>
      </c>
      <c r="B656" s="12" t="inlineStr">
        <is>
          <t>ACC</t>
        </is>
      </c>
      <c r="C656" s="12" t="inlineStr">
        <is>
          <t>B</t>
        </is>
      </c>
      <c r="D656" s="12" t="inlineStr">
        <is>
          <t>MOV 16: power</t>
        </is>
      </c>
      <c r="E656" s="12" t="n">
        <v>480</v>
      </c>
      <c r="F656" s="12" t="n">
        <v>2.5</v>
      </c>
      <c r="G656" s="12" t="n">
        <v>3.5</v>
      </c>
      <c r="H656" s="12" t="inlineStr">
        <is>
          <t>R4 480 V switchgear + vacuum-pump MCC</t>
        </is>
      </c>
      <c r="I656" s="12" t="inlineStr">
        <is>
          <t>LV 600 V</t>
        </is>
      </c>
      <c r="J656" s="12" t="inlineStr">
        <is>
          <t>10</t>
        </is>
      </c>
      <c r="K656" s="12" t="n">
        <v>1</v>
      </c>
    </row>
    <row r="657">
      <c r="A657" s="12" t="inlineStr">
        <is>
          <t>Air-cooled condenser, 80 cells (steam-cycle heat rejection)</t>
        </is>
      </c>
      <c r="B657" s="12" t="inlineStr">
        <is>
          <t>ACC</t>
        </is>
      </c>
      <c r="C657" s="12" t="inlineStr">
        <is>
          <t>B</t>
        </is>
      </c>
      <c r="D657" s="12" t="inlineStr">
        <is>
          <t>MOV 17: power</t>
        </is>
      </c>
      <c r="E657" s="12" t="n">
        <v>480</v>
      </c>
      <c r="F657" s="12" t="n">
        <v>2.5</v>
      </c>
      <c r="G657" s="12" t="n">
        <v>3.5</v>
      </c>
      <c r="H657" s="12" t="inlineStr">
        <is>
          <t>R4 480 V switchgear + vacuum-pump MCC</t>
        </is>
      </c>
      <c r="I657" s="12" t="inlineStr">
        <is>
          <t>LV 600 V</t>
        </is>
      </c>
      <c r="J657" s="12" t="inlineStr">
        <is>
          <t>10</t>
        </is>
      </c>
      <c r="K657" s="12" t="n">
        <v>1</v>
      </c>
    </row>
    <row r="658">
      <c r="A658" s="12" t="inlineStr">
        <is>
          <t>Air-cooled condenser, 80 cells (steam-cycle heat rejection)</t>
        </is>
      </c>
      <c r="B658" s="12" t="inlineStr">
        <is>
          <t>ACC</t>
        </is>
      </c>
      <c r="C658" s="12" t="inlineStr">
        <is>
          <t>B</t>
        </is>
      </c>
      <c r="D658" s="12" t="inlineStr">
        <is>
          <t>MOV 18: power</t>
        </is>
      </c>
      <c r="E658" s="12" t="n">
        <v>480</v>
      </c>
      <c r="F658" s="12" t="n">
        <v>2.5</v>
      </c>
      <c r="G658" s="12" t="n">
        <v>3.5</v>
      </c>
      <c r="H658" s="12" t="inlineStr">
        <is>
          <t>R4 480 V switchgear + vacuum-pump MCC</t>
        </is>
      </c>
      <c r="I658" s="12" t="inlineStr">
        <is>
          <t>LV 600 V</t>
        </is>
      </c>
      <c r="J658" s="12" t="inlineStr">
        <is>
          <t>10</t>
        </is>
      </c>
      <c r="K658" s="12" t="n">
        <v>1</v>
      </c>
    </row>
    <row r="659">
      <c r="A659" s="12" t="inlineStr">
        <is>
          <t>Air-cooled condenser, 80 cells (steam-cycle heat rejection)</t>
        </is>
      </c>
      <c r="B659" s="12" t="inlineStr">
        <is>
          <t>ACC</t>
        </is>
      </c>
      <c r="C659" s="12" t="inlineStr">
        <is>
          <t>B</t>
        </is>
      </c>
      <c r="D659" s="12" t="inlineStr">
        <is>
          <t>MOV 19: power</t>
        </is>
      </c>
      <c r="E659" s="12" t="n">
        <v>480</v>
      </c>
      <c r="F659" s="12" t="n">
        <v>2.5</v>
      </c>
      <c r="G659" s="12" t="n">
        <v>3.5</v>
      </c>
      <c r="H659" s="12" t="inlineStr">
        <is>
          <t>R4 480 V switchgear + vacuum-pump MCC</t>
        </is>
      </c>
      <c r="I659" s="12" t="inlineStr">
        <is>
          <t>LV 600 V</t>
        </is>
      </c>
      <c r="J659" s="12" t="inlineStr">
        <is>
          <t>10</t>
        </is>
      </c>
      <c r="K659" s="12" t="n">
        <v>1</v>
      </c>
    </row>
    <row r="660">
      <c r="A660" s="12" t="inlineStr">
        <is>
          <t>Air-cooled condenser, 80 cells (steam-cycle heat rejection)</t>
        </is>
      </c>
      <c r="B660" s="12" t="inlineStr">
        <is>
          <t>ACC</t>
        </is>
      </c>
      <c r="C660" s="12" t="inlineStr">
        <is>
          <t>B</t>
        </is>
      </c>
      <c r="D660" s="12" t="inlineStr">
        <is>
          <t>MOV 20: power</t>
        </is>
      </c>
      <c r="E660" s="12" t="n">
        <v>480</v>
      </c>
      <c r="F660" s="12" t="n">
        <v>2.5</v>
      </c>
      <c r="G660" s="12" t="n">
        <v>3.5</v>
      </c>
      <c r="H660" s="12" t="inlineStr">
        <is>
          <t>R4 480 V switchgear + vacuum-pump MCC</t>
        </is>
      </c>
      <c r="I660" s="12" t="inlineStr">
        <is>
          <t>LV 600 V</t>
        </is>
      </c>
      <c r="J660" s="12" t="inlineStr">
        <is>
          <t>10</t>
        </is>
      </c>
      <c r="K660" s="12" t="n">
        <v>1</v>
      </c>
    </row>
    <row r="661">
      <c r="A661" s="12" t="inlineStr">
        <is>
          <t>Air-cooled condenser, 80 cells (steam-cycle heat rejection)</t>
        </is>
      </c>
      <c r="B661" s="12" t="inlineStr">
        <is>
          <t>ACC</t>
        </is>
      </c>
      <c r="C661" s="12" t="inlineStr">
        <is>
          <t>B</t>
        </is>
      </c>
      <c r="D661" s="12" t="inlineStr">
        <is>
          <t>MOV 21: power</t>
        </is>
      </c>
      <c r="E661" s="12" t="n">
        <v>480</v>
      </c>
      <c r="F661" s="12" t="n">
        <v>2.5</v>
      </c>
      <c r="G661" s="12" t="n">
        <v>3.5</v>
      </c>
      <c r="H661" s="12" t="inlineStr">
        <is>
          <t>R4 480 V switchgear + vacuum-pump MCC</t>
        </is>
      </c>
      <c r="I661" s="12" t="inlineStr">
        <is>
          <t>LV 600 V</t>
        </is>
      </c>
      <c r="J661" s="12" t="inlineStr">
        <is>
          <t>10</t>
        </is>
      </c>
      <c r="K661" s="12" t="n">
        <v>1</v>
      </c>
    </row>
    <row r="662">
      <c r="A662" s="12" t="inlineStr">
        <is>
          <t>Air-cooled condenser, 80 cells (steam-cycle heat rejection)</t>
        </is>
      </c>
      <c r="B662" s="12" t="inlineStr">
        <is>
          <t>ACC</t>
        </is>
      </c>
      <c r="C662" s="12" t="inlineStr">
        <is>
          <t>B</t>
        </is>
      </c>
      <c r="D662" s="12" t="inlineStr">
        <is>
          <t>MOV 22: power</t>
        </is>
      </c>
      <c r="E662" s="12" t="n">
        <v>480</v>
      </c>
      <c r="F662" s="12" t="n">
        <v>2.5</v>
      </c>
      <c r="G662" s="12" t="n">
        <v>3.5</v>
      </c>
      <c r="H662" s="12" t="inlineStr">
        <is>
          <t>R4 480 V switchgear + vacuum-pump MCC</t>
        </is>
      </c>
      <c r="I662" s="12" t="inlineStr">
        <is>
          <t>LV 600 V</t>
        </is>
      </c>
      <c r="J662" s="12" t="inlineStr">
        <is>
          <t>10</t>
        </is>
      </c>
      <c r="K662" s="12" t="n">
        <v>1</v>
      </c>
    </row>
    <row r="663">
      <c r="A663" s="12" t="inlineStr">
        <is>
          <t>Air-cooled condenser, 80 cells (steam-cycle heat rejection)</t>
        </is>
      </c>
      <c r="B663" s="12" t="inlineStr">
        <is>
          <t>ACC</t>
        </is>
      </c>
      <c r="C663" s="12" t="inlineStr">
        <is>
          <t>B</t>
        </is>
      </c>
      <c r="D663" s="12" t="inlineStr">
        <is>
          <t>MOV 23: power</t>
        </is>
      </c>
      <c r="E663" s="12" t="n">
        <v>480</v>
      </c>
      <c r="F663" s="12" t="n">
        <v>2.5</v>
      </c>
      <c r="G663" s="12" t="n">
        <v>3.5</v>
      </c>
      <c r="H663" s="12" t="inlineStr">
        <is>
          <t>R4 480 V switchgear + vacuum-pump MCC</t>
        </is>
      </c>
      <c r="I663" s="12" t="inlineStr">
        <is>
          <t>LV 600 V</t>
        </is>
      </c>
      <c r="J663" s="12" t="inlineStr">
        <is>
          <t>10</t>
        </is>
      </c>
      <c r="K663" s="12" t="n">
        <v>1</v>
      </c>
    </row>
    <row r="664">
      <c r="A664" s="12" t="inlineStr">
        <is>
          <t>Air-cooled condenser, 80 cells (steam-cycle heat rejection)</t>
        </is>
      </c>
      <c r="B664" s="12" t="inlineStr">
        <is>
          <t>ACC</t>
        </is>
      </c>
      <c r="C664" s="12" t="inlineStr">
        <is>
          <t>B</t>
        </is>
      </c>
      <c r="D664" s="12" t="inlineStr">
        <is>
          <t>MOV 24: power</t>
        </is>
      </c>
      <c r="E664" s="12" t="n">
        <v>480</v>
      </c>
      <c r="F664" s="12" t="n">
        <v>2.5</v>
      </c>
      <c r="G664" s="12" t="n">
        <v>3.5</v>
      </c>
      <c r="H664" s="12" t="inlineStr">
        <is>
          <t>R4 480 V switchgear + vacuum-pump MCC</t>
        </is>
      </c>
      <c r="I664" s="12" t="inlineStr">
        <is>
          <t>LV 600 V</t>
        </is>
      </c>
      <c r="J664" s="12" t="inlineStr">
        <is>
          <t>10</t>
        </is>
      </c>
      <c r="K664" s="12" t="n">
        <v>1</v>
      </c>
    </row>
    <row r="665">
      <c r="A665" s="12" t="inlineStr">
        <is>
          <t>Air-cooled condenser, 80 cells (steam-cycle heat rejection)</t>
        </is>
      </c>
      <c r="B665" s="12" t="inlineStr">
        <is>
          <t>ACC</t>
        </is>
      </c>
      <c r="C665" s="12" t="inlineStr">
        <is>
          <t>B</t>
        </is>
      </c>
      <c r="D665" s="12" t="inlineStr">
        <is>
          <t>MOV 25: power</t>
        </is>
      </c>
      <c r="E665" s="12" t="n">
        <v>480</v>
      </c>
      <c r="F665" s="12" t="n">
        <v>2.5</v>
      </c>
      <c r="G665" s="12" t="n">
        <v>3.5</v>
      </c>
      <c r="H665" s="12" t="inlineStr">
        <is>
          <t>R4 480 V switchgear + vacuum-pump MCC</t>
        </is>
      </c>
      <c r="I665" s="12" t="inlineStr">
        <is>
          <t>LV 600 V</t>
        </is>
      </c>
      <c r="J665" s="12" t="inlineStr">
        <is>
          <t>10</t>
        </is>
      </c>
      <c r="K665" s="12" t="n">
        <v>1</v>
      </c>
    </row>
    <row r="666">
      <c r="A666" s="12" t="inlineStr">
        <is>
          <t>Air-cooled condenser, 80 cells (steam-cycle heat rejection)</t>
        </is>
      </c>
      <c r="B666" s="12" t="inlineStr">
        <is>
          <t>ACC</t>
        </is>
      </c>
      <c r="C666" s="12" t="inlineStr">
        <is>
          <t>B</t>
        </is>
      </c>
      <c r="D666" s="12" t="inlineStr">
        <is>
          <t>MOV 26: power</t>
        </is>
      </c>
      <c r="E666" s="12" t="n">
        <v>480</v>
      </c>
      <c r="F666" s="12" t="n">
        <v>2.5</v>
      </c>
      <c r="G666" s="12" t="n">
        <v>3.5</v>
      </c>
      <c r="H666" s="12" t="inlineStr">
        <is>
          <t>R4 480 V switchgear + vacuum-pump MCC</t>
        </is>
      </c>
      <c r="I666" s="12" t="inlineStr">
        <is>
          <t>LV 600 V</t>
        </is>
      </c>
      <c r="J666" s="12" t="inlineStr">
        <is>
          <t>10</t>
        </is>
      </c>
      <c r="K666" s="12" t="n">
        <v>1</v>
      </c>
    </row>
    <row r="667">
      <c r="A667" s="12" t="inlineStr">
        <is>
          <t>Air-cooled condenser, 80 cells (steam-cycle heat rejection)</t>
        </is>
      </c>
      <c r="B667" s="12" t="inlineStr">
        <is>
          <t>ACC</t>
        </is>
      </c>
      <c r="C667" s="12" t="inlineStr">
        <is>
          <t>B</t>
        </is>
      </c>
      <c r="D667" s="12" t="inlineStr">
        <is>
          <t>MOV 27: power</t>
        </is>
      </c>
      <c r="E667" s="12" t="n">
        <v>480</v>
      </c>
      <c r="F667" s="12" t="n">
        <v>2.5</v>
      </c>
      <c r="G667" s="12" t="n">
        <v>3.5</v>
      </c>
      <c r="H667" s="12" t="inlineStr">
        <is>
          <t>R4 480 V switchgear + vacuum-pump MCC</t>
        </is>
      </c>
      <c r="I667" s="12" t="inlineStr">
        <is>
          <t>LV 600 V</t>
        </is>
      </c>
      <c r="J667" s="12" t="inlineStr">
        <is>
          <t>10</t>
        </is>
      </c>
      <c r="K667" s="12" t="n">
        <v>1</v>
      </c>
    </row>
    <row r="668">
      <c r="A668" s="12" t="inlineStr">
        <is>
          <t>Air-cooled condenser, 80 cells (steam-cycle heat rejection)</t>
        </is>
      </c>
      <c r="B668" s="12" t="inlineStr">
        <is>
          <t>ACC</t>
        </is>
      </c>
      <c r="C668" s="12" t="inlineStr">
        <is>
          <t>B</t>
        </is>
      </c>
      <c r="D668" s="12" t="inlineStr">
        <is>
          <t>MOV 28: power</t>
        </is>
      </c>
      <c r="E668" s="12" t="n">
        <v>480</v>
      </c>
      <c r="F668" s="12" t="n">
        <v>2.5</v>
      </c>
      <c r="G668" s="12" t="n">
        <v>3.5</v>
      </c>
      <c r="H668" s="12" t="inlineStr">
        <is>
          <t>R4 480 V switchgear + vacuum-pump MCC</t>
        </is>
      </c>
      <c r="I668" s="12" t="inlineStr">
        <is>
          <t>LV 600 V</t>
        </is>
      </c>
      <c r="J668" s="12" t="inlineStr">
        <is>
          <t>10</t>
        </is>
      </c>
      <c r="K668" s="12" t="n">
        <v>1</v>
      </c>
    </row>
    <row r="669">
      <c r="A669" s="12" t="inlineStr">
        <is>
          <t>Air-cooled condenser, 80 cells (steam-cycle heat rejection)</t>
        </is>
      </c>
      <c r="B669" s="12" t="inlineStr">
        <is>
          <t>ACC</t>
        </is>
      </c>
      <c r="C669" s="12" t="inlineStr">
        <is>
          <t>B</t>
        </is>
      </c>
      <c r="D669" s="12" t="inlineStr">
        <is>
          <t>MOV 29: power</t>
        </is>
      </c>
      <c r="E669" s="12" t="n">
        <v>480</v>
      </c>
      <c r="F669" s="12" t="n">
        <v>2.5</v>
      </c>
      <c r="G669" s="12" t="n">
        <v>3.5</v>
      </c>
      <c r="H669" s="12" t="inlineStr">
        <is>
          <t>R4 480 V switchgear + vacuum-pump MCC</t>
        </is>
      </c>
      <c r="I669" s="12" t="inlineStr">
        <is>
          <t>LV 600 V</t>
        </is>
      </c>
      <c r="J669" s="12" t="inlineStr">
        <is>
          <t>10</t>
        </is>
      </c>
      <c r="K669" s="12" t="n">
        <v>1</v>
      </c>
    </row>
    <row r="670">
      <c r="A670" s="12" t="inlineStr">
        <is>
          <t>Air-cooled condenser, 80 cells (steam-cycle heat rejection)</t>
        </is>
      </c>
      <c r="B670" s="12" t="inlineStr">
        <is>
          <t>ACC</t>
        </is>
      </c>
      <c r="C670" s="12" t="inlineStr">
        <is>
          <t>B</t>
        </is>
      </c>
      <c r="D670" s="12" t="inlineStr">
        <is>
          <t>MOV 30: power</t>
        </is>
      </c>
      <c r="E670" s="12" t="n">
        <v>480</v>
      </c>
      <c r="F670" s="12" t="n">
        <v>2.5</v>
      </c>
      <c r="G670" s="12" t="n">
        <v>3.5</v>
      </c>
      <c r="H670" s="12" t="inlineStr">
        <is>
          <t>R4 480 V switchgear + vacuum-pump MCC</t>
        </is>
      </c>
      <c r="I670" s="12" t="inlineStr">
        <is>
          <t>LV 600 V</t>
        </is>
      </c>
      <c r="J670" s="12" t="inlineStr">
        <is>
          <t>10</t>
        </is>
      </c>
      <c r="K670" s="12" t="n">
        <v>1</v>
      </c>
    </row>
    <row r="671">
      <c r="A671" s="12" t="inlineStr">
        <is>
          <t>Air-cooled condenser, 80 cells (steam-cycle heat rejection)</t>
        </is>
      </c>
      <c r="B671" s="12" t="inlineStr">
        <is>
          <t>ACC</t>
        </is>
      </c>
      <c r="C671" s="12" t="inlineStr">
        <is>
          <t>B</t>
        </is>
      </c>
      <c r="D671" s="12" t="inlineStr">
        <is>
          <t>Area / platform lighting circuit 1 (12 fixtures)</t>
        </is>
      </c>
      <c r="E671" s="12" t="n">
        <v>480</v>
      </c>
      <c r="F671" s="12" t="n">
        <v>3</v>
      </c>
      <c r="G671" s="12" t="n">
        <v>5</v>
      </c>
      <c r="H671" s="12" t="inlineStr">
        <is>
          <t>R4 480 V switchgear + vacuum-pump MCC</t>
        </is>
      </c>
      <c r="I671" s="12" t="inlineStr">
        <is>
          <t>LV 600 V</t>
        </is>
      </c>
      <c r="J671" s="12" t="inlineStr">
        <is>
          <t>10</t>
        </is>
      </c>
      <c r="K671" s="12" t="n">
        <v>1</v>
      </c>
    </row>
    <row r="672">
      <c r="A672" s="12" t="inlineStr">
        <is>
          <t>Air-cooled condenser, 80 cells (steam-cycle heat rejection)</t>
        </is>
      </c>
      <c r="B672" s="12" t="inlineStr">
        <is>
          <t>ACC</t>
        </is>
      </c>
      <c r="C672" s="12" t="inlineStr">
        <is>
          <t>B</t>
        </is>
      </c>
      <c r="D672" s="12" t="inlineStr">
        <is>
          <t>Area / platform lighting circuit 2 (12 fixtures)</t>
        </is>
      </c>
      <c r="E672" s="12" t="n">
        <v>480</v>
      </c>
      <c r="F672" s="12" t="n">
        <v>3</v>
      </c>
      <c r="G672" s="12" t="n">
        <v>5</v>
      </c>
      <c r="H672" s="12" t="inlineStr">
        <is>
          <t>R4 480 V switchgear + vacuum-pump MCC</t>
        </is>
      </c>
      <c r="I672" s="12" t="inlineStr">
        <is>
          <t>LV 600 V</t>
        </is>
      </c>
      <c r="J672" s="12" t="inlineStr">
        <is>
          <t>10</t>
        </is>
      </c>
      <c r="K672" s="12" t="n">
        <v>1</v>
      </c>
    </row>
    <row r="673">
      <c r="A673" s="12" t="inlineStr">
        <is>
          <t>Air-cooled condenser, 80 cells (steam-cycle heat rejection)</t>
        </is>
      </c>
      <c r="B673" s="12" t="inlineStr">
        <is>
          <t>ACC</t>
        </is>
      </c>
      <c r="C673" s="12" t="inlineStr">
        <is>
          <t>B</t>
        </is>
      </c>
      <c r="D673" s="12" t="inlineStr">
        <is>
          <t>Area / platform lighting circuit 3 (12 fixtures)</t>
        </is>
      </c>
      <c r="E673" s="12" t="n">
        <v>480</v>
      </c>
      <c r="F673" s="12" t="n">
        <v>3</v>
      </c>
      <c r="G673" s="12" t="n">
        <v>5</v>
      </c>
      <c r="H673" s="12" t="inlineStr">
        <is>
          <t>R4 480 V switchgear + vacuum-pump MCC</t>
        </is>
      </c>
      <c r="I673" s="12" t="inlineStr">
        <is>
          <t>LV 600 V</t>
        </is>
      </c>
      <c r="J673" s="12" t="inlineStr">
        <is>
          <t>10</t>
        </is>
      </c>
      <c r="K673" s="12" t="n">
        <v>1</v>
      </c>
    </row>
    <row r="674">
      <c r="A674" s="12" t="inlineStr">
        <is>
          <t>Air-cooled condenser, 80 cells (steam-cycle heat rejection)</t>
        </is>
      </c>
      <c r="B674" s="12" t="inlineStr">
        <is>
          <t>ACC</t>
        </is>
      </c>
      <c r="C674" s="12" t="inlineStr">
        <is>
          <t>B</t>
        </is>
      </c>
      <c r="D674" s="12" t="inlineStr">
        <is>
          <t>Area / platform lighting circuit 4 (12 fixtures)</t>
        </is>
      </c>
      <c r="E674" s="12" t="n">
        <v>480</v>
      </c>
      <c r="F674" s="12" t="n">
        <v>3</v>
      </c>
      <c r="G674" s="12" t="n">
        <v>5</v>
      </c>
      <c r="H674" s="12" t="inlineStr">
        <is>
          <t>R4 480 V switchgear + vacuum-pump MCC</t>
        </is>
      </c>
      <c r="I674" s="12" t="inlineStr">
        <is>
          <t>LV 600 V</t>
        </is>
      </c>
      <c r="J674" s="12" t="inlineStr">
        <is>
          <t>10</t>
        </is>
      </c>
      <c r="K674" s="12" t="n">
        <v>1</v>
      </c>
    </row>
    <row r="675">
      <c r="A675" s="12" t="inlineStr">
        <is>
          <t>Air-cooled condenser, 80 cells (steam-cycle heat rejection)</t>
        </is>
      </c>
      <c r="B675" s="12" t="inlineStr">
        <is>
          <t>ACC</t>
        </is>
      </c>
      <c r="C675" s="12" t="inlineStr">
        <is>
          <t>B</t>
        </is>
      </c>
      <c r="D675" s="12" t="inlineStr">
        <is>
          <t>Area / platform lighting circuit 5 (12 fixtures)</t>
        </is>
      </c>
      <c r="E675" s="12" t="n">
        <v>480</v>
      </c>
      <c r="F675" s="12" t="n">
        <v>3</v>
      </c>
      <c r="G675" s="12" t="n">
        <v>5</v>
      </c>
      <c r="H675" s="12" t="inlineStr">
        <is>
          <t>R4 480 V switchgear + vacuum-pump MCC</t>
        </is>
      </c>
      <c r="I675" s="12" t="inlineStr">
        <is>
          <t>LV 600 V</t>
        </is>
      </c>
      <c r="J675" s="12" t="inlineStr">
        <is>
          <t>10</t>
        </is>
      </c>
      <c r="K675" s="12" t="n">
        <v>1</v>
      </c>
    </row>
    <row r="676">
      <c r="A676" s="12" t="inlineStr">
        <is>
          <t>Air-cooled condenser, 80 cells (steam-cycle heat rejection)</t>
        </is>
      </c>
      <c r="B676" s="12" t="inlineStr">
        <is>
          <t>ACC</t>
        </is>
      </c>
      <c r="C676" s="12" t="inlineStr">
        <is>
          <t>B</t>
        </is>
      </c>
      <c r="D676" s="12" t="inlineStr">
        <is>
          <t>Area / platform lighting circuit 6 (12 fixtures)</t>
        </is>
      </c>
      <c r="E676" s="12" t="n">
        <v>480</v>
      </c>
      <c r="F676" s="12" t="n">
        <v>3</v>
      </c>
      <c r="G676" s="12" t="n">
        <v>5</v>
      </c>
      <c r="H676" s="12" t="inlineStr">
        <is>
          <t>R4 480 V switchgear + vacuum-pump MCC</t>
        </is>
      </c>
      <c r="I676" s="12" t="inlineStr">
        <is>
          <t>LV 600 V</t>
        </is>
      </c>
      <c r="J676" s="12" t="inlineStr">
        <is>
          <t>10</t>
        </is>
      </c>
      <c r="K676" s="12" t="n">
        <v>1</v>
      </c>
    </row>
    <row r="677">
      <c r="A677" s="12" t="inlineStr">
        <is>
          <t>Air-cooled condenser, 80 cells (steam-cycle heat rejection)</t>
        </is>
      </c>
      <c r="B677" s="12" t="inlineStr">
        <is>
          <t>ACC</t>
        </is>
      </c>
      <c r="C677" s="12" t="inlineStr">
        <is>
          <t>B</t>
        </is>
      </c>
      <c r="D677" s="12" t="inlineStr">
        <is>
          <t>Area / platform lighting circuit 7 (8 fixtures)</t>
        </is>
      </c>
      <c r="E677" s="12" t="n">
        <v>480</v>
      </c>
      <c r="F677" s="12" t="n">
        <v>3</v>
      </c>
      <c r="G677" s="12" t="n">
        <v>5</v>
      </c>
      <c r="H677" s="12" t="inlineStr">
        <is>
          <t>R4 480 V switchgear + vacuum-pump MCC</t>
        </is>
      </c>
      <c r="I677" s="12" t="inlineStr">
        <is>
          <t>LV 600 V</t>
        </is>
      </c>
      <c r="J677" s="12" t="inlineStr">
        <is>
          <t>10</t>
        </is>
      </c>
      <c r="K677" s="12" t="n">
        <v>1</v>
      </c>
    </row>
    <row r="678">
      <c r="A678" s="12" t="inlineStr">
        <is>
          <t>Air-cooled condenser, 80 cells (steam-cycle heat rejection)</t>
        </is>
      </c>
      <c r="B678" s="12" t="inlineStr">
        <is>
          <t>ACC</t>
        </is>
      </c>
      <c r="C678" s="12" t="inlineStr">
        <is>
          <t>B</t>
        </is>
      </c>
      <c r="D678" s="12" t="inlineStr">
        <is>
          <t>480 V welding receptacle 1</t>
        </is>
      </c>
      <c r="E678" s="12" t="n">
        <v>480</v>
      </c>
      <c r="F678" s="12" t="n">
        <v>60</v>
      </c>
      <c r="G678" s="12" t="n">
        <v>76</v>
      </c>
      <c r="H678" s="12" t="inlineStr">
        <is>
          <t>R4 480 V switchgear + vacuum-pump MCC</t>
        </is>
      </c>
      <c r="I678" s="12" t="inlineStr">
        <is>
          <t>LV 600 V</t>
        </is>
      </c>
      <c r="J678" s="12" t="inlineStr">
        <is>
          <t>2</t>
        </is>
      </c>
      <c r="K678" s="12" t="n">
        <v>1</v>
      </c>
    </row>
    <row r="679">
      <c r="A679" s="12" t="inlineStr">
        <is>
          <t>Air-cooled condenser, 80 cells (steam-cycle heat rejection)</t>
        </is>
      </c>
      <c r="B679" s="12" t="inlineStr">
        <is>
          <t>ACC</t>
        </is>
      </c>
      <c r="C679" s="12" t="inlineStr">
        <is>
          <t>B</t>
        </is>
      </c>
      <c r="D679" s="12" t="inlineStr">
        <is>
          <t>480 V welding receptacle 2</t>
        </is>
      </c>
      <c r="E679" s="12" t="n">
        <v>480</v>
      </c>
      <c r="F679" s="12" t="n">
        <v>60</v>
      </c>
      <c r="G679" s="12" t="n">
        <v>76</v>
      </c>
      <c r="H679" s="12" t="inlineStr">
        <is>
          <t>R4 480 V switchgear + vacuum-pump MCC</t>
        </is>
      </c>
      <c r="I679" s="12" t="inlineStr">
        <is>
          <t>LV 600 V</t>
        </is>
      </c>
      <c r="J679" s="12" t="inlineStr">
        <is>
          <t>2</t>
        </is>
      </c>
      <c r="K679" s="12" t="n">
        <v>1</v>
      </c>
    </row>
    <row r="680">
      <c r="A680" s="12" t="inlineStr">
        <is>
          <t>Air-cooled condenser, 80 cells (steam-cycle heat rejection)</t>
        </is>
      </c>
      <c r="B680" s="12" t="inlineStr">
        <is>
          <t>ACC</t>
        </is>
      </c>
      <c r="C680" s="12" t="inlineStr">
        <is>
          <t>B</t>
        </is>
      </c>
      <c r="D680" s="12" t="inlineStr">
        <is>
          <t>480 V welding receptacle 3</t>
        </is>
      </c>
      <c r="E680" s="12" t="n">
        <v>480</v>
      </c>
      <c r="F680" s="12" t="n">
        <v>60</v>
      </c>
      <c r="G680" s="12" t="n">
        <v>76</v>
      </c>
      <c r="H680" s="12" t="inlineStr">
        <is>
          <t>R4 480 V switchgear + vacuum-pump MCC</t>
        </is>
      </c>
      <c r="I680" s="12" t="inlineStr">
        <is>
          <t>LV 600 V</t>
        </is>
      </c>
      <c r="J680" s="12" t="inlineStr">
        <is>
          <t>2</t>
        </is>
      </c>
      <c r="K680" s="12" t="n">
        <v>1</v>
      </c>
    </row>
    <row r="681">
      <c r="A681" s="12" t="inlineStr">
        <is>
          <t>Air-cooled condenser, 80 cells (steam-cycle heat rejection)</t>
        </is>
      </c>
      <c r="B681" s="12" t="inlineStr">
        <is>
          <t>ACC</t>
        </is>
      </c>
      <c r="C681" s="12" t="inlineStr">
        <is>
          <t>B</t>
        </is>
      </c>
      <c r="D681" s="12" t="inlineStr">
        <is>
          <t>480 V welding receptacle 4</t>
        </is>
      </c>
      <c r="E681" s="12" t="n">
        <v>480</v>
      </c>
      <c r="F681" s="12" t="n">
        <v>60</v>
      </c>
      <c r="G681" s="12" t="n">
        <v>76</v>
      </c>
      <c r="H681" s="12" t="inlineStr">
        <is>
          <t>R4 480 V switchgear + vacuum-pump MCC</t>
        </is>
      </c>
      <c r="I681" s="12" t="inlineStr">
        <is>
          <t>LV 600 V</t>
        </is>
      </c>
      <c r="J681" s="12" t="inlineStr">
        <is>
          <t>2</t>
        </is>
      </c>
      <c r="K681" s="12" t="n">
        <v>1</v>
      </c>
    </row>
    <row r="682">
      <c r="A682" s="12" t="inlineStr">
        <is>
          <t>Aux dry coolers AUXC-F01..12 (closed cooling water)</t>
        </is>
      </c>
      <c r="B682" s="12" t="inlineStr">
        <is>
          <t>AUXC</t>
        </is>
      </c>
      <c r="C682" s="12" t="inlineStr">
        <is>
          <t>B</t>
        </is>
      </c>
      <c r="D682" s="12" t="inlineStr">
        <is>
          <t>Motor 1 of 12, 22 kW (VFD output)</t>
        </is>
      </c>
      <c r="E682" s="12" t="n">
        <v>480</v>
      </c>
      <c r="F682" s="12" t="n">
        <v>22</v>
      </c>
      <c r="G682" s="12" t="n">
        <v>31</v>
      </c>
      <c r="H682" s="12" t="inlineStr">
        <is>
          <t>R4 480 V switchgear + vacuum-pump MCC</t>
        </is>
      </c>
      <c r="I682" s="12" t="inlineStr">
        <is>
          <t>LV 600 V</t>
        </is>
      </c>
      <c r="J682" s="12" t="inlineStr">
        <is>
          <t>2</t>
        </is>
      </c>
      <c r="K682" s="12" t="n">
        <v>1</v>
      </c>
    </row>
    <row r="683">
      <c r="A683" s="12" t="inlineStr">
        <is>
          <t>Aux dry coolers AUXC-F01..12 (closed cooling water)</t>
        </is>
      </c>
      <c r="B683" s="12" t="inlineStr">
        <is>
          <t>AUXC</t>
        </is>
      </c>
      <c r="C683" s="12" t="inlineStr">
        <is>
          <t>B</t>
        </is>
      </c>
      <c r="D683" s="12" t="inlineStr">
        <is>
          <t>Motor 2 of 12, 22 kW (VFD output)</t>
        </is>
      </c>
      <c r="E683" s="12" t="n">
        <v>480</v>
      </c>
      <c r="F683" s="12" t="n">
        <v>22</v>
      </c>
      <c r="G683" s="12" t="n">
        <v>31</v>
      </c>
      <c r="H683" s="12" t="inlineStr">
        <is>
          <t>R4 480 V switchgear + vacuum-pump MCC</t>
        </is>
      </c>
      <c r="I683" s="12" t="inlineStr">
        <is>
          <t>LV 600 V</t>
        </is>
      </c>
      <c r="J683" s="12" t="inlineStr">
        <is>
          <t>2</t>
        </is>
      </c>
      <c r="K683" s="12" t="n">
        <v>1</v>
      </c>
    </row>
    <row r="684">
      <c r="A684" s="12" t="inlineStr">
        <is>
          <t>Aux dry coolers AUXC-F01..12 (closed cooling water)</t>
        </is>
      </c>
      <c r="B684" s="12" t="inlineStr">
        <is>
          <t>AUXC</t>
        </is>
      </c>
      <c r="C684" s="12" t="inlineStr">
        <is>
          <t>B</t>
        </is>
      </c>
      <c r="D684" s="12" t="inlineStr">
        <is>
          <t>Motor 3 of 12, 22 kW (VFD output)</t>
        </is>
      </c>
      <c r="E684" s="12" t="n">
        <v>480</v>
      </c>
      <c r="F684" s="12" t="n">
        <v>22</v>
      </c>
      <c r="G684" s="12" t="n">
        <v>31</v>
      </c>
      <c r="H684" s="12" t="inlineStr">
        <is>
          <t>R4 480 V switchgear + vacuum-pump MCC</t>
        </is>
      </c>
      <c r="I684" s="12" t="inlineStr">
        <is>
          <t>LV 600 V</t>
        </is>
      </c>
      <c r="J684" s="12" t="inlineStr">
        <is>
          <t>2</t>
        </is>
      </c>
      <c r="K684" s="12" t="n">
        <v>1</v>
      </c>
    </row>
    <row r="685">
      <c r="A685" s="12" t="inlineStr">
        <is>
          <t>Aux dry coolers AUXC-F01..12 (closed cooling water)</t>
        </is>
      </c>
      <c r="B685" s="12" t="inlineStr">
        <is>
          <t>AUXC</t>
        </is>
      </c>
      <c r="C685" s="12" t="inlineStr">
        <is>
          <t>B</t>
        </is>
      </c>
      <c r="D685" s="12" t="inlineStr">
        <is>
          <t>Motor 4 of 12, 22 kW (VFD output)</t>
        </is>
      </c>
      <c r="E685" s="12" t="n">
        <v>480</v>
      </c>
      <c r="F685" s="12" t="n">
        <v>22</v>
      </c>
      <c r="G685" s="12" t="n">
        <v>31</v>
      </c>
      <c r="H685" s="12" t="inlineStr">
        <is>
          <t>R4 480 V switchgear + vacuum-pump MCC</t>
        </is>
      </c>
      <c r="I685" s="12" t="inlineStr">
        <is>
          <t>LV 600 V</t>
        </is>
      </c>
      <c r="J685" s="12" t="inlineStr">
        <is>
          <t>2</t>
        </is>
      </c>
      <c r="K685" s="12" t="n">
        <v>1</v>
      </c>
    </row>
    <row r="686">
      <c r="A686" s="12" t="inlineStr">
        <is>
          <t>Aux dry coolers AUXC-F01..12 (closed cooling water)</t>
        </is>
      </c>
      <c r="B686" s="12" t="inlineStr">
        <is>
          <t>AUXC</t>
        </is>
      </c>
      <c r="C686" s="12" t="inlineStr">
        <is>
          <t>B</t>
        </is>
      </c>
      <c r="D686" s="12" t="inlineStr">
        <is>
          <t>Motor 5 of 12, 22 kW (VFD output)</t>
        </is>
      </c>
      <c r="E686" s="12" t="n">
        <v>480</v>
      </c>
      <c r="F686" s="12" t="n">
        <v>22</v>
      </c>
      <c r="G686" s="12" t="n">
        <v>31</v>
      </c>
      <c r="H686" s="12" t="inlineStr">
        <is>
          <t>R4 480 V switchgear + vacuum-pump MCC</t>
        </is>
      </c>
      <c r="I686" s="12" t="inlineStr">
        <is>
          <t>LV 600 V</t>
        </is>
      </c>
      <c r="J686" s="12" t="inlineStr">
        <is>
          <t>2</t>
        </is>
      </c>
      <c r="K686" s="12" t="n">
        <v>1</v>
      </c>
    </row>
    <row r="687">
      <c r="A687" s="12" t="inlineStr">
        <is>
          <t>Aux dry coolers AUXC-F01..12 (closed cooling water)</t>
        </is>
      </c>
      <c r="B687" s="12" t="inlineStr">
        <is>
          <t>AUXC</t>
        </is>
      </c>
      <c r="C687" s="12" t="inlineStr">
        <is>
          <t>B</t>
        </is>
      </c>
      <c r="D687" s="12" t="inlineStr">
        <is>
          <t>Motor 6 of 12, 22 kW (VFD output)</t>
        </is>
      </c>
      <c r="E687" s="12" t="n">
        <v>480</v>
      </c>
      <c r="F687" s="12" t="n">
        <v>22</v>
      </c>
      <c r="G687" s="12" t="n">
        <v>31</v>
      </c>
      <c r="H687" s="12" t="inlineStr">
        <is>
          <t>R4 480 V switchgear + vacuum-pump MCC</t>
        </is>
      </c>
      <c r="I687" s="12" t="inlineStr">
        <is>
          <t>LV 600 V</t>
        </is>
      </c>
      <c r="J687" s="12" t="inlineStr">
        <is>
          <t>2</t>
        </is>
      </c>
      <c r="K687" s="12" t="n">
        <v>1</v>
      </c>
    </row>
    <row r="688">
      <c r="A688" s="12" t="inlineStr">
        <is>
          <t>Aux dry coolers AUXC-F01..12 (closed cooling water)</t>
        </is>
      </c>
      <c r="B688" s="12" t="inlineStr">
        <is>
          <t>AUXC</t>
        </is>
      </c>
      <c r="C688" s="12" t="inlineStr">
        <is>
          <t>B</t>
        </is>
      </c>
      <c r="D688" s="12" t="inlineStr">
        <is>
          <t>Motor 7 of 12, 22 kW (VFD output)</t>
        </is>
      </c>
      <c r="E688" s="12" t="n">
        <v>480</v>
      </c>
      <c r="F688" s="12" t="n">
        <v>22</v>
      </c>
      <c r="G688" s="12" t="n">
        <v>31</v>
      </c>
      <c r="H688" s="12" t="inlineStr">
        <is>
          <t>R4 480 V switchgear + vacuum-pump MCC</t>
        </is>
      </c>
      <c r="I688" s="12" t="inlineStr">
        <is>
          <t>LV 600 V</t>
        </is>
      </c>
      <c r="J688" s="12" t="inlineStr">
        <is>
          <t>2</t>
        </is>
      </c>
      <c r="K688" s="12" t="n">
        <v>1</v>
      </c>
    </row>
    <row r="689">
      <c r="A689" s="12" t="inlineStr">
        <is>
          <t>Aux dry coolers AUXC-F01..12 (closed cooling water)</t>
        </is>
      </c>
      <c r="B689" s="12" t="inlineStr">
        <is>
          <t>AUXC</t>
        </is>
      </c>
      <c r="C689" s="12" t="inlineStr">
        <is>
          <t>B</t>
        </is>
      </c>
      <c r="D689" s="12" t="inlineStr">
        <is>
          <t>Motor 8 of 12, 22 kW (VFD output)</t>
        </is>
      </c>
      <c r="E689" s="12" t="n">
        <v>480</v>
      </c>
      <c r="F689" s="12" t="n">
        <v>22</v>
      </c>
      <c r="G689" s="12" t="n">
        <v>31</v>
      </c>
      <c r="H689" s="12" t="inlineStr">
        <is>
          <t>R4 480 V switchgear + vacuum-pump MCC</t>
        </is>
      </c>
      <c r="I689" s="12" t="inlineStr">
        <is>
          <t>LV 600 V</t>
        </is>
      </c>
      <c r="J689" s="12" t="inlineStr">
        <is>
          <t>2</t>
        </is>
      </c>
      <c r="K689" s="12" t="n">
        <v>1</v>
      </c>
    </row>
    <row r="690">
      <c r="A690" s="12" t="inlineStr">
        <is>
          <t>Aux dry coolers AUXC-F01..12 (closed cooling water)</t>
        </is>
      </c>
      <c r="B690" s="12" t="inlineStr">
        <is>
          <t>AUXC</t>
        </is>
      </c>
      <c r="C690" s="12" t="inlineStr">
        <is>
          <t>B</t>
        </is>
      </c>
      <c r="D690" s="12" t="inlineStr">
        <is>
          <t>Motor 9 of 12, 22 kW (VFD output)</t>
        </is>
      </c>
      <c r="E690" s="12" t="n">
        <v>480</v>
      </c>
      <c r="F690" s="12" t="n">
        <v>22</v>
      </c>
      <c r="G690" s="12" t="n">
        <v>31</v>
      </c>
      <c r="H690" s="12" t="inlineStr">
        <is>
          <t>R4 480 V switchgear + vacuum-pump MCC</t>
        </is>
      </c>
      <c r="I690" s="12" t="inlineStr">
        <is>
          <t>LV 600 V</t>
        </is>
      </c>
      <c r="J690" s="12" t="inlineStr">
        <is>
          <t>2</t>
        </is>
      </c>
      <c r="K690" s="12" t="n">
        <v>1</v>
      </c>
    </row>
    <row r="691">
      <c r="A691" s="12" t="inlineStr">
        <is>
          <t>Aux dry coolers AUXC-F01..12 (closed cooling water)</t>
        </is>
      </c>
      <c r="B691" s="12" t="inlineStr">
        <is>
          <t>AUXC</t>
        </is>
      </c>
      <c r="C691" s="12" t="inlineStr">
        <is>
          <t>B</t>
        </is>
      </c>
      <c r="D691" s="12" t="inlineStr">
        <is>
          <t>Motor 10 of 12, 22 kW (VFD output)</t>
        </is>
      </c>
      <c r="E691" s="12" t="n">
        <v>480</v>
      </c>
      <c r="F691" s="12" t="n">
        <v>22</v>
      </c>
      <c r="G691" s="12" t="n">
        <v>31</v>
      </c>
      <c r="H691" s="12" t="inlineStr">
        <is>
          <t>R4 480 V switchgear + vacuum-pump MCC</t>
        </is>
      </c>
      <c r="I691" s="12" t="inlineStr">
        <is>
          <t>LV 600 V</t>
        </is>
      </c>
      <c r="J691" s="12" t="inlineStr">
        <is>
          <t>2</t>
        </is>
      </c>
      <c r="K691" s="12" t="n">
        <v>1</v>
      </c>
    </row>
    <row r="692">
      <c r="A692" s="12" t="inlineStr">
        <is>
          <t>Aux dry coolers AUXC-F01..12 (closed cooling water)</t>
        </is>
      </c>
      <c r="B692" s="12" t="inlineStr">
        <is>
          <t>AUXC</t>
        </is>
      </c>
      <c r="C692" s="12" t="inlineStr">
        <is>
          <t>B</t>
        </is>
      </c>
      <c r="D692" s="12" t="inlineStr">
        <is>
          <t>Motor 11 of 12, 22 kW (VFD output)</t>
        </is>
      </c>
      <c r="E692" s="12" t="n">
        <v>480</v>
      </c>
      <c r="F692" s="12" t="n">
        <v>22</v>
      </c>
      <c r="G692" s="12" t="n">
        <v>31</v>
      </c>
      <c r="H692" s="12" t="inlineStr">
        <is>
          <t>R4 480 V switchgear + vacuum-pump MCC</t>
        </is>
      </c>
      <c r="I692" s="12" t="inlineStr">
        <is>
          <t>LV 600 V</t>
        </is>
      </c>
      <c r="J692" s="12" t="inlineStr">
        <is>
          <t>2</t>
        </is>
      </c>
      <c r="K692" s="12" t="n">
        <v>1</v>
      </c>
    </row>
    <row r="693">
      <c r="A693" s="12" t="inlineStr">
        <is>
          <t>Aux dry coolers AUXC-F01..12 (closed cooling water)</t>
        </is>
      </c>
      <c r="B693" s="12" t="inlineStr">
        <is>
          <t>AUXC</t>
        </is>
      </c>
      <c r="C693" s="12" t="inlineStr">
        <is>
          <t>B</t>
        </is>
      </c>
      <c r="D693" s="12" t="inlineStr">
        <is>
          <t>Motor 12 of 12, 22 kW (VFD output)</t>
        </is>
      </c>
      <c r="E693" s="12" t="n">
        <v>480</v>
      </c>
      <c r="F693" s="12" t="n">
        <v>22</v>
      </c>
      <c r="G693" s="12" t="n">
        <v>31</v>
      </c>
      <c r="H693" s="12" t="inlineStr">
        <is>
          <t>R4 480 V switchgear + vacuum-pump MCC</t>
        </is>
      </c>
      <c r="I693" s="12" t="inlineStr">
        <is>
          <t>LV 600 V</t>
        </is>
      </c>
      <c r="J693" s="12" t="inlineStr">
        <is>
          <t>2</t>
        </is>
      </c>
      <c r="K693" s="12" t="n">
        <v>1</v>
      </c>
    </row>
    <row r="694">
      <c r="A694" s="12" t="inlineStr">
        <is>
          <t>CCW-A/B: closed cooling water pumps</t>
        </is>
      </c>
      <c r="B694" s="12" t="inlineStr">
        <is>
          <t>CCW-A/B</t>
        </is>
      </c>
      <c r="C694" s="12" t="inlineStr">
        <is>
          <t>B</t>
        </is>
      </c>
      <c r="D694" s="12" t="inlineStr">
        <is>
          <t>Motor 1 of 2, 150 kW</t>
        </is>
      </c>
      <c r="E694" s="12" t="n">
        <v>480</v>
      </c>
      <c r="F694" s="12" t="n">
        <v>150</v>
      </c>
      <c r="G694" s="12" t="n">
        <v>212.3</v>
      </c>
      <c r="H694" s="12" t="inlineStr">
        <is>
          <t>R4 480 V switchgear + vacuum-pump MCC</t>
        </is>
      </c>
      <c r="I694" s="12" t="inlineStr">
        <is>
          <t>LV 600 V</t>
        </is>
      </c>
      <c r="J694" s="12" t="inlineStr">
        <is>
          <t>350 kcmil</t>
        </is>
      </c>
      <c r="K694" s="12" t="n">
        <v>1</v>
      </c>
    </row>
    <row r="695">
      <c r="A695" s="12" t="inlineStr">
        <is>
          <t>CCW-A/B: closed cooling water pumps</t>
        </is>
      </c>
      <c r="B695" s="12" t="inlineStr">
        <is>
          <t>CCW-A/B</t>
        </is>
      </c>
      <c r="C695" s="12" t="inlineStr">
        <is>
          <t>B</t>
        </is>
      </c>
      <c r="D695" s="12" t="inlineStr">
        <is>
          <t>Motor 2 of 2, 150 kW</t>
        </is>
      </c>
      <c r="E695" s="12" t="n">
        <v>480</v>
      </c>
      <c r="F695" s="12" t="n">
        <v>150</v>
      </c>
      <c r="G695" s="12" t="n">
        <v>212.3</v>
      </c>
      <c r="H695" s="12" t="inlineStr">
        <is>
          <t>R4 480 V switchgear + vacuum-pump MCC</t>
        </is>
      </c>
      <c r="I695" s="12" t="inlineStr">
        <is>
          <t>LV 600 V</t>
        </is>
      </c>
      <c r="J695" s="12" t="inlineStr">
        <is>
          <t>350 kcmil</t>
        </is>
      </c>
      <c r="K695" s="12" t="n">
        <v>1</v>
      </c>
    </row>
    <row r="696">
      <c r="A696" s="12" t="inlineStr">
        <is>
          <t>Condensate storage tank</t>
        </is>
      </c>
      <c r="B696" s="12" t="inlineStr"/>
      <c r="C696" s="12" t="inlineStr">
        <is>
          <t>B</t>
        </is>
      </c>
      <c r="D696" s="12" t="inlineStr">
        <is>
          <t>LV power feeder</t>
        </is>
      </c>
      <c r="E696" s="12" t="n">
        <v>480</v>
      </c>
      <c r="F696" s="12" t="n">
        <v>10</v>
      </c>
      <c r="G696" s="12" t="n">
        <v>14.2</v>
      </c>
      <c r="H696" s="12" t="inlineStr">
        <is>
          <t>R4 480 V switchgear + vacuum-pump MCC</t>
        </is>
      </c>
      <c r="I696" s="12" t="inlineStr">
        <is>
          <t>LV 600 V</t>
        </is>
      </c>
      <c r="J696" s="12" t="inlineStr">
        <is>
          <t>8</t>
        </is>
      </c>
      <c r="K696" s="12" t="n">
        <v>1</v>
      </c>
    </row>
    <row r="697">
      <c r="A697" s="12" t="inlineStr">
        <is>
          <t>R4: ACC electrical (VFD) e-house (60 x 120 ft)</t>
        </is>
      </c>
      <c r="B697" s="12" t="inlineStr">
        <is>
          <t>R4</t>
        </is>
      </c>
      <c r="C697" s="12" t="inlineStr">
        <is>
          <t>B</t>
        </is>
      </c>
      <c r="D697" s="12" t="inlineStr">
        <is>
          <t>LV panel / distribution feeder</t>
        </is>
      </c>
      <c r="E697" s="12" t="n">
        <v>480</v>
      </c>
      <c r="F697" s="12" t="n">
        <v>86</v>
      </c>
      <c r="G697" s="12" t="n">
        <v>121.7</v>
      </c>
      <c r="H697" s="12" t="inlineStr">
        <is>
          <t>R4 480 V switchgear + vacuum-pump MCC</t>
        </is>
      </c>
      <c r="I697" s="12" t="inlineStr">
        <is>
          <t>LV 600 V</t>
        </is>
      </c>
      <c r="J697" s="12" t="inlineStr">
        <is>
          <t>2/0</t>
        </is>
      </c>
      <c r="K697" s="12" t="n">
        <v>1</v>
      </c>
    </row>
    <row r="698">
      <c r="A698" s="12" t="inlineStr">
        <is>
          <t>T-R4-1: 13.8/0.48 kV</t>
        </is>
      </c>
      <c r="B698" s="12" t="inlineStr"/>
      <c r="C698" s="12" t="inlineStr">
        <is>
          <t>B</t>
        </is>
      </c>
      <c r="D698" s="12" t="inlineStr">
        <is>
          <t>Motor 1 of 6, 2 kW</t>
        </is>
      </c>
      <c r="E698" s="12" t="n">
        <v>480</v>
      </c>
      <c r="F698" s="12" t="n">
        <v>2</v>
      </c>
      <c r="G698" s="12" t="n">
        <v>2.8</v>
      </c>
      <c r="H698" s="12" t="inlineStr">
        <is>
          <t>R4 480 V switchgear + vacuum-pump MCC</t>
        </is>
      </c>
      <c r="I698" s="12" t="inlineStr">
        <is>
          <t>LV 600 V</t>
        </is>
      </c>
      <c r="J698" s="12" t="inlineStr">
        <is>
          <t>10</t>
        </is>
      </c>
      <c r="K698" s="12" t="n">
        <v>1</v>
      </c>
    </row>
    <row r="699">
      <c r="A699" s="12" t="inlineStr">
        <is>
          <t>T-R4-1: 13.8/0.48 kV</t>
        </is>
      </c>
      <c r="B699" s="12" t="inlineStr"/>
      <c r="C699" s="12" t="inlineStr">
        <is>
          <t>B</t>
        </is>
      </c>
      <c r="D699" s="12" t="inlineStr">
        <is>
          <t>Motor 2 of 6, 2 kW</t>
        </is>
      </c>
      <c r="E699" s="12" t="n">
        <v>480</v>
      </c>
      <c r="F699" s="12" t="n">
        <v>2</v>
      </c>
      <c r="G699" s="12" t="n">
        <v>2.8</v>
      </c>
      <c r="H699" s="12" t="inlineStr">
        <is>
          <t>R4 480 V switchgear + vacuum-pump MCC</t>
        </is>
      </c>
      <c r="I699" s="12" t="inlineStr">
        <is>
          <t>LV 600 V</t>
        </is>
      </c>
      <c r="J699" s="12" t="inlineStr">
        <is>
          <t>10</t>
        </is>
      </c>
      <c r="K699" s="12" t="n">
        <v>1</v>
      </c>
    </row>
    <row r="700">
      <c r="A700" s="12" t="inlineStr">
        <is>
          <t>T-R4-1: 13.8/0.48 kV</t>
        </is>
      </c>
      <c r="B700" s="12" t="inlineStr"/>
      <c r="C700" s="12" t="inlineStr">
        <is>
          <t>B</t>
        </is>
      </c>
      <c r="D700" s="12" t="inlineStr">
        <is>
          <t>Motor 3 of 6, 2 kW</t>
        </is>
      </c>
      <c r="E700" s="12" t="n">
        <v>480</v>
      </c>
      <c r="F700" s="12" t="n">
        <v>2</v>
      </c>
      <c r="G700" s="12" t="n">
        <v>2.8</v>
      </c>
      <c r="H700" s="12" t="inlineStr">
        <is>
          <t>R4 480 V switchgear + vacuum-pump MCC</t>
        </is>
      </c>
      <c r="I700" s="12" t="inlineStr">
        <is>
          <t>LV 600 V</t>
        </is>
      </c>
      <c r="J700" s="12" t="inlineStr">
        <is>
          <t>10</t>
        </is>
      </c>
      <c r="K700" s="12" t="n">
        <v>1</v>
      </c>
    </row>
    <row r="701">
      <c r="A701" s="12" t="inlineStr">
        <is>
          <t>T-R4-1: 13.8/0.48 kV</t>
        </is>
      </c>
      <c r="B701" s="12" t="inlineStr"/>
      <c r="C701" s="12" t="inlineStr">
        <is>
          <t>B</t>
        </is>
      </c>
      <c r="D701" s="12" t="inlineStr">
        <is>
          <t>Motor 4 of 6, 2 kW</t>
        </is>
      </c>
      <c r="E701" s="12" t="n">
        <v>480</v>
      </c>
      <c r="F701" s="12" t="n">
        <v>2</v>
      </c>
      <c r="G701" s="12" t="n">
        <v>2.8</v>
      </c>
      <c r="H701" s="12" t="inlineStr">
        <is>
          <t>R4 480 V switchgear + vacuum-pump MCC</t>
        </is>
      </c>
      <c r="I701" s="12" t="inlineStr">
        <is>
          <t>LV 600 V</t>
        </is>
      </c>
      <c r="J701" s="12" t="inlineStr">
        <is>
          <t>10</t>
        </is>
      </c>
      <c r="K701" s="12" t="n">
        <v>1</v>
      </c>
    </row>
    <row r="702">
      <c r="A702" s="12" t="inlineStr">
        <is>
          <t>T-R4-1: 13.8/0.48 kV</t>
        </is>
      </c>
      <c r="B702" s="12" t="inlineStr"/>
      <c r="C702" s="12" t="inlineStr">
        <is>
          <t>B</t>
        </is>
      </c>
      <c r="D702" s="12" t="inlineStr">
        <is>
          <t>Motor 5 of 6, 2 kW</t>
        </is>
      </c>
      <c r="E702" s="12" t="n">
        <v>480</v>
      </c>
      <c r="F702" s="12" t="n">
        <v>2</v>
      </c>
      <c r="G702" s="12" t="n">
        <v>2.8</v>
      </c>
      <c r="H702" s="12" t="inlineStr">
        <is>
          <t>R4 480 V switchgear + vacuum-pump MCC</t>
        </is>
      </c>
      <c r="I702" s="12" t="inlineStr">
        <is>
          <t>LV 600 V</t>
        </is>
      </c>
      <c r="J702" s="12" t="inlineStr">
        <is>
          <t>10</t>
        </is>
      </c>
      <c r="K702" s="12" t="n">
        <v>1</v>
      </c>
    </row>
    <row r="703">
      <c r="A703" s="12" t="inlineStr">
        <is>
          <t>T-R4-1: 13.8/0.48 kV</t>
        </is>
      </c>
      <c r="B703" s="12" t="inlineStr"/>
      <c r="C703" s="12" t="inlineStr">
        <is>
          <t>B</t>
        </is>
      </c>
      <c r="D703" s="12" t="inlineStr">
        <is>
          <t>Motor 6 of 6, 2 kW</t>
        </is>
      </c>
      <c r="E703" s="12" t="n">
        <v>480</v>
      </c>
      <c r="F703" s="12" t="n">
        <v>2</v>
      </c>
      <c r="G703" s="12" t="n">
        <v>2.8</v>
      </c>
      <c r="H703" s="12" t="inlineStr">
        <is>
          <t>R4 480 V switchgear + vacuum-pump MCC</t>
        </is>
      </c>
      <c r="I703" s="12" t="inlineStr">
        <is>
          <t>LV 600 V</t>
        </is>
      </c>
      <c r="J703" s="12" t="inlineStr">
        <is>
          <t>10</t>
        </is>
      </c>
      <c r="K703" s="12" t="n">
        <v>1</v>
      </c>
    </row>
    <row r="704">
      <c r="A704" s="12" t="inlineStr">
        <is>
          <t>T-R4-2: 13.8/0.48 kV</t>
        </is>
      </c>
      <c r="B704" s="12" t="inlineStr"/>
      <c r="C704" s="12" t="inlineStr">
        <is>
          <t>B</t>
        </is>
      </c>
      <c r="D704" s="12" t="inlineStr">
        <is>
          <t>Motor 1 of 6, 2 kW</t>
        </is>
      </c>
      <c r="E704" s="12" t="n">
        <v>480</v>
      </c>
      <c r="F704" s="12" t="n">
        <v>2</v>
      </c>
      <c r="G704" s="12" t="n">
        <v>2.8</v>
      </c>
      <c r="H704" s="12" t="inlineStr">
        <is>
          <t>R4 480 V switchgear + vacuum-pump MCC</t>
        </is>
      </c>
      <c r="I704" s="12" t="inlineStr">
        <is>
          <t>LV 600 V</t>
        </is>
      </c>
      <c r="J704" s="12" t="inlineStr">
        <is>
          <t>10</t>
        </is>
      </c>
      <c r="K704" s="12" t="n">
        <v>1</v>
      </c>
    </row>
    <row r="705">
      <c r="A705" s="12" t="inlineStr">
        <is>
          <t>T-R4-2: 13.8/0.48 kV</t>
        </is>
      </c>
      <c r="B705" s="12" t="inlineStr"/>
      <c r="C705" s="12" t="inlineStr">
        <is>
          <t>B</t>
        </is>
      </c>
      <c r="D705" s="12" t="inlineStr">
        <is>
          <t>Motor 2 of 6, 2 kW</t>
        </is>
      </c>
      <c r="E705" s="12" t="n">
        <v>480</v>
      </c>
      <c r="F705" s="12" t="n">
        <v>2</v>
      </c>
      <c r="G705" s="12" t="n">
        <v>2.8</v>
      </c>
      <c r="H705" s="12" t="inlineStr">
        <is>
          <t>R4 480 V switchgear + vacuum-pump MCC</t>
        </is>
      </c>
      <c r="I705" s="12" t="inlineStr">
        <is>
          <t>LV 600 V</t>
        </is>
      </c>
      <c r="J705" s="12" t="inlineStr">
        <is>
          <t>10</t>
        </is>
      </c>
      <c r="K705" s="12" t="n">
        <v>1</v>
      </c>
    </row>
    <row r="706">
      <c r="A706" s="12" t="inlineStr">
        <is>
          <t>T-R4-2: 13.8/0.48 kV</t>
        </is>
      </c>
      <c r="B706" s="12" t="inlineStr"/>
      <c r="C706" s="12" t="inlineStr">
        <is>
          <t>B</t>
        </is>
      </c>
      <c r="D706" s="12" t="inlineStr">
        <is>
          <t>Motor 3 of 6, 2 kW</t>
        </is>
      </c>
      <c r="E706" s="12" t="n">
        <v>480</v>
      </c>
      <c r="F706" s="12" t="n">
        <v>2</v>
      </c>
      <c r="G706" s="12" t="n">
        <v>2.8</v>
      </c>
      <c r="H706" s="12" t="inlineStr">
        <is>
          <t>R4 480 V switchgear + vacuum-pump MCC</t>
        </is>
      </c>
      <c r="I706" s="12" t="inlineStr">
        <is>
          <t>LV 600 V</t>
        </is>
      </c>
      <c r="J706" s="12" t="inlineStr">
        <is>
          <t>10</t>
        </is>
      </c>
      <c r="K706" s="12" t="n">
        <v>1</v>
      </c>
    </row>
    <row r="707">
      <c r="A707" s="12" t="inlineStr">
        <is>
          <t>T-R4-2: 13.8/0.48 kV</t>
        </is>
      </c>
      <c r="B707" s="12" t="inlineStr"/>
      <c r="C707" s="12" t="inlineStr">
        <is>
          <t>B</t>
        </is>
      </c>
      <c r="D707" s="12" t="inlineStr">
        <is>
          <t>Motor 4 of 6, 2 kW</t>
        </is>
      </c>
      <c r="E707" s="12" t="n">
        <v>480</v>
      </c>
      <c r="F707" s="12" t="n">
        <v>2</v>
      </c>
      <c r="G707" s="12" t="n">
        <v>2.8</v>
      </c>
      <c r="H707" s="12" t="inlineStr">
        <is>
          <t>R4 480 V switchgear + vacuum-pump MCC</t>
        </is>
      </c>
      <c r="I707" s="12" t="inlineStr">
        <is>
          <t>LV 600 V</t>
        </is>
      </c>
      <c r="J707" s="12" t="inlineStr">
        <is>
          <t>10</t>
        </is>
      </c>
      <c r="K707" s="12" t="n">
        <v>1</v>
      </c>
    </row>
    <row r="708">
      <c r="A708" s="12" t="inlineStr">
        <is>
          <t>T-R4-2: 13.8/0.48 kV</t>
        </is>
      </c>
      <c r="B708" s="12" t="inlineStr"/>
      <c r="C708" s="12" t="inlineStr">
        <is>
          <t>B</t>
        </is>
      </c>
      <c r="D708" s="12" t="inlineStr">
        <is>
          <t>Motor 5 of 6, 2 kW</t>
        </is>
      </c>
      <c r="E708" s="12" t="n">
        <v>480</v>
      </c>
      <c r="F708" s="12" t="n">
        <v>2</v>
      </c>
      <c r="G708" s="12" t="n">
        <v>2.8</v>
      </c>
      <c r="H708" s="12" t="inlineStr">
        <is>
          <t>R4 480 V switchgear + vacuum-pump MCC</t>
        </is>
      </c>
      <c r="I708" s="12" t="inlineStr">
        <is>
          <t>LV 600 V</t>
        </is>
      </c>
      <c r="J708" s="12" t="inlineStr">
        <is>
          <t>10</t>
        </is>
      </c>
      <c r="K708" s="12" t="n">
        <v>1</v>
      </c>
    </row>
    <row r="709">
      <c r="A709" s="12" t="inlineStr">
        <is>
          <t>T-R4-2: 13.8/0.48 kV</t>
        </is>
      </c>
      <c r="B709" s="12" t="inlineStr"/>
      <c r="C709" s="12" t="inlineStr">
        <is>
          <t>B</t>
        </is>
      </c>
      <c r="D709" s="12" t="inlineStr">
        <is>
          <t>Motor 6 of 6, 2 kW</t>
        </is>
      </c>
      <c r="E709" s="12" t="n">
        <v>480</v>
      </c>
      <c r="F709" s="12" t="n">
        <v>2</v>
      </c>
      <c r="G709" s="12" t="n">
        <v>2.8</v>
      </c>
      <c r="H709" s="12" t="inlineStr">
        <is>
          <t>R4 480 V switchgear + vacuum-pump MCC</t>
        </is>
      </c>
      <c r="I709" s="12" t="inlineStr">
        <is>
          <t>LV 600 V</t>
        </is>
      </c>
      <c r="J709" s="12" t="inlineStr">
        <is>
          <t>10</t>
        </is>
      </c>
      <c r="K709" s="12" t="n">
        <v>1</v>
      </c>
    </row>
    <row r="710">
      <c r="A710" s="12" t="inlineStr">
        <is>
          <t>T-R4-3: 13.8/0.48 kV</t>
        </is>
      </c>
      <c r="B710" s="12" t="inlineStr"/>
      <c r="C710" s="12" t="inlineStr">
        <is>
          <t>B</t>
        </is>
      </c>
      <c r="D710" s="12" t="inlineStr">
        <is>
          <t>Motor 1 of 6, 2 kW</t>
        </is>
      </c>
      <c r="E710" s="12" t="n">
        <v>480</v>
      </c>
      <c r="F710" s="12" t="n">
        <v>2</v>
      </c>
      <c r="G710" s="12" t="n">
        <v>2.8</v>
      </c>
      <c r="H710" s="12" t="inlineStr">
        <is>
          <t>R4 480 V switchgear + vacuum-pump MCC</t>
        </is>
      </c>
      <c r="I710" s="12" t="inlineStr">
        <is>
          <t>LV 600 V</t>
        </is>
      </c>
      <c r="J710" s="12" t="inlineStr">
        <is>
          <t>10</t>
        </is>
      </c>
      <c r="K710" s="12" t="n">
        <v>1</v>
      </c>
    </row>
    <row r="711">
      <c r="A711" s="12" t="inlineStr">
        <is>
          <t>T-R4-3: 13.8/0.48 kV</t>
        </is>
      </c>
      <c r="B711" s="12" t="inlineStr"/>
      <c r="C711" s="12" t="inlineStr">
        <is>
          <t>B</t>
        </is>
      </c>
      <c r="D711" s="12" t="inlineStr">
        <is>
          <t>Motor 2 of 6, 2 kW</t>
        </is>
      </c>
      <c r="E711" s="12" t="n">
        <v>480</v>
      </c>
      <c r="F711" s="12" t="n">
        <v>2</v>
      </c>
      <c r="G711" s="12" t="n">
        <v>2.8</v>
      </c>
      <c r="H711" s="12" t="inlineStr">
        <is>
          <t>R4 480 V switchgear + vacuum-pump MCC</t>
        </is>
      </c>
      <c r="I711" s="12" t="inlineStr">
        <is>
          <t>LV 600 V</t>
        </is>
      </c>
      <c r="J711" s="12" t="inlineStr">
        <is>
          <t>10</t>
        </is>
      </c>
      <c r="K711" s="12" t="n">
        <v>1</v>
      </c>
    </row>
    <row r="712">
      <c r="A712" s="12" t="inlineStr">
        <is>
          <t>T-R4-3: 13.8/0.48 kV</t>
        </is>
      </c>
      <c r="B712" s="12" t="inlineStr"/>
      <c r="C712" s="12" t="inlineStr">
        <is>
          <t>B</t>
        </is>
      </c>
      <c r="D712" s="12" t="inlineStr">
        <is>
          <t>Motor 3 of 6, 2 kW</t>
        </is>
      </c>
      <c r="E712" s="12" t="n">
        <v>480</v>
      </c>
      <c r="F712" s="12" t="n">
        <v>2</v>
      </c>
      <c r="G712" s="12" t="n">
        <v>2.8</v>
      </c>
      <c r="H712" s="12" t="inlineStr">
        <is>
          <t>R4 480 V switchgear + vacuum-pump MCC</t>
        </is>
      </c>
      <c r="I712" s="12" t="inlineStr">
        <is>
          <t>LV 600 V</t>
        </is>
      </c>
      <c r="J712" s="12" t="inlineStr">
        <is>
          <t>10</t>
        </is>
      </c>
      <c r="K712" s="12" t="n">
        <v>1</v>
      </c>
    </row>
    <row r="713">
      <c r="A713" s="12" t="inlineStr">
        <is>
          <t>T-R4-3: 13.8/0.48 kV</t>
        </is>
      </c>
      <c r="B713" s="12" t="inlineStr"/>
      <c r="C713" s="12" t="inlineStr">
        <is>
          <t>B</t>
        </is>
      </c>
      <c r="D713" s="12" t="inlineStr">
        <is>
          <t>Motor 4 of 6, 2 kW</t>
        </is>
      </c>
      <c r="E713" s="12" t="n">
        <v>480</v>
      </c>
      <c r="F713" s="12" t="n">
        <v>2</v>
      </c>
      <c r="G713" s="12" t="n">
        <v>2.8</v>
      </c>
      <c r="H713" s="12" t="inlineStr">
        <is>
          <t>R4 480 V switchgear + vacuum-pump MCC</t>
        </is>
      </c>
      <c r="I713" s="12" t="inlineStr">
        <is>
          <t>LV 600 V</t>
        </is>
      </c>
      <c r="J713" s="12" t="inlineStr">
        <is>
          <t>10</t>
        </is>
      </c>
      <c r="K713" s="12" t="n">
        <v>1</v>
      </c>
    </row>
    <row r="714">
      <c r="A714" s="12" t="inlineStr">
        <is>
          <t>T-R4-3: 13.8/0.48 kV</t>
        </is>
      </c>
      <c r="B714" s="12" t="inlineStr"/>
      <c r="C714" s="12" t="inlineStr">
        <is>
          <t>B</t>
        </is>
      </c>
      <c r="D714" s="12" t="inlineStr">
        <is>
          <t>Motor 5 of 6, 2 kW</t>
        </is>
      </c>
      <c r="E714" s="12" t="n">
        <v>480</v>
      </c>
      <c r="F714" s="12" t="n">
        <v>2</v>
      </c>
      <c r="G714" s="12" t="n">
        <v>2.8</v>
      </c>
      <c r="H714" s="12" t="inlineStr">
        <is>
          <t>R4 480 V switchgear + vacuum-pump MCC</t>
        </is>
      </c>
      <c r="I714" s="12" t="inlineStr">
        <is>
          <t>LV 600 V</t>
        </is>
      </c>
      <c r="J714" s="12" t="inlineStr">
        <is>
          <t>10</t>
        </is>
      </c>
      <c r="K714" s="12" t="n">
        <v>1</v>
      </c>
    </row>
    <row r="715">
      <c r="A715" s="12" t="inlineStr">
        <is>
          <t>T-R4-3: 13.8/0.48 kV</t>
        </is>
      </c>
      <c r="B715" s="12" t="inlineStr"/>
      <c r="C715" s="12" t="inlineStr">
        <is>
          <t>B</t>
        </is>
      </c>
      <c r="D715" s="12" t="inlineStr">
        <is>
          <t>Motor 6 of 6, 2 kW</t>
        </is>
      </c>
      <c r="E715" s="12" t="n">
        <v>480</v>
      </c>
      <c r="F715" s="12" t="n">
        <v>2</v>
      </c>
      <c r="G715" s="12" t="n">
        <v>2.8</v>
      </c>
      <c r="H715" s="12" t="inlineStr">
        <is>
          <t>R4 480 V switchgear + vacuum-pump MCC</t>
        </is>
      </c>
      <c r="I715" s="12" t="inlineStr">
        <is>
          <t>LV 600 V</t>
        </is>
      </c>
      <c r="J715" s="12" t="inlineStr">
        <is>
          <t>10</t>
        </is>
      </c>
      <c r="K715" s="12" t="n">
        <v>1</v>
      </c>
    </row>
    <row r="716">
      <c r="A716" s="12" t="inlineStr">
        <is>
          <t>T-R4-4: 13.8/0.48 kV</t>
        </is>
      </c>
      <c r="B716" s="12" t="inlineStr"/>
      <c r="C716" s="12" t="inlineStr">
        <is>
          <t>B</t>
        </is>
      </c>
      <c r="D716" s="12" t="inlineStr">
        <is>
          <t>Motor 1 of 6, 2 kW</t>
        </is>
      </c>
      <c r="E716" s="12" t="n">
        <v>480</v>
      </c>
      <c r="F716" s="12" t="n">
        <v>2</v>
      </c>
      <c r="G716" s="12" t="n">
        <v>2.8</v>
      </c>
      <c r="H716" s="12" t="inlineStr">
        <is>
          <t>R4 480 V switchgear + vacuum-pump MCC</t>
        </is>
      </c>
      <c r="I716" s="12" t="inlineStr">
        <is>
          <t>LV 600 V</t>
        </is>
      </c>
      <c r="J716" s="12" t="inlineStr">
        <is>
          <t>10</t>
        </is>
      </c>
      <c r="K716" s="12" t="n">
        <v>1</v>
      </c>
    </row>
    <row r="717">
      <c r="A717" s="12" t="inlineStr">
        <is>
          <t>T-R4-4: 13.8/0.48 kV</t>
        </is>
      </c>
      <c r="B717" s="12" t="inlineStr"/>
      <c r="C717" s="12" t="inlineStr">
        <is>
          <t>B</t>
        </is>
      </c>
      <c r="D717" s="12" t="inlineStr">
        <is>
          <t>Motor 2 of 6, 2 kW</t>
        </is>
      </c>
      <c r="E717" s="12" t="n">
        <v>480</v>
      </c>
      <c r="F717" s="12" t="n">
        <v>2</v>
      </c>
      <c r="G717" s="12" t="n">
        <v>2.8</v>
      </c>
      <c r="H717" s="12" t="inlineStr">
        <is>
          <t>R4 480 V switchgear + vacuum-pump MCC</t>
        </is>
      </c>
      <c r="I717" s="12" t="inlineStr">
        <is>
          <t>LV 600 V</t>
        </is>
      </c>
      <c r="J717" s="12" t="inlineStr">
        <is>
          <t>10</t>
        </is>
      </c>
      <c r="K717" s="12" t="n">
        <v>1</v>
      </c>
    </row>
    <row r="718">
      <c r="A718" s="12" t="inlineStr">
        <is>
          <t>T-R4-4: 13.8/0.48 kV</t>
        </is>
      </c>
      <c r="B718" s="12" t="inlineStr"/>
      <c r="C718" s="12" t="inlineStr">
        <is>
          <t>B</t>
        </is>
      </c>
      <c r="D718" s="12" t="inlineStr">
        <is>
          <t>Motor 3 of 6, 2 kW</t>
        </is>
      </c>
      <c r="E718" s="12" t="n">
        <v>480</v>
      </c>
      <c r="F718" s="12" t="n">
        <v>2</v>
      </c>
      <c r="G718" s="12" t="n">
        <v>2.8</v>
      </c>
      <c r="H718" s="12" t="inlineStr">
        <is>
          <t>R4 480 V switchgear + vacuum-pump MCC</t>
        </is>
      </c>
      <c r="I718" s="12" t="inlineStr">
        <is>
          <t>LV 600 V</t>
        </is>
      </c>
      <c r="J718" s="12" t="inlineStr">
        <is>
          <t>10</t>
        </is>
      </c>
      <c r="K718" s="12" t="n">
        <v>1</v>
      </c>
    </row>
    <row r="719">
      <c r="A719" s="12" t="inlineStr">
        <is>
          <t>T-R4-4: 13.8/0.48 kV</t>
        </is>
      </c>
      <c r="B719" s="12" t="inlineStr"/>
      <c r="C719" s="12" t="inlineStr">
        <is>
          <t>B</t>
        </is>
      </c>
      <c r="D719" s="12" t="inlineStr">
        <is>
          <t>Motor 4 of 6, 2 kW</t>
        </is>
      </c>
      <c r="E719" s="12" t="n">
        <v>480</v>
      </c>
      <c r="F719" s="12" t="n">
        <v>2</v>
      </c>
      <c r="G719" s="12" t="n">
        <v>2.8</v>
      </c>
      <c r="H719" s="12" t="inlineStr">
        <is>
          <t>R4 480 V switchgear + vacuum-pump MCC</t>
        </is>
      </c>
      <c r="I719" s="12" t="inlineStr">
        <is>
          <t>LV 600 V</t>
        </is>
      </c>
      <c r="J719" s="12" t="inlineStr">
        <is>
          <t>10</t>
        </is>
      </c>
      <c r="K719" s="12" t="n">
        <v>1</v>
      </c>
    </row>
    <row r="720">
      <c r="A720" s="12" t="inlineStr">
        <is>
          <t>T-R4-4: 13.8/0.48 kV</t>
        </is>
      </c>
      <c r="B720" s="12" t="inlineStr"/>
      <c r="C720" s="12" t="inlineStr">
        <is>
          <t>B</t>
        </is>
      </c>
      <c r="D720" s="12" t="inlineStr">
        <is>
          <t>Motor 5 of 6, 2 kW</t>
        </is>
      </c>
      <c r="E720" s="12" t="n">
        <v>480</v>
      </c>
      <c r="F720" s="12" t="n">
        <v>2</v>
      </c>
      <c r="G720" s="12" t="n">
        <v>2.8</v>
      </c>
      <c r="H720" s="12" t="inlineStr">
        <is>
          <t>R4 480 V switchgear + vacuum-pump MCC</t>
        </is>
      </c>
      <c r="I720" s="12" t="inlineStr">
        <is>
          <t>LV 600 V</t>
        </is>
      </c>
      <c r="J720" s="12" t="inlineStr">
        <is>
          <t>10</t>
        </is>
      </c>
      <c r="K720" s="12" t="n">
        <v>1</v>
      </c>
    </row>
    <row r="721">
      <c r="A721" s="12" t="inlineStr">
        <is>
          <t>T-R4-4: 13.8/0.48 kV</t>
        </is>
      </c>
      <c r="B721" s="12" t="inlineStr"/>
      <c r="C721" s="12" t="inlineStr">
        <is>
          <t>B</t>
        </is>
      </c>
      <c r="D721" s="12" t="inlineStr">
        <is>
          <t>Motor 6 of 6, 2 kW</t>
        </is>
      </c>
      <c r="E721" s="12" t="n">
        <v>480</v>
      </c>
      <c r="F721" s="12" t="n">
        <v>2</v>
      </c>
      <c r="G721" s="12" t="n">
        <v>2.8</v>
      </c>
      <c r="H721" s="12" t="inlineStr">
        <is>
          <t>R4 480 V switchgear + vacuum-pump MCC</t>
        </is>
      </c>
      <c r="I721" s="12" t="inlineStr">
        <is>
          <t>LV 600 V</t>
        </is>
      </c>
      <c r="J721" s="12" t="inlineStr">
        <is>
          <t>10</t>
        </is>
      </c>
      <c r="K721" s="12" t="n">
        <v>1</v>
      </c>
    </row>
    <row r="722">
      <c r="A722" s="12" t="inlineStr">
        <is>
          <t>VAC-A/B: ACC air-removal vacuum pumps</t>
        </is>
      </c>
      <c r="B722" s="12" t="inlineStr">
        <is>
          <t>VAC-A/B</t>
        </is>
      </c>
      <c r="C722" s="12" t="inlineStr">
        <is>
          <t>B</t>
        </is>
      </c>
      <c r="D722" s="12" t="inlineStr">
        <is>
          <t>Motor 1 of 2, 75 kW</t>
        </is>
      </c>
      <c r="E722" s="12" t="n">
        <v>480</v>
      </c>
      <c r="F722" s="12" t="n">
        <v>75</v>
      </c>
      <c r="G722" s="12" t="n">
        <v>106.1</v>
      </c>
      <c r="H722" s="12" t="inlineStr">
        <is>
          <t>R4 480 V switchgear + vacuum-pump MCC</t>
        </is>
      </c>
      <c r="I722" s="12" t="inlineStr">
        <is>
          <t>LV 600 V</t>
        </is>
      </c>
      <c r="J722" s="12" t="inlineStr">
        <is>
          <t>2/0</t>
        </is>
      </c>
      <c r="K722" s="12" t="n">
        <v>1</v>
      </c>
    </row>
    <row r="723">
      <c r="A723" s="12" t="inlineStr">
        <is>
          <t>VAC-A/B: ACC air-removal vacuum pumps</t>
        </is>
      </c>
      <c r="B723" s="12" t="inlineStr">
        <is>
          <t>VAC-A/B</t>
        </is>
      </c>
      <c r="C723" s="12" t="inlineStr">
        <is>
          <t>B</t>
        </is>
      </c>
      <c r="D723" s="12" t="inlineStr">
        <is>
          <t>Motor 2 of 2, 75 kW</t>
        </is>
      </c>
      <c r="E723" s="12" t="n">
        <v>480</v>
      </c>
      <c r="F723" s="12" t="n">
        <v>75</v>
      </c>
      <c r="G723" s="12" t="n">
        <v>106.1</v>
      </c>
      <c r="H723" s="12" t="inlineStr">
        <is>
          <t>R4 480 V switchgear + vacuum-pump MCC</t>
        </is>
      </c>
      <c r="I723" s="12" t="inlineStr">
        <is>
          <t>LV 600 V</t>
        </is>
      </c>
      <c r="J723" s="12" t="inlineStr">
        <is>
          <t>2/0</t>
        </is>
      </c>
      <c r="K723" s="12" t="n">
        <v>1</v>
      </c>
    </row>
    <row r="724">
      <c r="A724" s="12" t="inlineStr">
        <is>
          <t>T-R4-1: 13.8/0.48 kV</t>
        </is>
      </c>
      <c r="B724" s="12" t="inlineStr"/>
      <c r="C724" s="12" t="inlineStr">
        <is>
          <t>B</t>
        </is>
      </c>
      <c r="D724" s="12" t="inlineStr">
        <is>
          <t>T-R4-1 ACC VFD transformer primary</t>
        </is>
      </c>
      <c r="E724" s="12" t="n">
        <v>13800</v>
      </c>
      <c r="F724" s="12" t="n">
        <v>3750</v>
      </c>
      <c r="G724" s="12" t="n">
        <v>157</v>
      </c>
      <c r="H724" s="12" t="inlineStr">
        <is>
          <t>R1 SWGR-13.8-1 (11 x 36 in cubicles, 15 kV metal-clad)</t>
        </is>
      </c>
      <c r="I724" s="12" t="inlineStr">
        <is>
          <t>MV 15 kV</t>
        </is>
      </c>
      <c r="J724" s="12" t="inlineStr">
        <is>
          <t>2/0</t>
        </is>
      </c>
      <c r="K724" s="12" t="n">
        <v>1</v>
      </c>
    </row>
    <row r="725">
      <c r="A725" s="12" t="inlineStr">
        <is>
          <t>T-R4-2: 13.8/0.48 kV</t>
        </is>
      </c>
      <c r="B725" s="12" t="inlineStr"/>
      <c r="C725" s="12" t="inlineStr">
        <is>
          <t>B</t>
        </is>
      </c>
      <c r="D725" s="12" t="inlineStr">
        <is>
          <t>T-R4-2 ACC VFD transformer primary</t>
        </is>
      </c>
      <c r="E725" s="12" t="n">
        <v>13800</v>
      </c>
      <c r="F725" s="12" t="n">
        <v>3750</v>
      </c>
      <c r="G725" s="12" t="n">
        <v>157</v>
      </c>
      <c r="H725" s="12" t="inlineStr">
        <is>
          <t>R1 SWGR-13.8-2 (11 x 36 in cubicles, 15 kV metal-clad)</t>
        </is>
      </c>
      <c r="I725" s="12" t="inlineStr">
        <is>
          <t>MV 15 kV</t>
        </is>
      </c>
      <c r="J725" s="12" t="inlineStr">
        <is>
          <t>2/0</t>
        </is>
      </c>
      <c r="K725" s="12" t="n">
        <v>1</v>
      </c>
    </row>
    <row r="726">
      <c r="A726" s="12" t="inlineStr">
        <is>
          <t>T-R4-3: 13.8/0.48 kV</t>
        </is>
      </c>
      <c r="B726" s="12" t="inlineStr"/>
      <c r="C726" s="12" t="inlineStr">
        <is>
          <t>B</t>
        </is>
      </c>
      <c r="D726" s="12" t="inlineStr">
        <is>
          <t>T-R4-3 ACC VFD transformer primary</t>
        </is>
      </c>
      <c r="E726" s="12" t="n">
        <v>13800</v>
      </c>
      <c r="F726" s="12" t="n">
        <v>3750</v>
      </c>
      <c r="G726" s="12" t="n">
        <v>157</v>
      </c>
      <c r="H726" s="12" t="inlineStr">
        <is>
          <t>R1 SWGR-13.8-3 (11 x 36 in cubicles, 15 kV metal-clad)</t>
        </is>
      </c>
      <c r="I726" s="12" t="inlineStr">
        <is>
          <t>MV 15 kV</t>
        </is>
      </c>
      <c r="J726" s="12" t="inlineStr">
        <is>
          <t>2/0</t>
        </is>
      </c>
      <c r="K726" s="12" t="n">
        <v>1</v>
      </c>
    </row>
    <row r="727">
      <c r="A727" s="12" t="inlineStr">
        <is>
          <t>T-R4-4: 13.8/0.48 kV</t>
        </is>
      </c>
      <c r="B727" s="12" t="inlineStr"/>
      <c r="C727" s="12" t="inlineStr">
        <is>
          <t>B</t>
        </is>
      </c>
      <c r="D727" s="12" t="inlineStr">
        <is>
          <t>T-R4-4 ACC VFD transformer primary</t>
        </is>
      </c>
      <c r="E727" s="12" t="n">
        <v>13800</v>
      </c>
      <c r="F727" s="12" t="n">
        <v>3750</v>
      </c>
      <c r="G727" s="12" t="n">
        <v>157</v>
      </c>
      <c r="H727" s="12" t="inlineStr">
        <is>
          <t>R1 SWGR-13.8-1 (11 x 36 in cubicles, 15 kV metal-clad)</t>
        </is>
      </c>
      <c r="I727" s="12" t="inlineStr">
        <is>
          <t>MV 15 kV</t>
        </is>
      </c>
      <c r="J727" s="12" t="inlineStr">
        <is>
          <t>2/0</t>
        </is>
      </c>
      <c r="K727" s="12" t="n">
        <v>1</v>
      </c>
    </row>
    <row r="728">
      <c r="A728" s="12" t="inlineStr">
        <is>
          <t>CP-A/B/C: condensate pumps (4.16 kV)</t>
        </is>
      </c>
      <c r="B728" s="12" t="inlineStr">
        <is>
          <t>CP-A/B/C</t>
        </is>
      </c>
      <c r="C728" s="12" t="inlineStr">
        <is>
          <t>B</t>
        </is>
      </c>
      <c r="D728" s="12" t="inlineStr">
        <is>
          <t>Condensate pump CP-A</t>
        </is>
      </c>
      <c r="E728" s="12" t="n">
        <v>4160</v>
      </c>
      <c r="F728" s="12" t="n">
        <v>900</v>
      </c>
      <c r="G728" s="12" t="n">
        <v>139</v>
      </c>
      <c r="H728" s="12" t="inlineStr">
        <is>
          <t>R1 SWGR-4.16-A (9 x 36 in cubicles, 5 kV metal-clad)</t>
        </is>
      </c>
      <c r="I728" s="12" t="inlineStr">
        <is>
          <t>MV 5 kV</t>
        </is>
      </c>
      <c r="J728" s="12" t="inlineStr">
        <is>
          <t>1/0</t>
        </is>
      </c>
      <c r="K728" s="12" t="n">
        <v>1</v>
      </c>
    </row>
    <row r="729">
      <c r="A729" s="12" t="inlineStr">
        <is>
          <t>CP-A/B/C: condensate pumps (4.16 kV)</t>
        </is>
      </c>
      <c r="B729" s="12" t="inlineStr">
        <is>
          <t>CP-A/B/C</t>
        </is>
      </c>
      <c r="C729" s="12" t="inlineStr">
        <is>
          <t>B</t>
        </is>
      </c>
      <c r="D729" s="12" t="inlineStr">
        <is>
          <t>Condensate pump CP-B</t>
        </is>
      </c>
      <c r="E729" s="12" t="n">
        <v>4160</v>
      </c>
      <c r="F729" s="12" t="n">
        <v>900</v>
      </c>
      <c r="G729" s="12" t="n">
        <v>139</v>
      </c>
      <c r="H729" s="12" t="inlineStr">
        <is>
          <t>R1 SWGR-4.16-B (5 kV metal-clad)</t>
        </is>
      </c>
      <c r="I729" s="12" t="inlineStr">
        <is>
          <t>MV 5 kV</t>
        </is>
      </c>
      <c r="J729" s="12" t="inlineStr">
        <is>
          <t>1/0</t>
        </is>
      </c>
      <c r="K729" s="12" t="n">
        <v>1</v>
      </c>
    </row>
    <row r="730">
      <c r="A730" s="12" t="inlineStr">
        <is>
          <t>CP-A/B/C: condensate pumps (4.16 kV)</t>
        </is>
      </c>
      <c r="B730" s="12" t="inlineStr">
        <is>
          <t>CP-A/B/C</t>
        </is>
      </c>
      <c r="C730" s="12" t="inlineStr">
        <is>
          <t>B</t>
        </is>
      </c>
      <c r="D730" s="12" t="inlineStr">
        <is>
          <t>Condensate pump CP-C</t>
        </is>
      </c>
      <c r="E730" s="12" t="n">
        <v>4160</v>
      </c>
      <c r="F730" s="12" t="n">
        <v>900</v>
      </c>
      <c r="G730" s="12" t="n">
        <v>139</v>
      </c>
      <c r="H730" s="12" t="inlineStr">
        <is>
          <t>R1 SWGR-4.16-A (9 x 36 in cubicles, 5 kV metal-clad)</t>
        </is>
      </c>
      <c r="I730" s="12" t="inlineStr">
        <is>
          <t>MV 5 kV</t>
        </is>
      </c>
      <c r="J730" s="12" t="inlineStr">
        <is>
          <t>1/0</t>
        </is>
      </c>
      <c r="K730" s="12" t="n">
        <v>1</v>
      </c>
    </row>
    <row r="731">
      <c r="A731" s="12" t="inlineStr">
        <is>
          <t>230 kV switchyard (gravel)</t>
        </is>
      </c>
      <c r="B731" s="12" t="inlineStr"/>
      <c r="C731" s="12" t="inlineStr">
        <is>
          <t>C</t>
        </is>
      </c>
      <c r="D731" s="12" t="inlineStr">
        <is>
          <t>Yard lighting circuit 1 (10 floodlights)</t>
        </is>
      </c>
      <c r="E731" s="12" t="n">
        <v>480</v>
      </c>
      <c r="F731" s="12" t="n">
        <v>4</v>
      </c>
      <c r="G731" s="12" t="n">
        <v>6</v>
      </c>
      <c r="H731" s="12" t="inlineStr">
        <is>
          <t>RH: switchyard relay / control house (52 x 70 ft)</t>
        </is>
      </c>
      <c r="I731" s="12" t="inlineStr">
        <is>
          <t>LV 600 V</t>
        </is>
      </c>
      <c r="J731" s="12" t="inlineStr">
        <is>
          <t>8</t>
        </is>
      </c>
      <c r="K731" s="12" t="n">
        <v>1</v>
      </c>
    </row>
    <row r="732">
      <c r="A732" s="12" t="inlineStr">
        <is>
          <t>230 kV switchyard (gravel)</t>
        </is>
      </c>
      <c r="B732" s="12" t="inlineStr"/>
      <c r="C732" s="12" t="inlineStr">
        <is>
          <t>C</t>
        </is>
      </c>
      <c r="D732" s="12" t="inlineStr">
        <is>
          <t>Yard lighting circuit 2 (10 floodlights)</t>
        </is>
      </c>
      <c r="E732" s="12" t="n">
        <v>480</v>
      </c>
      <c r="F732" s="12" t="n">
        <v>4</v>
      </c>
      <c r="G732" s="12" t="n">
        <v>6</v>
      </c>
      <c r="H732" s="12" t="inlineStr">
        <is>
          <t>RH: switchyard relay / control house (52 x 70 ft)</t>
        </is>
      </c>
      <c r="I732" s="12" t="inlineStr">
        <is>
          <t>LV 600 V</t>
        </is>
      </c>
      <c r="J732" s="12" t="inlineStr">
        <is>
          <t>8</t>
        </is>
      </c>
      <c r="K732" s="12" t="n">
        <v>1</v>
      </c>
    </row>
    <row r="733">
      <c r="A733" s="12" t="inlineStr">
        <is>
          <t>230 kV switchyard (gravel)</t>
        </is>
      </c>
      <c r="B733" s="12" t="inlineStr"/>
      <c r="C733" s="12" t="inlineStr">
        <is>
          <t>C</t>
        </is>
      </c>
      <c r="D733" s="12" t="inlineStr">
        <is>
          <t>Yard lighting circuit 3 (10 floodlights)</t>
        </is>
      </c>
      <c r="E733" s="12" t="n">
        <v>480</v>
      </c>
      <c r="F733" s="12" t="n">
        <v>4</v>
      </c>
      <c r="G733" s="12" t="n">
        <v>6</v>
      </c>
      <c r="H733" s="12" t="inlineStr">
        <is>
          <t>RH: switchyard relay / control house (52 x 70 ft)</t>
        </is>
      </c>
      <c r="I733" s="12" t="inlineStr">
        <is>
          <t>LV 600 V</t>
        </is>
      </c>
      <c r="J733" s="12" t="inlineStr">
        <is>
          <t>8</t>
        </is>
      </c>
      <c r="K733" s="12" t="n">
        <v>1</v>
      </c>
    </row>
    <row r="734">
      <c r="A734" s="12" t="inlineStr">
        <is>
          <t>230 kV switchyard (gravel)</t>
        </is>
      </c>
      <c r="B734" s="12" t="inlineStr"/>
      <c r="C734" s="12" t="inlineStr">
        <is>
          <t>C</t>
        </is>
      </c>
      <c r="D734" s="12" t="inlineStr">
        <is>
          <t>Yard lighting circuit 4 (10 floodlights)</t>
        </is>
      </c>
      <c r="E734" s="12" t="n">
        <v>480</v>
      </c>
      <c r="F734" s="12" t="n">
        <v>4</v>
      </c>
      <c r="G734" s="12" t="n">
        <v>6</v>
      </c>
      <c r="H734" s="12" t="inlineStr">
        <is>
          <t>RH: switchyard relay / control house (52 x 70 ft)</t>
        </is>
      </c>
      <c r="I734" s="12" t="inlineStr">
        <is>
          <t>LV 600 V</t>
        </is>
      </c>
      <c r="J734" s="12" t="inlineStr">
        <is>
          <t>8</t>
        </is>
      </c>
      <c r="K734" s="12" t="n">
        <v>1</v>
      </c>
    </row>
    <row r="735">
      <c r="A735" s="12" t="inlineStr">
        <is>
          <t>RH: switchyard relay / control house (52 x 70 ft)</t>
        </is>
      </c>
      <c r="B735" s="12" t="inlineStr">
        <is>
          <t>RH</t>
        </is>
      </c>
      <c r="C735" s="12" t="inlineStr">
        <is>
          <t>C</t>
        </is>
      </c>
      <c r="D735" s="12" t="inlineStr">
        <is>
          <t>LV panel / distribution feeder</t>
        </is>
      </c>
      <c r="E735" s="12" t="n">
        <v>480</v>
      </c>
      <c r="F735" s="12" t="n">
        <v>44</v>
      </c>
      <c r="G735" s="12" t="n">
        <v>62.3</v>
      </c>
      <c r="H735" s="12" t="inlineStr">
        <is>
          <t>RH: switchyard relay / control house (52 x 70 ft)</t>
        </is>
      </c>
      <c r="I735" s="12" t="inlineStr">
        <is>
          <t>LV 600 V</t>
        </is>
      </c>
      <c r="J735" s="12" t="inlineStr">
        <is>
          <t>4</t>
        </is>
      </c>
      <c r="K735" s="12" t="n">
        <v>1</v>
      </c>
    </row>
    <row r="736">
      <c r="A736" s="12" t="inlineStr">
        <is>
          <t>CONDITIONAL: ULSD backup fuel-oil tank</t>
        </is>
      </c>
      <c r="B736" s="12" t="inlineStr"/>
      <c r="C736" s="12" t="inlineStr">
        <is>
          <t>D</t>
        </is>
      </c>
      <c r="D736" s="12" t="inlineStr">
        <is>
          <t>LV power feeder</t>
        </is>
      </c>
      <c r="E736" s="12" t="n">
        <v>480</v>
      </c>
      <c r="F736" s="12" t="n">
        <v>10</v>
      </c>
      <c r="G736" s="12" t="n">
        <v>14.2</v>
      </c>
      <c r="H736" s="12" t="inlineStr">
        <is>
          <t>R1 MCC-C1</t>
        </is>
      </c>
      <c r="I736" s="12" t="inlineStr">
        <is>
          <t>LV 600 V</t>
        </is>
      </c>
      <c r="J736" s="12" t="inlineStr">
        <is>
          <t>2</t>
        </is>
      </c>
      <c r="K736" s="12" t="n">
        <v>1</v>
      </c>
    </row>
    <row r="737">
      <c r="A737" s="12" t="inlineStr">
        <is>
          <t>CONDITIONAL: ULSD truck unloading station (canopy, spill containment)</t>
        </is>
      </c>
      <c r="B737" s="12" t="inlineStr"/>
      <c r="C737" s="12" t="inlineStr">
        <is>
          <t>D</t>
        </is>
      </c>
      <c r="D737" s="12" t="inlineStr">
        <is>
          <t>LV power feeder</t>
        </is>
      </c>
      <c r="E737" s="12" t="n">
        <v>480</v>
      </c>
      <c r="F737" s="12" t="n">
        <v>15</v>
      </c>
      <c r="G737" s="12" t="n">
        <v>21.2</v>
      </c>
      <c r="H737" s="12" t="inlineStr">
        <is>
          <t>R1 MCC-C1</t>
        </is>
      </c>
      <c r="I737" s="12" t="inlineStr">
        <is>
          <t>LV 600 V</t>
        </is>
      </c>
      <c r="J737" s="12" t="inlineStr">
        <is>
          <t>1</t>
        </is>
      </c>
      <c r="K737" s="12" t="n">
        <v>1</v>
      </c>
    </row>
    <row r="738">
      <c r="A738" s="12" t="inlineStr">
        <is>
          <t>CONDITIONAL: ULSD unloading and forwarding pumps, duplex filters</t>
        </is>
      </c>
      <c r="B738" s="12" t="inlineStr"/>
      <c r="C738" s="12" t="inlineStr">
        <is>
          <t>D</t>
        </is>
      </c>
      <c r="D738" s="12" t="inlineStr">
        <is>
          <t>LV power feeder</t>
        </is>
      </c>
      <c r="E738" s="12" t="n">
        <v>480</v>
      </c>
      <c r="F738" s="12" t="n">
        <v>110</v>
      </c>
      <c r="G738" s="12" t="n">
        <v>155.7</v>
      </c>
      <c r="H738" s="12" t="inlineStr">
        <is>
          <t>R1 MCC-C1</t>
        </is>
      </c>
      <c r="I738" s="12" t="inlineStr">
        <is>
          <t>LV 600 V</t>
        </is>
      </c>
      <c r="J738" s="12" t="inlineStr">
        <is>
          <t>350 kcmil</t>
        </is>
      </c>
      <c r="K738" s="12" t="n">
        <v>2</v>
      </c>
    </row>
    <row r="739">
      <c r="A739" s="12" t="inlineStr">
        <is>
          <t>CONDITIONAL: backup fuel oil (ULSD) unloading and forwarding area</t>
        </is>
      </c>
      <c r="B739" s="12" t="inlineStr"/>
      <c r="C739" s="12" t="inlineStr">
        <is>
          <t>D</t>
        </is>
      </c>
      <c r="D739" s="12" t="inlineStr">
        <is>
          <t>LV power feeder</t>
        </is>
      </c>
      <c r="E739" s="12" t="n">
        <v>480</v>
      </c>
      <c r="F739" s="12" t="n">
        <v>15</v>
      </c>
      <c r="G739" s="12" t="n">
        <v>21.2</v>
      </c>
      <c r="H739" s="12" t="inlineStr">
        <is>
          <t>R1 MCC-C1</t>
        </is>
      </c>
      <c r="I739" s="12" t="inlineStr">
        <is>
          <t>LV 600 V</t>
        </is>
      </c>
      <c r="J739" s="12" t="inlineStr">
        <is>
          <t>1</t>
        </is>
      </c>
      <c r="K739" s="12" t="n">
        <v>1</v>
      </c>
    </row>
    <row r="740">
      <c r="A740" s="12" t="inlineStr">
        <is>
          <t>CONDITIONAL: fuel-gas compressors</t>
        </is>
      </c>
      <c r="B740" s="12" t="inlineStr"/>
      <c r="C740" s="12" t="inlineStr">
        <is>
          <t>D</t>
        </is>
      </c>
      <c r="D740" s="12" t="inlineStr">
        <is>
          <t>Motor 1 of 6, 15 kW</t>
        </is>
      </c>
      <c r="E740" s="12" t="n">
        <v>480</v>
      </c>
      <c r="F740" s="12" t="n">
        <v>15</v>
      </c>
      <c r="G740" s="12" t="n">
        <v>21.2</v>
      </c>
      <c r="H740" s="12" t="inlineStr">
        <is>
          <t>R1 MCC-C1</t>
        </is>
      </c>
      <c r="I740" s="12" t="inlineStr">
        <is>
          <t>LV 600 V</t>
        </is>
      </c>
      <c r="J740" s="12" t="inlineStr">
        <is>
          <t>1/0</t>
        </is>
      </c>
      <c r="K740" s="12" t="n">
        <v>1</v>
      </c>
    </row>
    <row r="741">
      <c r="A741" s="12" t="inlineStr">
        <is>
          <t>CONDITIONAL: fuel-gas compressors</t>
        </is>
      </c>
      <c r="B741" s="12" t="inlineStr"/>
      <c r="C741" s="12" t="inlineStr">
        <is>
          <t>D</t>
        </is>
      </c>
      <c r="D741" s="12" t="inlineStr">
        <is>
          <t>Motor 2 of 6, 15 kW</t>
        </is>
      </c>
      <c r="E741" s="12" t="n">
        <v>480</v>
      </c>
      <c r="F741" s="12" t="n">
        <v>15</v>
      </c>
      <c r="G741" s="12" t="n">
        <v>21.2</v>
      </c>
      <c r="H741" s="12" t="inlineStr">
        <is>
          <t>R1 MCC-C1</t>
        </is>
      </c>
      <c r="I741" s="12" t="inlineStr">
        <is>
          <t>LV 600 V</t>
        </is>
      </c>
      <c r="J741" s="12" t="inlineStr">
        <is>
          <t>1/0</t>
        </is>
      </c>
      <c r="K741" s="12" t="n">
        <v>1</v>
      </c>
    </row>
    <row r="742">
      <c r="A742" s="12" t="inlineStr">
        <is>
          <t>CONDITIONAL: fuel-gas compressors</t>
        </is>
      </c>
      <c r="B742" s="12" t="inlineStr"/>
      <c r="C742" s="12" t="inlineStr">
        <is>
          <t>D</t>
        </is>
      </c>
      <c r="D742" s="12" t="inlineStr">
        <is>
          <t>Motor 3 of 6, 15 kW</t>
        </is>
      </c>
      <c r="E742" s="12" t="n">
        <v>480</v>
      </c>
      <c r="F742" s="12" t="n">
        <v>15</v>
      </c>
      <c r="G742" s="12" t="n">
        <v>21.2</v>
      </c>
      <c r="H742" s="12" t="inlineStr">
        <is>
          <t>R1 MCC-C1</t>
        </is>
      </c>
      <c r="I742" s="12" t="inlineStr">
        <is>
          <t>LV 600 V</t>
        </is>
      </c>
      <c r="J742" s="12" t="inlineStr">
        <is>
          <t>1/0</t>
        </is>
      </c>
      <c r="K742" s="12" t="n">
        <v>1</v>
      </c>
    </row>
    <row r="743">
      <c r="A743" s="12" t="inlineStr">
        <is>
          <t>CONDITIONAL: fuel-gas compressors</t>
        </is>
      </c>
      <c r="B743" s="12" t="inlineStr"/>
      <c r="C743" s="12" t="inlineStr">
        <is>
          <t>D</t>
        </is>
      </c>
      <c r="D743" s="12" t="inlineStr">
        <is>
          <t>Motor 4 of 6, 15 kW</t>
        </is>
      </c>
      <c r="E743" s="12" t="n">
        <v>480</v>
      </c>
      <c r="F743" s="12" t="n">
        <v>15</v>
      </c>
      <c r="G743" s="12" t="n">
        <v>21.2</v>
      </c>
      <c r="H743" s="12" t="inlineStr">
        <is>
          <t>R1 MCC-C1</t>
        </is>
      </c>
      <c r="I743" s="12" t="inlineStr">
        <is>
          <t>LV 600 V</t>
        </is>
      </c>
      <c r="J743" s="12" t="inlineStr">
        <is>
          <t>1/0</t>
        </is>
      </c>
      <c r="K743" s="12" t="n">
        <v>1</v>
      </c>
    </row>
    <row r="744">
      <c r="A744" s="12" t="inlineStr">
        <is>
          <t>CONDITIONAL: fuel-gas compressors</t>
        </is>
      </c>
      <c r="B744" s="12" t="inlineStr"/>
      <c r="C744" s="12" t="inlineStr">
        <is>
          <t>D</t>
        </is>
      </c>
      <c r="D744" s="12" t="inlineStr">
        <is>
          <t>Motor 5 of 6, 15 kW</t>
        </is>
      </c>
      <c r="E744" s="12" t="n">
        <v>480</v>
      </c>
      <c r="F744" s="12" t="n">
        <v>15</v>
      </c>
      <c r="G744" s="12" t="n">
        <v>21.2</v>
      </c>
      <c r="H744" s="12" t="inlineStr">
        <is>
          <t>R1 MCC-C1</t>
        </is>
      </c>
      <c r="I744" s="12" t="inlineStr">
        <is>
          <t>LV 600 V</t>
        </is>
      </c>
      <c r="J744" s="12" t="inlineStr">
        <is>
          <t>1/0</t>
        </is>
      </c>
      <c r="K744" s="12" t="n">
        <v>1</v>
      </c>
    </row>
    <row r="745">
      <c r="A745" s="12" t="inlineStr">
        <is>
          <t>CONDITIONAL: fuel-gas compressors</t>
        </is>
      </c>
      <c r="B745" s="12" t="inlineStr"/>
      <c r="C745" s="12" t="inlineStr">
        <is>
          <t>D</t>
        </is>
      </c>
      <c r="D745" s="12" t="inlineStr">
        <is>
          <t>Motor 6 of 6, 15 kW</t>
        </is>
      </c>
      <c r="E745" s="12" t="n">
        <v>480</v>
      </c>
      <c r="F745" s="12" t="n">
        <v>15</v>
      </c>
      <c r="G745" s="12" t="n">
        <v>21.2</v>
      </c>
      <c r="H745" s="12" t="inlineStr">
        <is>
          <t>R1 MCC-C1</t>
        </is>
      </c>
      <c r="I745" s="12" t="inlineStr">
        <is>
          <t>LV 600 V</t>
        </is>
      </c>
      <c r="J745" s="12" t="inlineStr">
        <is>
          <t>1/0</t>
        </is>
      </c>
      <c r="K745" s="12" t="n">
        <v>1</v>
      </c>
    </row>
    <row r="746">
      <c r="A746" s="12" t="inlineStr">
        <is>
          <t>CPR-1: cathodic-protection rectifier</t>
        </is>
      </c>
      <c r="B746" s="12" t="inlineStr">
        <is>
          <t>CPR-1</t>
        </is>
      </c>
      <c r="C746" s="12" t="inlineStr">
        <is>
          <t>D</t>
        </is>
      </c>
      <c r="D746" s="12" t="inlineStr">
        <is>
          <t>Cathodic-protection rectifier supply</t>
        </is>
      </c>
      <c r="E746" s="12" t="n">
        <v>480</v>
      </c>
      <c r="F746" s="12" t="n">
        <v>10</v>
      </c>
      <c r="G746" s="12" t="n">
        <v>12.7</v>
      </c>
      <c r="H746" s="12" t="inlineStr">
        <is>
          <t>R1 MCC-C1</t>
        </is>
      </c>
      <c r="I746" s="12" t="inlineStr">
        <is>
          <t>LV 600 V</t>
        </is>
      </c>
      <c r="J746" s="12" t="inlineStr">
        <is>
          <t>2</t>
        </is>
      </c>
      <c r="K746" s="12" t="n">
        <v>1</v>
      </c>
    </row>
    <row r="747">
      <c r="A747" s="12" t="inlineStr">
        <is>
          <t>Fuel-gas performance heater</t>
        </is>
      </c>
      <c r="B747" s="12" t="inlineStr"/>
      <c r="C747" s="12" t="inlineStr">
        <is>
          <t>D</t>
        </is>
      </c>
      <c r="D747" s="12" t="inlineStr">
        <is>
          <t>LV power feeder</t>
        </is>
      </c>
      <c r="E747" s="12" t="n">
        <v>480</v>
      </c>
      <c r="F747" s="12" t="n">
        <v>60</v>
      </c>
      <c r="G747" s="12" t="n">
        <v>84.90000000000001</v>
      </c>
      <c r="H747" s="12" t="inlineStr">
        <is>
          <t>R1 MCC-C1</t>
        </is>
      </c>
      <c r="I747" s="12" t="inlineStr">
        <is>
          <t>LV 600 V</t>
        </is>
      </c>
      <c r="J747" s="12" t="inlineStr">
        <is>
          <t>350 kcmil</t>
        </is>
      </c>
      <c r="K747" s="12" t="n">
        <v>1</v>
      </c>
    </row>
    <row r="748">
      <c r="A748" s="12" t="inlineStr">
        <is>
          <t>Gas metering skid</t>
        </is>
      </c>
      <c r="B748" s="12" t="inlineStr"/>
      <c r="C748" s="12" t="inlineStr">
        <is>
          <t>D</t>
        </is>
      </c>
      <c r="D748" s="12" t="inlineStr">
        <is>
          <t>LV power feeder</t>
        </is>
      </c>
      <c r="E748" s="12" t="n">
        <v>480</v>
      </c>
      <c r="F748" s="12" t="n">
        <v>10</v>
      </c>
      <c r="G748" s="12" t="n">
        <v>14.2</v>
      </c>
      <c r="H748" s="12" t="inlineStr">
        <is>
          <t>R1 MCC-C1</t>
        </is>
      </c>
      <c r="I748" s="12" t="inlineStr">
        <is>
          <t>LV 600 V</t>
        </is>
      </c>
      <c r="J748" s="12" t="inlineStr">
        <is>
          <t>2</t>
        </is>
      </c>
      <c r="K748" s="12" t="n">
        <v>1</v>
      </c>
    </row>
    <row r="749">
      <c r="A749" s="12" t="inlineStr">
        <is>
          <t>Gas pressure regulation skid</t>
        </is>
      </c>
      <c r="B749" s="12" t="inlineStr"/>
      <c r="C749" s="12" t="inlineStr">
        <is>
          <t>D</t>
        </is>
      </c>
      <c r="D749" s="12" t="inlineStr">
        <is>
          <t>LV power feeder</t>
        </is>
      </c>
      <c r="E749" s="12" t="n">
        <v>480</v>
      </c>
      <c r="F749" s="12" t="n">
        <v>10</v>
      </c>
      <c r="G749" s="12" t="n">
        <v>14.2</v>
      </c>
      <c r="H749" s="12" t="inlineStr">
        <is>
          <t>R1 MCC-C1</t>
        </is>
      </c>
      <c r="I749" s="12" t="inlineStr">
        <is>
          <t>LV 600 V</t>
        </is>
      </c>
      <c r="J749" s="12" t="inlineStr">
        <is>
          <t>2</t>
        </is>
      </c>
      <c r="K749" s="12" t="n">
        <v>1</v>
      </c>
    </row>
    <row r="750">
      <c r="A750" s="12" t="inlineStr">
        <is>
          <t>Gas yard filter-separators</t>
        </is>
      </c>
      <c r="B750" s="12" t="inlineStr"/>
      <c r="C750" s="12" t="inlineStr">
        <is>
          <t>D</t>
        </is>
      </c>
      <c r="D750" s="12" t="inlineStr">
        <is>
          <t>LV power feeder</t>
        </is>
      </c>
      <c r="E750" s="12" t="n">
        <v>480</v>
      </c>
      <c r="F750" s="12" t="n">
        <v>10</v>
      </c>
      <c r="G750" s="12" t="n">
        <v>14.2</v>
      </c>
      <c r="H750" s="12" t="inlineStr">
        <is>
          <t>R1 MCC-C1</t>
        </is>
      </c>
      <c r="I750" s="12" t="inlineStr">
        <is>
          <t>LV 600 V</t>
        </is>
      </c>
      <c r="J750" s="12" t="inlineStr">
        <is>
          <t>2</t>
        </is>
      </c>
      <c r="K750" s="12" t="n">
        <v>1</v>
      </c>
    </row>
    <row r="751">
      <c r="A751" s="12" t="inlineStr">
        <is>
          <t>Gas yard inlet: ESD valve, block valve and insulating joint</t>
        </is>
      </c>
      <c r="B751" s="12" t="inlineStr"/>
      <c r="C751" s="12" t="inlineStr">
        <is>
          <t>D</t>
        </is>
      </c>
      <c r="D751" s="12" t="inlineStr">
        <is>
          <t>LV power feeder</t>
        </is>
      </c>
      <c r="E751" s="12" t="n">
        <v>480</v>
      </c>
      <c r="F751" s="12" t="n">
        <v>10</v>
      </c>
      <c r="G751" s="12" t="n">
        <v>14.2</v>
      </c>
      <c r="H751" s="12" t="inlineStr">
        <is>
          <t>R1 MCC-C1</t>
        </is>
      </c>
      <c r="I751" s="12" t="inlineStr">
        <is>
          <t>LV 600 V</t>
        </is>
      </c>
      <c r="J751" s="12" t="inlineStr">
        <is>
          <t>2</t>
        </is>
      </c>
      <c r="K751" s="12" t="n">
        <v>1</v>
      </c>
    </row>
    <row r="752">
      <c r="A752" s="12" t="inlineStr">
        <is>
          <t>Gas yard local control enclosure</t>
        </is>
      </c>
      <c r="B752" s="12" t="inlineStr"/>
      <c r="C752" s="12" t="inlineStr">
        <is>
          <t>D</t>
        </is>
      </c>
      <c r="D752" s="12" t="inlineStr">
        <is>
          <t>LV power feeder</t>
        </is>
      </c>
      <c r="E752" s="12" t="n">
        <v>480</v>
      </c>
      <c r="F752" s="12" t="n">
        <v>15</v>
      </c>
      <c r="G752" s="12" t="n">
        <v>21.2</v>
      </c>
      <c r="H752" s="12" t="inlineStr">
        <is>
          <t>R1 MCC-C1</t>
        </is>
      </c>
      <c r="I752" s="12" t="inlineStr">
        <is>
          <t>LV 600 V</t>
        </is>
      </c>
      <c r="J752" s="12" t="inlineStr">
        <is>
          <t>1</t>
        </is>
      </c>
      <c r="K752" s="12" t="n">
        <v>1</v>
      </c>
    </row>
    <row r="753">
      <c r="A753" s="12" t="inlineStr">
        <is>
          <t>HTP-4: heat-trace panel (gas)</t>
        </is>
      </c>
      <c r="B753" s="12" t="inlineStr">
        <is>
          <t>HTP-4</t>
        </is>
      </c>
      <c r="C753" s="12" t="inlineStr">
        <is>
          <t>D</t>
        </is>
      </c>
      <c r="D753" s="12" t="inlineStr">
        <is>
          <t>LV power feeder</t>
        </is>
      </c>
      <c r="E753" s="12" t="n">
        <v>480</v>
      </c>
      <c r="F753" s="12" t="n">
        <v>120</v>
      </c>
      <c r="G753" s="12" t="n">
        <v>169.8</v>
      </c>
      <c r="H753" s="12" t="inlineStr">
        <is>
          <t>R1 MCC-C1</t>
        </is>
      </c>
      <c r="I753" s="12" t="inlineStr">
        <is>
          <t>LV 600 V</t>
        </is>
      </c>
      <c r="J753" s="12" t="inlineStr">
        <is>
          <t>350 kcmil</t>
        </is>
      </c>
      <c r="K753" s="12" t="n">
        <v>2</v>
      </c>
    </row>
    <row r="754">
      <c r="A754" s="12" t="inlineStr">
        <is>
          <t>HTP-4: heat-trace panel (gas)</t>
        </is>
      </c>
      <c r="B754" s="12" t="inlineStr">
        <is>
          <t>HTP-4</t>
        </is>
      </c>
      <c r="C754" s="12" t="inlineStr">
        <is>
          <t>D</t>
        </is>
      </c>
      <c r="D754" s="12" t="inlineStr">
        <is>
          <t>Heat-trace circuit 1 (power to the trace junction box)</t>
        </is>
      </c>
      <c r="E754" s="12" t="n">
        <v>480</v>
      </c>
      <c r="F754" s="12" t="n">
        <v>4</v>
      </c>
      <c r="G754" s="12" t="n">
        <v>6</v>
      </c>
      <c r="H754" s="12" t="inlineStr">
        <is>
          <t>HTP-4: heat-trace panel (gas)</t>
        </is>
      </c>
      <c r="I754" s="12" t="inlineStr">
        <is>
          <t>LV 600 V</t>
        </is>
      </c>
      <c r="J754" s="12" t="inlineStr">
        <is>
          <t>10</t>
        </is>
      </c>
      <c r="K754" s="12" t="n">
        <v>1</v>
      </c>
    </row>
    <row r="755">
      <c r="A755" s="12" t="inlineStr">
        <is>
          <t>HTP-4: heat-trace panel (gas)</t>
        </is>
      </c>
      <c r="B755" s="12" t="inlineStr">
        <is>
          <t>HTP-4</t>
        </is>
      </c>
      <c r="C755" s="12" t="inlineStr">
        <is>
          <t>D</t>
        </is>
      </c>
      <c r="D755" s="12" t="inlineStr">
        <is>
          <t>Heat-trace circuit 2 (power to the trace junction box)</t>
        </is>
      </c>
      <c r="E755" s="12" t="n">
        <v>480</v>
      </c>
      <c r="F755" s="12" t="n">
        <v>4</v>
      </c>
      <c r="G755" s="12" t="n">
        <v>6</v>
      </c>
      <c r="H755" s="12" t="inlineStr">
        <is>
          <t>HTP-4: heat-trace panel (gas)</t>
        </is>
      </c>
      <c r="I755" s="12" t="inlineStr">
        <is>
          <t>LV 600 V</t>
        </is>
      </c>
      <c r="J755" s="12" t="inlineStr">
        <is>
          <t>10</t>
        </is>
      </c>
      <c r="K755" s="12" t="n">
        <v>1</v>
      </c>
    </row>
    <row r="756">
      <c r="A756" s="12" t="inlineStr">
        <is>
          <t>HTP-4: heat-trace panel (gas)</t>
        </is>
      </c>
      <c r="B756" s="12" t="inlineStr">
        <is>
          <t>HTP-4</t>
        </is>
      </c>
      <c r="C756" s="12" t="inlineStr">
        <is>
          <t>D</t>
        </is>
      </c>
      <c r="D756" s="12" t="inlineStr">
        <is>
          <t>Heat-trace circuit 3 (power to the trace junction box)</t>
        </is>
      </c>
      <c r="E756" s="12" t="n">
        <v>480</v>
      </c>
      <c r="F756" s="12" t="n">
        <v>4</v>
      </c>
      <c r="G756" s="12" t="n">
        <v>6</v>
      </c>
      <c r="H756" s="12" t="inlineStr">
        <is>
          <t>HTP-4: heat-trace panel (gas)</t>
        </is>
      </c>
      <c r="I756" s="12" t="inlineStr">
        <is>
          <t>LV 600 V</t>
        </is>
      </c>
      <c r="J756" s="12" t="inlineStr">
        <is>
          <t>10</t>
        </is>
      </c>
      <c r="K756" s="12" t="n">
        <v>1</v>
      </c>
    </row>
    <row r="757">
      <c r="A757" s="12" t="inlineStr">
        <is>
          <t>HTP-4: heat-trace panel (gas)</t>
        </is>
      </c>
      <c r="B757" s="12" t="inlineStr">
        <is>
          <t>HTP-4</t>
        </is>
      </c>
      <c r="C757" s="12" t="inlineStr">
        <is>
          <t>D</t>
        </is>
      </c>
      <c r="D757" s="12" t="inlineStr">
        <is>
          <t>Heat-trace circuit 4 (power to the trace junction box)</t>
        </is>
      </c>
      <c r="E757" s="12" t="n">
        <v>480</v>
      </c>
      <c r="F757" s="12" t="n">
        <v>4</v>
      </c>
      <c r="G757" s="12" t="n">
        <v>6</v>
      </c>
      <c r="H757" s="12" t="inlineStr">
        <is>
          <t>HTP-4: heat-trace panel (gas)</t>
        </is>
      </c>
      <c r="I757" s="12" t="inlineStr">
        <is>
          <t>LV 600 V</t>
        </is>
      </c>
      <c r="J757" s="12" t="inlineStr">
        <is>
          <t>10</t>
        </is>
      </c>
      <c r="K757" s="12" t="n">
        <v>1</v>
      </c>
    </row>
    <row r="758">
      <c r="A758" s="12" t="inlineStr">
        <is>
          <t>HTP-4: heat-trace panel (gas)</t>
        </is>
      </c>
      <c r="B758" s="12" t="inlineStr">
        <is>
          <t>HTP-4</t>
        </is>
      </c>
      <c r="C758" s="12" t="inlineStr">
        <is>
          <t>D</t>
        </is>
      </c>
      <c r="D758" s="12" t="inlineStr">
        <is>
          <t>Heat-trace circuit 5 (power to the trace junction box)</t>
        </is>
      </c>
      <c r="E758" s="12" t="n">
        <v>480</v>
      </c>
      <c r="F758" s="12" t="n">
        <v>4</v>
      </c>
      <c r="G758" s="12" t="n">
        <v>6</v>
      </c>
      <c r="H758" s="12" t="inlineStr">
        <is>
          <t>HTP-4: heat-trace panel (gas)</t>
        </is>
      </c>
      <c r="I758" s="12" t="inlineStr">
        <is>
          <t>LV 600 V</t>
        </is>
      </c>
      <c r="J758" s="12" t="inlineStr">
        <is>
          <t>10</t>
        </is>
      </c>
      <c r="K758" s="12" t="n">
        <v>1</v>
      </c>
    </row>
    <row r="759">
      <c r="A759" s="12" t="inlineStr">
        <is>
          <t>HTP-4: heat-trace panel (gas)</t>
        </is>
      </c>
      <c r="B759" s="12" t="inlineStr">
        <is>
          <t>HTP-4</t>
        </is>
      </c>
      <c r="C759" s="12" t="inlineStr">
        <is>
          <t>D</t>
        </is>
      </c>
      <c r="D759" s="12" t="inlineStr">
        <is>
          <t>Heat-trace circuit 6 (power to the trace junction box)</t>
        </is>
      </c>
      <c r="E759" s="12" t="n">
        <v>480</v>
      </c>
      <c r="F759" s="12" t="n">
        <v>4</v>
      </c>
      <c r="G759" s="12" t="n">
        <v>6</v>
      </c>
      <c r="H759" s="12" t="inlineStr">
        <is>
          <t>HTP-4: heat-trace panel (gas)</t>
        </is>
      </c>
      <c r="I759" s="12" t="inlineStr">
        <is>
          <t>LV 600 V</t>
        </is>
      </c>
      <c r="J759" s="12" t="inlineStr">
        <is>
          <t>10</t>
        </is>
      </c>
      <c r="K759" s="12" t="n">
        <v>1</v>
      </c>
    </row>
    <row r="760">
      <c r="A760" s="12" t="inlineStr">
        <is>
          <t>HTP-4: heat-trace panel (gas)</t>
        </is>
      </c>
      <c r="B760" s="12" t="inlineStr">
        <is>
          <t>HTP-4</t>
        </is>
      </c>
      <c r="C760" s="12" t="inlineStr">
        <is>
          <t>D</t>
        </is>
      </c>
      <c r="D760" s="12" t="inlineStr">
        <is>
          <t>Heat-trace circuit 7 (power to the trace junction box)</t>
        </is>
      </c>
      <c r="E760" s="12" t="n">
        <v>480</v>
      </c>
      <c r="F760" s="12" t="n">
        <v>4</v>
      </c>
      <c r="G760" s="12" t="n">
        <v>6</v>
      </c>
      <c r="H760" s="12" t="inlineStr">
        <is>
          <t>HTP-4: heat-trace panel (gas)</t>
        </is>
      </c>
      <c r="I760" s="12" t="inlineStr">
        <is>
          <t>LV 600 V</t>
        </is>
      </c>
      <c r="J760" s="12" t="inlineStr">
        <is>
          <t>10</t>
        </is>
      </c>
      <c r="K760" s="12" t="n">
        <v>1</v>
      </c>
    </row>
    <row r="761">
      <c r="A761" s="12" t="inlineStr">
        <is>
          <t>HTP-4: heat-trace panel (gas)</t>
        </is>
      </c>
      <c r="B761" s="12" t="inlineStr">
        <is>
          <t>HTP-4</t>
        </is>
      </c>
      <c r="C761" s="12" t="inlineStr">
        <is>
          <t>D</t>
        </is>
      </c>
      <c r="D761" s="12" t="inlineStr">
        <is>
          <t>Heat-trace circuit 8 (power to the trace junction box)</t>
        </is>
      </c>
      <c r="E761" s="12" t="n">
        <v>480</v>
      </c>
      <c r="F761" s="12" t="n">
        <v>4</v>
      </c>
      <c r="G761" s="12" t="n">
        <v>6</v>
      </c>
      <c r="H761" s="12" t="inlineStr">
        <is>
          <t>HTP-4: heat-trace panel (gas)</t>
        </is>
      </c>
      <c r="I761" s="12" t="inlineStr">
        <is>
          <t>LV 600 V</t>
        </is>
      </c>
      <c r="J761" s="12" t="inlineStr">
        <is>
          <t>10</t>
        </is>
      </c>
      <c r="K761" s="12" t="n">
        <v>1</v>
      </c>
    </row>
    <row r="762">
      <c r="A762" s="12" t="inlineStr">
        <is>
          <t>HTP-4: heat-trace panel (gas)</t>
        </is>
      </c>
      <c r="B762" s="12" t="inlineStr">
        <is>
          <t>HTP-4</t>
        </is>
      </c>
      <c r="C762" s="12" t="inlineStr">
        <is>
          <t>D</t>
        </is>
      </c>
      <c r="D762" s="12" t="inlineStr">
        <is>
          <t>Heat-trace circuit 9 (power to the trace junction box)</t>
        </is>
      </c>
      <c r="E762" s="12" t="n">
        <v>480</v>
      </c>
      <c r="F762" s="12" t="n">
        <v>4</v>
      </c>
      <c r="G762" s="12" t="n">
        <v>6</v>
      </c>
      <c r="H762" s="12" t="inlineStr">
        <is>
          <t>HTP-4: heat-trace panel (gas)</t>
        </is>
      </c>
      <c r="I762" s="12" t="inlineStr">
        <is>
          <t>LV 600 V</t>
        </is>
      </c>
      <c r="J762" s="12" t="inlineStr">
        <is>
          <t>10</t>
        </is>
      </c>
      <c r="K762" s="12" t="n">
        <v>1</v>
      </c>
    </row>
    <row r="763">
      <c r="A763" s="12" t="inlineStr">
        <is>
          <t>HTP-4: heat-trace panel (gas)</t>
        </is>
      </c>
      <c r="B763" s="12" t="inlineStr">
        <is>
          <t>HTP-4</t>
        </is>
      </c>
      <c r="C763" s="12" t="inlineStr">
        <is>
          <t>D</t>
        </is>
      </c>
      <c r="D763" s="12" t="inlineStr">
        <is>
          <t>Heat-trace circuit 10 (power to the trace junction box)</t>
        </is>
      </c>
      <c r="E763" s="12" t="n">
        <v>480</v>
      </c>
      <c r="F763" s="12" t="n">
        <v>4</v>
      </c>
      <c r="G763" s="12" t="n">
        <v>6</v>
      </c>
      <c r="H763" s="12" t="inlineStr">
        <is>
          <t>HTP-4: heat-trace panel (gas)</t>
        </is>
      </c>
      <c r="I763" s="12" t="inlineStr">
        <is>
          <t>LV 600 V</t>
        </is>
      </c>
      <c r="J763" s="12" t="inlineStr">
        <is>
          <t>10</t>
        </is>
      </c>
      <c r="K763" s="12" t="n">
        <v>1</v>
      </c>
    </row>
    <row r="764">
      <c r="A764" s="12" t="inlineStr">
        <is>
          <t>HTP-4: heat-trace panel (gas)</t>
        </is>
      </c>
      <c r="B764" s="12" t="inlineStr">
        <is>
          <t>HTP-4</t>
        </is>
      </c>
      <c r="C764" s="12" t="inlineStr">
        <is>
          <t>D</t>
        </is>
      </c>
      <c r="D764" s="12" t="inlineStr">
        <is>
          <t>Heat-trace circuit 11 (power to the trace junction box)</t>
        </is>
      </c>
      <c r="E764" s="12" t="n">
        <v>480</v>
      </c>
      <c r="F764" s="12" t="n">
        <v>4</v>
      </c>
      <c r="G764" s="12" t="n">
        <v>6</v>
      </c>
      <c r="H764" s="12" t="inlineStr">
        <is>
          <t>HTP-4: heat-trace panel (gas)</t>
        </is>
      </c>
      <c r="I764" s="12" t="inlineStr">
        <is>
          <t>LV 600 V</t>
        </is>
      </c>
      <c r="J764" s="12" t="inlineStr">
        <is>
          <t>10</t>
        </is>
      </c>
      <c r="K764" s="12" t="n">
        <v>1</v>
      </c>
    </row>
    <row r="765">
      <c r="A765" s="12" t="inlineStr">
        <is>
          <t>HTP-4: heat-trace panel (gas)</t>
        </is>
      </c>
      <c r="B765" s="12" t="inlineStr">
        <is>
          <t>HTP-4</t>
        </is>
      </c>
      <c r="C765" s="12" t="inlineStr">
        <is>
          <t>D</t>
        </is>
      </c>
      <c r="D765" s="12" t="inlineStr">
        <is>
          <t>Heat-trace circuit 12 (power to the trace junction box)</t>
        </is>
      </c>
      <c r="E765" s="12" t="n">
        <v>480</v>
      </c>
      <c r="F765" s="12" t="n">
        <v>4</v>
      </c>
      <c r="G765" s="12" t="n">
        <v>6</v>
      </c>
      <c r="H765" s="12" t="inlineStr">
        <is>
          <t>HTP-4: heat-trace panel (gas)</t>
        </is>
      </c>
      <c r="I765" s="12" t="inlineStr">
        <is>
          <t>LV 600 V</t>
        </is>
      </c>
      <c r="J765" s="12" t="inlineStr">
        <is>
          <t>10</t>
        </is>
      </c>
      <c r="K765" s="12" t="n">
        <v>1</v>
      </c>
    </row>
    <row r="766">
      <c r="A766" s="12" t="inlineStr">
        <is>
          <t>HTP-4: heat-trace panel (gas)</t>
        </is>
      </c>
      <c r="B766" s="12" t="inlineStr">
        <is>
          <t>HTP-4</t>
        </is>
      </c>
      <c r="C766" s="12" t="inlineStr">
        <is>
          <t>D</t>
        </is>
      </c>
      <c r="D766" s="12" t="inlineStr">
        <is>
          <t>Heat-trace circuit 13 (power to the trace junction box)</t>
        </is>
      </c>
      <c r="E766" s="12" t="n">
        <v>480</v>
      </c>
      <c r="F766" s="12" t="n">
        <v>4</v>
      </c>
      <c r="G766" s="12" t="n">
        <v>6</v>
      </c>
      <c r="H766" s="12" t="inlineStr">
        <is>
          <t>HTP-4: heat-trace panel (gas)</t>
        </is>
      </c>
      <c r="I766" s="12" t="inlineStr">
        <is>
          <t>LV 600 V</t>
        </is>
      </c>
      <c r="J766" s="12" t="inlineStr">
        <is>
          <t>10</t>
        </is>
      </c>
      <c r="K766" s="12" t="n">
        <v>1</v>
      </c>
    </row>
    <row r="767">
      <c r="A767" s="12" t="inlineStr">
        <is>
          <t>HTP-4: heat-trace panel (gas)</t>
        </is>
      </c>
      <c r="B767" s="12" t="inlineStr">
        <is>
          <t>HTP-4</t>
        </is>
      </c>
      <c r="C767" s="12" t="inlineStr">
        <is>
          <t>D</t>
        </is>
      </c>
      <c r="D767" s="12" t="inlineStr">
        <is>
          <t>Heat-trace circuit 14 (power to the trace junction box)</t>
        </is>
      </c>
      <c r="E767" s="12" t="n">
        <v>480</v>
      </c>
      <c r="F767" s="12" t="n">
        <v>4</v>
      </c>
      <c r="G767" s="12" t="n">
        <v>6</v>
      </c>
      <c r="H767" s="12" t="inlineStr">
        <is>
          <t>HTP-4: heat-trace panel (gas)</t>
        </is>
      </c>
      <c r="I767" s="12" t="inlineStr">
        <is>
          <t>LV 600 V</t>
        </is>
      </c>
      <c r="J767" s="12" t="inlineStr">
        <is>
          <t>10</t>
        </is>
      </c>
      <c r="K767" s="12" t="n">
        <v>1</v>
      </c>
    </row>
    <row r="768">
      <c r="A768" s="12" t="inlineStr">
        <is>
          <t>HTP-4: heat-trace panel (gas)</t>
        </is>
      </c>
      <c r="B768" s="12" t="inlineStr">
        <is>
          <t>HTP-4</t>
        </is>
      </c>
      <c r="C768" s="12" t="inlineStr">
        <is>
          <t>D</t>
        </is>
      </c>
      <c r="D768" s="12" t="inlineStr">
        <is>
          <t>Heat-trace circuit 15 (power to the trace junction box)</t>
        </is>
      </c>
      <c r="E768" s="12" t="n">
        <v>480</v>
      </c>
      <c r="F768" s="12" t="n">
        <v>4</v>
      </c>
      <c r="G768" s="12" t="n">
        <v>6</v>
      </c>
      <c r="H768" s="12" t="inlineStr">
        <is>
          <t>HTP-4: heat-trace panel (gas)</t>
        </is>
      </c>
      <c r="I768" s="12" t="inlineStr">
        <is>
          <t>LV 600 V</t>
        </is>
      </c>
      <c r="J768" s="12" t="inlineStr">
        <is>
          <t>10</t>
        </is>
      </c>
      <c r="K768" s="12" t="n">
        <v>1</v>
      </c>
    </row>
    <row r="769">
      <c r="A769" s="12" t="inlineStr">
        <is>
          <t>HTP-4: heat-trace panel (gas)</t>
        </is>
      </c>
      <c r="B769" s="12" t="inlineStr">
        <is>
          <t>HTP-4</t>
        </is>
      </c>
      <c r="C769" s="12" t="inlineStr">
        <is>
          <t>D</t>
        </is>
      </c>
      <c r="D769" s="12" t="inlineStr">
        <is>
          <t>Heat-trace circuit 16 (power to the trace junction box)</t>
        </is>
      </c>
      <c r="E769" s="12" t="n">
        <v>480</v>
      </c>
      <c r="F769" s="12" t="n">
        <v>4</v>
      </c>
      <c r="G769" s="12" t="n">
        <v>6</v>
      </c>
      <c r="H769" s="12" t="inlineStr">
        <is>
          <t>HTP-4: heat-trace panel (gas)</t>
        </is>
      </c>
      <c r="I769" s="12" t="inlineStr">
        <is>
          <t>LV 600 V</t>
        </is>
      </c>
      <c r="J769" s="12" t="inlineStr">
        <is>
          <t>10</t>
        </is>
      </c>
      <c r="K769" s="12" t="n">
        <v>1</v>
      </c>
    </row>
    <row r="770">
      <c r="A770" s="12" t="inlineStr">
        <is>
          <t>HTP-4: heat-trace panel (gas)</t>
        </is>
      </c>
      <c r="B770" s="12" t="inlineStr">
        <is>
          <t>HTP-4</t>
        </is>
      </c>
      <c r="C770" s="12" t="inlineStr">
        <is>
          <t>D</t>
        </is>
      </c>
      <c r="D770" s="12" t="inlineStr">
        <is>
          <t>Heat-trace circuit 17 (power to the trace junction box)</t>
        </is>
      </c>
      <c r="E770" s="12" t="n">
        <v>480</v>
      </c>
      <c r="F770" s="12" t="n">
        <v>4</v>
      </c>
      <c r="G770" s="12" t="n">
        <v>6</v>
      </c>
      <c r="H770" s="12" t="inlineStr">
        <is>
          <t>HTP-4: heat-trace panel (gas)</t>
        </is>
      </c>
      <c r="I770" s="12" t="inlineStr">
        <is>
          <t>LV 600 V</t>
        </is>
      </c>
      <c r="J770" s="12" t="inlineStr">
        <is>
          <t>10</t>
        </is>
      </c>
      <c r="K770" s="12" t="n">
        <v>1</v>
      </c>
    </row>
    <row r="771">
      <c r="A771" s="12" t="inlineStr">
        <is>
          <t>HTP-4: heat-trace panel (gas)</t>
        </is>
      </c>
      <c r="B771" s="12" t="inlineStr">
        <is>
          <t>HTP-4</t>
        </is>
      </c>
      <c r="C771" s="12" t="inlineStr">
        <is>
          <t>D</t>
        </is>
      </c>
      <c r="D771" s="12" t="inlineStr">
        <is>
          <t>Heat-trace circuit 18 (power to the trace junction box)</t>
        </is>
      </c>
      <c r="E771" s="12" t="n">
        <v>480</v>
      </c>
      <c r="F771" s="12" t="n">
        <v>4</v>
      </c>
      <c r="G771" s="12" t="n">
        <v>6</v>
      </c>
      <c r="H771" s="12" t="inlineStr">
        <is>
          <t>HTP-4: heat-trace panel (gas)</t>
        </is>
      </c>
      <c r="I771" s="12" t="inlineStr">
        <is>
          <t>LV 600 V</t>
        </is>
      </c>
      <c r="J771" s="12" t="inlineStr">
        <is>
          <t>10</t>
        </is>
      </c>
      <c r="K771" s="12" t="n">
        <v>1</v>
      </c>
    </row>
    <row r="772">
      <c r="A772" s="12" t="inlineStr">
        <is>
          <t>HTP-4: heat-trace panel (gas)</t>
        </is>
      </c>
      <c r="B772" s="12" t="inlineStr">
        <is>
          <t>HTP-4</t>
        </is>
      </c>
      <c r="C772" s="12" t="inlineStr">
        <is>
          <t>D</t>
        </is>
      </c>
      <c r="D772" s="12" t="inlineStr">
        <is>
          <t>Heat-trace circuit 19 (power to the trace junction box)</t>
        </is>
      </c>
      <c r="E772" s="12" t="n">
        <v>480</v>
      </c>
      <c r="F772" s="12" t="n">
        <v>4</v>
      </c>
      <c r="G772" s="12" t="n">
        <v>6</v>
      </c>
      <c r="H772" s="12" t="inlineStr">
        <is>
          <t>HTP-4: heat-trace panel (gas)</t>
        </is>
      </c>
      <c r="I772" s="12" t="inlineStr">
        <is>
          <t>LV 600 V</t>
        </is>
      </c>
      <c r="J772" s="12" t="inlineStr">
        <is>
          <t>10</t>
        </is>
      </c>
      <c r="K772" s="12" t="n">
        <v>1</v>
      </c>
    </row>
    <row r="773">
      <c r="A773" s="12" t="inlineStr">
        <is>
          <t>HTP-4: heat-trace panel (gas)</t>
        </is>
      </c>
      <c r="B773" s="12" t="inlineStr">
        <is>
          <t>HTP-4</t>
        </is>
      </c>
      <c r="C773" s="12" t="inlineStr">
        <is>
          <t>D</t>
        </is>
      </c>
      <c r="D773" s="12" t="inlineStr">
        <is>
          <t>Heat-trace circuit 20 (power to the trace junction box)</t>
        </is>
      </c>
      <c r="E773" s="12" t="n">
        <v>480</v>
      </c>
      <c r="F773" s="12" t="n">
        <v>4</v>
      </c>
      <c r="G773" s="12" t="n">
        <v>6</v>
      </c>
      <c r="H773" s="12" t="inlineStr">
        <is>
          <t>HTP-4: heat-trace panel (gas)</t>
        </is>
      </c>
      <c r="I773" s="12" t="inlineStr">
        <is>
          <t>LV 600 V</t>
        </is>
      </c>
      <c r="J773" s="12" t="inlineStr">
        <is>
          <t>10</t>
        </is>
      </c>
      <c r="K773" s="12" t="n">
        <v>1</v>
      </c>
    </row>
    <row r="774">
      <c r="A774" s="12" t="inlineStr">
        <is>
          <t>HTP-4: heat-trace panel (gas)</t>
        </is>
      </c>
      <c r="B774" s="12" t="inlineStr">
        <is>
          <t>HTP-4</t>
        </is>
      </c>
      <c r="C774" s="12" t="inlineStr">
        <is>
          <t>D</t>
        </is>
      </c>
      <c r="D774" s="12" t="inlineStr">
        <is>
          <t>Heat-trace circuit 21 (power to the trace junction box)</t>
        </is>
      </c>
      <c r="E774" s="12" t="n">
        <v>480</v>
      </c>
      <c r="F774" s="12" t="n">
        <v>4</v>
      </c>
      <c r="G774" s="12" t="n">
        <v>6</v>
      </c>
      <c r="H774" s="12" t="inlineStr">
        <is>
          <t>HTP-4: heat-trace panel (gas)</t>
        </is>
      </c>
      <c r="I774" s="12" t="inlineStr">
        <is>
          <t>LV 600 V</t>
        </is>
      </c>
      <c r="J774" s="12" t="inlineStr">
        <is>
          <t>10</t>
        </is>
      </c>
      <c r="K774" s="12" t="n">
        <v>1</v>
      </c>
    </row>
    <row r="775">
      <c r="A775" s="12" t="inlineStr">
        <is>
          <t>HTP-4: heat-trace panel (gas)</t>
        </is>
      </c>
      <c r="B775" s="12" t="inlineStr">
        <is>
          <t>HTP-4</t>
        </is>
      </c>
      <c r="C775" s="12" t="inlineStr">
        <is>
          <t>D</t>
        </is>
      </c>
      <c r="D775" s="12" t="inlineStr">
        <is>
          <t>Heat-trace circuit 22 (power to the trace junction box)</t>
        </is>
      </c>
      <c r="E775" s="12" t="n">
        <v>480</v>
      </c>
      <c r="F775" s="12" t="n">
        <v>4</v>
      </c>
      <c r="G775" s="12" t="n">
        <v>6</v>
      </c>
      <c r="H775" s="12" t="inlineStr">
        <is>
          <t>HTP-4: heat-trace panel (gas)</t>
        </is>
      </c>
      <c r="I775" s="12" t="inlineStr">
        <is>
          <t>LV 600 V</t>
        </is>
      </c>
      <c r="J775" s="12" t="inlineStr">
        <is>
          <t>10</t>
        </is>
      </c>
      <c r="K775" s="12" t="n">
        <v>1</v>
      </c>
    </row>
    <row r="776">
      <c r="A776" s="12" t="inlineStr">
        <is>
          <t>HTP-4: heat-trace panel (gas)</t>
        </is>
      </c>
      <c r="B776" s="12" t="inlineStr">
        <is>
          <t>HTP-4</t>
        </is>
      </c>
      <c r="C776" s="12" t="inlineStr">
        <is>
          <t>D</t>
        </is>
      </c>
      <c r="D776" s="12" t="inlineStr">
        <is>
          <t>Heat-trace circuit 23 (power to the trace junction box)</t>
        </is>
      </c>
      <c r="E776" s="12" t="n">
        <v>480</v>
      </c>
      <c r="F776" s="12" t="n">
        <v>4</v>
      </c>
      <c r="G776" s="12" t="n">
        <v>6</v>
      </c>
      <c r="H776" s="12" t="inlineStr">
        <is>
          <t>HTP-4: heat-trace panel (gas)</t>
        </is>
      </c>
      <c r="I776" s="12" t="inlineStr">
        <is>
          <t>LV 600 V</t>
        </is>
      </c>
      <c r="J776" s="12" t="inlineStr">
        <is>
          <t>10</t>
        </is>
      </c>
      <c r="K776" s="12" t="n">
        <v>1</v>
      </c>
    </row>
    <row r="777">
      <c r="A777" s="12" t="inlineStr">
        <is>
          <t>HTP-4: heat-trace panel (gas)</t>
        </is>
      </c>
      <c r="B777" s="12" t="inlineStr">
        <is>
          <t>HTP-4</t>
        </is>
      </c>
      <c r="C777" s="12" t="inlineStr">
        <is>
          <t>D</t>
        </is>
      </c>
      <c r="D777" s="12" t="inlineStr">
        <is>
          <t>Heat-trace circuit 24 (power to the trace junction box)</t>
        </is>
      </c>
      <c r="E777" s="12" t="n">
        <v>480</v>
      </c>
      <c r="F777" s="12" t="n">
        <v>4</v>
      </c>
      <c r="G777" s="12" t="n">
        <v>6</v>
      </c>
      <c r="H777" s="12" t="inlineStr">
        <is>
          <t>HTP-4: heat-trace panel (gas)</t>
        </is>
      </c>
      <c r="I777" s="12" t="inlineStr">
        <is>
          <t>LV 600 V</t>
        </is>
      </c>
      <c r="J777" s="12" t="inlineStr">
        <is>
          <t>10</t>
        </is>
      </c>
      <c r="K777" s="12" t="n">
        <v>1</v>
      </c>
    </row>
    <row r="778">
      <c r="A778" s="12" t="inlineStr">
        <is>
          <t>CONDITIONAL: fuel-gas compressors</t>
        </is>
      </c>
      <c r="B778" s="12" t="inlineStr"/>
      <c r="C778" s="12" t="inlineStr">
        <is>
          <t>D</t>
        </is>
      </c>
      <c r="D778" s="12" t="inlineStr">
        <is>
          <t>Fuel-gas compressor (conditional)</t>
        </is>
      </c>
      <c r="E778" s="12" t="n">
        <v>13800</v>
      </c>
      <c r="F778" s="12" t="n">
        <v>3000</v>
      </c>
      <c r="G778" s="12" t="n">
        <v>139</v>
      </c>
      <c r="H778" s="12" t="inlineStr">
        <is>
          <t>R1 SWGR-13.8-3 (11 x 36 in cubicles, 15 kV metal-clad)</t>
        </is>
      </c>
      <c r="I778" s="12" t="inlineStr">
        <is>
          <t>MV 15 kV</t>
        </is>
      </c>
      <c r="J778" s="12" t="inlineStr">
        <is>
          <t>1/0</t>
        </is>
      </c>
      <c r="K778" s="12" t="n">
        <v>1</v>
      </c>
    </row>
    <row r="779">
      <c r="A779" s="12" t="inlineStr">
        <is>
          <t>CONDITIONAL: fuel-gas compressors</t>
        </is>
      </c>
      <c r="B779" s="12" t="inlineStr"/>
      <c r="C779" s="12" t="inlineStr">
        <is>
          <t>D</t>
        </is>
      </c>
      <c r="D779" s="12" t="inlineStr">
        <is>
          <t>Fuel-gas compressor (conditional)</t>
        </is>
      </c>
      <c r="E779" s="12" t="n">
        <v>13800</v>
      </c>
      <c r="F779" s="12" t="n">
        <v>3000</v>
      </c>
      <c r="G779" s="12" t="n">
        <v>139</v>
      </c>
      <c r="H779" s="12" t="inlineStr">
        <is>
          <t>R1 SWGR-13.8-3 (11 x 36 in cubicles, 15 kV metal-clad)</t>
        </is>
      </c>
      <c r="I779" s="12" t="inlineStr">
        <is>
          <t>MV 15 kV</t>
        </is>
      </c>
      <c r="J779" s="12" t="inlineStr">
        <is>
          <t>1/0</t>
        </is>
      </c>
      <c r="K779" s="12" t="n">
        <v>1</v>
      </c>
    </row>
    <row r="780">
      <c r="A780" s="12" t="inlineStr">
        <is>
          <t>CONDITIONAL: fuel-gas compressors</t>
        </is>
      </c>
      <c r="B780" s="12" t="inlineStr"/>
      <c r="C780" s="12" t="inlineStr">
        <is>
          <t>D</t>
        </is>
      </c>
      <c r="D780" s="12" t="inlineStr">
        <is>
          <t>Fuel-gas compressor (conditional)</t>
        </is>
      </c>
      <c r="E780" s="12" t="n">
        <v>13800</v>
      </c>
      <c r="F780" s="12" t="n">
        <v>3000</v>
      </c>
      <c r="G780" s="12" t="n">
        <v>139</v>
      </c>
      <c r="H780" s="12" t="inlineStr">
        <is>
          <t>R1 SWGR-13.8-3 (11 x 36 in cubicles, 15 kV metal-clad)</t>
        </is>
      </c>
      <c r="I780" s="12" t="inlineStr">
        <is>
          <t>MV 15 kV</t>
        </is>
      </c>
      <c r="J780" s="12" t="inlineStr">
        <is>
          <t>1/0</t>
        </is>
      </c>
      <c r="K780" s="12" t="n">
        <v>1</v>
      </c>
    </row>
    <row r="781">
      <c r="A781" s="12" t="inlineStr">
        <is>
          <t>Ammonia storage (aqueous, SCR reagent)</t>
        </is>
      </c>
      <c r="B781" s="12" t="inlineStr"/>
      <c r="C781" s="12" t="inlineStr">
        <is>
          <t>E</t>
        </is>
      </c>
      <c r="D781" s="12" t="inlineStr">
        <is>
          <t>Motor 1 of 2, 7 kW</t>
        </is>
      </c>
      <c r="E781" s="12" t="n">
        <v>480</v>
      </c>
      <c r="F781" s="12" t="n">
        <v>7</v>
      </c>
      <c r="G781" s="12" t="n">
        <v>9.9</v>
      </c>
      <c r="H781" s="12" t="inlineStr">
        <is>
          <t>R1 MCC-C2</t>
        </is>
      </c>
      <c r="I781" s="12" t="inlineStr">
        <is>
          <t>LV 600 V</t>
        </is>
      </c>
      <c r="J781" s="12" t="inlineStr">
        <is>
          <t>4</t>
        </is>
      </c>
      <c r="K781" s="12" t="n">
        <v>1</v>
      </c>
    </row>
    <row r="782">
      <c r="A782" s="12" t="inlineStr">
        <is>
          <t>Ammonia storage (aqueous, SCR reagent)</t>
        </is>
      </c>
      <c r="B782" s="12" t="inlineStr"/>
      <c r="C782" s="12" t="inlineStr">
        <is>
          <t>E</t>
        </is>
      </c>
      <c r="D782" s="12" t="inlineStr">
        <is>
          <t>Motor 2 of 2, 7 kW</t>
        </is>
      </c>
      <c r="E782" s="12" t="n">
        <v>480</v>
      </c>
      <c r="F782" s="12" t="n">
        <v>7</v>
      </c>
      <c r="G782" s="12" t="n">
        <v>9.9</v>
      </c>
      <c r="H782" s="12" t="inlineStr">
        <is>
          <t>R1 MCC-C2</t>
        </is>
      </c>
      <c r="I782" s="12" t="inlineStr">
        <is>
          <t>LV 600 V</t>
        </is>
      </c>
      <c r="J782" s="12" t="inlineStr">
        <is>
          <t>4</t>
        </is>
      </c>
      <c r="K782" s="12" t="n">
        <v>1</v>
      </c>
    </row>
    <row r="783">
      <c r="A783" s="12" t="inlineStr">
        <is>
          <t>Auxiliary boiler</t>
        </is>
      </c>
      <c r="B783" s="12" t="inlineStr"/>
      <c r="C783" s="12" t="inlineStr">
        <is>
          <t>E</t>
        </is>
      </c>
      <c r="D783" s="12" t="inlineStr">
        <is>
          <t>Motor 1 of 3, 30 kW</t>
        </is>
      </c>
      <c r="E783" s="12" t="n">
        <v>480</v>
      </c>
      <c r="F783" s="12" t="n">
        <v>30</v>
      </c>
      <c r="G783" s="12" t="n">
        <v>42.5</v>
      </c>
      <c r="H783" s="12" t="inlineStr">
        <is>
          <t>R1 MCC-C2</t>
        </is>
      </c>
      <c r="I783" s="12" t="inlineStr">
        <is>
          <t>LV 600 V</t>
        </is>
      </c>
      <c r="J783" s="12" t="inlineStr">
        <is>
          <t>3/0</t>
        </is>
      </c>
      <c r="K783" s="12" t="n">
        <v>1</v>
      </c>
    </row>
    <row r="784">
      <c r="A784" s="12" t="inlineStr">
        <is>
          <t>Auxiliary boiler</t>
        </is>
      </c>
      <c r="B784" s="12" t="inlineStr"/>
      <c r="C784" s="12" t="inlineStr">
        <is>
          <t>E</t>
        </is>
      </c>
      <c r="D784" s="12" t="inlineStr">
        <is>
          <t>Motor 2 of 3, 30 kW</t>
        </is>
      </c>
      <c r="E784" s="12" t="n">
        <v>480</v>
      </c>
      <c r="F784" s="12" t="n">
        <v>30</v>
      </c>
      <c r="G784" s="12" t="n">
        <v>42.5</v>
      </c>
      <c r="H784" s="12" t="inlineStr">
        <is>
          <t>R1 MCC-C2</t>
        </is>
      </c>
      <c r="I784" s="12" t="inlineStr">
        <is>
          <t>LV 600 V</t>
        </is>
      </c>
      <c r="J784" s="12" t="inlineStr">
        <is>
          <t>3/0</t>
        </is>
      </c>
      <c r="K784" s="12" t="n">
        <v>1</v>
      </c>
    </row>
    <row r="785">
      <c r="A785" s="12" t="inlineStr">
        <is>
          <t>Auxiliary boiler</t>
        </is>
      </c>
      <c r="B785" s="12" t="inlineStr"/>
      <c r="C785" s="12" t="inlineStr">
        <is>
          <t>E</t>
        </is>
      </c>
      <c r="D785" s="12" t="inlineStr">
        <is>
          <t>Motor 3 of 3, 30 kW</t>
        </is>
      </c>
      <c r="E785" s="12" t="n">
        <v>480</v>
      </c>
      <c r="F785" s="12" t="n">
        <v>30</v>
      </c>
      <c r="G785" s="12" t="n">
        <v>42.5</v>
      </c>
      <c r="H785" s="12" t="inlineStr">
        <is>
          <t>R1 MCC-C2</t>
        </is>
      </c>
      <c r="I785" s="12" t="inlineStr">
        <is>
          <t>LV 600 V</t>
        </is>
      </c>
      <c r="J785" s="12" t="inlineStr">
        <is>
          <t>3/0</t>
        </is>
      </c>
      <c r="K785" s="12" t="n">
        <v>1</v>
      </c>
    </row>
    <row r="786">
      <c r="A786" s="12" t="inlineStr">
        <is>
          <t>CPR-2: cathodic-protection rectifier</t>
        </is>
      </c>
      <c r="B786" s="12" t="inlineStr">
        <is>
          <t>CPR-2</t>
        </is>
      </c>
      <c r="C786" s="12" t="inlineStr">
        <is>
          <t>E</t>
        </is>
      </c>
      <c r="D786" s="12" t="inlineStr">
        <is>
          <t>Cathodic-protection rectifier supply</t>
        </is>
      </c>
      <c r="E786" s="12" t="n">
        <v>480</v>
      </c>
      <c r="F786" s="12" t="n">
        <v>10</v>
      </c>
      <c r="G786" s="12" t="n">
        <v>12.7</v>
      </c>
      <c r="H786" s="12" t="inlineStr">
        <is>
          <t>R1 MCC-C2</t>
        </is>
      </c>
      <c r="I786" s="12" t="inlineStr">
        <is>
          <t>LV 600 V</t>
        </is>
      </c>
      <c r="J786" s="12" t="inlineStr">
        <is>
          <t>2</t>
        </is>
      </c>
      <c r="K786" s="12" t="n">
        <v>1</v>
      </c>
    </row>
    <row r="787">
      <c r="A787" s="12" t="inlineStr">
        <is>
          <t>Demineralised water tank</t>
        </is>
      </c>
      <c r="B787" s="12" t="inlineStr"/>
      <c r="C787" s="12" t="inlineStr">
        <is>
          <t>E</t>
        </is>
      </c>
      <c r="D787" s="12" t="inlineStr">
        <is>
          <t>LV power feeder</t>
        </is>
      </c>
      <c r="E787" s="12" t="n">
        <v>480</v>
      </c>
      <c r="F787" s="12" t="n">
        <v>10</v>
      </c>
      <c r="G787" s="12" t="n">
        <v>14.2</v>
      </c>
      <c r="H787" s="12" t="inlineStr">
        <is>
          <t>R1 MCC-C2</t>
        </is>
      </c>
      <c r="I787" s="12" t="inlineStr">
        <is>
          <t>LV 600 V</t>
        </is>
      </c>
      <c r="J787" s="12" t="inlineStr">
        <is>
          <t>2</t>
        </is>
      </c>
      <c r="K787" s="12" t="n">
        <v>1</v>
      </c>
    </row>
    <row r="788">
      <c r="A788" s="12" t="inlineStr">
        <is>
          <t>Fire / service water tank</t>
        </is>
      </c>
      <c r="B788" s="12" t="inlineStr"/>
      <c r="C788" s="12" t="inlineStr">
        <is>
          <t>E</t>
        </is>
      </c>
      <c r="D788" s="12" t="inlineStr">
        <is>
          <t>LV power feeder</t>
        </is>
      </c>
      <c r="E788" s="12" t="n">
        <v>480</v>
      </c>
      <c r="F788" s="12" t="n">
        <v>10</v>
      </c>
      <c r="G788" s="12" t="n">
        <v>14.2</v>
      </c>
      <c r="H788" s="12" t="inlineStr">
        <is>
          <t>R1 MCC-C2</t>
        </is>
      </c>
      <c r="I788" s="12" t="inlineStr">
        <is>
          <t>LV 600 V</t>
        </is>
      </c>
      <c r="J788" s="12" t="inlineStr">
        <is>
          <t>2</t>
        </is>
      </c>
      <c r="K788" s="12" t="n">
        <v>1</v>
      </c>
    </row>
    <row r="789">
      <c r="A789" s="12" t="inlineStr">
        <is>
          <t>Fire pump house</t>
        </is>
      </c>
      <c r="B789" s="12" t="inlineStr"/>
      <c r="C789" s="12" t="inlineStr">
        <is>
          <t>E</t>
        </is>
      </c>
      <c r="D789" s="12" t="inlineStr">
        <is>
          <t>Motor 1 of 1, 250 kW</t>
        </is>
      </c>
      <c r="E789" s="12" t="n">
        <v>480</v>
      </c>
      <c r="F789" s="12" t="n">
        <v>250</v>
      </c>
      <c r="G789" s="12" t="n">
        <v>353.8</v>
      </c>
      <c r="H789" s="12" t="inlineStr">
        <is>
          <t>R1 MCC-C2</t>
        </is>
      </c>
      <c r="I789" s="12" t="inlineStr">
        <is>
          <t>LV 600 V</t>
        </is>
      </c>
      <c r="J789" s="12" t="inlineStr">
        <is>
          <t>500 kcmil</t>
        </is>
      </c>
      <c r="K789" s="12" t="n">
        <v>3</v>
      </c>
    </row>
    <row r="790">
      <c r="A790" s="12" t="inlineStr">
        <is>
          <t>Fire pump house</t>
        </is>
      </c>
      <c r="B790" s="12" t="inlineStr"/>
      <c r="C790" s="12" t="inlineStr">
        <is>
          <t>E</t>
        </is>
      </c>
      <c r="D790" s="12" t="inlineStr">
        <is>
          <t>Motor 1 of 1, 15 kW</t>
        </is>
      </c>
      <c r="E790" s="12" t="n">
        <v>480</v>
      </c>
      <c r="F790" s="12" t="n">
        <v>15</v>
      </c>
      <c r="G790" s="12" t="n">
        <v>21.2</v>
      </c>
      <c r="H790" s="12" t="inlineStr">
        <is>
          <t>R1 MCC-C2</t>
        </is>
      </c>
      <c r="I790" s="12" t="inlineStr">
        <is>
          <t>LV 600 V</t>
        </is>
      </c>
      <c r="J790" s="12" t="inlineStr">
        <is>
          <t>1</t>
        </is>
      </c>
      <c r="K790" s="12" t="n">
        <v>1</v>
      </c>
    </row>
    <row r="791">
      <c r="A791" s="12" t="inlineStr">
        <is>
          <t>H2 / CO2 storage (generator gas)</t>
        </is>
      </c>
      <c r="B791" s="12" t="inlineStr"/>
      <c r="C791" s="12" t="inlineStr">
        <is>
          <t>E</t>
        </is>
      </c>
      <c r="D791" s="12" t="inlineStr">
        <is>
          <t>LV power feeder</t>
        </is>
      </c>
      <c r="E791" s="12" t="n">
        <v>480</v>
      </c>
      <c r="F791" s="12" t="n">
        <v>15</v>
      </c>
      <c r="G791" s="12" t="n">
        <v>21.2</v>
      </c>
      <c r="H791" s="12" t="inlineStr">
        <is>
          <t>R1 MCC-C2</t>
        </is>
      </c>
      <c r="I791" s="12" t="inlineStr">
        <is>
          <t>LV 600 V</t>
        </is>
      </c>
      <c r="J791" s="12" t="inlineStr">
        <is>
          <t>1/0</t>
        </is>
      </c>
      <c r="K791" s="12" t="n">
        <v>1</v>
      </c>
    </row>
    <row r="792">
      <c r="A792" s="12" t="inlineStr">
        <is>
          <t>HTP-2: heat-trace panel (NH3)</t>
        </is>
      </c>
      <c r="B792" s="12" t="inlineStr">
        <is>
          <t>HTP-2</t>
        </is>
      </c>
      <c r="C792" s="12" t="inlineStr">
        <is>
          <t>E</t>
        </is>
      </c>
      <c r="D792" s="12" t="inlineStr">
        <is>
          <t>LV power feeder</t>
        </is>
      </c>
      <c r="E792" s="12" t="n">
        <v>480</v>
      </c>
      <c r="F792" s="12" t="n">
        <v>120</v>
      </c>
      <c r="G792" s="12" t="n">
        <v>169.8</v>
      </c>
      <c r="H792" s="12" t="inlineStr">
        <is>
          <t>R1 MCC-C2</t>
        </is>
      </c>
      <c r="I792" s="12" t="inlineStr">
        <is>
          <t>LV 600 V</t>
        </is>
      </c>
      <c r="J792" s="12" t="inlineStr">
        <is>
          <t>350 kcmil</t>
        </is>
      </c>
      <c r="K792" s="12" t="n">
        <v>2</v>
      </c>
    </row>
    <row r="793">
      <c r="A793" s="12" t="inlineStr">
        <is>
          <t>HTP-2: heat-trace panel (NH3)</t>
        </is>
      </c>
      <c r="B793" s="12" t="inlineStr">
        <is>
          <t>HTP-2</t>
        </is>
      </c>
      <c r="C793" s="12" t="inlineStr">
        <is>
          <t>E</t>
        </is>
      </c>
      <c r="D793" s="12" t="inlineStr">
        <is>
          <t>Heat-trace circuit 1 (power to the trace junction box)</t>
        </is>
      </c>
      <c r="E793" s="12" t="n">
        <v>480</v>
      </c>
      <c r="F793" s="12" t="n">
        <v>4</v>
      </c>
      <c r="G793" s="12" t="n">
        <v>6</v>
      </c>
      <c r="H793" s="12" t="inlineStr">
        <is>
          <t>HTP-2: heat-trace panel (NH3)</t>
        </is>
      </c>
      <c r="I793" s="12" t="inlineStr">
        <is>
          <t>LV 600 V</t>
        </is>
      </c>
      <c r="J793" s="12" t="inlineStr">
        <is>
          <t>10</t>
        </is>
      </c>
      <c r="K793" s="12" t="n">
        <v>1</v>
      </c>
    </row>
    <row r="794">
      <c r="A794" s="12" t="inlineStr">
        <is>
          <t>HTP-2: heat-trace panel (NH3)</t>
        </is>
      </c>
      <c r="B794" s="12" t="inlineStr">
        <is>
          <t>HTP-2</t>
        </is>
      </c>
      <c r="C794" s="12" t="inlineStr">
        <is>
          <t>E</t>
        </is>
      </c>
      <c r="D794" s="12" t="inlineStr">
        <is>
          <t>Heat-trace circuit 2 (power to the trace junction box)</t>
        </is>
      </c>
      <c r="E794" s="12" t="n">
        <v>480</v>
      </c>
      <c r="F794" s="12" t="n">
        <v>4</v>
      </c>
      <c r="G794" s="12" t="n">
        <v>6</v>
      </c>
      <c r="H794" s="12" t="inlineStr">
        <is>
          <t>HTP-2: heat-trace panel (NH3)</t>
        </is>
      </c>
      <c r="I794" s="12" t="inlineStr">
        <is>
          <t>LV 600 V</t>
        </is>
      </c>
      <c r="J794" s="12" t="inlineStr">
        <is>
          <t>10</t>
        </is>
      </c>
      <c r="K794" s="12" t="n">
        <v>1</v>
      </c>
    </row>
    <row r="795">
      <c r="A795" s="12" t="inlineStr">
        <is>
          <t>HTP-2: heat-trace panel (NH3)</t>
        </is>
      </c>
      <c r="B795" s="12" t="inlineStr">
        <is>
          <t>HTP-2</t>
        </is>
      </c>
      <c r="C795" s="12" t="inlineStr">
        <is>
          <t>E</t>
        </is>
      </c>
      <c r="D795" s="12" t="inlineStr">
        <is>
          <t>Heat-trace circuit 3 (power to the trace junction box)</t>
        </is>
      </c>
      <c r="E795" s="12" t="n">
        <v>480</v>
      </c>
      <c r="F795" s="12" t="n">
        <v>4</v>
      </c>
      <c r="G795" s="12" t="n">
        <v>6</v>
      </c>
      <c r="H795" s="12" t="inlineStr">
        <is>
          <t>HTP-2: heat-trace panel (NH3)</t>
        </is>
      </c>
      <c r="I795" s="12" t="inlineStr">
        <is>
          <t>LV 600 V</t>
        </is>
      </c>
      <c r="J795" s="12" t="inlineStr">
        <is>
          <t>10</t>
        </is>
      </c>
      <c r="K795" s="12" t="n">
        <v>1</v>
      </c>
    </row>
    <row r="796">
      <c r="A796" s="12" t="inlineStr">
        <is>
          <t>HTP-2: heat-trace panel (NH3)</t>
        </is>
      </c>
      <c r="B796" s="12" t="inlineStr">
        <is>
          <t>HTP-2</t>
        </is>
      </c>
      <c r="C796" s="12" t="inlineStr">
        <is>
          <t>E</t>
        </is>
      </c>
      <c r="D796" s="12" t="inlineStr">
        <is>
          <t>Heat-trace circuit 4 (power to the trace junction box)</t>
        </is>
      </c>
      <c r="E796" s="12" t="n">
        <v>480</v>
      </c>
      <c r="F796" s="12" t="n">
        <v>4</v>
      </c>
      <c r="G796" s="12" t="n">
        <v>6</v>
      </c>
      <c r="H796" s="12" t="inlineStr">
        <is>
          <t>HTP-2: heat-trace panel (NH3)</t>
        </is>
      </c>
      <c r="I796" s="12" t="inlineStr">
        <is>
          <t>LV 600 V</t>
        </is>
      </c>
      <c r="J796" s="12" t="inlineStr">
        <is>
          <t>10</t>
        </is>
      </c>
      <c r="K796" s="12" t="n">
        <v>1</v>
      </c>
    </row>
    <row r="797">
      <c r="A797" s="12" t="inlineStr">
        <is>
          <t>HTP-2: heat-trace panel (NH3)</t>
        </is>
      </c>
      <c r="B797" s="12" t="inlineStr">
        <is>
          <t>HTP-2</t>
        </is>
      </c>
      <c r="C797" s="12" t="inlineStr">
        <is>
          <t>E</t>
        </is>
      </c>
      <c r="D797" s="12" t="inlineStr">
        <is>
          <t>Heat-trace circuit 5 (power to the trace junction box)</t>
        </is>
      </c>
      <c r="E797" s="12" t="n">
        <v>480</v>
      </c>
      <c r="F797" s="12" t="n">
        <v>4</v>
      </c>
      <c r="G797" s="12" t="n">
        <v>6</v>
      </c>
      <c r="H797" s="12" t="inlineStr">
        <is>
          <t>HTP-2: heat-trace panel (NH3)</t>
        </is>
      </c>
      <c r="I797" s="12" t="inlineStr">
        <is>
          <t>LV 600 V</t>
        </is>
      </c>
      <c r="J797" s="12" t="inlineStr">
        <is>
          <t>10</t>
        </is>
      </c>
      <c r="K797" s="12" t="n">
        <v>1</v>
      </c>
    </row>
    <row r="798">
      <c r="A798" s="12" t="inlineStr">
        <is>
          <t>HTP-2: heat-trace panel (NH3)</t>
        </is>
      </c>
      <c r="B798" s="12" t="inlineStr">
        <is>
          <t>HTP-2</t>
        </is>
      </c>
      <c r="C798" s="12" t="inlineStr">
        <is>
          <t>E</t>
        </is>
      </c>
      <c r="D798" s="12" t="inlineStr">
        <is>
          <t>Heat-trace circuit 6 (power to the trace junction box)</t>
        </is>
      </c>
      <c r="E798" s="12" t="n">
        <v>480</v>
      </c>
      <c r="F798" s="12" t="n">
        <v>4</v>
      </c>
      <c r="G798" s="12" t="n">
        <v>6</v>
      </c>
      <c r="H798" s="12" t="inlineStr">
        <is>
          <t>HTP-2: heat-trace panel (NH3)</t>
        </is>
      </c>
      <c r="I798" s="12" t="inlineStr">
        <is>
          <t>LV 600 V</t>
        </is>
      </c>
      <c r="J798" s="12" t="inlineStr">
        <is>
          <t>10</t>
        </is>
      </c>
      <c r="K798" s="12" t="n">
        <v>1</v>
      </c>
    </row>
    <row r="799">
      <c r="A799" s="12" t="inlineStr">
        <is>
          <t>HTP-2: heat-trace panel (NH3)</t>
        </is>
      </c>
      <c r="B799" s="12" t="inlineStr">
        <is>
          <t>HTP-2</t>
        </is>
      </c>
      <c r="C799" s="12" t="inlineStr">
        <is>
          <t>E</t>
        </is>
      </c>
      <c r="D799" s="12" t="inlineStr">
        <is>
          <t>Heat-trace circuit 7 (power to the trace junction box)</t>
        </is>
      </c>
      <c r="E799" s="12" t="n">
        <v>480</v>
      </c>
      <c r="F799" s="12" t="n">
        <v>4</v>
      </c>
      <c r="G799" s="12" t="n">
        <v>6</v>
      </c>
      <c r="H799" s="12" t="inlineStr">
        <is>
          <t>HTP-2: heat-trace panel (NH3)</t>
        </is>
      </c>
      <c r="I799" s="12" t="inlineStr">
        <is>
          <t>LV 600 V</t>
        </is>
      </c>
      <c r="J799" s="12" t="inlineStr">
        <is>
          <t>10</t>
        </is>
      </c>
      <c r="K799" s="12" t="n">
        <v>1</v>
      </c>
    </row>
    <row r="800">
      <c r="A800" s="12" t="inlineStr">
        <is>
          <t>HTP-2: heat-trace panel (NH3)</t>
        </is>
      </c>
      <c r="B800" s="12" t="inlineStr">
        <is>
          <t>HTP-2</t>
        </is>
      </c>
      <c r="C800" s="12" t="inlineStr">
        <is>
          <t>E</t>
        </is>
      </c>
      <c r="D800" s="12" t="inlineStr">
        <is>
          <t>Heat-trace circuit 8 (power to the trace junction box)</t>
        </is>
      </c>
      <c r="E800" s="12" t="n">
        <v>480</v>
      </c>
      <c r="F800" s="12" t="n">
        <v>4</v>
      </c>
      <c r="G800" s="12" t="n">
        <v>6</v>
      </c>
      <c r="H800" s="12" t="inlineStr">
        <is>
          <t>HTP-2: heat-trace panel (NH3)</t>
        </is>
      </c>
      <c r="I800" s="12" t="inlineStr">
        <is>
          <t>LV 600 V</t>
        </is>
      </c>
      <c r="J800" s="12" t="inlineStr">
        <is>
          <t>10</t>
        </is>
      </c>
      <c r="K800" s="12" t="n">
        <v>1</v>
      </c>
    </row>
    <row r="801">
      <c r="A801" s="12" t="inlineStr">
        <is>
          <t>HTP-2: heat-trace panel (NH3)</t>
        </is>
      </c>
      <c r="B801" s="12" t="inlineStr">
        <is>
          <t>HTP-2</t>
        </is>
      </c>
      <c r="C801" s="12" t="inlineStr">
        <is>
          <t>E</t>
        </is>
      </c>
      <c r="D801" s="12" t="inlineStr">
        <is>
          <t>Heat-trace circuit 9 (power to the trace junction box)</t>
        </is>
      </c>
      <c r="E801" s="12" t="n">
        <v>480</v>
      </c>
      <c r="F801" s="12" t="n">
        <v>4</v>
      </c>
      <c r="G801" s="12" t="n">
        <v>6</v>
      </c>
      <c r="H801" s="12" t="inlineStr">
        <is>
          <t>HTP-2: heat-trace panel (NH3)</t>
        </is>
      </c>
      <c r="I801" s="12" t="inlineStr">
        <is>
          <t>LV 600 V</t>
        </is>
      </c>
      <c r="J801" s="12" t="inlineStr">
        <is>
          <t>10</t>
        </is>
      </c>
      <c r="K801" s="12" t="n">
        <v>1</v>
      </c>
    </row>
    <row r="802">
      <c r="A802" s="12" t="inlineStr">
        <is>
          <t>HTP-2: heat-trace panel (NH3)</t>
        </is>
      </c>
      <c r="B802" s="12" t="inlineStr">
        <is>
          <t>HTP-2</t>
        </is>
      </c>
      <c r="C802" s="12" t="inlineStr">
        <is>
          <t>E</t>
        </is>
      </c>
      <c r="D802" s="12" t="inlineStr">
        <is>
          <t>Heat-trace circuit 10 (power to the trace junction box)</t>
        </is>
      </c>
      <c r="E802" s="12" t="n">
        <v>480</v>
      </c>
      <c r="F802" s="12" t="n">
        <v>4</v>
      </c>
      <c r="G802" s="12" t="n">
        <v>6</v>
      </c>
      <c r="H802" s="12" t="inlineStr">
        <is>
          <t>HTP-2: heat-trace panel (NH3)</t>
        </is>
      </c>
      <c r="I802" s="12" t="inlineStr">
        <is>
          <t>LV 600 V</t>
        </is>
      </c>
      <c r="J802" s="12" t="inlineStr">
        <is>
          <t>10</t>
        </is>
      </c>
      <c r="K802" s="12" t="n">
        <v>1</v>
      </c>
    </row>
    <row r="803">
      <c r="A803" s="12" t="inlineStr">
        <is>
          <t>HTP-2: heat-trace panel (NH3)</t>
        </is>
      </c>
      <c r="B803" s="12" t="inlineStr">
        <is>
          <t>HTP-2</t>
        </is>
      </c>
      <c r="C803" s="12" t="inlineStr">
        <is>
          <t>E</t>
        </is>
      </c>
      <c r="D803" s="12" t="inlineStr">
        <is>
          <t>Heat-trace circuit 11 (power to the trace junction box)</t>
        </is>
      </c>
      <c r="E803" s="12" t="n">
        <v>480</v>
      </c>
      <c r="F803" s="12" t="n">
        <v>4</v>
      </c>
      <c r="G803" s="12" t="n">
        <v>6</v>
      </c>
      <c r="H803" s="12" t="inlineStr">
        <is>
          <t>HTP-2: heat-trace panel (NH3)</t>
        </is>
      </c>
      <c r="I803" s="12" t="inlineStr">
        <is>
          <t>LV 600 V</t>
        </is>
      </c>
      <c r="J803" s="12" t="inlineStr">
        <is>
          <t>10</t>
        </is>
      </c>
      <c r="K803" s="12" t="n">
        <v>1</v>
      </c>
    </row>
    <row r="804">
      <c r="A804" s="12" t="inlineStr">
        <is>
          <t>HTP-2: heat-trace panel (NH3)</t>
        </is>
      </c>
      <c r="B804" s="12" t="inlineStr">
        <is>
          <t>HTP-2</t>
        </is>
      </c>
      <c r="C804" s="12" t="inlineStr">
        <is>
          <t>E</t>
        </is>
      </c>
      <c r="D804" s="12" t="inlineStr">
        <is>
          <t>Heat-trace circuit 12 (power to the trace junction box)</t>
        </is>
      </c>
      <c r="E804" s="12" t="n">
        <v>480</v>
      </c>
      <c r="F804" s="12" t="n">
        <v>4</v>
      </c>
      <c r="G804" s="12" t="n">
        <v>6</v>
      </c>
      <c r="H804" s="12" t="inlineStr">
        <is>
          <t>HTP-2: heat-trace panel (NH3)</t>
        </is>
      </c>
      <c r="I804" s="12" t="inlineStr">
        <is>
          <t>LV 600 V</t>
        </is>
      </c>
      <c r="J804" s="12" t="inlineStr">
        <is>
          <t>10</t>
        </is>
      </c>
      <c r="K804" s="12" t="n">
        <v>1</v>
      </c>
    </row>
    <row r="805">
      <c r="A805" s="12" t="inlineStr">
        <is>
          <t>HTP-2: heat-trace panel (NH3)</t>
        </is>
      </c>
      <c r="B805" s="12" t="inlineStr">
        <is>
          <t>HTP-2</t>
        </is>
      </c>
      <c r="C805" s="12" t="inlineStr">
        <is>
          <t>E</t>
        </is>
      </c>
      <c r="D805" s="12" t="inlineStr">
        <is>
          <t>Heat-trace circuit 13 (power to the trace junction box)</t>
        </is>
      </c>
      <c r="E805" s="12" t="n">
        <v>480</v>
      </c>
      <c r="F805" s="12" t="n">
        <v>4</v>
      </c>
      <c r="G805" s="12" t="n">
        <v>6</v>
      </c>
      <c r="H805" s="12" t="inlineStr">
        <is>
          <t>HTP-2: heat-trace panel (NH3)</t>
        </is>
      </c>
      <c r="I805" s="12" t="inlineStr">
        <is>
          <t>LV 600 V</t>
        </is>
      </c>
      <c r="J805" s="12" t="inlineStr">
        <is>
          <t>10</t>
        </is>
      </c>
      <c r="K805" s="12" t="n">
        <v>1</v>
      </c>
    </row>
    <row r="806">
      <c r="A806" s="12" t="inlineStr">
        <is>
          <t>HTP-2: heat-trace panel (NH3)</t>
        </is>
      </c>
      <c r="B806" s="12" t="inlineStr">
        <is>
          <t>HTP-2</t>
        </is>
      </c>
      <c r="C806" s="12" t="inlineStr">
        <is>
          <t>E</t>
        </is>
      </c>
      <c r="D806" s="12" t="inlineStr">
        <is>
          <t>Heat-trace circuit 14 (power to the trace junction box)</t>
        </is>
      </c>
      <c r="E806" s="12" t="n">
        <v>480</v>
      </c>
      <c r="F806" s="12" t="n">
        <v>4</v>
      </c>
      <c r="G806" s="12" t="n">
        <v>6</v>
      </c>
      <c r="H806" s="12" t="inlineStr">
        <is>
          <t>HTP-2: heat-trace panel (NH3)</t>
        </is>
      </c>
      <c r="I806" s="12" t="inlineStr">
        <is>
          <t>LV 600 V</t>
        </is>
      </c>
      <c r="J806" s="12" t="inlineStr">
        <is>
          <t>10</t>
        </is>
      </c>
      <c r="K806" s="12" t="n">
        <v>1</v>
      </c>
    </row>
    <row r="807">
      <c r="A807" s="12" t="inlineStr">
        <is>
          <t>HTP-2: heat-trace panel (NH3)</t>
        </is>
      </c>
      <c r="B807" s="12" t="inlineStr">
        <is>
          <t>HTP-2</t>
        </is>
      </c>
      <c r="C807" s="12" t="inlineStr">
        <is>
          <t>E</t>
        </is>
      </c>
      <c r="D807" s="12" t="inlineStr">
        <is>
          <t>Heat-trace circuit 15 (power to the trace junction box)</t>
        </is>
      </c>
      <c r="E807" s="12" t="n">
        <v>480</v>
      </c>
      <c r="F807" s="12" t="n">
        <v>4</v>
      </c>
      <c r="G807" s="12" t="n">
        <v>6</v>
      </c>
      <c r="H807" s="12" t="inlineStr">
        <is>
          <t>HTP-2: heat-trace panel (NH3)</t>
        </is>
      </c>
      <c r="I807" s="12" t="inlineStr">
        <is>
          <t>LV 600 V</t>
        </is>
      </c>
      <c r="J807" s="12" t="inlineStr">
        <is>
          <t>10</t>
        </is>
      </c>
      <c r="K807" s="12" t="n">
        <v>1</v>
      </c>
    </row>
    <row r="808">
      <c r="A808" s="12" t="inlineStr">
        <is>
          <t>HTP-2: heat-trace panel (NH3)</t>
        </is>
      </c>
      <c r="B808" s="12" t="inlineStr">
        <is>
          <t>HTP-2</t>
        </is>
      </c>
      <c r="C808" s="12" t="inlineStr">
        <is>
          <t>E</t>
        </is>
      </c>
      <c r="D808" s="12" t="inlineStr">
        <is>
          <t>Heat-trace circuit 16 (power to the trace junction box)</t>
        </is>
      </c>
      <c r="E808" s="12" t="n">
        <v>480</v>
      </c>
      <c r="F808" s="12" t="n">
        <v>4</v>
      </c>
      <c r="G808" s="12" t="n">
        <v>6</v>
      </c>
      <c r="H808" s="12" t="inlineStr">
        <is>
          <t>HTP-2: heat-trace panel (NH3)</t>
        </is>
      </c>
      <c r="I808" s="12" t="inlineStr">
        <is>
          <t>LV 600 V</t>
        </is>
      </c>
      <c r="J808" s="12" t="inlineStr">
        <is>
          <t>10</t>
        </is>
      </c>
      <c r="K808" s="12" t="n">
        <v>1</v>
      </c>
    </row>
    <row r="809">
      <c r="A809" s="12" t="inlineStr">
        <is>
          <t>HTP-2: heat-trace panel (NH3)</t>
        </is>
      </c>
      <c r="B809" s="12" t="inlineStr">
        <is>
          <t>HTP-2</t>
        </is>
      </c>
      <c r="C809" s="12" t="inlineStr">
        <is>
          <t>E</t>
        </is>
      </c>
      <c r="D809" s="12" t="inlineStr">
        <is>
          <t>Heat-trace circuit 17 (power to the trace junction box)</t>
        </is>
      </c>
      <c r="E809" s="12" t="n">
        <v>480</v>
      </c>
      <c r="F809" s="12" t="n">
        <v>4</v>
      </c>
      <c r="G809" s="12" t="n">
        <v>6</v>
      </c>
      <c r="H809" s="12" t="inlineStr">
        <is>
          <t>HTP-2: heat-trace panel (NH3)</t>
        </is>
      </c>
      <c r="I809" s="12" t="inlineStr">
        <is>
          <t>LV 600 V</t>
        </is>
      </c>
      <c r="J809" s="12" t="inlineStr">
        <is>
          <t>10</t>
        </is>
      </c>
      <c r="K809" s="12" t="n">
        <v>1</v>
      </c>
    </row>
    <row r="810">
      <c r="A810" s="12" t="inlineStr">
        <is>
          <t>HTP-2: heat-trace panel (NH3)</t>
        </is>
      </c>
      <c r="B810" s="12" t="inlineStr">
        <is>
          <t>HTP-2</t>
        </is>
      </c>
      <c r="C810" s="12" t="inlineStr">
        <is>
          <t>E</t>
        </is>
      </c>
      <c r="D810" s="12" t="inlineStr">
        <is>
          <t>Heat-trace circuit 18 (power to the trace junction box)</t>
        </is>
      </c>
      <c r="E810" s="12" t="n">
        <v>480</v>
      </c>
      <c r="F810" s="12" t="n">
        <v>4</v>
      </c>
      <c r="G810" s="12" t="n">
        <v>6</v>
      </c>
      <c r="H810" s="12" t="inlineStr">
        <is>
          <t>HTP-2: heat-trace panel (NH3)</t>
        </is>
      </c>
      <c r="I810" s="12" t="inlineStr">
        <is>
          <t>LV 600 V</t>
        </is>
      </c>
      <c r="J810" s="12" t="inlineStr">
        <is>
          <t>10</t>
        </is>
      </c>
      <c r="K810" s="12" t="n">
        <v>1</v>
      </c>
    </row>
    <row r="811">
      <c r="A811" s="12" t="inlineStr">
        <is>
          <t>HTP-2: heat-trace panel (NH3)</t>
        </is>
      </c>
      <c r="B811" s="12" t="inlineStr">
        <is>
          <t>HTP-2</t>
        </is>
      </c>
      <c r="C811" s="12" t="inlineStr">
        <is>
          <t>E</t>
        </is>
      </c>
      <c r="D811" s="12" t="inlineStr">
        <is>
          <t>Heat-trace circuit 19 (power to the trace junction box)</t>
        </is>
      </c>
      <c r="E811" s="12" t="n">
        <v>480</v>
      </c>
      <c r="F811" s="12" t="n">
        <v>4</v>
      </c>
      <c r="G811" s="12" t="n">
        <v>6</v>
      </c>
      <c r="H811" s="12" t="inlineStr">
        <is>
          <t>HTP-2: heat-trace panel (NH3)</t>
        </is>
      </c>
      <c r="I811" s="12" t="inlineStr">
        <is>
          <t>LV 600 V</t>
        </is>
      </c>
      <c r="J811" s="12" t="inlineStr">
        <is>
          <t>10</t>
        </is>
      </c>
      <c r="K811" s="12" t="n">
        <v>1</v>
      </c>
    </row>
    <row r="812">
      <c r="A812" s="12" t="inlineStr">
        <is>
          <t>HTP-2: heat-trace panel (NH3)</t>
        </is>
      </c>
      <c r="B812" s="12" t="inlineStr">
        <is>
          <t>HTP-2</t>
        </is>
      </c>
      <c r="C812" s="12" t="inlineStr">
        <is>
          <t>E</t>
        </is>
      </c>
      <c r="D812" s="12" t="inlineStr">
        <is>
          <t>Heat-trace circuit 20 (power to the trace junction box)</t>
        </is>
      </c>
      <c r="E812" s="12" t="n">
        <v>480</v>
      </c>
      <c r="F812" s="12" t="n">
        <v>4</v>
      </c>
      <c r="G812" s="12" t="n">
        <v>6</v>
      </c>
      <c r="H812" s="12" t="inlineStr">
        <is>
          <t>HTP-2: heat-trace panel (NH3)</t>
        </is>
      </c>
      <c r="I812" s="12" t="inlineStr">
        <is>
          <t>LV 600 V</t>
        </is>
      </c>
      <c r="J812" s="12" t="inlineStr">
        <is>
          <t>10</t>
        </is>
      </c>
      <c r="K812" s="12" t="n">
        <v>1</v>
      </c>
    </row>
    <row r="813">
      <c r="A813" s="12" t="inlineStr">
        <is>
          <t>HTP-2: heat-trace panel (NH3)</t>
        </is>
      </c>
      <c r="B813" s="12" t="inlineStr">
        <is>
          <t>HTP-2</t>
        </is>
      </c>
      <c r="C813" s="12" t="inlineStr">
        <is>
          <t>E</t>
        </is>
      </c>
      <c r="D813" s="12" t="inlineStr">
        <is>
          <t>Heat-trace circuit 21 (power to the trace junction box)</t>
        </is>
      </c>
      <c r="E813" s="12" t="n">
        <v>480</v>
      </c>
      <c r="F813" s="12" t="n">
        <v>4</v>
      </c>
      <c r="G813" s="12" t="n">
        <v>6</v>
      </c>
      <c r="H813" s="12" t="inlineStr">
        <is>
          <t>HTP-2: heat-trace panel (NH3)</t>
        </is>
      </c>
      <c r="I813" s="12" t="inlineStr">
        <is>
          <t>LV 600 V</t>
        </is>
      </c>
      <c r="J813" s="12" t="inlineStr">
        <is>
          <t>10</t>
        </is>
      </c>
      <c r="K813" s="12" t="n">
        <v>1</v>
      </c>
    </row>
    <row r="814">
      <c r="A814" s="12" t="inlineStr">
        <is>
          <t>HTP-2: heat-trace panel (NH3)</t>
        </is>
      </c>
      <c r="B814" s="12" t="inlineStr">
        <is>
          <t>HTP-2</t>
        </is>
      </c>
      <c r="C814" s="12" t="inlineStr">
        <is>
          <t>E</t>
        </is>
      </c>
      <c r="D814" s="12" t="inlineStr">
        <is>
          <t>Heat-trace circuit 22 (power to the trace junction box)</t>
        </is>
      </c>
      <c r="E814" s="12" t="n">
        <v>480</v>
      </c>
      <c r="F814" s="12" t="n">
        <v>4</v>
      </c>
      <c r="G814" s="12" t="n">
        <v>6</v>
      </c>
      <c r="H814" s="12" t="inlineStr">
        <is>
          <t>HTP-2: heat-trace panel (NH3)</t>
        </is>
      </c>
      <c r="I814" s="12" t="inlineStr">
        <is>
          <t>LV 600 V</t>
        </is>
      </c>
      <c r="J814" s="12" t="inlineStr">
        <is>
          <t>10</t>
        </is>
      </c>
      <c r="K814" s="12" t="n">
        <v>1</v>
      </c>
    </row>
    <row r="815">
      <c r="A815" s="12" t="inlineStr">
        <is>
          <t>HTP-2: heat-trace panel (NH3)</t>
        </is>
      </c>
      <c r="B815" s="12" t="inlineStr">
        <is>
          <t>HTP-2</t>
        </is>
      </c>
      <c r="C815" s="12" t="inlineStr">
        <is>
          <t>E</t>
        </is>
      </c>
      <c r="D815" s="12" t="inlineStr">
        <is>
          <t>Heat-trace circuit 23 (power to the trace junction box)</t>
        </is>
      </c>
      <c r="E815" s="12" t="n">
        <v>480</v>
      </c>
      <c r="F815" s="12" t="n">
        <v>4</v>
      </c>
      <c r="G815" s="12" t="n">
        <v>6</v>
      </c>
      <c r="H815" s="12" t="inlineStr">
        <is>
          <t>HTP-2: heat-trace panel (NH3)</t>
        </is>
      </c>
      <c r="I815" s="12" t="inlineStr">
        <is>
          <t>LV 600 V</t>
        </is>
      </c>
      <c r="J815" s="12" t="inlineStr">
        <is>
          <t>10</t>
        </is>
      </c>
      <c r="K815" s="12" t="n">
        <v>1</v>
      </c>
    </row>
    <row r="816">
      <c r="A816" s="12" t="inlineStr">
        <is>
          <t>HTP-2: heat-trace panel (NH3)</t>
        </is>
      </c>
      <c r="B816" s="12" t="inlineStr">
        <is>
          <t>HTP-2</t>
        </is>
      </c>
      <c r="C816" s="12" t="inlineStr">
        <is>
          <t>E</t>
        </is>
      </c>
      <c r="D816" s="12" t="inlineStr">
        <is>
          <t>Heat-trace circuit 24 (power to the trace junction box)</t>
        </is>
      </c>
      <c r="E816" s="12" t="n">
        <v>480</v>
      </c>
      <c r="F816" s="12" t="n">
        <v>4</v>
      </c>
      <c r="G816" s="12" t="n">
        <v>6</v>
      </c>
      <c r="H816" s="12" t="inlineStr">
        <is>
          <t>HTP-2: heat-trace panel (NH3)</t>
        </is>
      </c>
      <c r="I816" s="12" t="inlineStr">
        <is>
          <t>LV 600 V</t>
        </is>
      </c>
      <c r="J816" s="12" t="inlineStr">
        <is>
          <t>10</t>
        </is>
      </c>
      <c r="K816" s="12" t="n">
        <v>1</v>
      </c>
    </row>
    <row r="817">
      <c r="A817" s="12" t="inlineStr">
        <is>
          <t>HTP-3: heat-trace panel (tanks)</t>
        </is>
      </c>
      <c r="B817" s="12" t="inlineStr">
        <is>
          <t>HTP-3</t>
        </is>
      </c>
      <c r="C817" s="12" t="inlineStr">
        <is>
          <t>E</t>
        </is>
      </c>
      <c r="D817" s="12" t="inlineStr">
        <is>
          <t>LV power feeder</t>
        </is>
      </c>
      <c r="E817" s="12" t="n">
        <v>480</v>
      </c>
      <c r="F817" s="12" t="n">
        <v>10</v>
      </c>
      <c r="G817" s="12" t="n">
        <v>14.2</v>
      </c>
      <c r="H817" s="12" t="inlineStr">
        <is>
          <t>R1 MCC-C2</t>
        </is>
      </c>
      <c r="I817" s="12" t="inlineStr">
        <is>
          <t>LV 600 V</t>
        </is>
      </c>
      <c r="J817" s="12" t="inlineStr">
        <is>
          <t>2</t>
        </is>
      </c>
      <c r="K817" s="12" t="n">
        <v>1</v>
      </c>
    </row>
    <row r="818">
      <c r="A818" s="12" t="inlineStr">
        <is>
          <t>HTP-3: heat-trace panel (tanks)</t>
        </is>
      </c>
      <c r="B818" s="12" t="inlineStr">
        <is>
          <t>HTP-3</t>
        </is>
      </c>
      <c r="C818" s="12" t="inlineStr">
        <is>
          <t>E</t>
        </is>
      </c>
      <c r="D818" s="12" t="inlineStr">
        <is>
          <t>Heat-trace circuit 1 (power to the trace junction box)</t>
        </is>
      </c>
      <c r="E818" s="12" t="n">
        <v>480</v>
      </c>
      <c r="F818" s="12" t="n">
        <v>4</v>
      </c>
      <c r="G818" s="12" t="n">
        <v>6</v>
      </c>
      <c r="H818" s="12" t="inlineStr">
        <is>
          <t>HTP-3: heat-trace panel (tanks)</t>
        </is>
      </c>
      <c r="I818" s="12" t="inlineStr">
        <is>
          <t>LV 600 V</t>
        </is>
      </c>
      <c r="J818" s="12" t="inlineStr">
        <is>
          <t>10</t>
        </is>
      </c>
      <c r="K818" s="12" t="n">
        <v>1</v>
      </c>
    </row>
    <row r="819">
      <c r="A819" s="12" t="inlineStr">
        <is>
          <t>HTP-3: heat-trace panel (tanks)</t>
        </is>
      </c>
      <c r="B819" s="12" t="inlineStr">
        <is>
          <t>HTP-3</t>
        </is>
      </c>
      <c r="C819" s="12" t="inlineStr">
        <is>
          <t>E</t>
        </is>
      </c>
      <c r="D819" s="12" t="inlineStr">
        <is>
          <t>Heat-trace circuit 2 (power to the trace junction box)</t>
        </is>
      </c>
      <c r="E819" s="12" t="n">
        <v>480</v>
      </c>
      <c r="F819" s="12" t="n">
        <v>4</v>
      </c>
      <c r="G819" s="12" t="n">
        <v>6</v>
      </c>
      <c r="H819" s="12" t="inlineStr">
        <is>
          <t>HTP-3: heat-trace panel (tanks)</t>
        </is>
      </c>
      <c r="I819" s="12" t="inlineStr">
        <is>
          <t>LV 600 V</t>
        </is>
      </c>
      <c r="J819" s="12" t="inlineStr">
        <is>
          <t>10</t>
        </is>
      </c>
      <c r="K819" s="12" t="n">
        <v>1</v>
      </c>
    </row>
    <row r="820">
      <c r="A820" s="12" t="inlineStr">
        <is>
          <t>HTP-3: heat-trace panel (tanks)</t>
        </is>
      </c>
      <c r="B820" s="12" t="inlineStr">
        <is>
          <t>HTP-3</t>
        </is>
      </c>
      <c r="C820" s="12" t="inlineStr">
        <is>
          <t>E</t>
        </is>
      </c>
      <c r="D820" s="12" t="inlineStr">
        <is>
          <t>Heat-trace circuit 3 (power to the trace junction box)</t>
        </is>
      </c>
      <c r="E820" s="12" t="n">
        <v>480</v>
      </c>
      <c r="F820" s="12" t="n">
        <v>4</v>
      </c>
      <c r="G820" s="12" t="n">
        <v>6</v>
      </c>
      <c r="H820" s="12" t="inlineStr">
        <is>
          <t>HTP-3: heat-trace panel (tanks)</t>
        </is>
      </c>
      <c r="I820" s="12" t="inlineStr">
        <is>
          <t>LV 600 V</t>
        </is>
      </c>
      <c r="J820" s="12" t="inlineStr">
        <is>
          <t>10</t>
        </is>
      </c>
      <c r="K820" s="12" t="n">
        <v>1</v>
      </c>
    </row>
    <row r="821">
      <c r="A821" s="12" t="inlineStr">
        <is>
          <t>HTP-3: heat-trace panel (tanks)</t>
        </is>
      </c>
      <c r="B821" s="12" t="inlineStr">
        <is>
          <t>HTP-3</t>
        </is>
      </c>
      <c r="C821" s="12" t="inlineStr">
        <is>
          <t>E</t>
        </is>
      </c>
      <c r="D821" s="12" t="inlineStr">
        <is>
          <t>Heat-trace circuit 4 (power to the trace junction box)</t>
        </is>
      </c>
      <c r="E821" s="12" t="n">
        <v>480</v>
      </c>
      <c r="F821" s="12" t="n">
        <v>4</v>
      </c>
      <c r="G821" s="12" t="n">
        <v>6</v>
      </c>
      <c r="H821" s="12" t="inlineStr">
        <is>
          <t>HTP-3: heat-trace panel (tanks)</t>
        </is>
      </c>
      <c r="I821" s="12" t="inlineStr">
        <is>
          <t>LV 600 V</t>
        </is>
      </c>
      <c r="J821" s="12" t="inlineStr">
        <is>
          <t>10</t>
        </is>
      </c>
      <c r="K821" s="12" t="n">
        <v>1</v>
      </c>
    </row>
    <row r="822">
      <c r="A822" s="12" t="inlineStr">
        <is>
          <t>HTP-3: heat-trace panel (tanks)</t>
        </is>
      </c>
      <c r="B822" s="12" t="inlineStr">
        <is>
          <t>HTP-3</t>
        </is>
      </c>
      <c r="C822" s="12" t="inlineStr">
        <is>
          <t>E</t>
        </is>
      </c>
      <c r="D822" s="12" t="inlineStr">
        <is>
          <t>Heat-trace circuit 5 (power to the trace junction box)</t>
        </is>
      </c>
      <c r="E822" s="12" t="n">
        <v>480</v>
      </c>
      <c r="F822" s="12" t="n">
        <v>4</v>
      </c>
      <c r="G822" s="12" t="n">
        <v>6</v>
      </c>
      <c r="H822" s="12" t="inlineStr">
        <is>
          <t>HTP-3: heat-trace panel (tanks)</t>
        </is>
      </c>
      <c r="I822" s="12" t="inlineStr">
        <is>
          <t>LV 600 V</t>
        </is>
      </c>
      <c r="J822" s="12" t="inlineStr">
        <is>
          <t>10</t>
        </is>
      </c>
      <c r="K822" s="12" t="n">
        <v>1</v>
      </c>
    </row>
    <row r="823">
      <c r="A823" s="12" t="inlineStr">
        <is>
          <t>HTP-3: heat-trace panel (tanks)</t>
        </is>
      </c>
      <c r="B823" s="12" t="inlineStr">
        <is>
          <t>HTP-3</t>
        </is>
      </c>
      <c r="C823" s="12" t="inlineStr">
        <is>
          <t>E</t>
        </is>
      </c>
      <c r="D823" s="12" t="inlineStr">
        <is>
          <t>Heat-trace circuit 6 (power to the trace junction box)</t>
        </is>
      </c>
      <c r="E823" s="12" t="n">
        <v>480</v>
      </c>
      <c r="F823" s="12" t="n">
        <v>4</v>
      </c>
      <c r="G823" s="12" t="n">
        <v>6</v>
      </c>
      <c r="H823" s="12" t="inlineStr">
        <is>
          <t>HTP-3: heat-trace panel (tanks)</t>
        </is>
      </c>
      <c r="I823" s="12" t="inlineStr">
        <is>
          <t>LV 600 V</t>
        </is>
      </c>
      <c r="J823" s="12" t="inlineStr">
        <is>
          <t>10</t>
        </is>
      </c>
      <c r="K823" s="12" t="n">
        <v>1</v>
      </c>
    </row>
    <row r="824">
      <c r="A824" s="12" t="inlineStr">
        <is>
          <t>HTP-3: heat-trace panel (tanks)</t>
        </is>
      </c>
      <c r="B824" s="12" t="inlineStr">
        <is>
          <t>HTP-3</t>
        </is>
      </c>
      <c r="C824" s="12" t="inlineStr">
        <is>
          <t>E</t>
        </is>
      </c>
      <c r="D824" s="12" t="inlineStr">
        <is>
          <t>Heat-trace circuit 7 (power to the trace junction box)</t>
        </is>
      </c>
      <c r="E824" s="12" t="n">
        <v>480</v>
      </c>
      <c r="F824" s="12" t="n">
        <v>4</v>
      </c>
      <c r="G824" s="12" t="n">
        <v>6</v>
      </c>
      <c r="H824" s="12" t="inlineStr">
        <is>
          <t>HTP-3: heat-trace panel (tanks)</t>
        </is>
      </c>
      <c r="I824" s="12" t="inlineStr">
        <is>
          <t>LV 600 V</t>
        </is>
      </c>
      <c r="J824" s="12" t="inlineStr">
        <is>
          <t>10</t>
        </is>
      </c>
      <c r="K824" s="12" t="n">
        <v>1</v>
      </c>
    </row>
    <row r="825">
      <c r="A825" s="12" t="inlineStr">
        <is>
          <t>HTP-3: heat-trace panel (tanks)</t>
        </is>
      </c>
      <c r="B825" s="12" t="inlineStr">
        <is>
          <t>HTP-3</t>
        </is>
      </c>
      <c r="C825" s="12" t="inlineStr">
        <is>
          <t>E</t>
        </is>
      </c>
      <c r="D825" s="12" t="inlineStr">
        <is>
          <t>Heat-trace circuit 8 (power to the trace junction box)</t>
        </is>
      </c>
      <c r="E825" s="12" t="n">
        <v>480</v>
      </c>
      <c r="F825" s="12" t="n">
        <v>4</v>
      </c>
      <c r="G825" s="12" t="n">
        <v>6</v>
      </c>
      <c r="H825" s="12" t="inlineStr">
        <is>
          <t>HTP-3: heat-trace panel (tanks)</t>
        </is>
      </c>
      <c r="I825" s="12" t="inlineStr">
        <is>
          <t>LV 600 V</t>
        </is>
      </c>
      <c r="J825" s="12" t="inlineStr">
        <is>
          <t>10</t>
        </is>
      </c>
      <c r="K825" s="12" t="n">
        <v>1</v>
      </c>
    </row>
    <row r="826">
      <c r="A826" s="12" t="inlineStr">
        <is>
          <t>HTP-3: heat-trace panel (tanks)</t>
        </is>
      </c>
      <c r="B826" s="12" t="inlineStr">
        <is>
          <t>HTP-3</t>
        </is>
      </c>
      <c r="C826" s="12" t="inlineStr">
        <is>
          <t>E</t>
        </is>
      </c>
      <c r="D826" s="12" t="inlineStr">
        <is>
          <t>Heat-trace circuit 9 (power to the trace junction box)</t>
        </is>
      </c>
      <c r="E826" s="12" t="n">
        <v>480</v>
      </c>
      <c r="F826" s="12" t="n">
        <v>4</v>
      </c>
      <c r="G826" s="12" t="n">
        <v>6</v>
      </c>
      <c r="H826" s="12" t="inlineStr">
        <is>
          <t>HTP-3: heat-trace panel (tanks)</t>
        </is>
      </c>
      <c r="I826" s="12" t="inlineStr">
        <is>
          <t>LV 600 V</t>
        </is>
      </c>
      <c r="J826" s="12" t="inlineStr">
        <is>
          <t>10</t>
        </is>
      </c>
      <c r="K826" s="12" t="n">
        <v>1</v>
      </c>
    </row>
    <row r="827">
      <c r="A827" s="12" t="inlineStr">
        <is>
          <t>HTP-3: heat-trace panel (tanks)</t>
        </is>
      </c>
      <c r="B827" s="12" t="inlineStr">
        <is>
          <t>HTP-3</t>
        </is>
      </c>
      <c r="C827" s="12" t="inlineStr">
        <is>
          <t>E</t>
        </is>
      </c>
      <c r="D827" s="12" t="inlineStr">
        <is>
          <t>Heat-trace circuit 10 (power to the trace junction box)</t>
        </is>
      </c>
      <c r="E827" s="12" t="n">
        <v>480</v>
      </c>
      <c r="F827" s="12" t="n">
        <v>4</v>
      </c>
      <c r="G827" s="12" t="n">
        <v>6</v>
      </c>
      <c r="H827" s="12" t="inlineStr">
        <is>
          <t>HTP-3: heat-trace panel (tanks)</t>
        </is>
      </c>
      <c r="I827" s="12" t="inlineStr">
        <is>
          <t>LV 600 V</t>
        </is>
      </c>
      <c r="J827" s="12" t="inlineStr">
        <is>
          <t>10</t>
        </is>
      </c>
      <c r="K827" s="12" t="n">
        <v>1</v>
      </c>
    </row>
    <row r="828">
      <c r="A828" s="12" t="inlineStr">
        <is>
          <t>HTP-3: heat-trace panel (tanks)</t>
        </is>
      </c>
      <c r="B828" s="12" t="inlineStr">
        <is>
          <t>HTP-3</t>
        </is>
      </c>
      <c r="C828" s="12" t="inlineStr">
        <is>
          <t>E</t>
        </is>
      </c>
      <c r="D828" s="12" t="inlineStr">
        <is>
          <t>Heat-trace circuit 11 (power to the trace junction box)</t>
        </is>
      </c>
      <c r="E828" s="12" t="n">
        <v>480</v>
      </c>
      <c r="F828" s="12" t="n">
        <v>4</v>
      </c>
      <c r="G828" s="12" t="n">
        <v>6</v>
      </c>
      <c r="H828" s="12" t="inlineStr">
        <is>
          <t>HTP-3: heat-trace panel (tanks)</t>
        </is>
      </c>
      <c r="I828" s="12" t="inlineStr">
        <is>
          <t>LV 600 V</t>
        </is>
      </c>
      <c r="J828" s="12" t="inlineStr">
        <is>
          <t>10</t>
        </is>
      </c>
      <c r="K828" s="12" t="n">
        <v>1</v>
      </c>
    </row>
    <row r="829">
      <c r="A829" s="12" t="inlineStr">
        <is>
          <t>HTP-3: heat-trace panel (tanks)</t>
        </is>
      </c>
      <c r="B829" s="12" t="inlineStr">
        <is>
          <t>HTP-3</t>
        </is>
      </c>
      <c r="C829" s="12" t="inlineStr">
        <is>
          <t>E</t>
        </is>
      </c>
      <c r="D829" s="12" t="inlineStr">
        <is>
          <t>Heat-trace circuit 12 (power to the trace junction box)</t>
        </is>
      </c>
      <c r="E829" s="12" t="n">
        <v>480</v>
      </c>
      <c r="F829" s="12" t="n">
        <v>4</v>
      </c>
      <c r="G829" s="12" t="n">
        <v>6</v>
      </c>
      <c r="H829" s="12" t="inlineStr">
        <is>
          <t>HTP-3: heat-trace panel (tanks)</t>
        </is>
      </c>
      <c r="I829" s="12" t="inlineStr">
        <is>
          <t>LV 600 V</t>
        </is>
      </c>
      <c r="J829" s="12" t="inlineStr">
        <is>
          <t>10</t>
        </is>
      </c>
      <c r="K829" s="12" t="n">
        <v>1</v>
      </c>
    </row>
    <row r="830">
      <c r="A830" s="12" t="inlineStr">
        <is>
          <t>HTP-3: heat-trace panel (tanks)</t>
        </is>
      </c>
      <c r="B830" s="12" t="inlineStr">
        <is>
          <t>HTP-3</t>
        </is>
      </c>
      <c r="C830" s="12" t="inlineStr">
        <is>
          <t>E</t>
        </is>
      </c>
      <c r="D830" s="12" t="inlineStr">
        <is>
          <t>Heat-trace circuit 13 (power to the trace junction box)</t>
        </is>
      </c>
      <c r="E830" s="12" t="n">
        <v>480</v>
      </c>
      <c r="F830" s="12" t="n">
        <v>4</v>
      </c>
      <c r="G830" s="12" t="n">
        <v>6</v>
      </c>
      <c r="H830" s="12" t="inlineStr">
        <is>
          <t>HTP-3: heat-trace panel (tanks)</t>
        </is>
      </c>
      <c r="I830" s="12" t="inlineStr">
        <is>
          <t>LV 600 V</t>
        </is>
      </c>
      <c r="J830" s="12" t="inlineStr">
        <is>
          <t>10</t>
        </is>
      </c>
      <c r="K830" s="12" t="n">
        <v>1</v>
      </c>
    </row>
    <row r="831">
      <c r="A831" s="12" t="inlineStr">
        <is>
          <t>HTP-3: heat-trace panel (tanks)</t>
        </is>
      </c>
      <c r="B831" s="12" t="inlineStr">
        <is>
          <t>HTP-3</t>
        </is>
      </c>
      <c r="C831" s="12" t="inlineStr">
        <is>
          <t>E</t>
        </is>
      </c>
      <c r="D831" s="12" t="inlineStr">
        <is>
          <t>Heat-trace circuit 14 (power to the trace junction box)</t>
        </is>
      </c>
      <c r="E831" s="12" t="n">
        <v>480</v>
      </c>
      <c r="F831" s="12" t="n">
        <v>4</v>
      </c>
      <c r="G831" s="12" t="n">
        <v>6</v>
      </c>
      <c r="H831" s="12" t="inlineStr">
        <is>
          <t>HTP-3: heat-trace panel (tanks)</t>
        </is>
      </c>
      <c r="I831" s="12" t="inlineStr">
        <is>
          <t>LV 600 V</t>
        </is>
      </c>
      <c r="J831" s="12" t="inlineStr">
        <is>
          <t>10</t>
        </is>
      </c>
      <c r="K831" s="12" t="n">
        <v>1</v>
      </c>
    </row>
    <row r="832">
      <c r="A832" s="12" t="inlineStr">
        <is>
          <t>HTP-3: heat-trace panel (tanks)</t>
        </is>
      </c>
      <c r="B832" s="12" t="inlineStr">
        <is>
          <t>HTP-3</t>
        </is>
      </c>
      <c r="C832" s="12" t="inlineStr">
        <is>
          <t>E</t>
        </is>
      </c>
      <c r="D832" s="12" t="inlineStr">
        <is>
          <t>Heat-trace circuit 15 (power to the trace junction box)</t>
        </is>
      </c>
      <c r="E832" s="12" t="n">
        <v>480</v>
      </c>
      <c r="F832" s="12" t="n">
        <v>4</v>
      </c>
      <c r="G832" s="12" t="n">
        <v>6</v>
      </c>
      <c r="H832" s="12" t="inlineStr">
        <is>
          <t>HTP-3: heat-trace panel (tanks)</t>
        </is>
      </c>
      <c r="I832" s="12" t="inlineStr">
        <is>
          <t>LV 600 V</t>
        </is>
      </c>
      <c r="J832" s="12" t="inlineStr">
        <is>
          <t>10</t>
        </is>
      </c>
      <c r="K832" s="12" t="n">
        <v>1</v>
      </c>
    </row>
    <row r="833">
      <c r="A833" s="12" t="inlineStr">
        <is>
          <t>HTP-3: heat-trace panel (tanks)</t>
        </is>
      </c>
      <c r="B833" s="12" t="inlineStr">
        <is>
          <t>HTP-3</t>
        </is>
      </c>
      <c r="C833" s="12" t="inlineStr">
        <is>
          <t>E</t>
        </is>
      </c>
      <c r="D833" s="12" t="inlineStr">
        <is>
          <t>Heat-trace circuit 16 (power to the trace junction box)</t>
        </is>
      </c>
      <c r="E833" s="12" t="n">
        <v>480</v>
      </c>
      <c r="F833" s="12" t="n">
        <v>4</v>
      </c>
      <c r="G833" s="12" t="n">
        <v>6</v>
      </c>
      <c r="H833" s="12" t="inlineStr">
        <is>
          <t>HTP-3: heat-trace panel (tanks)</t>
        </is>
      </c>
      <c r="I833" s="12" t="inlineStr">
        <is>
          <t>LV 600 V</t>
        </is>
      </c>
      <c r="J833" s="12" t="inlineStr">
        <is>
          <t>10</t>
        </is>
      </c>
      <c r="K833" s="12" t="n">
        <v>1</v>
      </c>
    </row>
    <row r="834">
      <c r="A834" s="12" t="inlineStr">
        <is>
          <t>HTP-3: heat-trace panel (tanks)</t>
        </is>
      </c>
      <c r="B834" s="12" t="inlineStr">
        <is>
          <t>HTP-3</t>
        </is>
      </c>
      <c r="C834" s="12" t="inlineStr">
        <is>
          <t>E</t>
        </is>
      </c>
      <c r="D834" s="12" t="inlineStr">
        <is>
          <t>Heat-trace circuit 17 (power to the trace junction box)</t>
        </is>
      </c>
      <c r="E834" s="12" t="n">
        <v>480</v>
      </c>
      <c r="F834" s="12" t="n">
        <v>4</v>
      </c>
      <c r="G834" s="12" t="n">
        <v>6</v>
      </c>
      <c r="H834" s="12" t="inlineStr">
        <is>
          <t>HTP-3: heat-trace panel (tanks)</t>
        </is>
      </c>
      <c r="I834" s="12" t="inlineStr">
        <is>
          <t>LV 600 V</t>
        </is>
      </c>
      <c r="J834" s="12" t="inlineStr">
        <is>
          <t>10</t>
        </is>
      </c>
      <c r="K834" s="12" t="n">
        <v>1</v>
      </c>
    </row>
    <row r="835">
      <c r="A835" s="12" t="inlineStr">
        <is>
          <t>HTP-3: heat-trace panel (tanks)</t>
        </is>
      </c>
      <c r="B835" s="12" t="inlineStr">
        <is>
          <t>HTP-3</t>
        </is>
      </c>
      <c r="C835" s="12" t="inlineStr">
        <is>
          <t>E</t>
        </is>
      </c>
      <c r="D835" s="12" t="inlineStr">
        <is>
          <t>Heat-trace circuit 18 (power to the trace junction box)</t>
        </is>
      </c>
      <c r="E835" s="12" t="n">
        <v>480</v>
      </c>
      <c r="F835" s="12" t="n">
        <v>4</v>
      </c>
      <c r="G835" s="12" t="n">
        <v>6</v>
      </c>
      <c r="H835" s="12" t="inlineStr">
        <is>
          <t>HTP-3: heat-trace panel (tanks)</t>
        </is>
      </c>
      <c r="I835" s="12" t="inlineStr">
        <is>
          <t>LV 600 V</t>
        </is>
      </c>
      <c r="J835" s="12" t="inlineStr">
        <is>
          <t>10</t>
        </is>
      </c>
      <c r="K835" s="12" t="n">
        <v>1</v>
      </c>
    </row>
    <row r="836">
      <c r="A836" s="12" t="inlineStr">
        <is>
          <t>HTP-3: heat-trace panel (tanks)</t>
        </is>
      </c>
      <c r="B836" s="12" t="inlineStr">
        <is>
          <t>HTP-3</t>
        </is>
      </c>
      <c r="C836" s="12" t="inlineStr">
        <is>
          <t>E</t>
        </is>
      </c>
      <c r="D836" s="12" t="inlineStr">
        <is>
          <t>Heat-trace circuit 19 (power to the trace junction box)</t>
        </is>
      </c>
      <c r="E836" s="12" t="n">
        <v>480</v>
      </c>
      <c r="F836" s="12" t="n">
        <v>4</v>
      </c>
      <c r="G836" s="12" t="n">
        <v>6</v>
      </c>
      <c r="H836" s="12" t="inlineStr">
        <is>
          <t>HTP-3: heat-trace panel (tanks)</t>
        </is>
      </c>
      <c r="I836" s="12" t="inlineStr">
        <is>
          <t>LV 600 V</t>
        </is>
      </c>
      <c r="J836" s="12" t="inlineStr">
        <is>
          <t>10</t>
        </is>
      </c>
      <c r="K836" s="12" t="n">
        <v>1</v>
      </c>
    </row>
    <row r="837">
      <c r="A837" s="12" t="inlineStr">
        <is>
          <t>HTP-3: heat-trace panel (tanks)</t>
        </is>
      </c>
      <c r="B837" s="12" t="inlineStr">
        <is>
          <t>HTP-3</t>
        </is>
      </c>
      <c r="C837" s="12" t="inlineStr">
        <is>
          <t>E</t>
        </is>
      </c>
      <c r="D837" s="12" t="inlineStr">
        <is>
          <t>Heat-trace circuit 20 (power to the trace junction box)</t>
        </is>
      </c>
      <c r="E837" s="12" t="n">
        <v>480</v>
      </c>
      <c r="F837" s="12" t="n">
        <v>4</v>
      </c>
      <c r="G837" s="12" t="n">
        <v>6</v>
      </c>
      <c r="H837" s="12" t="inlineStr">
        <is>
          <t>HTP-3: heat-trace panel (tanks)</t>
        </is>
      </c>
      <c r="I837" s="12" t="inlineStr">
        <is>
          <t>LV 600 V</t>
        </is>
      </c>
      <c r="J837" s="12" t="inlineStr">
        <is>
          <t>10</t>
        </is>
      </c>
      <c r="K837" s="12" t="n">
        <v>1</v>
      </c>
    </row>
    <row r="838">
      <c r="A838" s="12" t="inlineStr">
        <is>
          <t>HTP-3: heat-trace panel (tanks)</t>
        </is>
      </c>
      <c r="B838" s="12" t="inlineStr">
        <is>
          <t>HTP-3</t>
        </is>
      </c>
      <c r="C838" s="12" t="inlineStr">
        <is>
          <t>E</t>
        </is>
      </c>
      <c r="D838" s="12" t="inlineStr">
        <is>
          <t>Heat-trace circuit 21 (power to the trace junction box)</t>
        </is>
      </c>
      <c r="E838" s="12" t="n">
        <v>480</v>
      </c>
      <c r="F838" s="12" t="n">
        <v>4</v>
      </c>
      <c r="G838" s="12" t="n">
        <v>6</v>
      </c>
      <c r="H838" s="12" t="inlineStr">
        <is>
          <t>HTP-3: heat-trace panel (tanks)</t>
        </is>
      </c>
      <c r="I838" s="12" t="inlineStr">
        <is>
          <t>LV 600 V</t>
        </is>
      </c>
      <c r="J838" s="12" t="inlineStr">
        <is>
          <t>10</t>
        </is>
      </c>
      <c r="K838" s="12" t="n">
        <v>1</v>
      </c>
    </row>
    <row r="839">
      <c r="A839" s="12" t="inlineStr">
        <is>
          <t>HTP-3: heat-trace panel (tanks)</t>
        </is>
      </c>
      <c r="B839" s="12" t="inlineStr">
        <is>
          <t>HTP-3</t>
        </is>
      </c>
      <c r="C839" s="12" t="inlineStr">
        <is>
          <t>E</t>
        </is>
      </c>
      <c r="D839" s="12" t="inlineStr">
        <is>
          <t>Heat-trace circuit 22 (power to the trace junction box)</t>
        </is>
      </c>
      <c r="E839" s="12" t="n">
        <v>480</v>
      </c>
      <c r="F839" s="12" t="n">
        <v>4</v>
      </c>
      <c r="G839" s="12" t="n">
        <v>6</v>
      </c>
      <c r="H839" s="12" t="inlineStr">
        <is>
          <t>HTP-3: heat-trace panel (tanks)</t>
        </is>
      </c>
      <c r="I839" s="12" t="inlineStr">
        <is>
          <t>LV 600 V</t>
        </is>
      </c>
      <c r="J839" s="12" t="inlineStr">
        <is>
          <t>10</t>
        </is>
      </c>
      <c r="K839" s="12" t="n">
        <v>1</v>
      </c>
    </row>
    <row r="840">
      <c r="A840" s="12" t="inlineStr">
        <is>
          <t>HTP-3: heat-trace panel (tanks)</t>
        </is>
      </c>
      <c r="B840" s="12" t="inlineStr">
        <is>
          <t>HTP-3</t>
        </is>
      </c>
      <c r="C840" s="12" t="inlineStr">
        <is>
          <t>E</t>
        </is>
      </c>
      <c r="D840" s="12" t="inlineStr">
        <is>
          <t>Heat-trace circuit 23 (power to the trace junction box)</t>
        </is>
      </c>
      <c r="E840" s="12" t="n">
        <v>480</v>
      </c>
      <c r="F840" s="12" t="n">
        <v>4</v>
      </c>
      <c r="G840" s="12" t="n">
        <v>6</v>
      </c>
      <c r="H840" s="12" t="inlineStr">
        <is>
          <t>HTP-3: heat-trace panel (tanks)</t>
        </is>
      </c>
      <c r="I840" s="12" t="inlineStr">
        <is>
          <t>LV 600 V</t>
        </is>
      </c>
      <c r="J840" s="12" t="inlineStr">
        <is>
          <t>10</t>
        </is>
      </c>
      <c r="K840" s="12" t="n">
        <v>1</v>
      </c>
    </row>
    <row r="841">
      <c r="A841" s="12" t="inlineStr">
        <is>
          <t>HTP-3: heat-trace panel (tanks)</t>
        </is>
      </c>
      <c r="B841" s="12" t="inlineStr">
        <is>
          <t>HTP-3</t>
        </is>
      </c>
      <c r="C841" s="12" t="inlineStr">
        <is>
          <t>E</t>
        </is>
      </c>
      <c r="D841" s="12" t="inlineStr">
        <is>
          <t>Heat-trace circuit 24 (power to the trace junction box)</t>
        </is>
      </c>
      <c r="E841" s="12" t="n">
        <v>480</v>
      </c>
      <c r="F841" s="12" t="n">
        <v>4</v>
      </c>
      <c r="G841" s="12" t="n">
        <v>6</v>
      </c>
      <c r="H841" s="12" t="inlineStr">
        <is>
          <t>HTP-3: heat-trace panel (tanks)</t>
        </is>
      </c>
      <c r="I841" s="12" t="inlineStr">
        <is>
          <t>LV 600 V</t>
        </is>
      </c>
      <c r="J841" s="12" t="inlineStr">
        <is>
          <t>10</t>
        </is>
      </c>
      <c r="K841" s="12" t="n">
        <v>1</v>
      </c>
    </row>
    <row r="842">
      <c r="A842" s="12" t="inlineStr">
        <is>
          <t>Oil-water separator</t>
        </is>
      </c>
      <c r="B842" s="12" t="inlineStr"/>
      <c r="C842" s="12" t="inlineStr">
        <is>
          <t>E</t>
        </is>
      </c>
      <c r="D842" s="12" t="inlineStr">
        <is>
          <t>Motor 1 of 2, 7 kW</t>
        </is>
      </c>
      <c r="E842" s="12" t="n">
        <v>480</v>
      </c>
      <c r="F842" s="12" t="n">
        <v>7</v>
      </c>
      <c r="G842" s="12" t="n">
        <v>9.9</v>
      </c>
      <c r="H842" s="12" t="inlineStr">
        <is>
          <t>R1 MCC-C2</t>
        </is>
      </c>
      <c r="I842" s="12" t="inlineStr">
        <is>
          <t>LV 600 V</t>
        </is>
      </c>
      <c r="J842" s="12" t="inlineStr">
        <is>
          <t>4</t>
        </is>
      </c>
      <c r="K842" s="12" t="n">
        <v>1</v>
      </c>
    </row>
    <row r="843">
      <c r="A843" s="12" t="inlineStr">
        <is>
          <t>Oil-water separator</t>
        </is>
      </c>
      <c r="B843" s="12" t="inlineStr"/>
      <c r="C843" s="12" t="inlineStr">
        <is>
          <t>E</t>
        </is>
      </c>
      <c r="D843" s="12" t="inlineStr">
        <is>
          <t>Motor 2 of 2, 7 kW</t>
        </is>
      </c>
      <c r="E843" s="12" t="n">
        <v>480</v>
      </c>
      <c r="F843" s="12" t="n">
        <v>7</v>
      </c>
      <c r="G843" s="12" t="n">
        <v>9.9</v>
      </c>
      <c r="H843" s="12" t="inlineStr">
        <is>
          <t>R1 MCC-C2</t>
        </is>
      </c>
      <c r="I843" s="12" t="inlineStr">
        <is>
          <t>LV 600 V</t>
        </is>
      </c>
      <c r="J843" s="12" t="inlineStr">
        <is>
          <t>4</t>
        </is>
      </c>
      <c r="K843" s="12" t="n">
        <v>1</v>
      </c>
    </row>
    <row r="844">
      <c r="A844" s="12" t="inlineStr">
        <is>
          <t>Raw water tank</t>
        </is>
      </c>
      <c r="B844" s="12" t="inlineStr"/>
      <c r="C844" s="12" t="inlineStr">
        <is>
          <t>E</t>
        </is>
      </c>
      <c r="D844" s="12" t="inlineStr">
        <is>
          <t>LV power feeder</t>
        </is>
      </c>
      <c r="E844" s="12" t="n">
        <v>480</v>
      </c>
      <c r="F844" s="12" t="n">
        <v>10</v>
      </c>
      <c r="G844" s="12" t="n">
        <v>14.2</v>
      </c>
      <c r="H844" s="12" t="inlineStr">
        <is>
          <t>R1 MCC-C2</t>
        </is>
      </c>
      <c r="I844" s="12" t="inlineStr">
        <is>
          <t>LV 600 V</t>
        </is>
      </c>
      <c r="J844" s="12" t="inlineStr">
        <is>
          <t>2</t>
        </is>
      </c>
      <c r="K844" s="12" t="n">
        <v>1</v>
      </c>
    </row>
    <row r="845">
      <c r="A845" s="12" t="inlineStr">
        <is>
          <t>Wastewater treatment</t>
        </is>
      </c>
      <c r="B845" s="12" t="inlineStr"/>
      <c r="C845" s="12" t="inlineStr">
        <is>
          <t>E</t>
        </is>
      </c>
      <c r="D845" s="12" t="inlineStr">
        <is>
          <t>Motor 1 of 8, 15 kW</t>
        </is>
      </c>
      <c r="E845" s="12" t="n">
        <v>480</v>
      </c>
      <c r="F845" s="12" t="n">
        <v>15</v>
      </c>
      <c r="G845" s="12" t="n">
        <v>21.2</v>
      </c>
      <c r="H845" s="12" t="inlineStr">
        <is>
          <t>R1 MCC-C2</t>
        </is>
      </c>
      <c r="I845" s="12" t="inlineStr">
        <is>
          <t>LV 600 V</t>
        </is>
      </c>
      <c r="J845" s="12" t="inlineStr">
        <is>
          <t>1</t>
        </is>
      </c>
      <c r="K845" s="12" t="n">
        <v>1</v>
      </c>
    </row>
    <row r="846">
      <c r="A846" s="12" t="inlineStr">
        <is>
          <t>Wastewater treatment</t>
        </is>
      </c>
      <c r="B846" s="12" t="inlineStr"/>
      <c r="C846" s="12" t="inlineStr">
        <is>
          <t>E</t>
        </is>
      </c>
      <c r="D846" s="12" t="inlineStr">
        <is>
          <t>Motor 2 of 8, 15 kW</t>
        </is>
      </c>
      <c r="E846" s="12" t="n">
        <v>480</v>
      </c>
      <c r="F846" s="12" t="n">
        <v>15</v>
      </c>
      <c r="G846" s="12" t="n">
        <v>21.2</v>
      </c>
      <c r="H846" s="12" t="inlineStr">
        <is>
          <t>R1 MCC-C2</t>
        </is>
      </c>
      <c r="I846" s="12" t="inlineStr">
        <is>
          <t>LV 600 V</t>
        </is>
      </c>
      <c r="J846" s="12" t="inlineStr">
        <is>
          <t>1</t>
        </is>
      </c>
      <c r="K846" s="12" t="n">
        <v>1</v>
      </c>
    </row>
    <row r="847">
      <c r="A847" s="12" t="inlineStr">
        <is>
          <t>Wastewater treatment</t>
        </is>
      </c>
      <c r="B847" s="12" t="inlineStr"/>
      <c r="C847" s="12" t="inlineStr">
        <is>
          <t>E</t>
        </is>
      </c>
      <c r="D847" s="12" t="inlineStr">
        <is>
          <t>Motor 3 of 8, 15 kW</t>
        </is>
      </c>
      <c r="E847" s="12" t="n">
        <v>480</v>
      </c>
      <c r="F847" s="12" t="n">
        <v>15</v>
      </c>
      <c r="G847" s="12" t="n">
        <v>21.2</v>
      </c>
      <c r="H847" s="12" t="inlineStr">
        <is>
          <t>R1 MCC-C2</t>
        </is>
      </c>
      <c r="I847" s="12" t="inlineStr">
        <is>
          <t>LV 600 V</t>
        </is>
      </c>
      <c r="J847" s="12" t="inlineStr">
        <is>
          <t>1</t>
        </is>
      </c>
      <c r="K847" s="12" t="n">
        <v>1</v>
      </c>
    </row>
    <row r="848">
      <c r="A848" s="12" t="inlineStr">
        <is>
          <t>Wastewater treatment</t>
        </is>
      </c>
      <c r="B848" s="12" t="inlineStr"/>
      <c r="C848" s="12" t="inlineStr">
        <is>
          <t>E</t>
        </is>
      </c>
      <c r="D848" s="12" t="inlineStr">
        <is>
          <t>Motor 4 of 8, 15 kW</t>
        </is>
      </c>
      <c r="E848" s="12" t="n">
        <v>480</v>
      </c>
      <c r="F848" s="12" t="n">
        <v>15</v>
      </c>
      <c r="G848" s="12" t="n">
        <v>21.2</v>
      </c>
      <c r="H848" s="12" t="inlineStr">
        <is>
          <t>R1 MCC-C2</t>
        </is>
      </c>
      <c r="I848" s="12" t="inlineStr">
        <is>
          <t>LV 600 V</t>
        </is>
      </c>
      <c r="J848" s="12" t="inlineStr">
        <is>
          <t>1</t>
        </is>
      </c>
      <c r="K848" s="12" t="n">
        <v>1</v>
      </c>
    </row>
    <row r="849">
      <c r="A849" s="12" t="inlineStr">
        <is>
          <t>Wastewater treatment</t>
        </is>
      </c>
      <c r="B849" s="12" t="inlineStr"/>
      <c r="C849" s="12" t="inlineStr">
        <is>
          <t>E</t>
        </is>
      </c>
      <c r="D849" s="12" t="inlineStr">
        <is>
          <t>Motor 5 of 8, 15 kW</t>
        </is>
      </c>
      <c r="E849" s="12" t="n">
        <v>480</v>
      </c>
      <c r="F849" s="12" t="n">
        <v>15</v>
      </c>
      <c r="G849" s="12" t="n">
        <v>21.2</v>
      </c>
      <c r="H849" s="12" t="inlineStr">
        <is>
          <t>R1 MCC-C2</t>
        </is>
      </c>
      <c r="I849" s="12" t="inlineStr">
        <is>
          <t>LV 600 V</t>
        </is>
      </c>
      <c r="J849" s="12" t="inlineStr">
        <is>
          <t>1</t>
        </is>
      </c>
      <c r="K849" s="12" t="n">
        <v>1</v>
      </c>
    </row>
    <row r="850">
      <c r="A850" s="12" t="inlineStr">
        <is>
          <t>Wastewater treatment</t>
        </is>
      </c>
      <c r="B850" s="12" t="inlineStr"/>
      <c r="C850" s="12" t="inlineStr">
        <is>
          <t>E</t>
        </is>
      </c>
      <c r="D850" s="12" t="inlineStr">
        <is>
          <t>Motor 6 of 8, 15 kW</t>
        </is>
      </c>
      <c r="E850" s="12" t="n">
        <v>480</v>
      </c>
      <c r="F850" s="12" t="n">
        <v>15</v>
      </c>
      <c r="G850" s="12" t="n">
        <v>21.2</v>
      </c>
      <c r="H850" s="12" t="inlineStr">
        <is>
          <t>R1 MCC-C2</t>
        </is>
      </c>
      <c r="I850" s="12" t="inlineStr">
        <is>
          <t>LV 600 V</t>
        </is>
      </c>
      <c r="J850" s="12" t="inlineStr">
        <is>
          <t>1</t>
        </is>
      </c>
      <c r="K850" s="12" t="n">
        <v>1</v>
      </c>
    </row>
    <row r="851">
      <c r="A851" s="12" t="inlineStr">
        <is>
          <t>Wastewater treatment</t>
        </is>
      </c>
      <c r="B851" s="12" t="inlineStr"/>
      <c r="C851" s="12" t="inlineStr">
        <is>
          <t>E</t>
        </is>
      </c>
      <c r="D851" s="12" t="inlineStr">
        <is>
          <t>Motor 7 of 8, 15 kW</t>
        </is>
      </c>
      <c r="E851" s="12" t="n">
        <v>480</v>
      </c>
      <c r="F851" s="12" t="n">
        <v>15</v>
      </c>
      <c r="G851" s="12" t="n">
        <v>21.2</v>
      </c>
      <c r="H851" s="12" t="inlineStr">
        <is>
          <t>R1 MCC-C2</t>
        </is>
      </c>
      <c r="I851" s="12" t="inlineStr">
        <is>
          <t>LV 600 V</t>
        </is>
      </c>
      <c r="J851" s="12" t="inlineStr">
        <is>
          <t>1</t>
        </is>
      </c>
      <c r="K851" s="12" t="n">
        <v>1</v>
      </c>
    </row>
    <row r="852">
      <c r="A852" s="12" t="inlineStr">
        <is>
          <t>Wastewater treatment</t>
        </is>
      </c>
      <c r="B852" s="12" t="inlineStr"/>
      <c r="C852" s="12" t="inlineStr">
        <is>
          <t>E</t>
        </is>
      </c>
      <c r="D852" s="12" t="inlineStr">
        <is>
          <t>Motor 8 of 8, 15 kW</t>
        </is>
      </c>
      <c r="E852" s="12" t="n">
        <v>480</v>
      </c>
      <c r="F852" s="12" t="n">
        <v>15</v>
      </c>
      <c r="G852" s="12" t="n">
        <v>21.2</v>
      </c>
      <c r="H852" s="12" t="inlineStr">
        <is>
          <t>R1 MCC-C2</t>
        </is>
      </c>
      <c r="I852" s="12" t="inlineStr">
        <is>
          <t>LV 600 V</t>
        </is>
      </c>
      <c r="J852" s="12" t="inlineStr">
        <is>
          <t>1</t>
        </is>
      </c>
      <c r="K852" s="12" t="n">
        <v>1</v>
      </c>
    </row>
    <row r="853">
      <c r="A853" s="12" t="inlineStr">
        <is>
          <t>Water treatment building (incl. R-WT electrical room)</t>
        </is>
      </c>
      <c r="B853" s="12" t="inlineStr">
        <is>
          <t>R-WT</t>
        </is>
      </c>
      <c r="C853" s="12" t="inlineStr">
        <is>
          <t>E</t>
        </is>
      </c>
      <c r="D853" s="12" t="inlineStr">
        <is>
          <t>Motor 1 of 20, 15 kW</t>
        </is>
      </c>
      <c r="E853" s="12" t="n">
        <v>480</v>
      </c>
      <c r="F853" s="12" t="n">
        <v>15</v>
      </c>
      <c r="G853" s="12" t="n">
        <v>21.2</v>
      </c>
      <c r="H853" s="12" t="inlineStr">
        <is>
          <t>R1 MCC-C2</t>
        </is>
      </c>
      <c r="I853" s="12" t="inlineStr">
        <is>
          <t>LV 600 V</t>
        </is>
      </c>
      <c r="J853" s="12" t="inlineStr">
        <is>
          <t>2</t>
        </is>
      </c>
      <c r="K853" s="12" t="n">
        <v>1</v>
      </c>
    </row>
    <row r="854">
      <c r="A854" s="12" t="inlineStr">
        <is>
          <t>Water treatment building (incl. R-WT electrical room)</t>
        </is>
      </c>
      <c r="B854" s="12" t="inlineStr">
        <is>
          <t>R-WT</t>
        </is>
      </c>
      <c r="C854" s="12" t="inlineStr">
        <is>
          <t>E</t>
        </is>
      </c>
      <c r="D854" s="12" t="inlineStr">
        <is>
          <t>Motor 2 of 20, 15 kW</t>
        </is>
      </c>
      <c r="E854" s="12" t="n">
        <v>480</v>
      </c>
      <c r="F854" s="12" t="n">
        <v>15</v>
      </c>
      <c r="G854" s="12" t="n">
        <v>21.2</v>
      </c>
      <c r="H854" s="12" t="inlineStr">
        <is>
          <t>R1 MCC-C2</t>
        </is>
      </c>
      <c r="I854" s="12" t="inlineStr">
        <is>
          <t>LV 600 V</t>
        </is>
      </c>
      <c r="J854" s="12" t="inlineStr">
        <is>
          <t>2</t>
        </is>
      </c>
      <c r="K854" s="12" t="n">
        <v>1</v>
      </c>
    </row>
    <row r="855">
      <c r="A855" s="12" t="inlineStr">
        <is>
          <t>Water treatment building (incl. R-WT electrical room)</t>
        </is>
      </c>
      <c r="B855" s="12" t="inlineStr">
        <is>
          <t>R-WT</t>
        </is>
      </c>
      <c r="C855" s="12" t="inlineStr">
        <is>
          <t>E</t>
        </is>
      </c>
      <c r="D855" s="12" t="inlineStr">
        <is>
          <t>Motor 3 of 20, 15 kW</t>
        </is>
      </c>
      <c r="E855" s="12" t="n">
        <v>480</v>
      </c>
      <c r="F855" s="12" t="n">
        <v>15</v>
      </c>
      <c r="G855" s="12" t="n">
        <v>21.2</v>
      </c>
      <c r="H855" s="12" t="inlineStr">
        <is>
          <t>R1 MCC-C2</t>
        </is>
      </c>
      <c r="I855" s="12" t="inlineStr">
        <is>
          <t>LV 600 V</t>
        </is>
      </c>
      <c r="J855" s="12" t="inlineStr">
        <is>
          <t>2</t>
        </is>
      </c>
      <c r="K855" s="12" t="n">
        <v>1</v>
      </c>
    </row>
    <row r="856">
      <c r="A856" s="12" t="inlineStr">
        <is>
          <t>Water treatment building (incl. R-WT electrical room)</t>
        </is>
      </c>
      <c r="B856" s="12" t="inlineStr">
        <is>
          <t>R-WT</t>
        </is>
      </c>
      <c r="C856" s="12" t="inlineStr">
        <is>
          <t>E</t>
        </is>
      </c>
      <c r="D856" s="12" t="inlineStr">
        <is>
          <t>Motor 4 of 20, 15 kW</t>
        </is>
      </c>
      <c r="E856" s="12" t="n">
        <v>480</v>
      </c>
      <c r="F856" s="12" t="n">
        <v>15</v>
      </c>
      <c r="G856" s="12" t="n">
        <v>21.2</v>
      </c>
      <c r="H856" s="12" t="inlineStr">
        <is>
          <t>R1 MCC-C2</t>
        </is>
      </c>
      <c r="I856" s="12" t="inlineStr">
        <is>
          <t>LV 600 V</t>
        </is>
      </c>
      <c r="J856" s="12" t="inlineStr">
        <is>
          <t>2</t>
        </is>
      </c>
      <c r="K856" s="12" t="n">
        <v>1</v>
      </c>
    </row>
    <row r="857">
      <c r="A857" s="12" t="inlineStr">
        <is>
          <t>Water treatment building (incl. R-WT electrical room)</t>
        </is>
      </c>
      <c r="B857" s="12" t="inlineStr">
        <is>
          <t>R-WT</t>
        </is>
      </c>
      <c r="C857" s="12" t="inlineStr">
        <is>
          <t>E</t>
        </is>
      </c>
      <c r="D857" s="12" t="inlineStr">
        <is>
          <t>Motor 5 of 20, 15 kW</t>
        </is>
      </c>
      <c r="E857" s="12" t="n">
        <v>480</v>
      </c>
      <c r="F857" s="12" t="n">
        <v>15</v>
      </c>
      <c r="G857" s="12" t="n">
        <v>21.2</v>
      </c>
      <c r="H857" s="12" t="inlineStr">
        <is>
          <t>R1 MCC-C2</t>
        </is>
      </c>
      <c r="I857" s="12" t="inlineStr">
        <is>
          <t>LV 600 V</t>
        </is>
      </c>
      <c r="J857" s="12" t="inlineStr">
        <is>
          <t>2</t>
        </is>
      </c>
      <c r="K857" s="12" t="n">
        <v>1</v>
      </c>
    </row>
    <row r="858">
      <c r="A858" s="12" t="inlineStr">
        <is>
          <t>Water treatment building (incl. R-WT electrical room)</t>
        </is>
      </c>
      <c r="B858" s="12" t="inlineStr">
        <is>
          <t>R-WT</t>
        </is>
      </c>
      <c r="C858" s="12" t="inlineStr">
        <is>
          <t>E</t>
        </is>
      </c>
      <c r="D858" s="12" t="inlineStr">
        <is>
          <t>Motor 6 of 20, 15 kW</t>
        </is>
      </c>
      <c r="E858" s="12" t="n">
        <v>480</v>
      </c>
      <c r="F858" s="12" t="n">
        <v>15</v>
      </c>
      <c r="G858" s="12" t="n">
        <v>21.2</v>
      </c>
      <c r="H858" s="12" t="inlineStr">
        <is>
          <t>R1 MCC-C2</t>
        </is>
      </c>
      <c r="I858" s="12" t="inlineStr">
        <is>
          <t>LV 600 V</t>
        </is>
      </c>
      <c r="J858" s="12" t="inlineStr">
        <is>
          <t>2</t>
        </is>
      </c>
      <c r="K858" s="12" t="n">
        <v>1</v>
      </c>
    </row>
    <row r="859">
      <c r="A859" s="12" t="inlineStr">
        <is>
          <t>Water treatment building (incl. R-WT electrical room)</t>
        </is>
      </c>
      <c r="B859" s="12" t="inlineStr">
        <is>
          <t>R-WT</t>
        </is>
      </c>
      <c r="C859" s="12" t="inlineStr">
        <is>
          <t>E</t>
        </is>
      </c>
      <c r="D859" s="12" t="inlineStr">
        <is>
          <t>Motor 7 of 20, 15 kW</t>
        </is>
      </c>
      <c r="E859" s="12" t="n">
        <v>480</v>
      </c>
      <c r="F859" s="12" t="n">
        <v>15</v>
      </c>
      <c r="G859" s="12" t="n">
        <v>21.2</v>
      </c>
      <c r="H859" s="12" t="inlineStr">
        <is>
          <t>R1 MCC-C2</t>
        </is>
      </c>
      <c r="I859" s="12" t="inlineStr">
        <is>
          <t>LV 600 V</t>
        </is>
      </c>
      <c r="J859" s="12" t="inlineStr">
        <is>
          <t>2</t>
        </is>
      </c>
      <c r="K859" s="12" t="n">
        <v>1</v>
      </c>
    </row>
    <row r="860">
      <c r="A860" s="12" t="inlineStr">
        <is>
          <t>Water treatment building (incl. R-WT electrical room)</t>
        </is>
      </c>
      <c r="B860" s="12" t="inlineStr">
        <is>
          <t>R-WT</t>
        </is>
      </c>
      <c r="C860" s="12" t="inlineStr">
        <is>
          <t>E</t>
        </is>
      </c>
      <c r="D860" s="12" t="inlineStr">
        <is>
          <t>Motor 8 of 20, 15 kW</t>
        </is>
      </c>
      <c r="E860" s="12" t="n">
        <v>480</v>
      </c>
      <c r="F860" s="12" t="n">
        <v>15</v>
      </c>
      <c r="G860" s="12" t="n">
        <v>21.2</v>
      </c>
      <c r="H860" s="12" t="inlineStr">
        <is>
          <t>R1 MCC-C2</t>
        </is>
      </c>
      <c r="I860" s="12" t="inlineStr">
        <is>
          <t>LV 600 V</t>
        </is>
      </c>
      <c r="J860" s="12" t="inlineStr">
        <is>
          <t>2</t>
        </is>
      </c>
      <c r="K860" s="12" t="n">
        <v>1</v>
      </c>
    </row>
    <row r="861">
      <c r="A861" s="12" t="inlineStr">
        <is>
          <t>Water treatment building (incl. R-WT electrical room)</t>
        </is>
      </c>
      <c r="B861" s="12" t="inlineStr">
        <is>
          <t>R-WT</t>
        </is>
      </c>
      <c r="C861" s="12" t="inlineStr">
        <is>
          <t>E</t>
        </is>
      </c>
      <c r="D861" s="12" t="inlineStr">
        <is>
          <t>Motor 9 of 20, 15 kW</t>
        </is>
      </c>
      <c r="E861" s="12" t="n">
        <v>480</v>
      </c>
      <c r="F861" s="12" t="n">
        <v>15</v>
      </c>
      <c r="G861" s="12" t="n">
        <v>21.2</v>
      </c>
      <c r="H861" s="12" t="inlineStr">
        <is>
          <t>R1 MCC-C2</t>
        </is>
      </c>
      <c r="I861" s="12" t="inlineStr">
        <is>
          <t>LV 600 V</t>
        </is>
      </c>
      <c r="J861" s="12" t="inlineStr">
        <is>
          <t>2</t>
        </is>
      </c>
      <c r="K861" s="12" t="n">
        <v>1</v>
      </c>
    </row>
    <row r="862">
      <c r="A862" s="12" t="inlineStr">
        <is>
          <t>Water treatment building (incl. R-WT electrical room)</t>
        </is>
      </c>
      <c r="B862" s="12" t="inlineStr">
        <is>
          <t>R-WT</t>
        </is>
      </c>
      <c r="C862" s="12" t="inlineStr">
        <is>
          <t>E</t>
        </is>
      </c>
      <c r="D862" s="12" t="inlineStr">
        <is>
          <t>Motor 10 of 20, 15 kW</t>
        </is>
      </c>
      <c r="E862" s="12" t="n">
        <v>480</v>
      </c>
      <c r="F862" s="12" t="n">
        <v>15</v>
      </c>
      <c r="G862" s="12" t="n">
        <v>21.2</v>
      </c>
      <c r="H862" s="12" t="inlineStr">
        <is>
          <t>R1 MCC-C2</t>
        </is>
      </c>
      <c r="I862" s="12" t="inlineStr">
        <is>
          <t>LV 600 V</t>
        </is>
      </c>
      <c r="J862" s="12" t="inlineStr">
        <is>
          <t>2</t>
        </is>
      </c>
      <c r="K862" s="12" t="n">
        <v>1</v>
      </c>
    </row>
    <row r="863">
      <c r="A863" s="12" t="inlineStr">
        <is>
          <t>Water treatment building (incl. R-WT electrical room)</t>
        </is>
      </c>
      <c r="B863" s="12" t="inlineStr">
        <is>
          <t>R-WT</t>
        </is>
      </c>
      <c r="C863" s="12" t="inlineStr">
        <is>
          <t>E</t>
        </is>
      </c>
      <c r="D863" s="12" t="inlineStr">
        <is>
          <t>Motor 11 of 20, 15 kW</t>
        </is>
      </c>
      <c r="E863" s="12" t="n">
        <v>480</v>
      </c>
      <c r="F863" s="12" t="n">
        <v>15</v>
      </c>
      <c r="G863" s="12" t="n">
        <v>21.2</v>
      </c>
      <c r="H863" s="12" t="inlineStr">
        <is>
          <t>R1 MCC-C2</t>
        </is>
      </c>
      <c r="I863" s="12" t="inlineStr">
        <is>
          <t>LV 600 V</t>
        </is>
      </c>
      <c r="J863" s="12" t="inlineStr">
        <is>
          <t>2</t>
        </is>
      </c>
      <c r="K863" s="12" t="n">
        <v>1</v>
      </c>
    </row>
    <row r="864">
      <c r="A864" s="12" t="inlineStr">
        <is>
          <t>Water treatment building (incl. R-WT electrical room)</t>
        </is>
      </c>
      <c r="B864" s="12" t="inlineStr">
        <is>
          <t>R-WT</t>
        </is>
      </c>
      <c r="C864" s="12" t="inlineStr">
        <is>
          <t>E</t>
        </is>
      </c>
      <c r="D864" s="12" t="inlineStr">
        <is>
          <t>Motor 12 of 20, 15 kW</t>
        </is>
      </c>
      <c r="E864" s="12" t="n">
        <v>480</v>
      </c>
      <c r="F864" s="12" t="n">
        <v>15</v>
      </c>
      <c r="G864" s="12" t="n">
        <v>21.2</v>
      </c>
      <c r="H864" s="12" t="inlineStr">
        <is>
          <t>R1 MCC-C2</t>
        </is>
      </c>
      <c r="I864" s="12" t="inlineStr">
        <is>
          <t>LV 600 V</t>
        </is>
      </c>
      <c r="J864" s="12" t="inlineStr">
        <is>
          <t>2</t>
        </is>
      </c>
      <c r="K864" s="12" t="n">
        <v>1</v>
      </c>
    </row>
    <row r="865">
      <c r="A865" s="12" t="inlineStr">
        <is>
          <t>Water treatment building (incl. R-WT electrical room)</t>
        </is>
      </c>
      <c r="B865" s="12" t="inlineStr">
        <is>
          <t>R-WT</t>
        </is>
      </c>
      <c r="C865" s="12" t="inlineStr">
        <is>
          <t>E</t>
        </is>
      </c>
      <c r="D865" s="12" t="inlineStr">
        <is>
          <t>Motor 13 of 20, 15 kW</t>
        </is>
      </c>
      <c r="E865" s="12" t="n">
        <v>480</v>
      </c>
      <c r="F865" s="12" t="n">
        <v>15</v>
      </c>
      <c r="G865" s="12" t="n">
        <v>21.2</v>
      </c>
      <c r="H865" s="12" t="inlineStr">
        <is>
          <t>R1 MCC-C2</t>
        </is>
      </c>
      <c r="I865" s="12" t="inlineStr">
        <is>
          <t>LV 600 V</t>
        </is>
      </c>
      <c r="J865" s="12" t="inlineStr">
        <is>
          <t>2</t>
        </is>
      </c>
      <c r="K865" s="12" t="n">
        <v>1</v>
      </c>
    </row>
    <row r="866">
      <c r="A866" s="12" t="inlineStr">
        <is>
          <t>Water treatment building (incl. R-WT electrical room)</t>
        </is>
      </c>
      <c r="B866" s="12" t="inlineStr">
        <is>
          <t>R-WT</t>
        </is>
      </c>
      <c r="C866" s="12" t="inlineStr">
        <is>
          <t>E</t>
        </is>
      </c>
      <c r="D866" s="12" t="inlineStr">
        <is>
          <t>Motor 14 of 20, 15 kW</t>
        </is>
      </c>
      <c r="E866" s="12" t="n">
        <v>480</v>
      </c>
      <c r="F866" s="12" t="n">
        <v>15</v>
      </c>
      <c r="G866" s="12" t="n">
        <v>21.2</v>
      </c>
      <c r="H866" s="12" t="inlineStr">
        <is>
          <t>R1 MCC-C2</t>
        </is>
      </c>
      <c r="I866" s="12" t="inlineStr">
        <is>
          <t>LV 600 V</t>
        </is>
      </c>
      <c r="J866" s="12" t="inlineStr">
        <is>
          <t>2</t>
        </is>
      </c>
      <c r="K866" s="12" t="n">
        <v>1</v>
      </c>
    </row>
    <row r="867">
      <c r="A867" s="12" t="inlineStr">
        <is>
          <t>Water treatment building (incl. R-WT electrical room)</t>
        </is>
      </c>
      <c r="B867" s="12" t="inlineStr">
        <is>
          <t>R-WT</t>
        </is>
      </c>
      <c r="C867" s="12" t="inlineStr">
        <is>
          <t>E</t>
        </is>
      </c>
      <c r="D867" s="12" t="inlineStr">
        <is>
          <t>Motor 15 of 20, 15 kW</t>
        </is>
      </c>
      <c r="E867" s="12" t="n">
        <v>480</v>
      </c>
      <c r="F867" s="12" t="n">
        <v>15</v>
      </c>
      <c r="G867" s="12" t="n">
        <v>21.2</v>
      </c>
      <c r="H867" s="12" t="inlineStr">
        <is>
          <t>R1 MCC-C2</t>
        </is>
      </c>
      <c r="I867" s="12" t="inlineStr">
        <is>
          <t>LV 600 V</t>
        </is>
      </c>
      <c r="J867" s="12" t="inlineStr">
        <is>
          <t>2</t>
        </is>
      </c>
      <c r="K867" s="12" t="n">
        <v>1</v>
      </c>
    </row>
    <row r="868">
      <c r="A868" s="12" t="inlineStr">
        <is>
          <t>Water treatment building (incl. R-WT electrical room)</t>
        </is>
      </c>
      <c r="B868" s="12" t="inlineStr">
        <is>
          <t>R-WT</t>
        </is>
      </c>
      <c r="C868" s="12" t="inlineStr">
        <is>
          <t>E</t>
        </is>
      </c>
      <c r="D868" s="12" t="inlineStr">
        <is>
          <t>Motor 16 of 20, 15 kW</t>
        </is>
      </c>
      <c r="E868" s="12" t="n">
        <v>480</v>
      </c>
      <c r="F868" s="12" t="n">
        <v>15</v>
      </c>
      <c r="G868" s="12" t="n">
        <v>21.2</v>
      </c>
      <c r="H868" s="12" t="inlineStr">
        <is>
          <t>R1 MCC-C2</t>
        </is>
      </c>
      <c r="I868" s="12" t="inlineStr">
        <is>
          <t>LV 600 V</t>
        </is>
      </c>
      <c r="J868" s="12" t="inlineStr">
        <is>
          <t>2</t>
        </is>
      </c>
      <c r="K868" s="12" t="n">
        <v>1</v>
      </c>
    </row>
    <row r="869">
      <c r="A869" s="12" t="inlineStr">
        <is>
          <t>Water treatment building (incl. R-WT electrical room)</t>
        </is>
      </c>
      <c r="B869" s="12" t="inlineStr">
        <is>
          <t>R-WT</t>
        </is>
      </c>
      <c r="C869" s="12" t="inlineStr">
        <is>
          <t>E</t>
        </is>
      </c>
      <c r="D869" s="12" t="inlineStr">
        <is>
          <t>Motor 17 of 20, 15 kW</t>
        </is>
      </c>
      <c r="E869" s="12" t="n">
        <v>480</v>
      </c>
      <c r="F869" s="12" t="n">
        <v>15</v>
      </c>
      <c r="G869" s="12" t="n">
        <v>21.2</v>
      </c>
      <c r="H869" s="12" t="inlineStr">
        <is>
          <t>R1 MCC-C2</t>
        </is>
      </c>
      <c r="I869" s="12" t="inlineStr">
        <is>
          <t>LV 600 V</t>
        </is>
      </c>
      <c r="J869" s="12" t="inlineStr">
        <is>
          <t>2</t>
        </is>
      </c>
      <c r="K869" s="12" t="n">
        <v>1</v>
      </c>
    </row>
    <row r="870">
      <c r="A870" s="12" t="inlineStr">
        <is>
          <t>Water treatment building (incl. R-WT electrical room)</t>
        </is>
      </c>
      <c r="B870" s="12" t="inlineStr">
        <is>
          <t>R-WT</t>
        </is>
      </c>
      <c r="C870" s="12" t="inlineStr">
        <is>
          <t>E</t>
        </is>
      </c>
      <c r="D870" s="12" t="inlineStr">
        <is>
          <t>Motor 18 of 20, 15 kW</t>
        </is>
      </c>
      <c r="E870" s="12" t="n">
        <v>480</v>
      </c>
      <c r="F870" s="12" t="n">
        <v>15</v>
      </c>
      <c r="G870" s="12" t="n">
        <v>21.2</v>
      </c>
      <c r="H870" s="12" t="inlineStr">
        <is>
          <t>R1 MCC-C2</t>
        </is>
      </c>
      <c r="I870" s="12" t="inlineStr">
        <is>
          <t>LV 600 V</t>
        </is>
      </c>
      <c r="J870" s="12" t="inlineStr">
        <is>
          <t>2</t>
        </is>
      </c>
      <c r="K870" s="12" t="n">
        <v>1</v>
      </c>
    </row>
    <row r="871">
      <c r="A871" s="12" t="inlineStr">
        <is>
          <t>Water treatment building (incl. R-WT electrical room)</t>
        </is>
      </c>
      <c r="B871" s="12" t="inlineStr">
        <is>
          <t>R-WT</t>
        </is>
      </c>
      <c r="C871" s="12" t="inlineStr">
        <is>
          <t>E</t>
        </is>
      </c>
      <c r="D871" s="12" t="inlineStr">
        <is>
          <t>Motor 19 of 20, 15 kW</t>
        </is>
      </c>
      <c r="E871" s="12" t="n">
        <v>480</v>
      </c>
      <c r="F871" s="12" t="n">
        <v>15</v>
      </c>
      <c r="G871" s="12" t="n">
        <v>21.2</v>
      </c>
      <c r="H871" s="12" t="inlineStr">
        <is>
          <t>R1 MCC-C2</t>
        </is>
      </c>
      <c r="I871" s="12" t="inlineStr">
        <is>
          <t>LV 600 V</t>
        </is>
      </c>
      <c r="J871" s="12" t="inlineStr">
        <is>
          <t>2</t>
        </is>
      </c>
      <c r="K871" s="12" t="n">
        <v>1</v>
      </c>
    </row>
    <row r="872">
      <c r="A872" s="12" t="inlineStr">
        <is>
          <t>Water treatment building (incl. R-WT electrical room)</t>
        </is>
      </c>
      <c r="B872" s="12" t="inlineStr">
        <is>
          <t>R-WT</t>
        </is>
      </c>
      <c r="C872" s="12" t="inlineStr">
        <is>
          <t>E</t>
        </is>
      </c>
      <c r="D872" s="12" t="inlineStr">
        <is>
          <t>Motor 20 of 20, 15 kW</t>
        </is>
      </c>
      <c r="E872" s="12" t="n">
        <v>480</v>
      </c>
      <c r="F872" s="12" t="n">
        <v>15</v>
      </c>
      <c r="G872" s="12" t="n">
        <v>21.2</v>
      </c>
      <c r="H872" s="12" t="inlineStr">
        <is>
          <t>R1 MCC-C2</t>
        </is>
      </c>
      <c r="I872" s="12" t="inlineStr">
        <is>
          <t>LV 600 V</t>
        </is>
      </c>
      <c r="J872" s="12" t="inlineStr">
        <is>
          <t>2</t>
        </is>
      </c>
      <c r="K872" s="12" t="n">
        <v>1</v>
      </c>
    </row>
    <row r="873">
      <c r="A873" s="12" t="inlineStr">
        <is>
          <t>Comms tower (lattice)</t>
        </is>
      </c>
      <c r="B873" s="12" t="inlineStr">
        <is>
          <t>COMMS</t>
        </is>
      </c>
      <c r="C873" s="12" t="inlineStr">
        <is>
          <t>F</t>
        </is>
      </c>
      <c r="D873" s="12" t="inlineStr">
        <is>
          <t>LV power feeder</t>
        </is>
      </c>
      <c r="E873" s="12" t="n">
        <v>480</v>
      </c>
      <c r="F873" s="12" t="n">
        <v>10</v>
      </c>
      <c r="G873" s="12" t="n">
        <v>14.2</v>
      </c>
      <c r="H873" s="12" t="inlineStr">
        <is>
          <t>R1 MCC-C2</t>
        </is>
      </c>
      <c r="I873" s="12" t="inlineStr">
        <is>
          <t>LV 600 V</t>
        </is>
      </c>
      <c r="J873" s="12" t="inlineStr">
        <is>
          <t>4</t>
        </is>
      </c>
      <c r="K873" s="12" t="n">
        <v>1</v>
      </c>
    </row>
    <row r="874">
      <c r="A874" s="12" t="inlineStr">
        <is>
          <t>Control / admin building (main control room)</t>
        </is>
      </c>
      <c r="B874" s="12" t="inlineStr">
        <is>
          <t>CR</t>
        </is>
      </c>
      <c r="C874" s="12" t="inlineStr">
        <is>
          <t>F</t>
        </is>
      </c>
      <c r="D874" s="12" t="inlineStr">
        <is>
          <t>LV panel / distribution feeder</t>
        </is>
      </c>
      <c r="E874" s="12" t="n">
        <v>480</v>
      </c>
      <c r="F874" s="12" t="n">
        <v>145</v>
      </c>
      <c r="G874" s="12" t="n">
        <v>205.2</v>
      </c>
      <c r="H874" s="12" t="inlineStr">
        <is>
          <t>R1 MCC-C2</t>
        </is>
      </c>
      <c r="I874" s="12" t="inlineStr">
        <is>
          <t>LV 600 V</t>
        </is>
      </c>
      <c r="J874" s="12" t="inlineStr">
        <is>
          <t>500 kcmil</t>
        </is>
      </c>
      <c r="K874" s="12" t="n">
        <v>1</v>
      </c>
    </row>
    <row r="875">
      <c r="A875" s="12" t="inlineStr">
        <is>
          <t>EDG-1: 3 MW emergency diesel generator (480 V)</t>
        </is>
      </c>
      <c r="B875" s="12" t="inlineStr">
        <is>
          <t>EDG-1</t>
        </is>
      </c>
      <c r="C875" s="12" t="inlineStr">
        <is>
          <t>F</t>
        </is>
      </c>
      <c r="D875" s="12" t="inlineStr">
        <is>
          <t>LV power feeder</t>
        </is>
      </c>
      <c r="E875" s="12" t="n">
        <v>480</v>
      </c>
      <c r="F875" s="12" t="n">
        <v>15</v>
      </c>
      <c r="G875" s="12" t="n">
        <v>21.2</v>
      </c>
      <c r="H875" s="12" t="inlineStr">
        <is>
          <t>R1 MCC-C2</t>
        </is>
      </c>
      <c r="I875" s="12" t="inlineStr">
        <is>
          <t>LV 600 V</t>
        </is>
      </c>
      <c r="J875" s="12" t="inlineStr">
        <is>
          <t>4</t>
        </is>
      </c>
      <c r="K875" s="12" t="n">
        <v>1</v>
      </c>
    </row>
    <row r="876">
      <c r="A876" s="12" t="inlineStr">
        <is>
          <t>EDG-2: 3 MW emergency diesel generator (480 V)</t>
        </is>
      </c>
      <c r="B876" s="12" t="inlineStr">
        <is>
          <t>EDG-2</t>
        </is>
      </c>
      <c r="C876" s="12" t="inlineStr">
        <is>
          <t>F</t>
        </is>
      </c>
      <c r="D876" s="12" t="inlineStr">
        <is>
          <t>LV power feeder</t>
        </is>
      </c>
      <c r="E876" s="12" t="n">
        <v>480</v>
      </c>
      <c r="F876" s="12" t="n">
        <v>15</v>
      </c>
      <c r="G876" s="12" t="n">
        <v>21.2</v>
      </c>
      <c r="H876" s="12" t="inlineStr">
        <is>
          <t>R1 MCC-C2</t>
        </is>
      </c>
      <c r="I876" s="12" t="inlineStr">
        <is>
          <t>LV 600 V</t>
        </is>
      </c>
      <c r="J876" s="12" t="inlineStr">
        <is>
          <t>2</t>
        </is>
      </c>
      <c r="K876" s="12" t="n">
        <v>1</v>
      </c>
    </row>
    <row r="877">
      <c r="A877" s="12" t="inlineStr">
        <is>
          <t>Gatehouse</t>
        </is>
      </c>
      <c r="B877" s="12" t="inlineStr"/>
      <c r="C877" s="12" t="inlineStr">
        <is>
          <t>F</t>
        </is>
      </c>
      <c r="D877" s="12" t="inlineStr">
        <is>
          <t>LV panel / distribution feeder</t>
        </is>
      </c>
      <c r="E877" s="12" t="n">
        <v>480</v>
      </c>
      <c r="F877" s="12" t="n">
        <v>30</v>
      </c>
      <c r="G877" s="12" t="n">
        <v>42.5</v>
      </c>
      <c r="H877" s="12" t="inlineStr">
        <is>
          <t>R1 MCC-C2</t>
        </is>
      </c>
      <c r="I877" s="12" t="inlineStr">
        <is>
          <t>LV 600 V</t>
        </is>
      </c>
      <c r="J877" s="12" t="inlineStr">
        <is>
          <t>1/0</t>
        </is>
      </c>
      <c r="K877" s="12" t="n">
        <v>1</v>
      </c>
    </row>
    <row r="878">
      <c r="A878" s="12" t="inlineStr">
        <is>
          <t>LS-1: sanitary lift station (packaged duplex)</t>
        </is>
      </c>
      <c r="B878" s="12" t="inlineStr">
        <is>
          <t>LS-1</t>
        </is>
      </c>
      <c r="C878" s="12" t="inlineStr">
        <is>
          <t>F</t>
        </is>
      </c>
      <c r="D878" s="12" t="inlineStr">
        <is>
          <t>Motor 1 of 2, 7 kW</t>
        </is>
      </c>
      <c r="E878" s="12" t="n">
        <v>480</v>
      </c>
      <c r="F878" s="12" t="n">
        <v>7</v>
      </c>
      <c r="G878" s="12" t="n">
        <v>9.9</v>
      </c>
      <c r="H878" s="12" t="inlineStr">
        <is>
          <t>R1 MCC-C2</t>
        </is>
      </c>
      <c r="I878" s="12" t="inlineStr">
        <is>
          <t>LV 600 V</t>
        </is>
      </c>
      <c r="J878" s="12" t="inlineStr">
        <is>
          <t>8</t>
        </is>
      </c>
      <c r="K878" s="12" t="n">
        <v>1</v>
      </c>
    </row>
    <row r="879">
      <c r="A879" s="12" t="inlineStr">
        <is>
          <t>LS-1: sanitary lift station (packaged duplex)</t>
        </is>
      </c>
      <c r="B879" s="12" t="inlineStr">
        <is>
          <t>LS-1</t>
        </is>
      </c>
      <c r="C879" s="12" t="inlineStr">
        <is>
          <t>F</t>
        </is>
      </c>
      <c r="D879" s="12" t="inlineStr">
        <is>
          <t>Motor 2 of 2, 7 kW</t>
        </is>
      </c>
      <c r="E879" s="12" t="n">
        <v>480</v>
      </c>
      <c r="F879" s="12" t="n">
        <v>7</v>
      </c>
      <c r="G879" s="12" t="n">
        <v>9.9</v>
      </c>
      <c r="H879" s="12" t="inlineStr">
        <is>
          <t>R1 MCC-C2</t>
        </is>
      </c>
      <c r="I879" s="12" t="inlineStr">
        <is>
          <t>LV 600 V</t>
        </is>
      </c>
      <c r="J879" s="12" t="inlineStr">
        <is>
          <t>8</t>
        </is>
      </c>
      <c r="K879" s="12" t="n">
        <v>1</v>
      </c>
    </row>
    <row r="880">
      <c r="A880" s="12" t="inlineStr">
        <is>
          <t>Maintenance building / workshop</t>
        </is>
      </c>
      <c r="B880" s="12" t="inlineStr"/>
      <c r="C880" s="12" t="inlineStr">
        <is>
          <t>F</t>
        </is>
      </c>
      <c r="D880" s="12" t="inlineStr">
        <is>
          <t>LV panel / distribution feeder</t>
        </is>
      </c>
      <c r="E880" s="12" t="n">
        <v>480</v>
      </c>
      <c r="F880" s="12" t="n">
        <v>60</v>
      </c>
      <c r="G880" s="12" t="n">
        <v>84.90000000000001</v>
      </c>
      <c r="H880" s="12" t="inlineStr">
        <is>
          <t>R1 MCC-C2</t>
        </is>
      </c>
      <c r="I880" s="12" t="inlineStr">
        <is>
          <t>LV 600 V</t>
        </is>
      </c>
      <c r="J880" s="12" t="inlineStr">
        <is>
          <t>2/0</t>
        </is>
      </c>
      <c r="K880" s="12" t="n">
        <v>1</v>
      </c>
    </row>
    <row r="881">
      <c r="A881" s="12" t="inlineStr">
        <is>
          <t>Stormwater pump station (2 x 100% submersible pumps)</t>
        </is>
      </c>
      <c r="B881" s="12" t="inlineStr"/>
      <c r="C881" s="12" t="inlineStr">
        <is>
          <t>F</t>
        </is>
      </c>
      <c r="D881" s="12" t="inlineStr">
        <is>
          <t>Motor 1 of 2, 75 kW</t>
        </is>
      </c>
      <c r="E881" s="12" t="n">
        <v>480</v>
      </c>
      <c r="F881" s="12" t="n">
        <v>75</v>
      </c>
      <c r="G881" s="12" t="n">
        <v>106.1</v>
      </c>
      <c r="H881" s="12" t="inlineStr">
        <is>
          <t>R1 MCC-C2</t>
        </is>
      </c>
      <c r="I881" s="12" t="inlineStr">
        <is>
          <t>LV 600 V</t>
        </is>
      </c>
      <c r="J881" s="12" t="inlineStr">
        <is>
          <t>500 kcmil</t>
        </is>
      </c>
      <c r="K881" s="12" t="n">
        <v>1</v>
      </c>
    </row>
    <row r="882">
      <c r="A882" s="12" t="inlineStr">
        <is>
          <t>Stormwater pump station (2 x 100% submersible pumps)</t>
        </is>
      </c>
      <c r="B882" s="12" t="inlineStr"/>
      <c r="C882" s="12" t="inlineStr">
        <is>
          <t>F</t>
        </is>
      </c>
      <c r="D882" s="12" t="inlineStr">
        <is>
          <t>Motor 2 of 2, 75 kW</t>
        </is>
      </c>
      <c r="E882" s="12" t="n">
        <v>480</v>
      </c>
      <c r="F882" s="12" t="n">
        <v>75</v>
      </c>
      <c r="G882" s="12" t="n">
        <v>106.1</v>
      </c>
      <c r="H882" s="12" t="inlineStr">
        <is>
          <t>R1 MCC-C2</t>
        </is>
      </c>
      <c r="I882" s="12" t="inlineStr">
        <is>
          <t>LV 600 V</t>
        </is>
      </c>
      <c r="J882" s="12" t="inlineStr">
        <is>
          <t>500 kcmil</t>
        </is>
      </c>
      <c r="K882" s="12" t="n">
        <v>1</v>
      </c>
    </row>
    <row r="883">
      <c r="A883" s="12" t="inlineStr">
        <is>
          <t>Warehouse</t>
        </is>
      </c>
      <c r="B883" s="12" t="inlineStr"/>
      <c r="C883" s="12" t="inlineStr">
        <is>
          <t>F</t>
        </is>
      </c>
      <c r="D883" s="12" t="inlineStr">
        <is>
          <t>LV panel / distribution feeder</t>
        </is>
      </c>
      <c r="E883" s="12" t="n">
        <v>480</v>
      </c>
      <c r="F883" s="12" t="n">
        <v>204</v>
      </c>
      <c r="G883" s="12" t="n">
        <v>288.7</v>
      </c>
      <c r="H883" s="12" t="inlineStr">
        <is>
          <t>R1 MCC-C2</t>
        </is>
      </c>
      <c r="I883" s="12" t="inlineStr">
        <is>
          <t>LV 600 V</t>
        </is>
      </c>
      <c r="J883" s="12" t="inlineStr">
        <is>
          <t>500 kcmil</t>
        </is>
      </c>
      <c r="K883" s="12" t="n">
        <v>1</v>
      </c>
    </row>
    <row r="884">
      <c r="A884" s="12" t="inlineStr">
        <is>
          <t>Absorber A (62 ft dia x 262 ft, stack to 313 ft)</t>
        </is>
      </c>
      <c r="B884" s="12" t="inlineStr">
        <is>
          <t>ABS-A</t>
        </is>
      </c>
      <c r="C884" s="12" t="inlineStr">
        <is>
          <t>G</t>
        </is>
      </c>
      <c r="D884" s="12" t="inlineStr">
        <is>
          <t>MOV 1: power</t>
        </is>
      </c>
      <c r="E884" s="12" t="n">
        <v>480</v>
      </c>
      <c r="F884" s="12" t="n">
        <v>2.5</v>
      </c>
      <c r="G884" s="12" t="n">
        <v>3.5</v>
      </c>
      <c r="H884" s="12" t="inlineStr">
        <is>
          <t>CCS MV switchgear building (VFDs)</t>
        </is>
      </c>
      <c r="I884" s="12" t="inlineStr">
        <is>
          <t>LV 600 V</t>
        </is>
      </c>
      <c r="J884" s="12" t="inlineStr">
        <is>
          <t>10</t>
        </is>
      </c>
      <c r="K884" s="12" t="n">
        <v>1</v>
      </c>
    </row>
    <row r="885">
      <c r="A885" s="12" t="inlineStr">
        <is>
          <t>Absorber A (62 ft dia x 262 ft, stack to 313 ft)</t>
        </is>
      </c>
      <c r="B885" s="12" t="inlineStr">
        <is>
          <t>ABS-A</t>
        </is>
      </c>
      <c r="C885" s="12" t="inlineStr">
        <is>
          <t>G</t>
        </is>
      </c>
      <c r="D885" s="12" t="inlineStr">
        <is>
          <t>MOV 2: power</t>
        </is>
      </c>
      <c r="E885" s="12" t="n">
        <v>480</v>
      </c>
      <c r="F885" s="12" t="n">
        <v>2.5</v>
      </c>
      <c r="G885" s="12" t="n">
        <v>3.5</v>
      </c>
      <c r="H885" s="12" t="inlineStr">
        <is>
          <t>CCS MV switchgear building (VFDs)</t>
        </is>
      </c>
      <c r="I885" s="12" t="inlineStr">
        <is>
          <t>LV 600 V</t>
        </is>
      </c>
      <c r="J885" s="12" t="inlineStr">
        <is>
          <t>10</t>
        </is>
      </c>
      <c r="K885" s="12" t="n">
        <v>1</v>
      </c>
    </row>
    <row r="886">
      <c r="A886" s="12" t="inlineStr">
        <is>
          <t>Absorber A (62 ft dia x 262 ft, stack to 313 ft)</t>
        </is>
      </c>
      <c r="B886" s="12" t="inlineStr">
        <is>
          <t>ABS-A</t>
        </is>
      </c>
      <c r="C886" s="12" t="inlineStr">
        <is>
          <t>G</t>
        </is>
      </c>
      <c r="D886" s="12" t="inlineStr">
        <is>
          <t>MOV 3: power</t>
        </is>
      </c>
      <c r="E886" s="12" t="n">
        <v>480</v>
      </c>
      <c r="F886" s="12" t="n">
        <v>2.5</v>
      </c>
      <c r="G886" s="12" t="n">
        <v>3.5</v>
      </c>
      <c r="H886" s="12" t="inlineStr">
        <is>
          <t>CCS MV switchgear building (VFDs)</t>
        </is>
      </c>
      <c r="I886" s="12" t="inlineStr">
        <is>
          <t>LV 600 V</t>
        </is>
      </c>
      <c r="J886" s="12" t="inlineStr">
        <is>
          <t>10</t>
        </is>
      </c>
      <c r="K886" s="12" t="n">
        <v>1</v>
      </c>
    </row>
    <row r="887">
      <c r="A887" s="12" t="inlineStr">
        <is>
          <t>Absorber A (62 ft dia x 262 ft, stack to 313 ft)</t>
        </is>
      </c>
      <c r="B887" s="12" t="inlineStr">
        <is>
          <t>ABS-A</t>
        </is>
      </c>
      <c r="C887" s="12" t="inlineStr">
        <is>
          <t>G</t>
        </is>
      </c>
      <c r="D887" s="12" t="inlineStr">
        <is>
          <t>MOV 4: power</t>
        </is>
      </c>
      <c r="E887" s="12" t="n">
        <v>480</v>
      </c>
      <c r="F887" s="12" t="n">
        <v>2.5</v>
      </c>
      <c r="G887" s="12" t="n">
        <v>3.5</v>
      </c>
      <c r="H887" s="12" t="inlineStr">
        <is>
          <t>CCS MV switchgear building (VFDs)</t>
        </is>
      </c>
      <c r="I887" s="12" t="inlineStr">
        <is>
          <t>LV 600 V</t>
        </is>
      </c>
      <c r="J887" s="12" t="inlineStr">
        <is>
          <t>10</t>
        </is>
      </c>
      <c r="K887" s="12" t="n">
        <v>1</v>
      </c>
    </row>
    <row r="888">
      <c r="A888" s="12" t="inlineStr">
        <is>
          <t>Absorber A (62 ft dia x 262 ft, stack to 313 ft)</t>
        </is>
      </c>
      <c r="B888" s="12" t="inlineStr">
        <is>
          <t>ABS-A</t>
        </is>
      </c>
      <c r="C888" s="12" t="inlineStr">
        <is>
          <t>G</t>
        </is>
      </c>
      <c r="D888" s="12" t="inlineStr">
        <is>
          <t>MOV 5: power</t>
        </is>
      </c>
      <c r="E888" s="12" t="n">
        <v>480</v>
      </c>
      <c r="F888" s="12" t="n">
        <v>2.5</v>
      </c>
      <c r="G888" s="12" t="n">
        <v>3.5</v>
      </c>
      <c r="H888" s="12" t="inlineStr">
        <is>
          <t>CCS MV switchgear building (VFDs)</t>
        </is>
      </c>
      <c r="I888" s="12" t="inlineStr">
        <is>
          <t>LV 600 V</t>
        </is>
      </c>
      <c r="J888" s="12" t="inlineStr">
        <is>
          <t>10</t>
        </is>
      </c>
      <c r="K888" s="12" t="n">
        <v>1</v>
      </c>
    </row>
    <row r="889">
      <c r="A889" s="12" t="inlineStr">
        <is>
          <t>Absorber A (62 ft dia x 262 ft, stack to 313 ft)</t>
        </is>
      </c>
      <c r="B889" s="12" t="inlineStr">
        <is>
          <t>ABS-A</t>
        </is>
      </c>
      <c r="C889" s="12" t="inlineStr">
        <is>
          <t>G</t>
        </is>
      </c>
      <c r="D889" s="12" t="inlineStr">
        <is>
          <t>MOV 6: power</t>
        </is>
      </c>
      <c r="E889" s="12" t="n">
        <v>480</v>
      </c>
      <c r="F889" s="12" t="n">
        <v>2.5</v>
      </c>
      <c r="G889" s="12" t="n">
        <v>3.5</v>
      </c>
      <c r="H889" s="12" t="inlineStr">
        <is>
          <t>CCS MV switchgear building (VFDs)</t>
        </is>
      </c>
      <c r="I889" s="12" t="inlineStr">
        <is>
          <t>LV 600 V</t>
        </is>
      </c>
      <c r="J889" s="12" t="inlineStr">
        <is>
          <t>10</t>
        </is>
      </c>
      <c r="K889" s="12" t="n">
        <v>1</v>
      </c>
    </row>
    <row r="890">
      <c r="A890" s="12" t="inlineStr">
        <is>
          <t>Absorber A (62 ft dia x 262 ft, stack to 313 ft)</t>
        </is>
      </c>
      <c r="B890" s="12" t="inlineStr">
        <is>
          <t>ABS-A</t>
        </is>
      </c>
      <c r="C890" s="12" t="inlineStr">
        <is>
          <t>G</t>
        </is>
      </c>
      <c r="D890" s="12" t="inlineStr">
        <is>
          <t>MOV 7: power</t>
        </is>
      </c>
      <c r="E890" s="12" t="n">
        <v>480</v>
      </c>
      <c r="F890" s="12" t="n">
        <v>2.5</v>
      </c>
      <c r="G890" s="12" t="n">
        <v>3.5</v>
      </c>
      <c r="H890" s="12" t="inlineStr">
        <is>
          <t>CCS MV switchgear building (VFDs)</t>
        </is>
      </c>
      <c r="I890" s="12" t="inlineStr">
        <is>
          <t>LV 600 V</t>
        </is>
      </c>
      <c r="J890" s="12" t="inlineStr">
        <is>
          <t>10</t>
        </is>
      </c>
      <c r="K890" s="12" t="n">
        <v>1</v>
      </c>
    </row>
    <row r="891">
      <c r="A891" s="12" t="inlineStr">
        <is>
          <t>Absorber A (62 ft dia x 262 ft, stack to 313 ft)</t>
        </is>
      </c>
      <c r="B891" s="12" t="inlineStr">
        <is>
          <t>ABS-A</t>
        </is>
      </c>
      <c r="C891" s="12" t="inlineStr">
        <is>
          <t>G</t>
        </is>
      </c>
      <c r="D891" s="12" t="inlineStr">
        <is>
          <t>MOV 8: power</t>
        </is>
      </c>
      <c r="E891" s="12" t="n">
        <v>480</v>
      </c>
      <c r="F891" s="12" t="n">
        <v>2.5</v>
      </c>
      <c r="G891" s="12" t="n">
        <v>3.5</v>
      </c>
      <c r="H891" s="12" t="inlineStr">
        <is>
          <t>CCS MV switchgear building (VFDs)</t>
        </is>
      </c>
      <c r="I891" s="12" t="inlineStr">
        <is>
          <t>LV 600 V</t>
        </is>
      </c>
      <c r="J891" s="12" t="inlineStr">
        <is>
          <t>10</t>
        </is>
      </c>
      <c r="K891" s="12" t="n">
        <v>1</v>
      </c>
    </row>
    <row r="892">
      <c r="A892" s="12" t="inlineStr">
        <is>
          <t>Absorber A (62 ft dia x 262 ft, stack to 313 ft)</t>
        </is>
      </c>
      <c r="B892" s="12" t="inlineStr">
        <is>
          <t>ABS-A</t>
        </is>
      </c>
      <c r="C892" s="12" t="inlineStr">
        <is>
          <t>G</t>
        </is>
      </c>
      <c r="D892" s="12" t="inlineStr">
        <is>
          <t>MOV 9: power</t>
        </is>
      </c>
      <c r="E892" s="12" t="n">
        <v>480</v>
      </c>
      <c r="F892" s="12" t="n">
        <v>2.5</v>
      </c>
      <c r="G892" s="12" t="n">
        <v>3.5</v>
      </c>
      <c r="H892" s="12" t="inlineStr">
        <is>
          <t>CCS MV switchgear building (VFDs)</t>
        </is>
      </c>
      <c r="I892" s="12" t="inlineStr">
        <is>
          <t>LV 600 V</t>
        </is>
      </c>
      <c r="J892" s="12" t="inlineStr">
        <is>
          <t>10</t>
        </is>
      </c>
      <c r="K892" s="12" t="n">
        <v>1</v>
      </c>
    </row>
    <row r="893">
      <c r="A893" s="12" t="inlineStr">
        <is>
          <t>Absorber A (62 ft dia x 262 ft, stack to 313 ft)</t>
        </is>
      </c>
      <c r="B893" s="12" t="inlineStr">
        <is>
          <t>ABS-A</t>
        </is>
      </c>
      <c r="C893" s="12" t="inlineStr">
        <is>
          <t>G</t>
        </is>
      </c>
      <c r="D893" s="12" t="inlineStr">
        <is>
          <t>MOV 10: power</t>
        </is>
      </c>
      <c r="E893" s="12" t="n">
        <v>480</v>
      </c>
      <c r="F893" s="12" t="n">
        <v>2.5</v>
      </c>
      <c r="G893" s="12" t="n">
        <v>3.5</v>
      </c>
      <c r="H893" s="12" t="inlineStr">
        <is>
          <t>CCS MV switchgear building (VFDs)</t>
        </is>
      </c>
      <c r="I893" s="12" t="inlineStr">
        <is>
          <t>LV 600 V</t>
        </is>
      </c>
      <c r="J893" s="12" t="inlineStr">
        <is>
          <t>10</t>
        </is>
      </c>
      <c r="K893" s="12" t="n">
        <v>1</v>
      </c>
    </row>
    <row r="894">
      <c r="A894" s="12" t="inlineStr">
        <is>
          <t>Absorber A (62 ft dia x 262 ft, stack to 313 ft)</t>
        </is>
      </c>
      <c r="B894" s="12" t="inlineStr">
        <is>
          <t>ABS-A</t>
        </is>
      </c>
      <c r="C894" s="12" t="inlineStr">
        <is>
          <t>G</t>
        </is>
      </c>
      <c r="D894" s="12" t="inlineStr">
        <is>
          <t>LV power feeder</t>
        </is>
      </c>
      <c r="E894" s="12" t="n">
        <v>480</v>
      </c>
      <c r="F894" s="12" t="n">
        <v>40</v>
      </c>
      <c r="G894" s="12" t="n">
        <v>56.6</v>
      </c>
      <c r="H894" s="12" t="inlineStr">
        <is>
          <t>CCS MV switchgear building (VFDs)</t>
        </is>
      </c>
      <c r="I894" s="12" t="inlineStr">
        <is>
          <t>LV 600 V</t>
        </is>
      </c>
      <c r="J894" s="12" t="inlineStr">
        <is>
          <t>2</t>
        </is>
      </c>
      <c r="K894" s="12" t="n">
        <v>1</v>
      </c>
    </row>
    <row r="895">
      <c r="A895" s="12" t="inlineStr">
        <is>
          <t>Absorber A (62 ft dia x 262 ft, stack to 313 ft)</t>
        </is>
      </c>
      <c r="B895" s="12" t="inlineStr">
        <is>
          <t>ABS-A</t>
        </is>
      </c>
      <c r="C895" s="12" t="inlineStr">
        <is>
          <t>G</t>
        </is>
      </c>
      <c r="D895" s="12" t="inlineStr">
        <is>
          <t>Area / platform lighting circuit 1 (12 fixtures)</t>
        </is>
      </c>
      <c r="E895" s="12" t="n">
        <v>480</v>
      </c>
      <c r="F895" s="12" t="n">
        <v>3</v>
      </c>
      <c r="G895" s="12" t="n">
        <v>5</v>
      </c>
      <c r="H895" s="12" t="inlineStr">
        <is>
          <t>CCS MV switchgear building (VFDs)</t>
        </is>
      </c>
      <c r="I895" s="12" t="inlineStr">
        <is>
          <t>LV 600 V</t>
        </is>
      </c>
      <c r="J895" s="12" t="inlineStr">
        <is>
          <t>10</t>
        </is>
      </c>
      <c r="K895" s="12" t="n">
        <v>1</v>
      </c>
    </row>
    <row r="896">
      <c r="A896" s="12" t="inlineStr">
        <is>
          <t>Absorber A (62 ft dia x 262 ft, stack to 313 ft)</t>
        </is>
      </c>
      <c r="B896" s="12" t="inlineStr">
        <is>
          <t>ABS-A</t>
        </is>
      </c>
      <c r="C896" s="12" t="inlineStr">
        <is>
          <t>G</t>
        </is>
      </c>
      <c r="D896" s="12" t="inlineStr">
        <is>
          <t>Area / platform lighting circuit 2 (12 fixtures)</t>
        </is>
      </c>
      <c r="E896" s="12" t="n">
        <v>480</v>
      </c>
      <c r="F896" s="12" t="n">
        <v>3</v>
      </c>
      <c r="G896" s="12" t="n">
        <v>5</v>
      </c>
      <c r="H896" s="12" t="inlineStr">
        <is>
          <t>CCS MV switchgear building (VFDs)</t>
        </is>
      </c>
      <c r="I896" s="12" t="inlineStr">
        <is>
          <t>LV 600 V</t>
        </is>
      </c>
      <c r="J896" s="12" t="inlineStr">
        <is>
          <t>10</t>
        </is>
      </c>
      <c r="K896" s="12" t="n">
        <v>1</v>
      </c>
    </row>
    <row r="897">
      <c r="A897" s="12" t="inlineStr">
        <is>
          <t>Absorber A (62 ft dia x 262 ft, stack to 313 ft)</t>
        </is>
      </c>
      <c r="B897" s="12" t="inlineStr">
        <is>
          <t>ABS-A</t>
        </is>
      </c>
      <c r="C897" s="12" t="inlineStr">
        <is>
          <t>G</t>
        </is>
      </c>
      <c r="D897" s="12" t="inlineStr">
        <is>
          <t>Area / platform lighting circuit 3 (6 fixtures)</t>
        </is>
      </c>
      <c r="E897" s="12" t="n">
        <v>480</v>
      </c>
      <c r="F897" s="12" t="n">
        <v>3</v>
      </c>
      <c r="G897" s="12" t="n">
        <v>5</v>
      </c>
      <c r="H897" s="12" t="inlineStr">
        <is>
          <t>CCS MV switchgear building (VFDs)</t>
        </is>
      </c>
      <c r="I897" s="12" t="inlineStr">
        <is>
          <t>LV 600 V</t>
        </is>
      </c>
      <c r="J897" s="12" t="inlineStr">
        <is>
          <t>10</t>
        </is>
      </c>
      <c r="K897" s="12" t="n">
        <v>1</v>
      </c>
    </row>
    <row r="898">
      <c r="A898" s="12" t="inlineStr">
        <is>
          <t>Absorber A (62 ft dia x 262 ft, stack to 313 ft)</t>
        </is>
      </c>
      <c r="B898" s="12" t="inlineStr">
        <is>
          <t>ABS-A</t>
        </is>
      </c>
      <c r="C898" s="12" t="inlineStr">
        <is>
          <t>G</t>
        </is>
      </c>
      <c r="D898" s="12" t="inlineStr">
        <is>
          <t>480 V welding receptacle 1</t>
        </is>
      </c>
      <c r="E898" s="12" t="n">
        <v>480</v>
      </c>
      <c r="F898" s="12" t="n">
        <v>60</v>
      </c>
      <c r="G898" s="12" t="n">
        <v>76</v>
      </c>
      <c r="H898" s="12" t="inlineStr">
        <is>
          <t>CCS MV switchgear building (VFDs)</t>
        </is>
      </c>
      <c r="I898" s="12" t="inlineStr">
        <is>
          <t>LV 600 V</t>
        </is>
      </c>
      <c r="J898" s="12" t="inlineStr">
        <is>
          <t>1/0</t>
        </is>
      </c>
      <c r="K898" s="12" t="n">
        <v>1</v>
      </c>
    </row>
    <row r="899">
      <c r="A899" s="12" t="inlineStr">
        <is>
          <t>Absorber A (62 ft dia x 262 ft, stack to 313 ft)</t>
        </is>
      </c>
      <c r="B899" s="12" t="inlineStr">
        <is>
          <t>ABS-A</t>
        </is>
      </c>
      <c r="C899" s="12" t="inlineStr">
        <is>
          <t>G</t>
        </is>
      </c>
      <c r="D899" s="12" t="inlineStr">
        <is>
          <t>480 V welding receptacle 2</t>
        </is>
      </c>
      <c r="E899" s="12" t="n">
        <v>480</v>
      </c>
      <c r="F899" s="12" t="n">
        <v>60</v>
      </c>
      <c r="G899" s="12" t="n">
        <v>76</v>
      </c>
      <c r="H899" s="12" t="inlineStr">
        <is>
          <t>CCS MV switchgear building (VFDs)</t>
        </is>
      </c>
      <c r="I899" s="12" t="inlineStr">
        <is>
          <t>LV 600 V</t>
        </is>
      </c>
      <c r="J899" s="12" t="inlineStr">
        <is>
          <t>1/0</t>
        </is>
      </c>
      <c r="K899" s="12" t="n">
        <v>1</v>
      </c>
    </row>
    <row r="900">
      <c r="A900" s="12" t="inlineStr">
        <is>
          <t>Absorber A (62 ft dia x 262 ft, stack to 313 ft)</t>
        </is>
      </c>
      <c r="B900" s="12" t="inlineStr">
        <is>
          <t>ABS-A</t>
        </is>
      </c>
      <c r="C900" s="12" t="inlineStr">
        <is>
          <t>G</t>
        </is>
      </c>
      <c r="D900" s="12" t="inlineStr">
        <is>
          <t>480 V welding receptacle 3</t>
        </is>
      </c>
      <c r="E900" s="12" t="n">
        <v>480</v>
      </c>
      <c r="F900" s="12" t="n">
        <v>60</v>
      </c>
      <c r="G900" s="12" t="n">
        <v>76</v>
      </c>
      <c r="H900" s="12" t="inlineStr">
        <is>
          <t>CCS MV switchgear building (VFDs)</t>
        </is>
      </c>
      <c r="I900" s="12" t="inlineStr">
        <is>
          <t>LV 600 V</t>
        </is>
      </c>
      <c r="J900" s="12" t="inlineStr">
        <is>
          <t>1/0</t>
        </is>
      </c>
      <c r="K900" s="12" t="n">
        <v>1</v>
      </c>
    </row>
    <row r="901">
      <c r="A901" s="12" t="inlineStr">
        <is>
          <t>Absorber A (62 ft dia x 262 ft, stack to 313 ft)</t>
        </is>
      </c>
      <c r="B901" s="12" t="inlineStr">
        <is>
          <t>ABS-A</t>
        </is>
      </c>
      <c r="C901" s="12" t="inlineStr">
        <is>
          <t>G</t>
        </is>
      </c>
      <c r="D901" s="12" t="inlineStr">
        <is>
          <t>480 V welding receptacle 4</t>
        </is>
      </c>
      <c r="E901" s="12" t="n">
        <v>480</v>
      </c>
      <c r="F901" s="12" t="n">
        <v>60</v>
      </c>
      <c r="G901" s="12" t="n">
        <v>76</v>
      </c>
      <c r="H901" s="12" t="inlineStr">
        <is>
          <t>CCS MV switchgear building (VFDs)</t>
        </is>
      </c>
      <c r="I901" s="12" t="inlineStr">
        <is>
          <t>LV 600 V</t>
        </is>
      </c>
      <c r="J901" s="12" t="inlineStr">
        <is>
          <t>1/0</t>
        </is>
      </c>
      <c r="K901" s="12" t="n">
        <v>1</v>
      </c>
    </row>
    <row r="902">
      <c r="A902" s="12" t="inlineStr">
        <is>
          <t>Absorber A intercooler (pumps + plate exchanger)</t>
        </is>
      </c>
      <c r="B902" s="12" t="inlineStr"/>
      <c r="C902" s="12" t="inlineStr">
        <is>
          <t>G</t>
        </is>
      </c>
      <c r="D902" s="12" t="inlineStr">
        <is>
          <t>Motor 1 of 2, 150 kW</t>
        </is>
      </c>
      <c r="E902" s="12" t="n">
        <v>480</v>
      </c>
      <c r="F902" s="12" t="n">
        <v>150</v>
      </c>
      <c r="G902" s="12" t="n">
        <v>212.3</v>
      </c>
      <c r="H902" s="12" t="inlineStr">
        <is>
          <t>CCS MV switchgear building (VFDs)</t>
        </is>
      </c>
      <c r="I902" s="12" t="inlineStr">
        <is>
          <t>LV 600 V</t>
        </is>
      </c>
      <c r="J902" s="12" t="inlineStr">
        <is>
          <t>350 kcmil</t>
        </is>
      </c>
      <c r="K902" s="12" t="n">
        <v>1</v>
      </c>
    </row>
    <row r="903">
      <c r="A903" s="12" t="inlineStr">
        <is>
          <t>Absorber A intercooler (pumps + plate exchanger)</t>
        </is>
      </c>
      <c r="B903" s="12" t="inlineStr"/>
      <c r="C903" s="12" t="inlineStr">
        <is>
          <t>G</t>
        </is>
      </c>
      <c r="D903" s="12" t="inlineStr">
        <is>
          <t>Motor 2 of 2, 150 kW</t>
        </is>
      </c>
      <c r="E903" s="12" t="n">
        <v>480</v>
      </c>
      <c r="F903" s="12" t="n">
        <v>150</v>
      </c>
      <c r="G903" s="12" t="n">
        <v>212.3</v>
      </c>
      <c r="H903" s="12" t="inlineStr">
        <is>
          <t>CCS MV switchgear building (VFDs)</t>
        </is>
      </c>
      <c r="I903" s="12" t="inlineStr">
        <is>
          <t>LV 600 V</t>
        </is>
      </c>
      <c r="J903" s="12" t="inlineStr">
        <is>
          <t>350 kcmil</t>
        </is>
      </c>
      <c r="K903" s="12" t="n">
        <v>1</v>
      </c>
    </row>
    <row r="904">
      <c r="A904" s="12" t="inlineStr">
        <is>
          <t>Absorber B (62 ft dia x 262 ft, stack to 313 ft)</t>
        </is>
      </c>
      <c r="B904" s="12" t="inlineStr">
        <is>
          <t>ABS-B</t>
        </is>
      </c>
      <c r="C904" s="12" t="inlineStr">
        <is>
          <t>G</t>
        </is>
      </c>
      <c r="D904" s="12" t="inlineStr">
        <is>
          <t>MOV 1: power</t>
        </is>
      </c>
      <c r="E904" s="12" t="n">
        <v>480</v>
      </c>
      <c r="F904" s="12" t="n">
        <v>2.5</v>
      </c>
      <c r="G904" s="12" t="n">
        <v>3.5</v>
      </c>
      <c r="H904" s="12" t="inlineStr">
        <is>
          <t>CCS MV switchgear building (VFDs)</t>
        </is>
      </c>
      <c r="I904" s="12" t="inlineStr">
        <is>
          <t>LV 600 V</t>
        </is>
      </c>
      <c r="J904" s="12" t="inlineStr">
        <is>
          <t>10</t>
        </is>
      </c>
      <c r="K904" s="12" t="n">
        <v>1</v>
      </c>
    </row>
    <row r="905">
      <c r="A905" s="12" t="inlineStr">
        <is>
          <t>Absorber B (62 ft dia x 262 ft, stack to 313 ft)</t>
        </is>
      </c>
      <c r="B905" s="12" t="inlineStr">
        <is>
          <t>ABS-B</t>
        </is>
      </c>
      <c r="C905" s="12" t="inlineStr">
        <is>
          <t>G</t>
        </is>
      </c>
      <c r="D905" s="12" t="inlineStr">
        <is>
          <t>MOV 2: power</t>
        </is>
      </c>
      <c r="E905" s="12" t="n">
        <v>480</v>
      </c>
      <c r="F905" s="12" t="n">
        <v>2.5</v>
      </c>
      <c r="G905" s="12" t="n">
        <v>3.5</v>
      </c>
      <c r="H905" s="12" t="inlineStr">
        <is>
          <t>CCS MV switchgear building (VFDs)</t>
        </is>
      </c>
      <c r="I905" s="12" t="inlineStr">
        <is>
          <t>LV 600 V</t>
        </is>
      </c>
      <c r="J905" s="12" t="inlineStr">
        <is>
          <t>10</t>
        </is>
      </c>
      <c r="K905" s="12" t="n">
        <v>1</v>
      </c>
    </row>
    <row r="906">
      <c r="A906" s="12" t="inlineStr">
        <is>
          <t>Absorber B (62 ft dia x 262 ft, stack to 313 ft)</t>
        </is>
      </c>
      <c r="B906" s="12" t="inlineStr">
        <is>
          <t>ABS-B</t>
        </is>
      </c>
      <c r="C906" s="12" t="inlineStr">
        <is>
          <t>G</t>
        </is>
      </c>
      <c r="D906" s="12" t="inlineStr">
        <is>
          <t>MOV 3: power</t>
        </is>
      </c>
      <c r="E906" s="12" t="n">
        <v>480</v>
      </c>
      <c r="F906" s="12" t="n">
        <v>2.5</v>
      </c>
      <c r="G906" s="12" t="n">
        <v>3.5</v>
      </c>
      <c r="H906" s="12" t="inlineStr">
        <is>
          <t>CCS MV switchgear building (VFDs)</t>
        </is>
      </c>
      <c r="I906" s="12" t="inlineStr">
        <is>
          <t>LV 600 V</t>
        </is>
      </c>
      <c r="J906" s="12" t="inlineStr">
        <is>
          <t>10</t>
        </is>
      </c>
      <c r="K906" s="12" t="n">
        <v>1</v>
      </c>
    </row>
    <row r="907">
      <c r="A907" s="12" t="inlineStr">
        <is>
          <t>Absorber B (62 ft dia x 262 ft, stack to 313 ft)</t>
        </is>
      </c>
      <c r="B907" s="12" t="inlineStr">
        <is>
          <t>ABS-B</t>
        </is>
      </c>
      <c r="C907" s="12" t="inlineStr">
        <is>
          <t>G</t>
        </is>
      </c>
      <c r="D907" s="12" t="inlineStr">
        <is>
          <t>MOV 4: power</t>
        </is>
      </c>
      <c r="E907" s="12" t="n">
        <v>480</v>
      </c>
      <c r="F907" s="12" t="n">
        <v>2.5</v>
      </c>
      <c r="G907" s="12" t="n">
        <v>3.5</v>
      </c>
      <c r="H907" s="12" t="inlineStr">
        <is>
          <t>CCS MV switchgear building (VFDs)</t>
        </is>
      </c>
      <c r="I907" s="12" t="inlineStr">
        <is>
          <t>LV 600 V</t>
        </is>
      </c>
      <c r="J907" s="12" t="inlineStr">
        <is>
          <t>10</t>
        </is>
      </c>
      <c r="K907" s="12" t="n">
        <v>1</v>
      </c>
    </row>
    <row r="908">
      <c r="A908" s="12" t="inlineStr">
        <is>
          <t>Absorber B (62 ft dia x 262 ft, stack to 313 ft)</t>
        </is>
      </c>
      <c r="B908" s="12" t="inlineStr">
        <is>
          <t>ABS-B</t>
        </is>
      </c>
      <c r="C908" s="12" t="inlineStr">
        <is>
          <t>G</t>
        </is>
      </c>
      <c r="D908" s="12" t="inlineStr">
        <is>
          <t>MOV 5: power</t>
        </is>
      </c>
      <c r="E908" s="12" t="n">
        <v>480</v>
      </c>
      <c r="F908" s="12" t="n">
        <v>2.5</v>
      </c>
      <c r="G908" s="12" t="n">
        <v>3.5</v>
      </c>
      <c r="H908" s="12" t="inlineStr">
        <is>
          <t>CCS MV switchgear building (VFDs)</t>
        </is>
      </c>
      <c r="I908" s="12" t="inlineStr">
        <is>
          <t>LV 600 V</t>
        </is>
      </c>
      <c r="J908" s="12" t="inlineStr">
        <is>
          <t>10</t>
        </is>
      </c>
      <c r="K908" s="12" t="n">
        <v>1</v>
      </c>
    </row>
    <row r="909">
      <c r="A909" s="12" t="inlineStr">
        <is>
          <t>Absorber B (62 ft dia x 262 ft, stack to 313 ft)</t>
        </is>
      </c>
      <c r="B909" s="12" t="inlineStr">
        <is>
          <t>ABS-B</t>
        </is>
      </c>
      <c r="C909" s="12" t="inlineStr">
        <is>
          <t>G</t>
        </is>
      </c>
      <c r="D909" s="12" t="inlineStr">
        <is>
          <t>MOV 6: power</t>
        </is>
      </c>
      <c r="E909" s="12" t="n">
        <v>480</v>
      </c>
      <c r="F909" s="12" t="n">
        <v>2.5</v>
      </c>
      <c r="G909" s="12" t="n">
        <v>3.5</v>
      </c>
      <c r="H909" s="12" t="inlineStr">
        <is>
          <t>CCS MV switchgear building (VFDs)</t>
        </is>
      </c>
      <c r="I909" s="12" t="inlineStr">
        <is>
          <t>LV 600 V</t>
        </is>
      </c>
      <c r="J909" s="12" t="inlineStr">
        <is>
          <t>10</t>
        </is>
      </c>
      <c r="K909" s="12" t="n">
        <v>1</v>
      </c>
    </row>
    <row r="910">
      <c r="A910" s="12" t="inlineStr">
        <is>
          <t>Absorber B (62 ft dia x 262 ft, stack to 313 ft)</t>
        </is>
      </c>
      <c r="B910" s="12" t="inlineStr">
        <is>
          <t>ABS-B</t>
        </is>
      </c>
      <c r="C910" s="12" t="inlineStr">
        <is>
          <t>G</t>
        </is>
      </c>
      <c r="D910" s="12" t="inlineStr">
        <is>
          <t>MOV 7: power</t>
        </is>
      </c>
      <c r="E910" s="12" t="n">
        <v>480</v>
      </c>
      <c r="F910" s="12" t="n">
        <v>2.5</v>
      </c>
      <c r="G910" s="12" t="n">
        <v>3.5</v>
      </c>
      <c r="H910" s="12" t="inlineStr">
        <is>
          <t>CCS MV switchgear building (VFDs)</t>
        </is>
      </c>
      <c r="I910" s="12" t="inlineStr">
        <is>
          <t>LV 600 V</t>
        </is>
      </c>
      <c r="J910" s="12" t="inlineStr">
        <is>
          <t>10</t>
        </is>
      </c>
      <c r="K910" s="12" t="n">
        <v>1</v>
      </c>
    </row>
    <row r="911">
      <c r="A911" s="12" t="inlineStr">
        <is>
          <t>Absorber B (62 ft dia x 262 ft, stack to 313 ft)</t>
        </is>
      </c>
      <c r="B911" s="12" t="inlineStr">
        <is>
          <t>ABS-B</t>
        </is>
      </c>
      <c r="C911" s="12" t="inlineStr">
        <is>
          <t>G</t>
        </is>
      </c>
      <c r="D911" s="12" t="inlineStr">
        <is>
          <t>MOV 8: power</t>
        </is>
      </c>
      <c r="E911" s="12" t="n">
        <v>480</v>
      </c>
      <c r="F911" s="12" t="n">
        <v>2.5</v>
      </c>
      <c r="G911" s="12" t="n">
        <v>3.5</v>
      </c>
      <c r="H911" s="12" t="inlineStr">
        <is>
          <t>CCS MV switchgear building (VFDs)</t>
        </is>
      </c>
      <c r="I911" s="12" t="inlineStr">
        <is>
          <t>LV 600 V</t>
        </is>
      </c>
      <c r="J911" s="12" t="inlineStr">
        <is>
          <t>10</t>
        </is>
      </c>
      <c r="K911" s="12" t="n">
        <v>1</v>
      </c>
    </row>
    <row r="912">
      <c r="A912" s="12" t="inlineStr">
        <is>
          <t>Absorber B (62 ft dia x 262 ft, stack to 313 ft)</t>
        </is>
      </c>
      <c r="B912" s="12" t="inlineStr">
        <is>
          <t>ABS-B</t>
        </is>
      </c>
      <c r="C912" s="12" t="inlineStr">
        <is>
          <t>G</t>
        </is>
      </c>
      <c r="D912" s="12" t="inlineStr">
        <is>
          <t>MOV 9: power</t>
        </is>
      </c>
      <c r="E912" s="12" t="n">
        <v>480</v>
      </c>
      <c r="F912" s="12" t="n">
        <v>2.5</v>
      </c>
      <c r="G912" s="12" t="n">
        <v>3.5</v>
      </c>
      <c r="H912" s="12" t="inlineStr">
        <is>
          <t>CCS MV switchgear building (VFDs)</t>
        </is>
      </c>
      <c r="I912" s="12" t="inlineStr">
        <is>
          <t>LV 600 V</t>
        </is>
      </c>
      <c r="J912" s="12" t="inlineStr">
        <is>
          <t>10</t>
        </is>
      </c>
      <c r="K912" s="12" t="n">
        <v>1</v>
      </c>
    </row>
    <row r="913">
      <c r="A913" s="12" t="inlineStr">
        <is>
          <t>Absorber B (62 ft dia x 262 ft, stack to 313 ft)</t>
        </is>
      </c>
      <c r="B913" s="12" t="inlineStr">
        <is>
          <t>ABS-B</t>
        </is>
      </c>
      <c r="C913" s="12" t="inlineStr">
        <is>
          <t>G</t>
        </is>
      </c>
      <c r="D913" s="12" t="inlineStr">
        <is>
          <t>MOV 10: power</t>
        </is>
      </c>
      <c r="E913" s="12" t="n">
        <v>480</v>
      </c>
      <c r="F913" s="12" t="n">
        <v>2.5</v>
      </c>
      <c r="G913" s="12" t="n">
        <v>3.5</v>
      </c>
      <c r="H913" s="12" t="inlineStr">
        <is>
          <t>CCS MV switchgear building (VFDs)</t>
        </is>
      </c>
      <c r="I913" s="12" t="inlineStr">
        <is>
          <t>LV 600 V</t>
        </is>
      </c>
      <c r="J913" s="12" t="inlineStr">
        <is>
          <t>10</t>
        </is>
      </c>
      <c r="K913" s="12" t="n">
        <v>1</v>
      </c>
    </row>
    <row r="914">
      <c r="A914" s="12" t="inlineStr">
        <is>
          <t>Absorber B (62 ft dia x 262 ft, stack to 313 ft)</t>
        </is>
      </c>
      <c r="B914" s="12" t="inlineStr">
        <is>
          <t>ABS-B</t>
        </is>
      </c>
      <c r="C914" s="12" t="inlineStr">
        <is>
          <t>G</t>
        </is>
      </c>
      <c r="D914" s="12" t="inlineStr">
        <is>
          <t>LV power feeder</t>
        </is>
      </c>
      <c r="E914" s="12" t="n">
        <v>480</v>
      </c>
      <c r="F914" s="12" t="n">
        <v>40</v>
      </c>
      <c r="G914" s="12" t="n">
        <v>56.6</v>
      </c>
      <c r="H914" s="12" t="inlineStr">
        <is>
          <t>CCS MV switchgear building (VFDs)</t>
        </is>
      </c>
      <c r="I914" s="12" t="inlineStr">
        <is>
          <t>LV 600 V</t>
        </is>
      </c>
      <c r="J914" s="12" t="inlineStr">
        <is>
          <t>2</t>
        </is>
      </c>
      <c r="K914" s="12" t="n">
        <v>1</v>
      </c>
    </row>
    <row r="915">
      <c r="A915" s="12" t="inlineStr">
        <is>
          <t>Absorber B (62 ft dia x 262 ft, stack to 313 ft)</t>
        </is>
      </c>
      <c r="B915" s="12" t="inlineStr">
        <is>
          <t>ABS-B</t>
        </is>
      </c>
      <c r="C915" s="12" t="inlineStr">
        <is>
          <t>G</t>
        </is>
      </c>
      <c r="D915" s="12" t="inlineStr">
        <is>
          <t>Area / platform lighting circuit 1 (12 fixtures)</t>
        </is>
      </c>
      <c r="E915" s="12" t="n">
        <v>480</v>
      </c>
      <c r="F915" s="12" t="n">
        <v>3</v>
      </c>
      <c r="G915" s="12" t="n">
        <v>5</v>
      </c>
      <c r="H915" s="12" t="inlineStr">
        <is>
          <t>CCS MV switchgear building (VFDs)</t>
        </is>
      </c>
      <c r="I915" s="12" t="inlineStr">
        <is>
          <t>LV 600 V</t>
        </is>
      </c>
      <c r="J915" s="12" t="inlineStr">
        <is>
          <t>10</t>
        </is>
      </c>
      <c r="K915" s="12" t="n">
        <v>1</v>
      </c>
    </row>
    <row r="916">
      <c r="A916" s="12" t="inlineStr">
        <is>
          <t>Absorber B (62 ft dia x 262 ft, stack to 313 ft)</t>
        </is>
      </c>
      <c r="B916" s="12" t="inlineStr">
        <is>
          <t>ABS-B</t>
        </is>
      </c>
      <c r="C916" s="12" t="inlineStr">
        <is>
          <t>G</t>
        </is>
      </c>
      <c r="D916" s="12" t="inlineStr">
        <is>
          <t>Area / platform lighting circuit 2 (12 fixtures)</t>
        </is>
      </c>
      <c r="E916" s="12" t="n">
        <v>480</v>
      </c>
      <c r="F916" s="12" t="n">
        <v>3</v>
      </c>
      <c r="G916" s="12" t="n">
        <v>5</v>
      </c>
      <c r="H916" s="12" t="inlineStr">
        <is>
          <t>CCS MV switchgear building (VFDs)</t>
        </is>
      </c>
      <c r="I916" s="12" t="inlineStr">
        <is>
          <t>LV 600 V</t>
        </is>
      </c>
      <c r="J916" s="12" t="inlineStr">
        <is>
          <t>10</t>
        </is>
      </c>
      <c r="K916" s="12" t="n">
        <v>1</v>
      </c>
    </row>
    <row r="917">
      <c r="A917" s="12" t="inlineStr">
        <is>
          <t>Absorber B (62 ft dia x 262 ft, stack to 313 ft)</t>
        </is>
      </c>
      <c r="B917" s="12" t="inlineStr">
        <is>
          <t>ABS-B</t>
        </is>
      </c>
      <c r="C917" s="12" t="inlineStr">
        <is>
          <t>G</t>
        </is>
      </c>
      <c r="D917" s="12" t="inlineStr">
        <is>
          <t>Area / platform lighting circuit 3 (6 fixtures)</t>
        </is>
      </c>
      <c r="E917" s="12" t="n">
        <v>480</v>
      </c>
      <c r="F917" s="12" t="n">
        <v>3</v>
      </c>
      <c r="G917" s="12" t="n">
        <v>5</v>
      </c>
      <c r="H917" s="12" t="inlineStr">
        <is>
          <t>CCS MV switchgear building (VFDs)</t>
        </is>
      </c>
      <c r="I917" s="12" t="inlineStr">
        <is>
          <t>LV 600 V</t>
        </is>
      </c>
      <c r="J917" s="12" t="inlineStr">
        <is>
          <t>10</t>
        </is>
      </c>
      <c r="K917" s="12" t="n">
        <v>1</v>
      </c>
    </row>
    <row r="918">
      <c r="A918" s="12" t="inlineStr">
        <is>
          <t>Absorber B (62 ft dia x 262 ft, stack to 313 ft)</t>
        </is>
      </c>
      <c r="B918" s="12" t="inlineStr">
        <is>
          <t>ABS-B</t>
        </is>
      </c>
      <c r="C918" s="12" t="inlineStr">
        <is>
          <t>G</t>
        </is>
      </c>
      <c r="D918" s="12" t="inlineStr">
        <is>
          <t>480 V welding receptacle 1</t>
        </is>
      </c>
      <c r="E918" s="12" t="n">
        <v>480</v>
      </c>
      <c r="F918" s="12" t="n">
        <v>60</v>
      </c>
      <c r="G918" s="12" t="n">
        <v>76</v>
      </c>
      <c r="H918" s="12" t="inlineStr">
        <is>
          <t>CCS MV switchgear building (VFDs)</t>
        </is>
      </c>
      <c r="I918" s="12" t="inlineStr">
        <is>
          <t>LV 600 V</t>
        </is>
      </c>
      <c r="J918" s="12" t="inlineStr">
        <is>
          <t>2</t>
        </is>
      </c>
      <c r="K918" s="12" t="n">
        <v>1</v>
      </c>
    </row>
    <row r="919">
      <c r="A919" s="12" t="inlineStr">
        <is>
          <t>Absorber B (62 ft dia x 262 ft, stack to 313 ft)</t>
        </is>
      </c>
      <c r="B919" s="12" t="inlineStr">
        <is>
          <t>ABS-B</t>
        </is>
      </c>
      <c r="C919" s="12" t="inlineStr">
        <is>
          <t>G</t>
        </is>
      </c>
      <c r="D919" s="12" t="inlineStr">
        <is>
          <t>480 V welding receptacle 2</t>
        </is>
      </c>
      <c r="E919" s="12" t="n">
        <v>480</v>
      </c>
      <c r="F919" s="12" t="n">
        <v>60</v>
      </c>
      <c r="G919" s="12" t="n">
        <v>76</v>
      </c>
      <c r="H919" s="12" t="inlineStr">
        <is>
          <t>CCS MV switchgear building (VFDs)</t>
        </is>
      </c>
      <c r="I919" s="12" t="inlineStr">
        <is>
          <t>LV 600 V</t>
        </is>
      </c>
      <c r="J919" s="12" t="inlineStr">
        <is>
          <t>2</t>
        </is>
      </c>
      <c r="K919" s="12" t="n">
        <v>1</v>
      </c>
    </row>
    <row r="920">
      <c r="A920" s="12" t="inlineStr">
        <is>
          <t>Absorber B (62 ft dia x 262 ft, stack to 313 ft)</t>
        </is>
      </c>
      <c r="B920" s="12" t="inlineStr">
        <is>
          <t>ABS-B</t>
        </is>
      </c>
      <c r="C920" s="12" t="inlineStr">
        <is>
          <t>G</t>
        </is>
      </c>
      <c r="D920" s="12" t="inlineStr">
        <is>
          <t>480 V welding receptacle 3</t>
        </is>
      </c>
      <c r="E920" s="12" t="n">
        <v>480</v>
      </c>
      <c r="F920" s="12" t="n">
        <v>60</v>
      </c>
      <c r="G920" s="12" t="n">
        <v>76</v>
      </c>
      <c r="H920" s="12" t="inlineStr">
        <is>
          <t>CCS MV switchgear building (VFDs)</t>
        </is>
      </c>
      <c r="I920" s="12" t="inlineStr">
        <is>
          <t>LV 600 V</t>
        </is>
      </c>
      <c r="J920" s="12" t="inlineStr">
        <is>
          <t>2</t>
        </is>
      </c>
      <c r="K920" s="12" t="n">
        <v>1</v>
      </c>
    </row>
    <row r="921">
      <c r="A921" s="12" t="inlineStr">
        <is>
          <t>Absorber B (62 ft dia x 262 ft, stack to 313 ft)</t>
        </is>
      </c>
      <c r="B921" s="12" t="inlineStr">
        <is>
          <t>ABS-B</t>
        </is>
      </c>
      <c r="C921" s="12" t="inlineStr">
        <is>
          <t>G</t>
        </is>
      </c>
      <c r="D921" s="12" t="inlineStr">
        <is>
          <t>480 V welding receptacle 4</t>
        </is>
      </c>
      <c r="E921" s="12" t="n">
        <v>480</v>
      </c>
      <c r="F921" s="12" t="n">
        <v>60</v>
      </c>
      <c r="G921" s="12" t="n">
        <v>76</v>
      </c>
      <c r="H921" s="12" t="inlineStr">
        <is>
          <t>CCS MV switchgear building (VFDs)</t>
        </is>
      </c>
      <c r="I921" s="12" t="inlineStr">
        <is>
          <t>LV 600 V</t>
        </is>
      </c>
      <c r="J921" s="12" t="inlineStr">
        <is>
          <t>2</t>
        </is>
      </c>
      <c r="K921" s="12" t="n">
        <v>1</v>
      </c>
    </row>
    <row r="922">
      <c r="A922" s="12" t="inlineStr">
        <is>
          <t>Absorber B intercooler (pumps + plate exchanger)</t>
        </is>
      </c>
      <c r="B922" s="12" t="inlineStr"/>
      <c r="C922" s="12" t="inlineStr">
        <is>
          <t>G</t>
        </is>
      </c>
      <c r="D922" s="12" t="inlineStr">
        <is>
          <t>Motor 1 of 2, 150 kW</t>
        </is>
      </c>
      <c r="E922" s="12" t="n">
        <v>480</v>
      </c>
      <c r="F922" s="12" t="n">
        <v>150</v>
      </c>
      <c r="G922" s="12" t="n">
        <v>212.3</v>
      </c>
      <c r="H922" s="12" t="inlineStr">
        <is>
          <t>CCS MV switchgear building (VFDs)</t>
        </is>
      </c>
      <c r="I922" s="12" t="inlineStr">
        <is>
          <t>LV 600 V</t>
        </is>
      </c>
      <c r="J922" s="12" t="inlineStr">
        <is>
          <t>350 kcmil</t>
        </is>
      </c>
      <c r="K922" s="12" t="n">
        <v>1</v>
      </c>
    </row>
    <row r="923">
      <c r="A923" s="12" t="inlineStr">
        <is>
          <t>Absorber B intercooler (pumps + plate exchanger)</t>
        </is>
      </c>
      <c r="B923" s="12" t="inlineStr"/>
      <c r="C923" s="12" t="inlineStr">
        <is>
          <t>G</t>
        </is>
      </c>
      <c r="D923" s="12" t="inlineStr">
        <is>
          <t>Motor 2 of 2, 150 kW</t>
        </is>
      </c>
      <c r="E923" s="12" t="n">
        <v>480</v>
      </c>
      <c r="F923" s="12" t="n">
        <v>150</v>
      </c>
      <c r="G923" s="12" t="n">
        <v>212.3</v>
      </c>
      <c r="H923" s="12" t="inlineStr">
        <is>
          <t>CCS MV switchgear building (VFDs)</t>
        </is>
      </c>
      <c r="I923" s="12" t="inlineStr">
        <is>
          <t>LV 600 V</t>
        </is>
      </c>
      <c r="J923" s="12" t="inlineStr">
        <is>
          <t>350 kcmil</t>
        </is>
      </c>
      <c r="K923" s="12" t="n">
        <v>1</v>
      </c>
    </row>
    <row r="924">
      <c r="A924" s="12" t="inlineStr">
        <is>
          <t>Absorber C (62 ft dia x 262 ft, stack to 313 ft)</t>
        </is>
      </c>
      <c r="B924" s="12" t="inlineStr">
        <is>
          <t>ABS-C</t>
        </is>
      </c>
      <c r="C924" s="12" t="inlineStr">
        <is>
          <t>G</t>
        </is>
      </c>
      <c r="D924" s="12" t="inlineStr">
        <is>
          <t>MOV 1: power</t>
        </is>
      </c>
      <c r="E924" s="12" t="n">
        <v>480</v>
      </c>
      <c r="F924" s="12" t="n">
        <v>2.5</v>
      </c>
      <c r="G924" s="12" t="n">
        <v>3.5</v>
      </c>
      <c r="H924" s="12" t="inlineStr">
        <is>
          <t>CCS MV switchgear building (VFDs)</t>
        </is>
      </c>
      <c r="I924" s="12" t="inlineStr">
        <is>
          <t>LV 600 V</t>
        </is>
      </c>
      <c r="J924" s="12" t="inlineStr">
        <is>
          <t>10</t>
        </is>
      </c>
      <c r="K924" s="12" t="n">
        <v>1</v>
      </c>
    </row>
    <row r="925">
      <c r="A925" s="12" t="inlineStr">
        <is>
          <t>Absorber C (62 ft dia x 262 ft, stack to 313 ft)</t>
        </is>
      </c>
      <c r="B925" s="12" t="inlineStr">
        <is>
          <t>ABS-C</t>
        </is>
      </c>
      <c r="C925" s="12" t="inlineStr">
        <is>
          <t>G</t>
        </is>
      </c>
      <c r="D925" s="12" t="inlineStr">
        <is>
          <t>MOV 2: power</t>
        </is>
      </c>
      <c r="E925" s="12" t="n">
        <v>480</v>
      </c>
      <c r="F925" s="12" t="n">
        <v>2.5</v>
      </c>
      <c r="G925" s="12" t="n">
        <v>3.5</v>
      </c>
      <c r="H925" s="12" t="inlineStr">
        <is>
          <t>CCS MV switchgear building (VFDs)</t>
        </is>
      </c>
      <c r="I925" s="12" t="inlineStr">
        <is>
          <t>LV 600 V</t>
        </is>
      </c>
      <c r="J925" s="12" t="inlineStr">
        <is>
          <t>10</t>
        </is>
      </c>
      <c r="K925" s="12" t="n">
        <v>1</v>
      </c>
    </row>
    <row r="926">
      <c r="A926" s="12" t="inlineStr">
        <is>
          <t>Absorber C (62 ft dia x 262 ft, stack to 313 ft)</t>
        </is>
      </c>
      <c r="B926" s="12" t="inlineStr">
        <is>
          <t>ABS-C</t>
        </is>
      </c>
      <c r="C926" s="12" t="inlineStr">
        <is>
          <t>G</t>
        </is>
      </c>
      <c r="D926" s="12" t="inlineStr">
        <is>
          <t>MOV 3: power</t>
        </is>
      </c>
      <c r="E926" s="12" t="n">
        <v>480</v>
      </c>
      <c r="F926" s="12" t="n">
        <v>2.5</v>
      </c>
      <c r="G926" s="12" t="n">
        <v>3.5</v>
      </c>
      <c r="H926" s="12" t="inlineStr">
        <is>
          <t>CCS MV switchgear building (VFDs)</t>
        </is>
      </c>
      <c r="I926" s="12" t="inlineStr">
        <is>
          <t>LV 600 V</t>
        </is>
      </c>
      <c r="J926" s="12" t="inlineStr">
        <is>
          <t>10</t>
        </is>
      </c>
      <c r="K926" s="12" t="n">
        <v>1</v>
      </c>
    </row>
    <row r="927">
      <c r="A927" s="12" t="inlineStr">
        <is>
          <t>Absorber C (62 ft dia x 262 ft, stack to 313 ft)</t>
        </is>
      </c>
      <c r="B927" s="12" t="inlineStr">
        <is>
          <t>ABS-C</t>
        </is>
      </c>
      <c r="C927" s="12" t="inlineStr">
        <is>
          <t>G</t>
        </is>
      </c>
      <c r="D927" s="12" t="inlineStr">
        <is>
          <t>MOV 4: power</t>
        </is>
      </c>
      <c r="E927" s="12" t="n">
        <v>480</v>
      </c>
      <c r="F927" s="12" t="n">
        <v>2.5</v>
      </c>
      <c r="G927" s="12" t="n">
        <v>3.5</v>
      </c>
      <c r="H927" s="12" t="inlineStr">
        <is>
          <t>CCS MV switchgear building (VFDs)</t>
        </is>
      </c>
      <c r="I927" s="12" t="inlineStr">
        <is>
          <t>LV 600 V</t>
        </is>
      </c>
      <c r="J927" s="12" t="inlineStr">
        <is>
          <t>10</t>
        </is>
      </c>
      <c r="K927" s="12" t="n">
        <v>1</v>
      </c>
    </row>
    <row r="928">
      <c r="A928" s="12" t="inlineStr">
        <is>
          <t>Absorber C (62 ft dia x 262 ft, stack to 313 ft)</t>
        </is>
      </c>
      <c r="B928" s="12" t="inlineStr">
        <is>
          <t>ABS-C</t>
        </is>
      </c>
      <c r="C928" s="12" t="inlineStr">
        <is>
          <t>G</t>
        </is>
      </c>
      <c r="D928" s="12" t="inlineStr">
        <is>
          <t>MOV 5: power</t>
        </is>
      </c>
      <c r="E928" s="12" t="n">
        <v>480</v>
      </c>
      <c r="F928" s="12" t="n">
        <v>2.5</v>
      </c>
      <c r="G928" s="12" t="n">
        <v>3.5</v>
      </c>
      <c r="H928" s="12" t="inlineStr">
        <is>
          <t>CCS MV switchgear building (VFDs)</t>
        </is>
      </c>
      <c r="I928" s="12" t="inlineStr">
        <is>
          <t>LV 600 V</t>
        </is>
      </c>
      <c r="J928" s="12" t="inlineStr">
        <is>
          <t>10</t>
        </is>
      </c>
      <c r="K928" s="12" t="n">
        <v>1</v>
      </c>
    </row>
    <row r="929">
      <c r="A929" s="12" t="inlineStr">
        <is>
          <t>Absorber C (62 ft dia x 262 ft, stack to 313 ft)</t>
        </is>
      </c>
      <c r="B929" s="12" t="inlineStr">
        <is>
          <t>ABS-C</t>
        </is>
      </c>
      <c r="C929" s="12" t="inlineStr">
        <is>
          <t>G</t>
        </is>
      </c>
      <c r="D929" s="12" t="inlineStr">
        <is>
          <t>MOV 6: power</t>
        </is>
      </c>
      <c r="E929" s="12" t="n">
        <v>480</v>
      </c>
      <c r="F929" s="12" t="n">
        <v>2.5</v>
      </c>
      <c r="G929" s="12" t="n">
        <v>3.5</v>
      </c>
      <c r="H929" s="12" t="inlineStr">
        <is>
          <t>CCS MV switchgear building (VFDs)</t>
        </is>
      </c>
      <c r="I929" s="12" t="inlineStr">
        <is>
          <t>LV 600 V</t>
        </is>
      </c>
      <c r="J929" s="12" t="inlineStr">
        <is>
          <t>10</t>
        </is>
      </c>
      <c r="K929" s="12" t="n">
        <v>1</v>
      </c>
    </row>
    <row r="930">
      <c r="A930" s="12" t="inlineStr">
        <is>
          <t>Absorber C (62 ft dia x 262 ft, stack to 313 ft)</t>
        </is>
      </c>
      <c r="B930" s="12" t="inlineStr">
        <is>
          <t>ABS-C</t>
        </is>
      </c>
      <c r="C930" s="12" t="inlineStr">
        <is>
          <t>G</t>
        </is>
      </c>
      <c r="D930" s="12" t="inlineStr">
        <is>
          <t>MOV 7: power</t>
        </is>
      </c>
      <c r="E930" s="12" t="n">
        <v>480</v>
      </c>
      <c r="F930" s="12" t="n">
        <v>2.5</v>
      </c>
      <c r="G930" s="12" t="n">
        <v>3.5</v>
      </c>
      <c r="H930" s="12" t="inlineStr">
        <is>
          <t>CCS MV switchgear building (VFDs)</t>
        </is>
      </c>
      <c r="I930" s="12" t="inlineStr">
        <is>
          <t>LV 600 V</t>
        </is>
      </c>
      <c r="J930" s="12" t="inlineStr">
        <is>
          <t>10</t>
        </is>
      </c>
      <c r="K930" s="12" t="n">
        <v>1</v>
      </c>
    </row>
    <row r="931">
      <c r="A931" s="12" t="inlineStr">
        <is>
          <t>Absorber C (62 ft dia x 262 ft, stack to 313 ft)</t>
        </is>
      </c>
      <c r="B931" s="12" t="inlineStr">
        <is>
          <t>ABS-C</t>
        </is>
      </c>
      <c r="C931" s="12" t="inlineStr">
        <is>
          <t>G</t>
        </is>
      </c>
      <c r="D931" s="12" t="inlineStr">
        <is>
          <t>MOV 8: power</t>
        </is>
      </c>
      <c r="E931" s="12" t="n">
        <v>480</v>
      </c>
      <c r="F931" s="12" t="n">
        <v>2.5</v>
      </c>
      <c r="G931" s="12" t="n">
        <v>3.5</v>
      </c>
      <c r="H931" s="12" t="inlineStr">
        <is>
          <t>CCS MV switchgear building (VFDs)</t>
        </is>
      </c>
      <c r="I931" s="12" t="inlineStr">
        <is>
          <t>LV 600 V</t>
        </is>
      </c>
      <c r="J931" s="12" t="inlineStr">
        <is>
          <t>10</t>
        </is>
      </c>
      <c r="K931" s="12" t="n">
        <v>1</v>
      </c>
    </row>
    <row r="932">
      <c r="A932" s="12" t="inlineStr">
        <is>
          <t>Absorber C (62 ft dia x 262 ft, stack to 313 ft)</t>
        </is>
      </c>
      <c r="B932" s="12" t="inlineStr">
        <is>
          <t>ABS-C</t>
        </is>
      </c>
      <c r="C932" s="12" t="inlineStr">
        <is>
          <t>G</t>
        </is>
      </c>
      <c r="D932" s="12" t="inlineStr">
        <is>
          <t>MOV 9: power</t>
        </is>
      </c>
      <c r="E932" s="12" t="n">
        <v>480</v>
      </c>
      <c r="F932" s="12" t="n">
        <v>2.5</v>
      </c>
      <c r="G932" s="12" t="n">
        <v>3.5</v>
      </c>
      <c r="H932" s="12" t="inlineStr">
        <is>
          <t>CCS MV switchgear building (VFDs)</t>
        </is>
      </c>
      <c r="I932" s="12" t="inlineStr">
        <is>
          <t>LV 600 V</t>
        </is>
      </c>
      <c r="J932" s="12" t="inlineStr">
        <is>
          <t>10</t>
        </is>
      </c>
      <c r="K932" s="12" t="n">
        <v>1</v>
      </c>
    </row>
    <row r="933">
      <c r="A933" s="12" t="inlineStr">
        <is>
          <t>Absorber C (62 ft dia x 262 ft, stack to 313 ft)</t>
        </is>
      </c>
      <c r="B933" s="12" t="inlineStr">
        <is>
          <t>ABS-C</t>
        </is>
      </c>
      <c r="C933" s="12" t="inlineStr">
        <is>
          <t>G</t>
        </is>
      </c>
      <c r="D933" s="12" t="inlineStr">
        <is>
          <t>MOV 10: power</t>
        </is>
      </c>
      <c r="E933" s="12" t="n">
        <v>480</v>
      </c>
      <c r="F933" s="12" t="n">
        <v>2.5</v>
      </c>
      <c r="G933" s="12" t="n">
        <v>3.5</v>
      </c>
      <c r="H933" s="12" t="inlineStr">
        <is>
          <t>CCS MV switchgear building (VFDs)</t>
        </is>
      </c>
      <c r="I933" s="12" t="inlineStr">
        <is>
          <t>LV 600 V</t>
        </is>
      </c>
      <c r="J933" s="12" t="inlineStr">
        <is>
          <t>10</t>
        </is>
      </c>
      <c r="K933" s="12" t="n">
        <v>1</v>
      </c>
    </row>
    <row r="934">
      <c r="A934" s="12" t="inlineStr">
        <is>
          <t>Absorber C (62 ft dia x 262 ft, stack to 313 ft)</t>
        </is>
      </c>
      <c r="B934" s="12" t="inlineStr">
        <is>
          <t>ABS-C</t>
        </is>
      </c>
      <c r="C934" s="12" t="inlineStr">
        <is>
          <t>G</t>
        </is>
      </c>
      <c r="D934" s="12" t="inlineStr">
        <is>
          <t>LV power feeder</t>
        </is>
      </c>
      <c r="E934" s="12" t="n">
        <v>480</v>
      </c>
      <c r="F934" s="12" t="n">
        <v>40</v>
      </c>
      <c r="G934" s="12" t="n">
        <v>56.6</v>
      </c>
      <c r="H934" s="12" t="inlineStr">
        <is>
          <t>CCS MV switchgear building (VFDs)</t>
        </is>
      </c>
      <c r="I934" s="12" t="inlineStr">
        <is>
          <t>LV 600 V</t>
        </is>
      </c>
      <c r="J934" s="12" t="inlineStr">
        <is>
          <t>4</t>
        </is>
      </c>
      <c r="K934" s="12" t="n">
        <v>1</v>
      </c>
    </row>
    <row r="935">
      <c r="A935" s="12" t="inlineStr">
        <is>
          <t>Absorber C (62 ft dia x 262 ft, stack to 313 ft)</t>
        </is>
      </c>
      <c r="B935" s="12" t="inlineStr">
        <is>
          <t>ABS-C</t>
        </is>
      </c>
      <c r="C935" s="12" t="inlineStr">
        <is>
          <t>G</t>
        </is>
      </c>
      <c r="D935" s="12" t="inlineStr">
        <is>
          <t>Area / platform lighting circuit 1 (12 fixtures)</t>
        </is>
      </c>
      <c r="E935" s="12" t="n">
        <v>480</v>
      </c>
      <c r="F935" s="12" t="n">
        <v>3</v>
      </c>
      <c r="G935" s="12" t="n">
        <v>5</v>
      </c>
      <c r="H935" s="12" t="inlineStr">
        <is>
          <t>CCS MV switchgear building (VFDs)</t>
        </is>
      </c>
      <c r="I935" s="12" t="inlineStr">
        <is>
          <t>LV 600 V</t>
        </is>
      </c>
      <c r="J935" s="12" t="inlineStr">
        <is>
          <t>10</t>
        </is>
      </c>
      <c r="K935" s="12" t="n">
        <v>1</v>
      </c>
    </row>
    <row r="936">
      <c r="A936" s="12" t="inlineStr">
        <is>
          <t>Absorber C (62 ft dia x 262 ft, stack to 313 ft)</t>
        </is>
      </c>
      <c r="B936" s="12" t="inlineStr">
        <is>
          <t>ABS-C</t>
        </is>
      </c>
      <c r="C936" s="12" t="inlineStr">
        <is>
          <t>G</t>
        </is>
      </c>
      <c r="D936" s="12" t="inlineStr">
        <is>
          <t>Area / platform lighting circuit 2 (12 fixtures)</t>
        </is>
      </c>
      <c r="E936" s="12" t="n">
        <v>480</v>
      </c>
      <c r="F936" s="12" t="n">
        <v>3</v>
      </c>
      <c r="G936" s="12" t="n">
        <v>5</v>
      </c>
      <c r="H936" s="12" t="inlineStr">
        <is>
          <t>CCS MV switchgear building (VFDs)</t>
        </is>
      </c>
      <c r="I936" s="12" t="inlineStr">
        <is>
          <t>LV 600 V</t>
        </is>
      </c>
      <c r="J936" s="12" t="inlineStr">
        <is>
          <t>10</t>
        </is>
      </c>
      <c r="K936" s="12" t="n">
        <v>1</v>
      </c>
    </row>
    <row r="937">
      <c r="A937" s="12" t="inlineStr">
        <is>
          <t>Absorber C (62 ft dia x 262 ft, stack to 313 ft)</t>
        </is>
      </c>
      <c r="B937" s="12" t="inlineStr">
        <is>
          <t>ABS-C</t>
        </is>
      </c>
      <c r="C937" s="12" t="inlineStr">
        <is>
          <t>G</t>
        </is>
      </c>
      <c r="D937" s="12" t="inlineStr">
        <is>
          <t>Area / platform lighting circuit 3 (6 fixtures)</t>
        </is>
      </c>
      <c r="E937" s="12" t="n">
        <v>480</v>
      </c>
      <c r="F937" s="12" t="n">
        <v>3</v>
      </c>
      <c r="G937" s="12" t="n">
        <v>5</v>
      </c>
      <c r="H937" s="12" t="inlineStr">
        <is>
          <t>CCS MV switchgear building (VFDs)</t>
        </is>
      </c>
      <c r="I937" s="12" t="inlineStr">
        <is>
          <t>LV 600 V</t>
        </is>
      </c>
      <c r="J937" s="12" t="inlineStr">
        <is>
          <t>10</t>
        </is>
      </c>
      <c r="K937" s="12" t="n">
        <v>1</v>
      </c>
    </row>
    <row r="938">
      <c r="A938" s="12" t="inlineStr">
        <is>
          <t>Absorber C (62 ft dia x 262 ft, stack to 313 ft)</t>
        </is>
      </c>
      <c r="B938" s="12" t="inlineStr">
        <is>
          <t>ABS-C</t>
        </is>
      </c>
      <c r="C938" s="12" t="inlineStr">
        <is>
          <t>G</t>
        </is>
      </c>
      <c r="D938" s="12" t="inlineStr">
        <is>
          <t>480 V welding receptacle 1</t>
        </is>
      </c>
      <c r="E938" s="12" t="n">
        <v>480</v>
      </c>
      <c r="F938" s="12" t="n">
        <v>60</v>
      </c>
      <c r="G938" s="12" t="n">
        <v>76</v>
      </c>
      <c r="H938" s="12" t="inlineStr">
        <is>
          <t>CCS MV switchgear building (VFDs)</t>
        </is>
      </c>
      <c r="I938" s="12" t="inlineStr">
        <is>
          <t>LV 600 V</t>
        </is>
      </c>
      <c r="J938" s="12" t="inlineStr">
        <is>
          <t>2</t>
        </is>
      </c>
      <c r="K938" s="12" t="n">
        <v>1</v>
      </c>
    </row>
    <row r="939">
      <c r="A939" s="12" t="inlineStr">
        <is>
          <t>Absorber C (62 ft dia x 262 ft, stack to 313 ft)</t>
        </is>
      </c>
      <c r="B939" s="12" t="inlineStr">
        <is>
          <t>ABS-C</t>
        </is>
      </c>
      <c r="C939" s="12" t="inlineStr">
        <is>
          <t>G</t>
        </is>
      </c>
      <c r="D939" s="12" t="inlineStr">
        <is>
          <t>480 V welding receptacle 2</t>
        </is>
      </c>
      <c r="E939" s="12" t="n">
        <v>480</v>
      </c>
      <c r="F939" s="12" t="n">
        <v>60</v>
      </c>
      <c r="G939" s="12" t="n">
        <v>76</v>
      </c>
      <c r="H939" s="12" t="inlineStr">
        <is>
          <t>CCS MV switchgear building (VFDs)</t>
        </is>
      </c>
      <c r="I939" s="12" t="inlineStr">
        <is>
          <t>LV 600 V</t>
        </is>
      </c>
      <c r="J939" s="12" t="inlineStr">
        <is>
          <t>2</t>
        </is>
      </c>
      <c r="K939" s="12" t="n">
        <v>1</v>
      </c>
    </row>
    <row r="940">
      <c r="A940" s="12" t="inlineStr">
        <is>
          <t>Absorber C (62 ft dia x 262 ft, stack to 313 ft)</t>
        </is>
      </c>
      <c r="B940" s="12" t="inlineStr">
        <is>
          <t>ABS-C</t>
        </is>
      </c>
      <c r="C940" s="12" t="inlineStr">
        <is>
          <t>G</t>
        </is>
      </c>
      <c r="D940" s="12" t="inlineStr">
        <is>
          <t>480 V welding receptacle 3</t>
        </is>
      </c>
      <c r="E940" s="12" t="n">
        <v>480</v>
      </c>
      <c r="F940" s="12" t="n">
        <v>60</v>
      </c>
      <c r="G940" s="12" t="n">
        <v>76</v>
      </c>
      <c r="H940" s="12" t="inlineStr">
        <is>
          <t>CCS MV switchgear building (VFDs)</t>
        </is>
      </c>
      <c r="I940" s="12" t="inlineStr">
        <is>
          <t>LV 600 V</t>
        </is>
      </c>
      <c r="J940" s="12" t="inlineStr">
        <is>
          <t>2</t>
        </is>
      </c>
      <c r="K940" s="12" t="n">
        <v>1</v>
      </c>
    </row>
    <row r="941">
      <c r="A941" s="12" t="inlineStr">
        <is>
          <t>Absorber C (62 ft dia x 262 ft, stack to 313 ft)</t>
        </is>
      </c>
      <c r="B941" s="12" t="inlineStr">
        <is>
          <t>ABS-C</t>
        </is>
      </c>
      <c r="C941" s="12" t="inlineStr">
        <is>
          <t>G</t>
        </is>
      </c>
      <c r="D941" s="12" t="inlineStr">
        <is>
          <t>480 V welding receptacle 4</t>
        </is>
      </c>
      <c r="E941" s="12" t="n">
        <v>480</v>
      </c>
      <c r="F941" s="12" t="n">
        <v>60</v>
      </c>
      <c r="G941" s="12" t="n">
        <v>76</v>
      </c>
      <c r="H941" s="12" t="inlineStr">
        <is>
          <t>CCS MV switchgear building (VFDs)</t>
        </is>
      </c>
      <c r="I941" s="12" t="inlineStr">
        <is>
          <t>LV 600 V</t>
        </is>
      </c>
      <c r="J941" s="12" t="inlineStr">
        <is>
          <t>2</t>
        </is>
      </c>
      <c r="K941" s="12" t="n">
        <v>1</v>
      </c>
    </row>
    <row r="942">
      <c r="A942" s="12" t="inlineStr">
        <is>
          <t>Absorber C intercooler (pumps + plate exchanger)</t>
        </is>
      </c>
      <c r="B942" s="12" t="inlineStr"/>
      <c r="C942" s="12" t="inlineStr">
        <is>
          <t>G</t>
        </is>
      </c>
      <c r="D942" s="12" t="inlineStr">
        <is>
          <t>Motor 1 of 2, 150 kW</t>
        </is>
      </c>
      <c r="E942" s="12" t="n">
        <v>480</v>
      </c>
      <c r="F942" s="12" t="n">
        <v>150</v>
      </c>
      <c r="G942" s="12" t="n">
        <v>212.3</v>
      </c>
      <c r="H942" s="12" t="inlineStr">
        <is>
          <t>CCS MV switchgear building (VFDs)</t>
        </is>
      </c>
      <c r="I942" s="12" t="inlineStr">
        <is>
          <t>LV 600 V</t>
        </is>
      </c>
      <c r="J942" s="12" t="inlineStr">
        <is>
          <t>350 kcmil</t>
        </is>
      </c>
      <c r="K942" s="12" t="n">
        <v>1</v>
      </c>
    </row>
    <row r="943">
      <c r="A943" s="12" t="inlineStr">
        <is>
          <t>Absorber C intercooler (pumps + plate exchanger)</t>
        </is>
      </c>
      <c r="B943" s="12" t="inlineStr"/>
      <c r="C943" s="12" t="inlineStr">
        <is>
          <t>G</t>
        </is>
      </c>
      <c r="D943" s="12" t="inlineStr">
        <is>
          <t>Motor 2 of 2, 150 kW</t>
        </is>
      </c>
      <c r="E943" s="12" t="n">
        <v>480</v>
      </c>
      <c r="F943" s="12" t="n">
        <v>150</v>
      </c>
      <c r="G943" s="12" t="n">
        <v>212.3</v>
      </c>
      <c r="H943" s="12" t="inlineStr">
        <is>
          <t>CCS MV switchgear building (VFDs)</t>
        </is>
      </c>
      <c r="I943" s="12" t="inlineStr">
        <is>
          <t>LV 600 V</t>
        </is>
      </c>
      <c r="J943" s="12" t="inlineStr">
        <is>
          <t>350 kcmil</t>
        </is>
      </c>
      <c r="K943" s="12" t="n">
        <v>1</v>
      </c>
    </row>
    <row r="944">
      <c r="A944" s="12" t="inlineStr">
        <is>
          <t>Activated-carbon filter</t>
        </is>
      </c>
      <c r="B944" s="12" t="inlineStr"/>
      <c r="C944" s="12" t="inlineStr">
        <is>
          <t>G</t>
        </is>
      </c>
      <c r="D944" s="12" t="inlineStr">
        <is>
          <t>LV power feeder</t>
        </is>
      </c>
      <c r="E944" s="12" t="n">
        <v>480</v>
      </c>
      <c r="F944" s="12" t="n">
        <v>15</v>
      </c>
      <c r="G944" s="12" t="n">
        <v>21.2</v>
      </c>
      <c r="H944" s="12" t="inlineStr">
        <is>
          <t>CCS MV switchgear building (VFDs)</t>
        </is>
      </c>
      <c r="I944" s="12" t="inlineStr">
        <is>
          <t>LV 600 V</t>
        </is>
      </c>
      <c r="J944" s="12" t="inlineStr">
        <is>
          <t>8</t>
        </is>
      </c>
      <c r="K944" s="12" t="n">
        <v>1</v>
      </c>
    </row>
    <row r="945">
      <c r="A945" s="12" t="inlineStr">
        <is>
          <t>BF-A: booster fan (~16 MW)</t>
        </is>
      </c>
      <c r="B945" s="12" t="inlineStr">
        <is>
          <t>BF-A</t>
        </is>
      </c>
      <c r="C945" s="12" t="inlineStr">
        <is>
          <t>G</t>
        </is>
      </c>
      <c r="D945" s="12" t="inlineStr">
        <is>
          <t>Motor 1 of 4, 15 kW</t>
        </is>
      </c>
      <c r="E945" s="12" t="n">
        <v>480</v>
      </c>
      <c r="F945" s="12" t="n">
        <v>15</v>
      </c>
      <c r="G945" s="12" t="n">
        <v>21.2</v>
      </c>
      <c r="H945" s="12" t="inlineStr">
        <is>
          <t>CCS MV switchgear building (VFDs)</t>
        </is>
      </c>
      <c r="I945" s="12" t="inlineStr">
        <is>
          <t>LV 600 V</t>
        </is>
      </c>
      <c r="J945" s="12" t="inlineStr">
        <is>
          <t>6</t>
        </is>
      </c>
      <c r="K945" s="12" t="n">
        <v>1</v>
      </c>
    </row>
    <row r="946">
      <c r="A946" s="12" t="inlineStr">
        <is>
          <t>BF-A: booster fan (~16 MW)</t>
        </is>
      </c>
      <c r="B946" s="12" t="inlineStr">
        <is>
          <t>BF-A</t>
        </is>
      </c>
      <c r="C946" s="12" t="inlineStr">
        <is>
          <t>G</t>
        </is>
      </c>
      <c r="D946" s="12" t="inlineStr">
        <is>
          <t>Motor 2 of 4, 15 kW</t>
        </is>
      </c>
      <c r="E946" s="12" t="n">
        <v>480</v>
      </c>
      <c r="F946" s="12" t="n">
        <v>15</v>
      </c>
      <c r="G946" s="12" t="n">
        <v>21.2</v>
      </c>
      <c r="H946" s="12" t="inlineStr">
        <is>
          <t>CCS MV switchgear building (VFDs)</t>
        </is>
      </c>
      <c r="I946" s="12" t="inlineStr">
        <is>
          <t>LV 600 V</t>
        </is>
      </c>
      <c r="J946" s="12" t="inlineStr">
        <is>
          <t>6</t>
        </is>
      </c>
      <c r="K946" s="12" t="n">
        <v>1</v>
      </c>
    </row>
    <row r="947">
      <c r="A947" s="12" t="inlineStr">
        <is>
          <t>BF-A: booster fan (~16 MW)</t>
        </is>
      </c>
      <c r="B947" s="12" t="inlineStr">
        <is>
          <t>BF-A</t>
        </is>
      </c>
      <c r="C947" s="12" t="inlineStr">
        <is>
          <t>G</t>
        </is>
      </c>
      <c r="D947" s="12" t="inlineStr">
        <is>
          <t>Motor 3 of 4, 15 kW</t>
        </is>
      </c>
      <c r="E947" s="12" t="n">
        <v>480</v>
      </c>
      <c r="F947" s="12" t="n">
        <v>15</v>
      </c>
      <c r="G947" s="12" t="n">
        <v>21.2</v>
      </c>
      <c r="H947" s="12" t="inlineStr">
        <is>
          <t>CCS MV switchgear building (VFDs)</t>
        </is>
      </c>
      <c r="I947" s="12" t="inlineStr">
        <is>
          <t>LV 600 V</t>
        </is>
      </c>
      <c r="J947" s="12" t="inlineStr">
        <is>
          <t>6</t>
        </is>
      </c>
      <c r="K947" s="12" t="n">
        <v>1</v>
      </c>
    </row>
    <row r="948">
      <c r="A948" s="12" t="inlineStr">
        <is>
          <t>BF-A: booster fan (~16 MW)</t>
        </is>
      </c>
      <c r="B948" s="12" t="inlineStr">
        <is>
          <t>BF-A</t>
        </is>
      </c>
      <c r="C948" s="12" t="inlineStr">
        <is>
          <t>G</t>
        </is>
      </c>
      <c r="D948" s="12" t="inlineStr">
        <is>
          <t>Motor 4 of 4, 15 kW</t>
        </is>
      </c>
      <c r="E948" s="12" t="n">
        <v>480</v>
      </c>
      <c r="F948" s="12" t="n">
        <v>15</v>
      </c>
      <c r="G948" s="12" t="n">
        <v>21.2</v>
      </c>
      <c r="H948" s="12" t="inlineStr">
        <is>
          <t>CCS MV switchgear building (VFDs)</t>
        </is>
      </c>
      <c r="I948" s="12" t="inlineStr">
        <is>
          <t>LV 600 V</t>
        </is>
      </c>
      <c r="J948" s="12" t="inlineStr">
        <is>
          <t>6</t>
        </is>
      </c>
      <c r="K948" s="12" t="n">
        <v>1</v>
      </c>
    </row>
    <row r="949">
      <c r="A949" s="12" t="inlineStr">
        <is>
          <t>BF-A: booster fan (~16 MW)</t>
        </is>
      </c>
      <c r="B949" s="12" t="inlineStr">
        <is>
          <t>BF-A</t>
        </is>
      </c>
      <c r="C949" s="12" t="inlineStr">
        <is>
          <t>G</t>
        </is>
      </c>
      <c r="D949" s="12" t="inlineStr">
        <is>
          <t>480 V welding receptacle 1</t>
        </is>
      </c>
      <c r="E949" s="12" t="n">
        <v>480</v>
      </c>
      <c r="F949" s="12" t="n">
        <v>60</v>
      </c>
      <c r="G949" s="12" t="n">
        <v>76</v>
      </c>
      <c r="H949" s="12" t="inlineStr">
        <is>
          <t>CCS MV switchgear building (VFDs)</t>
        </is>
      </c>
      <c r="I949" s="12" t="inlineStr">
        <is>
          <t>LV 600 V</t>
        </is>
      </c>
      <c r="J949" s="12" t="inlineStr">
        <is>
          <t>2</t>
        </is>
      </c>
      <c r="K949" s="12" t="n">
        <v>1</v>
      </c>
    </row>
    <row r="950">
      <c r="A950" s="12" t="inlineStr">
        <is>
          <t>BF-A: booster fan (~16 MW)</t>
        </is>
      </c>
      <c r="B950" s="12" t="inlineStr">
        <is>
          <t>BF-A</t>
        </is>
      </c>
      <c r="C950" s="12" t="inlineStr">
        <is>
          <t>G</t>
        </is>
      </c>
      <c r="D950" s="12" t="inlineStr">
        <is>
          <t>480 V welding receptacle 2</t>
        </is>
      </c>
      <c r="E950" s="12" t="n">
        <v>480</v>
      </c>
      <c r="F950" s="12" t="n">
        <v>60</v>
      </c>
      <c r="G950" s="12" t="n">
        <v>76</v>
      </c>
      <c r="H950" s="12" t="inlineStr">
        <is>
          <t>CCS MV switchgear building (VFDs)</t>
        </is>
      </c>
      <c r="I950" s="12" t="inlineStr">
        <is>
          <t>LV 600 V</t>
        </is>
      </c>
      <c r="J950" s="12" t="inlineStr">
        <is>
          <t>2</t>
        </is>
      </c>
      <c r="K950" s="12" t="n">
        <v>1</v>
      </c>
    </row>
    <row r="951">
      <c r="A951" s="12" t="inlineStr">
        <is>
          <t>BF-A: booster fan (~16 MW)</t>
        </is>
      </c>
      <c r="B951" s="12" t="inlineStr">
        <is>
          <t>BF-A</t>
        </is>
      </c>
      <c r="C951" s="12" t="inlineStr">
        <is>
          <t>G</t>
        </is>
      </c>
      <c r="D951" s="12" t="inlineStr">
        <is>
          <t>480 V welding receptacle 3</t>
        </is>
      </c>
      <c r="E951" s="12" t="n">
        <v>480</v>
      </c>
      <c r="F951" s="12" t="n">
        <v>60</v>
      </c>
      <c r="G951" s="12" t="n">
        <v>76</v>
      </c>
      <c r="H951" s="12" t="inlineStr">
        <is>
          <t>CCS MV switchgear building (VFDs)</t>
        </is>
      </c>
      <c r="I951" s="12" t="inlineStr">
        <is>
          <t>LV 600 V</t>
        </is>
      </c>
      <c r="J951" s="12" t="inlineStr">
        <is>
          <t>2</t>
        </is>
      </c>
      <c r="K951" s="12" t="n">
        <v>1</v>
      </c>
    </row>
    <row r="952">
      <c r="A952" s="12" t="inlineStr">
        <is>
          <t>BF-A: booster fan (~16 MW)</t>
        </is>
      </c>
      <c r="B952" s="12" t="inlineStr">
        <is>
          <t>BF-A</t>
        </is>
      </c>
      <c r="C952" s="12" t="inlineStr">
        <is>
          <t>G</t>
        </is>
      </c>
      <c r="D952" s="12" t="inlineStr">
        <is>
          <t>480 V welding receptacle 4</t>
        </is>
      </c>
      <c r="E952" s="12" t="n">
        <v>480</v>
      </c>
      <c r="F952" s="12" t="n">
        <v>60</v>
      </c>
      <c r="G952" s="12" t="n">
        <v>76</v>
      </c>
      <c r="H952" s="12" t="inlineStr">
        <is>
          <t>CCS MV switchgear building (VFDs)</t>
        </is>
      </c>
      <c r="I952" s="12" t="inlineStr">
        <is>
          <t>LV 600 V</t>
        </is>
      </c>
      <c r="J952" s="12" t="inlineStr">
        <is>
          <t>2</t>
        </is>
      </c>
      <c r="K952" s="12" t="n">
        <v>1</v>
      </c>
    </row>
    <row r="953">
      <c r="A953" s="12" t="inlineStr">
        <is>
          <t>BF-B: booster fan (~16 MW)</t>
        </is>
      </c>
      <c r="B953" s="12" t="inlineStr">
        <is>
          <t>BF-B</t>
        </is>
      </c>
      <c r="C953" s="12" t="inlineStr">
        <is>
          <t>G</t>
        </is>
      </c>
      <c r="D953" s="12" t="inlineStr">
        <is>
          <t>Motor 1 of 4, 15 kW</t>
        </is>
      </c>
      <c r="E953" s="12" t="n">
        <v>480</v>
      </c>
      <c r="F953" s="12" t="n">
        <v>15</v>
      </c>
      <c r="G953" s="12" t="n">
        <v>21.2</v>
      </c>
      <c r="H953" s="12" t="inlineStr">
        <is>
          <t>CCS MV switchgear building (VFDs)</t>
        </is>
      </c>
      <c r="I953" s="12" t="inlineStr">
        <is>
          <t>LV 600 V</t>
        </is>
      </c>
      <c r="J953" s="12" t="inlineStr">
        <is>
          <t>8</t>
        </is>
      </c>
      <c r="K953" s="12" t="n">
        <v>1</v>
      </c>
    </row>
    <row r="954">
      <c r="A954" s="12" t="inlineStr">
        <is>
          <t>BF-B: booster fan (~16 MW)</t>
        </is>
      </c>
      <c r="B954" s="12" t="inlineStr">
        <is>
          <t>BF-B</t>
        </is>
      </c>
      <c r="C954" s="12" t="inlineStr">
        <is>
          <t>G</t>
        </is>
      </c>
      <c r="D954" s="12" t="inlineStr">
        <is>
          <t>Motor 2 of 4, 15 kW</t>
        </is>
      </c>
      <c r="E954" s="12" t="n">
        <v>480</v>
      </c>
      <c r="F954" s="12" t="n">
        <v>15</v>
      </c>
      <c r="G954" s="12" t="n">
        <v>21.2</v>
      </c>
      <c r="H954" s="12" t="inlineStr">
        <is>
          <t>CCS MV switchgear building (VFDs)</t>
        </is>
      </c>
      <c r="I954" s="12" t="inlineStr">
        <is>
          <t>LV 600 V</t>
        </is>
      </c>
      <c r="J954" s="12" t="inlineStr">
        <is>
          <t>8</t>
        </is>
      </c>
      <c r="K954" s="12" t="n">
        <v>1</v>
      </c>
    </row>
    <row r="955">
      <c r="A955" s="12" t="inlineStr">
        <is>
          <t>BF-B: booster fan (~16 MW)</t>
        </is>
      </c>
      <c r="B955" s="12" t="inlineStr">
        <is>
          <t>BF-B</t>
        </is>
      </c>
      <c r="C955" s="12" t="inlineStr">
        <is>
          <t>G</t>
        </is>
      </c>
      <c r="D955" s="12" t="inlineStr">
        <is>
          <t>Motor 3 of 4, 15 kW</t>
        </is>
      </c>
      <c r="E955" s="12" t="n">
        <v>480</v>
      </c>
      <c r="F955" s="12" t="n">
        <v>15</v>
      </c>
      <c r="G955" s="12" t="n">
        <v>21.2</v>
      </c>
      <c r="H955" s="12" t="inlineStr">
        <is>
          <t>CCS MV switchgear building (VFDs)</t>
        </is>
      </c>
      <c r="I955" s="12" t="inlineStr">
        <is>
          <t>LV 600 V</t>
        </is>
      </c>
      <c r="J955" s="12" t="inlineStr">
        <is>
          <t>8</t>
        </is>
      </c>
      <c r="K955" s="12" t="n">
        <v>1</v>
      </c>
    </row>
    <row r="956">
      <c r="A956" s="12" t="inlineStr">
        <is>
          <t>BF-B: booster fan (~16 MW)</t>
        </is>
      </c>
      <c r="B956" s="12" t="inlineStr">
        <is>
          <t>BF-B</t>
        </is>
      </c>
      <c r="C956" s="12" t="inlineStr">
        <is>
          <t>G</t>
        </is>
      </c>
      <c r="D956" s="12" t="inlineStr">
        <is>
          <t>Motor 4 of 4, 15 kW</t>
        </is>
      </c>
      <c r="E956" s="12" t="n">
        <v>480</v>
      </c>
      <c r="F956" s="12" t="n">
        <v>15</v>
      </c>
      <c r="G956" s="12" t="n">
        <v>21.2</v>
      </c>
      <c r="H956" s="12" t="inlineStr">
        <is>
          <t>CCS MV switchgear building (VFDs)</t>
        </is>
      </c>
      <c r="I956" s="12" t="inlineStr">
        <is>
          <t>LV 600 V</t>
        </is>
      </c>
      <c r="J956" s="12" t="inlineStr">
        <is>
          <t>8</t>
        </is>
      </c>
      <c r="K956" s="12" t="n">
        <v>1</v>
      </c>
    </row>
    <row r="957">
      <c r="A957" s="12" t="inlineStr">
        <is>
          <t>BF-B: booster fan (~16 MW)</t>
        </is>
      </c>
      <c r="B957" s="12" t="inlineStr">
        <is>
          <t>BF-B</t>
        </is>
      </c>
      <c r="C957" s="12" t="inlineStr">
        <is>
          <t>G</t>
        </is>
      </c>
      <c r="D957" s="12" t="inlineStr">
        <is>
          <t>480 V welding receptacle 1</t>
        </is>
      </c>
      <c r="E957" s="12" t="n">
        <v>480</v>
      </c>
      <c r="F957" s="12" t="n">
        <v>60</v>
      </c>
      <c r="G957" s="12" t="n">
        <v>76</v>
      </c>
      <c r="H957" s="12" t="inlineStr">
        <is>
          <t>CCS MV switchgear building (VFDs)</t>
        </is>
      </c>
      <c r="I957" s="12" t="inlineStr">
        <is>
          <t>LV 600 V</t>
        </is>
      </c>
      <c r="J957" s="12" t="inlineStr">
        <is>
          <t>2</t>
        </is>
      </c>
      <c r="K957" s="12" t="n">
        <v>1</v>
      </c>
    </row>
    <row r="958">
      <c r="A958" s="12" t="inlineStr">
        <is>
          <t>BF-B: booster fan (~16 MW)</t>
        </is>
      </c>
      <c r="B958" s="12" t="inlineStr">
        <is>
          <t>BF-B</t>
        </is>
      </c>
      <c r="C958" s="12" t="inlineStr">
        <is>
          <t>G</t>
        </is>
      </c>
      <c r="D958" s="12" t="inlineStr">
        <is>
          <t>480 V welding receptacle 2</t>
        </is>
      </c>
      <c r="E958" s="12" t="n">
        <v>480</v>
      </c>
      <c r="F958" s="12" t="n">
        <v>60</v>
      </c>
      <c r="G958" s="12" t="n">
        <v>76</v>
      </c>
      <c r="H958" s="12" t="inlineStr">
        <is>
          <t>CCS MV switchgear building (VFDs)</t>
        </is>
      </c>
      <c r="I958" s="12" t="inlineStr">
        <is>
          <t>LV 600 V</t>
        </is>
      </c>
      <c r="J958" s="12" t="inlineStr">
        <is>
          <t>2</t>
        </is>
      </c>
      <c r="K958" s="12" t="n">
        <v>1</v>
      </c>
    </row>
    <row r="959">
      <c r="A959" s="12" t="inlineStr">
        <is>
          <t>BF-B: booster fan (~16 MW)</t>
        </is>
      </c>
      <c r="B959" s="12" t="inlineStr">
        <is>
          <t>BF-B</t>
        </is>
      </c>
      <c r="C959" s="12" t="inlineStr">
        <is>
          <t>G</t>
        </is>
      </c>
      <c r="D959" s="12" t="inlineStr">
        <is>
          <t>480 V welding receptacle 3</t>
        </is>
      </c>
      <c r="E959" s="12" t="n">
        <v>480</v>
      </c>
      <c r="F959" s="12" t="n">
        <v>60</v>
      </c>
      <c r="G959" s="12" t="n">
        <v>76</v>
      </c>
      <c r="H959" s="12" t="inlineStr">
        <is>
          <t>CCS MV switchgear building (VFDs)</t>
        </is>
      </c>
      <c r="I959" s="12" t="inlineStr">
        <is>
          <t>LV 600 V</t>
        </is>
      </c>
      <c r="J959" s="12" t="inlineStr">
        <is>
          <t>2</t>
        </is>
      </c>
      <c r="K959" s="12" t="n">
        <v>1</v>
      </c>
    </row>
    <row r="960">
      <c r="A960" s="12" t="inlineStr">
        <is>
          <t>BF-B: booster fan (~16 MW)</t>
        </is>
      </c>
      <c r="B960" s="12" t="inlineStr">
        <is>
          <t>BF-B</t>
        </is>
      </c>
      <c r="C960" s="12" t="inlineStr">
        <is>
          <t>G</t>
        </is>
      </c>
      <c r="D960" s="12" t="inlineStr">
        <is>
          <t>480 V welding receptacle 4</t>
        </is>
      </c>
      <c r="E960" s="12" t="n">
        <v>480</v>
      </c>
      <c r="F960" s="12" t="n">
        <v>60</v>
      </c>
      <c r="G960" s="12" t="n">
        <v>76</v>
      </c>
      <c r="H960" s="12" t="inlineStr">
        <is>
          <t>CCS MV switchgear building (VFDs)</t>
        </is>
      </c>
      <c r="I960" s="12" t="inlineStr">
        <is>
          <t>LV 600 V</t>
        </is>
      </c>
      <c r="J960" s="12" t="inlineStr">
        <is>
          <t>2</t>
        </is>
      </c>
      <c r="K960" s="12" t="n">
        <v>1</v>
      </c>
    </row>
    <row r="961">
      <c r="A961" s="12" t="inlineStr">
        <is>
          <t>BF-C: booster fan (~16 MW)</t>
        </is>
      </c>
      <c r="B961" s="12" t="inlineStr">
        <is>
          <t>BF-C</t>
        </is>
      </c>
      <c r="C961" s="12" t="inlineStr">
        <is>
          <t>G</t>
        </is>
      </c>
      <c r="D961" s="12" t="inlineStr">
        <is>
          <t>Motor 1 of 4, 15 kW</t>
        </is>
      </c>
      <c r="E961" s="12" t="n">
        <v>480</v>
      </c>
      <c r="F961" s="12" t="n">
        <v>15</v>
      </c>
      <c r="G961" s="12" t="n">
        <v>21.2</v>
      </c>
      <c r="H961" s="12" t="inlineStr">
        <is>
          <t>CCS MV switchgear building (VFDs)</t>
        </is>
      </c>
      <c r="I961" s="12" t="inlineStr">
        <is>
          <t>LV 600 V</t>
        </is>
      </c>
      <c r="J961" s="12" t="inlineStr">
        <is>
          <t>10</t>
        </is>
      </c>
      <c r="K961" s="12" t="n">
        <v>1</v>
      </c>
    </row>
    <row r="962">
      <c r="A962" s="12" t="inlineStr">
        <is>
          <t>BF-C: booster fan (~16 MW)</t>
        </is>
      </c>
      <c r="B962" s="12" t="inlineStr">
        <is>
          <t>BF-C</t>
        </is>
      </c>
      <c r="C962" s="12" t="inlineStr">
        <is>
          <t>G</t>
        </is>
      </c>
      <c r="D962" s="12" t="inlineStr">
        <is>
          <t>Motor 2 of 4, 15 kW</t>
        </is>
      </c>
      <c r="E962" s="12" t="n">
        <v>480</v>
      </c>
      <c r="F962" s="12" t="n">
        <v>15</v>
      </c>
      <c r="G962" s="12" t="n">
        <v>21.2</v>
      </c>
      <c r="H962" s="12" t="inlineStr">
        <is>
          <t>CCS MV switchgear building (VFDs)</t>
        </is>
      </c>
      <c r="I962" s="12" t="inlineStr">
        <is>
          <t>LV 600 V</t>
        </is>
      </c>
      <c r="J962" s="12" t="inlineStr">
        <is>
          <t>10</t>
        </is>
      </c>
      <c r="K962" s="12" t="n">
        <v>1</v>
      </c>
    </row>
    <row r="963">
      <c r="A963" s="12" t="inlineStr">
        <is>
          <t>BF-C: booster fan (~16 MW)</t>
        </is>
      </c>
      <c r="B963" s="12" t="inlineStr">
        <is>
          <t>BF-C</t>
        </is>
      </c>
      <c r="C963" s="12" t="inlineStr">
        <is>
          <t>G</t>
        </is>
      </c>
      <c r="D963" s="12" t="inlineStr">
        <is>
          <t>Motor 3 of 4, 15 kW</t>
        </is>
      </c>
      <c r="E963" s="12" t="n">
        <v>480</v>
      </c>
      <c r="F963" s="12" t="n">
        <v>15</v>
      </c>
      <c r="G963" s="12" t="n">
        <v>21.2</v>
      </c>
      <c r="H963" s="12" t="inlineStr">
        <is>
          <t>CCS MV switchgear building (VFDs)</t>
        </is>
      </c>
      <c r="I963" s="12" t="inlineStr">
        <is>
          <t>LV 600 V</t>
        </is>
      </c>
      <c r="J963" s="12" t="inlineStr">
        <is>
          <t>10</t>
        </is>
      </c>
      <c r="K963" s="12" t="n">
        <v>1</v>
      </c>
    </row>
    <row r="964">
      <c r="A964" s="12" t="inlineStr">
        <is>
          <t>BF-C: booster fan (~16 MW)</t>
        </is>
      </c>
      <c r="B964" s="12" t="inlineStr">
        <is>
          <t>BF-C</t>
        </is>
      </c>
      <c r="C964" s="12" t="inlineStr">
        <is>
          <t>G</t>
        </is>
      </c>
      <c r="D964" s="12" t="inlineStr">
        <is>
          <t>Motor 4 of 4, 15 kW</t>
        </is>
      </c>
      <c r="E964" s="12" t="n">
        <v>480</v>
      </c>
      <c r="F964" s="12" t="n">
        <v>15</v>
      </c>
      <c r="G964" s="12" t="n">
        <v>21.2</v>
      </c>
      <c r="H964" s="12" t="inlineStr">
        <is>
          <t>CCS MV switchgear building (VFDs)</t>
        </is>
      </c>
      <c r="I964" s="12" t="inlineStr">
        <is>
          <t>LV 600 V</t>
        </is>
      </c>
      <c r="J964" s="12" t="inlineStr">
        <is>
          <t>10</t>
        </is>
      </c>
      <c r="K964" s="12" t="n">
        <v>1</v>
      </c>
    </row>
    <row r="965">
      <c r="A965" s="12" t="inlineStr">
        <is>
          <t>BF-C: booster fan (~16 MW)</t>
        </is>
      </c>
      <c r="B965" s="12" t="inlineStr">
        <is>
          <t>BF-C</t>
        </is>
      </c>
      <c r="C965" s="12" t="inlineStr">
        <is>
          <t>G</t>
        </is>
      </c>
      <c r="D965" s="12" t="inlineStr">
        <is>
          <t>480 V welding receptacle 1</t>
        </is>
      </c>
      <c r="E965" s="12" t="n">
        <v>480</v>
      </c>
      <c r="F965" s="12" t="n">
        <v>60</v>
      </c>
      <c r="G965" s="12" t="n">
        <v>76</v>
      </c>
      <c r="H965" s="12" t="inlineStr">
        <is>
          <t>CCS MV switchgear building (VFDs)</t>
        </is>
      </c>
      <c r="I965" s="12" t="inlineStr">
        <is>
          <t>LV 600 V</t>
        </is>
      </c>
      <c r="J965" s="12" t="inlineStr">
        <is>
          <t>2</t>
        </is>
      </c>
      <c r="K965" s="12" t="n">
        <v>1</v>
      </c>
    </row>
    <row r="966">
      <c r="A966" s="12" t="inlineStr">
        <is>
          <t>BF-C: booster fan (~16 MW)</t>
        </is>
      </c>
      <c r="B966" s="12" t="inlineStr">
        <is>
          <t>BF-C</t>
        </is>
      </c>
      <c r="C966" s="12" t="inlineStr">
        <is>
          <t>G</t>
        </is>
      </c>
      <c r="D966" s="12" t="inlineStr">
        <is>
          <t>480 V welding receptacle 2</t>
        </is>
      </c>
      <c r="E966" s="12" t="n">
        <v>480</v>
      </c>
      <c r="F966" s="12" t="n">
        <v>60</v>
      </c>
      <c r="G966" s="12" t="n">
        <v>76</v>
      </c>
      <c r="H966" s="12" t="inlineStr">
        <is>
          <t>CCS MV switchgear building (VFDs)</t>
        </is>
      </c>
      <c r="I966" s="12" t="inlineStr">
        <is>
          <t>LV 600 V</t>
        </is>
      </c>
      <c r="J966" s="12" t="inlineStr">
        <is>
          <t>2</t>
        </is>
      </c>
      <c r="K966" s="12" t="n">
        <v>1</v>
      </c>
    </row>
    <row r="967">
      <c r="A967" s="12" t="inlineStr">
        <is>
          <t>BF-C: booster fan (~16 MW)</t>
        </is>
      </c>
      <c r="B967" s="12" t="inlineStr">
        <is>
          <t>BF-C</t>
        </is>
      </c>
      <c r="C967" s="12" t="inlineStr">
        <is>
          <t>G</t>
        </is>
      </c>
      <c r="D967" s="12" t="inlineStr">
        <is>
          <t>480 V welding receptacle 3</t>
        </is>
      </c>
      <c r="E967" s="12" t="n">
        <v>480</v>
      </c>
      <c r="F967" s="12" t="n">
        <v>60</v>
      </c>
      <c r="G967" s="12" t="n">
        <v>76</v>
      </c>
      <c r="H967" s="12" t="inlineStr">
        <is>
          <t>CCS MV switchgear building (VFDs)</t>
        </is>
      </c>
      <c r="I967" s="12" t="inlineStr">
        <is>
          <t>LV 600 V</t>
        </is>
      </c>
      <c r="J967" s="12" t="inlineStr">
        <is>
          <t>2</t>
        </is>
      </c>
      <c r="K967" s="12" t="n">
        <v>1</v>
      </c>
    </row>
    <row r="968">
      <c r="A968" s="12" t="inlineStr">
        <is>
          <t>BF-C: booster fan (~16 MW)</t>
        </is>
      </c>
      <c r="B968" s="12" t="inlineStr">
        <is>
          <t>BF-C</t>
        </is>
      </c>
      <c r="C968" s="12" t="inlineStr">
        <is>
          <t>G</t>
        </is>
      </c>
      <c r="D968" s="12" t="inlineStr">
        <is>
          <t>480 V welding receptacle 4</t>
        </is>
      </c>
      <c r="E968" s="12" t="n">
        <v>480</v>
      </c>
      <c r="F968" s="12" t="n">
        <v>60</v>
      </c>
      <c r="G968" s="12" t="n">
        <v>76</v>
      </c>
      <c r="H968" s="12" t="inlineStr">
        <is>
          <t>CCS MV switchgear building (VFDs)</t>
        </is>
      </c>
      <c r="I968" s="12" t="inlineStr">
        <is>
          <t>LV 600 V</t>
        </is>
      </c>
      <c r="J968" s="12" t="inlineStr">
        <is>
          <t>2</t>
        </is>
      </c>
      <c r="K968" s="12" t="n">
        <v>1</v>
      </c>
    </row>
    <row r="969">
      <c r="A969" s="12" t="inlineStr">
        <is>
          <t>CCS F&amp;G / control</t>
        </is>
      </c>
      <c r="B969" s="12" t="inlineStr"/>
      <c r="C969" s="12" t="inlineStr">
        <is>
          <t>G</t>
        </is>
      </c>
      <c r="D969" s="12" t="inlineStr">
        <is>
          <t>LV panel / distribution feeder</t>
        </is>
      </c>
      <c r="E969" s="12" t="n">
        <v>480</v>
      </c>
      <c r="F969" s="12" t="n">
        <v>40</v>
      </c>
      <c r="G969" s="12" t="n">
        <v>56.6</v>
      </c>
      <c r="H969" s="12" t="inlineStr">
        <is>
          <t>CCS MV switchgear building (VFDs)</t>
        </is>
      </c>
      <c r="I969" s="12" t="inlineStr">
        <is>
          <t>LV 600 V</t>
        </is>
      </c>
      <c r="J969" s="12" t="inlineStr">
        <is>
          <t>4</t>
        </is>
      </c>
      <c r="K969" s="12" t="n">
        <v>1</v>
      </c>
    </row>
    <row r="970">
      <c r="A970" s="12" t="inlineStr">
        <is>
          <t>CCS MV switchgear building (VFDs)</t>
        </is>
      </c>
      <c r="B970" s="12" t="inlineStr"/>
      <c r="C970" s="12" t="inlineStr">
        <is>
          <t>G</t>
        </is>
      </c>
      <c r="D970" s="12" t="inlineStr">
        <is>
          <t>LV panel / distribution feeder</t>
        </is>
      </c>
      <c r="E970" s="12" t="n">
        <v>480</v>
      </c>
      <c r="F970" s="12" t="n">
        <v>109</v>
      </c>
      <c r="G970" s="12" t="n">
        <v>154.2</v>
      </c>
      <c r="H970" s="12" t="inlineStr">
        <is>
          <t>CCS MV switchgear building (VFDs)</t>
        </is>
      </c>
      <c r="I970" s="12" t="inlineStr">
        <is>
          <t>LV 600 V</t>
        </is>
      </c>
      <c r="J970" s="12" t="inlineStr">
        <is>
          <t>3/0</t>
        </is>
      </c>
      <c r="K970" s="12" t="n">
        <v>1</v>
      </c>
    </row>
    <row r="971">
      <c r="A971" s="12" t="inlineStr">
        <is>
          <t>CCS T-1: 230/13.8 kV</t>
        </is>
      </c>
      <c r="B971" s="12" t="inlineStr">
        <is>
          <t>CCS T-1</t>
        </is>
      </c>
      <c r="C971" s="12" t="inlineStr">
        <is>
          <t>G</t>
        </is>
      </c>
      <c r="D971" s="12" t="inlineStr">
        <is>
          <t>Motor 1 of 6, 2 kW</t>
        </is>
      </c>
      <c r="E971" s="12" t="n">
        <v>480</v>
      </c>
      <c r="F971" s="12" t="n">
        <v>2</v>
      </c>
      <c r="G971" s="12" t="n">
        <v>2.8</v>
      </c>
      <c r="H971" s="12" t="inlineStr">
        <is>
          <t>CCS MV switchgear building (VFDs)</t>
        </is>
      </c>
      <c r="I971" s="12" t="inlineStr">
        <is>
          <t>LV 600 V</t>
        </is>
      </c>
      <c r="J971" s="12" t="inlineStr">
        <is>
          <t>10</t>
        </is>
      </c>
      <c r="K971" s="12" t="n">
        <v>1</v>
      </c>
    </row>
    <row r="972">
      <c r="A972" s="12" t="inlineStr">
        <is>
          <t>CCS T-1: 230/13.8 kV</t>
        </is>
      </c>
      <c r="B972" s="12" t="inlineStr">
        <is>
          <t>CCS T-1</t>
        </is>
      </c>
      <c r="C972" s="12" t="inlineStr">
        <is>
          <t>G</t>
        </is>
      </c>
      <c r="D972" s="12" t="inlineStr">
        <is>
          <t>Motor 2 of 6, 2 kW</t>
        </is>
      </c>
      <c r="E972" s="12" t="n">
        <v>480</v>
      </c>
      <c r="F972" s="12" t="n">
        <v>2</v>
      </c>
      <c r="G972" s="12" t="n">
        <v>2.8</v>
      </c>
      <c r="H972" s="12" t="inlineStr">
        <is>
          <t>CCS MV switchgear building (VFDs)</t>
        </is>
      </c>
      <c r="I972" s="12" t="inlineStr">
        <is>
          <t>LV 600 V</t>
        </is>
      </c>
      <c r="J972" s="12" t="inlineStr">
        <is>
          <t>10</t>
        </is>
      </c>
      <c r="K972" s="12" t="n">
        <v>1</v>
      </c>
    </row>
    <row r="973">
      <c r="A973" s="12" t="inlineStr">
        <is>
          <t>CCS T-1: 230/13.8 kV</t>
        </is>
      </c>
      <c r="B973" s="12" t="inlineStr">
        <is>
          <t>CCS T-1</t>
        </is>
      </c>
      <c r="C973" s="12" t="inlineStr">
        <is>
          <t>G</t>
        </is>
      </c>
      <c r="D973" s="12" t="inlineStr">
        <is>
          <t>Motor 3 of 6, 2 kW</t>
        </is>
      </c>
      <c r="E973" s="12" t="n">
        <v>480</v>
      </c>
      <c r="F973" s="12" t="n">
        <v>2</v>
      </c>
      <c r="G973" s="12" t="n">
        <v>2.8</v>
      </c>
      <c r="H973" s="12" t="inlineStr">
        <is>
          <t>CCS MV switchgear building (VFDs)</t>
        </is>
      </c>
      <c r="I973" s="12" t="inlineStr">
        <is>
          <t>LV 600 V</t>
        </is>
      </c>
      <c r="J973" s="12" t="inlineStr">
        <is>
          <t>10</t>
        </is>
      </c>
      <c r="K973" s="12" t="n">
        <v>1</v>
      </c>
    </row>
    <row r="974">
      <c r="A974" s="12" t="inlineStr">
        <is>
          <t>CCS T-1: 230/13.8 kV</t>
        </is>
      </c>
      <c r="B974" s="12" t="inlineStr">
        <is>
          <t>CCS T-1</t>
        </is>
      </c>
      <c r="C974" s="12" t="inlineStr">
        <is>
          <t>G</t>
        </is>
      </c>
      <c r="D974" s="12" t="inlineStr">
        <is>
          <t>Motor 4 of 6, 2 kW</t>
        </is>
      </c>
      <c r="E974" s="12" t="n">
        <v>480</v>
      </c>
      <c r="F974" s="12" t="n">
        <v>2</v>
      </c>
      <c r="G974" s="12" t="n">
        <v>2.8</v>
      </c>
      <c r="H974" s="12" t="inlineStr">
        <is>
          <t>CCS MV switchgear building (VFDs)</t>
        </is>
      </c>
      <c r="I974" s="12" t="inlineStr">
        <is>
          <t>LV 600 V</t>
        </is>
      </c>
      <c r="J974" s="12" t="inlineStr">
        <is>
          <t>10</t>
        </is>
      </c>
      <c r="K974" s="12" t="n">
        <v>1</v>
      </c>
    </row>
    <row r="975">
      <c r="A975" s="12" t="inlineStr">
        <is>
          <t>CCS T-1: 230/13.8 kV</t>
        </is>
      </c>
      <c r="B975" s="12" t="inlineStr">
        <is>
          <t>CCS T-1</t>
        </is>
      </c>
      <c r="C975" s="12" t="inlineStr">
        <is>
          <t>G</t>
        </is>
      </c>
      <c r="D975" s="12" t="inlineStr">
        <is>
          <t>Motor 5 of 6, 2 kW</t>
        </is>
      </c>
      <c r="E975" s="12" t="n">
        <v>480</v>
      </c>
      <c r="F975" s="12" t="n">
        <v>2</v>
      </c>
      <c r="G975" s="12" t="n">
        <v>2.8</v>
      </c>
      <c r="H975" s="12" t="inlineStr">
        <is>
          <t>CCS MV switchgear building (VFDs)</t>
        </is>
      </c>
      <c r="I975" s="12" t="inlineStr">
        <is>
          <t>LV 600 V</t>
        </is>
      </c>
      <c r="J975" s="12" t="inlineStr">
        <is>
          <t>10</t>
        </is>
      </c>
      <c r="K975" s="12" t="n">
        <v>1</v>
      </c>
    </row>
    <row r="976">
      <c r="A976" s="12" t="inlineStr">
        <is>
          <t>CCS T-1: 230/13.8 kV</t>
        </is>
      </c>
      <c r="B976" s="12" t="inlineStr">
        <is>
          <t>CCS T-1</t>
        </is>
      </c>
      <c r="C976" s="12" t="inlineStr">
        <is>
          <t>G</t>
        </is>
      </c>
      <c r="D976" s="12" t="inlineStr">
        <is>
          <t>Motor 6 of 6, 2 kW</t>
        </is>
      </c>
      <c r="E976" s="12" t="n">
        <v>480</v>
      </c>
      <c r="F976" s="12" t="n">
        <v>2</v>
      </c>
      <c r="G976" s="12" t="n">
        <v>2.8</v>
      </c>
      <c r="H976" s="12" t="inlineStr">
        <is>
          <t>CCS MV switchgear building (VFDs)</t>
        </is>
      </c>
      <c r="I976" s="12" t="inlineStr">
        <is>
          <t>LV 600 V</t>
        </is>
      </c>
      <c r="J976" s="12" t="inlineStr">
        <is>
          <t>10</t>
        </is>
      </c>
      <c r="K976" s="12" t="n">
        <v>1</v>
      </c>
    </row>
    <row r="977">
      <c r="A977" s="12" t="inlineStr">
        <is>
          <t>CCS T-2: 230/13.8 kV</t>
        </is>
      </c>
      <c r="B977" s="12" t="inlineStr">
        <is>
          <t>CCS T-2</t>
        </is>
      </c>
      <c r="C977" s="12" t="inlineStr">
        <is>
          <t>G</t>
        </is>
      </c>
      <c r="D977" s="12" t="inlineStr">
        <is>
          <t>Motor 1 of 6, 2 kW</t>
        </is>
      </c>
      <c r="E977" s="12" t="n">
        <v>480</v>
      </c>
      <c r="F977" s="12" t="n">
        <v>2</v>
      </c>
      <c r="G977" s="12" t="n">
        <v>2.8</v>
      </c>
      <c r="H977" s="12" t="inlineStr">
        <is>
          <t>CCS MV switchgear building (VFDs)</t>
        </is>
      </c>
      <c r="I977" s="12" t="inlineStr">
        <is>
          <t>LV 600 V</t>
        </is>
      </c>
      <c r="J977" s="12" t="inlineStr">
        <is>
          <t>10</t>
        </is>
      </c>
      <c r="K977" s="12" t="n">
        <v>1</v>
      </c>
    </row>
    <row r="978">
      <c r="A978" s="12" t="inlineStr">
        <is>
          <t>CCS T-2: 230/13.8 kV</t>
        </is>
      </c>
      <c r="B978" s="12" t="inlineStr">
        <is>
          <t>CCS T-2</t>
        </is>
      </c>
      <c r="C978" s="12" t="inlineStr">
        <is>
          <t>G</t>
        </is>
      </c>
      <c r="D978" s="12" t="inlineStr">
        <is>
          <t>Motor 2 of 6, 2 kW</t>
        </is>
      </c>
      <c r="E978" s="12" t="n">
        <v>480</v>
      </c>
      <c r="F978" s="12" t="n">
        <v>2</v>
      </c>
      <c r="G978" s="12" t="n">
        <v>2.8</v>
      </c>
      <c r="H978" s="12" t="inlineStr">
        <is>
          <t>CCS MV switchgear building (VFDs)</t>
        </is>
      </c>
      <c r="I978" s="12" t="inlineStr">
        <is>
          <t>LV 600 V</t>
        </is>
      </c>
      <c r="J978" s="12" t="inlineStr">
        <is>
          <t>10</t>
        </is>
      </c>
      <c r="K978" s="12" t="n">
        <v>1</v>
      </c>
    </row>
    <row r="979">
      <c r="A979" s="12" t="inlineStr">
        <is>
          <t>CCS T-2: 230/13.8 kV</t>
        </is>
      </c>
      <c r="B979" s="12" t="inlineStr">
        <is>
          <t>CCS T-2</t>
        </is>
      </c>
      <c r="C979" s="12" t="inlineStr">
        <is>
          <t>G</t>
        </is>
      </c>
      <c r="D979" s="12" t="inlineStr">
        <is>
          <t>Motor 3 of 6, 2 kW</t>
        </is>
      </c>
      <c r="E979" s="12" t="n">
        <v>480</v>
      </c>
      <c r="F979" s="12" t="n">
        <v>2</v>
      </c>
      <c r="G979" s="12" t="n">
        <v>2.8</v>
      </c>
      <c r="H979" s="12" t="inlineStr">
        <is>
          <t>CCS MV switchgear building (VFDs)</t>
        </is>
      </c>
      <c r="I979" s="12" t="inlineStr">
        <is>
          <t>LV 600 V</t>
        </is>
      </c>
      <c r="J979" s="12" t="inlineStr">
        <is>
          <t>10</t>
        </is>
      </c>
      <c r="K979" s="12" t="n">
        <v>1</v>
      </c>
    </row>
    <row r="980">
      <c r="A980" s="12" t="inlineStr">
        <is>
          <t>CCS T-2: 230/13.8 kV</t>
        </is>
      </c>
      <c r="B980" s="12" t="inlineStr">
        <is>
          <t>CCS T-2</t>
        </is>
      </c>
      <c r="C980" s="12" t="inlineStr">
        <is>
          <t>G</t>
        </is>
      </c>
      <c r="D980" s="12" t="inlineStr">
        <is>
          <t>Motor 4 of 6, 2 kW</t>
        </is>
      </c>
      <c r="E980" s="12" t="n">
        <v>480</v>
      </c>
      <c r="F980" s="12" t="n">
        <v>2</v>
      </c>
      <c r="G980" s="12" t="n">
        <v>2.8</v>
      </c>
      <c r="H980" s="12" t="inlineStr">
        <is>
          <t>CCS MV switchgear building (VFDs)</t>
        </is>
      </c>
      <c r="I980" s="12" t="inlineStr">
        <is>
          <t>LV 600 V</t>
        </is>
      </c>
      <c r="J980" s="12" t="inlineStr">
        <is>
          <t>10</t>
        </is>
      </c>
      <c r="K980" s="12" t="n">
        <v>1</v>
      </c>
    </row>
    <row r="981">
      <c r="A981" s="12" t="inlineStr">
        <is>
          <t>CCS T-2: 230/13.8 kV</t>
        </is>
      </c>
      <c r="B981" s="12" t="inlineStr">
        <is>
          <t>CCS T-2</t>
        </is>
      </c>
      <c r="C981" s="12" t="inlineStr">
        <is>
          <t>G</t>
        </is>
      </c>
      <c r="D981" s="12" t="inlineStr">
        <is>
          <t>Motor 5 of 6, 2 kW</t>
        </is>
      </c>
      <c r="E981" s="12" t="n">
        <v>480</v>
      </c>
      <c r="F981" s="12" t="n">
        <v>2</v>
      </c>
      <c r="G981" s="12" t="n">
        <v>2.8</v>
      </c>
      <c r="H981" s="12" t="inlineStr">
        <is>
          <t>CCS MV switchgear building (VFDs)</t>
        </is>
      </c>
      <c r="I981" s="12" t="inlineStr">
        <is>
          <t>LV 600 V</t>
        </is>
      </c>
      <c r="J981" s="12" t="inlineStr">
        <is>
          <t>10</t>
        </is>
      </c>
      <c r="K981" s="12" t="n">
        <v>1</v>
      </c>
    </row>
    <row r="982">
      <c r="A982" s="12" t="inlineStr">
        <is>
          <t>CCS T-2: 230/13.8 kV</t>
        </is>
      </c>
      <c r="B982" s="12" t="inlineStr">
        <is>
          <t>CCS T-2</t>
        </is>
      </c>
      <c r="C982" s="12" t="inlineStr">
        <is>
          <t>G</t>
        </is>
      </c>
      <c r="D982" s="12" t="inlineStr">
        <is>
          <t>Motor 6 of 6, 2 kW</t>
        </is>
      </c>
      <c r="E982" s="12" t="n">
        <v>480</v>
      </c>
      <c r="F982" s="12" t="n">
        <v>2</v>
      </c>
      <c r="G982" s="12" t="n">
        <v>2.8</v>
      </c>
      <c r="H982" s="12" t="inlineStr">
        <is>
          <t>CCS MV switchgear building (VFDs)</t>
        </is>
      </c>
      <c r="I982" s="12" t="inlineStr">
        <is>
          <t>LV 600 V</t>
        </is>
      </c>
      <c r="J982" s="12" t="inlineStr">
        <is>
          <t>10</t>
        </is>
      </c>
      <c r="K982" s="12" t="n">
        <v>1</v>
      </c>
    </row>
    <row r="983">
      <c r="A983" s="12" t="inlineStr">
        <is>
          <t>CCS cooling tower (~30 cells): CCS process cooling only</t>
        </is>
      </c>
      <c r="B983" s="12" t="inlineStr">
        <is>
          <t>CCS-CT</t>
        </is>
      </c>
      <c r="C983" s="12" t="inlineStr">
        <is>
          <t>G</t>
        </is>
      </c>
      <c r="D983" s="12" t="inlineStr">
        <is>
          <t>Motor 1 of 30, 110 kW (VFD output)</t>
        </is>
      </c>
      <c r="E983" s="12" t="n">
        <v>480</v>
      </c>
      <c r="F983" s="12" t="n">
        <v>110</v>
      </c>
      <c r="G983" s="12" t="n">
        <v>156</v>
      </c>
      <c r="H983" s="12" t="inlineStr">
        <is>
          <t>CT MCC / VFD e-house</t>
        </is>
      </c>
      <c r="I983" s="12" t="inlineStr">
        <is>
          <t>LV 600 V</t>
        </is>
      </c>
      <c r="J983" s="12" t="inlineStr">
        <is>
          <t>3/0</t>
        </is>
      </c>
      <c r="K983" s="12" t="n">
        <v>1</v>
      </c>
    </row>
    <row r="984">
      <c r="A984" s="12" t="inlineStr">
        <is>
          <t>CCS cooling tower (~30 cells): CCS process cooling only</t>
        </is>
      </c>
      <c r="B984" s="12" t="inlineStr">
        <is>
          <t>CCS-CT</t>
        </is>
      </c>
      <c r="C984" s="12" t="inlineStr">
        <is>
          <t>G</t>
        </is>
      </c>
      <c r="D984" s="12" t="inlineStr">
        <is>
          <t>Motor 2 of 30, 110 kW (VFD output)</t>
        </is>
      </c>
      <c r="E984" s="12" t="n">
        <v>480</v>
      </c>
      <c r="F984" s="12" t="n">
        <v>110</v>
      </c>
      <c r="G984" s="12" t="n">
        <v>156</v>
      </c>
      <c r="H984" s="12" t="inlineStr">
        <is>
          <t>CT MCC / VFD e-house</t>
        </is>
      </c>
      <c r="I984" s="12" t="inlineStr">
        <is>
          <t>LV 600 V</t>
        </is>
      </c>
      <c r="J984" s="12" t="inlineStr">
        <is>
          <t>3/0</t>
        </is>
      </c>
      <c r="K984" s="12" t="n">
        <v>1</v>
      </c>
    </row>
    <row r="985">
      <c r="A985" s="12" t="inlineStr">
        <is>
          <t>CCS cooling tower (~30 cells): CCS process cooling only</t>
        </is>
      </c>
      <c r="B985" s="12" t="inlineStr">
        <is>
          <t>CCS-CT</t>
        </is>
      </c>
      <c r="C985" s="12" t="inlineStr">
        <is>
          <t>G</t>
        </is>
      </c>
      <c r="D985" s="12" t="inlineStr">
        <is>
          <t>Motor 3 of 30, 110 kW (VFD output)</t>
        </is>
      </c>
      <c r="E985" s="12" t="n">
        <v>480</v>
      </c>
      <c r="F985" s="12" t="n">
        <v>110</v>
      </c>
      <c r="G985" s="12" t="n">
        <v>156</v>
      </c>
      <c r="H985" s="12" t="inlineStr">
        <is>
          <t>CT MCC / VFD e-house</t>
        </is>
      </c>
      <c r="I985" s="12" t="inlineStr">
        <is>
          <t>LV 600 V</t>
        </is>
      </c>
      <c r="J985" s="12" t="inlineStr">
        <is>
          <t>3/0</t>
        </is>
      </c>
      <c r="K985" s="12" t="n">
        <v>1</v>
      </c>
    </row>
    <row r="986">
      <c r="A986" s="12" t="inlineStr">
        <is>
          <t>CCS cooling tower (~30 cells): CCS process cooling only</t>
        </is>
      </c>
      <c r="B986" s="12" t="inlineStr">
        <is>
          <t>CCS-CT</t>
        </is>
      </c>
      <c r="C986" s="12" t="inlineStr">
        <is>
          <t>G</t>
        </is>
      </c>
      <c r="D986" s="12" t="inlineStr">
        <is>
          <t>Motor 4 of 30, 110 kW (VFD output)</t>
        </is>
      </c>
      <c r="E986" s="12" t="n">
        <v>480</v>
      </c>
      <c r="F986" s="12" t="n">
        <v>110</v>
      </c>
      <c r="G986" s="12" t="n">
        <v>156</v>
      </c>
      <c r="H986" s="12" t="inlineStr">
        <is>
          <t>CT MCC / VFD e-house</t>
        </is>
      </c>
      <c r="I986" s="12" t="inlineStr">
        <is>
          <t>LV 600 V</t>
        </is>
      </c>
      <c r="J986" s="12" t="inlineStr">
        <is>
          <t>3/0</t>
        </is>
      </c>
      <c r="K986" s="12" t="n">
        <v>1</v>
      </c>
    </row>
    <row r="987">
      <c r="A987" s="12" t="inlineStr">
        <is>
          <t>CCS cooling tower (~30 cells): CCS process cooling only</t>
        </is>
      </c>
      <c r="B987" s="12" t="inlineStr">
        <is>
          <t>CCS-CT</t>
        </is>
      </c>
      <c r="C987" s="12" t="inlineStr">
        <is>
          <t>G</t>
        </is>
      </c>
      <c r="D987" s="12" t="inlineStr">
        <is>
          <t>Motor 5 of 30, 110 kW (VFD output)</t>
        </is>
      </c>
      <c r="E987" s="12" t="n">
        <v>480</v>
      </c>
      <c r="F987" s="12" t="n">
        <v>110</v>
      </c>
      <c r="G987" s="12" t="n">
        <v>156</v>
      </c>
      <c r="H987" s="12" t="inlineStr">
        <is>
          <t>CT MCC / VFD e-house</t>
        </is>
      </c>
      <c r="I987" s="12" t="inlineStr">
        <is>
          <t>LV 600 V</t>
        </is>
      </c>
      <c r="J987" s="12" t="inlineStr">
        <is>
          <t>3/0</t>
        </is>
      </c>
      <c r="K987" s="12" t="n">
        <v>1</v>
      </c>
    </row>
    <row r="988">
      <c r="A988" s="12" t="inlineStr">
        <is>
          <t>CCS cooling tower (~30 cells): CCS process cooling only</t>
        </is>
      </c>
      <c r="B988" s="12" t="inlineStr">
        <is>
          <t>CCS-CT</t>
        </is>
      </c>
      <c r="C988" s="12" t="inlineStr">
        <is>
          <t>G</t>
        </is>
      </c>
      <c r="D988" s="12" t="inlineStr">
        <is>
          <t>Motor 6 of 30, 110 kW (VFD output)</t>
        </is>
      </c>
      <c r="E988" s="12" t="n">
        <v>480</v>
      </c>
      <c r="F988" s="12" t="n">
        <v>110</v>
      </c>
      <c r="G988" s="12" t="n">
        <v>156</v>
      </c>
      <c r="H988" s="12" t="inlineStr">
        <is>
          <t>CT MCC / VFD e-house</t>
        </is>
      </c>
      <c r="I988" s="12" t="inlineStr">
        <is>
          <t>LV 600 V</t>
        </is>
      </c>
      <c r="J988" s="12" t="inlineStr">
        <is>
          <t>3/0</t>
        </is>
      </c>
      <c r="K988" s="12" t="n">
        <v>1</v>
      </c>
    </row>
    <row r="989">
      <c r="A989" s="12" t="inlineStr">
        <is>
          <t>CCS cooling tower (~30 cells): CCS process cooling only</t>
        </is>
      </c>
      <c r="B989" s="12" t="inlineStr">
        <is>
          <t>CCS-CT</t>
        </is>
      </c>
      <c r="C989" s="12" t="inlineStr">
        <is>
          <t>G</t>
        </is>
      </c>
      <c r="D989" s="12" t="inlineStr">
        <is>
          <t>Motor 7 of 30, 110 kW (VFD output)</t>
        </is>
      </c>
      <c r="E989" s="12" t="n">
        <v>480</v>
      </c>
      <c r="F989" s="12" t="n">
        <v>110</v>
      </c>
      <c r="G989" s="12" t="n">
        <v>156</v>
      </c>
      <c r="H989" s="12" t="inlineStr">
        <is>
          <t>CT MCC / VFD e-house</t>
        </is>
      </c>
      <c r="I989" s="12" t="inlineStr">
        <is>
          <t>LV 600 V</t>
        </is>
      </c>
      <c r="J989" s="12" t="inlineStr">
        <is>
          <t>3/0</t>
        </is>
      </c>
      <c r="K989" s="12" t="n">
        <v>1</v>
      </c>
    </row>
    <row r="990">
      <c r="A990" s="12" t="inlineStr">
        <is>
          <t>CCS cooling tower (~30 cells): CCS process cooling only</t>
        </is>
      </c>
      <c r="B990" s="12" t="inlineStr">
        <is>
          <t>CCS-CT</t>
        </is>
      </c>
      <c r="C990" s="12" t="inlineStr">
        <is>
          <t>G</t>
        </is>
      </c>
      <c r="D990" s="12" t="inlineStr">
        <is>
          <t>Motor 8 of 30, 110 kW (VFD output)</t>
        </is>
      </c>
      <c r="E990" s="12" t="n">
        <v>480</v>
      </c>
      <c r="F990" s="12" t="n">
        <v>110</v>
      </c>
      <c r="G990" s="12" t="n">
        <v>156</v>
      </c>
      <c r="H990" s="12" t="inlineStr">
        <is>
          <t>CT MCC / VFD e-house</t>
        </is>
      </c>
      <c r="I990" s="12" t="inlineStr">
        <is>
          <t>LV 600 V</t>
        </is>
      </c>
      <c r="J990" s="12" t="inlineStr">
        <is>
          <t>3/0</t>
        </is>
      </c>
      <c r="K990" s="12" t="n">
        <v>1</v>
      </c>
    </row>
    <row r="991">
      <c r="A991" s="12" t="inlineStr">
        <is>
          <t>CCS cooling tower (~30 cells): CCS process cooling only</t>
        </is>
      </c>
      <c r="B991" s="12" t="inlineStr">
        <is>
          <t>CCS-CT</t>
        </is>
      </c>
      <c r="C991" s="12" t="inlineStr">
        <is>
          <t>G</t>
        </is>
      </c>
      <c r="D991" s="12" t="inlineStr">
        <is>
          <t>Motor 9 of 30, 110 kW (VFD output)</t>
        </is>
      </c>
      <c r="E991" s="12" t="n">
        <v>480</v>
      </c>
      <c r="F991" s="12" t="n">
        <v>110</v>
      </c>
      <c r="G991" s="12" t="n">
        <v>156</v>
      </c>
      <c r="H991" s="12" t="inlineStr">
        <is>
          <t>CT MCC / VFD e-house</t>
        </is>
      </c>
      <c r="I991" s="12" t="inlineStr">
        <is>
          <t>LV 600 V</t>
        </is>
      </c>
      <c r="J991" s="12" t="inlineStr">
        <is>
          <t>3/0</t>
        </is>
      </c>
      <c r="K991" s="12" t="n">
        <v>1</v>
      </c>
    </row>
    <row r="992">
      <c r="A992" s="12" t="inlineStr">
        <is>
          <t>CCS cooling tower (~30 cells): CCS process cooling only</t>
        </is>
      </c>
      <c r="B992" s="12" t="inlineStr">
        <is>
          <t>CCS-CT</t>
        </is>
      </c>
      <c r="C992" s="12" t="inlineStr">
        <is>
          <t>G</t>
        </is>
      </c>
      <c r="D992" s="12" t="inlineStr">
        <is>
          <t>Motor 10 of 30, 110 kW (VFD output)</t>
        </is>
      </c>
      <c r="E992" s="12" t="n">
        <v>480</v>
      </c>
      <c r="F992" s="12" t="n">
        <v>110</v>
      </c>
      <c r="G992" s="12" t="n">
        <v>156</v>
      </c>
      <c r="H992" s="12" t="inlineStr">
        <is>
          <t>CT MCC / VFD e-house</t>
        </is>
      </c>
      <c r="I992" s="12" t="inlineStr">
        <is>
          <t>LV 600 V</t>
        </is>
      </c>
      <c r="J992" s="12" t="inlineStr">
        <is>
          <t>3/0</t>
        </is>
      </c>
      <c r="K992" s="12" t="n">
        <v>1</v>
      </c>
    </row>
    <row r="993">
      <c r="A993" s="12" t="inlineStr">
        <is>
          <t>CCS cooling tower (~30 cells): CCS process cooling only</t>
        </is>
      </c>
      <c r="B993" s="12" t="inlineStr">
        <is>
          <t>CCS-CT</t>
        </is>
      </c>
      <c r="C993" s="12" t="inlineStr">
        <is>
          <t>G</t>
        </is>
      </c>
      <c r="D993" s="12" t="inlineStr">
        <is>
          <t>Motor 11 of 30, 110 kW (VFD output)</t>
        </is>
      </c>
      <c r="E993" s="12" t="n">
        <v>480</v>
      </c>
      <c r="F993" s="12" t="n">
        <v>110</v>
      </c>
      <c r="G993" s="12" t="n">
        <v>156</v>
      </c>
      <c r="H993" s="12" t="inlineStr">
        <is>
          <t>CT MCC / VFD e-house</t>
        </is>
      </c>
      <c r="I993" s="12" t="inlineStr">
        <is>
          <t>LV 600 V</t>
        </is>
      </c>
      <c r="J993" s="12" t="inlineStr">
        <is>
          <t>3/0</t>
        </is>
      </c>
      <c r="K993" s="12" t="n">
        <v>1</v>
      </c>
    </row>
    <row r="994">
      <c r="A994" s="12" t="inlineStr">
        <is>
          <t>CCS cooling tower (~30 cells): CCS process cooling only</t>
        </is>
      </c>
      <c r="B994" s="12" t="inlineStr">
        <is>
          <t>CCS-CT</t>
        </is>
      </c>
      <c r="C994" s="12" t="inlineStr">
        <is>
          <t>G</t>
        </is>
      </c>
      <c r="D994" s="12" t="inlineStr">
        <is>
          <t>Motor 12 of 30, 110 kW (VFD output)</t>
        </is>
      </c>
      <c r="E994" s="12" t="n">
        <v>480</v>
      </c>
      <c r="F994" s="12" t="n">
        <v>110</v>
      </c>
      <c r="G994" s="12" t="n">
        <v>156</v>
      </c>
      <c r="H994" s="12" t="inlineStr">
        <is>
          <t>CT MCC / VFD e-house</t>
        </is>
      </c>
      <c r="I994" s="12" t="inlineStr">
        <is>
          <t>LV 600 V</t>
        </is>
      </c>
      <c r="J994" s="12" t="inlineStr">
        <is>
          <t>3/0</t>
        </is>
      </c>
      <c r="K994" s="12" t="n">
        <v>1</v>
      </c>
    </row>
    <row r="995">
      <c r="A995" s="12" t="inlineStr">
        <is>
          <t>CCS cooling tower (~30 cells): CCS process cooling only</t>
        </is>
      </c>
      <c r="B995" s="12" t="inlineStr">
        <is>
          <t>CCS-CT</t>
        </is>
      </c>
      <c r="C995" s="12" t="inlineStr">
        <is>
          <t>G</t>
        </is>
      </c>
      <c r="D995" s="12" t="inlineStr">
        <is>
          <t>Motor 13 of 30, 110 kW (VFD output)</t>
        </is>
      </c>
      <c r="E995" s="12" t="n">
        <v>480</v>
      </c>
      <c r="F995" s="12" t="n">
        <v>110</v>
      </c>
      <c r="G995" s="12" t="n">
        <v>156</v>
      </c>
      <c r="H995" s="12" t="inlineStr">
        <is>
          <t>CT MCC / VFD e-house</t>
        </is>
      </c>
      <c r="I995" s="12" t="inlineStr">
        <is>
          <t>LV 600 V</t>
        </is>
      </c>
      <c r="J995" s="12" t="inlineStr">
        <is>
          <t>3/0</t>
        </is>
      </c>
      <c r="K995" s="12" t="n">
        <v>1</v>
      </c>
    </row>
    <row r="996">
      <c r="A996" s="12" t="inlineStr">
        <is>
          <t>CCS cooling tower (~30 cells): CCS process cooling only</t>
        </is>
      </c>
      <c r="B996" s="12" t="inlineStr">
        <is>
          <t>CCS-CT</t>
        </is>
      </c>
      <c r="C996" s="12" t="inlineStr">
        <is>
          <t>G</t>
        </is>
      </c>
      <c r="D996" s="12" t="inlineStr">
        <is>
          <t>Motor 14 of 30, 110 kW (VFD output)</t>
        </is>
      </c>
      <c r="E996" s="12" t="n">
        <v>480</v>
      </c>
      <c r="F996" s="12" t="n">
        <v>110</v>
      </c>
      <c r="G996" s="12" t="n">
        <v>156</v>
      </c>
      <c r="H996" s="12" t="inlineStr">
        <is>
          <t>CT MCC / VFD e-house</t>
        </is>
      </c>
      <c r="I996" s="12" t="inlineStr">
        <is>
          <t>LV 600 V</t>
        </is>
      </c>
      <c r="J996" s="12" t="inlineStr">
        <is>
          <t>3/0</t>
        </is>
      </c>
      <c r="K996" s="12" t="n">
        <v>1</v>
      </c>
    </row>
    <row r="997">
      <c r="A997" s="12" t="inlineStr">
        <is>
          <t>CCS cooling tower (~30 cells): CCS process cooling only</t>
        </is>
      </c>
      <c r="B997" s="12" t="inlineStr">
        <is>
          <t>CCS-CT</t>
        </is>
      </c>
      <c r="C997" s="12" t="inlineStr">
        <is>
          <t>G</t>
        </is>
      </c>
      <c r="D997" s="12" t="inlineStr">
        <is>
          <t>Motor 15 of 30, 110 kW (VFD output)</t>
        </is>
      </c>
      <c r="E997" s="12" t="n">
        <v>480</v>
      </c>
      <c r="F997" s="12" t="n">
        <v>110</v>
      </c>
      <c r="G997" s="12" t="n">
        <v>156</v>
      </c>
      <c r="H997" s="12" t="inlineStr">
        <is>
          <t>CT MCC / VFD e-house</t>
        </is>
      </c>
      <c r="I997" s="12" t="inlineStr">
        <is>
          <t>LV 600 V</t>
        </is>
      </c>
      <c r="J997" s="12" t="inlineStr">
        <is>
          <t>3/0</t>
        </is>
      </c>
      <c r="K997" s="12" t="n">
        <v>1</v>
      </c>
    </row>
    <row r="998">
      <c r="A998" s="12" t="inlineStr">
        <is>
          <t>CCS cooling tower (~30 cells): CCS process cooling only</t>
        </is>
      </c>
      <c r="B998" s="12" t="inlineStr">
        <is>
          <t>CCS-CT</t>
        </is>
      </c>
      <c r="C998" s="12" t="inlineStr">
        <is>
          <t>G</t>
        </is>
      </c>
      <c r="D998" s="12" t="inlineStr">
        <is>
          <t>Motor 16 of 30, 110 kW (VFD output)</t>
        </is>
      </c>
      <c r="E998" s="12" t="n">
        <v>480</v>
      </c>
      <c r="F998" s="12" t="n">
        <v>110</v>
      </c>
      <c r="G998" s="12" t="n">
        <v>156</v>
      </c>
      <c r="H998" s="12" t="inlineStr">
        <is>
          <t>CT MCC / VFD e-house</t>
        </is>
      </c>
      <c r="I998" s="12" t="inlineStr">
        <is>
          <t>LV 600 V</t>
        </is>
      </c>
      <c r="J998" s="12" t="inlineStr">
        <is>
          <t>3/0</t>
        </is>
      </c>
      <c r="K998" s="12" t="n">
        <v>1</v>
      </c>
    </row>
    <row r="999">
      <c r="A999" s="12" t="inlineStr">
        <is>
          <t>CCS cooling tower (~30 cells): CCS process cooling only</t>
        </is>
      </c>
      <c r="B999" s="12" t="inlineStr">
        <is>
          <t>CCS-CT</t>
        </is>
      </c>
      <c r="C999" s="12" t="inlineStr">
        <is>
          <t>G</t>
        </is>
      </c>
      <c r="D999" s="12" t="inlineStr">
        <is>
          <t>Motor 17 of 30, 110 kW (VFD output)</t>
        </is>
      </c>
      <c r="E999" s="12" t="n">
        <v>480</v>
      </c>
      <c r="F999" s="12" t="n">
        <v>110</v>
      </c>
      <c r="G999" s="12" t="n">
        <v>156</v>
      </c>
      <c r="H999" s="12" t="inlineStr">
        <is>
          <t>CT MCC / VFD e-house</t>
        </is>
      </c>
      <c r="I999" s="12" t="inlineStr">
        <is>
          <t>LV 600 V</t>
        </is>
      </c>
      <c r="J999" s="12" t="inlineStr">
        <is>
          <t>3/0</t>
        </is>
      </c>
      <c r="K999" s="12" t="n">
        <v>1</v>
      </c>
    </row>
    <row r="1000">
      <c r="A1000" s="12" t="inlineStr">
        <is>
          <t>CCS cooling tower (~30 cells): CCS process cooling only</t>
        </is>
      </c>
      <c r="B1000" s="12" t="inlineStr">
        <is>
          <t>CCS-CT</t>
        </is>
      </c>
      <c r="C1000" s="12" t="inlineStr">
        <is>
          <t>G</t>
        </is>
      </c>
      <c r="D1000" s="12" t="inlineStr">
        <is>
          <t>Motor 18 of 30, 110 kW (VFD output)</t>
        </is>
      </c>
      <c r="E1000" s="12" t="n">
        <v>480</v>
      </c>
      <c r="F1000" s="12" t="n">
        <v>110</v>
      </c>
      <c r="G1000" s="12" t="n">
        <v>156</v>
      </c>
      <c r="H1000" s="12" t="inlineStr">
        <is>
          <t>CT MCC / VFD e-house</t>
        </is>
      </c>
      <c r="I1000" s="12" t="inlineStr">
        <is>
          <t>LV 600 V</t>
        </is>
      </c>
      <c r="J1000" s="12" t="inlineStr">
        <is>
          <t>3/0</t>
        </is>
      </c>
      <c r="K1000" s="12" t="n">
        <v>1</v>
      </c>
    </row>
    <row r="1001">
      <c r="A1001" s="12" t="inlineStr">
        <is>
          <t>CCS cooling tower (~30 cells): CCS process cooling only</t>
        </is>
      </c>
      <c r="B1001" s="12" t="inlineStr">
        <is>
          <t>CCS-CT</t>
        </is>
      </c>
      <c r="C1001" s="12" t="inlineStr">
        <is>
          <t>G</t>
        </is>
      </c>
      <c r="D1001" s="12" t="inlineStr">
        <is>
          <t>Motor 19 of 30, 110 kW (VFD output)</t>
        </is>
      </c>
      <c r="E1001" s="12" t="n">
        <v>480</v>
      </c>
      <c r="F1001" s="12" t="n">
        <v>110</v>
      </c>
      <c r="G1001" s="12" t="n">
        <v>156</v>
      </c>
      <c r="H1001" s="12" t="inlineStr">
        <is>
          <t>CT MCC / VFD e-house</t>
        </is>
      </c>
      <c r="I1001" s="12" t="inlineStr">
        <is>
          <t>LV 600 V</t>
        </is>
      </c>
      <c r="J1001" s="12" t="inlineStr">
        <is>
          <t>3/0</t>
        </is>
      </c>
      <c r="K1001" s="12" t="n">
        <v>1</v>
      </c>
    </row>
    <row r="1002">
      <c r="A1002" s="12" t="inlineStr">
        <is>
          <t>CCS cooling tower (~30 cells): CCS process cooling only</t>
        </is>
      </c>
      <c r="B1002" s="12" t="inlineStr">
        <is>
          <t>CCS-CT</t>
        </is>
      </c>
      <c r="C1002" s="12" t="inlineStr">
        <is>
          <t>G</t>
        </is>
      </c>
      <c r="D1002" s="12" t="inlineStr">
        <is>
          <t>Motor 20 of 30, 110 kW (VFD output)</t>
        </is>
      </c>
      <c r="E1002" s="12" t="n">
        <v>480</v>
      </c>
      <c r="F1002" s="12" t="n">
        <v>110</v>
      </c>
      <c r="G1002" s="12" t="n">
        <v>156</v>
      </c>
      <c r="H1002" s="12" t="inlineStr">
        <is>
          <t>CT MCC / VFD e-house</t>
        </is>
      </c>
      <c r="I1002" s="12" t="inlineStr">
        <is>
          <t>LV 600 V</t>
        </is>
      </c>
      <c r="J1002" s="12" t="inlineStr">
        <is>
          <t>3/0</t>
        </is>
      </c>
      <c r="K1002" s="12" t="n">
        <v>1</v>
      </c>
    </row>
    <row r="1003">
      <c r="A1003" s="12" t="inlineStr">
        <is>
          <t>CCS cooling tower (~30 cells): CCS process cooling only</t>
        </is>
      </c>
      <c r="B1003" s="12" t="inlineStr">
        <is>
          <t>CCS-CT</t>
        </is>
      </c>
      <c r="C1003" s="12" t="inlineStr">
        <is>
          <t>G</t>
        </is>
      </c>
      <c r="D1003" s="12" t="inlineStr">
        <is>
          <t>Motor 21 of 30, 110 kW (VFD output)</t>
        </is>
      </c>
      <c r="E1003" s="12" t="n">
        <v>480</v>
      </c>
      <c r="F1003" s="12" t="n">
        <v>110</v>
      </c>
      <c r="G1003" s="12" t="n">
        <v>156</v>
      </c>
      <c r="H1003" s="12" t="inlineStr">
        <is>
          <t>CT MCC / VFD e-house</t>
        </is>
      </c>
      <c r="I1003" s="12" t="inlineStr">
        <is>
          <t>LV 600 V</t>
        </is>
      </c>
      <c r="J1003" s="12" t="inlineStr">
        <is>
          <t>3/0</t>
        </is>
      </c>
      <c r="K1003" s="12" t="n">
        <v>1</v>
      </c>
    </row>
    <row r="1004">
      <c r="A1004" s="12" t="inlineStr">
        <is>
          <t>CCS cooling tower (~30 cells): CCS process cooling only</t>
        </is>
      </c>
      <c r="B1004" s="12" t="inlineStr">
        <is>
          <t>CCS-CT</t>
        </is>
      </c>
      <c r="C1004" s="12" t="inlineStr">
        <is>
          <t>G</t>
        </is>
      </c>
      <c r="D1004" s="12" t="inlineStr">
        <is>
          <t>Motor 22 of 30, 110 kW (VFD output)</t>
        </is>
      </c>
      <c r="E1004" s="12" t="n">
        <v>480</v>
      </c>
      <c r="F1004" s="12" t="n">
        <v>110</v>
      </c>
      <c r="G1004" s="12" t="n">
        <v>156</v>
      </c>
      <c r="H1004" s="12" t="inlineStr">
        <is>
          <t>CT MCC / VFD e-house</t>
        </is>
      </c>
      <c r="I1004" s="12" t="inlineStr">
        <is>
          <t>LV 600 V</t>
        </is>
      </c>
      <c r="J1004" s="12" t="inlineStr">
        <is>
          <t>3/0</t>
        </is>
      </c>
      <c r="K1004" s="12" t="n">
        <v>1</v>
      </c>
    </row>
    <row r="1005">
      <c r="A1005" s="12" t="inlineStr">
        <is>
          <t>CCS cooling tower (~30 cells): CCS process cooling only</t>
        </is>
      </c>
      <c r="B1005" s="12" t="inlineStr">
        <is>
          <t>CCS-CT</t>
        </is>
      </c>
      <c r="C1005" s="12" t="inlineStr">
        <is>
          <t>G</t>
        </is>
      </c>
      <c r="D1005" s="12" t="inlineStr">
        <is>
          <t>Motor 23 of 30, 110 kW (VFD output)</t>
        </is>
      </c>
      <c r="E1005" s="12" t="n">
        <v>480</v>
      </c>
      <c r="F1005" s="12" t="n">
        <v>110</v>
      </c>
      <c r="G1005" s="12" t="n">
        <v>156</v>
      </c>
      <c r="H1005" s="12" t="inlineStr">
        <is>
          <t>CT MCC / VFD e-house</t>
        </is>
      </c>
      <c r="I1005" s="12" t="inlineStr">
        <is>
          <t>LV 600 V</t>
        </is>
      </c>
      <c r="J1005" s="12" t="inlineStr">
        <is>
          <t>3/0</t>
        </is>
      </c>
      <c r="K1005" s="12" t="n">
        <v>1</v>
      </c>
    </row>
    <row r="1006">
      <c r="A1006" s="12" t="inlineStr">
        <is>
          <t>CCS cooling tower (~30 cells): CCS process cooling only</t>
        </is>
      </c>
      <c r="B1006" s="12" t="inlineStr">
        <is>
          <t>CCS-CT</t>
        </is>
      </c>
      <c r="C1006" s="12" t="inlineStr">
        <is>
          <t>G</t>
        </is>
      </c>
      <c r="D1006" s="12" t="inlineStr">
        <is>
          <t>Motor 24 of 30, 110 kW (VFD output)</t>
        </is>
      </c>
      <c r="E1006" s="12" t="n">
        <v>480</v>
      </c>
      <c r="F1006" s="12" t="n">
        <v>110</v>
      </c>
      <c r="G1006" s="12" t="n">
        <v>156</v>
      </c>
      <c r="H1006" s="12" t="inlineStr">
        <is>
          <t>CT MCC / VFD e-house</t>
        </is>
      </c>
      <c r="I1006" s="12" t="inlineStr">
        <is>
          <t>LV 600 V</t>
        </is>
      </c>
      <c r="J1006" s="12" t="inlineStr">
        <is>
          <t>3/0</t>
        </is>
      </c>
      <c r="K1006" s="12" t="n">
        <v>1</v>
      </c>
    </row>
    <row r="1007">
      <c r="A1007" s="12" t="inlineStr">
        <is>
          <t>CCS cooling tower (~30 cells): CCS process cooling only</t>
        </is>
      </c>
      <c r="B1007" s="12" t="inlineStr">
        <is>
          <t>CCS-CT</t>
        </is>
      </c>
      <c r="C1007" s="12" t="inlineStr">
        <is>
          <t>G</t>
        </is>
      </c>
      <c r="D1007" s="12" t="inlineStr">
        <is>
          <t>Motor 25 of 30, 110 kW (VFD output)</t>
        </is>
      </c>
      <c r="E1007" s="12" t="n">
        <v>480</v>
      </c>
      <c r="F1007" s="12" t="n">
        <v>110</v>
      </c>
      <c r="G1007" s="12" t="n">
        <v>156</v>
      </c>
      <c r="H1007" s="12" t="inlineStr">
        <is>
          <t>CT MCC / VFD e-house</t>
        </is>
      </c>
      <c r="I1007" s="12" t="inlineStr">
        <is>
          <t>LV 600 V</t>
        </is>
      </c>
      <c r="J1007" s="12" t="inlineStr">
        <is>
          <t>3/0</t>
        </is>
      </c>
      <c r="K1007" s="12" t="n">
        <v>1</v>
      </c>
    </row>
    <row r="1008">
      <c r="A1008" s="12" t="inlineStr">
        <is>
          <t>CCS cooling tower (~30 cells): CCS process cooling only</t>
        </is>
      </c>
      <c r="B1008" s="12" t="inlineStr">
        <is>
          <t>CCS-CT</t>
        </is>
      </c>
      <c r="C1008" s="12" t="inlineStr">
        <is>
          <t>G</t>
        </is>
      </c>
      <c r="D1008" s="12" t="inlineStr">
        <is>
          <t>Motor 26 of 30, 110 kW (VFD output)</t>
        </is>
      </c>
      <c r="E1008" s="12" t="n">
        <v>480</v>
      </c>
      <c r="F1008" s="12" t="n">
        <v>110</v>
      </c>
      <c r="G1008" s="12" t="n">
        <v>156</v>
      </c>
      <c r="H1008" s="12" t="inlineStr">
        <is>
          <t>CT MCC / VFD e-house</t>
        </is>
      </c>
      <c r="I1008" s="12" t="inlineStr">
        <is>
          <t>LV 600 V</t>
        </is>
      </c>
      <c r="J1008" s="12" t="inlineStr">
        <is>
          <t>3/0</t>
        </is>
      </c>
      <c r="K1008" s="12" t="n">
        <v>1</v>
      </c>
    </row>
    <row r="1009">
      <c r="A1009" s="12" t="inlineStr">
        <is>
          <t>CCS cooling tower (~30 cells): CCS process cooling only</t>
        </is>
      </c>
      <c r="B1009" s="12" t="inlineStr">
        <is>
          <t>CCS-CT</t>
        </is>
      </c>
      <c r="C1009" s="12" t="inlineStr">
        <is>
          <t>G</t>
        </is>
      </c>
      <c r="D1009" s="12" t="inlineStr">
        <is>
          <t>Motor 27 of 30, 110 kW (VFD output)</t>
        </is>
      </c>
      <c r="E1009" s="12" t="n">
        <v>480</v>
      </c>
      <c r="F1009" s="12" t="n">
        <v>110</v>
      </c>
      <c r="G1009" s="12" t="n">
        <v>156</v>
      </c>
      <c r="H1009" s="12" t="inlineStr">
        <is>
          <t>CT MCC / VFD e-house</t>
        </is>
      </c>
      <c r="I1009" s="12" t="inlineStr">
        <is>
          <t>LV 600 V</t>
        </is>
      </c>
      <c r="J1009" s="12" t="inlineStr">
        <is>
          <t>3/0</t>
        </is>
      </c>
      <c r="K1009" s="12" t="n">
        <v>1</v>
      </c>
    </row>
    <row r="1010">
      <c r="A1010" s="12" t="inlineStr">
        <is>
          <t>CCS cooling tower (~30 cells): CCS process cooling only</t>
        </is>
      </c>
      <c r="B1010" s="12" t="inlineStr">
        <is>
          <t>CCS-CT</t>
        </is>
      </c>
      <c r="C1010" s="12" t="inlineStr">
        <is>
          <t>G</t>
        </is>
      </c>
      <c r="D1010" s="12" t="inlineStr">
        <is>
          <t>Motor 28 of 30, 110 kW (VFD output)</t>
        </is>
      </c>
      <c r="E1010" s="12" t="n">
        <v>480</v>
      </c>
      <c r="F1010" s="12" t="n">
        <v>110</v>
      </c>
      <c r="G1010" s="12" t="n">
        <v>156</v>
      </c>
      <c r="H1010" s="12" t="inlineStr">
        <is>
          <t>CT MCC / VFD e-house</t>
        </is>
      </c>
      <c r="I1010" s="12" t="inlineStr">
        <is>
          <t>LV 600 V</t>
        </is>
      </c>
      <c r="J1010" s="12" t="inlineStr">
        <is>
          <t>3/0</t>
        </is>
      </c>
      <c r="K1010" s="12" t="n">
        <v>1</v>
      </c>
    </row>
    <row r="1011">
      <c r="A1011" s="12" t="inlineStr">
        <is>
          <t>CCS cooling tower (~30 cells): CCS process cooling only</t>
        </is>
      </c>
      <c r="B1011" s="12" t="inlineStr">
        <is>
          <t>CCS-CT</t>
        </is>
      </c>
      <c r="C1011" s="12" t="inlineStr">
        <is>
          <t>G</t>
        </is>
      </c>
      <c r="D1011" s="12" t="inlineStr">
        <is>
          <t>Motor 29 of 30, 110 kW (VFD output)</t>
        </is>
      </c>
      <c r="E1011" s="12" t="n">
        <v>480</v>
      </c>
      <c r="F1011" s="12" t="n">
        <v>110</v>
      </c>
      <c r="G1011" s="12" t="n">
        <v>156</v>
      </c>
      <c r="H1011" s="12" t="inlineStr">
        <is>
          <t>CT MCC / VFD e-house</t>
        </is>
      </c>
      <c r="I1011" s="12" t="inlineStr">
        <is>
          <t>LV 600 V</t>
        </is>
      </c>
      <c r="J1011" s="12" t="inlineStr">
        <is>
          <t>3/0</t>
        </is>
      </c>
      <c r="K1011" s="12" t="n">
        <v>1</v>
      </c>
    </row>
    <row r="1012">
      <c r="A1012" s="12" t="inlineStr">
        <is>
          <t>CCS cooling tower (~30 cells): CCS process cooling only</t>
        </is>
      </c>
      <c r="B1012" s="12" t="inlineStr">
        <is>
          <t>CCS-CT</t>
        </is>
      </c>
      <c r="C1012" s="12" t="inlineStr">
        <is>
          <t>G</t>
        </is>
      </c>
      <c r="D1012" s="12" t="inlineStr">
        <is>
          <t>Motor 30 of 30, 110 kW (VFD output)</t>
        </is>
      </c>
      <c r="E1012" s="12" t="n">
        <v>480</v>
      </c>
      <c r="F1012" s="12" t="n">
        <v>110</v>
      </c>
      <c r="G1012" s="12" t="n">
        <v>156</v>
      </c>
      <c r="H1012" s="12" t="inlineStr">
        <is>
          <t>CT MCC / VFD e-house</t>
        </is>
      </c>
      <c r="I1012" s="12" t="inlineStr">
        <is>
          <t>LV 600 V</t>
        </is>
      </c>
      <c r="J1012" s="12" t="inlineStr">
        <is>
          <t>3/0</t>
        </is>
      </c>
      <c r="K1012" s="12" t="n">
        <v>1</v>
      </c>
    </row>
    <row r="1013">
      <c r="A1013" s="12" t="inlineStr">
        <is>
          <t>CCS cooling tower (~30 cells): CCS process cooling only</t>
        </is>
      </c>
      <c r="B1013" s="12" t="inlineStr">
        <is>
          <t>CCS-CT</t>
        </is>
      </c>
      <c r="C1013" s="12" t="inlineStr">
        <is>
          <t>G</t>
        </is>
      </c>
      <c r="D1013" s="12" t="inlineStr">
        <is>
          <t>Area / platform lighting circuit 1 (12 fixtures)</t>
        </is>
      </c>
      <c r="E1013" s="12" t="n">
        <v>480</v>
      </c>
      <c r="F1013" s="12" t="n">
        <v>3</v>
      </c>
      <c r="G1013" s="12" t="n">
        <v>5</v>
      </c>
      <c r="H1013" s="12" t="inlineStr">
        <is>
          <t>CT MCC / VFD e-house</t>
        </is>
      </c>
      <c r="I1013" s="12" t="inlineStr">
        <is>
          <t>LV 600 V</t>
        </is>
      </c>
      <c r="J1013" s="12" t="inlineStr">
        <is>
          <t>10</t>
        </is>
      </c>
      <c r="K1013" s="12" t="n">
        <v>1</v>
      </c>
    </row>
    <row r="1014">
      <c r="A1014" s="12" t="inlineStr">
        <is>
          <t>CCS cooling tower (~30 cells): CCS process cooling only</t>
        </is>
      </c>
      <c r="B1014" s="12" t="inlineStr">
        <is>
          <t>CCS-CT</t>
        </is>
      </c>
      <c r="C1014" s="12" t="inlineStr">
        <is>
          <t>G</t>
        </is>
      </c>
      <c r="D1014" s="12" t="inlineStr">
        <is>
          <t>Area / platform lighting circuit 2 (12 fixtures)</t>
        </is>
      </c>
      <c r="E1014" s="12" t="n">
        <v>480</v>
      </c>
      <c r="F1014" s="12" t="n">
        <v>3</v>
      </c>
      <c r="G1014" s="12" t="n">
        <v>5</v>
      </c>
      <c r="H1014" s="12" t="inlineStr">
        <is>
          <t>CT MCC / VFD e-house</t>
        </is>
      </c>
      <c r="I1014" s="12" t="inlineStr">
        <is>
          <t>LV 600 V</t>
        </is>
      </c>
      <c r="J1014" s="12" t="inlineStr">
        <is>
          <t>10</t>
        </is>
      </c>
      <c r="K1014" s="12" t="n">
        <v>1</v>
      </c>
    </row>
    <row r="1015">
      <c r="A1015" s="12" t="inlineStr">
        <is>
          <t>CCS cooling tower (~30 cells): CCS process cooling only</t>
        </is>
      </c>
      <c r="B1015" s="12" t="inlineStr">
        <is>
          <t>CCS-CT</t>
        </is>
      </c>
      <c r="C1015" s="12" t="inlineStr">
        <is>
          <t>G</t>
        </is>
      </c>
      <c r="D1015" s="12" t="inlineStr">
        <is>
          <t>Area / platform lighting circuit 3 (6 fixtures)</t>
        </is>
      </c>
      <c r="E1015" s="12" t="n">
        <v>480</v>
      </c>
      <c r="F1015" s="12" t="n">
        <v>3</v>
      </c>
      <c r="G1015" s="12" t="n">
        <v>5</v>
      </c>
      <c r="H1015" s="12" t="inlineStr">
        <is>
          <t>CT MCC / VFD e-house</t>
        </is>
      </c>
      <c r="I1015" s="12" t="inlineStr">
        <is>
          <t>LV 600 V</t>
        </is>
      </c>
      <c r="J1015" s="12" t="inlineStr">
        <is>
          <t>10</t>
        </is>
      </c>
      <c r="K1015" s="12" t="n">
        <v>1</v>
      </c>
    </row>
    <row r="1016">
      <c r="A1016" s="12" t="inlineStr">
        <is>
          <t>CCS instrument air</t>
        </is>
      </c>
      <c r="B1016" s="12" t="inlineStr"/>
      <c r="C1016" s="12" t="inlineStr">
        <is>
          <t>G</t>
        </is>
      </c>
      <c r="D1016" s="12" t="inlineStr">
        <is>
          <t>Motor 1 of 2, 250 kW</t>
        </is>
      </c>
      <c r="E1016" s="12" t="n">
        <v>480</v>
      </c>
      <c r="F1016" s="12" t="n">
        <v>250</v>
      </c>
      <c r="G1016" s="12" t="n">
        <v>353.8</v>
      </c>
      <c r="H1016" s="12" t="inlineStr">
        <is>
          <t>CCS MV switchgear building (VFDs)</t>
        </is>
      </c>
      <c r="I1016" s="12" t="inlineStr">
        <is>
          <t>LV 600 V</t>
        </is>
      </c>
      <c r="J1016" s="12" t="inlineStr">
        <is>
          <t>4/0</t>
        </is>
      </c>
      <c r="K1016" s="12" t="n">
        <v>2</v>
      </c>
    </row>
    <row r="1017">
      <c r="A1017" s="12" t="inlineStr">
        <is>
          <t>CCS instrument air</t>
        </is>
      </c>
      <c r="B1017" s="12" t="inlineStr"/>
      <c r="C1017" s="12" t="inlineStr">
        <is>
          <t>G</t>
        </is>
      </c>
      <c r="D1017" s="12" t="inlineStr">
        <is>
          <t>Motor 2 of 2, 250 kW</t>
        </is>
      </c>
      <c r="E1017" s="12" t="n">
        <v>480</v>
      </c>
      <c r="F1017" s="12" t="n">
        <v>250</v>
      </c>
      <c r="G1017" s="12" t="n">
        <v>353.8</v>
      </c>
      <c r="H1017" s="12" t="inlineStr">
        <is>
          <t>CCS MV switchgear building (VFDs)</t>
        </is>
      </c>
      <c r="I1017" s="12" t="inlineStr">
        <is>
          <t>LV 600 V</t>
        </is>
      </c>
      <c r="J1017" s="12" t="inlineStr">
        <is>
          <t>4/0</t>
        </is>
      </c>
      <c r="K1017" s="12" t="n">
        <v>2</v>
      </c>
    </row>
    <row r="1018">
      <c r="A1018" s="12" t="inlineStr">
        <is>
          <t>CCS wastewater (DCC + tower blowdown)</t>
        </is>
      </c>
      <c r="B1018" s="12" t="inlineStr"/>
      <c r="C1018" s="12" t="inlineStr">
        <is>
          <t>G</t>
        </is>
      </c>
      <c r="D1018" s="12" t="inlineStr">
        <is>
          <t>Motor 1 of 6, 15 kW</t>
        </is>
      </c>
      <c r="E1018" s="12" t="n">
        <v>480</v>
      </c>
      <c r="F1018" s="12" t="n">
        <v>15</v>
      </c>
      <c r="G1018" s="12" t="n">
        <v>21.2</v>
      </c>
      <c r="H1018" s="12" t="inlineStr">
        <is>
          <t>CT MCC / VFD e-house</t>
        </is>
      </c>
      <c r="I1018" s="12" t="inlineStr">
        <is>
          <t>LV 600 V</t>
        </is>
      </c>
      <c r="J1018" s="12" t="inlineStr">
        <is>
          <t>10</t>
        </is>
      </c>
      <c r="K1018" s="12" t="n">
        <v>1</v>
      </c>
    </row>
    <row r="1019">
      <c r="A1019" s="12" t="inlineStr">
        <is>
          <t>CCS wastewater (DCC + tower blowdown)</t>
        </is>
      </c>
      <c r="B1019" s="12" t="inlineStr"/>
      <c r="C1019" s="12" t="inlineStr">
        <is>
          <t>G</t>
        </is>
      </c>
      <c r="D1019" s="12" t="inlineStr">
        <is>
          <t>Motor 2 of 6, 15 kW</t>
        </is>
      </c>
      <c r="E1019" s="12" t="n">
        <v>480</v>
      </c>
      <c r="F1019" s="12" t="n">
        <v>15</v>
      </c>
      <c r="G1019" s="12" t="n">
        <v>21.2</v>
      </c>
      <c r="H1019" s="12" t="inlineStr">
        <is>
          <t>CT MCC / VFD e-house</t>
        </is>
      </c>
      <c r="I1019" s="12" t="inlineStr">
        <is>
          <t>LV 600 V</t>
        </is>
      </c>
      <c r="J1019" s="12" t="inlineStr">
        <is>
          <t>10</t>
        </is>
      </c>
      <c r="K1019" s="12" t="n">
        <v>1</v>
      </c>
    </row>
    <row r="1020">
      <c r="A1020" s="12" t="inlineStr">
        <is>
          <t>CCS wastewater (DCC + tower blowdown)</t>
        </is>
      </c>
      <c r="B1020" s="12" t="inlineStr"/>
      <c r="C1020" s="12" t="inlineStr">
        <is>
          <t>G</t>
        </is>
      </c>
      <c r="D1020" s="12" t="inlineStr">
        <is>
          <t>Motor 3 of 6, 15 kW</t>
        </is>
      </c>
      <c r="E1020" s="12" t="n">
        <v>480</v>
      </c>
      <c r="F1020" s="12" t="n">
        <v>15</v>
      </c>
      <c r="G1020" s="12" t="n">
        <v>21.2</v>
      </c>
      <c r="H1020" s="12" t="inlineStr">
        <is>
          <t>CT MCC / VFD e-house</t>
        </is>
      </c>
      <c r="I1020" s="12" t="inlineStr">
        <is>
          <t>LV 600 V</t>
        </is>
      </c>
      <c r="J1020" s="12" t="inlineStr">
        <is>
          <t>10</t>
        </is>
      </c>
      <c r="K1020" s="12" t="n">
        <v>1</v>
      </c>
    </row>
    <row r="1021">
      <c r="A1021" s="12" t="inlineStr">
        <is>
          <t>CCS wastewater (DCC + tower blowdown)</t>
        </is>
      </c>
      <c r="B1021" s="12" t="inlineStr"/>
      <c r="C1021" s="12" t="inlineStr">
        <is>
          <t>G</t>
        </is>
      </c>
      <c r="D1021" s="12" t="inlineStr">
        <is>
          <t>Motor 4 of 6, 15 kW</t>
        </is>
      </c>
      <c r="E1021" s="12" t="n">
        <v>480</v>
      </c>
      <c r="F1021" s="12" t="n">
        <v>15</v>
      </c>
      <c r="G1021" s="12" t="n">
        <v>21.2</v>
      </c>
      <c r="H1021" s="12" t="inlineStr">
        <is>
          <t>CT MCC / VFD e-house</t>
        </is>
      </c>
      <c r="I1021" s="12" t="inlineStr">
        <is>
          <t>LV 600 V</t>
        </is>
      </c>
      <c r="J1021" s="12" t="inlineStr">
        <is>
          <t>10</t>
        </is>
      </c>
      <c r="K1021" s="12" t="n">
        <v>1</v>
      </c>
    </row>
    <row r="1022">
      <c r="A1022" s="12" t="inlineStr">
        <is>
          <t>CCS wastewater (DCC + tower blowdown)</t>
        </is>
      </c>
      <c r="B1022" s="12" t="inlineStr"/>
      <c r="C1022" s="12" t="inlineStr">
        <is>
          <t>G</t>
        </is>
      </c>
      <c r="D1022" s="12" t="inlineStr">
        <is>
          <t>Motor 5 of 6, 15 kW</t>
        </is>
      </c>
      <c r="E1022" s="12" t="n">
        <v>480</v>
      </c>
      <c r="F1022" s="12" t="n">
        <v>15</v>
      </c>
      <c r="G1022" s="12" t="n">
        <v>21.2</v>
      </c>
      <c r="H1022" s="12" t="inlineStr">
        <is>
          <t>CT MCC / VFD e-house</t>
        </is>
      </c>
      <c r="I1022" s="12" t="inlineStr">
        <is>
          <t>LV 600 V</t>
        </is>
      </c>
      <c r="J1022" s="12" t="inlineStr">
        <is>
          <t>10</t>
        </is>
      </c>
      <c r="K1022" s="12" t="n">
        <v>1</v>
      </c>
    </row>
    <row r="1023">
      <c r="A1023" s="12" t="inlineStr">
        <is>
          <t>CCS wastewater (DCC + tower blowdown)</t>
        </is>
      </c>
      <c r="B1023" s="12" t="inlineStr"/>
      <c r="C1023" s="12" t="inlineStr">
        <is>
          <t>G</t>
        </is>
      </c>
      <c r="D1023" s="12" t="inlineStr">
        <is>
          <t>Motor 6 of 6, 15 kW</t>
        </is>
      </c>
      <c r="E1023" s="12" t="n">
        <v>480</v>
      </c>
      <c r="F1023" s="12" t="n">
        <v>15</v>
      </c>
      <c r="G1023" s="12" t="n">
        <v>21.2</v>
      </c>
      <c r="H1023" s="12" t="inlineStr">
        <is>
          <t>CT MCC / VFD e-house</t>
        </is>
      </c>
      <c r="I1023" s="12" t="inlineStr">
        <is>
          <t>LV 600 V</t>
        </is>
      </c>
      <c r="J1023" s="12" t="inlineStr">
        <is>
          <t>10</t>
        </is>
      </c>
      <c r="K1023" s="12" t="n">
        <v>1</v>
      </c>
    </row>
    <row r="1024">
      <c r="A1024" s="12" t="inlineStr">
        <is>
          <t>CO2 compression 3 x ~19 MW + dehydration</t>
        </is>
      </c>
      <c r="B1024" s="12" t="inlineStr"/>
      <c r="C1024" s="12" t="inlineStr">
        <is>
          <t>G</t>
        </is>
      </c>
      <c r="D1024" s="12" t="inlineStr">
        <is>
          <t>Motor 1 of 10, 30 kW</t>
        </is>
      </c>
      <c r="E1024" s="12" t="n">
        <v>480</v>
      </c>
      <c r="F1024" s="12" t="n">
        <v>30</v>
      </c>
      <c r="G1024" s="12" t="n">
        <v>42.5</v>
      </c>
      <c r="H1024" s="12" t="inlineStr">
        <is>
          <t>CCS MV switchgear building (VFDs)</t>
        </is>
      </c>
      <c r="I1024" s="12" t="inlineStr">
        <is>
          <t>LV 600 V</t>
        </is>
      </c>
      <c r="J1024" s="12" t="inlineStr">
        <is>
          <t>6</t>
        </is>
      </c>
      <c r="K1024" s="12" t="n">
        <v>1</v>
      </c>
    </row>
    <row r="1025">
      <c r="A1025" s="12" t="inlineStr">
        <is>
          <t>CO2 compression 3 x ~19 MW + dehydration</t>
        </is>
      </c>
      <c r="B1025" s="12" t="inlineStr"/>
      <c r="C1025" s="12" t="inlineStr">
        <is>
          <t>G</t>
        </is>
      </c>
      <c r="D1025" s="12" t="inlineStr">
        <is>
          <t>Motor 2 of 10, 30 kW</t>
        </is>
      </c>
      <c r="E1025" s="12" t="n">
        <v>480</v>
      </c>
      <c r="F1025" s="12" t="n">
        <v>30</v>
      </c>
      <c r="G1025" s="12" t="n">
        <v>42.5</v>
      </c>
      <c r="H1025" s="12" t="inlineStr">
        <is>
          <t>CCS MV switchgear building (VFDs)</t>
        </is>
      </c>
      <c r="I1025" s="12" t="inlineStr">
        <is>
          <t>LV 600 V</t>
        </is>
      </c>
      <c r="J1025" s="12" t="inlineStr">
        <is>
          <t>6</t>
        </is>
      </c>
      <c r="K1025" s="12" t="n">
        <v>1</v>
      </c>
    </row>
    <row r="1026">
      <c r="A1026" s="12" t="inlineStr">
        <is>
          <t>CO2 compression 3 x ~19 MW + dehydration</t>
        </is>
      </c>
      <c r="B1026" s="12" t="inlineStr"/>
      <c r="C1026" s="12" t="inlineStr">
        <is>
          <t>G</t>
        </is>
      </c>
      <c r="D1026" s="12" t="inlineStr">
        <is>
          <t>Motor 3 of 10, 30 kW</t>
        </is>
      </c>
      <c r="E1026" s="12" t="n">
        <v>480</v>
      </c>
      <c r="F1026" s="12" t="n">
        <v>30</v>
      </c>
      <c r="G1026" s="12" t="n">
        <v>42.5</v>
      </c>
      <c r="H1026" s="12" t="inlineStr">
        <is>
          <t>CCS MV switchgear building (VFDs)</t>
        </is>
      </c>
      <c r="I1026" s="12" t="inlineStr">
        <is>
          <t>LV 600 V</t>
        </is>
      </c>
      <c r="J1026" s="12" t="inlineStr">
        <is>
          <t>6</t>
        </is>
      </c>
      <c r="K1026" s="12" t="n">
        <v>1</v>
      </c>
    </row>
    <row r="1027">
      <c r="A1027" s="12" t="inlineStr">
        <is>
          <t>CO2 compression 3 x ~19 MW + dehydration</t>
        </is>
      </c>
      <c r="B1027" s="12" t="inlineStr"/>
      <c r="C1027" s="12" t="inlineStr">
        <is>
          <t>G</t>
        </is>
      </c>
      <c r="D1027" s="12" t="inlineStr">
        <is>
          <t>Motor 4 of 10, 30 kW</t>
        </is>
      </c>
      <c r="E1027" s="12" t="n">
        <v>480</v>
      </c>
      <c r="F1027" s="12" t="n">
        <v>30</v>
      </c>
      <c r="G1027" s="12" t="n">
        <v>42.5</v>
      </c>
      <c r="H1027" s="12" t="inlineStr">
        <is>
          <t>CCS MV switchgear building (VFDs)</t>
        </is>
      </c>
      <c r="I1027" s="12" t="inlineStr">
        <is>
          <t>LV 600 V</t>
        </is>
      </c>
      <c r="J1027" s="12" t="inlineStr">
        <is>
          <t>6</t>
        </is>
      </c>
      <c r="K1027" s="12" t="n">
        <v>1</v>
      </c>
    </row>
    <row r="1028">
      <c r="A1028" s="12" t="inlineStr">
        <is>
          <t>CO2 compression 3 x ~19 MW + dehydration</t>
        </is>
      </c>
      <c r="B1028" s="12" t="inlineStr"/>
      <c r="C1028" s="12" t="inlineStr">
        <is>
          <t>G</t>
        </is>
      </c>
      <c r="D1028" s="12" t="inlineStr">
        <is>
          <t>Motor 5 of 10, 30 kW</t>
        </is>
      </c>
      <c r="E1028" s="12" t="n">
        <v>480</v>
      </c>
      <c r="F1028" s="12" t="n">
        <v>30</v>
      </c>
      <c r="G1028" s="12" t="n">
        <v>42.5</v>
      </c>
      <c r="H1028" s="12" t="inlineStr">
        <is>
          <t>CCS MV switchgear building (VFDs)</t>
        </is>
      </c>
      <c r="I1028" s="12" t="inlineStr">
        <is>
          <t>LV 600 V</t>
        </is>
      </c>
      <c r="J1028" s="12" t="inlineStr">
        <is>
          <t>6</t>
        </is>
      </c>
      <c r="K1028" s="12" t="n">
        <v>1</v>
      </c>
    </row>
    <row r="1029">
      <c r="A1029" s="12" t="inlineStr">
        <is>
          <t>CO2 compression 3 x ~19 MW + dehydration</t>
        </is>
      </c>
      <c r="B1029" s="12" t="inlineStr"/>
      <c r="C1029" s="12" t="inlineStr">
        <is>
          <t>G</t>
        </is>
      </c>
      <c r="D1029" s="12" t="inlineStr">
        <is>
          <t>Motor 6 of 10, 30 kW</t>
        </is>
      </c>
      <c r="E1029" s="12" t="n">
        <v>480</v>
      </c>
      <c r="F1029" s="12" t="n">
        <v>30</v>
      </c>
      <c r="G1029" s="12" t="n">
        <v>42.5</v>
      </c>
      <c r="H1029" s="12" t="inlineStr">
        <is>
          <t>CCS MV switchgear building (VFDs)</t>
        </is>
      </c>
      <c r="I1029" s="12" t="inlineStr">
        <is>
          <t>LV 600 V</t>
        </is>
      </c>
      <c r="J1029" s="12" t="inlineStr">
        <is>
          <t>6</t>
        </is>
      </c>
      <c r="K1029" s="12" t="n">
        <v>1</v>
      </c>
    </row>
    <row r="1030">
      <c r="A1030" s="12" t="inlineStr">
        <is>
          <t>CO2 compression 3 x ~19 MW + dehydration</t>
        </is>
      </c>
      <c r="B1030" s="12" t="inlineStr"/>
      <c r="C1030" s="12" t="inlineStr">
        <is>
          <t>G</t>
        </is>
      </c>
      <c r="D1030" s="12" t="inlineStr">
        <is>
          <t>Motor 7 of 10, 30 kW</t>
        </is>
      </c>
      <c r="E1030" s="12" t="n">
        <v>480</v>
      </c>
      <c r="F1030" s="12" t="n">
        <v>30</v>
      </c>
      <c r="G1030" s="12" t="n">
        <v>42.5</v>
      </c>
      <c r="H1030" s="12" t="inlineStr">
        <is>
          <t>CCS MV switchgear building (VFDs)</t>
        </is>
      </c>
      <c r="I1030" s="12" t="inlineStr">
        <is>
          <t>LV 600 V</t>
        </is>
      </c>
      <c r="J1030" s="12" t="inlineStr">
        <is>
          <t>6</t>
        </is>
      </c>
      <c r="K1030" s="12" t="n">
        <v>1</v>
      </c>
    </row>
    <row r="1031">
      <c r="A1031" s="12" t="inlineStr">
        <is>
          <t>CO2 compression 3 x ~19 MW + dehydration</t>
        </is>
      </c>
      <c r="B1031" s="12" t="inlineStr"/>
      <c r="C1031" s="12" t="inlineStr">
        <is>
          <t>G</t>
        </is>
      </c>
      <c r="D1031" s="12" t="inlineStr">
        <is>
          <t>Motor 8 of 10, 30 kW</t>
        </is>
      </c>
      <c r="E1031" s="12" t="n">
        <v>480</v>
      </c>
      <c r="F1031" s="12" t="n">
        <v>30</v>
      </c>
      <c r="G1031" s="12" t="n">
        <v>42.5</v>
      </c>
      <c r="H1031" s="12" t="inlineStr">
        <is>
          <t>CCS MV switchgear building (VFDs)</t>
        </is>
      </c>
      <c r="I1031" s="12" t="inlineStr">
        <is>
          <t>LV 600 V</t>
        </is>
      </c>
      <c r="J1031" s="12" t="inlineStr">
        <is>
          <t>6</t>
        </is>
      </c>
      <c r="K1031" s="12" t="n">
        <v>1</v>
      </c>
    </row>
    <row r="1032">
      <c r="A1032" s="12" t="inlineStr">
        <is>
          <t>CO2 compression 3 x ~19 MW + dehydration</t>
        </is>
      </c>
      <c r="B1032" s="12" t="inlineStr"/>
      <c r="C1032" s="12" t="inlineStr">
        <is>
          <t>G</t>
        </is>
      </c>
      <c r="D1032" s="12" t="inlineStr">
        <is>
          <t>Motor 9 of 10, 30 kW</t>
        </is>
      </c>
      <c r="E1032" s="12" t="n">
        <v>480</v>
      </c>
      <c r="F1032" s="12" t="n">
        <v>30</v>
      </c>
      <c r="G1032" s="12" t="n">
        <v>42.5</v>
      </c>
      <c r="H1032" s="12" t="inlineStr">
        <is>
          <t>CCS MV switchgear building (VFDs)</t>
        </is>
      </c>
      <c r="I1032" s="12" t="inlineStr">
        <is>
          <t>LV 600 V</t>
        </is>
      </c>
      <c r="J1032" s="12" t="inlineStr">
        <is>
          <t>6</t>
        </is>
      </c>
      <c r="K1032" s="12" t="n">
        <v>1</v>
      </c>
    </row>
    <row r="1033">
      <c r="A1033" s="12" t="inlineStr">
        <is>
          <t>CO2 compression 3 x ~19 MW + dehydration</t>
        </is>
      </c>
      <c r="B1033" s="12" t="inlineStr"/>
      <c r="C1033" s="12" t="inlineStr">
        <is>
          <t>G</t>
        </is>
      </c>
      <c r="D1033" s="12" t="inlineStr">
        <is>
          <t>Motor 10 of 10, 30 kW</t>
        </is>
      </c>
      <c r="E1033" s="12" t="n">
        <v>480</v>
      </c>
      <c r="F1033" s="12" t="n">
        <v>30</v>
      </c>
      <c r="G1033" s="12" t="n">
        <v>42.5</v>
      </c>
      <c r="H1033" s="12" t="inlineStr">
        <is>
          <t>CCS MV switchgear building (VFDs)</t>
        </is>
      </c>
      <c r="I1033" s="12" t="inlineStr">
        <is>
          <t>LV 600 V</t>
        </is>
      </c>
      <c r="J1033" s="12" t="inlineStr">
        <is>
          <t>6</t>
        </is>
      </c>
      <c r="K1033" s="12" t="n">
        <v>1</v>
      </c>
    </row>
    <row r="1034">
      <c r="A1034" s="12" t="inlineStr">
        <is>
          <t>CO2 compression 3 x ~19 MW + dehydration</t>
        </is>
      </c>
      <c r="B1034" s="12" t="inlineStr"/>
      <c r="C1034" s="12" t="inlineStr">
        <is>
          <t>G</t>
        </is>
      </c>
      <c r="D1034" s="12" t="inlineStr">
        <is>
          <t>480 V welding receptacle 1</t>
        </is>
      </c>
      <c r="E1034" s="12" t="n">
        <v>480</v>
      </c>
      <c r="F1034" s="12" t="n">
        <v>60</v>
      </c>
      <c r="G1034" s="12" t="n">
        <v>76</v>
      </c>
      <c r="H1034" s="12" t="inlineStr">
        <is>
          <t>CCS MV switchgear building (VFDs)</t>
        </is>
      </c>
      <c r="I1034" s="12" t="inlineStr">
        <is>
          <t>LV 600 V</t>
        </is>
      </c>
      <c r="J1034" s="12" t="inlineStr">
        <is>
          <t>2</t>
        </is>
      </c>
      <c r="K1034" s="12" t="n">
        <v>1</v>
      </c>
    </row>
    <row r="1035">
      <c r="A1035" s="12" t="inlineStr">
        <is>
          <t>CO2 compression 3 x ~19 MW + dehydration</t>
        </is>
      </c>
      <c r="B1035" s="12" t="inlineStr"/>
      <c r="C1035" s="12" t="inlineStr">
        <is>
          <t>G</t>
        </is>
      </c>
      <c r="D1035" s="12" t="inlineStr">
        <is>
          <t>480 V welding receptacle 2</t>
        </is>
      </c>
      <c r="E1035" s="12" t="n">
        <v>480</v>
      </c>
      <c r="F1035" s="12" t="n">
        <v>60</v>
      </c>
      <c r="G1035" s="12" t="n">
        <v>76</v>
      </c>
      <c r="H1035" s="12" t="inlineStr">
        <is>
          <t>CCS MV switchgear building (VFDs)</t>
        </is>
      </c>
      <c r="I1035" s="12" t="inlineStr">
        <is>
          <t>LV 600 V</t>
        </is>
      </c>
      <c r="J1035" s="12" t="inlineStr">
        <is>
          <t>2</t>
        </is>
      </c>
      <c r="K1035" s="12" t="n">
        <v>1</v>
      </c>
    </row>
    <row r="1036">
      <c r="A1036" s="12" t="inlineStr">
        <is>
          <t>CO2 compression 3 x ~19 MW + dehydration</t>
        </is>
      </c>
      <c r="B1036" s="12" t="inlineStr"/>
      <c r="C1036" s="12" t="inlineStr">
        <is>
          <t>G</t>
        </is>
      </c>
      <c r="D1036" s="12" t="inlineStr">
        <is>
          <t>480 V welding receptacle 3</t>
        </is>
      </c>
      <c r="E1036" s="12" t="n">
        <v>480</v>
      </c>
      <c r="F1036" s="12" t="n">
        <v>60</v>
      </c>
      <c r="G1036" s="12" t="n">
        <v>76</v>
      </c>
      <c r="H1036" s="12" t="inlineStr">
        <is>
          <t>CCS MV switchgear building (VFDs)</t>
        </is>
      </c>
      <c r="I1036" s="12" t="inlineStr">
        <is>
          <t>LV 600 V</t>
        </is>
      </c>
      <c r="J1036" s="12" t="inlineStr">
        <is>
          <t>2</t>
        </is>
      </c>
      <c r="K1036" s="12" t="n">
        <v>1</v>
      </c>
    </row>
    <row r="1037">
      <c r="A1037" s="12" t="inlineStr">
        <is>
          <t>CO2 compression 3 x ~19 MW + dehydration</t>
        </is>
      </c>
      <c r="B1037" s="12" t="inlineStr"/>
      <c r="C1037" s="12" t="inlineStr">
        <is>
          <t>G</t>
        </is>
      </c>
      <c r="D1037" s="12" t="inlineStr">
        <is>
          <t>480 V welding receptacle 4</t>
        </is>
      </c>
      <c r="E1037" s="12" t="n">
        <v>480</v>
      </c>
      <c r="F1037" s="12" t="n">
        <v>60</v>
      </c>
      <c r="G1037" s="12" t="n">
        <v>76</v>
      </c>
      <c r="H1037" s="12" t="inlineStr">
        <is>
          <t>CCS MV switchgear building (VFDs)</t>
        </is>
      </c>
      <c r="I1037" s="12" t="inlineStr">
        <is>
          <t>LV 600 V</t>
        </is>
      </c>
      <c r="J1037" s="12" t="inlineStr">
        <is>
          <t>2</t>
        </is>
      </c>
      <c r="K1037" s="12" t="n">
        <v>1</v>
      </c>
    </row>
    <row r="1038">
      <c r="A1038" s="12" t="inlineStr">
        <is>
          <t>CO2 dehydration: molecular-sieve towers and regeneration heater</t>
        </is>
      </c>
      <c r="B1038" s="12" t="inlineStr"/>
      <c r="C1038" s="12" t="inlineStr">
        <is>
          <t>G</t>
        </is>
      </c>
      <c r="D1038" s="12" t="inlineStr">
        <is>
          <t>Motor 1 of 2, 20 kW</t>
        </is>
      </c>
      <c r="E1038" s="12" t="n">
        <v>480</v>
      </c>
      <c r="F1038" s="12" t="n">
        <v>20</v>
      </c>
      <c r="G1038" s="12" t="n">
        <v>28.3</v>
      </c>
      <c r="H1038" s="12" t="inlineStr">
        <is>
          <t>CCS MV switchgear building (VFDs)</t>
        </is>
      </c>
      <c r="I1038" s="12" t="inlineStr">
        <is>
          <t>LV 600 V</t>
        </is>
      </c>
      <c r="J1038" s="12" t="inlineStr">
        <is>
          <t>6</t>
        </is>
      </c>
      <c r="K1038" s="12" t="n">
        <v>1</v>
      </c>
    </row>
    <row r="1039">
      <c r="A1039" s="12" t="inlineStr">
        <is>
          <t>CO2 dehydration: molecular-sieve towers and regeneration heater</t>
        </is>
      </c>
      <c r="B1039" s="12" t="inlineStr"/>
      <c r="C1039" s="12" t="inlineStr">
        <is>
          <t>G</t>
        </is>
      </c>
      <c r="D1039" s="12" t="inlineStr">
        <is>
          <t>Motor 2 of 2, 20 kW</t>
        </is>
      </c>
      <c r="E1039" s="12" t="n">
        <v>480</v>
      </c>
      <c r="F1039" s="12" t="n">
        <v>20</v>
      </c>
      <c r="G1039" s="12" t="n">
        <v>28.3</v>
      </c>
      <c r="H1039" s="12" t="inlineStr">
        <is>
          <t>CCS MV switchgear building (VFDs)</t>
        </is>
      </c>
      <c r="I1039" s="12" t="inlineStr">
        <is>
          <t>LV 600 V</t>
        </is>
      </c>
      <c r="J1039" s="12" t="inlineStr">
        <is>
          <t>6</t>
        </is>
      </c>
      <c r="K1039" s="12" t="n">
        <v>1</v>
      </c>
    </row>
    <row r="1040">
      <c r="A1040" s="12" t="inlineStr">
        <is>
          <t>CO2 dehydration: molecular-sieve towers and regeneration heater</t>
        </is>
      </c>
      <c r="B1040" s="12" t="inlineStr"/>
      <c r="C1040" s="12" t="inlineStr">
        <is>
          <t>G</t>
        </is>
      </c>
      <c r="D1040" s="12" t="inlineStr">
        <is>
          <t>Motor 1 of 1, 200 kW</t>
        </is>
      </c>
      <c r="E1040" s="12" t="n">
        <v>480</v>
      </c>
      <c r="F1040" s="12" t="n">
        <v>200</v>
      </c>
      <c r="G1040" s="12" t="n">
        <v>283</v>
      </c>
      <c r="H1040" s="12" t="inlineStr">
        <is>
          <t>CCS MV switchgear building (VFDs)</t>
        </is>
      </c>
      <c r="I1040" s="12" t="inlineStr">
        <is>
          <t>LV 600 V</t>
        </is>
      </c>
      <c r="J1040" s="12" t="inlineStr">
        <is>
          <t>500 kcmil</t>
        </is>
      </c>
      <c r="K1040" s="12" t="n">
        <v>1</v>
      </c>
    </row>
    <row r="1041">
      <c r="A1041" s="12" t="inlineStr">
        <is>
          <t>CO2 dehydration: molecular-sieve towers and regeneration heater</t>
        </is>
      </c>
      <c r="B1041" s="12" t="inlineStr"/>
      <c r="C1041" s="12" t="inlineStr">
        <is>
          <t>G</t>
        </is>
      </c>
      <c r="D1041" s="12" t="inlineStr">
        <is>
          <t>MOV 1: power</t>
        </is>
      </c>
      <c r="E1041" s="12" t="n">
        <v>480</v>
      </c>
      <c r="F1041" s="12" t="n">
        <v>2.5</v>
      </c>
      <c r="G1041" s="12" t="n">
        <v>3.5</v>
      </c>
      <c r="H1041" s="12" t="inlineStr">
        <is>
          <t>CCS MV switchgear building (VFDs)</t>
        </is>
      </c>
      <c r="I1041" s="12" t="inlineStr">
        <is>
          <t>LV 600 V</t>
        </is>
      </c>
      <c r="J1041" s="12" t="inlineStr">
        <is>
          <t>10</t>
        </is>
      </c>
      <c r="K1041" s="12" t="n">
        <v>1</v>
      </c>
    </row>
    <row r="1042">
      <c r="A1042" s="12" t="inlineStr">
        <is>
          <t>CO2 dehydration: molecular-sieve towers and regeneration heater</t>
        </is>
      </c>
      <c r="B1042" s="12" t="inlineStr"/>
      <c r="C1042" s="12" t="inlineStr">
        <is>
          <t>G</t>
        </is>
      </c>
      <c r="D1042" s="12" t="inlineStr">
        <is>
          <t>MOV 2: power</t>
        </is>
      </c>
      <c r="E1042" s="12" t="n">
        <v>480</v>
      </c>
      <c r="F1042" s="12" t="n">
        <v>2.5</v>
      </c>
      <c r="G1042" s="12" t="n">
        <v>3.5</v>
      </c>
      <c r="H1042" s="12" t="inlineStr">
        <is>
          <t>CCS MV switchgear building (VFDs)</t>
        </is>
      </c>
      <c r="I1042" s="12" t="inlineStr">
        <is>
          <t>LV 600 V</t>
        </is>
      </c>
      <c r="J1042" s="12" t="inlineStr">
        <is>
          <t>10</t>
        </is>
      </c>
      <c r="K1042" s="12" t="n">
        <v>1</v>
      </c>
    </row>
    <row r="1043">
      <c r="A1043" s="12" t="inlineStr">
        <is>
          <t>CO2 dehydration: molecular-sieve towers and regeneration heater</t>
        </is>
      </c>
      <c r="B1043" s="12" t="inlineStr"/>
      <c r="C1043" s="12" t="inlineStr">
        <is>
          <t>G</t>
        </is>
      </c>
      <c r="D1043" s="12" t="inlineStr">
        <is>
          <t>MOV 3: power</t>
        </is>
      </c>
      <c r="E1043" s="12" t="n">
        <v>480</v>
      </c>
      <c r="F1043" s="12" t="n">
        <v>2.5</v>
      </c>
      <c r="G1043" s="12" t="n">
        <v>3.5</v>
      </c>
      <c r="H1043" s="12" t="inlineStr">
        <is>
          <t>CCS MV switchgear building (VFDs)</t>
        </is>
      </c>
      <c r="I1043" s="12" t="inlineStr">
        <is>
          <t>LV 600 V</t>
        </is>
      </c>
      <c r="J1043" s="12" t="inlineStr">
        <is>
          <t>10</t>
        </is>
      </c>
      <c r="K1043" s="12" t="n">
        <v>1</v>
      </c>
    </row>
    <row r="1044">
      <c r="A1044" s="12" t="inlineStr">
        <is>
          <t>CO2 dehydration: molecular-sieve towers and regeneration heater</t>
        </is>
      </c>
      <c r="B1044" s="12" t="inlineStr"/>
      <c r="C1044" s="12" t="inlineStr">
        <is>
          <t>G</t>
        </is>
      </c>
      <c r="D1044" s="12" t="inlineStr">
        <is>
          <t>MOV 4: power</t>
        </is>
      </c>
      <c r="E1044" s="12" t="n">
        <v>480</v>
      </c>
      <c r="F1044" s="12" t="n">
        <v>2.5</v>
      </c>
      <c r="G1044" s="12" t="n">
        <v>3.5</v>
      </c>
      <c r="H1044" s="12" t="inlineStr">
        <is>
          <t>CCS MV switchgear building (VFDs)</t>
        </is>
      </c>
      <c r="I1044" s="12" t="inlineStr">
        <is>
          <t>LV 600 V</t>
        </is>
      </c>
      <c r="J1044" s="12" t="inlineStr">
        <is>
          <t>10</t>
        </is>
      </c>
      <c r="K1044" s="12" t="n">
        <v>1</v>
      </c>
    </row>
    <row r="1045">
      <c r="A1045" s="12" t="inlineStr">
        <is>
          <t>CO2 dehydration: molecular-sieve towers and regeneration heater</t>
        </is>
      </c>
      <c r="B1045" s="12" t="inlineStr"/>
      <c r="C1045" s="12" t="inlineStr">
        <is>
          <t>G</t>
        </is>
      </c>
      <c r="D1045" s="12" t="inlineStr">
        <is>
          <t>MOV 5: power</t>
        </is>
      </c>
      <c r="E1045" s="12" t="n">
        <v>480</v>
      </c>
      <c r="F1045" s="12" t="n">
        <v>2.5</v>
      </c>
      <c r="G1045" s="12" t="n">
        <v>3.5</v>
      </c>
      <c r="H1045" s="12" t="inlineStr">
        <is>
          <t>CCS MV switchgear building (VFDs)</t>
        </is>
      </c>
      <c r="I1045" s="12" t="inlineStr">
        <is>
          <t>LV 600 V</t>
        </is>
      </c>
      <c r="J1045" s="12" t="inlineStr">
        <is>
          <t>10</t>
        </is>
      </c>
      <c r="K1045" s="12" t="n">
        <v>1</v>
      </c>
    </row>
    <row r="1046">
      <c r="A1046" s="12" t="inlineStr">
        <is>
          <t>CO2 dehydration: molecular-sieve towers and regeneration heater</t>
        </is>
      </c>
      <c r="B1046" s="12" t="inlineStr"/>
      <c r="C1046" s="12" t="inlineStr">
        <is>
          <t>G</t>
        </is>
      </c>
      <c r="D1046" s="12" t="inlineStr">
        <is>
          <t>MOV 6: power</t>
        </is>
      </c>
      <c r="E1046" s="12" t="n">
        <v>480</v>
      </c>
      <c r="F1046" s="12" t="n">
        <v>2.5</v>
      </c>
      <c r="G1046" s="12" t="n">
        <v>3.5</v>
      </c>
      <c r="H1046" s="12" t="inlineStr">
        <is>
          <t>CCS MV switchgear building (VFDs)</t>
        </is>
      </c>
      <c r="I1046" s="12" t="inlineStr">
        <is>
          <t>LV 600 V</t>
        </is>
      </c>
      <c r="J1046" s="12" t="inlineStr">
        <is>
          <t>10</t>
        </is>
      </c>
      <c r="K1046" s="12" t="n">
        <v>1</v>
      </c>
    </row>
    <row r="1047">
      <c r="A1047" s="12" t="inlineStr">
        <is>
          <t>CO2 dehydration: molecular-sieve towers and regeneration heater</t>
        </is>
      </c>
      <c r="B1047" s="12" t="inlineStr"/>
      <c r="C1047" s="12" t="inlineStr">
        <is>
          <t>G</t>
        </is>
      </c>
      <c r="D1047" s="12" t="inlineStr">
        <is>
          <t>MOV 7: power</t>
        </is>
      </c>
      <c r="E1047" s="12" t="n">
        <v>480</v>
      </c>
      <c r="F1047" s="12" t="n">
        <v>2.5</v>
      </c>
      <c r="G1047" s="12" t="n">
        <v>3.5</v>
      </c>
      <c r="H1047" s="12" t="inlineStr">
        <is>
          <t>CCS MV switchgear building (VFDs)</t>
        </is>
      </c>
      <c r="I1047" s="12" t="inlineStr">
        <is>
          <t>LV 600 V</t>
        </is>
      </c>
      <c r="J1047" s="12" t="inlineStr">
        <is>
          <t>10</t>
        </is>
      </c>
      <c r="K1047" s="12" t="n">
        <v>1</v>
      </c>
    </row>
    <row r="1048">
      <c r="A1048" s="12" t="inlineStr">
        <is>
          <t>CO2 dehydration: molecular-sieve towers and regeneration heater</t>
        </is>
      </c>
      <c r="B1048" s="12" t="inlineStr"/>
      <c r="C1048" s="12" t="inlineStr">
        <is>
          <t>G</t>
        </is>
      </c>
      <c r="D1048" s="12" t="inlineStr">
        <is>
          <t>MOV 8: power</t>
        </is>
      </c>
      <c r="E1048" s="12" t="n">
        <v>480</v>
      </c>
      <c r="F1048" s="12" t="n">
        <v>2.5</v>
      </c>
      <c r="G1048" s="12" t="n">
        <v>3.5</v>
      </c>
      <c r="H1048" s="12" t="inlineStr">
        <is>
          <t>CCS MV switchgear building (VFDs)</t>
        </is>
      </c>
      <c r="I1048" s="12" t="inlineStr">
        <is>
          <t>LV 600 V</t>
        </is>
      </c>
      <c r="J1048" s="12" t="inlineStr">
        <is>
          <t>10</t>
        </is>
      </c>
      <c r="K1048" s="12" t="n">
        <v>1</v>
      </c>
    </row>
    <row r="1049">
      <c r="A1049" s="12" t="inlineStr">
        <is>
          <t>CO2 dehydration: molecular-sieve towers and regeneration heater</t>
        </is>
      </c>
      <c r="B1049" s="12" t="inlineStr"/>
      <c r="C1049" s="12" t="inlineStr">
        <is>
          <t>G</t>
        </is>
      </c>
      <c r="D1049" s="12" t="inlineStr">
        <is>
          <t>MOV 9: power</t>
        </is>
      </c>
      <c r="E1049" s="12" t="n">
        <v>480</v>
      </c>
      <c r="F1049" s="12" t="n">
        <v>2.5</v>
      </c>
      <c r="G1049" s="12" t="n">
        <v>3.5</v>
      </c>
      <c r="H1049" s="12" t="inlineStr">
        <is>
          <t>CCS MV switchgear building (VFDs)</t>
        </is>
      </c>
      <c r="I1049" s="12" t="inlineStr">
        <is>
          <t>LV 600 V</t>
        </is>
      </c>
      <c r="J1049" s="12" t="inlineStr">
        <is>
          <t>10</t>
        </is>
      </c>
      <c r="K1049" s="12" t="n">
        <v>1</v>
      </c>
    </row>
    <row r="1050">
      <c r="A1050" s="12" t="inlineStr">
        <is>
          <t>CO2 dehydration: molecular-sieve towers and regeneration heater</t>
        </is>
      </c>
      <c r="B1050" s="12" t="inlineStr"/>
      <c r="C1050" s="12" t="inlineStr">
        <is>
          <t>G</t>
        </is>
      </c>
      <c r="D1050" s="12" t="inlineStr">
        <is>
          <t>MOV 10: power</t>
        </is>
      </c>
      <c r="E1050" s="12" t="n">
        <v>480</v>
      </c>
      <c r="F1050" s="12" t="n">
        <v>2.5</v>
      </c>
      <c r="G1050" s="12" t="n">
        <v>3.5</v>
      </c>
      <c r="H1050" s="12" t="inlineStr">
        <is>
          <t>CCS MV switchgear building (VFDs)</t>
        </is>
      </c>
      <c r="I1050" s="12" t="inlineStr">
        <is>
          <t>LV 600 V</t>
        </is>
      </c>
      <c r="J1050" s="12" t="inlineStr">
        <is>
          <t>10</t>
        </is>
      </c>
      <c r="K1050" s="12" t="n">
        <v>1</v>
      </c>
    </row>
    <row r="1051">
      <c r="A1051" s="12" t="inlineStr">
        <is>
          <t>CO2 dehydration: molecular-sieve towers and regeneration heater</t>
        </is>
      </c>
      <c r="B1051" s="12" t="inlineStr"/>
      <c r="C1051" s="12" t="inlineStr">
        <is>
          <t>G</t>
        </is>
      </c>
      <c r="D1051" s="12" t="inlineStr">
        <is>
          <t>MOV 11: power</t>
        </is>
      </c>
      <c r="E1051" s="12" t="n">
        <v>480</v>
      </c>
      <c r="F1051" s="12" t="n">
        <v>2.5</v>
      </c>
      <c r="G1051" s="12" t="n">
        <v>3.5</v>
      </c>
      <c r="H1051" s="12" t="inlineStr">
        <is>
          <t>CCS MV switchgear building (VFDs)</t>
        </is>
      </c>
      <c r="I1051" s="12" t="inlineStr">
        <is>
          <t>LV 600 V</t>
        </is>
      </c>
      <c r="J1051" s="12" t="inlineStr">
        <is>
          <t>10</t>
        </is>
      </c>
      <c r="K1051" s="12" t="n">
        <v>1</v>
      </c>
    </row>
    <row r="1052">
      <c r="A1052" s="12" t="inlineStr">
        <is>
          <t>CO2 dehydration: molecular-sieve towers and regeneration heater</t>
        </is>
      </c>
      <c r="B1052" s="12" t="inlineStr"/>
      <c r="C1052" s="12" t="inlineStr">
        <is>
          <t>G</t>
        </is>
      </c>
      <c r="D1052" s="12" t="inlineStr">
        <is>
          <t>MOV 12: power</t>
        </is>
      </c>
      <c r="E1052" s="12" t="n">
        <v>480</v>
      </c>
      <c r="F1052" s="12" t="n">
        <v>2.5</v>
      </c>
      <c r="G1052" s="12" t="n">
        <v>3.5</v>
      </c>
      <c r="H1052" s="12" t="inlineStr">
        <is>
          <t>CCS MV switchgear building (VFDs)</t>
        </is>
      </c>
      <c r="I1052" s="12" t="inlineStr">
        <is>
          <t>LV 600 V</t>
        </is>
      </c>
      <c r="J1052" s="12" t="inlineStr">
        <is>
          <t>10</t>
        </is>
      </c>
      <c r="K1052" s="12" t="n">
        <v>1</v>
      </c>
    </row>
    <row r="1053">
      <c r="A1053" s="12" t="inlineStr">
        <is>
          <t>CONDITIONAL: HP export compressor + metering</t>
        </is>
      </c>
      <c r="B1053" s="12" t="inlineStr"/>
      <c r="C1053" s="12" t="inlineStr">
        <is>
          <t>G</t>
        </is>
      </c>
      <c r="D1053" s="12" t="inlineStr">
        <is>
          <t>Motor 1 of 4, 30 kW</t>
        </is>
      </c>
      <c r="E1053" s="12" t="n">
        <v>480</v>
      </c>
      <c r="F1053" s="12" t="n">
        <v>30</v>
      </c>
      <c r="G1053" s="12" t="n">
        <v>42.5</v>
      </c>
      <c r="H1053" s="12" t="inlineStr">
        <is>
          <t>CCS MV switchgear building (VFDs)</t>
        </is>
      </c>
      <c r="I1053" s="12" t="inlineStr">
        <is>
          <t>LV 600 V</t>
        </is>
      </c>
      <c r="J1053" s="12" t="inlineStr">
        <is>
          <t>6</t>
        </is>
      </c>
      <c r="K1053" s="12" t="n">
        <v>1</v>
      </c>
    </row>
    <row r="1054">
      <c r="A1054" s="12" t="inlineStr">
        <is>
          <t>CONDITIONAL: HP export compressor + metering</t>
        </is>
      </c>
      <c r="B1054" s="12" t="inlineStr"/>
      <c r="C1054" s="12" t="inlineStr">
        <is>
          <t>G</t>
        </is>
      </c>
      <c r="D1054" s="12" t="inlineStr">
        <is>
          <t>Motor 2 of 4, 30 kW</t>
        </is>
      </c>
      <c r="E1054" s="12" t="n">
        <v>480</v>
      </c>
      <c r="F1054" s="12" t="n">
        <v>30</v>
      </c>
      <c r="G1054" s="12" t="n">
        <v>42.5</v>
      </c>
      <c r="H1054" s="12" t="inlineStr">
        <is>
          <t>CCS MV switchgear building (VFDs)</t>
        </is>
      </c>
      <c r="I1054" s="12" t="inlineStr">
        <is>
          <t>LV 600 V</t>
        </is>
      </c>
      <c r="J1054" s="12" t="inlineStr">
        <is>
          <t>6</t>
        </is>
      </c>
      <c r="K1054" s="12" t="n">
        <v>1</v>
      </c>
    </row>
    <row r="1055">
      <c r="A1055" s="12" t="inlineStr">
        <is>
          <t>CONDITIONAL: HP export compressor + metering</t>
        </is>
      </c>
      <c r="B1055" s="12" t="inlineStr"/>
      <c r="C1055" s="12" t="inlineStr">
        <is>
          <t>G</t>
        </is>
      </c>
      <c r="D1055" s="12" t="inlineStr">
        <is>
          <t>Motor 3 of 4, 30 kW</t>
        </is>
      </c>
      <c r="E1055" s="12" t="n">
        <v>480</v>
      </c>
      <c r="F1055" s="12" t="n">
        <v>30</v>
      </c>
      <c r="G1055" s="12" t="n">
        <v>42.5</v>
      </c>
      <c r="H1055" s="12" t="inlineStr">
        <is>
          <t>CCS MV switchgear building (VFDs)</t>
        </is>
      </c>
      <c r="I1055" s="12" t="inlineStr">
        <is>
          <t>LV 600 V</t>
        </is>
      </c>
      <c r="J1055" s="12" t="inlineStr">
        <is>
          <t>6</t>
        </is>
      </c>
      <c r="K1055" s="12" t="n">
        <v>1</v>
      </c>
    </row>
    <row r="1056">
      <c r="A1056" s="12" t="inlineStr">
        <is>
          <t>CONDITIONAL: HP export compressor + metering</t>
        </is>
      </c>
      <c r="B1056" s="12" t="inlineStr"/>
      <c r="C1056" s="12" t="inlineStr">
        <is>
          <t>G</t>
        </is>
      </c>
      <c r="D1056" s="12" t="inlineStr">
        <is>
          <t>Motor 4 of 4, 30 kW</t>
        </is>
      </c>
      <c r="E1056" s="12" t="n">
        <v>480</v>
      </c>
      <c r="F1056" s="12" t="n">
        <v>30</v>
      </c>
      <c r="G1056" s="12" t="n">
        <v>42.5</v>
      </c>
      <c r="H1056" s="12" t="inlineStr">
        <is>
          <t>CCS MV switchgear building (VFDs)</t>
        </is>
      </c>
      <c r="I1056" s="12" t="inlineStr">
        <is>
          <t>LV 600 V</t>
        </is>
      </c>
      <c r="J1056" s="12" t="inlineStr">
        <is>
          <t>6</t>
        </is>
      </c>
      <c r="K1056" s="12" t="n">
        <v>1</v>
      </c>
    </row>
    <row r="1057">
      <c r="A1057" s="12" t="inlineStr">
        <is>
          <t>DCC-A pumps + water filter</t>
        </is>
      </c>
      <c r="B1057" s="12" t="inlineStr"/>
      <c r="C1057" s="12" t="inlineStr">
        <is>
          <t>G</t>
        </is>
      </c>
      <c r="D1057" s="12" t="inlineStr">
        <is>
          <t>Motor 1 of 2, 200 kW</t>
        </is>
      </c>
      <c r="E1057" s="12" t="n">
        <v>480</v>
      </c>
      <c r="F1057" s="12" t="n">
        <v>200</v>
      </c>
      <c r="G1057" s="12" t="n">
        <v>283</v>
      </c>
      <c r="H1057" s="12" t="inlineStr">
        <is>
          <t>CCS MV switchgear building (VFDs)</t>
        </is>
      </c>
      <c r="I1057" s="12" t="inlineStr">
        <is>
          <t>LV 600 V</t>
        </is>
      </c>
      <c r="J1057" s="12" t="inlineStr">
        <is>
          <t>500 kcmil</t>
        </is>
      </c>
      <c r="K1057" s="12" t="n">
        <v>1</v>
      </c>
    </row>
    <row r="1058">
      <c r="A1058" s="12" t="inlineStr">
        <is>
          <t>DCC-A pumps + water filter</t>
        </is>
      </c>
      <c r="B1058" s="12" t="inlineStr"/>
      <c r="C1058" s="12" t="inlineStr">
        <is>
          <t>G</t>
        </is>
      </c>
      <c r="D1058" s="12" t="inlineStr">
        <is>
          <t>Motor 2 of 2, 200 kW</t>
        </is>
      </c>
      <c r="E1058" s="12" t="n">
        <v>480</v>
      </c>
      <c r="F1058" s="12" t="n">
        <v>200</v>
      </c>
      <c r="G1058" s="12" t="n">
        <v>283</v>
      </c>
      <c r="H1058" s="12" t="inlineStr">
        <is>
          <t>CCS MV switchgear building (VFDs)</t>
        </is>
      </c>
      <c r="I1058" s="12" t="inlineStr">
        <is>
          <t>LV 600 V</t>
        </is>
      </c>
      <c r="J1058" s="12" t="inlineStr">
        <is>
          <t>500 kcmil</t>
        </is>
      </c>
      <c r="K1058" s="12" t="n">
        <v>1</v>
      </c>
    </row>
    <row r="1059">
      <c r="A1059" s="12" t="inlineStr">
        <is>
          <t>DCC-A: direct-contact cooler (quench)</t>
        </is>
      </c>
      <c r="B1059" s="12" t="inlineStr">
        <is>
          <t>DCC-A</t>
        </is>
      </c>
      <c r="C1059" s="12" t="inlineStr">
        <is>
          <t>G</t>
        </is>
      </c>
      <c r="D1059" s="12" t="inlineStr">
        <is>
          <t>LV power feeder</t>
        </is>
      </c>
      <c r="E1059" s="12" t="n">
        <v>480</v>
      </c>
      <c r="F1059" s="12" t="n">
        <v>15</v>
      </c>
      <c r="G1059" s="12" t="n">
        <v>21.2</v>
      </c>
      <c r="H1059" s="12" t="inlineStr">
        <is>
          <t>CCS MV switchgear building (VFDs)</t>
        </is>
      </c>
      <c r="I1059" s="12" t="inlineStr">
        <is>
          <t>LV 600 V</t>
        </is>
      </c>
      <c r="J1059" s="12" t="inlineStr">
        <is>
          <t>6</t>
        </is>
      </c>
      <c r="K1059" s="12" t="n">
        <v>1</v>
      </c>
    </row>
    <row r="1060">
      <c r="A1060" s="12" t="inlineStr">
        <is>
          <t>DCC-A: direct-contact cooler (quench)</t>
        </is>
      </c>
      <c r="B1060" s="12" t="inlineStr">
        <is>
          <t>DCC-A</t>
        </is>
      </c>
      <c r="C1060" s="12" t="inlineStr">
        <is>
          <t>G</t>
        </is>
      </c>
      <c r="D1060" s="12" t="inlineStr">
        <is>
          <t>Area / platform lighting circuit 1 (8 fixtures)</t>
        </is>
      </c>
      <c r="E1060" s="12" t="n">
        <v>480</v>
      </c>
      <c r="F1060" s="12" t="n">
        <v>3</v>
      </c>
      <c r="G1060" s="12" t="n">
        <v>5</v>
      </c>
      <c r="H1060" s="12" t="inlineStr">
        <is>
          <t>CCS MV switchgear building (VFDs)</t>
        </is>
      </c>
      <c r="I1060" s="12" t="inlineStr">
        <is>
          <t>LV 600 V</t>
        </is>
      </c>
      <c r="J1060" s="12" t="inlineStr">
        <is>
          <t>10</t>
        </is>
      </c>
      <c r="K1060" s="12" t="n">
        <v>1</v>
      </c>
    </row>
    <row r="1061">
      <c r="A1061" s="12" t="inlineStr">
        <is>
          <t>DCC-B pumps + water filter</t>
        </is>
      </c>
      <c r="B1061" s="12" t="inlineStr"/>
      <c r="C1061" s="12" t="inlineStr">
        <is>
          <t>G</t>
        </is>
      </c>
      <c r="D1061" s="12" t="inlineStr">
        <is>
          <t>Motor 1 of 2, 200 kW</t>
        </is>
      </c>
      <c r="E1061" s="12" t="n">
        <v>480</v>
      </c>
      <c r="F1061" s="12" t="n">
        <v>200</v>
      </c>
      <c r="G1061" s="12" t="n">
        <v>283</v>
      </c>
      <c r="H1061" s="12" t="inlineStr">
        <is>
          <t>CCS MV switchgear building (VFDs)</t>
        </is>
      </c>
      <c r="I1061" s="12" t="inlineStr">
        <is>
          <t>LV 600 V</t>
        </is>
      </c>
      <c r="J1061" s="12" t="inlineStr">
        <is>
          <t>500 kcmil</t>
        </is>
      </c>
      <c r="K1061" s="12" t="n">
        <v>1</v>
      </c>
    </row>
    <row r="1062">
      <c r="A1062" s="12" t="inlineStr">
        <is>
          <t>DCC-B pumps + water filter</t>
        </is>
      </c>
      <c r="B1062" s="12" t="inlineStr"/>
      <c r="C1062" s="12" t="inlineStr">
        <is>
          <t>G</t>
        </is>
      </c>
      <c r="D1062" s="12" t="inlineStr">
        <is>
          <t>Motor 2 of 2, 200 kW</t>
        </is>
      </c>
      <c r="E1062" s="12" t="n">
        <v>480</v>
      </c>
      <c r="F1062" s="12" t="n">
        <v>200</v>
      </c>
      <c r="G1062" s="12" t="n">
        <v>283</v>
      </c>
      <c r="H1062" s="12" t="inlineStr">
        <is>
          <t>CCS MV switchgear building (VFDs)</t>
        </is>
      </c>
      <c r="I1062" s="12" t="inlineStr">
        <is>
          <t>LV 600 V</t>
        </is>
      </c>
      <c r="J1062" s="12" t="inlineStr">
        <is>
          <t>500 kcmil</t>
        </is>
      </c>
      <c r="K1062" s="12" t="n">
        <v>1</v>
      </c>
    </row>
    <row r="1063">
      <c r="A1063" s="12" t="inlineStr">
        <is>
          <t>DCC-B: direct-contact cooler (quench)</t>
        </is>
      </c>
      <c r="B1063" s="12" t="inlineStr">
        <is>
          <t>DCC-B</t>
        </is>
      </c>
      <c r="C1063" s="12" t="inlineStr">
        <is>
          <t>G</t>
        </is>
      </c>
      <c r="D1063" s="12" t="inlineStr">
        <is>
          <t>LV power feeder</t>
        </is>
      </c>
      <c r="E1063" s="12" t="n">
        <v>480</v>
      </c>
      <c r="F1063" s="12" t="n">
        <v>15</v>
      </c>
      <c r="G1063" s="12" t="n">
        <v>21.2</v>
      </c>
      <c r="H1063" s="12" t="inlineStr">
        <is>
          <t>CCS MV switchgear building (VFDs)</t>
        </is>
      </c>
      <c r="I1063" s="12" t="inlineStr">
        <is>
          <t>LV 600 V</t>
        </is>
      </c>
      <c r="J1063" s="12" t="inlineStr">
        <is>
          <t>8</t>
        </is>
      </c>
      <c r="K1063" s="12" t="n">
        <v>1</v>
      </c>
    </row>
    <row r="1064">
      <c r="A1064" s="12" t="inlineStr">
        <is>
          <t>DCC-B: direct-contact cooler (quench)</t>
        </is>
      </c>
      <c r="B1064" s="12" t="inlineStr">
        <is>
          <t>DCC-B</t>
        </is>
      </c>
      <c r="C1064" s="12" t="inlineStr">
        <is>
          <t>G</t>
        </is>
      </c>
      <c r="D1064" s="12" t="inlineStr">
        <is>
          <t>Area / platform lighting circuit 1 (8 fixtures)</t>
        </is>
      </c>
      <c r="E1064" s="12" t="n">
        <v>480</v>
      </c>
      <c r="F1064" s="12" t="n">
        <v>3</v>
      </c>
      <c r="G1064" s="12" t="n">
        <v>5</v>
      </c>
      <c r="H1064" s="12" t="inlineStr">
        <is>
          <t>CCS MV switchgear building (VFDs)</t>
        </is>
      </c>
      <c r="I1064" s="12" t="inlineStr">
        <is>
          <t>LV 600 V</t>
        </is>
      </c>
      <c r="J1064" s="12" t="inlineStr">
        <is>
          <t>10</t>
        </is>
      </c>
      <c r="K1064" s="12" t="n">
        <v>1</v>
      </c>
    </row>
    <row r="1065">
      <c r="A1065" s="12" t="inlineStr">
        <is>
          <t>DCC-C pumps + water filter</t>
        </is>
      </c>
      <c r="B1065" s="12" t="inlineStr"/>
      <c r="C1065" s="12" t="inlineStr">
        <is>
          <t>G</t>
        </is>
      </c>
      <c r="D1065" s="12" t="inlineStr">
        <is>
          <t>Motor 1 of 2, 200 kW</t>
        </is>
      </c>
      <c r="E1065" s="12" t="n">
        <v>480</v>
      </c>
      <c r="F1065" s="12" t="n">
        <v>200</v>
      </c>
      <c r="G1065" s="12" t="n">
        <v>283</v>
      </c>
      <c r="H1065" s="12" t="inlineStr">
        <is>
          <t>CCS MV switchgear building (VFDs)</t>
        </is>
      </c>
      <c r="I1065" s="12" t="inlineStr">
        <is>
          <t>LV 600 V</t>
        </is>
      </c>
      <c r="J1065" s="12" t="inlineStr">
        <is>
          <t>500 kcmil</t>
        </is>
      </c>
      <c r="K1065" s="12" t="n">
        <v>1</v>
      </c>
    </row>
    <row r="1066">
      <c r="A1066" s="12" t="inlineStr">
        <is>
          <t>DCC-C pumps + water filter</t>
        </is>
      </c>
      <c r="B1066" s="12" t="inlineStr"/>
      <c r="C1066" s="12" t="inlineStr">
        <is>
          <t>G</t>
        </is>
      </c>
      <c r="D1066" s="12" t="inlineStr">
        <is>
          <t>Motor 2 of 2, 200 kW</t>
        </is>
      </c>
      <c r="E1066" s="12" t="n">
        <v>480</v>
      </c>
      <c r="F1066" s="12" t="n">
        <v>200</v>
      </c>
      <c r="G1066" s="12" t="n">
        <v>283</v>
      </c>
      <c r="H1066" s="12" t="inlineStr">
        <is>
          <t>CCS MV switchgear building (VFDs)</t>
        </is>
      </c>
      <c r="I1066" s="12" t="inlineStr">
        <is>
          <t>LV 600 V</t>
        </is>
      </c>
      <c r="J1066" s="12" t="inlineStr">
        <is>
          <t>500 kcmil</t>
        </is>
      </c>
      <c r="K1066" s="12" t="n">
        <v>1</v>
      </c>
    </row>
    <row r="1067">
      <c r="A1067" s="12" t="inlineStr">
        <is>
          <t>DCC-C: direct-contact cooler (quench)</t>
        </is>
      </c>
      <c r="B1067" s="12" t="inlineStr">
        <is>
          <t>DCC-C</t>
        </is>
      </c>
      <c r="C1067" s="12" t="inlineStr">
        <is>
          <t>G</t>
        </is>
      </c>
      <c r="D1067" s="12" t="inlineStr">
        <is>
          <t>LV power feeder</t>
        </is>
      </c>
      <c r="E1067" s="12" t="n">
        <v>480</v>
      </c>
      <c r="F1067" s="12" t="n">
        <v>15</v>
      </c>
      <c r="G1067" s="12" t="n">
        <v>21.2</v>
      </c>
      <c r="H1067" s="12" t="inlineStr">
        <is>
          <t>CCS MV switchgear building (VFDs)</t>
        </is>
      </c>
      <c r="I1067" s="12" t="inlineStr">
        <is>
          <t>LV 600 V</t>
        </is>
      </c>
      <c r="J1067" s="12" t="inlineStr">
        <is>
          <t>10</t>
        </is>
      </c>
      <c r="K1067" s="12" t="n">
        <v>1</v>
      </c>
    </row>
    <row r="1068">
      <c r="A1068" s="12" t="inlineStr">
        <is>
          <t>DCC-C: direct-contact cooler (quench)</t>
        </is>
      </c>
      <c r="B1068" s="12" t="inlineStr">
        <is>
          <t>DCC-C</t>
        </is>
      </c>
      <c r="C1068" s="12" t="inlineStr">
        <is>
          <t>G</t>
        </is>
      </c>
      <c r="D1068" s="12" t="inlineStr">
        <is>
          <t>Area / platform lighting circuit 1 (8 fixtures)</t>
        </is>
      </c>
      <c r="E1068" s="12" t="n">
        <v>480</v>
      </c>
      <c r="F1068" s="12" t="n">
        <v>3</v>
      </c>
      <c r="G1068" s="12" t="n">
        <v>5</v>
      </c>
      <c r="H1068" s="12" t="inlineStr">
        <is>
          <t>CCS MV switchgear building (VFDs)</t>
        </is>
      </c>
      <c r="I1068" s="12" t="inlineStr">
        <is>
          <t>LV 600 V</t>
        </is>
      </c>
      <c r="J1068" s="12" t="inlineStr">
        <is>
          <t>10</t>
        </is>
      </c>
      <c r="K1068" s="12" t="n">
        <v>1</v>
      </c>
    </row>
    <row r="1069">
      <c r="A1069" s="12" t="inlineStr">
        <is>
          <t>DMP-A: diverter / bypass damper</t>
        </is>
      </c>
      <c r="B1069" s="12" t="inlineStr">
        <is>
          <t>DMP-A</t>
        </is>
      </c>
      <c r="C1069" s="12" t="inlineStr">
        <is>
          <t>G</t>
        </is>
      </c>
      <c r="D1069" s="12" t="inlineStr">
        <is>
          <t>Motor 1 of 2, 15 kW</t>
        </is>
      </c>
      <c r="E1069" s="12" t="n">
        <v>480</v>
      </c>
      <c r="F1069" s="12" t="n">
        <v>15</v>
      </c>
      <c r="G1069" s="12" t="n">
        <v>21.2</v>
      </c>
      <c r="H1069" s="12" t="inlineStr">
        <is>
          <t>CCS MV switchgear building (VFDs)</t>
        </is>
      </c>
      <c r="I1069" s="12" t="inlineStr">
        <is>
          <t>LV 600 V</t>
        </is>
      </c>
      <c r="J1069" s="12" t="inlineStr">
        <is>
          <t>2</t>
        </is>
      </c>
      <c r="K1069" s="12" t="n">
        <v>1</v>
      </c>
    </row>
    <row r="1070">
      <c r="A1070" s="12" t="inlineStr">
        <is>
          <t>DMP-A: diverter / bypass damper</t>
        </is>
      </c>
      <c r="B1070" s="12" t="inlineStr">
        <is>
          <t>DMP-A</t>
        </is>
      </c>
      <c r="C1070" s="12" t="inlineStr">
        <is>
          <t>G</t>
        </is>
      </c>
      <c r="D1070" s="12" t="inlineStr">
        <is>
          <t>Motor 2 of 2, 15 kW</t>
        </is>
      </c>
      <c r="E1070" s="12" t="n">
        <v>480</v>
      </c>
      <c r="F1070" s="12" t="n">
        <v>15</v>
      </c>
      <c r="G1070" s="12" t="n">
        <v>21.2</v>
      </c>
      <c r="H1070" s="12" t="inlineStr">
        <is>
          <t>CCS MV switchgear building (VFDs)</t>
        </is>
      </c>
      <c r="I1070" s="12" t="inlineStr">
        <is>
          <t>LV 600 V</t>
        </is>
      </c>
      <c r="J1070" s="12" t="inlineStr">
        <is>
          <t>2</t>
        </is>
      </c>
      <c r="K1070" s="12" t="n">
        <v>1</v>
      </c>
    </row>
    <row r="1071">
      <c r="A1071" s="12" t="inlineStr">
        <is>
          <t>DMP-B: diverter / bypass damper</t>
        </is>
      </c>
      <c r="B1071" s="12" t="inlineStr">
        <is>
          <t>DMP-B</t>
        </is>
      </c>
      <c r="C1071" s="12" t="inlineStr">
        <is>
          <t>G</t>
        </is>
      </c>
      <c r="D1071" s="12" t="inlineStr">
        <is>
          <t>Motor 1 of 2, 15 kW</t>
        </is>
      </c>
      <c r="E1071" s="12" t="n">
        <v>480</v>
      </c>
      <c r="F1071" s="12" t="n">
        <v>15</v>
      </c>
      <c r="G1071" s="12" t="n">
        <v>21.2</v>
      </c>
      <c r="H1071" s="12" t="inlineStr">
        <is>
          <t>CCS MV switchgear building (VFDs)</t>
        </is>
      </c>
      <c r="I1071" s="12" t="inlineStr">
        <is>
          <t>LV 600 V</t>
        </is>
      </c>
      <c r="J1071" s="12" t="inlineStr">
        <is>
          <t>2</t>
        </is>
      </c>
      <c r="K1071" s="12" t="n">
        <v>1</v>
      </c>
    </row>
    <row r="1072">
      <c r="A1072" s="12" t="inlineStr">
        <is>
          <t>DMP-B: diverter / bypass damper</t>
        </is>
      </c>
      <c r="B1072" s="12" t="inlineStr">
        <is>
          <t>DMP-B</t>
        </is>
      </c>
      <c r="C1072" s="12" t="inlineStr">
        <is>
          <t>G</t>
        </is>
      </c>
      <c r="D1072" s="12" t="inlineStr">
        <is>
          <t>Motor 2 of 2, 15 kW</t>
        </is>
      </c>
      <c r="E1072" s="12" t="n">
        <v>480</v>
      </c>
      <c r="F1072" s="12" t="n">
        <v>15</v>
      </c>
      <c r="G1072" s="12" t="n">
        <v>21.2</v>
      </c>
      <c r="H1072" s="12" t="inlineStr">
        <is>
          <t>CCS MV switchgear building (VFDs)</t>
        </is>
      </c>
      <c r="I1072" s="12" t="inlineStr">
        <is>
          <t>LV 600 V</t>
        </is>
      </c>
      <c r="J1072" s="12" t="inlineStr">
        <is>
          <t>2</t>
        </is>
      </c>
      <c r="K1072" s="12" t="n">
        <v>1</v>
      </c>
    </row>
    <row r="1073">
      <c r="A1073" s="12" t="inlineStr">
        <is>
          <t>DMP-C: diverter / bypass damper</t>
        </is>
      </c>
      <c r="B1073" s="12" t="inlineStr">
        <is>
          <t>DMP-C</t>
        </is>
      </c>
      <c r="C1073" s="12" t="inlineStr">
        <is>
          <t>G</t>
        </is>
      </c>
      <c r="D1073" s="12" t="inlineStr">
        <is>
          <t>Motor 1 of 2, 15 kW</t>
        </is>
      </c>
      <c r="E1073" s="12" t="n">
        <v>480</v>
      </c>
      <c r="F1073" s="12" t="n">
        <v>15</v>
      </c>
      <c r="G1073" s="12" t="n">
        <v>21.2</v>
      </c>
      <c r="H1073" s="12" t="inlineStr">
        <is>
          <t>CCS MV switchgear building (VFDs)</t>
        </is>
      </c>
      <c r="I1073" s="12" t="inlineStr">
        <is>
          <t>LV 600 V</t>
        </is>
      </c>
      <c r="J1073" s="12" t="inlineStr">
        <is>
          <t>2</t>
        </is>
      </c>
      <c r="K1073" s="12" t="n">
        <v>1</v>
      </c>
    </row>
    <row r="1074">
      <c r="A1074" s="12" t="inlineStr">
        <is>
          <t>DMP-C: diverter / bypass damper</t>
        </is>
      </c>
      <c r="B1074" s="12" t="inlineStr">
        <is>
          <t>DMP-C</t>
        </is>
      </c>
      <c r="C1074" s="12" t="inlineStr">
        <is>
          <t>G</t>
        </is>
      </c>
      <c r="D1074" s="12" t="inlineStr">
        <is>
          <t>Motor 2 of 2, 15 kW</t>
        </is>
      </c>
      <c r="E1074" s="12" t="n">
        <v>480</v>
      </c>
      <c r="F1074" s="12" t="n">
        <v>15</v>
      </c>
      <c r="G1074" s="12" t="n">
        <v>21.2</v>
      </c>
      <c r="H1074" s="12" t="inlineStr">
        <is>
          <t>CCS MV switchgear building (VFDs)</t>
        </is>
      </c>
      <c r="I1074" s="12" t="inlineStr">
        <is>
          <t>LV 600 V</t>
        </is>
      </c>
      <c r="J1074" s="12" t="inlineStr">
        <is>
          <t>2</t>
        </is>
      </c>
      <c r="K1074" s="12" t="n">
        <v>1</v>
      </c>
    </row>
    <row r="1075">
      <c r="A1075" s="12" t="inlineStr">
        <is>
          <t>RB-A: reboiler (LP steam from ST extraction)</t>
        </is>
      </c>
      <c r="B1075" s="12" t="inlineStr"/>
      <c r="C1075" s="12" t="inlineStr">
        <is>
          <t>G</t>
        </is>
      </c>
      <c r="D1075" s="12" t="inlineStr">
        <is>
          <t>MOV 1: power</t>
        </is>
      </c>
      <c r="E1075" s="12" t="n">
        <v>480</v>
      </c>
      <c r="F1075" s="12" t="n">
        <v>2.5</v>
      </c>
      <c r="G1075" s="12" t="n">
        <v>3.5</v>
      </c>
      <c r="H1075" s="12" t="inlineStr">
        <is>
          <t>CCS MV switchgear building (VFDs)</t>
        </is>
      </c>
      <c r="I1075" s="12" t="inlineStr">
        <is>
          <t>LV 600 V</t>
        </is>
      </c>
      <c r="J1075" s="12" t="inlineStr">
        <is>
          <t>10</t>
        </is>
      </c>
      <c r="K1075" s="12" t="n">
        <v>1</v>
      </c>
    </row>
    <row r="1076">
      <c r="A1076" s="12" t="inlineStr">
        <is>
          <t>RB-A: reboiler (LP steam from ST extraction)</t>
        </is>
      </c>
      <c r="B1076" s="12" t="inlineStr"/>
      <c r="C1076" s="12" t="inlineStr">
        <is>
          <t>G</t>
        </is>
      </c>
      <c r="D1076" s="12" t="inlineStr">
        <is>
          <t>MOV 2: power</t>
        </is>
      </c>
      <c r="E1076" s="12" t="n">
        <v>480</v>
      </c>
      <c r="F1076" s="12" t="n">
        <v>2.5</v>
      </c>
      <c r="G1076" s="12" t="n">
        <v>3.5</v>
      </c>
      <c r="H1076" s="12" t="inlineStr">
        <is>
          <t>CCS MV switchgear building (VFDs)</t>
        </is>
      </c>
      <c r="I1076" s="12" t="inlineStr">
        <is>
          <t>LV 600 V</t>
        </is>
      </c>
      <c r="J1076" s="12" t="inlineStr">
        <is>
          <t>10</t>
        </is>
      </c>
      <c r="K1076" s="12" t="n">
        <v>1</v>
      </c>
    </row>
    <row r="1077">
      <c r="A1077" s="12" t="inlineStr">
        <is>
          <t>RB-A: reboiler (LP steam from ST extraction)</t>
        </is>
      </c>
      <c r="B1077" s="12" t="inlineStr"/>
      <c r="C1077" s="12" t="inlineStr">
        <is>
          <t>G</t>
        </is>
      </c>
      <c r="D1077" s="12" t="inlineStr">
        <is>
          <t>MOV 3: power</t>
        </is>
      </c>
      <c r="E1077" s="12" t="n">
        <v>480</v>
      </c>
      <c r="F1077" s="12" t="n">
        <v>2.5</v>
      </c>
      <c r="G1077" s="12" t="n">
        <v>3.5</v>
      </c>
      <c r="H1077" s="12" t="inlineStr">
        <is>
          <t>CCS MV switchgear building (VFDs)</t>
        </is>
      </c>
      <c r="I1077" s="12" t="inlineStr">
        <is>
          <t>LV 600 V</t>
        </is>
      </c>
      <c r="J1077" s="12" t="inlineStr">
        <is>
          <t>10</t>
        </is>
      </c>
      <c r="K1077" s="12" t="n">
        <v>1</v>
      </c>
    </row>
    <row r="1078">
      <c r="A1078" s="12" t="inlineStr">
        <is>
          <t>RB-A: reboiler (LP steam from ST extraction)</t>
        </is>
      </c>
      <c r="B1078" s="12" t="inlineStr"/>
      <c r="C1078" s="12" t="inlineStr">
        <is>
          <t>G</t>
        </is>
      </c>
      <c r="D1078" s="12" t="inlineStr">
        <is>
          <t>MOV 4: power</t>
        </is>
      </c>
      <c r="E1078" s="12" t="n">
        <v>480</v>
      </c>
      <c r="F1078" s="12" t="n">
        <v>2.5</v>
      </c>
      <c r="G1078" s="12" t="n">
        <v>3.5</v>
      </c>
      <c r="H1078" s="12" t="inlineStr">
        <is>
          <t>CCS MV switchgear building (VFDs)</t>
        </is>
      </c>
      <c r="I1078" s="12" t="inlineStr">
        <is>
          <t>LV 600 V</t>
        </is>
      </c>
      <c r="J1078" s="12" t="inlineStr">
        <is>
          <t>10</t>
        </is>
      </c>
      <c r="K1078" s="12" t="n">
        <v>1</v>
      </c>
    </row>
    <row r="1079">
      <c r="A1079" s="12" t="inlineStr">
        <is>
          <t>RB-A: reboiler (LP steam from ST extraction)</t>
        </is>
      </c>
      <c r="B1079" s="12" t="inlineStr"/>
      <c r="C1079" s="12" t="inlineStr">
        <is>
          <t>G</t>
        </is>
      </c>
      <c r="D1079" s="12" t="inlineStr">
        <is>
          <t>LV power feeder</t>
        </is>
      </c>
      <c r="E1079" s="12" t="n">
        <v>480</v>
      </c>
      <c r="F1079" s="12" t="n">
        <v>10</v>
      </c>
      <c r="G1079" s="12" t="n">
        <v>14.2</v>
      </c>
      <c r="H1079" s="12" t="inlineStr">
        <is>
          <t>CCS MV switchgear building (VFDs)</t>
        </is>
      </c>
      <c r="I1079" s="12" t="inlineStr">
        <is>
          <t>LV 600 V</t>
        </is>
      </c>
      <c r="J1079" s="12" t="inlineStr">
        <is>
          <t>10</t>
        </is>
      </c>
      <c r="K1079" s="12" t="n">
        <v>1</v>
      </c>
    </row>
    <row r="1080">
      <c r="A1080" s="12" t="inlineStr">
        <is>
          <t>RB-B: reboiler (LP steam from ST extraction)</t>
        </is>
      </c>
      <c r="B1080" s="12" t="inlineStr"/>
      <c r="C1080" s="12" t="inlineStr">
        <is>
          <t>G</t>
        </is>
      </c>
      <c r="D1080" s="12" t="inlineStr">
        <is>
          <t>MOV 1: power</t>
        </is>
      </c>
      <c r="E1080" s="12" t="n">
        <v>480</v>
      </c>
      <c r="F1080" s="12" t="n">
        <v>2.5</v>
      </c>
      <c r="G1080" s="12" t="n">
        <v>3.5</v>
      </c>
      <c r="H1080" s="12" t="inlineStr">
        <is>
          <t>CCS MV switchgear building (VFDs)</t>
        </is>
      </c>
      <c r="I1080" s="12" t="inlineStr">
        <is>
          <t>LV 600 V</t>
        </is>
      </c>
      <c r="J1080" s="12" t="inlineStr">
        <is>
          <t>10</t>
        </is>
      </c>
      <c r="K1080" s="12" t="n">
        <v>1</v>
      </c>
    </row>
    <row r="1081">
      <c r="A1081" s="12" t="inlineStr">
        <is>
          <t>RB-B: reboiler (LP steam from ST extraction)</t>
        </is>
      </c>
      <c r="B1081" s="12" t="inlineStr"/>
      <c r="C1081" s="12" t="inlineStr">
        <is>
          <t>G</t>
        </is>
      </c>
      <c r="D1081" s="12" t="inlineStr">
        <is>
          <t>MOV 2: power</t>
        </is>
      </c>
      <c r="E1081" s="12" t="n">
        <v>480</v>
      </c>
      <c r="F1081" s="12" t="n">
        <v>2.5</v>
      </c>
      <c r="G1081" s="12" t="n">
        <v>3.5</v>
      </c>
      <c r="H1081" s="12" t="inlineStr">
        <is>
          <t>CCS MV switchgear building (VFDs)</t>
        </is>
      </c>
      <c r="I1081" s="12" t="inlineStr">
        <is>
          <t>LV 600 V</t>
        </is>
      </c>
      <c r="J1081" s="12" t="inlineStr">
        <is>
          <t>10</t>
        </is>
      </c>
      <c r="K1081" s="12" t="n">
        <v>1</v>
      </c>
    </row>
    <row r="1082">
      <c r="A1082" s="12" t="inlineStr">
        <is>
          <t>RB-B: reboiler (LP steam from ST extraction)</t>
        </is>
      </c>
      <c r="B1082" s="12" t="inlineStr"/>
      <c r="C1082" s="12" t="inlineStr">
        <is>
          <t>G</t>
        </is>
      </c>
      <c r="D1082" s="12" t="inlineStr">
        <is>
          <t>MOV 3: power</t>
        </is>
      </c>
      <c r="E1082" s="12" t="n">
        <v>480</v>
      </c>
      <c r="F1082" s="12" t="n">
        <v>2.5</v>
      </c>
      <c r="G1082" s="12" t="n">
        <v>3.5</v>
      </c>
      <c r="H1082" s="12" t="inlineStr">
        <is>
          <t>CCS MV switchgear building (VFDs)</t>
        </is>
      </c>
      <c r="I1082" s="12" t="inlineStr">
        <is>
          <t>LV 600 V</t>
        </is>
      </c>
      <c r="J1082" s="12" t="inlineStr">
        <is>
          <t>10</t>
        </is>
      </c>
      <c r="K1082" s="12" t="n">
        <v>1</v>
      </c>
    </row>
    <row r="1083">
      <c r="A1083" s="12" t="inlineStr">
        <is>
          <t>RB-B: reboiler (LP steam from ST extraction)</t>
        </is>
      </c>
      <c r="B1083" s="12" t="inlineStr"/>
      <c r="C1083" s="12" t="inlineStr">
        <is>
          <t>G</t>
        </is>
      </c>
      <c r="D1083" s="12" t="inlineStr">
        <is>
          <t>MOV 4: power</t>
        </is>
      </c>
      <c r="E1083" s="12" t="n">
        <v>480</v>
      </c>
      <c r="F1083" s="12" t="n">
        <v>2.5</v>
      </c>
      <c r="G1083" s="12" t="n">
        <v>3.5</v>
      </c>
      <c r="H1083" s="12" t="inlineStr">
        <is>
          <t>CCS MV switchgear building (VFDs)</t>
        </is>
      </c>
      <c r="I1083" s="12" t="inlineStr">
        <is>
          <t>LV 600 V</t>
        </is>
      </c>
      <c r="J1083" s="12" t="inlineStr">
        <is>
          <t>10</t>
        </is>
      </c>
      <c r="K1083" s="12" t="n">
        <v>1</v>
      </c>
    </row>
    <row r="1084">
      <c r="A1084" s="12" t="inlineStr">
        <is>
          <t>RB-B: reboiler (LP steam from ST extraction)</t>
        </is>
      </c>
      <c r="B1084" s="12" t="inlineStr"/>
      <c r="C1084" s="12" t="inlineStr">
        <is>
          <t>G</t>
        </is>
      </c>
      <c r="D1084" s="12" t="inlineStr">
        <is>
          <t>LV power feeder</t>
        </is>
      </c>
      <c r="E1084" s="12" t="n">
        <v>480</v>
      </c>
      <c r="F1084" s="12" t="n">
        <v>10</v>
      </c>
      <c r="G1084" s="12" t="n">
        <v>14.2</v>
      </c>
      <c r="H1084" s="12" t="inlineStr">
        <is>
          <t>CCS MV switchgear building (VFDs)</t>
        </is>
      </c>
      <c r="I1084" s="12" t="inlineStr">
        <is>
          <t>LV 600 V</t>
        </is>
      </c>
      <c r="J1084" s="12" t="inlineStr">
        <is>
          <t>10</t>
        </is>
      </c>
      <c r="K1084" s="12" t="n">
        <v>1</v>
      </c>
    </row>
    <row r="1085">
      <c r="A1085" s="12" t="inlineStr">
        <is>
          <t>RB-C: reboiler (LP steam from ST extraction)</t>
        </is>
      </c>
      <c r="B1085" s="12" t="inlineStr"/>
      <c r="C1085" s="12" t="inlineStr">
        <is>
          <t>G</t>
        </is>
      </c>
      <c r="D1085" s="12" t="inlineStr">
        <is>
          <t>MOV 1: power</t>
        </is>
      </c>
      <c r="E1085" s="12" t="n">
        <v>480</v>
      </c>
      <c r="F1085" s="12" t="n">
        <v>2.5</v>
      </c>
      <c r="G1085" s="12" t="n">
        <v>3.5</v>
      </c>
      <c r="H1085" s="12" t="inlineStr">
        <is>
          <t>CCS MV switchgear building (VFDs)</t>
        </is>
      </c>
      <c r="I1085" s="12" t="inlineStr">
        <is>
          <t>LV 600 V</t>
        </is>
      </c>
      <c r="J1085" s="12" t="inlineStr">
        <is>
          <t>10</t>
        </is>
      </c>
      <c r="K1085" s="12" t="n">
        <v>1</v>
      </c>
    </row>
    <row r="1086">
      <c r="A1086" s="12" t="inlineStr">
        <is>
          <t>RB-C: reboiler (LP steam from ST extraction)</t>
        </is>
      </c>
      <c r="B1086" s="12" t="inlineStr"/>
      <c r="C1086" s="12" t="inlineStr">
        <is>
          <t>G</t>
        </is>
      </c>
      <c r="D1086" s="12" t="inlineStr">
        <is>
          <t>MOV 2: power</t>
        </is>
      </c>
      <c r="E1086" s="12" t="n">
        <v>480</v>
      </c>
      <c r="F1086" s="12" t="n">
        <v>2.5</v>
      </c>
      <c r="G1086" s="12" t="n">
        <v>3.5</v>
      </c>
      <c r="H1086" s="12" t="inlineStr">
        <is>
          <t>CCS MV switchgear building (VFDs)</t>
        </is>
      </c>
      <c r="I1086" s="12" t="inlineStr">
        <is>
          <t>LV 600 V</t>
        </is>
      </c>
      <c r="J1086" s="12" t="inlineStr">
        <is>
          <t>10</t>
        </is>
      </c>
      <c r="K1086" s="12" t="n">
        <v>1</v>
      </c>
    </row>
    <row r="1087">
      <c r="A1087" s="12" t="inlineStr">
        <is>
          <t>RB-C: reboiler (LP steam from ST extraction)</t>
        </is>
      </c>
      <c r="B1087" s="12" t="inlineStr"/>
      <c r="C1087" s="12" t="inlineStr">
        <is>
          <t>G</t>
        </is>
      </c>
      <c r="D1087" s="12" t="inlineStr">
        <is>
          <t>MOV 3: power</t>
        </is>
      </c>
      <c r="E1087" s="12" t="n">
        <v>480</v>
      </c>
      <c r="F1087" s="12" t="n">
        <v>2.5</v>
      </c>
      <c r="G1087" s="12" t="n">
        <v>3.5</v>
      </c>
      <c r="H1087" s="12" t="inlineStr">
        <is>
          <t>CCS MV switchgear building (VFDs)</t>
        </is>
      </c>
      <c r="I1087" s="12" t="inlineStr">
        <is>
          <t>LV 600 V</t>
        </is>
      </c>
      <c r="J1087" s="12" t="inlineStr">
        <is>
          <t>10</t>
        </is>
      </c>
      <c r="K1087" s="12" t="n">
        <v>1</v>
      </c>
    </row>
    <row r="1088">
      <c r="A1088" s="12" t="inlineStr">
        <is>
          <t>RB-C: reboiler (LP steam from ST extraction)</t>
        </is>
      </c>
      <c r="B1088" s="12" t="inlineStr"/>
      <c r="C1088" s="12" t="inlineStr">
        <is>
          <t>G</t>
        </is>
      </c>
      <c r="D1088" s="12" t="inlineStr">
        <is>
          <t>MOV 4: power</t>
        </is>
      </c>
      <c r="E1088" s="12" t="n">
        <v>480</v>
      </c>
      <c r="F1088" s="12" t="n">
        <v>2.5</v>
      </c>
      <c r="G1088" s="12" t="n">
        <v>3.5</v>
      </c>
      <c r="H1088" s="12" t="inlineStr">
        <is>
          <t>CCS MV switchgear building (VFDs)</t>
        </is>
      </c>
      <c r="I1088" s="12" t="inlineStr">
        <is>
          <t>LV 600 V</t>
        </is>
      </c>
      <c r="J1088" s="12" t="inlineStr">
        <is>
          <t>10</t>
        </is>
      </c>
      <c r="K1088" s="12" t="n">
        <v>1</v>
      </c>
    </row>
    <row r="1089">
      <c r="A1089" s="12" t="inlineStr">
        <is>
          <t>RB-C: reboiler (LP steam from ST extraction)</t>
        </is>
      </c>
      <c r="B1089" s="12" t="inlineStr"/>
      <c r="C1089" s="12" t="inlineStr">
        <is>
          <t>G</t>
        </is>
      </c>
      <c r="D1089" s="12" t="inlineStr">
        <is>
          <t>LV power feeder</t>
        </is>
      </c>
      <c r="E1089" s="12" t="n">
        <v>480</v>
      </c>
      <c r="F1089" s="12" t="n">
        <v>10</v>
      </c>
      <c r="G1089" s="12" t="n">
        <v>14.2</v>
      </c>
      <c r="H1089" s="12" t="inlineStr">
        <is>
          <t>CCS MV switchgear building (VFDs)</t>
        </is>
      </c>
      <c r="I1089" s="12" t="inlineStr">
        <is>
          <t>LV 600 V</t>
        </is>
      </c>
      <c r="J1089" s="12" t="inlineStr">
        <is>
          <t>10</t>
        </is>
      </c>
      <c r="K1089" s="12" t="n">
        <v>1</v>
      </c>
    </row>
    <row r="1090">
      <c r="A1090" s="12" t="inlineStr">
        <is>
          <t>Reclaimer (thermal, intermittent)</t>
        </is>
      </c>
      <c r="B1090" s="12" t="inlineStr"/>
      <c r="C1090" s="12" t="inlineStr">
        <is>
          <t>G</t>
        </is>
      </c>
      <c r="D1090" s="12" t="inlineStr">
        <is>
          <t>Motor 1 of 2, 15 kW</t>
        </is>
      </c>
      <c r="E1090" s="12" t="n">
        <v>480</v>
      </c>
      <c r="F1090" s="12" t="n">
        <v>15</v>
      </c>
      <c r="G1090" s="12" t="n">
        <v>21.2</v>
      </c>
      <c r="H1090" s="12" t="inlineStr">
        <is>
          <t>CCS MV switchgear building (VFDs)</t>
        </is>
      </c>
      <c r="I1090" s="12" t="inlineStr">
        <is>
          <t>LV 600 V</t>
        </is>
      </c>
      <c r="J1090" s="12" t="inlineStr">
        <is>
          <t>10</t>
        </is>
      </c>
      <c r="K1090" s="12" t="n">
        <v>1</v>
      </c>
    </row>
    <row r="1091">
      <c r="A1091" s="12" t="inlineStr">
        <is>
          <t>Reclaimer (thermal, intermittent)</t>
        </is>
      </c>
      <c r="B1091" s="12" t="inlineStr"/>
      <c r="C1091" s="12" t="inlineStr">
        <is>
          <t>G</t>
        </is>
      </c>
      <c r="D1091" s="12" t="inlineStr">
        <is>
          <t>Motor 2 of 2, 15 kW</t>
        </is>
      </c>
      <c r="E1091" s="12" t="n">
        <v>480</v>
      </c>
      <c r="F1091" s="12" t="n">
        <v>15</v>
      </c>
      <c r="G1091" s="12" t="n">
        <v>21.2</v>
      </c>
      <c r="H1091" s="12" t="inlineStr">
        <is>
          <t>CCS MV switchgear building (VFDs)</t>
        </is>
      </c>
      <c r="I1091" s="12" t="inlineStr">
        <is>
          <t>LV 600 V</t>
        </is>
      </c>
      <c r="J1091" s="12" t="inlineStr">
        <is>
          <t>10</t>
        </is>
      </c>
      <c r="K1091" s="12" t="n">
        <v>1</v>
      </c>
    </row>
    <row r="1092">
      <c r="A1092" s="12" t="inlineStr">
        <is>
          <t>STR-A: stripper / regenerator (45 ft dia x 207 ft)</t>
        </is>
      </c>
      <c r="B1092" s="12" t="inlineStr">
        <is>
          <t>STR-A</t>
        </is>
      </c>
      <c r="C1092" s="12" t="inlineStr">
        <is>
          <t>G</t>
        </is>
      </c>
      <c r="D1092" s="12" t="inlineStr">
        <is>
          <t>MOV 1: power</t>
        </is>
      </c>
      <c r="E1092" s="12" t="n">
        <v>480</v>
      </c>
      <c r="F1092" s="12" t="n">
        <v>2.5</v>
      </c>
      <c r="G1092" s="12" t="n">
        <v>3.5</v>
      </c>
      <c r="H1092" s="12" t="inlineStr">
        <is>
          <t>CCS MV switchgear building (VFDs)</t>
        </is>
      </c>
      <c r="I1092" s="12" t="inlineStr">
        <is>
          <t>LV 600 V</t>
        </is>
      </c>
      <c r="J1092" s="12" t="inlineStr">
        <is>
          <t>10</t>
        </is>
      </c>
      <c r="K1092" s="12" t="n">
        <v>1</v>
      </c>
    </row>
    <row r="1093">
      <c r="A1093" s="12" t="inlineStr">
        <is>
          <t>STR-A: stripper / regenerator (45 ft dia x 207 ft)</t>
        </is>
      </c>
      <c r="B1093" s="12" t="inlineStr">
        <is>
          <t>STR-A</t>
        </is>
      </c>
      <c r="C1093" s="12" t="inlineStr">
        <is>
          <t>G</t>
        </is>
      </c>
      <c r="D1093" s="12" t="inlineStr">
        <is>
          <t>MOV 2: power</t>
        </is>
      </c>
      <c r="E1093" s="12" t="n">
        <v>480</v>
      </c>
      <c r="F1093" s="12" t="n">
        <v>2.5</v>
      </c>
      <c r="G1093" s="12" t="n">
        <v>3.5</v>
      </c>
      <c r="H1093" s="12" t="inlineStr">
        <is>
          <t>CCS MV switchgear building (VFDs)</t>
        </is>
      </c>
      <c r="I1093" s="12" t="inlineStr">
        <is>
          <t>LV 600 V</t>
        </is>
      </c>
      <c r="J1093" s="12" t="inlineStr">
        <is>
          <t>10</t>
        </is>
      </c>
      <c r="K1093" s="12" t="n">
        <v>1</v>
      </c>
    </row>
    <row r="1094">
      <c r="A1094" s="12" t="inlineStr">
        <is>
          <t>STR-A: stripper / regenerator (45 ft dia x 207 ft)</t>
        </is>
      </c>
      <c r="B1094" s="12" t="inlineStr">
        <is>
          <t>STR-A</t>
        </is>
      </c>
      <c r="C1094" s="12" t="inlineStr">
        <is>
          <t>G</t>
        </is>
      </c>
      <c r="D1094" s="12" t="inlineStr">
        <is>
          <t>MOV 3: power</t>
        </is>
      </c>
      <c r="E1094" s="12" t="n">
        <v>480</v>
      </c>
      <c r="F1094" s="12" t="n">
        <v>2.5</v>
      </c>
      <c r="G1094" s="12" t="n">
        <v>3.5</v>
      </c>
      <c r="H1094" s="12" t="inlineStr">
        <is>
          <t>CCS MV switchgear building (VFDs)</t>
        </is>
      </c>
      <c r="I1094" s="12" t="inlineStr">
        <is>
          <t>LV 600 V</t>
        </is>
      </c>
      <c r="J1094" s="12" t="inlineStr">
        <is>
          <t>10</t>
        </is>
      </c>
      <c r="K1094" s="12" t="n">
        <v>1</v>
      </c>
    </row>
    <row r="1095">
      <c r="A1095" s="12" t="inlineStr">
        <is>
          <t>STR-A: stripper / regenerator (45 ft dia x 207 ft)</t>
        </is>
      </c>
      <c r="B1095" s="12" t="inlineStr">
        <is>
          <t>STR-A</t>
        </is>
      </c>
      <c r="C1095" s="12" t="inlineStr">
        <is>
          <t>G</t>
        </is>
      </c>
      <c r="D1095" s="12" t="inlineStr">
        <is>
          <t>MOV 4: power</t>
        </is>
      </c>
      <c r="E1095" s="12" t="n">
        <v>480</v>
      </c>
      <c r="F1095" s="12" t="n">
        <v>2.5</v>
      </c>
      <c r="G1095" s="12" t="n">
        <v>3.5</v>
      </c>
      <c r="H1095" s="12" t="inlineStr">
        <is>
          <t>CCS MV switchgear building (VFDs)</t>
        </is>
      </c>
      <c r="I1095" s="12" t="inlineStr">
        <is>
          <t>LV 600 V</t>
        </is>
      </c>
      <c r="J1095" s="12" t="inlineStr">
        <is>
          <t>10</t>
        </is>
      </c>
      <c r="K1095" s="12" t="n">
        <v>1</v>
      </c>
    </row>
    <row r="1096">
      <c r="A1096" s="12" t="inlineStr">
        <is>
          <t>STR-A: stripper / regenerator (45 ft dia x 207 ft)</t>
        </is>
      </c>
      <c r="B1096" s="12" t="inlineStr">
        <is>
          <t>STR-A</t>
        </is>
      </c>
      <c r="C1096" s="12" t="inlineStr">
        <is>
          <t>G</t>
        </is>
      </c>
      <c r="D1096" s="12" t="inlineStr">
        <is>
          <t>MOV 5: power</t>
        </is>
      </c>
      <c r="E1096" s="12" t="n">
        <v>480</v>
      </c>
      <c r="F1096" s="12" t="n">
        <v>2.5</v>
      </c>
      <c r="G1096" s="12" t="n">
        <v>3.5</v>
      </c>
      <c r="H1096" s="12" t="inlineStr">
        <is>
          <t>CCS MV switchgear building (VFDs)</t>
        </is>
      </c>
      <c r="I1096" s="12" t="inlineStr">
        <is>
          <t>LV 600 V</t>
        </is>
      </c>
      <c r="J1096" s="12" t="inlineStr">
        <is>
          <t>10</t>
        </is>
      </c>
      <c r="K1096" s="12" t="n">
        <v>1</v>
      </c>
    </row>
    <row r="1097">
      <c r="A1097" s="12" t="inlineStr">
        <is>
          <t>STR-A: stripper / regenerator (45 ft dia x 207 ft)</t>
        </is>
      </c>
      <c r="B1097" s="12" t="inlineStr">
        <is>
          <t>STR-A</t>
        </is>
      </c>
      <c r="C1097" s="12" t="inlineStr">
        <is>
          <t>G</t>
        </is>
      </c>
      <c r="D1097" s="12" t="inlineStr">
        <is>
          <t>MOV 6: power</t>
        </is>
      </c>
      <c r="E1097" s="12" t="n">
        <v>480</v>
      </c>
      <c r="F1097" s="12" t="n">
        <v>2.5</v>
      </c>
      <c r="G1097" s="12" t="n">
        <v>3.5</v>
      </c>
      <c r="H1097" s="12" t="inlineStr">
        <is>
          <t>CCS MV switchgear building (VFDs)</t>
        </is>
      </c>
      <c r="I1097" s="12" t="inlineStr">
        <is>
          <t>LV 600 V</t>
        </is>
      </c>
      <c r="J1097" s="12" t="inlineStr">
        <is>
          <t>10</t>
        </is>
      </c>
      <c r="K1097" s="12" t="n">
        <v>1</v>
      </c>
    </row>
    <row r="1098">
      <c r="A1098" s="12" t="inlineStr">
        <is>
          <t>STR-A: stripper / regenerator (45 ft dia x 207 ft)</t>
        </is>
      </c>
      <c r="B1098" s="12" t="inlineStr">
        <is>
          <t>STR-A</t>
        </is>
      </c>
      <c r="C1098" s="12" t="inlineStr">
        <is>
          <t>G</t>
        </is>
      </c>
      <c r="D1098" s="12" t="inlineStr">
        <is>
          <t>LV power feeder</t>
        </is>
      </c>
      <c r="E1098" s="12" t="n">
        <v>480</v>
      </c>
      <c r="F1098" s="12" t="n">
        <v>30</v>
      </c>
      <c r="G1098" s="12" t="n">
        <v>42.5</v>
      </c>
      <c r="H1098" s="12" t="inlineStr">
        <is>
          <t>CCS MV switchgear building (VFDs)</t>
        </is>
      </c>
      <c r="I1098" s="12" t="inlineStr">
        <is>
          <t>LV 600 V</t>
        </is>
      </c>
      <c r="J1098" s="12" t="inlineStr">
        <is>
          <t>6</t>
        </is>
      </c>
      <c r="K1098" s="12" t="n">
        <v>1</v>
      </c>
    </row>
    <row r="1099">
      <c r="A1099" s="12" t="inlineStr">
        <is>
          <t>STR-A: stripper / regenerator (45 ft dia x 207 ft)</t>
        </is>
      </c>
      <c r="B1099" s="12" t="inlineStr">
        <is>
          <t>STR-A</t>
        </is>
      </c>
      <c r="C1099" s="12" t="inlineStr">
        <is>
          <t>G</t>
        </is>
      </c>
      <c r="D1099" s="12" t="inlineStr">
        <is>
          <t>Area / platform lighting circuit 1 (12 fixtures)</t>
        </is>
      </c>
      <c r="E1099" s="12" t="n">
        <v>480</v>
      </c>
      <c r="F1099" s="12" t="n">
        <v>3</v>
      </c>
      <c r="G1099" s="12" t="n">
        <v>5</v>
      </c>
      <c r="H1099" s="12" t="inlineStr">
        <is>
          <t>CCS MV switchgear building (VFDs)</t>
        </is>
      </c>
      <c r="I1099" s="12" t="inlineStr">
        <is>
          <t>LV 600 V</t>
        </is>
      </c>
      <c r="J1099" s="12" t="inlineStr">
        <is>
          <t>10</t>
        </is>
      </c>
      <c r="K1099" s="12" t="n">
        <v>1</v>
      </c>
    </row>
    <row r="1100">
      <c r="A1100" s="12" t="inlineStr">
        <is>
          <t>STR-A: stripper / regenerator (45 ft dia x 207 ft)</t>
        </is>
      </c>
      <c r="B1100" s="12" t="inlineStr">
        <is>
          <t>STR-A</t>
        </is>
      </c>
      <c r="C1100" s="12" t="inlineStr">
        <is>
          <t>G</t>
        </is>
      </c>
      <c r="D1100" s="12" t="inlineStr">
        <is>
          <t>Area / platform lighting circuit 2 (8 fixtures)</t>
        </is>
      </c>
      <c r="E1100" s="12" t="n">
        <v>480</v>
      </c>
      <c r="F1100" s="12" t="n">
        <v>3</v>
      </c>
      <c r="G1100" s="12" t="n">
        <v>5</v>
      </c>
      <c r="H1100" s="12" t="inlineStr">
        <is>
          <t>CCS MV switchgear building (VFDs)</t>
        </is>
      </c>
      <c r="I1100" s="12" t="inlineStr">
        <is>
          <t>LV 600 V</t>
        </is>
      </c>
      <c r="J1100" s="12" t="inlineStr">
        <is>
          <t>10</t>
        </is>
      </c>
      <c r="K1100" s="12" t="n">
        <v>1</v>
      </c>
    </row>
    <row r="1101">
      <c r="A1101" s="12" t="inlineStr">
        <is>
          <t>STR-A: stripper / regenerator (45 ft dia x 207 ft)</t>
        </is>
      </c>
      <c r="B1101" s="12" t="inlineStr">
        <is>
          <t>STR-A</t>
        </is>
      </c>
      <c r="C1101" s="12" t="inlineStr">
        <is>
          <t>G</t>
        </is>
      </c>
      <c r="D1101" s="12" t="inlineStr">
        <is>
          <t>480 V welding receptacle 1</t>
        </is>
      </c>
      <c r="E1101" s="12" t="n">
        <v>480</v>
      </c>
      <c r="F1101" s="12" t="n">
        <v>60</v>
      </c>
      <c r="G1101" s="12" t="n">
        <v>76</v>
      </c>
      <c r="H1101" s="12" t="inlineStr">
        <is>
          <t>CCS MV switchgear building (VFDs)</t>
        </is>
      </c>
      <c r="I1101" s="12" t="inlineStr">
        <is>
          <t>LV 600 V</t>
        </is>
      </c>
      <c r="J1101" s="12" t="inlineStr">
        <is>
          <t>2</t>
        </is>
      </c>
      <c r="K1101" s="12" t="n">
        <v>1</v>
      </c>
    </row>
    <row r="1102">
      <c r="A1102" s="12" t="inlineStr">
        <is>
          <t>STR-A: stripper / regenerator (45 ft dia x 207 ft)</t>
        </is>
      </c>
      <c r="B1102" s="12" t="inlineStr">
        <is>
          <t>STR-A</t>
        </is>
      </c>
      <c r="C1102" s="12" t="inlineStr">
        <is>
          <t>G</t>
        </is>
      </c>
      <c r="D1102" s="12" t="inlineStr">
        <is>
          <t>480 V welding receptacle 2</t>
        </is>
      </c>
      <c r="E1102" s="12" t="n">
        <v>480</v>
      </c>
      <c r="F1102" s="12" t="n">
        <v>60</v>
      </c>
      <c r="G1102" s="12" t="n">
        <v>76</v>
      </c>
      <c r="H1102" s="12" t="inlineStr">
        <is>
          <t>CCS MV switchgear building (VFDs)</t>
        </is>
      </c>
      <c r="I1102" s="12" t="inlineStr">
        <is>
          <t>LV 600 V</t>
        </is>
      </c>
      <c r="J1102" s="12" t="inlineStr">
        <is>
          <t>2</t>
        </is>
      </c>
      <c r="K1102" s="12" t="n">
        <v>1</v>
      </c>
    </row>
    <row r="1103">
      <c r="A1103" s="12" t="inlineStr">
        <is>
          <t>STR-A: stripper / regenerator (45 ft dia x 207 ft)</t>
        </is>
      </c>
      <c r="B1103" s="12" t="inlineStr">
        <is>
          <t>STR-A</t>
        </is>
      </c>
      <c r="C1103" s="12" t="inlineStr">
        <is>
          <t>G</t>
        </is>
      </c>
      <c r="D1103" s="12" t="inlineStr">
        <is>
          <t>480 V welding receptacle 3</t>
        </is>
      </c>
      <c r="E1103" s="12" t="n">
        <v>480</v>
      </c>
      <c r="F1103" s="12" t="n">
        <v>60</v>
      </c>
      <c r="G1103" s="12" t="n">
        <v>76</v>
      </c>
      <c r="H1103" s="12" t="inlineStr">
        <is>
          <t>CCS MV switchgear building (VFDs)</t>
        </is>
      </c>
      <c r="I1103" s="12" t="inlineStr">
        <is>
          <t>LV 600 V</t>
        </is>
      </c>
      <c r="J1103" s="12" t="inlineStr">
        <is>
          <t>2</t>
        </is>
      </c>
      <c r="K1103" s="12" t="n">
        <v>1</v>
      </c>
    </row>
    <row r="1104">
      <c r="A1104" s="12" t="inlineStr">
        <is>
          <t>STR-A: stripper / regenerator (45 ft dia x 207 ft)</t>
        </is>
      </c>
      <c r="B1104" s="12" t="inlineStr">
        <is>
          <t>STR-A</t>
        </is>
      </c>
      <c r="C1104" s="12" t="inlineStr">
        <is>
          <t>G</t>
        </is>
      </c>
      <c r="D1104" s="12" t="inlineStr">
        <is>
          <t>480 V welding receptacle 4</t>
        </is>
      </c>
      <c r="E1104" s="12" t="n">
        <v>480</v>
      </c>
      <c r="F1104" s="12" t="n">
        <v>60</v>
      </c>
      <c r="G1104" s="12" t="n">
        <v>76</v>
      </c>
      <c r="H1104" s="12" t="inlineStr">
        <is>
          <t>CCS MV switchgear building (VFDs)</t>
        </is>
      </c>
      <c r="I1104" s="12" t="inlineStr">
        <is>
          <t>LV 600 V</t>
        </is>
      </c>
      <c r="J1104" s="12" t="inlineStr">
        <is>
          <t>2</t>
        </is>
      </c>
      <c r="K1104" s="12" t="n">
        <v>1</v>
      </c>
    </row>
    <row r="1105">
      <c r="A1105" s="12" t="inlineStr">
        <is>
          <t>STR-B: stripper / regenerator (45 ft dia x 207 ft)</t>
        </is>
      </c>
      <c r="B1105" s="12" t="inlineStr">
        <is>
          <t>STR-B</t>
        </is>
      </c>
      <c r="C1105" s="12" t="inlineStr">
        <is>
          <t>G</t>
        </is>
      </c>
      <c r="D1105" s="12" t="inlineStr">
        <is>
          <t>MOV 1: power</t>
        </is>
      </c>
      <c r="E1105" s="12" t="n">
        <v>480</v>
      </c>
      <c r="F1105" s="12" t="n">
        <v>2.5</v>
      </c>
      <c r="G1105" s="12" t="n">
        <v>3.5</v>
      </c>
      <c r="H1105" s="12" t="inlineStr">
        <is>
          <t>CCS MV switchgear building (VFDs)</t>
        </is>
      </c>
      <c r="I1105" s="12" t="inlineStr">
        <is>
          <t>LV 600 V</t>
        </is>
      </c>
      <c r="J1105" s="12" t="inlineStr">
        <is>
          <t>10</t>
        </is>
      </c>
      <c r="K1105" s="12" t="n">
        <v>1</v>
      </c>
    </row>
    <row r="1106">
      <c r="A1106" s="12" t="inlineStr">
        <is>
          <t>STR-B: stripper / regenerator (45 ft dia x 207 ft)</t>
        </is>
      </c>
      <c r="B1106" s="12" t="inlineStr">
        <is>
          <t>STR-B</t>
        </is>
      </c>
      <c r="C1106" s="12" t="inlineStr">
        <is>
          <t>G</t>
        </is>
      </c>
      <c r="D1106" s="12" t="inlineStr">
        <is>
          <t>MOV 2: power</t>
        </is>
      </c>
      <c r="E1106" s="12" t="n">
        <v>480</v>
      </c>
      <c r="F1106" s="12" t="n">
        <v>2.5</v>
      </c>
      <c r="G1106" s="12" t="n">
        <v>3.5</v>
      </c>
      <c r="H1106" s="12" t="inlineStr">
        <is>
          <t>CCS MV switchgear building (VFDs)</t>
        </is>
      </c>
      <c r="I1106" s="12" t="inlineStr">
        <is>
          <t>LV 600 V</t>
        </is>
      </c>
      <c r="J1106" s="12" t="inlineStr">
        <is>
          <t>10</t>
        </is>
      </c>
      <c r="K1106" s="12" t="n">
        <v>1</v>
      </c>
    </row>
    <row r="1107">
      <c r="A1107" s="12" t="inlineStr">
        <is>
          <t>STR-B: stripper / regenerator (45 ft dia x 207 ft)</t>
        </is>
      </c>
      <c r="B1107" s="12" t="inlineStr">
        <is>
          <t>STR-B</t>
        </is>
      </c>
      <c r="C1107" s="12" t="inlineStr">
        <is>
          <t>G</t>
        </is>
      </c>
      <c r="D1107" s="12" t="inlineStr">
        <is>
          <t>MOV 3: power</t>
        </is>
      </c>
      <c r="E1107" s="12" t="n">
        <v>480</v>
      </c>
      <c r="F1107" s="12" t="n">
        <v>2.5</v>
      </c>
      <c r="G1107" s="12" t="n">
        <v>3.5</v>
      </c>
      <c r="H1107" s="12" t="inlineStr">
        <is>
          <t>CCS MV switchgear building (VFDs)</t>
        </is>
      </c>
      <c r="I1107" s="12" t="inlineStr">
        <is>
          <t>LV 600 V</t>
        </is>
      </c>
      <c r="J1107" s="12" t="inlineStr">
        <is>
          <t>10</t>
        </is>
      </c>
      <c r="K1107" s="12" t="n">
        <v>1</v>
      </c>
    </row>
    <row r="1108">
      <c r="A1108" s="12" t="inlineStr">
        <is>
          <t>STR-B: stripper / regenerator (45 ft dia x 207 ft)</t>
        </is>
      </c>
      <c r="B1108" s="12" t="inlineStr">
        <is>
          <t>STR-B</t>
        </is>
      </c>
      <c r="C1108" s="12" t="inlineStr">
        <is>
          <t>G</t>
        </is>
      </c>
      <c r="D1108" s="12" t="inlineStr">
        <is>
          <t>MOV 4: power</t>
        </is>
      </c>
      <c r="E1108" s="12" t="n">
        <v>480</v>
      </c>
      <c r="F1108" s="12" t="n">
        <v>2.5</v>
      </c>
      <c r="G1108" s="12" t="n">
        <v>3.5</v>
      </c>
      <c r="H1108" s="12" t="inlineStr">
        <is>
          <t>CCS MV switchgear building (VFDs)</t>
        </is>
      </c>
      <c r="I1108" s="12" t="inlineStr">
        <is>
          <t>LV 600 V</t>
        </is>
      </c>
      <c r="J1108" s="12" t="inlineStr">
        <is>
          <t>10</t>
        </is>
      </c>
      <c r="K1108" s="12" t="n">
        <v>1</v>
      </c>
    </row>
    <row r="1109">
      <c r="A1109" s="12" t="inlineStr">
        <is>
          <t>STR-B: stripper / regenerator (45 ft dia x 207 ft)</t>
        </is>
      </c>
      <c r="B1109" s="12" t="inlineStr">
        <is>
          <t>STR-B</t>
        </is>
      </c>
      <c r="C1109" s="12" t="inlineStr">
        <is>
          <t>G</t>
        </is>
      </c>
      <c r="D1109" s="12" t="inlineStr">
        <is>
          <t>MOV 5: power</t>
        </is>
      </c>
      <c r="E1109" s="12" t="n">
        <v>480</v>
      </c>
      <c r="F1109" s="12" t="n">
        <v>2.5</v>
      </c>
      <c r="G1109" s="12" t="n">
        <v>3.5</v>
      </c>
      <c r="H1109" s="12" t="inlineStr">
        <is>
          <t>CCS MV switchgear building (VFDs)</t>
        </is>
      </c>
      <c r="I1109" s="12" t="inlineStr">
        <is>
          <t>LV 600 V</t>
        </is>
      </c>
      <c r="J1109" s="12" t="inlineStr">
        <is>
          <t>10</t>
        </is>
      </c>
      <c r="K1109" s="12" t="n">
        <v>1</v>
      </c>
    </row>
    <row r="1110">
      <c r="A1110" s="12" t="inlineStr">
        <is>
          <t>STR-B: stripper / regenerator (45 ft dia x 207 ft)</t>
        </is>
      </c>
      <c r="B1110" s="12" t="inlineStr">
        <is>
          <t>STR-B</t>
        </is>
      </c>
      <c r="C1110" s="12" t="inlineStr">
        <is>
          <t>G</t>
        </is>
      </c>
      <c r="D1110" s="12" t="inlineStr">
        <is>
          <t>MOV 6: power</t>
        </is>
      </c>
      <c r="E1110" s="12" t="n">
        <v>480</v>
      </c>
      <c r="F1110" s="12" t="n">
        <v>2.5</v>
      </c>
      <c r="G1110" s="12" t="n">
        <v>3.5</v>
      </c>
      <c r="H1110" s="12" t="inlineStr">
        <is>
          <t>CCS MV switchgear building (VFDs)</t>
        </is>
      </c>
      <c r="I1110" s="12" t="inlineStr">
        <is>
          <t>LV 600 V</t>
        </is>
      </c>
      <c r="J1110" s="12" t="inlineStr">
        <is>
          <t>10</t>
        </is>
      </c>
      <c r="K1110" s="12" t="n">
        <v>1</v>
      </c>
    </row>
    <row r="1111">
      <c r="A1111" s="12" t="inlineStr">
        <is>
          <t>STR-B: stripper / regenerator (45 ft dia x 207 ft)</t>
        </is>
      </c>
      <c r="B1111" s="12" t="inlineStr">
        <is>
          <t>STR-B</t>
        </is>
      </c>
      <c r="C1111" s="12" t="inlineStr">
        <is>
          <t>G</t>
        </is>
      </c>
      <c r="D1111" s="12" t="inlineStr">
        <is>
          <t>LV power feeder</t>
        </is>
      </c>
      <c r="E1111" s="12" t="n">
        <v>480</v>
      </c>
      <c r="F1111" s="12" t="n">
        <v>30</v>
      </c>
      <c r="G1111" s="12" t="n">
        <v>42.5</v>
      </c>
      <c r="H1111" s="12" t="inlineStr">
        <is>
          <t>CCS MV switchgear building (VFDs)</t>
        </is>
      </c>
      <c r="I1111" s="12" t="inlineStr">
        <is>
          <t>LV 600 V</t>
        </is>
      </c>
      <c r="J1111" s="12" t="inlineStr">
        <is>
          <t>6</t>
        </is>
      </c>
      <c r="K1111" s="12" t="n">
        <v>1</v>
      </c>
    </row>
    <row r="1112">
      <c r="A1112" s="12" t="inlineStr">
        <is>
          <t>STR-B: stripper / regenerator (45 ft dia x 207 ft)</t>
        </is>
      </c>
      <c r="B1112" s="12" t="inlineStr">
        <is>
          <t>STR-B</t>
        </is>
      </c>
      <c r="C1112" s="12" t="inlineStr">
        <is>
          <t>G</t>
        </is>
      </c>
      <c r="D1112" s="12" t="inlineStr">
        <is>
          <t>Area / platform lighting circuit 1 (12 fixtures)</t>
        </is>
      </c>
      <c r="E1112" s="12" t="n">
        <v>480</v>
      </c>
      <c r="F1112" s="12" t="n">
        <v>3</v>
      </c>
      <c r="G1112" s="12" t="n">
        <v>5</v>
      </c>
      <c r="H1112" s="12" t="inlineStr">
        <is>
          <t>CCS MV switchgear building (VFDs)</t>
        </is>
      </c>
      <c r="I1112" s="12" t="inlineStr">
        <is>
          <t>LV 600 V</t>
        </is>
      </c>
      <c r="J1112" s="12" t="inlineStr">
        <is>
          <t>10</t>
        </is>
      </c>
      <c r="K1112" s="12" t="n">
        <v>1</v>
      </c>
    </row>
    <row r="1113">
      <c r="A1113" s="12" t="inlineStr">
        <is>
          <t>STR-B: stripper / regenerator (45 ft dia x 207 ft)</t>
        </is>
      </c>
      <c r="B1113" s="12" t="inlineStr">
        <is>
          <t>STR-B</t>
        </is>
      </c>
      <c r="C1113" s="12" t="inlineStr">
        <is>
          <t>G</t>
        </is>
      </c>
      <c r="D1113" s="12" t="inlineStr">
        <is>
          <t>Area / platform lighting circuit 2 (8 fixtures)</t>
        </is>
      </c>
      <c r="E1113" s="12" t="n">
        <v>480</v>
      </c>
      <c r="F1113" s="12" t="n">
        <v>3</v>
      </c>
      <c r="G1113" s="12" t="n">
        <v>5</v>
      </c>
      <c r="H1113" s="12" t="inlineStr">
        <is>
          <t>CCS MV switchgear building (VFDs)</t>
        </is>
      </c>
      <c r="I1113" s="12" t="inlineStr">
        <is>
          <t>LV 600 V</t>
        </is>
      </c>
      <c r="J1113" s="12" t="inlineStr">
        <is>
          <t>10</t>
        </is>
      </c>
      <c r="K1113" s="12" t="n">
        <v>1</v>
      </c>
    </row>
    <row r="1114">
      <c r="A1114" s="12" t="inlineStr">
        <is>
          <t>STR-B: stripper / regenerator (45 ft dia x 207 ft)</t>
        </is>
      </c>
      <c r="B1114" s="12" t="inlineStr">
        <is>
          <t>STR-B</t>
        </is>
      </c>
      <c r="C1114" s="12" t="inlineStr">
        <is>
          <t>G</t>
        </is>
      </c>
      <c r="D1114" s="12" t="inlineStr">
        <is>
          <t>480 V welding receptacle 1</t>
        </is>
      </c>
      <c r="E1114" s="12" t="n">
        <v>480</v>
      </c>
      <c r="F1114" s="12" t="n">
        <v>60</v>
      </c>
      <c r="G1114" s="12" t="n">
        <v>76</v>
      </c>
      <c r="H1114" s="12" t="inlineStr">
        <is>
          <t>CCS MV switchgear building (VFDs)</t>
        </is>
      </c>
      <c r="I1114" s="12" t="inlineStr">
        <is>
          <t>LV 600 V</t>
        </is>
      </c>
      <c r="J1114" s="12" t="inlineStr">
        <is>
          <t>2</t>
        </is>
      </c>
      <c r="K1114" s="12" t="n">
        <v>1</v>
      </c>
    </row>
    <row r="1115">
      <c r="A1115" s="12" t="inlineStr">
        <is>
          <t>STR-B: stripper / regenerator (45 ft dia x 207 ft)</t>
        </is>
      </c>
      <c r="B1115" s="12" t="inlineStr">
        <is>
          <t>STR-B</t>
        </is>
      </c>
      <c r="C1115" s="12" t="inlineStr">
        <is>
          <t>G</t>
        </is>
      </c>
      <c r="D1115" s="12" t="inlineStr">
        <is>
          <t>480 V welding receptacle 2</t>
        </is>
      </c>
      <c r="E1115" s="12" t="n">
        <v>480</v>
      </c>
      <c r="F1115" s="12" t="n">
        <v>60</v>
      </c>
      <c r="G1115" s="12" t="n">
        <v>76</v>
      </c>
      <c r="H1115" s="12" t="inlineStr">
        <is>
          <t>CCS MV switchgear building (VFDs)</t>
        </is>
      </c>
      <c r="I1115" s="12" t="inlineStr">
        <is>
          <t>LV 600 V</t>
        </is>
      </c>
      <c r="J1115" s="12" t="inlineStr">
        <is>
          <t>2</t>
        </is>
      </c>
      <c r="K1115" s="12" t="n">
        <v>1</v>
      </c>
    </row>
    <row r="1116">
      <c r="A1116" s="12" t="inlineStr">
        <is>
          <t>STR-B: stripper / regenerator (45 ft dia x 207 ft)</t>
        </is>
      </c>
      <c r="B1116" s="12" t="inlineStr">
        <is>
          <t>STR-B</t>
        </is>
      </c>
      <c r="C1116" s="12" t="inlineStr">
        <is>
          <t>G</t>
        </is>
      </c>
      <c r="D1116" s="12" t="inlineStr">
        <is>
          <t>480 V welding receptacle 3</t>
        </is>
      </c>
      <c r="E1116" s="12" t="n">
        <v>480</v>
      </c>
      <c r="F1116" s="12" t="n">
        <v>60</v>
      </c>
      <c r="G1116" s="12" t="n">
        <v>76</v>
      </c>
      <c r="H1116" s="12" t="inlineStr">
        <is>
          <t>CCS MV switchgear building (VFDs)</t>
        </is>
      </c>
      <c r="I1116" s="12" t="inlineStr">
        <is>
          <t>LV 600 V</t>
        </is>
      </c>
      <c r="J1116" s="12" t="inlineStr">
        <is>
          <t>2</t>
        </is>
      </c>
      <c r="K1116" s="12" t="n">
        <v>1</v>
      </c>
    </row>
    <row r="1117">
      <c r="A1117" s="12" t="inlineStr">
        <is>
          <t>STR-B: stripper / regenerator (45 ft dia x 207 ft)</t>
        </is>
      </c>
      <c r="B1117" s="12" t="inlineStr">
        <is>
          <t>STR-B</t>
        </is>
      </c>
      <c r="C1117" s="12" t="inlineStr">
        <is>
          <t>G</t>
        </is>
      </c>
      <c r="D1117" s="12" t="inlineStr">
        <is>
          <t>480 V welding receptacle 4</t>
        </is>
      </c>
      <c r="E1117" s="12" t="n">
        <v>480</v>
      </c>
      <c r="F1117" s="12" t="n">
        <v>60</v>
      </c>
      <c r="G1117" s="12" t="n">
        <v>76</v>
      </c>
      <c r="H1117" s="12" t="inlineStr">
        <is>
          <t>CCS MV switchgear building (VFDs)</t>
        </is>
      </c>
      <c r="I1117" s="12" t="inlineStr">
        <is>
          <t>LV 600 V</t>
        </is>
      </c>
      <c r="J1117" s="12" t="inlineStr">
        <is>
          <t>2</t>
        </is>
      </c>
      <c r="K1117" s="12" t="n">
        <v>1</v>
      </c>
    </row>
    <row r="1118">
      <c r="A1118" s="12" t="inlineStr">
        <is>
          <t>STR-C: stripper / regenerator (45 ft dia x 207 ft)</t>
        </is>
      </c>
      <c r="B1118" s="12" t="inlineStr">
        <is>
          <t>STR-C</t>
        </is>
      </c>
      <c r="C1118" s="12" t="inlineStr">
        <is>
          <t>G</t>
        </is>
      </c>
      <c r="D1118" s="12" t="inlineStr">
        <is>
          <t>MOV 1: power</t>
        </is>
      </c>
      <c r="E1118" s="12" t="n">
        <v>480</v>
      </c>
      <c r="F1118" s="12" t="n">
        <v>2.5</v>
      </c>
      <c r="G1118" s="12" t="n">
        <v>3.5</v>
      </c>
      <c r="H1118" s="12" t="inlineStr">
        <is>
          <t>CCS MV switchgear building (VFDs)</t>
        </is>
      </c>
      <c r="I1118" s="12" t="inlineStr">
        <is>
          <t>LV 600 V</t>
        </is>
      </c>
      <c r="J1118" s="12" t="inlineStr">
        <is>
          <t>10</t>
        </is>
      </c>
      <c r="K1118" s="12" t="n">
        <v>1</v>
      </c>
    </row>
    <row r="1119">
      <c r="A1119" s="12" t="inlineStr">
        <is>
          <t>STR-C: stripper / regenerator (45 ft dia x 207 ft)</t>
        </is>
      </c>
      <c r="B1119" s="12" t="inlineStr">
        <is>
          <t>STR-C</t>
        </is>
      </c>
      <c r="C1119" s="12" t="inlineStr">
        <is>
          <t>G</t>
        </is>
      </c>
      <c r="D1119" s="12" t="inlineStr">
        <is>
          <t>MOV 2: power</t>
        </is>
      </c>
      <c r="E1119" s="12" t="n">
        <v>480</v>
      </c>
      <c r="F1119" s="12" t="n">
        <v>2.5</v>
      </c>
      <c r="G1119" s="12" t="n">
        <v>3.5</v>
      </c>
      <c r="H1119" s="12" t="inlineStr">
        <is>
          <t>CCS MV switchgear building (VFDs)</t>
        </is>
      </c>
      <c r="I1119" s="12" t="inlineStr">
        <is>
          <t>LV 600 V</t>
        </is>
      </c>
      <c r="J1119" s="12" t="inlineStr">
        <is>
          <t>10</t>
        </is>
      </c>
      <c r="K1119" s="12" t="n">
        <v>1</v>
      </c>
    </row>
    <row r="1120">
      <c r="A1120" s="12" t="inlineStr">
        <is>
          <t>STR-C: stripper / regenerator (45 ft dia x 207 ft)</t>
        </is>
      </c>
      <c r="B1120" s="12" t="inlineStr">
        <is>
          <t>STR-C</t>
        </is>
      </c>
      <c r="C1120" s="12" t="inlineStr">
        <is>
          <t>G</t>
        </is>
      </c>
      <c r="D1120" s="12" t="inlineStr">
        <is>
          <t>MOV 3: power</t>
        </is>
      </c>
      <c r="E1120" s="12" t="n">
        <v>480</v>
      </c>
      <c r="F1120" s="12" t="n">
        <v>2.5</v>
      </c>
      <c r="G1120" s="12" t="n">
        <v>3.5</v>
      </c>
      <c r="H1120" s="12" t="inlineStr">
        <is>
          <t>CCS MV switchgear building (VFDs)</t>
        </is>
      </c>
      <c r="I1120" s="12" t="inlineStr">
        <is>
          <t>LV 600 V</t>
        </is>
      </c>
      <c r="J1120" s="12" t="inlineStr">
        <is>
          <t>10</t>
        </is>
      </c>
      <c r="K1120" s="12" t="n">
        <v>1</v>
      </c>
    </row>
    <row r="1121">
      <c r="A1121" s="12" t="inlineStr">
        <is>
          <t>STR-C: stripper / regenerator (45 ft dia x 207 ft)</t>
        </is>
      </c>
      <c r="B1121" s="12" t="inlineStr">
        <is>
          <t>STR-C</t>
        </is>
      </c>
      <c r="C1121" s="12" t="inlineStr">
        <is>
          <t>G</t>
        </is>
      </c>
      <c r="D1121" s="12" t="inlineStr">
        <is>
          <t>MOV 4: power</t>
        </is>
      </c>
      <c r="E1121" s="12" t="n">
        <v>480</v>
      </c>
      <c r="F1121" s="12" t="n">
        <v>2.5</v>
      </c>
      <c r="G1121" s="12" t="n">
        <v>3.5</v>
      </c>
      <c r="H1121" s="12" t="inlineStr">
        <is>
          <t>CCS MV switchgear building (VFDs)</t>
        </is>
      </c>
      <c r="I1121" s="12" t="inlineStr">
        <is>
          <t>LV 600 V</t>
        </is>
      </c>
      <c r="J1121" s="12" t="inlineStr">
        <is>
          <t>10</t>
        </is>
      </c>
      <c r="K1121" s="12" t="n">
        <v>1</v>
      </c>
    </row>
    <row r="1122">
      <c r="A1122" s="12" t="inlineStr">
        <is>
          <t>STR-C: stripper / regenerator (45 ft dia x 207 ft)</t>
        </is>
      </c>
      <c r="B1122" s="12" t="inlineStr">
        <is>
          <t>STR-C</t>
        </is>
      </c>
      <c r="C1122" s="12" t="inlineStr">
        <is>
          <t>G</t>
        </is>
      </c>
      <c r="D1122" s="12" t="inlineStr">
        <is>
          <t>MOV 5: power</t>
        </is>
      </c>
      <c r="E1122" s="12" t="n">
        <v>480</v>
      </c>
      <c r="F1122" s="12" t="n">
        <v>2.5</v>
      </c>
      <c r="G1122" s="12" t="n">
        <v>3.5</v>
      </c>
      <c r="H1122" s="12" t="inlineStr">
        <is>
          <t>CCS MV switchgear building (VFDs)</t>
        </is>
      </c>
      <c r="I1122" s="12" t="inlineStr">
        <is>
          <t>LV 600 V</t>
        </is>
      </c>
      <c r="J1122" s="12" t="inlineStr">
        <is>
          <t>10</t>
        </is>
      </c>
      <c r="K1122" s="12" t="n">
        <v>1</v>
      </c>
    </row>
    <row r="1123">
      <c r="A1123" s="12" t="inlineStr">
        <is>
          <t>STR-C: stripper / regenerator (45 ft dia x 207 ft)</t>
        </is>
      </c>
      <c r="B1123" s="12" t="inlineStr">
        <is>
          <t>STR-C</t>
        </is>
      </c>
      <c r="C1123" s="12" t="inlineStr">
        <is>
          <t>G</t>
        </is>
      </c>
      <c r="D1123" s="12" t="inlineStr">
        <is>
          <t>MOV 6: power</t>
        </is>
      </c>
      <c r="E1123" s="12" t="n">
        <v>480</v>
      </c>
      <c r="F1123" s="12" t="n">
        <v>2.5</v>
      </c>
      <c r="G1123" s="12" t="n">
        <v>3.5</v>
      </c>
      <c r="H1123" s="12" t="inlineStr">
        <is>
          <t>CCS MV switchgear building (VFDs)</t>
        </is>
      </c>
      <c r="I1123" s="12" t="inlineStr">
        <is>
          <t>LV 600 V</t>
        </is>
      </c>
      <c r="J1123" s="12" t="inlineStr">
        <is>
          <t>10</t>
        </is>
      </c>
      <c r="K1123" s="12" t="n">
        <v>1</v>
      </c>
    </row>
    <row r="1124">
      <c r="A1124" s="12" t="inlineStr">
        <is>
          <t>STR-C: stripper / regenerator (45 ft dia x 207 ft)</t>
        </is>
      </c>
      <c r="B1124" s="12" t="inlineStr">
        <is>
          <t>STR-C</t>
        </is>
      </c>
      <c r="C1124" s="12" t="inlineStr">
        <is>
          <t>G</t>
        </is>
      </c>
      <c r="D1124" s="12" t="inlineStr">
        <is>
          <t>LV power feeder</t>
        </is>
      </c>
      <c r="E1124" s="12" t="n">
        <v>480</v>
      </c>
      <c r="F1124" s="12" t="n">
        <v>30</v>
      </c>
      <c r="G1124" s="12" t="n">
        <v>42.5</v>
      </c>
      <c r="H1124" s="12" t="inlineStr">
        <is>
          <t>CCS MV switchgear building (VFDs)</t>
        </is>
      </c>
      <c r="I1124" s="12" t="inlineStr">
        <is>
          <t>LV 600 V</t>
        </is>
      </c>
      <c r="J1124" s="12" t="inlineStr">
        <is>
          <t>6</t>
        </is>
      </c>
      <c r="K1124" s="12" t="n">
        <v>1</v>
      </c>
    </row>
    <row r="1125">
      <c r="A1125" s="12" t="inlineStr">
        <is>
          <t>STR-C: stripper / regenerator (45 ft dia x 207 ft)</t>
        </is>
      </c>
      <c r="B1125" s="12" t="inlineStr">
        <is>
          <t>STR-C</t>
        </is>
      </c>
      <c r="C1125" s="12" t="inlineStr">
        <is>
          <t>G</t>
        </is>
      </c>
      <c r="D1125" s="12" t="inlineStr">
        <is>
          <t>Area / platform lighting circuit 1 (12 fixtures)</t>
        </is>
      </c>
      <c r="E1125" s="12" t="n">
        <v>480</v>
      </c>
      <c r="F1125" s="12" t="n">
        <v>3</v>
      </c>
      <c r="G1125" s="12" t="n">
        <v>5</v>
      </c>
      <c r="H1125" s="12" t="inlineStr">
        <is>
          <t>CCS MV switchgear building (VFDs)</t>
        </is>
      </c>
      <c r="I1125" s="12" t="inlineStr">
        <is>
          <t>LV 600 V</t>
        </is>
      </c>
      <c r="J1125" s="12" t="inlineStr">
        <is>
          <t>10</t>
        </is>
      </c>
      <c r="K1125" s="12" t="n">
        <v>1</v>
      </c>
    </row>
    <row r="1126">
      <c r="A1126" s="12" t="inlineStr">
        <is>
          <t>STR-C: stripper / regenerator (45 ft dia x 207 ft)</t>
        </is>
      </c>
      <c r="B1126" s="12" t="inlineStr">
        <is>
          <t>STR-C</t>
        </is>
      </c>
      <c r="C1126" s="12" t="inlineStr">
        <is>
          <t>G</t>
        </is>
      </c>
      <c r="D1126" s="12" t="inlineStr">
        <is>
          <t>Area / platform lighting circuit 2 (8 fixtures)</t>
        </is>
      </c>
      <c r="E1126" s="12" t="n">
        <v>480</v>
      </c>
      <c r="F1126" s="12" t="n">
        <v>3</v>
      </c>
      <c r="G1126" s="12" t="n">
        <v>5</v>
      </c>
      <c r="H1126" s="12" t="inlineStr">
        <is>
          <t>CCS MV switchgear building (VFDs)</t>
        </is>
      </c>
      <c r="I1126" s="12" t="inlineStr">
        <is>
          <t>LV 600 V</t>
        </is>
      </c>
      <c r="J1126" s="12" t="inlineStr">
        <is>
          <t>10</t>
        </is>
      </c>
      <c r="K1126" s="12" t="n">
        <v>1</v>
      </c>
    </row>
    <row r="1127">
      <c r="A1127" s="12" t="inlineStr">
        <is>
          <t>STR-C: stripper / regenerator (45 ft dia x 207 ft)</t>
        </is>
      </c>
      <c r="B1127" s="12" t="inlineStr">
        <is>
          <t>STR-C</t>
        </is>
      </c>
      <c r="C1127" s="12" t="inlineStr">
        <is>
          <t>G</t>
        </is>
      </c>
      <c r="D1127" s="12" t="inlineStr">
        <is>
          <t>480 V welding receptacle 1</t>
        </is>
      </c>
      <c r="E1127" s="12" t="n">
        <v>480</v>
      </c>
      <c r="F1127" s="12" t="n">
        <v>60</v>
      </c>
      <c r="G1127" s="12" t="n">
        <v>76</v>
      </c>
      <c r="H1127" s="12" t="inlineStr">
        <is>
          <t>CCS MV switchgear building (VFDs)</t>
        </is>
      </c>
      <c r="I1127" s="12" t="inlineStr">
        <is>
          <t>LV 600 V</t>
        </is>
      </c>
      <c r="J1127" s="12" t="inlineStr">
        <is>
          <t>2</t>
        </is>
      </c>
      <c r="K1127" s="12" t="n">
        <v>1</v>
      </c>
    </row>
    <row r="1128">
      <c r="A1128" s="12" t="inlineStr">
        <is>
          <t>STR-C: stripper / regenerator (45 ft dia x 207 ft)</t>
        </is>
      </c>
      <c r="B1128" s="12" t="inlineStr">
        <is>
          <t>STR-C</t>
        </is>
      </c>
      <c r="C1128" s="12" t="inlineStr">
        <is>
          <t>G</t>
        </is>
      </c>
      <c r="D1128" s="12" t="inlineStr">
        <is>
          <t>480 V welding receptacle 2</t>
        </is>
      </c>
      <c r="E1128" s="12" t="n">
        <v>480</v>
      </c>
      <c r="F1128" s="12" t="n">
        <v>60</v>
      </c>
      <c r="G1128" s="12" t="n">
        <v>76</v>
      </c>
      <c r="H1128" s="12" t="inlineStr">
        <is>
          <t>CCS MV switchgear building (VFDs)</t>
        </is>
      </c>
      <c r="I1128" s="12" t="inlineStr">
        <is>
          <t>LV 600 V</t>
        </is>
      </c>
      <c r="J1128" s="12" t="inlineStr">
        <is>
          <t>2</t>
        </is>
      </c>
      <c r="K1128" s="12" t="n">
        <v>1</v>
      </c>
    </row>
    <row r="1129">
      <c r="A1129" s="12" t="inlineStr">
        <is>
          <t>STR-C: stripper / regenerator (45 ft dia x 207 ft)</t>
        </is>
      </c>
      <c r="B1129" s="12" t="inlineStr">
        <is>
          <t>STR-C</t>
        </is>
      </c>
      <c r="C1129" s="12" t="inlineStr">
        <is>
          <t>G</t>
        </is>
      </c>
      <c r="D1129" s="12" t="inlineStr">
        <is>
          <t>480 V welding receptacle 3</t>
        </is>
      </c>
      <c r="E1129" s="12" t="n">
        <v>480</v>
      </c>
      <c r="F1129" s="12" t="n">
        <v>60</v>
      </c>
      <c r="G1129" s="12" t="n">
        <v>76</v>
      </c>
      <c r="H1129" s="12" t="inlineStr">
        <is>
          <t>CCS MV switchgear building (VFDs)</t>
        </is>
      </c>
      <c r="I1129" s="12" t="inlineStr">
        <is>
          <t>LV 600 V</t>
        </is>
      </c>
      <c r="J1129" s="12" t="inlineStr">
        <is>
          <t>2</t>
        </is>
      </c>
      <c r="K1129" s="12" t="n">
        <v>1</v>
      </c>
    </row>
    <row r="1130">
      <c r="A1130" s="12" t="inlineStr">
        <is>
          <t>STR-C: stripper / regenerator (45 ft dia x 207 ft)</t>
        </is>
      </c>
      <c r="B1130" s="12" t="inlineStr">
        <is>
          <t>STR-C</t>
        </is>
      </c>
      <c r="C1130" s="12" t="inlineStr">
        <is>
          <t>G</t>
        </is>
      </c>
      <c r="D1130" s="12" t="inlineStr">
        <is>
          <t>480 V welding receptacle 4</t>
        </is>
      </c>
      <c r="E1130" s="12" t="n">
        <v>480</v>
      </c>
      <c r="F1130" s="12" t="n">
        <v>60</v>
      </c>
      <c r="G1130" s="12" t="n">
        <v>76</v>
      </c>
      <c r="H1130" s="12" t="inlineStr">
        <is>
          <t>CCS MV switchgear building (VFDs)</t>
        </is>
      </c>
      <c r="I1130" s="12" t="inlineStr">
        <is>
          <t>LV 600 V</t>
        </is>
      </c>
      <c r="J1130" s="12" t="inlineStr">
        <is>
          <t>2</t>
        </is>
      </c>
      <c r="K1130" s="12" t="n">
        <v>1</v>
      </c>
    </row>
    <row r="1131">
      <c r="A1131" s="12" t="inlineStr">
        <is>
          <t>Solvent + NaOH storage</t>
        </is>
      </c>
      <c r="B1131" s="12" t="inlineStr"/>
      <c r="C1131" s="12" t="inlineStr">
        <is>
          <t>G</t>
        </is>
      </c>
      <c r="D1131" s="12" t="inlineStr">
        <is>
          <t>Motor 1 of 4, 15 kW</t>
        </is>
      </c>
      <c r="E1131" s="12" t="n">
        <v>480</v>
      </c>
      <c r="F1131" s="12" t="n">
        <v>15</v>
      </c>
      <c r="G1131" s="12" t="n">
        <v>21.2</v>
      </c>
      <c r="H1131" s="12" t="inlineStr">
        <is>
          <t>CCS MV switchgear building (VFDs)</t>
        </is>
      </c>
      <c r="I1131" s="12" t="inlineStr">
        <is>
          <t>LV 600 V</t>
        </is>
      </c>
      <c r="J1131" s="12" t="inlineStr">
        <is>
          <t>10</t>
        </is>
      </c>
      <c r="K1131" s="12" t="n">
        <v>1</v>
      </c>
    </row>
    <row r="1132">
      <c r="A1132" s="12" t="inlineStr">
        <is>
          <t>Solvent + NaOH storage</t>
        </is>
      </c>
      <c r="B1132" s="12" t="inlineStr"/>
      <c r="C1132" s="12" t="inlineStr">
        <is>
          <t>G</t>
        </is>
      </c>
      <c r="D1132" s="12" t="inlineStr">
        <is>
          <t>Motor 2 of 4, 15 kW</t>
        </is>
      </c>
      <c r="E1132" s="12" t="n">
        <v>480</v>
      </c>
      <c r="F1132" s="12" t="n">
        <v>15</v>
      </c>
      <c r="G1132" s="12" t="n">
        <v>21.2</v>
      </c>
      <c r="H1132" s="12" t="inlineStr">
        <is>
          <t>CCS MV switchgear building (VFDs)</t>
        </is>
      </c>
      <c r="I1132" s="12" t="inlineStr">
        <is>
          <t>LV 600 V</t>
        </is>
      </c>
      <c r="J1132" s="12" t="inlineStr">
        <is>
          <t>10</t>
        </is>
      </c>
      <c r="K1132" s="12" t="n">
        <v>1</v>
      </c>
    </row>
    <row r="1133">
      <c r="A1133" s="12" t="inlineStr">
        <is>
          <t>Solvent + NaOH storage</t>
        </is>
      </c>
      <c r="B1133" s="12" t="inlineStr"/>
      <c r="C1133" s="12" t="inlineStr">
        <is>
          <t>G</t>
        </is>
      </c>
      <c r="D1133" s="12" t="inlineStr">
        <is>
          <t>Motor 3 of 4, 15 kW</t>
        </is>
      </c>
      <c r="E1133" s="12" t="n">
        <v>480</v>
      </c>
      <c r="F1133" s="12" t="n">
        <v>15</v>
      </c>
      <c r="G1133" s="12" t="n">
        <v>21.2</v>
      </c>
      <c r="H1133" s="12" t="inlineStr">
        <is>
          <t>CCS MV switchgear building (VFDs)</t>
        </is>
      </c>
      <c r="I1133" s="12" t="inlineStr">
        <is>
          <t>LV 600 V</t>
        </is>
      </c>
      <c r="J1133" s="12" t="inlineStr">
        <is>
          <t>10</t>
        </is>
      </c>
      <c r="K1133" s="12" t="n">
        <v>1</v>
      </c>
    </row>
    <row r="1134">
      <c r="A1134" s="12" t="inlineStr">
        <is>
          <t>Solvent + NaOH storage</t>
        </is>
      </c>
      <c r="B1134" s="12" t="inlineStr"/>
      <c r="C1134" s="12" t="inlineStr">
        <is>
          <t>G</t>
        </is>
      </c>
      <c r="D1134" s="12" t="inlineStr">
        <is>
          <t>Motor 4 of 4, 15 kW</t>
        </is>
      </c>
      <c r="E1134" s="12" t="n">
        <v>480</v>
      </c>
      <c r="F1134" s="12" t="n">
        <v>15</v>
      </c>
      <c r="G1134" s="12" t="n">
        <v>21.2</v>
      </c>
      <c r="H1134" s="12" t="inlineStr">
        <is>
          <t>CCS MV switchgear building (VFDs)</t>
        </is>
      </c>
      <c r="I1134" s="12" t="inlineStr">
        <is>
          <t>LV 600 V</t>
        </is>
      </c>
      <c r="J1134" s="12" t="inlineStr">
        <is>
          <t>10</t>
        </is>
      </c>
      <c r="K1134" s="12" t="n">
        <v>1</v>
      </c>
    </row>
    <row r="1135">
      <c r="A1135" s="12" t="inlineStr">
        <is>
          <t>Water-wash pumps A</t>
        </is>
      </c>
      <c r="B1135" s="12" t="inlineStr"/>
      <c r="C1135" s="12" t="inlineStr">
        <is>
          <t>G</t>
        </is>
      </c>
      <c r="D1135" s="12" t="inlineStr">
        <is>
          <t>Motor 1 of 2, 110 kW</t>
        </is>
      </c>
      <c r="E1135" s="12" t="n">
        <v>480</v>
      </c>
      <c r="F1135" s="12" t="n">
        <v>110</v>
      </c>
      <c r="G1135" s="12" t="n">
        <v>155.7</v>
      </c>
      <c r="H1135" s="12" t="inlineStr">
        <is>
          <t>CCS MV switchgear building (VFDs)</t>
        </is>
      </c>
      <c r="I1135" s="12" t="inlineStr">
        <is>
          <t>LV 600 V</t>
        </is>
      </c>
      <c r="J1135" s="12" t="inlineStr">
        <is>
          <t>3/0</t>
        </is>
      </c>
      <c r="K1135" s="12" t="n">
        <v>1</v>
      </c>
    </row>
    <row r="1136">
      <c r="A1136" s="12" t="inlineStr">
        <is>
          <t>Water-wash pumps A</t>
        </is>
      </c>
      <c r="B1136" s="12" t="inlineStr"/>
      <c r="C1136" s="12" t="inlineStr">
        <is>
          <t>G</t>
        </is>
      </c>
      <c r="D1136" s="12" t="inlineStr">
        <is>
          <t>Motor 2 of 2, 110 kW</t>
        </is>
      </c>
      <c r="E1136" s="12" t="n">
        <v>480</v>
      </c>
      <c r="F1136" s="12" t="n">
        <v>110</v>
      </c>
      <c r="G1136" s="12" t="n">
        <v>155.7</v>
      </c>
      <c r="H1136" s="12" t="inlineStr">
        <is>
          <t>CCS MV switchgear building (VFDs)</t>
        </is>
      </c>
      <c r="I1136" s="12" t="inlineStr">
        <is>
          <t>LV 600 V</t>
        </is>
      </c>
      <c r="J1136" s="12" t="inlineStr">
        <is>
          <t>3/0</t>
        </is>
      </c>
      <c r="K1136" s="12" t="n">
        <v>1</v>
      </c>
    </row>
    <row r="1137">
      <c r="A1137" s="12" t="inlineStr">
        <is>
          <t>Water-wash pumps B</t>
        </is>
      </c>
      <c r="B1137" s="12" t="inlineStr"/>
      <c r="C1137" s="12" t="inlineStr">
        <is>
          <t>G</t>
        </is>
      </c>
      <c r="D1137" s="12" t="inlineStr">
        <is>
          <t>Motor 1 of 2, 110 kW</t>
        </is>
      </c>
      <c r="E1137" s="12" t="n">
        <v>480</v>
      </c>
      <c r="F1137" s="12" t="n">
        <v>110</v>
      </c>
      <c r="G1137" s="12" t="n">
        <v>155.7</v>
      </c>
      <c r="H1137" s="12" t="inlineStr">
        <is>
          <t>CCS MV switchgear building (VFDs)</t>
        </is>
      </c>
      <c r="I1137" s="12" t="inlineStr">
        <is>
          <t>LV 600 V</t>
        </is>
      </c>
      <c r="J1137" s="12" t="inlineStr">
        <is>
          <t>3/0</t>
        </is>
      </c>
      <c r="K1137" s="12" t="n">
        <v>1</v>
      </c>
    </row>
    <row r="1138">
      <c r="A1138" s="12" t="inlineStr">
        <is>
          <t>Water-wash pumps B</t>
        </is>
      </c>
      <c r="B1138" s="12" t="inlineStr"/>
      <c r="C1138" s="12" t="inlineStr">
        <is>
          <t>G</t>
        </is>
      </c>
      <c r="D1138" s="12" t="inlineStr">
        <is>
          <t>Motor 2 of 2, 110 kW</t>
        </is>
      </c>
      <c r="E1138" s="12" t="n">
        <v>480</v>
      </c>
      <c r="F1138" s="12" t="n">
        <v>110</v>
      </c>
      <c r="G1138" s="12" t="n">
        <v>155.7</v>
      </c>
      <c r="H1138" s="12" t="inlineStr">
        <is>
          <t>CCS MV switchgear building (VFDs)</t>
        </is>
      </c>
      <c r="I1138" s="12" t="inlineStr">
        <is>
          <t>LV 600 V</t>
        </is>
      </c>
      <c r="J1138" s="12" t="inlineStr">
        <is>
          <t>3/0</t>
        </is>
      </c>
      <c r="K1138" s="12" t="n">
        <v>1</v>
      </c>
    </row>
    <row r="1139">
      <c r="A1139" s="12" t="inlineStr">
        <is>
          <t>Water-wash pumps C</t>
        </is>
      </c>
      <c r="B1139" s="12" t="inlineStr"/>
      <c r="C1139" s="12" t="inlineStr">
        <is>
          <t>G</t>
        </is>
      </c>
      <c r="D1139" s="12" t="inlineStr">
        <is>
          <t>Motor 1 of 2, 110 kW</t>
        </is>
      </c>
      <c r="E1139" s="12" t="n">
        <v>480</v>
      </c>
      <c r="F1139" s="12" t="n">
        <v>110</v>
      </c>
      <c r="G1139" s="12" t="n">
        <v>155.7</v>
      </c>
      <c r="H1139" s="12" t="inlineStr">
        <is>
          <t>CCS MV switchgear building (VFDs)</t>
        </is>
      </c>
      <c r="I1139" s="12" t="inlineStr">
        <is>
          <t>LV 600 V</t>
        </is>
      </c>
      <c r="J1139" s="12" t="inlineStr">
        <is>
          <t>3/0</t>
        </is>
      </c>
      <c r="K1139" s="12" t="n">
        <v>1</v>
      </c>
    </row>
    <row r="1140">
      <c r="A1140" s="12" t="inlineStr">
        <is>
          <t>Water-wash pumps C</t>
        </is>
      </c>
      <c r="B1140" s="12" t="inlineStr"/>
      <c r="C1140" s="12" t="inlineStr">
        <is>
          <t>G</t>
        </is>
      </c>
      <c r="D1140" s="12" t="inlineStr">
        <is>
          <t>Motor 2 of 2, 110 kW</t>
        </is>
      </c>
      <c r="E1140" s="12" t="n">
        <v>480</v>
      </c>
      <c r="F1140" s="12" t="n">
        <v>110</v>
      </c>
      <c r="G1140" s="12" t="n">
        <v>155.7</v>
      </c>
      <c r="H1140" s="12" t="inlineStr">
        <is>
          <t>CCS MV switchgear building (VFDs)</t>
        </is>
      </c>
      <c r="I1140" s="12" t="inlineStr">
        <is>
          <t>LV 600 V</t>
        </is>
      </c>
      <c r="J1140" s="12" t="inlineStr">
        <is>
          <t>3/0</t>
        </is>
      </c>
      <c r="K1140" s="12" t="n">
        <v>1</v>
      </c>
    </row>
    <row r="1141">
      <c r="A1141" s="12" t="inlineStr">
        <is>
          <t>BF-A: booster fan (~16 MW)</t>
        </is>
      </c>
      <c r="B1141" s="12" t="inlineStr">
        <is>
          <t>BF-A</t>
        </is>
      </c>
      <c r="C1141" s="12" t="inlineStr">
        <is>
          <t>G</t>
        </is>
      </c>
      <c r="D1141" s="12" t="inlineStr">
        <is>
          <t>Booster fan BF-A (MV VFD output)</t>
        </is>
      </c>
      <c r="E1141" s="12" t="n">
        <v>13800</v>
      </c>
      <c r="F1141" s="12" t="n">
        <v>16000</v>
      </c>
      <c r="G1141" s="12" t="n">
        <v>744</v>
      </c>
      <c r="H1141" s="12" t="inlineStr">
        <is>
          <t>CCS MV switchgear building (VFDs)</t>
        </is>
      </c>
      <c r="I1141" s="12" t="inlineStr">
        <is>
          <t>MV 15 kV</t>
        </is>
      </c>
      <c r="J1141" s="12" t="inlineStr">
        <is>
          <t>750 kcmil</t>
        </is>
      </c>
      <c r="K1141" s="12" t="n">
        <v>2</v>
      </c>
    </row>
    <row r="1142">
      <c r="A1142" s="12" t="inlineStr">
        <is>
          <t>BF-B: booster fan (~16 MW)</t>
        </is>
      </c>
      <c r="B1142" s="12" t="inlineStr">
        <is>
          <t>BF-B</t>
        </is>
      </c>
      <c r="C1142" s="12" t="inlineStr">
        <is>
          <t>G</t>
        </is>
      </c>
      <c r="D1142" s="12" t="inlineStr">
        <is>
          <t>Booster fan BF-B (MV VFD output)</t>
        </is>
      </c>
      <c r="E1142" s="12" t="n">
        <v>13800</v>
      </c>
      <c r="F1142" s="12" t="n">
        <v>16000</v>
      </c>
      <c r="G1142" s="12" t="n">
        <v>744</v>
      </c>
      <c r="H1142" s="12" t="inlineStr">
        <is>
          <t>CCS MV switchgear building (VFDs)</t>
        </is>
      </c>
      <c r="I1142" s="12" t="inlineStr">
        <is>
          <t>MV 15 kV</t>
        </is>
      </c>
      <c r="J1142" s="12" t="inlineStr">
        <is>
          <t>750 kcmil</t>
        </is>
      </c>
      <c r="K1142" s="12" t="n">
        <v>2</v>
      </c>
    </row>
    <row r="1143">
      <c r="A1143" s="12" t="inlineStr">
        <is>
          <t>BF-C: booster fan (~16 MW)</t>
        </is>
      </c>
      <c r="B1143" s="12" t="inlineStr">
        <is>
          <t>BF-C</t>
        </is>
      </c>
      <c r="C1143" s="12" t="inlineStr">
        <is>
          <t>G</t>
        </is>
      </c>
      <c r="D1143" s="12" t="inlineStr">
        <is>
          <t>Booster fan BF-C (MV VFD output)</t>
        </is>
      </c>
      <c r="E1143" s="12" t="n">
        <v>13800</v>
      </c>
      <c r="F1143" s="12" t="n">
        <v>16000</v>
      </c>
      <c r="G1143" s="12" t="n">
        <v>744</v>
      </c>
      <c r="H1143" s="12" t="inlineStr">
        <is>
          <t>CCS MV switchgear building (VFDs)</t>
        </is>
      </c>
      <c r="I1143" s="12" t="inlineStr">
        <is>
          <t>MV 15 kV</t>
        </is>
      </c>
      <c r="J1143" s="12" t="inlineStr">
        <is>
          <t>750 kcmil</t>
        </is>
      </c>
      <c r="K1143" s="12" t="n">
        <v>2</v>
      </c>
    </row>
    <row r="1144">
      <c r="A1144" s="12" t="inlineStr">
        <is>
          <t>CCS MV switchgear building (VFDs)</t>
        </is>
      </c>
      <c r="B1144" s="12" t="inlineStr"/>
      <c r="C1144" s="12" t="inlineStr">
        <is>
          <t>G</t>
        </is>
      </c>
      <c r="D1144" s="12" t="inlineStr">
        <is>
          <t>CCS T-1 secondary to CCS 13.8 kV switchgear</t>
        </is>
      </c>
      <c r="E1144" s="12" t="n">
        <v>13800</v>
      </c>
      <c r="F1144" s="12" t="n">
        <v>60000</v>
      </c>
      <c r="G1144" s="12" t="n">
        <v>2510</v>
      </c>
      <c r="H1144" s="12" t="inlineStr">
        <is>
          <t>CCS T-1: 230/13.8 kV</t>
        </is>
      </c>
      <c r="I1144" s="12" t="inlineStr">
        <is>
          <t>MV 15 kV</t>
        </is>
      </c>
      <c r="J1144" s="12" t="inlineStr">
        <is>
          <t>1000 kcmil</t>
        </is>
      </c>
      <c r="K1144" s="12" t="n">
        <v>5</v>
      </c>
    </row>
    <row r="1145">
      <c r="A1145" s="12" t="inlineStr">
        <is>
          <t>CCS MV switchgear building (VFDs)</t>
        </is>
      </c>
      <c r="B1145" s="12" t="inlineStr"/>
      <c r="C1145" s="12" t="inlineStr">
        <is>
          <t>G</t>
        </is>
      </c>
      <c r="D1145" s="12" t="inlineStr">
        <is>
          <t>CCS T-2 secondary to CCS 13.8 kV switchgear</t>
        </is>
      </c>
      <c r="E1145" s="12" t="n">
        <v>13800</v>
      </c>
      <c r="F1145" s="12" t="n">
        <v>60000</v>
      </c>
      <c r="G1145" s="12" t="n">
        <v>2510</v>
      </c>
      <c r="H1145" s="12" t="inlineStr">
        <is>
          <t>CCS T-2: 230/13.8 kV</t>
        </is>
      </c>
      <c r="I1145" s="12" t="inlineStr">
        <is>
          <t>MV 15 kV</t>
        </is>
      </c>
      <c r="J1145" s="12" t="inlineStr">
        <is>
          <t>1000 kcmil</t>
        </is>
      </c>
      <c r="K1145" s="12" t="n">
        <v>5</v>
      </c>
    </row>
    <row r="1146">
      <c r="A1146" s="12" t="inlineStr">
        <is>
          <t>CO2 compression 3 x ~19 MW + dehydration</t>
        </is>
      </c>
      <c r="B1146" s="12" t="inlineStr"/>
      <c r="C1146" s="12" t="inlineStr">
        <is>
          <t>G</t>
        </is>
      </c>
      <c r="D1146" s="12" t="inlineStr">
        <is>
          <t>CO2 compressor train 1</t>
        </is>
      </c>
      <c r="E1146" s="12" t="n">
        <v>13800</v>
      </c>
      <c r="F1146" s="12" t="n">
        <v>19000</v>
      </c>
      <c r="G1146" s="12" t="n">
        <v>883</v>
      </c>
      <c r="H1146" s="12" t="inlineStr">
        <is>
          <t>CCS MV switchgear building (VFDs)</t>
        </is>
      </c>
      <c r="I1146" s="12" t="inlineStr">
        <is>
          <t>MV 15 kV</t>
        </is>
      </c>
      <c r="J1146" s="12" t="inlineStr">
        <is>
          <t>750 kcmil</t>
        </is>
      </c>
      <c r="K1146" s="12" t="n">
        <v>2</v>
      </c>
    </row>
    <row r="1147">
      <c r="A1147" s="12" t="inlineStr">
        <is>
          <t>CO2 compression 3 x ~19 MW + dehydration</t>
        </is>
      </c>
      <c r="B1147" s="12" t="inlineStr"/>
      <c r="C1147" s="12" t="inlineStr">
        <is>
          <t>G</t>
        </is>
      </c>
      <c r="D1147" s="12" t="inlineStr">
        <is>
          <t>CO2 compressor train 2</t>
        </is>
      </c>
      <c r="E1147" s="12" t="n">
        <v>13800</v>
      </c>
      <c r="F1147" s="12" t="n">
        <v>19000</v>
      </c>
      <c r="G1147" s="12" t="n">
        <v>883</v>
      </c>
      <c r="H1147" s="12" t="inlineStr">
        <is>
          <t>CCS MV switchgear building (VFDs)</t>
        </is>
      </c>
      <c r="I1147" s="12" t="inlineStr">
        <is>
          <t>MV 15 kV</t>
        </is>
      </c>
      <c r="J1147" s="12" t="inlineStr">
        <is>
          <t>750 kcmil</t>
        </is>
      </c>
      <c r="K1147" s="12" t="n">
        <v>2</v>
      </c>
    </row>
    <row r="1148">
      <c r="A1148" s="12" t="inlineStr">
        <is>
          <t>CO2 compression 3 x ~19 MW + dehydration</t>
        </is>
      </c>
      <c r="B1148" s="12" t="inlineStr"/>
      <c r="C1148" s="12" t="inlineStr">
        <is>
          <t>G</t>
        </is>
      </c>
      <c r="D1148" s="12" t="inlineStr">
        <is>
          <t>CO2 compressor train 3</t>
        </is>
      </c>
      <c r="E1148" s="12" t="n">
        <v>13800</v>
      </c>
      <c r="F1148" s="12" t="n">
        <v>19000</v>
      </c>
      <c r="G1148" s="12" t="n">
        <v>883</v>
      </c>
      <c r="H1148" s="12" t="inlineStr">
        <is>
          <t>CCS MV switchgear building (VFDs)</t>
        </is>
      </c>
      <c r="I1148" s="12" t="inlineStr">
        <is>
          <t>MV 15 kV</t>
        </is>
      </c>
      <c r="J1148" s="12" t="inlineStr">
        <is>
          <t>750 kcmil</t>
        </is>
      </c>
      <c r="K1148" s="12" t="n">
        <v>2</v>
      </c>
    </row>
    <row r="1149">
      <c r="A1149" s="12" t="inlineStr">
        <is>
          <t>CONDITIONAL: HP export compressor + metering</t>
        </is>
      </c>
      <c r="B1149" s="12" t="inlineStr"/>
      <c r="C1149" s="12" t="inlineStr">
        <is>
          <t>G</t>
        </is>
      </c>
      <c r="D1149" s="12" t="inlineStr">
        <is>
          <t>HP CO2 export compressor (conditional)</t>
        </is>
      </c>
      <c r="E1149" s="12" t="n">
        <v>13800</v>
      </c>
      <c r="F1149" s="12" t="n">
        <v>8000</v>
      </c>
      <c r="G1149" s="12" t="n">
        <v>372</v>
      </c>
      <c r="H1149" s="12" t="inlineStr">
        <is>
          <t>CCS MV switchgear building (VFDs)</t>
        </is>
      </c>
      <c r="I1149" s="12" t="inlineStr">
        <is>
          <t>MV 15 kV</t>
        </is>
      </c>
      <c r="J1149" s="12" t="inlineStr">
        <is>
          <t>750 kcmil</t>
        </is>
      </c>
      <c r="K1149" s="12" t="n">
        <v>1</v>
      </c>
    </row>
    <row r="1150">
      <c r="A1150" s="12" t="inlineStr">
        <is>
          <t>CT MCC / VFD e-house</t>
        </is>
      </c>
      <c r="B1150" s="12" t="inlineStr"/>
      <c r="C1150" s="12" t="inlineStr">
        <is>
          <t>G</t>
        </is>
      </c>
      <c r="D1150" s="12" t="inlineStr">
        <is>
          <t>CT MCC / VFD e-house transformer</t>
        </is>
      </c>
      <c r="E1150" s="12" t="n">
        <v>13800</v>
      </c>
      <c r="F1150" s="12" t="n">
        <v>3000</v>
      </c>
      <c r="G1150" s="12" t="n">
        <v>126</v>
      </c>
      <c r="H1150" s="12" t="inlineStr">
        <is>
          <t>CCS MV switchgear building (VFDs)</t>
        </is>
      </c>
      <c r="I1150" s="12" t="inlineStr">
        <is>
          <t>MV 15 kV</t>
        </is>
      </c>
      <c r="J1150" s="12" t="inlineStr">
        <is>
          <t>1/0</t>
        </is>
      </c>
      <c r="K1150" s="12" t="n">
        <v>1</v>
      </c>
    </row>
    <row r="1151">
      <c r="A1151" s="12" t="inlineStr">
        <is>
          <t>CT MCC / VFD e-house</t>
        </is>
      </c>
      <c r="B1151" s="12" t="inlineStr"/>
      <c r="C1151" s="12" t="inlineStr">
        <is>
          <t>G</t>
        </is>
      </c>
      <c r="D1151" s="12" t="inlineStr">
        <is>
          <t>CT MCC / VFD e-house transformer</t>
        </is>
      </c>
      <c r="E1151" s="12" t="n">
        <v>13800</v>
      </c>
      <c r="F1151" s="12" t="n">
        <v>3000</v>
      </c>
      <c r="G1151" s="12" t="n">
        <v>126</v>
      </c>
      <c r="H1151" s="12" t="inlineStr">
        <is>
          <t>CCS MV switchgear building (VFDs)</t>
        </is>
      </c>
      <c r="I1151" s="12" t="inlineStr">
        <is>
          <t>MV 15 kV</t>
        </is>
      </c>
      <c r="J1151" s="12" t="inlineStr">
        <is>
          <t>1/0</t>
        </is>
      </c>
      <c r="K1151" s="12" t="n">
        <v>1</v>
      </c>
    </row>
    <row r="1152">
      <c r="A1152" s="12" t="inlineStr">
        <is>
          <t>CCS circulating-water pumps</t>
        </is>
      </c>
      <c r="B1152" s="12" t="inlineStr"/>
      <c r="C1152" s="12" t="inlineStr">
        <is>
          <t>G</t>
        </is>
      </c>
      <c r="D1152" s="12" t="inlineStr">
        <is>
          <t>CCS circulating-water pump 1</t>
        </is>
      </c>
      <c r="E1152" s="12" t="n">
        <v>4160</v>
      </c>
      <c r="F1152" s="12" t="n">
        <v>1200</v>
      </c>
      <c r="G1152" s="12" t="n">
        <v>185</v>
      </c>
      <c r="H1152" s="12" t="inlineStr">
        <is>
          <t>CCS MV switchgear building (VFDs)</t>
        </is>
      </c>
      <c r="I1152" s="12" t="inlineStr">
        <is>
          <t>MV 5 kV</t>
        </is>
      </c>
      <c r="J1152" s="12" t="inlineStr">
        <is>
          <t>4/0</t>
        </is>
      </c>
      <c r="K1152" s="12" t="n">
        <v>1</v>
      </c>
    </row>
    <row r="1153">
      <c r="A1153" s="12" t="inlineStr">
        <is>
          <t>CCS circulating-water pumps</t>
        </is>
      </c>
      <c r="B1153" s="12" t="inlineStr"/>
      <c r="C1153" s="12" t="inlineStr">
        <is>
          <t>G</t>
        </is>
      </c>
      <c r="D1153" s="12" t="inlineStr">
        <is>
          <t>CCS circulating-water pump 2</t>
        </is>
      </c>
      <c r="E1153" s="12" t="n">
        <v>4160</v>
      </c>
      <c r="F1153" s="12" t="n">
        <v>1200</v>
      </c>
      <c r="G1153" s="12" t="n">
        <v>185</v>
      </c>
      <c r="H1153" s="12" t="inlineStr">
        <is>
          <t>CCS MV switchgear building (VFDs)</t>
        </is>
      </c>
      <c r="I1153" s="12" t="inlineStr">
        <is>
          <t>MV 5 kV</t>
        </is>
      </c>
      <c r="J1153" s="12" t="inlineStr">
        <is>
          <t>4/0</t>
        </is>
      </c>
      <c r="K1153" s="12" t="n">
        <v>1</v>
      </c>
    </row>
    <row r="1154">
      <c r="A1154" s="12" t="inlineStr">
        <is>
          <t>CCS circulating-water pumps</t>
        </is>
      </c>
      <c r="B1154" s="12" t="inlineStr"/>
      <c r="C1154" s="12" t="inlineStr">
        <is>
          <t>G</t>
        </is>
      </c>
      <c r="D1154" s="12" t="inlineStr">
        <is>
          <t>CCS circulating-water pump 3</t>
        </is>
      </c>
      <c r="E1154" s="12" t="n">
        <v>4160</v>
      </c>
      <c r="F1154" s="12" t="n">
        <v>1200</v>
      </c>
      <c r="G1154" s="12" t="n">
        <v>185</v>
      </c>
      <c r="H1154" s="12" t="inlineStr">
        <is>
          <t>CCS MV switchgear building (VFDs)</t>
        </is>
      </c>
      <c r="I1154" s="12" t="inlineStr">
        <is>
          <t>MV 5 kV</t>
        </is>
      </c>
      <c r="J1154" s="12" t="inlineStr">
        <is>
          <t>4/0</t>
        </is>
      </c>
      <c r="K1154" s="12" t="n">
        <v>1</v>
      </c>
    </row>
    <row r="1155">
      <c r="A1155" s="12" t="inlineStr">
        <is>
          <t>CCS circulating-water pumps</t>
        </is>
      </c>
      <c r="B1155" s="12" t="inlineStr"/>
      <c r="C1155" s="12" t="inlineStr">
        <is>
          <t>G</t>
        </is>
      </c>
      <c r="D1155" s="12" t="inlineStr">
        <is>
          <t>CCS circulating-water pump 4</t>
        </is>
      </c>
      <c r="E1155" s="12" t="n">
        <v>4160</v>
      </c>
      <c r="F1155" s="12" t="n">
        <v>1200</v>
      </c>
      <c r="G1155" s="12" t="n">
        <v>185</v>
      </c>
      <c r="H1155" s="12" t="inlineStr">
        <is>
          <t>CCS MV switchgear building (VFDs)</t>
        </is>
      </c>
      <c r="I1155" s="12" t="inlineStr">
        <is>
          <t>MV 5 kV</t>
        </is>
      </c>
      <c r="J1155" s="12" t="inlineStr">
        <is>
          <t>4/0</t>
        </is>
      </c>
      <c r="K1155" s="12" t="n">
        <v>1</v>
      </c>
    </row>
    <row r="1156">
      <c r="A1156" s="12" t="inlineStr">
        <is>
          <t>Rich/lean pumps, cross exchanger, lean cooler A</t>
        </is>
      </c>
      <c r="B1156" s="12" t="inlineStr"/>
      <c r="C1156" s="12" t="inlineStr">
        <is>
          <t>G</t>
        </is>
      </c>
      <c r="D1156" s="12" t="inlineStr">
        <is>
          <t>Rich / lean amine pumps (A)</t>
        </is>
      </c>
      <c r="E1156" s="12" t="n">
        <v>4160</v>
      </c>
      <c r="F1156" s="12" t="n">
        <v>450</v>
      </c>
      <c r="G1156" s="12" t="n">
        <v>69</v>
      </c>
      <c r="H1156" s="12" t="inlineStr">
        <is>
          <t>CCS MV switchgear building (VFDs)</t>
        </is>
      </c>
      <c r="I1156" s="12" t="inlineStr">
        <is>
          <t>MV 5 kV</t>
        </is>
      </c>
      <c r="J1156" s="12" t="inlineStr">
        <is>
          <t>2</t>
        </is>
      </c>
      <c r="K1156" s="12" t="n">
        <v>1</v>
      </c>
    </row>
    <row r="1157">
      <c r="A1157" s="12" t="inlineStr">
        <is>
          <t>Rich/lean pumps, cross exchanger, lean cooler A</t>
        </is>
      </c>
      <c r="B1157" s="12" t="inlineStr"/>
      <c r="C1157" s="12" t="inlineStr">
        <is>
          <t>G</t>
        </is>
      </c>
      <c r="D1157" s="12" t="inlineStr">
        <is>
          <t>Rich / lean amine pumps (A)</t>
        </is>
      </c>
      <c r="E1157" s="12" t="n">
        <v>4160</v>
      </c>
      <c r="F1157" s="12" t="n">
        <v>450</v>
      </c>
      <c r="G1157" s="12" t="n">
        <v>69</v>
      </c>
      <c r="H1157" s="12" t="inlineStr">
        <is>
          <t>CCS MV switchgear building (VFDs)</t>
        </is>
      </c>
      <c r="I1157" s="12" t="inlineStr">
        <is>
          <t>MV 5 kV</t>
        </is>
      </c>
      <c r="J1157" s="12" t="inlineStr">
        <is>
          <t>2</t>
        </is>
      </c>
      <c r="K1157" s="12" t="n">
        <v>1</v>
      </c>
    </row>
    <row r="1158">
      <c r="A1158" s="12" t="inlineStr">
        <is>
          <t>Rich/lean pumps, cross exchanger, lean cooler B</t>
        </is>
      </c>
      <c r="B1158" s="12" t="inlineStr"/>
      <c r="C1158" s="12" t="inlineStr">
        <is>
          <t>G</t>
        </is>
      </c>
      <c r="D1158" s="12" t="inlineStr">
        <is>
          <t>Rich / lean amine pumps (B)</t>
        </is>
      </c>
      <c r="E1158" s="12" t="n">
        <v>4160</v>
      </c>
      <c r="F1158" s="12" t="n">
        <v>450</v>
      </c>
      <c r="G1158" s="12" t="n">
        <v>69</v>
      </c>
      <c r="H1158" s="12" t="inlineStr">
        <is>
          <t>CCS MV switchgear building (VFDs)</t>
        </is>
      </c>
      <c r="I1158" s="12" t="inlineStr">
        <is>
          <t>MV 5 kV</t>
        </is>
      </c>
      <c r="J1158" s="12" t="inlineStr">
        <is>
          <t>2</t>
        </is>
      </c>
      <c r="K1158" s="12" t="n">
        <v>1</v>
      </c>
    </row>
    <row r="1159">
      <c r="A1159" s="12" t="inlineStr">
        <is>
          <t>Rich/lean pumps, cross exchanger, lean cooler B</t>
        </is>
      </c>
      <c r="B1159" s="12" t="inlineStr"/>
      <c r="C1159" s="12" t="inlineStr">
        <is>
          <t>G</t>
        </is>
      </c>
      <c r="D1159" s="12" t="inlineStr">
        <is>
          <t>Rich / lean amine pumps (B)</t>
        </is>
      </c>
      <c r="E1159" s="12" t="n">
        <v>4160</v>
      </c>
      <c r="F1159" s="12" t="n">
        <v>450</v>
      </c>
      <c r="G1159" s="12" t="n">
        <v>69</v>
      </c>
      <c r="H1159" s="12" t="inlineStr">
        <is>
          <t>CCS MV switchgear building (VFDs)</t>
        </is>
      </c>
      <c r="I1159" s="12" t="inlineStr">
        <is>
          <t>MV 5 kV</t>
        </is>
      </c>
      <c r="J1159" s="12" t="inlineStr">
        <is>
          <t>2</t>
        </is>
      </c>
      <c r="K1159" s="12" t="n">
        <v>1</v>
      </c>
    </row>
    <row r="1160">
      <c r="A1160" s="12" t="inlineStr">
        <is>
          <t>Rich/lean pumps, cross exchanger, lean cooler C</t>
        </is>
      </c>
      <c r="B1160" s="12" t="inlineStr"/>
      <c r="C1160" s="12" t="inlineStr">
        <is>
          <t>G</t>
        </is>
      </c>
      <c r="D1160" s="12" t="inlineStr">
        <is>
          <t>Rich / lean amine pumps (C)</t>
        </is>
      </c>
      <c r="E1160" s="12" t="n">
        <v>4160</v>
      </c>
      <c r="F1160" s="12" t="n">
        <v>450</v>
      </c>
      <c r="G1160" s="12" t="n">
        <v>69</v>
      </c>
      <c r="H1160" s="12" t="inlineStr">
        <is>
          <t>CCS MV switchgear building (VFDs)</t>
        </is>
      </c>
      <c r="I1160" s="12" t="inlineStr">
        <is>
          <t>MV 5 kV</t>
        </is>
      </c>
      <c r="J1160" s="12" t="inlineStr">
        <is>
          <t>2</t>
        </is>
      </c>
      <c r="K1160" s="12" t="n">
        <v>1</v>
      </c>
    </row>
    <row r="1161">
      <c r="A1161" s="12" t="inlineStr">
        <is>
          <t>Rich/lean pumps, cross exchanger, lean cooler C</t>
        </is>
      </c>
      <c r="B1161" s="12" t="inlineStr"/>
      <c r="C1161" s="12" t="inlineStr">
        <is>
          <t>G</t>
        </is>
      </c>
      <c r="D1161" s="12" t="inlineStr">
        <is>
          <t>Rich / lean amine pumps (C)</t>
        </is>
      </c>
      <c r="E1161" s="12" t="n">
        <v>4160</v>
      </c>
      <c r="F1161" s="12" t="n">
        <v>450</v>
      </c>
      <c r="G1161" s="12" t="n">
        <v>69</v>
      </c>
      <c r="H1161" s="12" t="inlineStr">
        <is>
          <t>CCS MV switchgear building (VFDs)</t>
        </is>
      </c>
      <c r="I1161" s="12" t="inlineStr">
        <is>
          <t>MV 5 kV</t>
        </is>
      </c>
      <c r="J1161" s="12" t="inlineStr">
        <is>
          <t>2</t>
        </is>
      </c>
      <c r="K1161" s="12" t="n">
        <v>1</v>
      </c>
    </row>
    <row r="1162">
      <c r="A1162" s="12" t="inlineStr">
        <is>
          <t>BESS PCS / MV skid</t>
        </is>
      </c>
      <c r="B1162" s="12" t="inlineStr"/>
      <c r="C1162" s="12" t="inlineStr">
        <is>
          <t>H</t>
        </is>
      </c>
      <c r="D1162" s="12" t="inlineStr">
        <is>
          <t>DC 1,500 V: container to PCS (2 x 1/C per pole pair)</t>
        </is>
      </c>
      <c r="E1162" s="12" t="n">
        <v>1500</v>
      </c>
      <c r="F1162" s="12" t="n">
        <v>4000</v>
      </c>
      <c r="G1162" s="12" t="n"/>
      <c r="H1162" s="12" t="inlineStr">
        <is>
          <t>BESS container (ISO 40 ft high cube)</t>
        </is>
      </c>
      <c r="I1162" s="12" t="inlineStr">
        <is>
          <t>DC 2 kV</t>
        </is>
      </c>
      <c r="J1162" s="12" t="inlineStr">
        <is>
          <t>500 kcmil</t>
        </is>
      </c>
      <c r="K1162" s="12" t="n">
        <v>4</v>
      </c>
    </row>
    <row r="1163">
      <c r="A1163" s="12" t="inlineStr">
        <is>
          <t>BESS PCS / MV skid</t>
        </is>
      </c>
      <c r="B1163" s="12" t="inlineStr"/>
      <c r="C1163" s="12" t="inlineStr">
        <is>
          <t>H</t>
        </is>
      </c>
      <c r="D1163" s="12" t="inlineStr">
        <is>
          <t>DC 1,500 V: container to PCS (2 x 1/C per pole pair)</t>
        </is>
      </c>
      <c r="E1163" s="12" t="n">
        <v>1500</v>
      </c>
      <c r="F1163" s="12" t="n">
        <v>4000</v>
      </c>
      <c r="G1163" s="12" t="n"/>
      <c r="H1163" s="12" t="inlineStr">
        <is>
          <t>BESS container (ISO 40 ft high cube)</t>
        </is>
      </c>
      <c r="I1163" s="12" t="inlineStr">
        <is>
          <t>DC 2 kV</t>
        </is>
      </c>
      <c r="J1163" s="12" t="inlineStr">
        <is>
          <t>500 kcmil</t>
        </is>
      </c>
      <c r="K1163" s="12" t="n">
        <v>4</v>
      </c>
    </row>
    <row r="1164">
      <c r="A1164" s="12" t="inlineStr">
        <is>
          <t>BESS PCS / MV skid</t>
        </is>
      </c>
      <c r="B1164" s="12" t="inlineStr"/>
      <c r="C1164" s="12" t="inlineStr">
        <is>
          <t>H</t>
        </is>
      </c>
      <c r="D1164" s="12" t="inlineStr">
        <is>
          <t>DC 1,500 V: container to PCS (2 x 1/C per pole pair)</t>
        </is>
      </c>
      <c r="E1164" s="12" t="n">
        <v>1500</v>
      </c>
      <c r="F1164" s="12" t="n">
        <v>4000</v>
      </c>
      <c r="G1164" s="12" t="n"/>
      <c r="H1164" s="12" t="inlineStr">
        <is>
          <t>BESS container (ISO 40 ft high cube)</t>
        </is>
      </c>
      <c r="I1164" s="12" t="inlineStr">
        <is>
          <t>DC 2 kV</t>
        </is>
      </c>
      <c r="J1164" s="12" t="inlineStr">
        <is>
          <t>500 kcmil</t>
        </is>
      </c>
      <c r="K1164" s="12" t="n">
        <v>4</v>
      </c>
    </row>
    <row r="1165">
      <c r="A1165" s="12" t="inlineStr">
        <is>
          <t>BESS PCS / MV skid</t>
        </is>
      </c>
      <c r="B1165" s="12" t="inlineStr"/>
      <c r="C1165" s="12" t="inlineStr">
        <is>
          <t>H</t>
        </is>
      </c>
      <c r="D1165" s="12" t="inlineStr">
        <is>
          <t>DC 1,500 V: container to PCS (2 x 1/C per pole pair)</t>
        </is>
      </c>
      <c r="E1165" s="12" t="n">
        <v>1500</v>
      </c>
      <c r="F1165" s="12" t="n">
        <v>4000</v>
      </c>
      <c r="G1165" s="12" t="n"/>
      <c r="H1165" s="12" t="inlineStr">
        <is>
          <t>BESS container (ISO 40 ft high cube)</t>
        </is>
      </c>
      <c r="I1165" s="12" t="inlineStr">
        <is>
          <t>DC 2 kV</t>
        </is>
      </c>
      <c r="J1165" s="12" t="inlineStr">
        <is>
          <t>500 kcmil</t>
        </is>
      </c>
      <c r="K1165" s="12" t="n">
        <v>4</v>
      </c>
    </row>
    <row r="1166">
      <c r="A1166" s="12" t="inlineStr">
        <is>
          <t>BESS PCS / MV skid</t>
        </is>
      </c>
      <c r="B1166" s="12" t="inlineStr"/>
      <c r="C1166" s="12" t="inlineStr">
        <is>
          <t>H</t>
        </is>
      </c>
      <c r="D1166" s="12" t="inlineStr">
        <is>
          <t>DC 1,500 V: container to PCS (2 x 1/C per pole pair)</t>
        </is>
      </c>
      <c r="E1166" s="12" t="n">
        <v>1500</v>
      </c>
      <c r="F1166" s="12" t="n">
        <v>4000</v>
      </c>
      <c r="G1166" s="12" t="n"/>
      <c r="H1166" s="12" t="inlineStr">
        <is>
          <t>BESS container (ISO 40 ft high cube)</t>
        </is>
      </c>
      <c r="I1166" s="12" t="inlineStr">
        <is>
          <t>DC 2 kV</t>
        </is>
      </c>
      <c r="J1166" s="12" t="inlineStr">
        <is>
          <t>500 kcmil</t>
        </is>
      </c>
      <c r="K1166" s="12" t="n">
        <v>4</v>
      </c>
    </row>
    <row r="1167">
      <c r="A1167" s="12" t="inlineStr">
        <is>
          <t>BESS PCS / MV skid</t>
        </is>
      </c>
      <c r="B1167" s="12" t="inlineStr"/>
      <c r="C1167" s="12" t="inlineStr">
        <is>
          <t>H</t>
        </is>
      </c>
      <c r="D1167" s="12" t="inlineStr">
        <is>
          <t>DC 1,500 V: container to PCS (2 x 1/C per pole pair)</t>
        </is>
      </c>
      <c r="E1167" s="12" t="n">
        <v>1500</v>
      </c>
      <c r="F1167" s="12" t="n">
        <v>4000</v>
      </c>
      <c r="G1167" s="12" t="n"/>
      <c r="H1167" s="12" t="inlineStr">
        <is>
          <t>BESS container (ISO 40 ft high cube)</t>
        </is>
      </c>
      <c r="I1167" s="12" t="inlineStr">
        <is>
          <t>DC 2 kV</t>
        </is>
      </c>
      <c r="J1167" s="12" t="inlineStr">
        <is>
          <t>500 kcmil</t>
        </is>
      </c>
      <c r="K1167" s="12" t="n">
        <v>4</v>
      </c>
    </row>
    <row r="1168">
      <c r="A1168" s="12" t="inlineStr">
        <is>
          <t>BESS PCS / MV skid</t>
        </is>
      </c>
      <c r="B1168" s="12" t="inlineStr"/>
      <c r="C1168" s="12" t="inlineStr">
        <is>
          <t>H</t>
        </is>
      </c>
      <c r="D1168" s="12" t="inlineStr">
        <is>
          <t>DC 1,500 V: container to PCS (2 x 1/C per pole pair)</t>
        </is>
      </c>
      <c r="E1168" s="12" t="n">
        <v>1500</v>
      </c>
      <c r="F1168" s="12" t="n">
        <v>4000</v>
      </c>
      <c r="G1168" s="12" t="n"/>
      <c r="H1168" s="12" t="inlineStr">
        <is>
          <t>BESS container (ISO 40 ft high cube)</t>
        </is>
      </c>
      <c r="I1168" s="12" t="inlineStr">
        <is>
          <t>DC 2 kV</t>
        </is>
      </c>
      <c r="J1168" s="12" t="inlineStr">
        <is>
          <t>500 kcmil</t>
        </is>
      </c>
      <c r="K1168" s="12" t="n">
        <v>4</v>
      </c>
    </row>
    <row r="1169">
      <c r="A1169" s="12" t="inlineStr">
        <is>
          <t>BESS PCS / MV skid</t>
        </is>
      </c>
      <c r="B1169" s="12" t="inlineStr"/>
      <c r="C1169" s="12" t="inlineStr">
        <is>
          <t>H</t>
        </is>
      </c>
      <c r="D1169" s="12" t="inlineStr">
        <is>
          <t>DC 1,500 V: container to PCS (2 x 1/C per pole pair)</t>
        </is>
      </c>
      <c r="E1169" s="12" t="n">
        <v>1500</v>
      </c>
      <c r="F1169" s="12" t="n">
        <v>4000</v>
      </c>
      <c r="G1169" s="12" t="n"/>
      <c r="H1169" s="12" t="inlineStr">
        <is>
          <t>BESS container (ISO 40 ft high cube)</t>
        </is>
      </c>
      <c r="I1169" s="12" t="inlineStr">
        <is>
          <t>DC 2 kV</t>
        </is>
      </c>
      <c r="J1169" s="12" t="inlineStr">
        <is>
          <t>500 kcmil</t>
        </is>
      </c>
      <c r="K1169" s="12" t="n">
        <v>4</v>
      </c>
    </row>
    <row r="1170">
      <c r="A1170" s="12" t="inlineStr">
        <is>
          <t>BESS PCS / MV skid</t>
        </is>
      </c>
      <c r="B1170" s="12" t="inlineStr"/>
      <c r="C1170" s="12" t="inlineStr">
        <is>
          <t>H</t>
        </is>
      </c>
      <c r="D1170" s="12" t="inlineStr">
        <is>
          <t>DC 1,500 V: container to PCS (2 x 1/C per pole pair)</t>
        </is>
      </c>
      <c r="E1170" s="12" t="n">
        <v>1500</v>
      </c>
      <c r="F1170" s="12" t="n">
        <v>4000</v>
      </c>
      <c r="G1170" s="12" t="n"/>
      <c r="H1170" s="12" t="inlineStr">
        <is>
          <t>BESS container (ISO 40 ft high cube)</t>
        </is>
      </c>
      <c r="I1170" s="12" t="inlineStr">
        <is>
          <t>DC 2 kV</t>
        </is>
      </c>
      <c r="J1170" s="12" t="inlineStr">
        <is>
          <t>500 kcmil</t>
        </is>
      </c>
      <c r="K1170" s="12" t="n">
        <v>4</v>
      </c>
    </row>
    <row r="1171">
      <c r="A1171" s="12" t="inlineStr">
        <is>
          <t>BESS PCS / MV skid</t>
        </is>
      </c>
      <c r="B1171" s="12" t="inlineStr"/>
      <c r="C1171" s="12" t="inlineStr">
        <is>
          <t>H</t>
        </is>
      </c>
      <c r="D1171" s="12" t="inlineStr">
        <is>
          <t>DC 1,500 V: container to PCS (2 x 1/C per pole pair)</t>
        </is>
      </c>
      <c r="E1171" s="12" t="n">
        <v>1500</v>
      </c>
      <c r="F1171" s="12" t="n">
        <v>4000</v>
      </c>
      <c r="G1171" s="12" t="n"/>
      <c r="H1171" s="12" t="inlineStr">
        <is>
          <t>BESS container (ISO 40 ft high cube)</t>
        </is>
      </c>
      <c r="I1171" s="12" t="inlineStr">
        <is>
          <t>DC 2 kV</t>
        </is>
      </c>
      <c r="J1171" s="12" t="inlineStr">
        <is>
          <t>500 kcmil</t>
        </is>
      </c>
      <c r="K1171" s="12" t="n">
        <v>4</v>
      </c>
    </row>
    <row r="1172">
      <c r="A1172" s="12" t="inlineStr">
        <is>
          <t>BESS PCS / MV skid</t>
        </is>
      </c>
      <c r="B1172" s="12" t="inlineStr"/>
      <c r="C1172" s="12" t="inlineStr">
        <is>
          <t>H</t>
        </is>
      </c>
      <c r="D1172" s="12" t="inlineStr">
        <is>
          <t>DC 1,500 V: container to PCS (2 x 1/C per pole pair)</t>
        </is>
      </c>
      <c r="E1172" s="12" t="n">
        <v>1500</v>
      </c>
      <c r="F1172" s="12" t="n">
        <v>4000</v>
      </c>
      <c r="G1172" s="12" t="n"/>
      <c r="H1172" s="12" t="inlineStr">
        <is>
          <t>BESS container (ISO 40 ft high cube)</t>
        </is>
      </c>
      <c r="I1172" s="12" t="inlineStr">
        <is>
          <t>DC 2 kV</t>
        </is>
      </c>
      <c r="J1172" s="12" t="inlineStr">
        <is>
          <t>500 kcmil</t>
        </is>
      </c>
      <c r="K1172" s="12" t="n">
        <v>4</v>
      </c>
    </row>
    <row r="1173">
      <c r="A1173" s="12" t="inlineStr">
        <is>
          <t>BESS PCS / MV skid</t>
        </is>
      </c>
      <c r="B1173" s="12" t="inlineStr"/>
      <c r="C1173" s="12" t="inlineStr">
        <is>
          <t>H</t>
        </is>
      </c>
      <c r="D1173" s="12" t="inlineStr">
        <is>
          <t>DC 1,500 V: container to PCS (2 x 1/C per pole pair)</t>
        </is>
      </c>
      <c r="E1173" s="12" t="n">
        <v>1500</v>
      </c>
      <c r="F1173" s="12" t="n">
        <v>4000</v>
      </c>
      <c r="G1173" s="12" t="n"/>
      <c r="H1173" s="12" t="inlineStr">
        <is>
          <t>BESS container (ISO 40 ft high cube)</t>
        </is>
      </c>
      <c r="I1173" s="12" t="inlineStr">
        <is>
          <t>DC 2 kV</t>
        </is>
      </c>
      <c r="J1173" s="12" t="inlineStr">
        <is>
          <t>500 kcmil</t>
        </is>
      </c>
      <c r="K1173" s="12" t="n">
        <v>4</v>
      </c>
    </row>
    <row r="1174">
      <c r="A1174" s="12" t="inlineStr">
        <is>
          <t>BESS PCS / MV skid</t>
        </is>
      </c>
      <c r="B1174" s="12" t="inlineStr"/>
      <c r="C1174" s="12" t="inlineStr">
        <is>
          <t>H</t>
        </is>
      </c>
      <c r="D1174" s="12" t="inlineStr">
        <is>
          <t>DC 1,500 V: container to PCS (2 x 1/C per pole pair)</t>
        </is>
      </c>
      <c r="E1174" s="12" t="n">
        <v>1500</v>
      </c>
      <c r="F1174" s="12" t="n">
        <v>4000</v>
      </c>
      <c r="G1174" s="12" t="n"/>
      <c r="H1174" s="12" t="inlineStr">
        <is>
          <t>BESS container (ISO 40 ft high cube)</t>
        </is>
      </c>
      <c r="I1174" s="12" t="inlineStr">
        <is>
          <t>DC 2 kV</t>
        </is>
      </c>
      <c r="J1174" s="12" t="inlineStr">
        <is>
          <t>500 kcmil</t>
        </is>
      </c>
      <c r="K1174" s="12" t="n">
        <v>4</v>
      </c>
    </row>
    <row r="1175">
      <c r="A1175" s="12" t="inlineStr">
        <is>
          <t>BESS PCS / MV skid</t>
        </is>
      </c>
      <c r="B1175" s="12" t="inlineStr"/>
      <c r="C1175" s="12" t="inlineStr">
        <is>
          <t>H</t>
        </is>
      </c>
      <c r="D1175" s="12" t="inlineStr">
        <is>
          <t>DC 1,500 V: container to PCS (2 x 1/C per pole pair)</t>
        </is>
      </c>
      <c r="E1175" s="12" t="n">
        <v>1500</v>
      </c>
      <c r="F1175" s="12" t="n">
        <v>4000</v>
      </c>
      <c r="G1175" s="12" t="n"/>
      <c r="H1175" s="12" t="inlineStr">
        <is>
          <t>BESS container (ISO 40 ft high cube)</t>
        </is>
      </c>
      <c r="I1175" s="12" t="inlineStr">
        <is>
          <t>DC 2 kV</t>
        </is>
      </c>
      <c r="J1175" s="12" t="inlineStr">
        <is>
          <t>500 kcmil</t>
        </is>
      </c>
      <c r="K1175" s="12" t="n">
        <v>4</v>
      </c>
    </row>
    <row r="1176">
      <c r="A1176" s="12" t="inlineStr">
        <is>
          <t>BESS PCS / MV skid</t>
        </is>
      </c>
      <c r="B1176" s="12" t="inlineStr"/>
      <c r="C1176" s="12" t="inlineStr">
        <is>
          <t>H</t>
        </is>
      </c>
      <c r="D1176" s="12" t="inlineStr">
        <is>
          <t>DC 1,500 V: container to PCS (2 x 1/C per pole pair)</t>
        </is>
      </c>
      <c r="E1176" s="12" t="n">
        <v>1500</v>
      </c>
      <c r="F1176" s="12" t="n">
        <v>4000</v>
      </c>
      <c r="G1176" s="12" t="n"/>
      <c r="H1176" s="12" t="inlineStr">
        <is>
          <t>BESS container (ISO 40 ft high cube)</t>
        </is>
      </c>
      <c r="I1176" s="12" t="inlineStr">
        <is>
          <t>DC 2 kV</t>
        </is>
      </c>
      <c r="J1176" s="12" t="inlineStr">
        <is>
          <t>500 kcmil</t>
        </is>
      </c>
      <c r="K1176" s="12" t="n">
        <v>4</v>
      </c>
    </row>
    <row r="1177">
      <c r="A1177" s="12" t="inlineStr">
        <is>
          <t>BESS PCS / MV skid</t>
        </is>
      </c>
      <c r="B1177" s="12" t="inlineStr"/>
      <c r="C1177" s="12" t="inlineStr">
        <is>
          <t>H</t>
        </is>
      </c>
      <c r="D1177" s="12" t="inlineStr">
        <is>
          <t>DC 1,500 V: container to PCS (2 x 1/C per pole pair)</t>
        </is>
      </c>
      <c r="E1177" s="12" t="n">
        <v>1500</v>
      </c>
      <c r="F1177" s="12" t="n">
        <v>4000</v>
      </c>
      <c r="G1177" s="12" t="n"/>
      <c r="H1177" s="12" t="inlineStr">
        <is>
          <t>BESS container (ISO 40 ft high cube)</t>
        </is>
      </c>
      <c r="I1177" s="12" t="inlineStr">
        <is>
          <t>DC 2 kV</t>
        </is>
      </c>
      <c r="J1177" s="12" t="inlineStr">
        <is>
          <t>500 kcmil</t>
        </is>
      </c>
      <c r="K1177" s="12" t="n">
        <v>4</v>
      </c>
    </row>
    <row r="1178">
      <c r="A1178" s="12" t="inlineStr">
        <is>
          <t>BESS PCS / MV skid</t>
        </is>
      </c>
      <c r="B1178" s="12" t="inlineStr"/>
      <c r="C1178" s="12" t="inlineStr">
        <is>
          <t>H</t>
        </is>
      </c>
      <c r="D1178" s="12" t="inlineStr">
        <is>
          <t>DC 1,500 V: container to PCS (2 x 1/C per pole pair)</t>
        </is>
      </c>
      <c r="E1178" s="12" t="n">
        <v>1500</v>
      </c>
      <c r="F1178" s="12" t="n">
        <v>4000</v>
      </c>
      <c r="G1178" s="12" t="n"/>
      <c r="H1178" s="12" t="inlineStr">
        <is>
          <t>BESS container (ISO 40 ft high cube)</t>
        </is>
      </c>
      <c r="I1178" s="12" t="inlineStr">
        <is>
          <t>DC 2 kV</t>
        </is>
      </c>
      <c r="J1178" s="12" t="inlineStr">
        <is>
          <t>500 kcmil</t>
        </is>
      </c>
      <c r="K1178" s="12" t="n">
        <v>4</v>
      </c>
    </row>
    <row r="1179">
      <c r="A1179" s="12" t="inlineStr">
        <is>
          <t>BESS PCS / MV skid</t>
        </is>
      </c>
      <c r="B1179" s="12" t="inlineStr"/>
      <c r="C1179" s="12" t="inlineStr">
        <is>
          <t>H</t>
        </is>
      </c>
      <c r="D1179" s="12" t="inlineStr">
        <is>
          <t>DC 1,500 V: container to PCS (2 x 1/C per pole pair)</t>
        </is>
      </c>
      <c r="E1179" s="12" t="n">
        <v>1500</v>
      </c>
      <c r="F1179" s="12" t="n">
        <v>4000</v>
      </c>
      <c r="G1179" s="12" t="n"/>
      <c r="H1179" s="12" t="inlineStr">
        <is>
          <t>BESS container (ISO 40 ft high cube)</t>
        </is>
      </c>
      <c r="I1179" s="12" t="inlineStr">
        <is>
          <t>DC 2 kV</t>
        </is>
      </c>
      <c r="J1179" s="12" t="inlineStr">
        <is>
          <t>500 kcmil</t>
        </is>
      </c>
      <c r="K1179" s="12" t="n">
        <v>4</v>
      </c>
    </row>
    <row r="1180">
      <c r="A1180" s="12" t="inlineStr">
        <is>
          <t>BESS PCS / MV skid</t>
        </is>
      </c>
      <c r="B1180" s="12" t="inlineStr"/>
      <c r="C1180" s="12" t="inlineStr">
        <is>
          <t>H</t>
        </is>
      </c>
      <c r="D1180" s="12" t="inlineStr">
        <is>
          <t>DC 1,500 V: container to PCS (2 x 1/C per pole pair)</t>
        </is>
      </c>
      <c r="E1180" s="12" t="n">
        <v>1500</v>
      </c>
      <c r="F1180" s="12" t="n">
        <v>4000</v>
      </c>
      <c r="G1180" s="12" t="n"/>
      <c r="H1180" s="12" t="inlineStr">
        <is>
          <t>BESS container (ISO 40 ft high cube)</t>
        </is>
      </c>
      <c r="I1180" s="12" t="inlineStr">
        <is>
          <t>DC 2 kV</t>
        </is>
      </c>
      <c r="J1180" s="12" t="inlineStr">
        <is>
          <t>500 kcmil</t>
        </is>
      </c>
      <c r="K1180" s="12" t="n">
        <v>4</v>
      </c>
    </row>
    <row r="1181">
      <c r="A1181" s="12" t="inlineStr">
        <is>
          <t>BESS PCS / MV skid</t>
        </is>
      </c>
      <c r="B1181" s="12" t="inlineStr"/>
      <c r="C1181" s="12" t="inlineStr">
        <is>
          <t>H</t>
        </is>
      </c>
      <c r="D1181" s="12" t="inlineStr">
        <is>
          <t>DC 1,500 V: container to PCS (2 x 1/C per pole pair)</t>
        </is>
      </c>
      <c r="E1181" s="12" t="n">
        <v>1500</v>
      </c>
      <c r="F1181" s="12" t="n">
        <v>4000</v>
      </c>
      <c r="G1181" s="12" t="n"/>
      <c r="H1181" s="12" t="inlineStr">
        <is>
          <t>BESS container (ISO 40 ft high cube)</t>
        </is>
      </c>
      <c r="I1181" s="12" t="inlineStr">
        <is>
          <t>DC 2 kV</t>
        </is>
      </c>
      <c r="J1181" s="12" t="inlineStr">
        <is>
          <t>500 kcmil</t>
        </is>
      </c>
      <c r="K1181" s="12" t="n">
        <v>4</v>
      </c>
    </row>
    <row r="1182">
      <c r="A1182" s="12" t="inlineStr">
        <is>
          <t>BESS PCS / MV skid</t>
        </is>
      </c>
      <c r="B1182" s="12" t="inlineStr"/>
      <c r="C1182" s="12" t="inlineStr">
        <is>
          <t>H</t>
        </is>
      </c>
      <c r="D1182" s="12" t="inlineStr">
        <is>
          <t>DC 1,500 V: container to PCS (2 x 1/C per pole pair)</t>
        </is>
      </c>
      <c r="E1182" s="12" t="n">
        <v>1500</v>
      </c>
      <c r="F1182" s="12" t="n">
        <v>4000</v>
      </c>
      <c r="G1182" s="12" t="n"/>
      <c r="H1182" s="12" t="inlineStr">
        <is>
          <t>BESS container (ISO 40 ft high cube)</t>
        </is>
      </c>
      <c r="I1182" s="12" t="inlineStr">
        <is>
          <t>DC 2 kV</t>
        </is>
      </c>
      <c r="J1182" s="12" t="inlineStr">
        <is>
          <t>500 kcmil</t>
        </is>
      </c>
      <c r="K1182" s="12" t="n">
        <v>4</v>
      </c>
    </row>
    <row r="1183">
      <c r="A1183" s="12" t="inlineStr">
        <is>
          <t>BESS PCS / MV skid</t>
        </is>
      </c>
      <c r="B1183" s="12" t="inlineStr"/>
      <c r="C1183" s="12" t="inlineStr">
        <is>
          <t>H</t>
        </is>
      </c>
      <c r="D1183" s="12" t="inlineStr">
        <is>
          <t>DC 1,500 V: container to PCS (2 x 1/C per pole pair)</t>
        </is>
      </c>
      <c r="E1183" s="12" t="n">
        <v>1500</v>
      </c>
      <c r="F1183" s="12" t="n">
        <v>4000</v>
      </c>
      <c r="G1183" s="12" t="n"/>
      <c r="H1183" s="12" t="inlineStr">
        <is>
          <t>BESS container (ISO 40 ft high cube)</t>
        </is>
      </c>
      <c r="I1183" s="12" t="inlineStr">
        <is>
          <t>DC 2 kV</t>
        </is>
      </c>
      <c r="J1183" s="12" t="inlineStr">
        <is>
          <t>500 kcmil</t>
        </is>
      </c>
      <c r="K1183" s="12" t="n">
        <v>4</v>
      </c>
    </row>
    <row r="1184">
      <c r="A1184" s="12" t="inlineStr">
        <is>
          <t>BESS PCS / MV skid</t>
        </is>
      </c>
      <c r="B1184" s="12" t="inlineStr"/>
      <c r="C1184" s="12" t="inlineStr">
        <is>
          <t>H</t>
        </is>
      </c>
      <c r="D1184" s="12" t="inlineStr">
        <is>
          <t>DC 1,500 V: container to PCS (2 x 1/C per pole pair)</t>
        </is>
      </c>
      <c r="E1184" s="12" t="n">
        <v>1500</v>
      </c>
      <c r="F1184" s="12" t="n">
        <v>4000</v>
      </c>
      <c r="G1184" s="12" t="n"/>
      <c r="H1184" s="12" t="inlineStr">
        <is>
          <t>BESS container (ISO 40 ft high cube)</t>
        </is>
      </c>
      <c r="I1184" s="12" t="inlineStr">
        <is>
          <t>DC 2 kV</t>
        </is>
      </c>
      <c r="J1184" s="12" t="inlineStr">
        <is>
          <t>500 kcmil</t>
        </is>
      </c>
      <c r="K1184" s="12" t="n">
        <v>4</v>
      </c>
    </row>
    <row r="1185">
      <c r="A1185" s="12" t="inlineStr">
        <is>
          <t>BESS PCS / MV skid</t>
        </is>
      </c>
      <c r="B1185" s="12" t="inlineStr"/>
      <c r="C1185" s="12" t="inlineStr">
        <is>
          <t>H</t>
        </is>
      </c>
      <c r="D1185" s="12" t="inlineStr">
        <is>
          <t>DC 1,500 V: container to PCS (2 x 1/C per pole pair)</t>
        </is>
      </c>
      <c r="E1185" s="12" t="n">
        <v>1500</v>
      </c>
      <c r="F1185" s="12" t="n">
        <v>4000</v>
      </c>
      <c r="G1185" s="12" t="n"/>
      <c r="H1185" s="12" t="inlineStr">
        <is>
          <t>BESS container (ISO 40 ft high cube)</t>
        </is>
      </c>
      <c r="I1185" s="12" t="inlineStr">
        <is>
          <t>DC 2 kV</t>
        </is>
      </c>
      <c r="J1185" s="12" t="inlineStr">
        <is>
          <t>500 kcmil</t>
        </is>
      </c>
      <c r="K1185" s="12" t="n">
        <v>4</v>
      </c>
    </row>
    <row r="1186">
      <c r="A1186" s="12" t="inlineStr">
        <is>
          <t>BESS PCS / MV skid</t>
        </is>
      </c>
      <c r="B1186" s="12" t="inlineStr"/>
      <c r="C1186" s="12" t="inlineStr">
        <is>
          <t>H</t>
        </is>
      </c>
      <c r="D1186" s="12" t="inlineStr">
        <is>
          <t>DC 1,500 V: container to PCS (2 x 1/C per pole pair)</t>
        </is>
      </c>
      <c r="E1186" s="12" t="n">
        <v>1500</v>
      </c>
      <c r="F1186" s="12" t="n">
        <v>4000</v>
      </c>
      <c r="G1186" s="12" t="n"/>
      <c r="H1186" s="12" t="inlineStr">
        <is>
          <t>BESS container (ISO 40 ft high cube)</t>
        </is>
      </c>
      <c r="I1186" s="12" t="inlineStr">
        <is>
          <t>DC 2 kV</t>
        </is>
      </c>
      <c r="J1186" s="12" t="inlineStr">
        <is>
          <t>500 kcmil</t>
        </is>
      </c>
      <c r="K1186" s="12" t="n">
        <v>4</v>
      </c>
    </row>
    <row r="1187">
      <c r="A1187" s="12" t="inlineStr">
        <is>
          <t>BESS PCS / MV skid</t>
        </is>
      </c>
      <c r="B1187" s="12" t="inlineStr"/>
      <c r="C1187" s="12" t="inlineStr">
        <is>
          <t>H</t>
        </is>
      </c>
      <c r="D1187" s="12" t="inlineStr">
        <is>
          <t>DC 1,500 V: container to PCS (2 x 1/C per pole pair)</t>
        </is>
      </c>
      <c r="E1187" s="12" t="n">
        <v>1500</v>
      </c>
      <c r="F1187" s="12" t="n">
        <v>4000</v>
      </c>
      <c r="G1187" s="12" t="n"/>
      <c r="H1187" s="12" t="inlineStr">
        <is>
          <t>BESS container (ISO 40 ft high cube)</t>
        </is>
      </c>
      <c r="I1187" s="12" t="inlineStr">
        <is>
          <t>DC 2 kV</t>
        </is>
      </c>
      <c r="J1187" s="12" t="inlineStr">
        <is>
          <t>500 kcmil</t>
        </is>
      </c>
      <c r="K1187" s="12" t="n">
        <v>4</v>
      </c>
    </row>
    <row r="1188">
      <c r="A1188" s="12" t="inlineStr">
        <is>
          <t>BESS PCS / MV skid</t>
        </is>
      </c>
      <c r="B1188" s="12" t="inlineStr"/>
      <c r="C1188" s="12" t="inlineStr">
        <is>
          <t>H</t>
        </is>
      </c>
      <c r="D1188" s="12" t="inlineStr">
        <is>
          <t>DC 1,500 V: container to PCS (2 x 1/C per pole pair)</t>
        </is>
      </c>
      <c r="E1188" s="12" t="n">
        <v>1500</v>
      </c>
      <c r="F1188" s="12" t="n">
        <v>4000</v>
      </c>
      <c r="G1188" s="12" t="n"/>
      <c r="H1188" s="12" t="inlineStr">
        <is>
          <t>BESS container (ISO 40 ft high cube)</t>
        </is>
      </c>
      <c r="I1188" s="12" t="inlineStr">
        <is>
          <t>DC 2 kV</t>
        </is>
      </c>
      <c r="J1188" s="12" t="inlineStr">
        <is>
          <t>500 kcmil</t>
        </is>
      </c>
      <c r="K1188" s="12" t="n">
        <v>4</v>
      </c>
    </row>
    <row r="1189">
      <c r="A1189" s="12" t="inlineStr">
        <is>
          <t>BESS PCS / MV skid</t>
        </is>
      </c>
      <c r="B1189" s="12" t="inlineStr"/>
      <c r="C1189" s="12" t="inlineStr">
        <is>
          <t>H</t>
        </is>
      </c>
      <c r="D1189" s="12" t="inlineStr">
        <is>
          <t>DC 1,500 V: container to PCS (2 x 1/C per pole pair)</t>
        </is>
      </c>
      <c r="E1189" s="12" t="n">
        <v>1500</v>
      </c>
      <c r="F1189" s="12" t="n">
        <v>4000</v>
      </c>
      <c r="G1189" s="12" t="n"/>
      <c r="H1189" s="12" t="inlineStr">
        <is>
          <t>BESS container (ISO 40 ft high cube)</t>
        </is>
      </c>
      <c r="I1189" s="12" t="inlineStr">
        <is>
          <t>DC 2 kV</t>
        </is>
      </c>
      <c r="J1189" s="12" t="inlineStr">
        <is>
          <t>500 kcmil</t>
        </is>
      </c>
      <c r="K1189" s="12" t="n">
        <v>4</v>
      </c>
    </row>
    <row r="1190">
      <c r="A1190" s="12" t="inlineStr">
        <is>
          <t>BESS PCS / MV skid</t>
        </is>
      </c>
      <c r="B1190" s="12" t="inlineStr"/>
      <c r="C1190" s="12" t="inlineStr">
        <is>
          <t>H</t>
        </is>
      </c>
      <c r="D1190" s="12" t="inlineStr">
        <is>
          <t>DC 1,500 V: container to PCS (2 x 1/C per pole pair)</t>
        </is>
      </c>
      <c r="E1190" s="12" t="n">
        <v>1500</v>
      </c>
      <c r="F1190" s="12" t="n">
        <v>4000</v>
      </c>
      <c r="G1190" s="12" t="n"/>
      <c r="H1190" s="12" t="inlineStr">
        <is>
          <t>BESS container (ISO 40 ft high cube)</t>
        </is>
      </c>
      <c r="I1190" s="12" t="inlineStr">
        <is>
          <t>DC 2 kV</t>
        </is>
      </c>
      <c r="J1190" s="12" t="inlineStr">
        <is>
          <t>500 kcmil</t>
        </is>
      </c>
      <c r="K1190" s="12" t="n">
        <v>4</v>
      </c>
    </row>
    <row r="1191">
      <c r="A1191" s="12" t="inlineStr">
        <is>
          <t>BESS PCS / MV skid</t>
        </is>
      </c>
      <c r="B1191" s="12" t="inlineStr"/>
      <c r="C1191" s="12" t="inlineStr">
        <is>
          <t>H</t>
        </is>
      </c>
      <c r="D1191" s="12" t="inlineStr">
        <is>
          <t>DC 1,500 V: container to PCS (2 x 1/C per pole pair)</t>
        </is>
      </c>
      <c r="E1191" s="12" t="n">
        <v>1500</v>
      </c>
      <c r="F1191" s="12" t="n">
        <v>4000</v>
      </c>
      <c r="G1191" s="12" t="n"/>
      <c r="H1191" s="12" t="inlineStr">
        <is>
          <t>BESS container (ISO 40 ft high cube)</t>
        </is>
      </c>
      <c r="I1191" s="12" t="inlineStr">
        <is>
          <t>DC 2 kV</t>
        </is>
      </c>
      <c r="J1191" s="12" t="inlineStr">
        <is>
          <t>500 kcmil</t>
        </is>
      </c>
      <c r="K1191" s="12" t="n">
        <v>4</v>
      </c>
    </row>
    <row r="1192">
      <c r="A1192" s="12" t="inlineStr">
        <is>
          <t>34.5 kV collector e-house (arc-resistant)</t>
        </is>
      </c>
      <c r="B1192" s="12" t="inlineStr"/>
      <c r="C1192" s="12" t="inlineStr">
        <is>
          <t>H</t>
        </is>
      </c>
      <c r="D1192" s="12" t="inlineStr">
        <is>
          <t>LV panel / distribution feeder</t>
        </is>
      </c>
      <c r="E1192" s="12" t="n">
        <v>480</v>
      </c>
      <c r="F1192" s="12" t="n">
        <v>30</v>
      </c>
      <c r="G1192" s="12" t="n">
        <v>42.5</v>
      </c>
      <c r="H1192" s="12" t="inlineStr">
        <is>
          <t>BESS auxiliary transformer</t>
        </is>
      </c>
      <c r="I1192" s="12" t="inlineStr">
        <is>
          <t>LV 600 V</t>
        </is>
      </c>
      <c r="J1192" s="12" t="inlineStr">
        <is>
          <t>6</t>
        </is>
      </c>
      <c r="K1192" s="12" t="n">
        <v>1</v>
      </c>
    </row>
    <row r="1193">
      <c r="A1193" s="12" t="inlineStr">
        <is>
          <t>BESS EMS / SCADA and revenue metering</t>
        </is>
      </c>
      <c r="B1193" s="12" t="inlineStr"/>
      <c r="C1193" s="12" t="inlineStr">
        <is>
          <t>H</t>
        </is>
      </c>
      <c r="D1193" s="12" t="inlineStr">
        <is>
          <t>LV panel / distribution feeder</t>
        </is>
      </c>
      <c r="E1193" s="12" t="n">
        <v>480</v>
      </c>
      <c r="F1193" s="12" t="n">
        <v>30</v>
      </c>
      <c r="G1193" s="12" t="n">
        <v>42.5</v>
      </c>
      <c r="H1193" s="12" t="inlineStr">
        <is>
          <t>BESS auxiliary transformer</t>
        </is>
      </c>
      <c r="I1193" s="12" t="inlineStr">
        <is>
          <t>LV 600 V</t>
        </is>
      </c>
      <c r="J1193" s="12" t="inlineStr">
        <is>
          <t>6</t>
        </is>
      </c>
      <c r="K1193" s="12" t="n">
        <v>1</v>
      </c>
    </row>
    <row r="1194">
      <c r="A1194" s="12" t="inlineStr">
        <is>
          <t>BESS PCS / MV skid</t>
        </is>
      </c>
      <c r="B1194" s="12" t="inlineStr"/>
      <c r="C1194" s="12" t="inlineStr">
        <is>
          <t>H</t>
        </is>
      </c>
      <c r="D1194" s="12" t="inlineStr">
        <is>
          <t>Motor 1 of 2, 7 kW</t>
        </is>
      </c>
      <c r="E1194" s="12" t="n">
        <v>480</v>
      </c>
      <c r="F1194" s="12" t="n">
        <v>7</v>
      </c>
      <c r="G1194" s="12" t="n">
        <v>9.9</v>
      </c>
      <c r="H1194" s="12" t="inlineStr">
        <is>
          <t>BESS auxiliary transformer</t>
        </is>
      </c>
      <c r="I1194" s="12" t="inlineStr">
        <is>
          <t>LV 600 V</t>
        </is>
      </c>
      <c r="J1194" s="12" t="inlineStr">
        <is>
          <t>10</t>
        </is>
      </c>
      <c r="K1194" s="12" t="n">
        <v>1</v>
      </c>
    </row>
    <row r="1195">
      <c r="A1195" s="12" t="inlineStr">
        <is>
          <t>BESS PCS / MV skid</t>
        </is>
      </c>
      <c r="B1195" s="12" t="inlineStr"/>
      <c r="C1195" s="12" t="inlineStr">
        <is>
          <t>H</t>
        </is>
      </c>
      <c r="D1195" s="12" t="inlineStr">
        <is>
          <t>Motor 2 of 2, 7 kW</t>
        </is>
      </c>
      <c r="E1195" s="12" t="n">
        <v>480</v>
      </c>
      <c r="F1195" s="12" t="n">
        <v>7</v>
      </c>
      <c r="G1195" s="12" t="n">
        <v>9.9</v>
      </c>
      <c r="H1195" s="12" t="inlineStr">
        <is>
          <t>BESS auxiliary transformer</t>
        </is>
      </c>
      <c r="I1195" s="12" t="inlineStr">
        <is>
          <t>LV 600 V</t>
        </is>
      </c>
      <c r="J1195" s="12" t="inlineStr">
        <is>
          <t>10</t>
        </is>
      </c>
      <c r="K1195" s="12" t="n">
        <v>1</v>
      </c>
    </row>
    <row r="1196">
      <c r="A1196" s="12" t="inlineStr">
        <is>
          <t>BESS PCS / MV skid</t>
        </is>
      </c>
      <c r="B1196" s="12" t="inlineStr"/>
      <c r="C1196" s="12" t="inlineStr">
        <is>
          <t>H</t>
        </is>
      </c>
      <c r="D1196" s="12" t="inlineStr">
        <is>
          <t>Motor 1 of 2, 7 kW</t>
        </is>
      </c>
      <c r="E1196" s="12" t="n">
        <v>480</v>
      </c>
      <c r="F1196" s="12" t="n">
        <v>7</v>
      </c>
      <c r="G1196" s="12" t="n">
        <v>9.9</v>
      </c>
      <c r="H1196" s="12" t="inlineStr">
        <is>
          <t>BESS auxiliary transformer</t>
        </is>
      </c>
      <c r="I1196" s="12" t="inlineStr">
        <is>
          <t>LV 600 V</t>
        </is>
      </c>
      <c r="J1196" s="12" t="inlineStr">
        <is>
          <t>10</t>
        </is>
      </c>
      <c r="K1196" s="12" t="n">
        <v>1</v>
      </c>
    </row>
    <row r="1197">
      <c r="A1197" s="12" t="inlineStr">
        <is>
          <t>BESS PCS / MV skid</t>
        </is>
      </c>
      <c r="B1197" s="12" t="inlineStr"/>
      <c r="C1197" s="12" t="inlineStr">
        <is>
          <t>H</t>
        </is>
      </c>
      <c r="D1197" s="12" t="inlineStr">
        <is>
          <t>Motor 2 of 2, 7 kW</t>
        </is>
      </c>
      <c r="E1197" s="12" t="n">
        <v>480</v>
      </c>
      <c r="F1197" s="12" t="n">
        <v>7</v>
      </c>
      <c r="G1197" s="12" t="n">
        <v>9.9</v>
      </c>
      <c r="H1197" s="12" t="inlineStr">
        <is>
          <t>BESS auxiliary transformer</t>
        </is>
      </c>
      <c r="I1197" s="12" t="inlineStr">
        <is>
          <t>LV 600 V</t>
        </is>
      </c>
      <c r="J1197" s="12" t="inlineStr">
        <is>
          <t>10</t>
        </is>
      </c>
      <c r="K1197" s="12" t="n">
        <v>1</v>
      </c>
    </row>
    <row r="1198">
      <c r="A1198" s="12" t="inlineStr">
        <is>
          <t>BESS PCS / MV skid</t>
        </is>
      </c>
      <c r="B1198" s="12" t="inlineStr"/>
      <c r="C1198" s="12" t="inlineStr">
        <is>
          <t>H</t>
        </is>
      </c>
      <c r="D1198" s="12" t="inlineStr">
        <is>
          <t>Motor 1 of 2, 7 kW</t>
        </is>
      </c>
      <c r="E1198" s="12" t="n">
        <v>480</v>
      </c>
      <c r="F1198" s="12" t="n">
        <v>7</v>
      </c>
      <c r="G1198" s="12" t="n">
        <v>9.9</v>
      </c>
      <c r="H1198" s="12" t="inlineStr">
        <is>
          <t>BESS auxiliary transformer</t>
        </is>
      </c>
      <c r="I1198" s="12" t="inlineStr">
        <is>
          <t>LV 600 V</t>
        </is>
      </c>
      <c r="J1198" s="12" t="inlineStr">
        <is>
          <t>10</t>
        </is>
      </c>
      <c r="K1198" s="12" t="n">
        <v>1</v>
      </c>
    </row>
    <row r="1199">
      <c r="A1199" s="12" t="inlineStr">
        <is>
          <t>BESS PCS / MV skid</t>
        </is>
      </c>
      <c r="B1199" s="12" t="inlineStr"/>
      <c r="C1199" s="12" t="inlineStr">
        <is>
          <t>H</t>
        </is>
      </c>
      <c r="D1199" s="12" t="inlineStr">
        <is>
          <t>Motor 2 of 2, 7 kW</t>
        </is>
      </c>
      <c r="E1199" s="12" t="n">
        <v>480</v>
      </c>
      <c r="F1199" s="12" t="n">
        <v>7</v>
      </c>
      <c r="G1199" s="12" t="n">
        <v>9.9</v>
      </c>
      <c r="H1199" s="12" t="inlineStr">
        <is>
          <t>BESS auxiliary transformer</t>
        </is>
      </c>
      <c r="I1199" s="12" t="inlineStr">
        <is>
          <t>LV 600 V</t>
        </is>
      </c>
      <c r="J1199" s="12" t="inlineStr">
        <is>
          <t>10</t>
        </is>
      </c>
      <c r="K1199" s="12" t="n">
        <v>1</v>
      </c>
    </row>
    <row r="1200">
      <c r="A1200" s="12" t="inlineStr">
        <is>
          <t>BESS PCS / MV skid</t>
        </is>
      </c>
      <c r="B1200" s="12" t="inlineStr"/>
      <c r="C1200" s="12" t="inlineStr">
        <is>
          <t>H</t>
        </is>
      </c>
      <c r="D1200" s="12" t="inlineStr">
        <is>
          <t>Motor 1 of 2, 7 kW</t>
        </is>
      </c>
      <c r="E1200" s="12" t="n">
        <v>480</v>
      </c>
      <c r="F1200" s="12" t="n">
        <v>7</v>
      </c>
      <c r="G1200" s="12" t="n">
        <v>9.9</v>
      </c>
      <c r="H1200" s="12" t="inlineStr">
        <is>
          <t>BESS auxiliary transformer</t>
        </is>
      </c>
      <c r="I1200" s="12" t="inlineStr">
        <is>
          <t>LV 600 V</t>
        </is>
      </c>
      <c r="J1200" s="12" t="inlineStr">
        <is>
          <t>10</t>
        </is>
      </c>
      <c r="K1200" s="12" t="n">
        <v>1</v>
      </c>
    </row>
    <row r="1201">
      <c r="A1201" s="12" t="inlineStr">
        <is>
          <t>BESS PCS / MV skid</t>
        </is>
      </c>
      <c r="B1201" s="12" t="inlineStr"/>
      <c r="C1201" s="12" t="inlineStr">
        <is>
          <t>H</t>
        </is>
      </c>
      <c r="D1201" s="12" t="inlineStr">
        <is>
          <t>Motor 2 of 2, 7 kW</t>
        </is>
      </c>
      <c r="E1201" s="12" t="n">
        <v>480</v>
      </c>
      <c r="F1201" s="12" t="n">
        <v>7</v>
      </c>
      <c r="G1201" s="12" t="n">
        <v>9.9</v>
      </c>
      <c r="H1201" s="12" t="inlineStr">
        <is>
          <t>BESS auxiliary transformer</t>
        </is>
      </c>
      <c r="I1201" s="12" t="inlineStr">
        <is>
          <t>LV 600 V</t>
        </is>
      </c>
      <c r="J1201" s="12" t="inlineStr">
        <is>
          <t>10</t>
        </is>
      </c>
      <c r="K1201" s="12" t="n">
        <v>1</v>
      </c>
    </row>
    <row r="1202">
      <c r="A1202" s="12" t="inlineStr">
        <is>
          <t>BESS PCS / MV skid</t>
        </is>
      </c>
      <c r="B1202" s="12" t="inlineStr"/>
      <c r="C1202" s="12" t="inlineStr">
        <is>
          <t>H</t>
        </is>
      </c>
      <c r="D1202" s="12" t="inlineStr">
        <is>
          <t>Motor 1 of 2, 7 kW</t>
        </is>
      </c>
      <c r="E1202" s="12" t="n">
        <v>480</v>
      </c>
      <c r="F1202" s="12" t="n">
        <v>7</v>
      </c>
      <c r="G1202" s="12" t="n">
        <v>9.9</v>
      </c>
      <c r="H1202" s="12" t="inlineStr">
        <is>
          <t>BESS auxiliary transformer</t>
        </is>
      </c>
      <c r="I1202" s="12" t="inlineStr">
        <is>
          <t>LV 600 V</t>
        </is>
      </c>
      <c r="J1202" s="12" t="inlineStr">
        <is>
          <t>10</t>
        </is>
      </c>
      <c r="K1202" s="12" t="n">
        <v>1</v>
      </c>
    </row>
    <row r="1203">
      <c r="A1203" s="12" t="inlineStr">
        <is>
          <t>BESS PCS / MV skid</t>
        </is>
      </c>
      <c r="B1203" s="12" t="inlineStr"/>
      <c r="C1203" s="12" t="inlineStr">
        <is>
          <t>H</t>
        </is>
      </c>
      <c r="D1203" s="12" t="inlineStr">
        <is>
          <t>Motor 2 of 2, 7 kW</t>
        </is>
      </c>
      <c r="E1203" s="12" t="n">
        <v>480</v>
      </c>
      <c r="F1203" s="12" t="n">
        <v>7</v>
      </c>
      <c r="G1203" s="12" t="n">
        <v>9.9</v>
      </c>
      <c r="H1203" s="12" t="inlineStr">
        <is>
          <t>BESS auxiliary transformer</t>
        </is>
      </c>
      <c r="I1203" s="12" t="inlineStr">
        <is>
          <t>LV 600 V</t>
        </is>
      </c>
      <c r="J1203" s="12" t="inlineStr">
        <is>
          <t>10</t>
        </is>
      </c>
      <c r="K1203" s="12" t="n">
        <v>1</v>
      </c>
    </row>
    <row r="1204">
      <c r="A1204" s="12" t="inlineStr">
        <is>
          <t>BESS PCS / MV skid</t>
        </is>
      </c>
      <c r="B1204" s="12" t="inlineStr"/>
      <c r="C1204" s="12" t="inlineStr">
        <is>
          <t>H</t>
        </is>
      </c>
      <c r="D1204" s="12" t="inlineStr">
        <is>
          <t>Motor 1 of 2, 7 kW</t>
        </is>
      </c>
      <c r="E1204" s="12" t="n">
        <v>480</v>
      </c>
      <c r="F1204" s="12" t="n">
        <v>7</v>
      </c>
      <c r="G1204" s="12" t="n">
        <v>9.9</v>
      </c>
      <c r="H1204" s="12" t="inlineStr">
        <is>
          <t>BESS auxiliary transformer</t>
        </is>
      </c>
      <c r="I1204" s="12" t="inlineStr">
        <is>
          <t>LV 600 V</t>
        </is>
      </c>
      <c r="J1204" s="12" t="inlineStr">
        <is>
          <t>10</t>
        </is>
      </c>
      <c r="K1204" s="12" t="n">
        <v>1</v>
      </c>
    </row>
    <row r="1205">
      <c r="A1205" s="12" t="inlineStr">
        <is>
          <t>BESS PCS / MV skid</t>
        </is>
      </c>
      <c r="B1205" s="12" t="inlineStr"/>
      <c r="C1205" s="12" t="inlineStr">
        <is>
          <t>H</t>
        </is>
      </c>
      <c r="D1205" s="12" t="inlineStr">
        <is>
          <t>Motor 2 of 2, 7 kW</t>
        </is>
      </c>
      <c r="E1205" s="12" t="n">
        <v>480</v>
      </c>
      <c r="F1205" s="12" t="n">
        <v>7</v>
      </c>
      <c r="G1205" s="12" t="n">
        <v>9.9</v>
      </c>
      <c r="H1205" s="12" t="inlineStr">
        <is>
          <t>BESS auxiliary transformer</t>
        </is>
      </c>
      <c r="I1205" s="12" t="inlineStr">
        <is>
          <t>LV 600 V</t>
        </is>
      </c>
      <c r="J1205" s="12" t="inlineStr">
        <is>
          <t>10</t>
        </is>
      </c>
      <c r="K1205" s="12" t="n">
        <v>1</v>
      </c>
    </row>
    <row r="1206">
      <c r="A1206" s="12" t="inlineStr">
        <is>
          <t>BESS PCS / MV skid</t>
        </is>
      </c>
      <c r="B1206" s="12" t="inlineStr"/>
      <c r="C1206" s="12" t="inlineStr">
        <is>
          <t>H</t>
        </is>
      </c>
      <c r="D1206" s="12" t="inlineStr">
        <is>
          <t>Motor 1 of 2, 7 kW</t>
        </is>
      </c>
      <c r="E1206" s="12" t="n">
        <v>480</v>
      </c>
      <c r="F1206" s="12" t="n">
        <v>7</v>
      </c>
      <c r="G1206" s="12" t="n">
        <v>9.9</v>
      </c>
      <c r="H1206" s="12" t="inlineStr">
        <is>
          <t>BESS auxiliary transformer</t>
        </is>
      </c>
      <c r="I1206" s="12" t="inlineStr">
        <is>
          <t>LV 600 V</t>
        </is>
      </c>
      <c r="J1206" s="12" t="inlineStr">
        <is>
          <t>10</t>
        </is>
      </c>
      <c r="K1206" s="12" t="n">
        <v>1</v>
      </c>
    </row>
    <row r="1207">
      <c r="A1207" s="12" t="inlineStr">
        <is>
          <t>BESS PCS / MV skid</t>
        </is>
      </c>
      <c r="B1207" s="12" t="inlineStr"/>
      <c r="C1207" s="12" t="inlineStr">
        <is>
          <t>H</t>
        </is>
      </c>
      <c r="D1207" s="12" t="inlineStr">
        <is>
          <t>Motor 2 of 2, 7 kW</t>
        </is>
      </c>
      <c r="E1207" s="12" t="n">
        <v>480</v>
      </c>
      <c r="F1207" s="12" t="n">
        <v>7</v>
      </c>
      <c r="G1207" s="12" t="n">
        <v>9.9</v>
      </c>
      <c r="H1207" s="12" t="inlineStr">
        <is>
          <t>BESS auxiliary transformer</t>
        </is>
      </c>
      <c r="I1207" s="12" t="inlineStr">
        <is>
          <t>LV 600 V</t>
        </is>
      </c>
      <c r="J1207" s="12" t="inlineStr">
        <is>
          <t>10</t>
        </is>
      </c>
      <c r="K1207" s="12" t="n">
        <v>1</v>
      </c>
    </row>
    <row r="1208">
      <c r="A1208" s="12" t="inlineStr">
        <is>
          <t>BESS PCS / MV skid</t>
        </is>
      </c>
      <c r="B1208" s="12" t="inlineStr"/>
      <c r="C1208" s="12" t="inlineStr">
        <is>
          <t>H</t>
        </is>
      </c>
      <c r="D1208" s="12" t="inlineStr">
        <is>
          <t>Motor 1 of 2, 7 kW</t>
        </is>
      </c>
      <c r="E1208" s="12" t="n">
        <v>480</v>
      </c>
      <c r="F1208" s="12" t="n">
        <v>7</v>
      </c>
      <c r="G1208" s="12" t="n">
        <v>9.9</v>
      </c>
      <c r="H1208" s="12" t="inlineStr">
        <is>
          <t>BESS auxiliary transformer</t>
        </is>
      </c>
      <c r="I1208" s="12" t="inlineStr">
        <is>
          <t>LV 600 V</t>
        </is>
      </c>
      <c r="J1208" s="12" t="inlineStr">
        <is>
          <t>10</t>
        </is>
      </c>
      <c r="K1208" s="12" t="n">
        <v>1</v>
      </c>
    </row>
    <row r="1209">
      <c r="A1209" s="12" t="inlineStr">
        <is>
          <t>BESS PCS / MV skid</t>
        </is>
      </c>
      <c r="B1209" s="12" t="inlineStr"/>
      <c r="C1209" s="12" t="inlineStr">
        <is>
          <t>H</t>
        </is>
      </c>
      <c r="D1209" s="12" t="inlineStr">
        <is>
          <t>Motor 2 of 2, 7 kW</t>
        </is>
      </c>
      <c r="E1209" s="12" t="n">
        <v>480</v>
      </c>
      <c r="F1209" s="12" t="n">
        <v>7</v>
      </c>
      <c r="G1209" s="12" t="n">
        <v>9.9</v>
      </c>
      <c r="H1209" s="12" t="inlineStr">
        <is>
          <t>BESS auxiliary transformer</t>
        </is>
      </c>
      <c r="I1209" s="12" t="inlineStr">
        <is>
          <t>LV 600 V</t>
        </is>
      </c>
      <c r="J1209" s="12" t="inlineStr">
        <is>
          <t>10</t>
        </is>
      </c>
      <c r="K1209" s="12" t="n">
        <v>1</v>
      </c>
    </row>
    <row r="1210">
      <c r="A1210" s="12" t="inlineStr">
        <is>
          <t>BESS PCS / MV skid</t>
        </is>
      </c>
      <c r="B1210" s="12" t="inlineStr"/>
      <c r="C1210" s="12" t="inlineStr">
        <is>
          <t>H</t>
        </is>
      </c>
      <c r="D1210" s="12" t="inlineStr">
        <is>
          <t>Motor 1 of 2, 7 kW</t>
        </is>
      </c>
      <c r="E1210" s="12" t="n">
        <v>480</v>
      </c>
      <c r="F1210" s="12" t="n">
        <v>7</v>
      </c>
      <c r="G1210" s="12" t="n">
        <v>9.9</v>
      </c>
      <c r="H1210" s="12" t="inlineStr">
        <is>
          <t>BESS auxiliary transformer</t>
        </is>
      </c>
      <c r="I1210" s="12" t="inlineStr">
        <is>
          <t>LV 600 V</t>
        </is>
      </c>
      <c r="J1210" s="12" t="inlineStr">
        <is>
          <t>10</t>
        </is>
      </c>
      <c r="K1210" s="12" t="n">
        <v>1</v>
      </c>
    </row>
    <row r="1211">
      <c r="A1211" s="12" t="inlineStr">
        <is>
          <t>BESS PCS / MV skid</t>
        </is>
      </c>
      <c r="B1211" s="12" t="inlineStr"/>
      <c r="C1211" s="12" t="inlineStr">
        <is>
          <t>H</t>
        </is>
      </c>
      <c r="D1211" s="12" t="inlineStr">
        <is>
          <t>Motor 2 of 2, 7 kW</t>
        </is>
      </c>
      <c r="E1211" s="12" t="n">
        <v>480</v>
      </c>
      <c r="F1211" s="12" t="n">
        <v>7</v>
      </c>
      <c r="G1211" s="12" t="n">
        <v>9.9</v>
      </c>
      <c r="H1211" s="12" t="inlineStr">
        <is>
          <t>BESS auxiliary transformer</t>
        </is>
      </c>
      <c r="I1211" s="12" t="inlineStr">
        <is>
          <t>LV 600 V</t>
        </is>
      </c>
      <c r="J1211" s="12" t="inlineStr">
        <is>
          <t>10</t>
        </is>
      </c>
      <c r="K1211" s="12" t="n">
        <v>1</v>
      </c>
    </row>
    <row r="1212">
      <c r="A1212" s="12" t="inlineStr">
        <is>
          <t>BESS PCS / MV skid</t>
        </is>
      </c>
      <c r="B1212" s="12" t="inlineStr"/>
      <c r="C1212" s="12" t="inlineStr">
        <is>
          <t>H</t>
        </is>
      </c>
      <c r="D1212" s="12" t="inlineStr">
        <is>
          <t>Motor 1 of 2, 7 kW</t>
        </is>
      </c>
      <c r="E1212" s="12" t="n">
        <v>480</v>
      </c>
      <c r="F1212" s="12" t="n">
        <v>7</v>
      </c>
      <c r="G1212" s="12" t="n">
        <v>9.9</v>
      </c>
      <c r="H1212" s="12" t="inlineStr">
        <is>
          <t>BESS auxiliary transformer</t>
        </is>
      </c>
      <c r="I1212" s="12" t="inlineStr">
        <is>
          <t>LV 600 V</t>
        </is>
      </c>
      <c r="J1212" s="12" t="inlineStr">
        <is>
          <t>8</t>
        </is>
      </c>
      <c r="K1212" s="12" t="n">
        <v>1</v>
      </c>
    </row>
    <row r="1213">
      <c r="A1213" s="12" t="inlineStr">
        <is>
          <t>BESS PCS / MV skid</t>
        </is>
      </c>
      <c r="B1213" s="12" t="inlineStr"/>
      <c r="C1213" s="12" t="inlineStr">
        <is>
          <t>H</t>
        </is>
      </c>
      <c r="D1213" s="12" t="inlineStr">
        <is>
          <t>Motor 2 of 2, 7 kW</t>
        </is>
      </c>
      <c r="E1213" s="12" t="n">
        <v>480</v>
      </c>
      <c r="F1213" s="12" t="n">
        <v>7</v>
      </c>
      <c r="G1213" s="12" t="n">
        <v>9.9</v>
      </c>
      <c r="H1213" s="12" t="inlineStr">
        <is>
          <t>BESS auxiliary transformer</t>
        </is>
      </c>
      <c r="I1213" s="12" t="inlineStr">
        <is>
          <t>LV 600 V</t>
        </is>
      </c>
      <c r="J1213" s="12" t="inlineStr">
        <is>
          <t>8</t>
        </is>
      </c>
      <c r="K1213" s="12" t="n">
        <v>1</v>
      </c>
    </row>
    <row r="1214">
      <c r="A1214" s="12" t="inlineStr">
        <is>
          <t>BESS PCS / MV skid</t>
        </is>
      </c>
      <c r="B1214" s="12" t="inlineStr"/>
      <c r="C1214" s="12" t="inlineStr">
        <is>
          <t>H</t>
        </is>
      </c>
      <c r="D1214" s="12" t="inlineStr">
        <is>
          <t>Motor 1 of 2, 7 kW</t>
        </is>
      </c>
      <c r="E1214" s="12" t="n">
        <v>480</v>
      </c>
      <c r="F1214" s="12" t="n">
        <v>7</v>
      </c>
      <c r="G1214" s="12" t="n">
        <v>9.9</v>
      </c>
      <c r="H1214" s="12" t="inlineStr">
        <is>
          <t>BESS auxiliary transformer</t>
        </is>
      </c>
      <c r="I1214" s="12" t="inlineStr">
        <is>
          <t>LV 600 V</t>
        </is>
      </c>
      <c r="J1214" s="12" t="inlineStr">
        <is>
          <t>10</t>
        </is>
      </c>
      <c r="K1214" s="12" t="n">
        <v>1</v>
      </c>
    </row>
    <row r="1215">
      <c r="A1215" s="12" t="inlineStr">
        <is>
          <t>BESS PCS / MV skid</t>
        </is>
      </c>
      <c r="B1215" s="12" t="inlineStr"/>
      <c r="C1215" s="12" t="inlineStr">
        <is>
          <t>H</t>
        </is>
      </c>
      <c r="D1215" s="12" t="inlineStr">
        <is>
          <t>Motor 2 of 2, 7 kW</t>
        </is>
      </c>
      <c r="E1215" s="12" t="n">
        <v>480</v>
      </c>
      <c r="F1215" s="12" t="n">
        <v>7</v>
      </c>
      <c r="G1215" s="12" t="n">
        <v>9.9</v>
      </c>
      <c r="H1215" s="12" t="inlineStr">
        <is>
          <t>BESS auxiliary transformer</t>
        </is>
      </c>
      <c r="I1215" s="12" t="inlineStr">
        <is>
          <t>LV 600 V</t>
        </is>
      </c>
      <c r="J1215" s="12" t="inlineStr">
        <is>
          <t>10</t>
        </is>
      </c>
      <c r="K1215" s="12" t="n">
        <v>1</v>
      </c>
    </row>
    <row r="1216">
      <c r="A1216" s="12" t="inlineStr">
        <is>
          <t>BESS PCS / MV skid</t>
        </is>
      </c>
      <c r="B1216" s="12" t="inlineStr"/>
      <c r="C1216" s="12" t="inlineStr">
        <is>
          <t>H</t>
        </is>
      </c>
      <c r="D1216" s="12" t="inlineStr">
        <is>
          <t>Motor 1 of 2, 7 kW</t>
        </is>
      </c>
      <c r="E1216" s="12" t="n">
        <v>480</v>
      </c>
      <c r="F1216" s="12" t="n">
        <v>7</v>
      </c>
      <c r="G1216" s="12" t="n">
        <v>9.9</v>
      </c>
      <c r="H1216" s="12" t="inlineStr">
        <is>
          <t>BESS auxiliary transformer</t>
        </is>
      </c>
      <c r="I1216" s="12" t="inlineStr">
        <is>
          <t>LV 600 V</t>
        </is>
      </c>
      <c r="J1216" s="12" t="inlineStr">
        <is>
          <t>10</t>
        </is>
      </c>
      <c r="K1216" s="12" t="n">
        <v>1</v>
      </c>
    </row>
    <row r="1217">
      <c r="A1217" s="12" t="inlineStr">
        <is>
          <t>BESS PCS / MV skid</t>
        </is>
      </c>
      <c r="B1217" s="12" t="inlineStr"/>
      <c r="C1217" s="12" t="inlineStr">
        <is>
          <t>H</t>
        </is>
      </c>
      <c r="D1217" s="12" t="inlineStr">
        <is>
          <t>Motor 2 of 2, 7 kW</t>
        </is>
      </c>
      <c r="E1217" s="12" t="n">
        <v>480</v>
      </c>
      <c r="F1217" s="12" t="n">
        <v>7</v>
      </c>
      <c r="G1217" s="12" t="n">
        <v>9.9</v>
      </c>
      <c r="H1217" s="12" t="inlineStr">
        <is>
          <t>BESS auxiliary transformer</t>
        </is>
      </c>
      <c r="I1217" s="12" t="inlineStr">
        <is>
          <t>LV 600 V</t>
        </is>
      </c>
      <c r="J1217" s="12" t="inlineStr">
        <is>
          <t>10</t>
        </is>
      </c>
      <c r="K1217" s="12" t="n">
        <v>1</v>
      </c>
    </row>
    <row r="1218">
      <c r="A1218" s="12" t="inlineStr">
        <is>
          <t>BESS PCS / MV skid</t>
        </is>
      </c>
      <c r="B1218" s="12" t="inlineStr"/>
      <c r="C1218" s="12" t="inlineStr">
        <is>
          <t>H</t>
        </is>
      </c>
      <c r="D1218" s="12" t="inlineStr">
        <is>
          <t>Motor 1 of 2, 7 kW</t>
        </is>
      </c>
      <c r="E1218" s="12" t="n">
        <v>480</v>
      </c>
      <c r="F1218" s="12" t="n">
        <v>7</v>
      </c>
      <c r="G1218" s="12" t="n">
        <v>9.9</v>
      </c>
      <c r="H1218" s="12" t="inlineStr">
        <is>
          <t>BESS auxiliary transformer</t>
        </is>
      </c>
      <c r="I1218" s="12" t="inlineStr">
        <is>
          <t>LV 600 V</t>
        </is>
      </c>
      <c r="J1218" s="12" t="inlineStr">
        <is>
          <t>8</t>
        </is>
      </c>
      <c r="K1218" s="12" t="n">
        <v>1</v>
      </c>
    </row>
    <row r="1219">
      <c r="A1219" s="12" t="inlineStr">
        <is>
          <t>BESS PCS / MV skid</t>
        </is>
      </c>
      <c r="B1219" s="12" t="inlineStr"/>
      <c r="C1219" s="12" t="inlineStr">
        <is>
          <t>H</t>
        </is>
      </c>
      <c r="D1219" s="12" t="inlineStr">
        <is>
          <t>Motor 2 of 2, 7 kW</t>
        </is>
      </c>
      <c r="E1219" s="12" t="n">
        <v>480</v>
      </c>
      <c r="F1219" s="12" t="n">
        <v>7</v>
      </c>
      <c r="G1219" s="12" t="n">
        <v>9.9</v>
      </c>
      <c r="H1219" s="12" t="inlineStr">
        <is>
          <t>BESS auxiliary transformer</t>
        </is>
      </c>
      <c r="I1219" s="12" t="inlineStr">
        <is>
          <t>LV 600 V</t>
        </is>
      </c>
      <c r="J1219" s="12" t="inlineStr">
        <is>
          <t>8</t>
        </is>
      </c>
      <c r="K1219" s="12" t="n">
        <v>1</v>
      </c>
    </row>
    <row r="1220">
      <c r="A1220" s="12" t="inlineStr">
        <is>
          <t>BESS PCS / MV skid</t>
        </is>
      </c>
      <c r="B1220" s="12" t="inlineStr"/>
      <c r="C1220" s="12" t="inlineStr">
        <is>
          <t>H</t>
        </is>
      </c>
      <c r="D1220" s="12" t="inlineStr">
        <is>
          <t>Motor 1 of 2, 7 kW</t>
        </is>
      </c>
      <c r="E1220" s="12" t="n">
        <v>480</v>
      </c>
      <c r="F1220" s="12" t="n">
        <v>7</v>
      </c>
      <c r="G1220" s="12" t="n">
        <v>9.9</v>
      </c>
      <c r="H1220" s="12" t="inlineStr">
        <is>
          <t>BESS auxiliary transformer</t>
        </is>
      </c>
      <c r="I1220" s="12" t="inlineStr">
        <is>
          <t>LV 600 V</t>
        </is>
      </c>
      <c r="J1220" s="12" t="inlineStr">
        <is>
          <t>10</t>
        </is>
      </c>
      <c r="K1220" s="12" t="n">
        <v>1</v>
      </c>
    </row>
    <row r="1221">
      <c r="A1221" s="12" t="inlineStr">
        <is>
          <t>BESS PCS / MV skid</t>
        </is>
      </c>
      <c r="B1221" s="12" t="inlineStr"/>
      <c r="C1221" s="12" t="inlineStr">
        <is>
          <t>H</t>
        </is>
      </c>
      <c r="D1221" s="12" t="inlineStr">
        <is>
          <t>Motor 2 of 2, 7 kW</t>
        </is>
      </c>
      <c r="E1221" s="12" t="n">
        <v>480</v>
      </c>
      <c r="F1221" s="12" t="n">
        <v>7</v>
      </c>
      <c r="G1221" s="12" t="n">
        <v>9.9</v>
      </c>
      <c r="H1221" s="12" t="inlineStr">
        <is>
          <t>BESS auxiliary transformer</t>
        </is>
      </c>
      <c r="I1221" s="12" t="inlineStr">
        <is>
          <t>LV 600 V</t>
        </is>
      </c>
      <c r="J1221" s="12" t="inlineStr">
        <is>
          <t>10</t>
        </is>
      </c>
      <c r="K1221" s="12" t="n">
        <v>1</v>
      </c>
    </row>
    <row r="1222">
      <c r="A1222" s="12" t="inlineStr">
        <is>
          <t>BESS PCS / MV skid</t>
        </is>
      </c>
      <c r="B1222" s="12" t="inlineStr"/>
      <c r="C1222" s="12" t="inlineStr">
        <is>
          <t>H</t>
        </is>
      </c>
      <c r="D1222" s="12" t="inlineStr">
        <is>
          <t>Motor 1 of 2, 7 kW</t>
        </is>
      </c>
      <c r="E1222" s="12" t="n">
        <v>480</v>
      </c>
      <c r="F1222" s="12" t="n">
        <v>7</v>
      </c>
      <c r="G1222" s="12" t="n">
        <v>9.9</v>
      </c>
      <c r="H1222" s="12" t="inlineStr">
        <is>
          <t>BESS auxiliary transformer</t>
        </is>
      </c>
      <c r="I1222" s="12" t="inlineStr">
        <is>
          <t>LV 600 V</t>
        </is>
      </c>
      <c r="J1222" s="12" t="inlineStr">
        <is>
          <t>10</t>
        </is>
      </c>
      <c r="K1222" s="12" t="n">
        <v>1</v>
      </c>
    </row>
    <row r="1223">
      <c r="A1223" s="12" t="inlineStr">
        <is>
          <t>BESS PCS / MV skid</t>
        </is>
      </c>
      <c r="B1223" s="12" t="inlineStr"/>
      <c r="C1223" s="12" t="inlineStr">
        <is>
          <t>H</t>
        </is>
      </c>
      <c r="D1223" s="12" t="inlineStr">
        <is>
          <t>Motor 2 of 2, 7 kW</t>
        </is>
      </c>
      <c r="E1223" s="12" t="n">
        <v>480</v>
      </c>
      <c r="F1223" s="12" t="n">
        <v>7</v>
      </c>
      <c r="G1223" s="12" t="n">
        <v>9.9</v>
      </c>
      <c r="H1223" s="12" t="inlineStr">
        <is>
          <t>BESS auxiliary transformer</t>
        </is>
      </c>
      <c r="I1223" s="12" t="inlineStr">
        <is>
          <t>LV 600 V</t>
        </is>
      </c>
      <c r="J1223" s="12" t="inlineStr">
        <is>
          <t>10</t>
        </is>
      </c>
      <c r="K1223" s="12" t="n">
        <v>1</v>
      </c>
    </row>
    <row r="1224">
      <c r="A1224" s="12" t="inlineStr">
        <is>
          <t>BESS container (ISO 40 ft high cube)</t>
        </is>
      </c>
      <c r="B1224" s="12" t="inlineStr"/>
      <c r="C1224" s="12" t="inlineStr">
        <is>
          <t>H</t>
        </is>
      </c>
      <c r="D1224" s="12" t="inlineStr">
        <is>
          <t>Container auxiliary 480 V</t>
        </is>
      </c>
      <c r="E1224" s="12" t="n">
        <v>480</v>
      </c>
      <c r="F1224" s="12" t="n">
        <v>60</v>
      </c>
      <c r="G1224" s="12" t="n">
        <v>85</v>
      </c>
      <c r="H1224" s="12" t="inlineStr">
        <is>
          <t>BESS PCS / MV skid</t>
        </is>
      </c>
      <c r="I1224" s="12" t="inlineStr">
        <is>
          <t>LV 600 V</t>
        </is>
      </c>
      <c r="J1224" s="12" t="inlineStr">
        <is>
          <t>2</t>
        </is>
      </c>
      <c r="K1224" s="12" t="n">
        <v>1</v>
      </c>
    </row>
    <row r="1225">
      <c r="A1225" s="12" t="inlineStr">
        <is>
          <t>BESS container (ISO 40 ft high cube)</t>
        </is>
      </c>
      <c r="B1225" s="12" t="inlineStr"/>
      <c r="C1225" s="12" t="inlineStr">
        <is>
          <t>H</t>
        </is>
      </c>
      <c r="D1225" s="12" t="inlineStr">
        <is>
          <t>Container auxiliary 480 V</t>
        </is>
      </c>
      <c r="E1225" s="12" t="n">
        <v>480</v>
      </c>
      <c r="F1225" s="12" t="n">
        <v>60</v>
      </c>
      <c r="G1225" s="12" t="n">
        <v>85</v>
      </c>
      <c r="H1225" s="12" t="inlineStr">
        <is>
          <t>BESS PCS / MV skid</t>
        </is>
      </c>
      <c r="I1225" s="12" t="inlineStr">
        <is>
          <t>LV 600 V</t>
        </is>
      </c>
      <c r="J1225" s="12" t="inlineStr">
        <is>
          <t>2</t>
        </is>
      </c>
      <c r="K1225" s="12" t="n">
        <v>1</v>
      </c>
    </row>
    <row r="1226">
      <c r="A1226" s="12" t="inlineStr">
        <is>
          <t>BESS container (ISO 40 ft high cube)</t>
        </is>
      </c>
      <c r="B1226" s="12" t="inlineStr"/>
      <c r="C1226" s="12" t="inlineStr">
        <is>
          <t>H</t>
        </is>
      </c>
      <c r="D1226" s="12" t="inlineStr">
        <is>
          <t>Container auxiliary 480 V</t>
        </is>
      </c>
      <c r="E1226" s="12" t="n">
        <v>480</v>
      </c>
      <c r="F1226" s="12" t="n">
        <v>60</v>
      </c>
      <c r="G1226" s="12" t="n">
        <v>85</v>
      </c>
      <c r="H1226" s="12" t="inlineStr">
        <is>
          <t>BESS PCS / MV skid</t>
        </is>
      </c>
      <c r="I1226" s="12" t="inlineStr">
        <is>
          <t>LV 600 V</t>
        </is>
      </c>
      <c r="J1226" s="12" t="inlineStr">
        <is>
          <t>2</t>
        </is>
      </c>
      <c r="K1226" s="12" t="n">
        <v>1</v>
      </c>
    </row>
    <row r="1227">
      <c r="A1227" s="12" t="inlineStr">
        <is>
          <t>BESS container (ISO 40 ft high cube)</t>
        </is>
      </c>
      <c r="B1227" s="12" t="inlineStr"/>
      <c r="C1227" s="12" t="inlineStr">
        <is>
          <t>H</t>
        </is>
      </c>
      <c r="D1227" s="12" t="inlineStr">
        <is>
          <t>Container auxiliary 480 V</t>
        </is>
      </c>
      <c r="E1227" s="12" t="n">
        <v>480</v>
      </c>
      <c r="F1227" s="12" t="n">
        <v>60</v>
      </c>
      <c r="G1227" s="12" t="n">
        <v>85</v>
      </c>
      <c r="H1227" s="12" t="inlineStr">
        <is>
          <t>BESS PCS / MV skid</t>
        </is>
      </c>
      <c r="I1227" s="12" t="inlineStr">
        <is>
          <t>LV 600 V</t>
        </is>
      </c>
      <c r="J1227" s="12" t="inlineStr">
        <is>
          <t>2</t>
        </is>
      </c>
      <c r="K1227" s="12" t="n">
        <v>1</v>
      </c>
    </row>
    <row r="1228">
      <c r="A1228" s="12" t="inlineStr">
        <is>
          <t>BESS container (ISO 40 ft high cube)</t>
        </is>
      </c>
      <c r="B1228" s="12" t="inlineStr"/>
      <c r="C1228" s="12" t="inlineStr">
        <is>
          <t>H</t>
        </is>
      </c>
      <c r="D1228" s="12" t="inlineStr">
        <is>
          <t>Container auxiliary 480 V</t>
        </is>
      </c>
      <c r="E1228" s="12" t="n">
        <v>480</v>
      </c>
      <c r="F1228" s="12" t="n">
        <v>60</v>
      </c>
      <c r="G1228" s="12" t="n">
        <v>85</v>
      </c>
      <c r="H1228" s="12" t="inlineStr">
        <is>
          <t>BESS PCS / MV skid</t>
        </is>
      </c>
      <c r="I1228" s="12" t="inlineStr">
        <is>
          <t>LV 600 V</t>
        </is>
      </c>
      <c r="J1228" s="12" t="inlineStr">
        <is>
          <t>2</t>
        </is>
      </c>
      <c r="K1228" s="12" t="n">
        <v>1</v>
      </c>
    </row>
    <row r="1229">
      <c r="A1229" s="12" t="inlineStr">
        <is>
          <t>BESS container (ISO 40 ft high cube)</t>
        </is>
      </c>
      <c r="B1229" s="12" t="inlineStr"/>
      <c r="C1229" s="12" t="inlineStr">
        <is>
          <t>H</t>
        </is>
      </c>
      <c r="D1229" s="12" t="inlineStr">
        <is>
          <t>Container auxiliary 480 V</t>
        </is>
      </c>
      <c r="E1229" s="12" t="n">
        <v>480</v>
      </c>
      <c r="F1229" s="12" t="n">
        <v>60</v>
      </c>
      <c r="G1229" s="12" t="n">
        <v>85</v>
      </c>
      <c r="H1229" s="12" t="inlineStr">
        <is>
          <t>BESS PCS / MV skid</t>
        </is>
      </c>
      <c r="I1229" s="12" t="inlineStr">
        <is>
          <t>LV 600 V</t>
        </is>
      </c>
      <c r="J1229" s="12" t="inlineStr">
        <is>
          <t>2</t>
        </is>
      </c>
      <c r="K1229" s="12" t="n">
        <v>1</v>
      </c>
    </row>
    <row r="1230">
      <c r="A1230" s="12" t="inlineStr">
        <is>
          <t>BESS container (ISO 40 ft high cube)</t>
        </is>
      </c>
      <c r="B1230" s="12" t="inlineStr"/>
      <c r="C1230" s="12" t="inlineStr">
        <is>
          <t>H</t>
        </is>
      </c>
      <c r="D1230" s="12" t="inlineStr">
        <is>
          <t>Container auxiliary 480 V</t>
        </is>
      </c>
      <c r="E1230" s="12" t="n">
        <v>480</v>
      </c>
      <c r="F1230" s="12" t="n">
        <v>60</v>
      </c>
      <c r="G1230" s="12" t="n">
        <v>85</v>
      </c>
      <c r="H1230" s="12" t="inlineStr">
        <is>
          <t>BESS PCS / MV skid</t>
        </is>
      </c>
      <c r="I1230" s="12" t="inlineStr">
        <is>
          <t>LV 600 V</t>
        </is>
      </c>
      <c r="J1230" s="12" t="inlineStr">
        <is>
          <t>2</t>
        </is>
      </c>
      <c r="K1230" s="12" t="n">
        <v>1</v>
      </c>
    </row>
    <row r="1231">
      <c r="A1231" s="12" t="inlineStr">
        <is>
          <t>BESS container (ISO 40 ft high cube)</t>
        </is>
      </c>
      <c r="B1231" s="12" t="inlineStr"/>
      <c r="C1231" s="12" t="inlineStr">
        <is>
          <t>H</t>
        </is>
      </c>
      <c r="D1231" s="12" t="inlineStr">
        <is>
          <t>Container auxiliary 480 V</t>
        </is>
      </c>
      <c r="E1231" s="12" t="n">
        <v>480</v>
      </c>
      <c r="F1231" s="12" t="n">
        <v>60</v>
      </c>
      <c r="G1231" s="12" t="n">
        <v>85</v>
      </c>
      <c r="H1231" s="12" t="inlineStr">
        <is>
          <t>BESS PCS / MV skid</t>
        </is>
      </c>
      <c r="I1231" s="12" t="inlineStr">
        <is>
          <t>LV 600 V</t>
        </is>
      </c>
      <c r="J1231" s="12" t="inlineStr">
        <is>
          <t>2</t>
        </is>
      </c>
      <c r="K1231" s="12" t="n">
        <v>1</v>
      </c>
    </row>
    <row r="1232">
      <c r="A1232" s="12" t="inlineStr">
        <is>
          <t>BESS container (ISO 40 ft high cube)</t>
        </is>
      </c>
      <c r="B1232" s="12" t="inlineStr"/>
      <c r="C1232" s="12" t="inlineStr">
        <is>
          <t>H</t>
        </is>
      </c>
      <c r="D1232" s="12" t="inlineStr">
        <is>
          <t>Container auxiliary 480 V</t>
        </is>
      </c>
      <c r="E1232" s="12" t="n">
        <v>480</v>
      </c>
      <c r="F1232" s="12" t="n">
        <v>60</v>
      </c>
      <c r="G1232" s="12" t="n">
        <v>85</v>
      </c>
      <c r="H1232" s="12" t="inlineStr">
        <is>
          <t>BESS PCS / MV skid</t>
        </is>
      </c>
      <c r="I1232" s="12" t="inlineStr">
        <is>
          <t>LV 600 V</t>
        </is>
      </c>
      <c r="J1232" s="12" t="inlineStr">
        <is>
          <t>2</t>
        </is>
      </c>
      <c r="K1232" s="12" t="n">
        <v>1</v>
      </c>
    </row>
    <row r="1233">
      <c r="A1233" s="12" t="inlineStr">
        <is>
          <t>BESS container (ISO 40 ft high cube)</t>
        </is>
      </c>
      <c r="B1233" s="12" t="inlineStr"/>
      <c r="C1233" s="12" t="inlineStr">
        <is>
          <t>H</t>
        </is>
      </c>
      <c r="D1233" s="12" t="inlineStr">
        <is>
          <t>Container auxiliary 480 V</t>
        </is>
      </c>
      <c r="E1233" s="12" t="n">
        <v>480</v>
      </c>
      <c r="F1233" s="12" t="n">
        <v>60</v>
      </c>
      <c r="G1233" s="12" t="n">
        <v>85</v>
      </c>
      <c r="H1233" s="12" t="inlineStr">
        <is>
          <t>BESS PCS / MV skid</t>
        </is>
      </c>
      <c r="I1233" s="12" t="inlineStr">
        <is>
          <t>LV 600 V</t>
        </is>
      </c>
      <c r="J1233" s="12" t="inlineStr">
        <is>
          <t>2</t>
        </is>
      </c>
      <c r="K1233" s="12" t="n">
        <v>1</v>
      </c>
    </row>
    <row r="1234">
      <c r="A1234" s="12" t="inlineStr">
        <is>
          <t>BESS container (ISO 40 ft high cube)</t>
        </is>
      </c>
      <c r="B1234" s="12" t="inlineStr"/>
      <c r="C1234" s="12" t="inlineStr">
        <is>
          <t>H</t>
        </is>
      </c>
      <c r="D1234" s="12" t="inlineStr">
        <is>
          <t>Container auxiliary 480 V</t>
        </is>
      </c>
      <c r="E1234" s="12" t="n">
        <v>480</v>
      </c>
      <c r="F1234" s="12" t="n">
        <v>60</v>
      </c>
      <c r="G1234" s="12" t="n">
        <v>85</v>
      </c>
      <c r="H1234" s="12" t="inlineStr">
        <is>
          <t>BESS PCS / MV skid</t>
        </is>
      </c>
      <c r="I1234" s="12" t="inlineStr">
        <is>
          <t>LV 600 V</t>
        </is>
      </c>
      <c r="J1234" s="12" t="inlineStr">
        <is>
          <t>2</t>
        </is>
      </c>
      <c r="K1234" s="12" t="n">
        <v>1</v>
      </c>
    </row>
    <row r="1235">
      <c r="A1235" s="12" t="inlineStr">
        <is>
          <t>BESS container (ISO 40 ft high cube)</t>
        </is>
      </c>
      <c r="B1235" s="12" t="inlineStr"/>
      <c r="C1235" s="12" t="inlineStr">
        <is>
          <t>H</t>
        </is>
      </c>
      <c r="D1235" s="12" t="inlineStr">
        <is>
          <t>Container auxiliary 480 V</t>
        </is>
      </c>
      <c r="E1235" s="12" t="n">
        <v>480</v>
      </c>
      <c r="F1235" s="12" t="n">
        <v>60</v>
      </c>
      <c r="G1235" s="12" t="n">
        <v>85</v>
      </c>
      <c r="H1235" s="12" t="inlineStr">
        <is>
          <t>BESS PCS / MV skid</t>
        </is>
      </c>
      <c r="I1235" s="12" t="inlineStr">
        <is>
          <t>LV 600 V</t>
        </is>
      </c>
      <c r="J1235" s="12" t="inlineStr">
        <is>
          <t>2</t>
        </is>
      </c>
      <c r="K1235" s="12" t="n">
        <v>1</v>
      </c>
    </row>
    <row r="1236">
      <c r="A1236" s="12" t="inlineStr">
        <is>
          <t>BESS container (ISO 40 ft high cube)</t>
        </is>
      </c>
      <c r="B1236" s="12" t="inlineStr"/>
      <c r="C1236" s="12" t="inlineStr">
        <is>
          <t>H</t>
        </is>
      </c>
      <c r="D1236" s="12" t="inlineStr">
        <is>
          <t>Container auxiliary 480 V</t>
        </is>
      </c>
      <c r="E1236" s="12" t="n">
        <v>480</v>
      </c>
      <c r="F1236" s="12" t="n">
        <v>60</v>
      </c>
      <c r="G1236" s="12" t="n">
        <v>85</v>
      </c>
      <c r="H1236" s="12" t="inlineStr">
        <is>
          <t>BESS PCS / MV skid</t>
        </is>
      </c>
      <c r="I1236" s="12" t="inlineStr">
        <is>
          <t>LV 600 V</t>
        </is>
      </c>
      <c r="J1236" s="12" t="inlineStr">
        <is>
          <t>2</t>
        </is>
      </c>
      <c r="K1236" s="12" t="n">
        <v>1</v>
      </c>
    </row>
    <row r="1237">
      <c r="A1237" s="12" t="inlineStr">
        <is>
          <t>BESS container (ISO 40 ft high cube)</t>
        </is>
      </c>
      <c r="B1237" s="12" t="inlineStr"/>
      <c r="C1237" s="12" t="inlineStr">
        <is>
          <t>H</t>
        </is>
      </c>
      <c r="D1237" s="12" t="inlineStr">
        <is>
          <t>Container auxiliary 480 V</t>
        </is>
      </c>
      <c r="E1237" s="12" t="n">
        <v>480</v>
      </c>
      <c r="F1237" s="12" t="n">
        <v>60</v>
      </c>
      <c r="G1237" s="12" t="n">
        <v>85</v>
      </c>
      <c r="H1237" s="12" t="inlineStr">
        <is>
          <t>BESS PCS / MV skid</t>
        </is>
      </c>
      <c r="I1237" s="12" t="inlineStr">
        <is>
          <t>LV 600 V</t>
        </is>
      </c>
      <c r="J1237" s="12" t="inlineStr">
        <is>
          <t>2</t>
        </is>
      </c>
      <c r="K1237" s="12" t="n">
        <v>1</v>
      </c>
    </row>
    <row r="1238">
      <c r="A1238" s="12" t="inlineStr">
        <is>
          <t>BESS container (ISO 40 ft high cube)</t>
        </is>
      </c>
      <c r="B1238" s="12" t="inlineStr"/>
      <c r="C1238" s="12" t="inlineStr">
        <is>
          <t>H</t>
        </is>
      </c>
      <c r="D1238" s="12" t="inlineStr">
        <is>
          <t>Container auxiliary 480 V</t>
        </is>
      </c>
      <c r="E1238" s="12" t="n">
        <v>480</v>
      </c>
      <c r="F1238" s="12" t="n">
        <v>60</v>
      </c>
      <c r="G1238" s="12" t="n">
        <v>85</v>
      </c>
      <c r="H1238" s="12" t="inlineStr">
        <is>
          <t>BESS PCS / MV skid</t>
        </is>
      </c>
      <c r="I1238" s="12" t="inlineStr">
        <is>
          <t>LV 600 V</t>
        </is>
      </c>
      <c r="J1238" s="12" t="inlineStr">
        <is>
          <t>2</t>
        </is>
      </c>
      <c r="K1238" s="12" t="n">
        <v>1</v>
      </c>
    </row>
    <row r="1239">
      <c r="A1239" s="12" t="inlineStr">
        <is>
          <t>BESS container (ISO 40 ft high cube)</t>
        </is>
      </c>
      <c r="B1239" s="12" t="inlineStr"/>
      <c r="C1239" s="12" t="inlineStr">
        <is>
          <t>H</t>
        </is>
      </c>
      <c r="D1239" s="12" t="inlineStr">
        <is>
          <t>Container auxiliary 480 V</t>
        </is>
      </c>
      <c r="E1239" s="12" t="n">
        <v>480</v>
      </c>
      <c r="F1239" s="12" t="n">
        <v>60</v>
      </c>
      <c r="G1239" s="12" t="n">
        <v>85</v>
      </c>
      <c r="H1239" s="12" t="inlineStr">
        <is>
          <t>BESS PCS / MV skid</t>
        </is>
      </c>
      <c r="I1239" s="12" t="inlineStr">
        <is>
          <t>LV 600 V</t>
        </is>
      </c>
      <c r="J1239" s="12" t="inlineStr">
        <is>
          <t>2</t>
        </is>
      </c>
      <c r="K1239" s="12" t="n">
        <v>1</v>
      </c>
    </row>
    <row r="1240">
      <c r="A1240" s="12" t="inlineStr">
        <is>
          <t>BESS container (ISO 40 ft high cube)</t>
        </is>
      </c>
      <c r="B1240" s="12" t="inlineStr"/>
      <c r="C1240" s="12" t="inlineStr">
        <is>
          <t>H</t>
        </is>
      </c>
      <c r="D1240" s="12" t="inlineStr">
        <is>
          <t>Container auxiliary 480 V</t>
        </is>
      </c>
      <c r="E1240" s="12" t="n">
        <v>480</v>
      </c>
      <c r="F1240" s="12" t="n">
        <v>60</v>
      </c>
      <c r="G1240" s="12" t="n">
        <v>85</v>
      </c>
      <c r="H1240" s="12" t="inlineStr">
        <is>
          <t>BESS PCS / MV skid</t>
        </is>
      </c>
      <c r="I1240" s="12" t="inlineStr">
        <is>
          <t>LV 600 V</t>
        </is>
      </c>
      <c r="J1240" s="12" t="inlineStr">
        <is>
          <t>2</t>
        </is>
      </c>
      <c r="K1240" s="12" t="n">
        <v>1</v>
      </c>
    </row>
    <row r="1241">
      <c r="A1241" s="12" t="inlineStr">
        <is>
          <t>BESS container (ISO 40 ft high cube)</t>
        </is>
      </c>
      <c r="B1241" s="12" t="inlineStr"/>
      <c r="C1241" s="12" t="inlineStr">
        <is>
          <t>H</t>
        </is>
      </c>
      <c r="D1241" s="12" t="inlineStr">
        <is>
          <t>Container auxiliary 480 V</t>
        </is>
      </c>
      <c r="E1241" s="12" t="n">
        <v>480</v>
      </c>
      <c r="F1241" s="12" t="n">
        <v>60</v>
      </c>
      <c r="G1241" s="12" t="n">
        <v>85</v>
      </c>
      <c r="H1241" s="12" t="inlineStr">
        <is>
          <t>BESS PCS / MV skid</t>
        </is>
      </c>
      <c r="I1241" s="12" t="inlineStr">
        <is>
          <t>LV 600 V</t>
        </is>
      </c>
      <c r="J1241" s="12" t="inlineStr">
        <is>
          <t>2</t>
        </is>
      </c>
      <c r="K1241" s="12" t="n">
        <v>1</v>
      </c>
    </row>
    <row r="1242">
      <c r="A1242" s="12" t="inlineStr">
        <is>
          <t>BESS container (ISO 40 ft high cube)</t>
        </is>
      </c>
      <c r="B1242" s="12" t="inlineStr"/>
      <c r="C1242" s="12" t="inlineStr">
        <is>
          <t>H</t>
        </is>
      </c>
      <c r="D1242" s="12" t="inlineStr">
        <is>
          <t>Container auxiliary 480 V</t>
        </is>
      </c>
      <c r="E1242" s="12" t="n">
        <v>480</v>
      </c>
      <c r="F1242" s="12" t="n">
        <v>60</v>
      </c>
      <c r="G1242" s="12" t="n">
        <v>85</v>
      </c>
      <c r="H1242" s="12" t="inlineStr">
        <is>
          <t>BESS PCS / MV skid</t>
        </is>
      </c>
      <c r="I1242" s="12" t="inlineStr">
        <is>
          <t>LV 600 V</t>
        </is>
      </c>
      <c r="J1242" s="12" t="inlineStr">
        <is>
          <t>2</t>
        </is>
      </c>
      <c r="K1242" s="12" t="n">
        <v>1</v>
      </c>
    </row>
    <row r="1243">
      <c r="A1243" s="12" t="inlineStr">
        <is>
          <t>BESS container (ISO 40 ft high cube)</t>
        </is>
      </c>
      <c r="B1243" s="12" t="inlineStr"/>
      <c r="C1243" s="12" t="inlineStr">
        <is>
          <t>H</t>
        </is>
      </c>
      <c r="D1243" s="12" t="inlineStr">
        <is>
          <t>Container auxiliary 480 V</t>
        </is>
      </c>
      <c r="E1243" s="12" t="n">
        <v>480</v>
      </c>
      <c r="F1243" s="12" t="n">
        <v>60</v>
      </c>
      <c r="G1243" s="12" t="n">
        <v>85</v>
      </c>
      <c r="H1243" s="12" t="inlineStr">
        <is>
          <t>BESS PCS / MV skid</t>
        </is>
      </c>
      <c r="I1243" s="12" t="inlineStr">
        <is>
          <t>LV 600 V</t>
        </is>
      </c>
      <c r="J1243" s="12" t="inlineStr">
        <is>
          <t>2</t>
        </is>
      </c>
      <c r="K1243" s="12" t="n">
        <v>1</v>
      </c>
    </row>
    <row r="1244">
      <c r="A1244" s="12" t="inlineStr">
        <is>
          <t>BESS container (ISO 40 ft high cube)</t>
        </is>
      </c>
      <c r="B1244" s="12" t="inlineStr"/>
      <c r="C1244" s="12" t="inlineStr">
        <is>
          <t>H</t>
        </is>
      </c>
      <c r="D1244" s="12" t="inlineStr">
        <is>
          <t>Container auxiliary 480 V</t>
        </is>
      </c>
      <c r="E1244" s="12" t="n">
        <v>480</v>
      </c>
      <c r="F1244" s="12" t="n">
        <v>60</v>
      </c>
      <c r="G1244" s="12" t="n">
        <v>85</v>
      </c>
      <c r="H1244" s="12" t="inlineStr">
        <is>
          <t>BESS PCS / MV skid</t>
        </is>
      </c>
      <c r="I1244" s="12" t="inlineStr">
        <is>
          <t>LV 600 V</t>
        </is>
      </c>
      <c r="J1244" s="12" t="inlineStr">
        <is>
          <t>2</t>
        </is>
      </c>
      <c r="K1244" s="12" t="n">
        <v>1</v>
      </c>
    </row>
    <row r="1245">
      <c r="A1245" s="12" t="inlineStr">
        <is>
          <t>BESS container (ISO 40 ft high cube)</t>
        </is>
      </c>
      <c r="B1245" s="12" t="inlineStr"/>
      <c r="C1245" s="12" t="inlineStr">
        <is>
          <t>H</t>
        </is>
      </c>
      <c r="D1245" s="12" t="inlineStr">
        <is>
          <t>Container auxiliary 480 V</t>
        </is>
      </c>
      <c r="E1245" s="12" t="n">
        <v>480</v>
      </c>
      <c r="F1245" s="12" t="n">
        <v>60</v>
      </c>
      <c r="G1245" s="12" t="n">
        <v>85</v>
      </c>
      <c r="H1245" s="12" t="inlineStr">
        <is>
          <t>BESS PCS / MV skid</t>
        </is>
      </c>
      <c r="I1245" s="12" t="inlineStr">
        <is>
          <t>LV 600 V</t>
        </is>
      </c>
      <c r="J1245" s="12" t="inlineStr">
        <is>
          <t>2</t>
        </is>
      </c>
      <c r="K1245" s="12" t="n">
        <v>1</v>
      </c>
    </row>
    <row r="1246">
      <c r="A1246" s="12" t="inlineStr">
        <is>
          <t>BESS container (ISO 40 ft high cube)</t>
        </is>
      </c>
      <c r="B1246" s="12" t="inlineStr"/>
      <c r="C1246" s="12" t="inlineStr">
        <is>
          <t>H</t>
        </is>
      </c>
      <c r="D1246" s="12" t="inlineStr">
        <is>
          <t>Container auxiliary 480 V</t>
        </is>
      </c>
      <c r="E1246" s="12" t="n">
        <v>480</v>
      </c>
      <c r="F1246" s="12" t="n">
        <v>60</v>
      </c>
      <c r="G1246" s="12" t="n">
        <v>85</v>
      </c>
      <c r="H1246" s="12" t="inlineStr">
        <is>
          <t>BESS PCS / MV skid</t>
        </is>
      </c>
      <c r="I1246" s="12" t="inlineStr">
        <is>
          <t>LV 600 V</t>
        </is>
      </c>
      <c r="J1246" s="12" t="inlineStr">
        <is>
          <t>2</t>
        </is>
      </c>
      <c r="K1246" s="12" t="n">
        <v>1</v>
      </c>
    </row>
    <row r="1247">
      <c r="A1247" s="12" t="inlineStr">
        <is>
          <t>BESS container (ISO 40 ft high cube)</t>
        </is>
      </c>
      <c r="B1247" s="12" t="inlineStr"/>
      <c r="C1247" s="12" t="inlineStr">
        <is>
          <t>H</t>
        </is>
      </c>
      <c r="D1247" s="12" t="inlineStr">
        <is>
          <t>Container auxiliary 480 V</t>
        </is>
      </c>
      <c r="E1247" s="12" t="n">
        <v>480</v>
      </c>
      <c r="F1247" s="12" t="n">
        <v>60</v>
      </c>
      <c r="G1247" s="12" t="n">
        <v>85</v>
      </c>
      <c r="H1247" s="12" t="inlineStr">
        <is>
          <t>BESS PCS / MV skid</t>
        </is>
      </c>
      <c r="I1247" s="12" t="inlineStr">
        <is>
          <t>LV 600 V</t>
        </is>
      </c>
      <c r="J1247" s="12" t="inlineStr">
        <is>
          <t>2</t>
        </is>
      </c>
      <c r="K1247" s="12" t="n">
        <v>1</v>
      </c>
    </row>
    <row r="1248">
      <c r="A1248" s="12" t="inlineStr">
        <is>
          <t>BESS container (ISO 40 ft high cube)</t>
        </is>
      </c>
      <c r="B1248" s="12" t="inlineStr"/>
      <c r="C1248" s="12" t="inlineStr">
        <is>
          <t>H</t>
        </is>
      </c>
      <c r="D1248" s="12" t="inlineStr">
        <is>
          <t>Container auxiliary 480 V</t>
        </is>
      </c>
      <c r="E1248" s="12" t="n">
        <v>480</v>
      </c>
      <c r="F1248" s="12" t="n">
        <v>60</v>
      </c>
      <c r="G1248" s="12" t="n">
        <v>85</v>
      </c>
      <c r="H1248" s="12" t="inlineStr">
        <is>
          <t>BESS PCS / MV skid</t>
        </is>
      </c>
      <c r="I1248" s="12" t="inlineStr">
        <is>
          <t>LV 600 V</t>
        </is>
      </c>
      <c r="J1248" s="12" t="inlineStr">
        <is>
          <t>2</t>
        </is>
      </c>
      <c r="K1248" s="12" t="n">
        <v>1</v>
      </c>
    </row>
    <row r="1249">
      <c r="A1249" s="12" t="inlineStr">
        <is>
          <t>BESS container (ISO 40 ft high cube)</t>
        </is>
      </c>
      <c r="B1249" s="12" t="inlineStr"/>
      <c r="C1249" s="12" t="inlineStr">
        <is>
          <t>H</t>
        </is>
      </c>
      <c r="D1249" s="12" t="inlineStr">
        <is>
          <t>Container auxiliary 480 V</t>
        </is>
      </c>
      <c r="E1249" s="12" t="n">
        <v>480</v>
      </c>
      <c r="F1249" s="12" t="n">
        <v>60</v>
      </c>
      <c r="G1249" s="12" t="n">
        <v>85</v>
      </c>
      <c r="H1249" s="12" t="inlineStr">
        <is>
          <t>BESS PCS / MV skid</t>
        </is>
      </c>
      <c r="I1249" s="12" t="inlineStr">
        <is>
          <t>LV 600 V</t>
        </is>
      </c>
      <c r="J1249" s="12" t="inlineStr">
        <is>
          <t>2</t>
        </is>
      </c>
      <c r="K1249" s="12" t="n">
        <v>1</v>
      </c>
    </row>
    <row r="1250">
      <c r="A1250" s="12" t="inlineStr">
        <is>
          <t>BESS container (ISO 40 ft high cube)</t>
        </is>
      </c>
      <c r="B1250" s="12" t="inlineStr"/>
      <c r="C1250" s="12" t="inlineStr">
        <is>
          <t>H</t>
        </is>
      </c>
      <c r="D1250" s="12" t="inlineStr">
        <is>
          <t>Container auxiliary 480 V</t>
        </is>
      </c>
      <c r="E1250" s="12" t="n">
        <v>480</v>
      </c>
      <c r="F1250" s="12" t="n">
        <v>60</v>
      </c>
      <c r="G1250" s="12" t="n">
        <v>85</v>
      </c>
      <c r="H1250" s="12" t="inlineStr">
        <is>
          <t>BESS PCS / MV skid</t>
        </is>
      </c>
      <c r="I1250" s="12" t="inlineStr">
        <is>
          <t>LV 600 V</t>
        </is>
      </c>
      <c r="J1250" s="12" t="inlineStr">
        <is>
          <t>2</t>
        </is>
      </c>
      <c r="K1250" s="12" t="n">
        <v>1</v>
      </c>
    </row>
    <row r="1251">
      <c r="A1251" s="12" t="inlineStr">
        <is>
          <t>BESS container (ISO 40 ft high cube)</t>
        </is>
      </c>
      <c r="B1251" s="12" t="inlineStr"/>
      <c r="C1251" s="12" t="inlineStr">
        <is>
          <t>H</t>
        </is>
      </c>
      <c r="D1251" s="12" t="inlineStr">
        <is>
          <t>Container auxiliary 480 V</t>
        </is>
      </c>
      <c r="E1251" s="12" t="n">
        <v>480</v>
      </c>
      <c r="F1251" s="12" t="n">
        <v>60</v>
      </c>
      <c r="G1251" s="12" t="n">
        <v>85</v>
      </c>
      <c r="H1251" s="12" t="inlineStr">
        <is>
          <t>BESS PCS / MV skid</t>
        </is>
      </c>
      <c r="I1251" s="12" t="inlineStr">
        <is>
          <t>LV 600 V</t>
        </is>
      </c>
      <c r="J1251" s="12" t="inlineStr">
        <is>
          <t>2</t>
        </is>
      </c>
      <c r="K1251" s="12" t="n">
        <v>1</v>
      </c>
    </row>
    <row r="1252">
      <c r="A1252" s="12" t="inlineStr">
        <is>
          <t>BESS container (ISO 40 ft high cube)</t>
        </is>
      </c>
      <c r="B1252" s="12" t="inlineStr"/>
      <c r="C1252" s="12" t="inlineStr">
        <is>
          <t>H</t>
        </is>
      </c>
      <c r="D1252" s="12" t="inlineStr">
        <is>
          <t>Container auxiliary 480 V</t>
        </is>
      </c>
      <c r="E1252" s="12" t="n">
        <v>480</v>
      </c>
      <c r="F1252" s="12" t="n">
        <v>60</v>
      </c>
      <c r="G1252" s="12" t="n">
        <v>85</v>
      </c>
      <c r="H1252" s="12" t="inlineStr">
        <is>
          <t>BESS PCS / MV skid</t>
        </is>
      </c>
      <c r="I1252" s="12" t="inlineStr">
        <is>
          <t>LV 600 V</t>
        </is>
      </c>
      <c r="J1252" s="12" t="inlineStr">
        <is>
          <t>2</t>
        </is>
      </c>
      <c r="K1252" s="12" t="n">
        <v>1</v>
      </c>
    </row>
    <row r="1253">
      <c r="A1253" s="12" t="inlineStr">
        <is>
          <t>BESS container (ISO 40 ft high cube)</t>
        </is>
      </c>
      <c r="B1253" s="12" t="inlineStr"/>
      <c r="C1253" s="12" t="inlineStr">
        <is>
          <t>H</t>
        </is>
      </c>
      <c r="D1253" s="12" t="inlineStr">
        <is>
          <t>Container auxiliary 480 V</t>
        </is>
      </c>
      <c r="E1253" s="12" t="n">
        <v>480</v>
      </c>
      <c r="F1253" s="12" t="n">
        <v>60</v>
      </c>
      <c r="G1253" s="12" t="n">
        <v>85</v>
      </c>
      <c r="H1253" s="12" t="inlineStr">
        <is>
          <t>BESS PCS / MV skid</t>
        </is>
      </c>
      <c r="I1253" s="12" t="inlineStr">
        <is>
          <t>LV 600 V</t>
        </is>
      </c>
      <c r="J1253" s="12" t="inlineStr">
        <is>
          <t>2</t>
        </is>
      </c>
      <c r="K1253" s="12" t="n">
        <v>1</v>
      </c>
    </row>
    <row r="1254">
      <c r="A1254" s="12" t="inlineStr">
        <is>
          <t>BESS main power transformer 34.5/230 kV (to D4 upper)</t>
        </is>
      </c>
      <c r="B1254" s="12" t="inlineStr">
        <is>
          <t>BESS MPT</t>
        </is>
      </c>
      <c r="C1254" s="12" t="inlineStr">
        <is>
          <t>H</t>
        </is>
      </c>
      <c r="D1254" s="12" t="inlineStr">
        <is>
          <t>Motor 1 of 6, 2 kW</t>
        </is>
      </c>
      <c r="E1254" s="12" t="n">
        <v>480</v>
      </c>
      <c r="F1254" s="12" t="n">
        <v>2</v>
      </c>
      <c r="G1254" s="12" t="n">
        <v>2.8</v>
      </c>
      <c r="H1254" s="12" t="inlineStr">
        <is>
          <t>BESS auxiliary transformer</t>
        </is>
      </c>
      <c r="I1254" s="12" t="inlineStr">
        <is>
          <t>LV 600 V</t>
        </is>
      </c>
      <c r="J1254" s="12" t="inlineStr">
        <is>
          <t>10</t>
        </is>
      </c>
      <c r="K1254" s="12" t="n">
        <v>1</v>
      </c>
    </row>
    <row r="1255">
      <c r="A1255" s="12" t="inlineStr">
        <is>
          <t>BESS main power transformer 34.5/230 kV (to D4 upper)</t>
        </is>
      </c>
      <c r="B1255" s="12" t="inlineStr">
        <is>
          <t>BESS MPT</t>
        </is>
      </c>
      <c r="C1255" s="12" t="inlineStr">
        <is>
          <t>H</t>
        </is>
      </c>
      <c r="D1255" s="12" t="inlineStr">
        <is>
          <t>Motor 2 of 6, 2 kW</t>
        </is>
      </c>
      <c r="E1255" s="12" t="n">
        <v>480</v>
      </c>
      <c r="F1255" s="12" t="n">
        <v>2</v>
      </c>
      <c r="G1255" s="12" t="n">
        <v>2.8</v>
      </c>
      <c r="H1255" s="12" t="inlineStr">
        <is>
          <t>BESS auxiliary transformer</t>
        </is>
      </c>
      <c r="I1255" s="12" t="inlineStr">
        <is>
          <t>LV 600 V</t>
        </is>
      </c>
      <c r="J1255" s="12" t="inlineStr">
        <is>
          <t>10</t>
        </is>
      </c>
      <c r="K1255" s="12" t="n">
        <v>1</v>
      </c>
    </row>
    <row r="1256">
      <c r="A1256" s="12" t="inlineStr">
        <is>
          <t>BESS main power transformer 34.5/230 kV (to D4 upper)</t>
        </is>
      </c>
      <c r="B1256" s="12" t="inlineStr">
        <is>
          <t>BESS MPT</t>
        </is>
      </c>
      <c r="C1256" s="12" t="inlineStr">
        <is>
          <t>H</t>
        </is>
      </c>
      <c r="D1256" s="12" t="inlineStr">
        <is>
          <t>Motor 3 of 6, 2 kW</t>
        </is>
      </c>
      <c r="E1256" s="12" t="n">
        <v>480</v>
      </c>
      <c r="F1256" s="12" t="n">
        <v>2</v>
      </c>
      <c r="G1256" s="12" t="n">
        <v>2.8</v>
      </c>
      <c r="H1256" s="12" t="inlineStr">
        <is>
          <t>BESS auxiliary transformer</t>
        </is>
      </c>
      <c r="I1256" s="12" t="inlineStr">
        <is>
          <t>LV 600 V</t>
        </is>
      </c>
      <c r="J1256" s="12" t="inlineStr">
        <is>
          <t>10</t>
        </is>
      </c>
      <c r="K1256" s="12" t="n">
        <v>1</v>
      </c>
    </row>
    <row r="1257">
      <c r="A1257" s="12" t="inlineStr">
        <is>
          <t>BESS main power transformer 34.5/230 kV (to D4 upper)</t>
        </is>
      </c>
      <c r="B1257" s="12" t="inlineStr">
        <is>
          <t>BESS MPT</t>
        </is>
      </c>
      <c r="C1257" s="12" t="inlineStr">
        <is>
          <t>H</t>
        </is>
      </c>
      <c r="D1257" s="12" t="inlineStr">
        <is>
          <t>Motor 4 of 6, 2 kW</t>
        </is>
      </c>
      <c r="E1257" s="12" t="n">
        <v>480</v>
      </c>
      <c r="F1257" s="12" t="n">
        <v>2</v>
      </c>
      <c r="G1257" s="12" t="n">
        <v>2.8</v>
      </c>
      <c r="H1257" s="12" t="inlineStr">
        <is>
          <t>BESS auxiliary transformer</t>
        </is>
      </c>
      <c r="I1257" s="12" t="inlineStr">
        <is>
          <t>LV 600 V</t>
        </is>
      </c>
      <c r="J1257" s="12" t="inlineStr">
        <is>
          <t>10</t>
        </is>
      </c>
      <c r="K1257" s="12" t="n">
        <v>1</v>
      </c>
    </row>
    <row r="1258">
      <c r="A1258" s="12" t="inlineStr">
        <is>
          <t>BESS main power transformer 34.5/230 kV (to D4 upper)</t>
        </is>
      </c>
      <c r="B1258" s="12" t="inlineStr">
        <is>
          <t>BESS MPT</t>
        </is>
      </c>
      <c r="C1258" s="12" t="inlineStr">
        <is>
          <t>H</t>
        </is>
      </c>
      <c r="D1258" s="12" t="inlineStr">
        <is>
          <t>Motor 5 of 6, 2 kW</t>
        </is>
      </c>
      <c r="E1258" s="12" t="n">
        <v>480</v>
      </c>
      <c r="F1258" s="12" t="n">
        <v>2</v>
      </c>
      <c r="G1258" s="12" t="n">
        <v>2.8</v>
      </c>
      <c r="H1258" s="12" t="inlineStr">
        <is>
          <t>BESS auxiliary transformer</t>
        </is>
      </c>
      <c r="I1258" s="12" t="inlineStr">
        <is>
          <t>LV 600 V</t>
        </is>
      </c>
      <c r="J1258" s="12" t="inlineStr">
        <is>
          <t>10</t>
        </is>
      </c>
      <c r="K1258" s="12" t="n">
        <v>1</v>
      </c>
    </row>
    <row r="1259">
      <c r="A1259" s="12" t="inlineStr">
        <is>
          <t>BESS main power transformer 34.5/230 kV (to D4 upper)</t>
        </is>
      </c>
      <c r="B1259" s="12" t="inlineStr">
        <is>
          <t>BESS MPT</t>
        </is>
      </c>
      <c r="C1259" s="12" t="inlineStr">
        <is>
          <t>H</t>
        </is>
      </c>
      <c r="D1259" s="12" t="inlineStr">
        <is>
          <t>Motor 6 of 6, 2 kW</t>
        </is>
      </c>
      <c r="E1259" s="12" t="n">
        <v>480</v>
      </c>
      <c r="F1259" s="12" t="n">
        <v>2</v>
      </c>
      <c r="G1259" s="12" t="n">
        <v>2.8</v>
      </c>
      <c r="H1259" s="12" t="inlineStr">
        <is>
          <t>BESS auxiliary transformer</t>
        </is>
      </c>
      <c r="I1259" s="12" t="inlineStr">
        <is>
          <t>LV 600 V</t>
        </is>
      </c>
      <c r="J1259" s="12" t="inlineStr">
        <is>
          <t>10</t>
        </is>
      </c>
      <c r="K1259" s="12" t="n">
        <v>1</v>
      </c>
    </row>
    <row r="1260">
      <c r="A1260" s="12" t="inlineStr">
        <is>
          <t>BESS yard: surfacing, fence, gate, signage, lighting</t>
        </is>
      </c>
      <c r="B1260" s="12" t="inlineStr"/>
      <c r="C1260" s="12" t="inlineStr">
        <is>
          <t>H</t>
        </is>
      </c>
      <c r="D1260" s="12" t="inlineStr">
        <is>
          <t>Yard lighting circuit 1 (10 floodlights)</t>
        </is>
      </c>
      <c r="E1260" s="12" t="n">
        <v>480</v>
      </c>
      <c r="F1260" s="12" t="n">
        <v>4</v>
      </c>
      <c r="G1260" s="12" t="n">
        <v>6</v>
      </c>
      <c r="H1260" s="12" t="inlineStr">
        <is>
          <t>BESS auxiliary transformer</t>
        </is>
      </c>
      <c r="I1260" s="12" t="inlineStr">
        <is>
          <t>LV 600 V</t>
        </is>
      </c>
      <c r="J1260" s="12" t="inlineStr">
        <is>
          <t>8</t>
        </is>
      </c>
      <c r="K1260" s="12" t="n">
        <v>1</v>
      </c>
    </row>
    <row r="1261">
      <c r="A1261" s="12" t="inlineStr">
        <is>
          <t>BESS yard: surfacing, fence, gate, signage, lighting</t>
        </is>
      </c>
      <c r="B1261" s="12" t="inlineStr"/>
      <c r="C1261" s="12" t="inlineStr">
        <is>
          <t>H</t>
        </is>
      </c>
      <c r="D1261" s="12" t="inlineStr">
        <is>
          <t>Yard lighting circuit 2 (10 floodlights)</t>
        </is>
      </c>
      <c r="E1261" s="12" t="n">
        <v>480</v>
      </c>
      <c r="F1261" s="12" t="n">
        <v>4</v>
      </c>
      <c r="G1261" s="12" t="n">
        <v>6</v>
      </c>
      <c r="H1261" s="12" t="inlineStr">
        <is>
          <t>BESS auxiliary transformer</t>
        </is>
      </c>
      <c r="I1261" s="12" t="inlineStr">
        <is>
          <t>LV 600 V</t>
        </is>
      </c>
      <c r="J1261" s="12" t="inlineStr">
        <is>
          <t>8</t>
        </is>
      </c>
      <c r="K1261" s="12" t="n">
        <v>1</v>
      </c>
    </row>
    <row r="1262">
      <c r="A1262" s="12" t="inlineStr">
        <is>
          <t>BESS yard: surfacing, fence, gate, signage, lighting</t>
        </is>
      </c>
      <c r="B1262" s="12" t="inlineStr"/>
      <c r="C1262" s="12" t="inlineStr">
        <is>
          <t>H</t>
        </is>
      </c>
      <c r="D1262" s="12" t="inlineStr">
        <is>
          <t>Yard lighting circuit 3 (4 floodlights)</t>
        </is>
      </c>
      <c r="E1262" s="12" t="n">
        <v>480</v>
      </c>
      <c r="F1262" s="12" t="n">
        <v>4</v>
      </c>
      <c r="G1262" s="12" t="n">
        <v>6</v>
      </c>
      <c r="H1262" s="12" t="inlineStr">
        <is>
          <t>BESS auxiliary transformer</t>
        </is>
      </c>
      <c r="I1262" s="12" t="inlineStr">
        <is>
          <t>LV 600 V</t>
        </is>
      </c>
      <c r="J1262" s="12" t="inlineStr">
        <is>
          <t>8</t>
        </is>
      </c>
      <c r="K1262" s="12" t="n">
        <v>1</v>
      </c>
    </row>
    <row r="1263">
      <c r="A1263" s="12" t="inlineStr">
        <is>
          <t>34.5 kV collector e-house (arc-resistant)</t>
        </is>
      </c>
      <c r="B1263" s="12" t="inlineStr"/>
      <c r="C1263" s="12" t="inlineStr">
        <is>
          <t>H</t>
        </is>
      </c>
      <c r="D1263" s="12" t="inlineStr">
        <is>
          <t>34.5 kV collection loop 1</t>
        </is>
      </c>
      <c r="E1263" s="12" t="n">
        <v>34500</v>
      </c>
      <c r="F1263" s="12" t="n">
        <v>25000</v>
      </c>
      <c r="G1263" s="12" t="n">
        <v>418</v>
      </c>
      <c r="H1263" s="12" t="inlineStr">
        <is>
          <t>BESS PCS / MV skid</t>
        </is>
      </c>
      <c r="I1263" s="12" t="inlineStr">
        <is>
          <t>MV 35 kV</t>
        </is>
      </c>
      <c r="J1263" s="12" t="inlineStr">
        <is>
          <t>350 kcmil</t>
        </is>
      </c>
      <c r="K1263" s="12" t="n">
        <v>2</v>
      </c>
    </row>
    <row r="1264">
      <c r="A1264" s="12" t="inlineStr">
        <is>
          <t>34.5 kV collector e-house (arc-resistant)</t>
        </is>
      </c>
      <c r="B1264" s="12" t="inlineStr"/>
      <c r="C1264" s="12" t="inlineStr">
        <is>
          <t>H</t>
        </is>
      </c>
      <c r="D1264" s="12" t="inlineStr">
        <is>
          <t>34.5 kV collection loop 2</t>
        </is>
      </c>
      <c r="E1264" s="12" t="n">
        <v>34500</v>
      </c>
      <c r="F1264" s="12" t="n">
        <v>25000</v>
      </c>
      <c r="G1264" s="12" t="n">
        <v>418</v>
      </c>
      <c r="H1264" s="12" t="inlineStr">
        <is>
          <t>BESS PCS / MV skid</t>
        </is>
      </c>
      <c r="I1264" s="12" t="inlineStr">
        <is>
          <t>MV 35 kV</t>
        </is>
      </c>
      <c r="J1264" s="12" t="inlineStr">
        <is>
          <t>350 kcmil</t>
        </is>
      </c>
      <c r="K1264" s="12" t="n">
        <v>2</v>
      </c>
    </row>
    <row r="1265">
      <c r="A1265" s="12" t="inlineStr">
        <is>
          <t>34.5 kV collector e-house (arc-resistant)</t>
        </is>
      </c>
      <c r="B1265" s="12" t="inlineStr"/>
      <c r="C1265" s="12" t="inlineStr">
        <is>
          <t>H</t>
        </is>
      </c>
      <c r="D1265" s="12" t="inlineStr">
        <is>
          <t>34.5 kV collection loop 3</t>
        </is>
      </c>
      <c r="E1265" s="12" t="n">
        <v>34500</v>
      </c>
      <c r="F1265" s="12" t="n">
        <v>25000</v>
      </c>
      <c r="G1265" s="12" t="n">
        <v>418</v>
      </c>
      <c r="H1265" s="12" t="inlineStr">
        <is>
          <t>BESS PCS / MV skid</t>
        </is>
      </c>
      <c r="I1265" s="12" t="inlineStr">
        <is>
          <t>MV 35 kV</t>
        </is>
      </c>
      <c r="J1265" s="12" t="inlineStr">
        <is>
          <t>350 kcmil</t>
        </is>
      </c>
      <c r="K1265" s="12" t="n">
        <v>2</v>
      </c>
    </row>
    <row r="1266">
      <c r="A1266" s="12" t="inlineStr">
        <is>
          <t>BESS PCS / MV skid</t>
        </is>
      </c>
      <c r="B1266" s="12" t="inlineStr"/>
      <c r="C1266" s="12" t="inlineStr">
        <is>
          <t>H</t>
        </is>
      </c>
      <c r="D1266" s="12" t="inlineStr">
        <is>
          <t>34.5 kV collection loop 1</t>
        </is>
      </c>
      <c r="E1266" s="12" t="n">
        <v>34500</v>
      </c>
      <c r="F1266" s="12" t="n">
        <v>25000</v>
      </c>
      <c r="G1266" s="12" t="n">
        <v>418</v>
      </c>
      <c r="H1266" s="12" t="inlineStr">
        <is>
          <t>34.5 kV collector e-house (arc-resistant)</t>
        </is>
      </c>
      <c r="I1266" s="12" t="inlineStr">
        <is>
          <t>MV 35 kV</t>
        </is>
      </c>
      <c r="J1266" s="12" t="inlineStr">
        <is>
          <t>350 kcmil</t>
        </is>
      </c>
      <c r="K1266" s="12" t="n">
        <v>2</v>
      </c>
    </row>
    <row r="1267">
      <c r="A1267" s="12" t="inlineStr">
        <is>
          <t>BESS PCS / MV skid</t>
        </is>
      </c>
      <c r="B1267" s="12" t="inlineStr"/>
      <c r="C1267" s="12" t="inlineStr">
        <is>
          <t>H</t>
        </is>
      </c>
      <c r="D1267" s="12" t="inlineStr">
        <is>
          <t>34.5 kV collection loop 1</t>
        </is>
      </c>
      <c r="E1267" s="12" t="n">
        <v>34500</v>
      </c>
      <c r="F1267" s="12" t="n">
        <v>25000</v>
      </c>
      <c r="G1267" s="12" t="n">
        <v>418</v>
      </c>
      <c r="H1267" s="12" t="inlineStr">
        <is>
          <t>BESS PCS / MV skid</t>
        </is>
      </c>
      <c r="I1267" s="12" t="inlineStr">
        <is>
          <t>MV 35 kV</t>
        </is>
      </c>
      <c r="J1267" s="12" t="inlineStr">
        <is>
          <t>350 kcmil</t>
        </is>
      </c>
      <c r="K1267" s="12" t="n">
        <v>2</v>
      </c>
    </row>
    <row r="1268">
      <c r="A1268" s="12" t="inlineStr">
        <is>
          <t>BESS PCS / MV skid</t>
        </is>
      </c>
      <c r="B1268" s="12" t="inlineStr"/>
      <c r="C1268" s="12" t="inlineStr">
        <is>
          <t>H</t>
        </is>
      </c>
      <c r="D1268" s="12" t="inlineStr">
        <is>
          <t>34.5 kV collection loop 1</t>
        </is>
      </c>
      <c r="E1268" s="12" t="n">
        <v>34500</v>
      </c>
      <c r="F1268" s="12" t="n">
        <v>25000</v>
      </c>
      <c r="G1268" s="12" t="n">
        <v>418</v>
      </c>
      <c r="H1268" s="12" t="inlineStr">
        <is>
          <t>BESS PCS / MV skid</t>
        </is>
      </c>
      <c r="I1268" s="12" t="inlineStr">
        <is>
          <t>MV 35 kV</t>
        </is>
      </c>
      <c r="J1268" s="12" t="inlineStr">
        <is>
          <t>350 kcmil</t>
        </is>
      </c>
      <c r="K1268" s="12" t="n">
        <v>2</v>
      </c>
    </row>
    <row r="1269">
      <c r="A1269" s="12" t="inlineStr">
        <is>
          <t>BESS PCS / MV skid</t>
        </is>
      </c>
      <c r="B1269" s="12" t="inlineStr"/>
      <c r="C1269" s="12" t="inlineStr">
        <is>
          <t>H</t>
        </is>
      </c>
      <c r="D1269" s="12" t="inlineStr">
        <is>
          <t>34.5 kV collection loop 1</t>
        </is>
      </c>
      <c r="E1269" s="12" t="n">
        <v>34500</v>
      </c>
      <c r="F1269" s="12" t="n">
        <v>25000</v>
      </c>
      <c r="G1269" s="12" t="n">
        <v>418</v>
      </c>
      <c r="H1269" s="12" t="inlineStr">
        <is>
          <t>BESS PCS / MV skid</t>
        </is>
      </c>
      <c r="I1269" s="12" t="inlineStr">
        <is>
          <t>MV 35 kV</t>
        </is>
      </c>
      <c r="J1269" s="12" t="inlineStr">
        <is>
          <t>350 kcmil</t>
        </is>
      </c>
      <c r="K1269" s="12" t="n">
        <v>2</v>
      </c>
    </row>
    <row r="1270">
      <c r="A1270" s="12" t="inlineStr">
        <is>
          <t>BESS PCS / MV skid</t>
        </is>
      </c>
      <c r="B1270" s="12" t="inlineStr"/>
      <c r="C1270" s="12" t="inlineStr">
        <is>
          <t>H</t>
        </is>
      </c>
      <c r="D1270" s="12" t="inlineStr">
        <is>
          <t>34.5 kV collection loop 1</t>
        </is>
      </c>
      <c r="E1270" s="12" t="n">
        <v>34500</v>
      </c>
      <c r="F1270" s="12" t="n">
        <v>25000</v>
      </c>
      <c r="G1270" s="12" t="n">
        <v>418</v>
      </c>
      <c r="H1270" s="12" t="inlineStr">
        <is>
          <t>BESS PCS / MV skid</t>
        </is>
      </c>
      <c r="I1270" s="12" t="inlineStr">
        <is>
          <t>MV 35 kV</t>
        </is>
      </c>
      <c r="J1270" s="12" t="inlineStr">
        <is>
          <t>350 kcmil</t>
        </is>
      </c>
      <c r="K1270" s="12" t="n">
        <v>2</v>
      </c>
    </row>
    <row r="1271">
      <c r="A1271" s="12" t="inlineStr">
        <is>
          <t>BESS PCS / MV skid</t>
        </is>
      </c>
      <c r="B1271" s="12" t="inlineStr"/>
      <c r="C1271" s="12" t="inlineStr">
        <is>
          <t>H</t>
        </is>
      </c>
      <c r="D1271" s="12" t="inlineStr">
        <is>
          <t>34.5 kV collection loop 2</t>
        </is>
      </c>
      <c r="E1271" s="12" t="n">
        <v>34500</v>
      </c>
      <c r="F1271" s="12" t="n">
        <v>25000</v>
      </c>
      <c r="G1271" s="12" t="n">
        <v>418</v>
      </c>
      <c r="H1271" s="12" t="inlineStr">
        <is>
          <t>34.5 kV collector e-house (arc-resistant)</t>
        </is>
      </c>
      <c r="I1271" s="12" t="inlineStr">
        <is>
          <t>MV 35 kV</t>
        </is>
      </c>
      <c r="J1271" s="12" t="inlineStr">
        <is>
          <t>350 kcmil</t>
        </is>
      </c>
      <c r="K1271" s="12" t="n">
        <v>2</v>
      </c>
    </row>
    <row r="1272">
      <c r="A1272" s="12" t="inlineStr">
        <is>
          <t>BESS PCS / MV skid</t>
        </is>
      </c>
      <c r="B1272" s="12" t="inlineStr"/>
      <c r="C1272" s="12" t="inlineStr">
        <is>
          <t>H</t>
        </is>
      </c>
      <c r="D1272" s="12" t="inlineStr">
        <is>
          <t>34.5 kV collection loop 2</t>
        </is>
      </c>
      <c r="E1272" s="12" t="n">
        <v>34500</v>
      </c>
      <c r="F1272" s="12" t="n">
        <v>25000</v>
      </c>
      <c r="G1272" s="12" t="n">
        <v>418</v>
      </c>
      <c r="H1272" s="12" t="inlineStr">
        <is>
          <t>BESS PCS / MV skid</t>
        </is>
      </c>
      <c r="I1272" s="12" t="inlineStr">
        <is>
          <t>MV 35 kV</t>
        </is>
      </c>
      <c r="J1272" s="12" t="inlineStr">
        <is>
          <t>350 kcmil</t>
        </is>
      </c>
      <c r="K1272" s="12" t="n">
        <v>2</v>
      </c>
    </row>
    <row r="1273">
      <c r="A1273" s="12" t="inlineStr">
        <is>
          <t>BESS PCS / MV skid</t>
        </is>
      </c>
      <c r="B1273" s="12" t="inlineStr"/>
      <c r="C1273" s="12" t="inlineStr">
        <is>
          <t>H</t>
        </is>
      </c>
      <c r="D1273" s="12" t="inlineStr">
        <is>
          <t>34.5 kV collection loop 2</t>
        </is>
      </c>
      <c r="E1273" s="12" t="n">
        <v>34500</v>
      </c>
      <c r="F1273" s="12" t="n">
        <v>25000</v>
      </c>
      <c r="G1273" s="12" t="n">
        <v>418</v>
      </c>
      <c r="H1273" s="12" t="inlineStr">
        <is>
          <t>BESS PCS / MV skid</t>
        </is>
      </c>
      <c r="I1273" s="12" t="inlineStr">
        <is>
          <t>MV 35 kV</t>
        </is>
      </c>
      <c r="J1273" s="12" t="inlineStr">
        <is>
          <t>350 kcmil</t>
        </is>
      </c>
      <c r="K1273" s="12" t="n">
        <v>2</v>
      </c>
    </row>
    <row r="1274">
      <c r="A1274" s="12" t="inlineStr">
        <is>
          <t>BESS PCS / MV skid</t>
        </is>
      </c>
      <c r="B1274" s="12" t="inlineStr"/>
      <c r="C1274" s="12" t="inlineStr">
        <is>
          <t>H</t>
        </is>
      </c>
      <c r="D1274" s="12" t="inlineStr">
        <is>
          <t>34.5 kV collection loop 2</t>
        </is>
      </c>
      <c r="E1274" s="12" t="n">
        <v>34500</v>
      </c>
      <c r="F1274" s="12" t="n">
        <v>25000</v>
      </c>
      <c r="G1274" s="12" t="n">
        <v>418</v>
      </c>
      <c r="H1274" s="12" t="inlineStr">
        <is>
          <t>BESS PCS / MV skid</t>
        </is>
      </c>
      <c r="I1274" s="12" t="inlineStr">
        <is>
          <t>MV 35 kV</t>
        </is>
      </c>
      <c r="J1274" s="12" t="inlineStr">
        <is>
          <t>350 kcmil</t>
        </is>
      </c>
      <c r="K1274" s="12" t="n">
        <v>2</v>
      </c>
    </row>
    <row r="1275">
      <c r="A1275" s="12" t="inlineStr">
        <is>
          <t>BESS PCS / MV skid</t>
        </is>
      </c>
      <c r="B1275" s="12" t="inlineStr"/>
      <c r="C1275" s="12" t="inlineStr">
        <is>
          <t>H</t>
        </is>
      </c>
      <c r="D1275" s="12" t="inlineStr">
        <is>
          <t>34.5 kV collection loop 2</t>
        </is>
      </c>
      <c r="E1275" s="12" t="n">
        <v>34500</v>
      </c>
      <c r="F1275" s="12" t="n">
        <v>25000</v>
      </c>
      <c r="G1275" s="12" t="n">
        <v>418</v>
      </c>
      <c r="H1275" s="12" t="inlineStr">
        <is>
          <t>BESS PCS / MV skid</t>
        </is>
      </c>
      <c r="I1275" s="12" t="inlineStr">
        <is>
          <t>MV 35 kV</t>
        </is>
      </c>
      <c r="J1275" s="12" t="inlineStr">
        <is>
          <t>350 kcmil</t>
        </is>
      </c>
      <c r="K1275" s="12" t="n">
        <v>2</v>
      </c>
    </row>
    <row r="1276">
      <c r="A1276" s="12" t="inlineStr">
        <is>
          <t>BESS PCS / MV skid</t>
        </is>
      </c>
      <c r="B1276" s="12" t="inlineStr"/>
      <c r="C1276" s="12" t="inlineStr">
        <is>
          <t>H</t>
        </is>
      </c>
      <c r="D1276" s="12" t="inlineStr">
        <is>
          <t>34.5 kV collection loop 3</t>
        </is>
      </c>
      <c r="E1276" s="12" t="n">
        <v>34500</v>
      </c>
      <c r="F1276" s="12" t="n">
        <v>25000</v>
      </c>
      <c r="G1276" s="12" t="n">
        <v>418</v>
      </c>
      <c r="H1276" s="12" t="inlineStr">
        <is>
          <t>34.5 kV collector e-house (arc-resistant)</t>
        </is>
      </c>
      <c r="I1276" s="12" t="inlineStr">
        <is>
          <t>MV 35 kV</t>
        </is>
      </c>
      <c r="J1276" s="12" t="inlineStr">
        <is>
          <t>350 kcmil</t>
        </is>
      </c>
      <c r="K1276" s="12" t="n">
        <v>2</v>
      </c>
    </row>
    <row r="1277">
      <c r="A1277" s="12" t="inlineStr">
        <is>
          <t>BESS PCS / MV skid</t>
        </is>
      </c>
      <c r="B1277" s="12" t="inlineStr"/>
      <c r="C1277" s="12" t="inlineStr">
        <is>
          <t>H</t>
        </is>
      </c>
      <c r="D1277" s="12" t="inlineStr">
        <is>
          <t>34.5 kV collection loop 3</t>
        </is>
      </c>
      <c r="E1277" s="12" t="n">
        <v>34500</v>
      </c>
      <c r="F1277" s="12" t="n">
        <v>25000</v>
      </c>
      <c r="G1277" s="12" t="n">
        <v>418</v>
      </c>
      <c r="H1277" s="12" t="inlineStr">
        <is>
          <t>BESS PCS / MV skid</t>
        </is>
      </c>
      <c r="I1277" s="12" t="inlineStr">
        <is>
          <t>MV 35 kV</t>
        </is>
      </c>
      <c r="J1277" s="12" t="inlineStr">
        <is>
          <t>350 kcmil</t>
        </is>
      </c>
      <c r="K1277" s="12" t="n">
        <v>2</v>
      </c>
    </row>
    <row r="1278">
      <c r="A1278" s="12" t="inlineStr">
        <is>
          <t>BESS PCS / MV skid</t>
        </is>
      </c>
      <c r="B1278" s="12" t="inlineStr"/>
      <c r="C1278" s="12" t="inlineStr">
        <is>
          <t>H</t>
        </is>
      </c>
      <c r="D1278" s="12" t="inlineStr">
        <is>
          <t>34.5 kV collection loop 3</t>
        </is>
      </c>
      <c r="E1278" s="12" t="n">
        <v>34500</v>
      </c>
      <c r="F1278" s="12" t="n">
        <v>25000</v>
      </c>
      <c r="G1278" s="12" t="n">
        <v>418</v>
      </c>
      <c r="H1278" s="12" t="inlineStr">
        <is>
          <t>BESS PCS / MV skid</t>
        </is>
      </c>
      <c r="I1278" s="12" t="inlineStr">
        <is>
          <t>MV 35 kV</t>
        </is>
      </c>
      <c r="J1278" s="12" t="inlineStr">
        <is>
          <t>350 kcmil</t>
        </is>
      </c>
      <c r="K1278" s="12" t="n">
        <v>2</v>
      </c>
    </row>
    <row r="1279">
      <c r="A1279" s="12" t="inlineStr">
        <is>
          <t>BESS PCS / MV skid</t>
        </is>
      </c>
      <c r="B1279" s="12" t="inlineStr"/>
      <c r="C1279" s="12" t="inlineStr">
        <is>
          <t>H</t>
        </is>
      </c>
      <c r="D1279" s="12" t="inlineStr">
        <is>
          <t>34.5 kV collection loop 3</t>
        </is>
      </c>
      <c r="E1279" s="12" t="n">
        <v>34500</v>
      </c>
      <c r="F1279" s="12" t="n">
        <v>25000</v>
      </c>
      <c r="G1279" s="12" t="n">
        <v>418</v>
      </c>
      <c r="H1279" s="12" t="inlineStr">
        <is>
          <t>BESS PCS / MV skid</t>
        </is>
      </c>
      <c r="I1279" s="12" t="inlineStr">
        <is>
          <t>MV 35 kV</t>
        </is>
      </c>
      <c r="J1279" s="12" t="inlineStr">
        <is>
          <t>350 kcmil</t>
        </is>
      </c>
      <c r="K1279" s="12" t="n">
        <v>2</v>
      </c>
    </row>
    <row r="1280">
      <c r="A1280" s="12" t="inlineStr">
        <is>
          <t>BESS PCS / MV skid</t>
        </is>
      </c>
      <c r="B1280" s="12" t="inlineStr"/>
      <c r="C1280" s="12" t="inlineStr">
        <is>
          <t>H</t>
        </is>
      </c>
      <c r="D1280" s="12" t="inlineStr">
        <is>
          <t>34.5 kV collection loop 3</t>
        </is>
      </c>
      <c r="E1280" s="12" t="n">
        <v>34500</v>
      </c>
      <c r="F1280" s="12" t="n">
        <v>25000</v>
      </c>
      <c r="G1280" s="12" t="n">
        <v>418</v>
      </c>
      <c r="H1280" s="12" t="inlineStr">
        <is>
          <t>BESS PCS / MV skid</t>
        </is>
      </c>
      <c r="I1280" s="12" t="inlineStr">
        <is>
          <t>MV 35 kV</t>
        </is>
      </c>
      <c r="J1280" s="12" t="inlineStr">
        <is>
          <t>350 kcmil</t>
        </is>
      </c>
      <c r="K1280" s="12" t="n">
        <v>2</v>
      </c>
    </row>
    <row r="1281">
      <c r="A1281" s="12" t="inlineStr">
        <is>
          <t>BESS main power transformer 34.5/230 kV (to D4 upper)</t>
        </is>
      </c>
      <c r="B1281" s="12" t="inlineStr">
        <is>
          <t>BESS MPT</t>
        </is>
      </c>
      <c r="C1281" s="12" t="inlineStr">
        <is>
          <t>H</t>
        </is>
      </c>
      <c r="D1281" s="12" t="inlineStr">
        <is>
          <t>BESS MPT 34.5 kV side</t>
        </is>
      </c>
      <c r="E1281" s="12" t="n">
        <v>34500</v>
      </c>
      <c r="F1281" s="12" t="n">
        <v>100000</v>
      </c>
      <c r="G1281" s="12" t="n">
        <v>1674</v>
      </c>
      <c r="H1281" s="12" t="inlineStr">
        <is>
          <t>34.5 kV collector e-house (arc-resistant)</t>
        </is>
      </c>
      <c r="I1281" s="12" t="inlineStr">
        <is>
          <t>MV 35 kV</t>
        </is>
      </c>
      <c r="J1281" s="12" t="inlineStr">
        <is>
          <t>750 kcmil</t>
        </is>
      </c>
      <c r="K1281" s="12" t="n">
        <v>5</v>
      </c>
    </row>
    <row r="1282">
      <c r="A1282" s="12" t="inlineStr">
        <is>
          <t>CONDITIONAL: grounding transformer</t>
        </is>
      </c>
      <c r="B1282" s="12" t="inlineStr"/>
      <c r="C1282" s="12" t="inlineStr">
        <is>
          <t>H</t>
        </is>
      </c>
      <c r="D1282" s="12" t="inlineStr">
        <is>
          <t>Grounding transformer connection (34.5 kV)</t>
        </is>
      </c>
      <c r="E1282" s="12" t="n">
        <v>34500</v>
      </c>
      <c r="F1282" s="12" t="n">
        <v>2000</v>
      </c>
      <c r="G1282" s="12" t="n">
        <v>33</v>
      </c>
      <c r="H1282" s="12" t="inlineStr">
        <is>
          <t>34.5 kV collector e-house (arc-resistant)</t>
        </is>
      </c>
      <c r="I1282" s="12" t="inlineStr">
        <is>
          <t>MV 35 kV</t>
        </is>
      </c>
      <c r="J1282" s="12" t="inlineStr">
        <is>
          <t>2</t>
        </is>
      </c>
      <c r="K1282" s="12" t="n">
        <v>1</v>
      </c>
    </row>
    <row r="1283">
      <c r="A1283" s="12" t="inlineStr">
        <is>
          <t>Aqueous ammonia (SC units)</t>
        </is>
      </c>
      <c r="B1283" s="12" t="inlineStr"/>
      <c r="C1283" s="12" t="inlineStr">
        <is>
          <t>I</t>
        </is>
      </c>
      <c r="D1283" s="12" t="inlineStr">
        <is>
          <t>LV power feeder</t>
        </is>
      </c>
      <c r="E1283" s="12" t="n">
        <v>480</v>
      </c>
      <c r="F1283" s="12" t="n">
        <v>10</v>
      </c>
      <c r="G1283" s="12" t="n">
        <v>14.2</v>
      </c>
      <c r="H1283" s="12" t="inlineStr">
        <is>
          <t>MOD-LV 480 V board + 480 V : 13.8 kV step-up</t>
        </is>
      </c>
      <c r="I1283" s="12" t="inlineStr">
        <is>
          <t>LV 600 V</t>
        </is>
      </c>
      <c r="J1283" s="12" t="inlineStr">
        <is>
          <t>1/0</t>
        </is>
      </c>
      <c r="K1283" s="12" t="n">
        <v>1</v>
      </c>
    </row>
    <row r="1284">
      <c r="A1284" s="12" t="inlineStr">
        <is>
          <t>BS black-start switchgear</t>
        </is>
      </c>
      <c r="B1284" s="12" t="inlineStr"/>
      <c r="C1284" s="12" t="inlineStr">
        <is>
          <t>I</t>
        </is>
      </c>
      <c r="D1284" s="12" t="inlineStr">
        <is>
          <t>Black-start genset output</t>
        </is>
      </c>
      <c r="E1284" s="12" t="n">
        <v>480</v>
      </c>
      <c r="F1284" s="12" t="n">
        <v>2000</v>
      </c>
      <c r="G1284" s="12" t="n">
        <v>2532.3</v>
      </c>
      <c r="H1284" s="12" t="inlineStr">
        <is>
          <t>Black-start genset (proposed; requires study)</t>
        </is>
      </c>
      <c r="I1284" s="12" t="inlineStr">
        <is>
          <t>LV 600 V</t>
        </is>
      </c>
      <c r="J1284" s="12" t="inlineStr">
        <is>
          <t>500 kcmil</t>
        </is>
      </c>
      <c r="K1284" s="12" t="n">
        <v>10</v>
      </c>
    </row>
    <row r="1285">
      <c r="A1285" s="12" t="inlineStr">
        <is>
          <t>BS black-start switchgear</t>
        </is>
      </c>
      <c r="B1285" s="12" t="inlineStr"/>
      <c r="C1285" s="12" t="inlineStr">
        <is>
          <t>I</t>
        </is>
      </c>
      <c r="D1285" s="12" t="inlineStr">
        <is>
          <t>Black-start genset output</t>
        </is>
      </c>
      <c r="E1285" s="12" t="n">
        <v>480</v>
      </c>
      <c r="F1285" s="12" t="n">
        <v>2000</v>
      </c>
      <c r="G1285" s="12" t="n">
        <v>2532.3</v>
      </c>
      <c r="H1285" s="12" t="inlineStr">
        <is>
          <t>Black-start genset (proposed; requires study)</t>
        </is>
      </c>
      <c r="I1285" s="12" t="inlineStr">
        <is>
          <t>LV 600 V</t>
        </is>
      </c>
      <c r="J1285" s="12" t="inlineStr">
        <is>
          <t>500 kcmil</t>
        </is>
      </c>
      <c r="K1285" s="12" t="n">
        <v>10</v>
      </c>
    </row>
    <row r="1286">
      <c r="A1286" s="12" t="inlineStr">
        <is>
          <t>BS black-start switchgear</t>
        </is>
      </c>
      <c r="B1286" s="12" t="inlineStr"/>
      <c r="C1286" s="12" t="inlineStr">
        <is>
          <t>I</t>
        </is>
      </c>
      <c r="D1286" s="12" t="inlineStr">
        <is>
          <t>LV power feeder</t>
        </is>
      </c>
      <c r="E1286" s="12" t="n">
        <v>480</v>
      </c>
      <c r="F1286" s="12" t="n">
        <v>15</v>
      </c>
      <c r="G1286" s="12" t="n">
        <v>21.2</v>
      </c>
      <c r="H1286" s="12" t="inlineStr">
        <is>
          <t>PCM: power control module</t>
        </is>
      </c>
      <c r="I1286" s="12" t="inlineStr">
        <is>
          <t>LV 600 V</t>
        </is>
      </c>
      <c r="J1286" s="12" t="inlineStr">
        <is>
          <t>6</t>
        </is>
      </c>
      <c r="K1286" s="12" t="n">
        <v>1</v>
      </c>
    </row>
    <row r="1287">
      <c r="A1287" s="12" t="inlineStr">
        <is>
          <t>CONDITIONAL: BESS black-start alternative</t>
        </is>
      </c>
      <c r="B1287" s="12" t="inlineStr"/>
      <c r="C1287" s="12" t="inlineStr">
        <is>
          <t>I</t>
        </is>
      </c>
      <c r="D1287" s="12" t="inlineStr">
        <is>
          <t>LV power feeder</t>
        </is>
      </c>
      <c r="E1287" s="12" t="n">
        <v>480</v>
      </c>
      <c r="F1287" s="12" t="n">
        <v>15</v>
      </c>
      <c r="G1287" s="12" t="n">
        <v>21.2</v>
      </c>
      <c r="H1287" s="12" t="inlineStr">
        <is>
          <t>PCM: power control module</t>
        </is>
      </c>
      <c r="I1287" s="12" t="inlineStr">
        <is>
          <t>LV 600 V</t>
        </is>
      </c>
      <c r="J1287" s="12" t="inlineStr">
        <is>
          <t>6</t>
        </is>
      </c>
      <c r="K1287" s="12" t="n">
        <v>1</v>
      </c>
    </row>
    <row r="1288">
      <c r="A1288" s="12" t="inlineStr">
        <is>
          <t>CONDITIONAL: SC-1 inlet chiller / evaporative cooler</t>
        </is>
      </c>
      <c r="B1288" s="12" t="inlineStr"/>
      <c r="C1288" s="12" t="inlineStr">
        <is>
          <t>I</t>
        </is>
      </c>
      <c r="D1288" s="12" t="inlineStr">
        <is>
          <t>LV power feeder</t>
        </is>
      </c>
      <c r="E1288" s="12" t="n">
        <v>480</v>
      </c>
      <c r="F1288" s="12" t="n">
        <v>500</v>
      </c>
      <c r="G1288" s="12" t="n">
        <v>707.6</v>
      </c>
      <c r="H1288" s="12" t="inlineStr">
        <is>
          <t>PCM: power control module</t>
        </is>
      </c>
      <c r="I1288" s="12" t="inlineStr">
        <is>
          <t>LV 600 V</t>
        </is>
      </c>
      <c r="J1288" s="12" t="inlineStr">
        <is>
          <t>350 kcmil</t>
        </is>
      </c>
      <c r="K1288" s="12" t="n">
        <v>3</v>
      </c>
    </row>
    <row r="1289">
      <c r="A1289" s="12" t="inlineStr">
        <is>
          <t>CONDITIONAL: SC-2 inlet chiller / evaporative cooler</t>
        </is>
      </c>
      <c r="B1289" s="12" t="inlineStr"/>
      <c r="C1289" s="12" t="inlineStr">
        <is>
          <t>I</t>
        </is>
      </c>
      <c r="D1289" s="12" t="inlineStr">
        <is>
          <t>LV power feeder</t>
        </is>
      </c>
      <c r="E1289" s="12" t="n">
        <v>480</v>
      </c>
      <c r="F1289" s="12" t="n">
        <v>500</v>
      </c>
      <c r="G1289" s="12" t="n">
        <v>707.6</v>
      </c>
      <c r="H1289" s="12" t="inlineStr">
        <is>
          <t>MOD-LV 480 V board + 480 V : 13.8 kV step-up</t>
        </is>
      </c>
      <c r="I1289" s="12" t="inlineStr">
        <is>
          <t>LV 600 V</t>
        </is>
      </c>
      <c r="J1289" s="12" t="inlineStr">
        <is>
          <t>500 kcmil</t>
        </is>
      </c>
      <c r="K1289" s="12" t="n">
        <v>12</v>
      </c>
    </row>
    <row r="1290">
      <c r="A1290" s="12" t="inlineStr">
        <is>
          <t>FC-5..12 inverter / AC cabinet / desulfurizer</t>
        </is>
      </c>
      <c r="B1290" s="12" t="inlineStr"/>
      <c r="C1290" s="12" t="inlineStr">
        <is>
          <t>I</t>
        </is>
      </c>
      <c r="D1290" s="12" t="inlineStr">
        <is>
          <t>FC-5 SOFC output to inverter / AC cabinet</t>
        </is>
      </c>
      <c r="E1290" s="12" t="n">
        <v>480</v>
      </c>
      <c r="F1290" s="12" t="n">
        <v>250</v>
      </c>
      <c r="G1290" s="12" t="n">
        <v>316.5</v>
      </c>
      <c r="H1290" s="12" t="inlineStr">
        <is>
          <t>FC-5: SOFC module (Bloom ES5 class, 200-300 kW)</t>
        </is>
      </c>
      <c r="I1290" s="12" t="inlineStr">
        <is>
          <t>LV 600 V</t>
        </is>
      </c>
      <c r="J1290" s="12" t="inlineStr">
        <is>
          <t>3/0</t>
        </is>
      </c>
      <c r="K1290" s="12" t="n">
        <v>2</v>
      </c>
    </row>
    <row r="1291">
      <c r="A1291" s="12" t="inlineStr">
        <is>
          <t>FC-5..12 inverter / AC cabinet / desulfurizer</t>
        </is>
      </c>
      <c r="B1291" s="12" t="inlineStr"/>
      <c r="C1291" s="12" t="inlineStr">
        <is>
          <t>I</t>
        </is>
      </c>
      <c r="D1291" s="12" t="inlineStr">
        <is>
          <t>FC-6 SOFC output to inverter / AC cabinet</t>
        </is>
      </c>
      <c r="E1291" s="12" t="n">
        <v>480</v>
      </c>
      <c r="F1291" s="12" t="n">
        <v>250</v>
      </c>
      <c r="G1291" s="12" t="n">
        <v>316.5</v>
      </c>
      <c r="H1291" s="12" t="inlineStr">
        <is>
          <t>FC-6: SOFC module (Bloom ES5 class, 200-300 kW)</t>
        </is>
      </c>
      <c r="I1291" s="12" t="inlineStr">
        <is>
          <t>LV 600 V</t>
        </is>
      </c>
      <c r="J1291" s="12" t="inlineStr">
        <is>
          <t>3/0</t>
        </is>
      </c>
      <c r="K1291" s="12" t="n">
        <v>2</v>
      </c>
    </row>
    <row r="1292">
      <c r="A1292" s="12" t="inlineStr">
        <is>
          <t>FC-5..12 inverter / AC cabinet / desulfurizer</t>
        </is>
      </c>
      <c r="B1292" s="12" t="inlineStr"/>
      <c r="C1292" s="12" t="inlineStr">
        <is>
          <t>I</t>
        </is>
      </c>
      <c r="D1292" s="12" t="inlineStr">
        <is>
          <t>FC-7 SOFC output to inverter / AC cabinet</t>
        </is>
      </c>
      <c r="E1292" s="12" t="n">
        <v>480</v>
      </c>
      <c r="F1292" s="12" t="n">
        <v>250</v>
      </c>
      <c r="G1292" s="12" t="n">
        <v>316.5</v>
      </c>
      <c r="H1292" s="12" t="inlineStr">
        <is>
          <t>FC-7: SOFC module (Bloom ES5 class, 200-300 kW)</t>
        </is>
      </c>
      <c r="I1292" s="12" t="inlineStr">
        <is>
          <t>LV 600 V</t>
        </is>
      </c>
      <c r="J1292" s="12" t="inlineStr">
        <is>
          <t>3/0</t>
        </is>
      </c>
      <c r="K1292" s="12" t="n">
        <v>2</v>
      </c>
    </row>
    <row r="1293">
      <c r="A1293" s="12" t="inlineStr">
        <is>
          <t>FC-5..12 inverter / AC cabinet / desulfurizer</t>
        </is>
      </c>
      <c r="B1293" s="12" t="inlineStr"/>
      <c r="C1293" s="12" t="inlineStr">
        <is>
          <t>I</t>
        </is>
      </c>
      <c r="D1293" s="12" t="inlineStr">
        <is>
          <t>FC-8 SOFC output to inverter / AC cabinet</t>
        </is>
      </c>
      <c r="E1293" s="12" t="n">
        <v>480</v>
      </c>
      <c r="F1293" s="12" t="n">
        <v>250</v>
      </c>
      <c r="G1293" s="12" t="n">
        <v>316.5</v>
      </c>
      <c r="H1293" s="12" t="inlineStr">
        <is>
          <t>FC-8: SOFC module (Bloom ES5 class, 200-300 kW)</t>
        </is>
      </c>
      <c r="I1293" s="12" t="inlineStr">
        <is>
          <t>LV 600 V</t>
        </is>
      </c>
      <c r="J1293" s="12" t="inlineStr">
        <is>
          <t>3/0</t>
        </is>
      </c>
      <c r="K1293" s="12" t="n">
        <v>2</v>
      </c>
    </row>
    <row r="1294">
      <c r="A1294" s="12" t="inlineStr">
        <is>
          <t>FC-5..12 inverter / AC cabinet / desulfurizer</t>
        </is>
      </c>
      <c r="B1294" s="12" t="inlineStr"/>
      <c r="C1294" s="12" t="inlineStr">
        <is>
          <t>I</t>
        </is>
      </c>
      <c r="D1294" s="12" t="inlineStr">
        <is>
          <t>FC-9 SOFC output to inverter / AC cabinet</t>
        </is>
      </c>
      <c r="E1294" s="12" t="n">
        <v>480</v>
      </c>
      <c r="F1294" s="12" t="n">
        <v>250</v>
      </c>
      <c r="G1294" s="12" t="n">
        <v>316.5</v>
      </c>
      <c r="H1294" s="12" t="inlineStr">
        <is>
          <t>FC-9: SOFC module (Bloom ES5 class, 200-300 kW)</t>
        </is>
      </c>
      <c r="I1294" s="12" t="inlineStr">
        <is>
          <t>LV 600 V</t>
        </is>
      </c>
      <c r="J1294" s="12" t="inlineStr">
        <is>
          <t>3/0</t>
        </is>
      </c>
      <c r="K1294" s="12" t="n">
        <v>2</v>
      </c>
    </row>
    <row r="1295">
      <c r="A1295" s="12" t="inlineStr">
        <is>
          <t>FC-5..12 inverter / AC cabinet / desulfurizer</t>
        </is>
      </c>
      <c r="B1295" s="12" t="inlineStr"/>
      <c r="C1295" s="12" t="inlineStr">
        <is>
          <t>I</t>
        </is>
      </c>
      <c r="D1295" s="12" t="inlineStr">
        <is>
          <t>FC-10 SOFC output to inverter / AC cabinet</t>
        </is>
      </c>
      <c r="E1295" s="12" t="n">
        <v>480</v>
      </c>
      <c r="F1295" s="12" t="n">
        <v>250</v>
      </c>
      <c r="G1295" s="12" t="n">
        <v>316.5</v>
      </c>
      <c r="H1295" s="12" t="inlineStr">
        <is>
          <t>FC-10: SOFC module (Bloom ES5 class, 200-300 kW)</t>
        </is>
      </c>
      <c r="I1295" s="12" t="inlineStr">
        <is>
          <t>LV 600 V</t>
        </is>
      </c>
      <c r="J1295" s="12" t="inlineStr">
        <is>
          <t>3/0</t>
        </is>
      </c>
      <c r="K1295" s="12" t="n">
        <v>2</v>
      </c>
    </row>
    <row r="1296">
      <c r="A1296" s="12" t="inlineStr">
        <is>
          <t>FC-5..12 inverter / AC cabinet / desulfurizer</t>
        </is>
      </c>
      <c r="B1296" s="12" t="inlineStr"/>
      <c r="C1296" s="12" t="inlineStr">
        <is>
          <t>I</t>
        </is>
      </c>
      <c r="D1296" s="12" t="inlineStr">
        <is>
          <t>FC-11 SOFC output to inverter / AC cabinet</t>
        </is>
      </c>
      <c r="E1296" s="12" t="n">
        <v>480</v>
      </c>
      <c r="F1296" s="12" t="n">
        <v>250</v>
      </c>
      <c r="G1296" s="12" t="n">
        <v>316.5</v>
      </c>
      <c r="H1296" s="12" t="inlineStr">
        <is>
          <t>FC-11: SOFC module (Bloom ES5 class, 200-300 kW)</t>
        </is>
      </c>
      <c r="I1296" s="12" t="inlineStr">
        <is>
          <t>LV 600 V</t>
        </is>
      </c>
      <c r="J1296" s="12" t="inlineStr">
        <is>
          <t>3/0</t>
        </is>
      </c>
      <c r="K1296" s="12" t="n">
        <v>2</v>
      </c>
    </row>
    <row r="1297">
      <c r="A1297" s="12" t="inlineStr">
        <is>
          <t>FC-5..12 inverter / AC cabinet / desulfurizer</t>
        </is>
      </c>
      <c r="B1297" s="12" t="inlineStr"/>
      <c r="C1297" s="12" t="inlineStr">
        <is>
          <t>I</t>
        </is>
      </c>
      <c r="D1297" s="12" t="inlineStr">
        <is>
          <t>FC-12 SOFC output to inverter / AC cabinet</t>
        </is>
      </c>
      <c r="E1297" s="12" t="n">
        <v>480</v>
      </c>
      <c r="F1297" s="12" t="n">
        <v>250</v>
      </c>
      <c r="G1297" s="12" t="n">
        <v>316.5</v>
      </c>
      <c r="H1297" s="12" t="inlineStr">
        <is>
          <t>FC-12: SOFC module (Bloom ES5 class, 200-300 kW)</t>
        </is>
      </c>
      <c r="I1297" s="12" t="inlineStr">
        <is>
          <t>LV 600 V</t>
        </is>
      </c>
      <c r="J1297" s="12" t="inlineStr">
        <is>
          <t>3/0</t>
        </is>
      </c>
      <c r="K1297" s="12" t="n">
        <v>2</v>
      </c>
    </row>
    <row r="1298">
      <c r="A1298" s="12" t="inlineStr">
        <is>
          <t>Fuel-cell inverter / AC cabinet / desulfurizer</t>
        </is>
      </c>
      <c r="B1298" s="12" t="inlineStr"/>
      <c r="C1298" s="12" t="inlineStr">
        <is>
          <t>I</t>
        </is>
      </c>
      <c r="D1298" s="12" t="inlineStr">
        <is>
          <t>FC-1 SOFC output to inverter / AC cabinet</t>
        </is>
      </c>
      <c r="E1298" s="12" t="n">
        <v>480</v>
      </c>
      <c r="F1298" s="12" t="n">
        <v>250</v>
      </c>
      <c r="G1298" s="12" t="n">
        <v>316.5</v>
      </c>
      <c r="H1298" s="12" t="inlineStr">
        <is>
          <t>FC-1: SOFC module (Bloom ES5 class, 200-300 kW)</t>
        </is>
      </c>
      <c r="I1298" s="12" t="inlineStr">
        <is>
          <t>LV 600 V</t>
        </is>
      </c>
      <c r="J1298" s="12" t="inlineStr">
        <is>
          <t>3/0</t>
        </is>
      </c>
      <c r="K1298" s="12" t="n">
        <v>2</v>
      </c>
    </row>
    <row r="1299">
      <c r="A1299" s="12" t="inlineStr">
        <is>
          <t>Fuel-cell inverter / AC cabinet / desulfurizer</t>
        </is>
      </c>
      <c r="B1299" s="12" t="inlineStr"/>
      <c r="C1299" s="12" t="inlineStr">
        <is>
          <t>I</t>
        </is>
      </c>
      <c r="D1299" s="12" t="inlineStr">
        <is>
          <t>FC-2 SOFC output to inverter / AC cabinet</t>
        </is>
      </c>
      <c r="E1299" s="12" t="n">
        <v>480</v>
      </c>
      <c r="F1299" s="12" t="n">
        <v>250</v>
      </c>
      <c r="G1299" s="12" t="n">
        <v>316.5</v>
      </c>
      <c r="H1299" s="12" t="inlineStr">
        <is>
          <t>FC-2: SOFC module (Bloom ES5 class, 200-300 kW)</t>
        </is>
      </c>
      <c r="I1299" s="12" t="inlineStr">
        <is>
          <t>LV 600 V</t>
        </is>
      </c>
      <c r="J1299" s="12" t="inlineStr">
        <is>
          <t>3/0</t>
        </is>
      </c>
      <c r="K1299" s="12" t="n">
        <v>2</v>
      </c>
    </row>
    <row r="1300">
      <c r="A1300" s="12" t="inlineStr">
        <is>
          <t>Fuel-cell inverter / AC cabinet / desulfurizer</t>
        </is>
      </c>
      <c r="B1300" s="12" t="inlineStr"/>
      <c r="C1300" s="12" t="inlineStr">
        <is>
          <t>I</t>
        </is>
      </c>
      <c r="D1300" s="12" t="inlineStr">
        <is>
          <t>FC-3 SOFC output to inverter / AC cabinet</t>
        </is>
      </c>
      <c r="E1300" s="12" t="n">
        <v>480</v>
      </c>
      <c r="F1300" s="12" t="n">
        <v>250</v>
      </c>
      <c r="G1300" s="12" t="n">
        <v>316.5</v>
      </c>
      <c r="H1300" s="12" t="inlineStr">
        <is>
          <t>FC-3: SOFC module (Bloom ES5 class, 200-300 kW)</t>
        </is>
      </c>
      <c r="I1300" s="12" t="inlineStr">
        <is>
          <t>LV 600 V</t>
        </is>
      </c>
      <c r="J1300" s="12" t="inlineStr">
        <is>
          <t>3/0</t>
        </is>
      </c>
      <c r="K1300" s="12" t="n">
        <v>2</v>
      </c>
    </row>
    <row r="1301">
      <c r="A1301" s="12" t="inlineStr">
        <is>
          <t>Fuel-cell inverter / AC cabinet / desulfurizer</t>
        </is>
      </c>
      <c r="B1301" s="12" t="inlineStr"/>
      <c r="C1301" s="12" t="inlineStr">
        <is>
          <t>I</t>
        </is>
      </c>
      <c r="D1301" s="12" t="inlineStr">
        <is>
          <t>FC-4 SOFC output to inverter / AC cabinet</t>
        </is>
      </c>
      <c r="E1301" s="12" t="n">
        <v>480</v>
      </c>
      <c r="F1301" s="12" t="n">
        <v>250</v>
      </c>
      <c r="G1301" s="12" t="n">
        <v>316.5</v>
      </c>
      <c r="H1301" s="12" t="inlineStr">
        <is>
          <t>FC-4: SOFC module (Bloom ES5 class, 200-300 kW)</t>
        </is>
      </c>
      <c r="I1301" s="12" t="inlineStr">
        <is>
          <t>LV 600 V</t>
        </is>
      </c>
      <c r="J1301" s="12" t="inlineStr">
        <is>
          <t>3/0</t>
        </is>
      </c>
      <c r="K1301" s="12" t="n">
        <v>2</v>
      </c>
    </row>
    <row r="1302">
      <c r="A1302" s="12" t="inlineStr">
        <is>
          <t>Fuel-gas compressors 3 x 100% electric</t>
        </is>
      </c>
      <c r="B1302" s="12" t="inlineStr"/>
      <c r="C1302" s="12" t="inlineStr">
        <is>
          <t>I</t>
        </is>
      </c>
      <c r="D1302" s="12" t="inlineStr">
        <is>
          <t>Motor 1 of 6, 15 kW</t>
        </is>
      </c>
      <c r="E1302" s="12" t="n">
        <v>480</v>
      </c>
      <c r="F1302" s="12" t="n">
        <v>15</v>
      </c>
      <c r="G1302" s="12" t="n">
        <v>21.2</v>
      </c>
      <c r="H1302" s="12" t="inlineStr">
        <is>
          <t>MOD-LV 480 V board + 480 V : 13.8 kV step-up</t>
        </is>
      </c>
      <c r="I1302" s="12" t="inlineStr">
        <is>
          <t>LV 600 V</t>
        </is>
      </c>
      <c r="J1302" s="12" t="inlineStr">
        <is>
          <t>3/0</t>
        </is>
      </c>
      <c r="K1302" s="12" t="n">
        <v>1</v>
      </c>
    </row>
    <row r="1303">
      <c r="A1303" s="12" t="inlineStr">
        <is>
          <t>Fuel-gas compressors 3 x 100% electric</t>
        </is>
      </c>
      <c r="B1303" s="12" t="inlineStr"/>
      <c r="C1303" s="12" t="inlineStr">
        <is>
          <t>I</t>
        </is>
      </c>
      <c r="D1303" s="12" t="inlineStr">
        <is>
          <t>Motor 2 of 6, 15 kW</t>
        </is>
      </c>
      <c r="E1303" s="12" t="n">
        <v>480</v>
      </c>
      <c r="F1303" s="12" t="n">
        <v>15</v>
      </c>
      <c r="G1303" s="12" t="n">
        <v>21.2</v>
      </c>
      <c r="H1303" s="12" t="inlineStr">
        <is>
          <t>MOD-LV 480 V board + 480 V : 13.8 kV step-up</t>
        </is>
      </c>
      <c r="I1303" s="12" t="inlineStr">
        <is>
          <t>LV 600 V</t>
        </is>
      </c>
      <c r="J1303" s="12" t="inlineStr">
        <is>
          <t>3/0</t>
        </is>
      </c>
      <c r="K1303" s="12" t="n">
        <v>1</v>
      </c>
    </row>
    <row r="1304">
      <c r="A1304" s="12" t="inlineStr">
        <is>
          <t>Fuel-gas compressors 3 x 100% electric</t>
        </is>
      </c>
      <c r="B1304" s="12" t="inlineStr"/>
      <c r="C1304" s="12" t="inlineStr">
        <is>
          <t>I</t>
        </is>
      </c>
      <c r="D1304" s="12" t="inlineStr">
        <is>
          <t>Motor 3 of 6, 15 kW</t>
        </is>
      </c>
      <c r="E1304" s="12" t="n">
        <v>480</v>
      </c>
      <c r="F1304" s="12" t="n">
        <v>15</v>
      </c>
      <c r="G1304" s="12" t="n">
        <v>21.2</v>
      </c>
      <c r="H1304" s="12" t="inlineStr">
        <is>
          <t>MOD-LV 480 V board + 480 V : 13.8 kV step-up</t>
        </is>
      </c>
      <c r="I1304" s="12" t="inlineStr">
        <is>
          <t>LV 600 V</t>
        </is>
      </c>
      <c r="J1304" s="12" t="inlineStr">
        <is>
          <t>3/0</t>
        </is>
      </c>
      <c r="K1304" s="12" t="n">
        <v>1</v>
      </c>
    </row>
    <row r="1305">
      <c r="A1305" s="12" t="inlineStr">
        <is>
          <t>Fuel-gas compressors 3 x 100% electric</t>
        </is>
      </c>
      <c r="B1305" s="12" t="inlineStr"/>
      <c r="C1305" s="12" t="inlineStr">
        <is>
          <t>I</t>
        </is>
      </c>
      <c r="D1305" s="12" t="inlineStr">
        <is>
          <t>Motor 4 of 6, 15 kW</t>
        </is>
      </c>
      <c r="E1305" s="12" t="n">
        <v>480</v>
      </c>
      <c r="F1305" s="12" t="n">
        <v>15</v>
      </c>
      <c r="G1305" s="12" t="n">
        <v>21.2</v>
      </c>
      <c r="H1305" s="12" t="inlineStr">
        <is>
          <t>MOD-LV 480 V board + 480 V : 13.8 kV step-up</t>
        </is>
      </c>
      <c r="I1305" s="12" t="inlineStr">
        <is>
          <t>LV 600 V</t>
        </is>
      </c>
      <c r="J1305" s="12" t="inlineStr">
        <is>
          <t>3/0</t>
        </is>
      </c>
      <c r="K1305" s="12" t="n">
        <v>1</v>
      </c>
    </row>
    <row r="1306">
      <c r="A1306" s="12" t="inlineStr">
        <is>
          <t>Fuel-gas compressors 3 x 100% electric</t>
        </is>
      </c>
      <c r="B1306" s="12" t="inlineStr"/>
      <c r="C1306" s="12" t="inlineStr">
        <is>
          <t>I</t>
        </is>
      </c>
      <c r="D1306" s="12" t="inlineStr">
        <is>
          <t>Motor 5 of 6, 15 kW</t>
        </is>
      </c>
      <c r="E1306" s="12" t="n">
        <v>480</v>
      </c>
      <c r="F1306" s="12" t="n">
        <v>15</v>
      </c>
      <c r="G1306" s="12" t="n">
        <v>21.2</v>
      </c>
      <c r="H1306" s="12" t="inlineStr">
        <is>
          <t>MOD-LV 480 V board + 480 V : 13.8 kV step-up</t>
        </is>
      </c>
      <c r="I1306" s="12" t="inlineStr">
        <is>
          <t>LV 600 V</t>
        </is>
      </c>
      <c r="J1306" s="12" t="inlineStr">
        <is>
          <t>3/0</t>
        </is>
      </c>
      <c r="K1306" s="12" t="n">
        <v>1</v>
      </c>
    </row>
    <row r="1307">
      <c r="A1307" s="12" t="inlineStr">
        <is>
          <t>Fuel-gas compressors 3 x 100% electric</t>
        </is>
      </c>
      <c r="B1307" s="12" t="inlineStr"/>
      <c r="C1307" s="12" t="inlineStr">
        <is>
          <t>I</t>
        </is>
      </c>
      <c r="D1307" s="12" t="inlineStr">
        <is>
          <t>Motor 6 of 6, 15 kW</t>
        </is>
      </c>
      <c r="E1307" s="12" t="n">
        <v>480</v>
      </c>
      <c r="F1307" s="12" t="n">
        <v>15</v>
      </c>
      <c r="G1307" s="12" t="n">
        <v>21.2</v>
      </c>
      <c r="H1307" s="12" t="inlineStr">
        <is>
          <t>MOD-LV 480 V board + 480 V : 13.8 kV step-up</t>
        </is>
      </c>
      <c r="I1307" s="12" t="inlineStr">
        <is>
          <t>LV 600 V</t>
        </is>
      </c>
      <c r="J1307" s="12" t="inlineStr">
        <is>
          <t>3/0</t>
        </is>
      </c>
      <c r="K1307" s="12" t="n">
        <v>1</v>
      </c>
    </row>
    <row r="1308">
      <c r="A1308" s="12" t="inlineStr">
        <is>
          <t>Gas conditioning skid</t>
        </is>
      </c>
      <c r="B1308" s="12" t="inlineStr"/>
      <c r="C1308" s="12" t="inlineStr">
        <is>
          <t>I</t>
        </is>
      </c>
      <c r="D1308" s="12" t="inlineStr">
        <is>
          <t>LV power feeder</t>
        </is>
      </c>
      <c r="E1308" s="12" t="n">
        <v>480</v>
      </c>
      <c r="F1308" s="12" t="n">
        <v>30</v>
      </c>
      <c r="G1308" s="12" t="n">
        <v>42.5</v>
      </c>
      <c r="H1308" s="12" t="inlineStr">
        <is>
          <t>PCM: power control module</t>
        </is>
      </c>
      <c r="I1308" s="12" t="inlineStr">
        <is>
          <t>LV 600 V</t>
        </is>
      </c>
      <c r="J1308" s="12" t="inlineStr">
        <is>
          <t>6</t>
        </is>
      </c>
      <c r="K1308" s="12" t="n">
        <v>1</v>
      </c>
    </row>
    <row r="1309">
      <c r="A1309" s="12" t="inlineStr">
        <is>
          <t>Lube oil / starting air / oily water building</t>
        </is>
      </c>
      <c r="B1309" s="12" t="inlineStr"/>
      <c r="C1309" s="12" t="inlineStr">
        <is>
          <t>I</t>
        </is>
      </c>
      <c r="D1309" s="12" t="inlineStr">
        <is>
          <t>LV panel / distribution feeder</t>
        </is>
      </c>
      <c r="E1309" s="12" t="n">
        <v>480</v>
      </c>
      <c r="F1309" s="12" t="n">
        <v>79</v>
      </c>
      <c r="G1309" s="12" t="n">
        <v>111.8</v>
      </c>
      <c r="H1309" s="12" t="inlineStr">
        <is>
          <t>PCM: power control module</t>
        </is>
      </c>
      <c r="I1309" s="12" t="inlineStr">
        <is>
          <t>LV 600 V</t>
        </is>
      </c>
      <c r="J1309" s="12" t="inlineStr">
        <is>
          <t>1/0</t>
        </is>
      </c>
      <c r="K1309" s="12" t="n">
        <v>1</v>
      </c>
    </row>
    <row r="1310">
      <c r="A1310" s="12" t="inlineStr">
        <is>
          <t>MOD-EH: 13.8 kV modular collector e-house</t>
        </is>
      </c>
      <c r="B1310" s="12" t="inlineStr">
        <is>
          <t>MOD-EH</t>
        </is>
      </c>
      <c r="C1310" s="12" t="inlineStr">
        <is>
          <t>I</t>
        </is>
      </c>
      <c r="D1310" s="12" t="inlineStr">
        <is>
          <t>LV panel / distribution feeder</t>
        </is>
      </c>
      <c r="E1310" s="12" t="n">
        <v>480</v>
      </c>
      <c r="F1310" s="12" t="n">
        <v>30</v>
      </c>
      <c r="G1310" s="12" t="n">
        <v>42.5</v>
      </c>
      <c r="H1310" s="12" t="inlineStr">
        <is>
          <t>MOD-LV 480 V board + 480 V : 13.8 kV step-up</t>
        </is>
      </c>
      <c r="I1310" s="12" t="inlineStr">
        <is>
          <t>LV 600 V</t>
        </is>
      </c>
      <c r="J1310" s="12" t="inlineStr">
        <is>
          <t>4</t>
        </is>
      </c>
      <c r="K1310" s="12" t="n">
        <v>1</v>
      </c>
    </row>
    <row r="1311">
      <c r="A1311" s="12" t="inlineStr">
        <is>
          <t>MOD-LV 480 V board + 480 V : 13.8 kV step-up</t>
        </is>
      </c>
      <c r="B1311" s="12" t="inlineStr"/>
      <c r="C1311" s="12" t="inlineStr">
        <is>
          <t>I</t>
        </is>
      </c>
      <c r="D1311" s="12" t="inlineStr">
        <is>
          <t>Fuel-cell AC cabinet to MOD-LV</t>
        </is>
      </c>
      <c r="E1311" s="12" t="n">
        <v>480</v>
      </c>
      <c r="F1311" s="12" t="n">
        <v>1000</v>
      </c>
      <c r="G1311" s="12" t="n">
        <v>1266.2</v>
      </c>
      <c r="H1311" s="12" t="inlineStr">
        <is>
          <t>Fuel-cell inverter / AC cabinet / desulfurizer</t>
        </is>
      </c>
      <c r="I1311" s="12" t="inlineStr">
        <is>
          <t>LV 600 V</t>
        </is>
      </c>
      <c r="J1311" s="12" t="inlineStr">
        <is>
          <t>350 kcmil</t>
        </is>
      </c>
      <c r="K1311" s="12" t="n">
        <v>6</v>
      </c>
    </row>
    <row r="1312">
      <c r="A1312" s="12" t="inlineStr">
        <is>
          <t>MOD-LV 480 V board + 480 V : 13.8 kV step-up</t>
        </is>
      </c>
      <c r="B1312" s="12" t="inlineStr"/>
      <c r="C1312" s="12" t="inlineStr">
        <is>
          <t>I</t>
        </is>
      </c>
      <c r="D1312" s="12" t="inlineStr">
        <is>
          <t>Fuel-cell AC cabinet to MOD-LV</t>
        </is>
      </c>
      <c r="E1312" s="12" t="n">
        <v>480</v>
      </c>
      <c r="F1312" s="12" t="n">
        <v>2000</v>
      </c>
      <c r="G1312" s="12" t="n">
        <v>2532.3</v>
      </c>
      <c r="H1312" s="12" t="inlineStr">
        <is>
          <t>FC-5..12 inverter / AC cabinet / desulfurizer</t>
        </is>
      </c>
      <c r="I1312" s="12" t="inlineStr">
        <is>
          <t>LV 600 V</t>
        </is>
      </c>
      <c r="J1312" s="12" t="inlineStr">
        <is>
          <t>500 kcmil</t>
        </is>
      </c>
      <c r="K1312" s="12" t="n">
        <v>12</v>
      </c>
    </row>
    <row r="1313">
      <c r="A1313" s="12" t="inlineStr">
        <is>
          <t>MOD-LV 480 V board + 480 V : 13.8 kV step-up</t>
        </is>
      </c>
      <c r="B1313" s="12" t="inlineStr"/>
      <c r="C1313" s="12" t="inlineStr">
        <is>
          <t>I</t>
        </is>
      </c>
      <c r="D1313" s="12" t="inlineStr">
        <is>
          <t>MT-1 microturbine output</t>
        </is>
      </c>
      <c r="E1313" s="12" t="n">
        <v>480</v>
      </c>
      <c r="F1313" s="12" t="n">
        <v>1000</v>
      </c>
      <c r="G1313" s="12" t="n">
        <v>1266.2</v>
      </c>
      <c r="H1313" s="12" t="inlineStr">
        <is>
          <t>MT-1: microturbine 1 MW (Capstone C1000 class)</t>
        </is>
      </c>
      <c r="I1313" s="12" t="inlineStr">
        <is>
          <t>LV 600 V</t>
        </is>
      </c>
      <c r="J1313" s="12" t="inlineStr">
        <is>
          <t>350 kcmil</t>
        </is>
      </c>
      <c r="K1313" s="12" t="n">
        <v>6</v>
      </c>
    </row>
    <row r="1314">
      <c r="A1314" s="12" t="inlineStr">
        <is>
          <t>MOD-LV 480 V board + 480 V : 13.8 kV step-up</t>
        </is>
      </c>
      <c r="B1314" s="12" t="inlineStr"/>
      <c r="C1314" s="12" t="inlineStr">
        <is>
          <t>I</t>
        </is>
      </c>
      <c r="D1314" s="12" t="inlineStr">
        <is>
          <t>MT-2 microturbine output</t>
        </is>
      </c>
      <c r="E1314" s="12" t="n">
        <v>480</v>
      </c>
      <c r="F1314" s="12" t="n">
        <v>1000</v>
      </c>
      <c r="G1314" s="12" t="n">
        <v>1266.2</v>
      </c>
      <c r="H1314" s="12" t="inlineStr">
        <is>
          <t>MT-2: microturbine 1 MW (Capstone C1000 class)</t>
        </is>
      </c>
      <c r="I1314" s="12" t="inlineStr">
        <is>
          <t>LV 600 V</t>
        </is>
      </c>
      <c r="J1314" s="12" t="inlineStr">
        <is>
          <t>350 kcmil</t>
        </is>
      </c>
      <c r="K1314" s="12" t="n">
        <v>6</v>
      </c>
    </row>
    <row r="1315">
      <c r="A1315" s="12" t="inlineStr">
        <is>
          <t>MOD-LV 480 V board + 480 V : 13.8 kV step-up</t>
        </is>
      </c>
      <c r="B1315" s="12" t="inlineStr"/>
      <c r="C1315" s="12" t="inlineStr">
        <is>
          <t>I</t>
        </is>
      </c>
      <c r="D1315" s="12" t="inlineStr">
        <is>
          <t>MT-3 microturbine output</t>
        </is>
      </c>
      <c r="E1315" s="12" t="n">
        <v>480</v>
      </c>
      <c r="F1315" s="12" t="n">
        <v>1000</v>
      </c>
      <c r="G1315" s="12" t="n">
        <v>1266.2</v>
      </c>
      <c r="H1315" s="12" t="inlineStr">
        <is>
          <t>MT-3: microturbine 1 MW (Capstone C1000 class)</t>
        </is>
      </c>
      <c r="I1315" s="12" t="inlineStr">
        <is>
          <t>LV 600 V</t>
        </is>
      </c>
      <c r="J1315" s="12" t="inlineStr">
        <is>
          <t>350 kcmil</t>
        </is>
      </c>
      <c r="K1315" s="12" t="n">
        <v>6</v>
      </c>
    </row>
    <row r="1316">
      <c r="A1316" s="12" t="inlineStr">
        <is>
          <t>MOD-LV 480 V board + 480 V : 13.8 kV step-up</t>
        </is>
      </c>
      <c r="B1316" s="12" t="inlineStr"/>
      <c r="C1316" s="12" t="inlineStr">
        <is>
          <t>I</t>
        </is>
      </c>
      <c r="D1316" s="12" t="inlineStr">
        <is>
          <t>MT-4 microturbine output</t>
        </is>
      </c>
      <c r="E1316" s="12" t="n">
        <v>480</v>
      </c>
      <c r="F1316" s="12" t="n">
        <v>1000</v>
      </c>
      <c r="G1316" s="12" t="n">
        <v>1266.2</v>
      </c>
      <c r="H1316" s="12" t="inlineStr">
        <is>
          <t>MT-4: microturbine 1 MW (Capstone C1000 class)</t>
        </is>
      </c>
      <c r="I1316" s="12" t="inlineStr">
        <is>
          <t>LV 600 V</t>
        </is>
      </c>
      <c r="J1316" s="12" t="inlineStr">
        <is>
          <t>500 kcmil</t>
        </is>
      </c>
      <c r="K1316" s="12" t="n">
        <v>12</v>
      </c>
    </row>
    <row r="1317">
      <c r="A1317" s="12" t="inlineStr">
        <is>
          <t>MOD-LV 480 V board + 480 V : 13.8 kV step-up</t>
        </is>
      </c>
      <c r="B1317" s="12" t="inlineStr"/>
      <c r="C1317" s="12" t="inlineStr">
        <is>
          <t>I</t>
        </is>
      </c>
      <c r="D1317" s="12" t="inlineStr">
        <is>
          <t>MT-5 microturbine output</t>
        </is>
      </c>
      <c r="E1317" s="12" t="n">
        <v>480</v>
      </c>
      <c r="F1317" s="12" t="n">
        <v>1000</v>
      </c>
      <c r="G1317" s="12" t="n">
        <v>1266.2</v>
      </c>
      <c r="H1317" s="12" t="inlineStr">
        <is>
          <t>MT-5: microturbine 1 MW (Capstone C1000 class)</t>
        </is>
      </c>
      <c r="I1317" s="12" t="inlineStr">
        <is>
          <t>LV 600 V</t>
        </is>
      </c>
      <c r="J1317" s="12" t="inlineStr">
        <is>
          <t>500 kcmil</t>
        </is>
      </c>
      <c r="K1317" s="12" t="n">
        <v>12</v>
      </c>
    </row>
    <row r="1318">
      <c r="A1318" s="12" t="inlineStr">
        <is>
          <t>MOD-LV 480 V board + 480 V : 13.8 kV step-up</t>
        </is>
      </c>
      <c r="B1318" s="12" t="inlineStr"/>
      <c r="C1318" s="12" t="inlineStr">
        <is>
          <t>I</t>
        </is>
      </c>
      <c r="D1318" s="12" t="inlineStr">
        <is>
          <t>MT-6 microturbine output</t>
        </is>
      </c>
      <c r="E1318" s="12" t="n">
        <v>480</v>
      </c>
      <c r="F1318" s="12" t="n">
        <v>1000</v>
      </c>
      <c r="G1318" s="12" t="n">
        <v>1266.2</v>
      </c>
      <c r="H1318" s="12" t="inlineStr">
        <is>
          <t>MT-6: microturbine 1 MW (Capstone C1000 class)</t>
        </is>
      </c>
      <c r="I1318" s="12" t="inlineStr">
        <is>
          <t>LV 600 V</t>
        </is>
      </c>
      <c r="J1318" s="12" t="inlineStr">
        <is>
          <t>500 kcmil</t>
        </is>
      </c>
      <c r="K1318" s="12" t="n">
        <v>12</v>
      </c>
    </row>
    <row r="1319">
      <c r="A1319" s="12" t="inlineStr">
        <is>
          <t>PAD-TX 480 V : 13.8 kV</t>
        </is>
      </c>
      <c r="B1319" s="12" t="inlineStr">
        <is>
          <t>PAD-TX</t>
        </is>
      </c>
      <c r="C1319" s="12" t="inlineStr">
        <is>
          <t>I</t>
        </is>
      </c>
      <c r="D1319" s="12" t="inlineStr">
        <is>
          <t>PAD-LV to PAD-TX</t>
        </is>
      </c>
      <c r="E1319" s="12" t="n">
        <v>480</v>
      </c>
      <c r="F1319" s="12" t="n">
        <v>3000</v>
      </c>
      <c r="G1319" s="12" t="n">
        <v>3600</v>
      </c>
      <c r="H1319" s="12" t="inlineStr">
        <is>
          <t>PAD-LV 480 V paralleling switchboard</t>
        </is>
      </c>
      <c r="I1319" s="12" t="inlineStr">
        <is>
          <t>LV 600 V</t>
        </is>
      </c>
      <c r="J1319" s="12" t="inlineStr">
        <is>
          <t>500 kcmil</t>
        </is>
      </c>
      <c r="K1319" s="12" t="n">
        <v>12</v>
      </c>
    </row>
    <row r="1320">
      <c r="A1320" s="12" t="inlineStr">
        <is>
          <t>PCM: power control module</t>
        </is>
      </c>
      <c r="B1320" s="12" t="inlineStr"/>
      <c r="C1320" s="12" t="inlineStr">
        <is>
          <t>I</t>
        </is>
      </c>
      <c r="D1320" s="12" t="inlineStr">
        <is>
          <t>LV panel / distribution feeder</t>
        </is>
      </c>
      <c r="E1320" s="12" t="n">
        <v>480</v>
      </c>
      <c r="F1320" s="12" t="n">
        <v>38</v>
      </c>
      <c r="G1320" s="12" t="n">
        <v>53.8</v>
      </c>
      <c r="H1320" s="12" t="inlineStr">
        <is>
          <t>PCM: power control module</t>
        </is>
      </c>
      <c r="I1320" s="12" t="inlineStr">
        <is>
          <t>LV 600 V</t>
        </is>
      </c>
      <c r="J1320" s="12" t="inlineStr">
        <is>
          <t>4</t>
        </is>
      </c>
      <c r="K1320" s="12" t="n">
        <v>1</v>
      </c>
    </row>
    <row r="1321">
      <c r="A1321" s="12" t="inlineStr">
        <is>
          <t>RICE 1 SCR + oxidation catalyst and stack</t>
        </is>
      </c>
      <c r="B1321" s="12" t="inlineStr"/>
      <c r="C1321" s="12" t="inlineStr">
        <is>
          <t>I</t>
        </is>
      </c>
      <c r="D1321" s="12" t="inlineStr">
        <is>
          <t>Motor 1 of 1, 15 kW</t>
        </is>
      </c>
      <c r="E1321" s="12" t="n">
        <v>480</v>
      </c>
      <c r="F1321" s="12" t="n">
        <v>15</v>
      </c>
      <c r="G1321" s="12" t="n">
        <v>21.2</v>
      </c>
      <c r="H1321" s="12" t="inlineStr">
        <is>
          <t>PCM: power control module</t>
        </is>
      </c>
      <c r="I1321" s="12" t="inlineStr">
        <is>
          <t>LV 600 V</t>
        </is>
      </c>
      <c r="J1321" s="12" t="inlineStr">
        <is>
          <t>6</t>
        </is>
      </c>
      <c r="K1321" s="12" t="n">
        <v>1</v>
      </c>
    </row>
    <row r="1322">
      <c r="A1322" s="12" t="inlineStr">
        <is>
          <t>RICE 1 SCR + oxidation catalyst and stack</t>
        </is>
      </c>
      <c r="B1322" s="12" t="inlineStr"/>
      <c r="C1322" s="12" t="inlineStr">
        <is>
          <t>I</t>
        </is>
      </c>
      <c r="D1322" s="12" t="inlineStr">
        <is>
          <t>Area / platform lighting circuit 1 (6 fixtures)</t>
        </is>
      </c>
      <c r="E1322" s="12" t="n">
        <v>480</v>
      </c>
      <c r="F1322" s="12" t="n">
        <v>3</v>
      </c>
      <c r="G1322" s="12" t="n">
        <v>5</v>
      </c>
      <c r="H1322" s="12" t="inlineStr">
        <is>
          <t>PCM: power control module</t>
        </is>
      </c>
      <c r="I1322" s="12" t="inlineStr">
        <is>
          <t>LV 600 V</t>
        </is>
      </c>
      <c r="J1322" s="12" t="inlineStr">
        <is>
          <t>10</t>
        </is>
      </c>
      <c r="K1322" s="12" t="n">
        <v>1</v>
      </c>
    </row>
    <row r="1323">
      <c r="A1323" s="12" t="inlineStr">
        <is>
          <t>RICE 1 radiators (5)</t>
        </is>
      </c>
      <c r="B1323" s="12" t="inlineStr"/>
      <c r="C1323" s="12" t="inlineStr">
        <is>
          <t>I</t>
        </is>
      </c>
      <c r="D1323" s="12" t="inlineStr">
        <is>
          <t>Motor 1 of 5, 30 kW (VFD output)</t>
        </is>
      </c>
      <c r="E1323" s="12" t="n">
        <v>480</v>
      </c>
      <c r="F1323" s="12" t="n">
        <v>30</v>
      </c>
      <c r="G1323" s="12" t="n">
        <v>42</v>
      </c>
      <c r="H1323" s="12" t="inlineStr">
        <is>
          <t>PCM: power control module</t>
        </is>
      </c>
      <c r="I1323" s="12" t="inlineStr">
        <is>
          <t>LV 600 V</t>
        </is>
      </c>
      <c r="J1323" s="12" t="inlineStr">
        <is>
          <t>1</t>
        </is>
      </c>
      <c r="K1323" s="12" t="n">
        <v>1</v>
      </c>
    </row>
    <row r="1324">
      <c r="A1324" s="12" t="inlineStr">
        <is>
          <t>RICE 1 radiators (5)</t>
        </is>
      </c>
      <c r="B1324" s="12" t="inlineStr"/>
      <c r="C1324" s="12" t="inlineStr">
        <is>
          <t>I</t>
        </is>
      </c>
      <c r="D1324" s="12" t="inlineStr">
        <is>
          <t>Motor 2 of 5, 30 kW (VFD output)</t>
        </is>
      </c>
      <c r="E1324" s="12" t="n">
        <v>480</v>
      </c>
      <c r="F1324" s="12" t="n">
        <v>30</v>
      </c>
      <c r="G1324" s="12" t="n">
        <v>42</v>
      </c>
      <c r="H1324" s="12" t="inlineStr">
        <is>
          <t>PCM: power control module</t>
        </is>
      </c>
      <c r="I1324" s="12" t="inlineStr">
        <is>
          <t>LV 600 V</t>
        </is>
      </c>
      <c r="J1324" s="12" t="inlineStr">
        <is>
          <t>1</t>
        </is>
      </c>
      <c r="K1324" s="12" t="n">
        <v>1</v>
      </c>
    </row>
    <row r="1325">
      <c r="A1325" s="12" t="inlineStr">
        <is>
          <t>RICE 1 radiators (5)</t>
        </is>
      </c>
      <c r="B1325" s="12" t="inlineStr"/>
      <c r="C1325" s="12" t="inlineStr">
        <is>
          <t>I</t>
        </is>
      </c>
      <c r="D1325" s="12" t="inlineStr">
        <is>
          <t>Motor 3 of 5, 30 kW (VFD output)</t>
        </is>
      </c>
      <c r="E1325" s="12" t="n">
        <v>480</v>
      </c>
      <c r="F1325" s="12" t="n">
        <v>30</v>
      </c>
      <c r="G1325" s="12" t="n">
        <v>42</v>
      </c>
      <c r="H1325" s="12" t="inlineStr">
        <is>
          <t>PCM: power control module</t>
        </is>
      </c>
      <c r="I1325" s="12" t="inlineStr">
        <is>
          <t>LV 600 V</t>
        </is>
      </c>
      <c r="J1325" s="12" t="inlineStr">
        <is>
          <t>1</t>
        </is>
      </c>
      <c r="K1325" s="12" t="n">
        <v>1</v>
      </c>
    </row>
    <row r="1326">
      <c r="A1326" s="12" t="inlineStr">
        <is>
          <t>RICE 1 radiators (5)</t>
        </is>
      </c>
      <c r="B1326" s="12" t="inlineStr"/>
      <c r="C1326" s="12" t="inlineStr">
        <is>
          <t>I</t>
        </is>
      </c>
      <c r="D1326" s="12" t="inlineStr">
        <is>
          <t>Motor 4 of 5, 30 kW (VFD output)</t>
        </is>
      </c>
      <c r="E1326" s="12" t="n">
        <v>480</v>
      </c>
      <c r="F1326" s="12" t="n">
        <v>30</v>
      </c>
      <c r="G1326" s="12" t="n">
        <v>42</v>
      </c>
      <c r="H1326" s="12" t="inlineStr">
        <is>
          <t>PCM: power control module</t>
        </is>
      </c>
      <c r="I1326" s="12" t="inlineStr">
        <is>
          <t>LV 600 V</t>
        </is>
      </c>
      <c r="J1326" s="12" t="inlineStr">
        <is>
          <t>1</t>
        </is>
      </c>
      <c r="K1326" s="12" t="n">
        <v>1</v>
      </c>
    </row>
    <row r="1327">
      <c r="A1327" s="12" t="inlineStr">
        <is>
          <t>RICE 1 radiators (5)</t>
        </is>
      </c>
      <c r="B1327" s="12" t="inlineStr"/>
      <c r="C1327" s="12" t="inlineStr">
        <is>
          <t>I</t>
        </is>
      </c>
      <c r="D1327" s="12" t="inlineStr">
        <is>
          <t>Motor 5 of 5, 30 kW (VFD output)</t>
        </is>
      </c>
      <c r="E1327" s="12" t="n">
        <v>480</v>
      </c>
      <c r="F1327" s="12" t="n">
        <v>30</v>
      </c>
      <c r="G1327" s="12" t="n">
        <v>42</v>
      </c>
      <c r="H1327" s="12" t="inlineStr">
        <is>
          <t>PCM: power control module</t>
        </is>
      </c>
      <c r="I1327" s="12" t="inlineStr">
        <is>
          <t>LV 600 V</t>
        </is>
      </c>
      <c r="J1327" s="12" t="inlineStr">
        <is>
          <t>1</t>
        </is>
      </c>
      <c r="K1327" s="12" t="n">
        <v>1</v>
      </c>
    </row>
    <row r="1328">
      <c r="A1328" s="12" t="inlineStr">
        <is>
          <t>RICE 2 SCR + oxidation catalyst and stack</t>
        </is>
      </c>
      <c r="B1328" s="12" t="inlineStr"/>
      <c r="C1328" s="12" t="inlineStr">
        <is>
          <t>I</t>
        </is>
      </c>
      <c r="D1328" s="12" t="inlineStr">
        <is>
          <t>Motor 1 of 1, 15 kW</t>
        </is>
      </c>
      <c r="E1328" s="12" t="n">
        <v>480</v>
      </c>
      <c r="F1328" s="12" t="n">
        <v>15</v>
      </c>
      <c r="G1328" s="12" t="n">
        <v>21.2</v>
      </c>
      <c r="H1328" s="12" t="inlineStr">
        <is>
          <t>PCM: power control module</t>
        </is>
      </c>
      <c r="I1328" s="12" t="inlineStr">
        <is>
          <t>LV 600 V</t>
        </is>
      </c>
      <c r="J1328" s="12" t="inlineStr">
        <is>
          <t>6</t>
        </is>
      </c>
      <c r="K1328" s="12" t="n">
        <v>1</v>
      </c>
    </row>
    <row r="1329">
      <c r="A1329" s="12" t="inlineStr">
        <is>
          <t>RICE 2 SCR + oxidation catalyst and stack</t>
        </is>
      </c>
      <c r="B1329" s="12" t="inlineStr"/>
      <c r="C1329" s="12" t="inlineStr">
        <is>
          <t>I</t>
        </is>
      </c>
      <c r="D1329" s="12" t="inlineStr">
        <is>
          <t>Area / platform lighting circuit 1 (6 fixtures)</t>
        </is>
      </c>
      <c r="E1329" s="12" t="n">
        <v>480</v>
      </c>
      <c r="F1329" s="12" t="n">
        <v>3</v>
      </c>
      <c r="G1329" s="12" t="n">
        <v>5</v>
      </c>
      <c r="H1329" s="12" t="inlineStr">
        <is>
          <t>PCM: power control module</t>
        </is>
      </c>
      <c r="I1329" s="12" t="inlineStr">
        <is>
          <t>LV 600 V</t>
        </is>
      </c>
      <c r="J1329" s="12" t="inlineStr">
        <is>
          <t>10</t>
        </is>
      </c>
      <c r="K1329" s="12" t="n">
        <v>1</v>
      </c>
    </row>
    <row r="1330">
      <c r="A1330" s="12" t="inlineStr">
        <is>
          <t>RICE 2 radiators (5)</t>
        </is>
      </c>
      <c r="B1330" s="12" t="inlineStr"/>
      <c r="C1330" s="12" t="inlineStr">
        <is>
          <t>I</t>
        </is>
      </c>
      <c r="D1330" s="12" t="inlineStr">
        <is>
          <t>Motor 1 of 5, 30 kW (VFD output)</t>
        </is>
      </c>
      <c r="E1330" s="12" t="n">
        <v>480</v>
      </c>
      <c r="F1330" s="12" t="n">
        <v>30</v>
      </c>
      <c r="G1330" s="12" t="n">
        <v>42</v>
      </c>
      <c r="H1330" s="12" t="inlineStr">
        <is>
          <t>PCM: power control module</t>
        </is>
      </c>
      <c r="I1330" s="12" t="inlineStr">
        <is>
          <t>LV 600 V</t>
        </is>
      </c>
      <c r="J1330" s="12" t="inlineStr">
        <is>
          <t>2</t>
        </is>
      </c>
      <c r="K1330" s="12" t="n">
        <v>1</v>
      </c>
    </row>
    <row r="1331">
      <c r="A1331" s="12" t="inlineStr">
        <is>
          <t>RICE 2 radiators (5)</t>
        </is>
      </c>
      <c r="B1331" s="12" t="inlineStr"/>
      <c r="C1331" s="12" t="inlineStr">
        <is>
          <t>I</t>
        </is>
      </c>
      <c r="D1331" s="12" t="inlineStr">
        <is>
          <t>Motor 2 of 5, 30 kW (VFD output)</t>
        </is>
      </c>
      <c r="E1331" s="12" t="n">
        <v>480</v>
      </c>
      <c r="F1331" s="12" t="n">
        <v>30</v>
      </c>
      <c r="G1331" s="12" t="n">
        <v>42</v>
      </c>
      <c r="H1331" s="12" t="inlineStr">
        <is>
          <t>PCM: power control module</t>
        </is>
      </c>
      <c r="I1331" s="12" t="inlineStr">
        <is>
          <t>LV 600 V</t>
        </is>
      </c>
      <c r="J1331" s="12" t="inlineStr">
        <is>
          <t>2</t>
        </is>
      </c>
      <c r="K1331" s="12" t="n">
        <v>1</v>
      </c>
    </row>
    <row r="1332">
      <c r="A1332" s="12" t="inlineStr">
        <is>
          <t>RICE 2 radiators (5)</t>
        </is>
      </c>
      <c r="B1332" s="12" t="inlineStr"/>
      <c r="C1332" s="12" t="inlineStr">
        <is>
          <t>I</t>
        </is>
      </c>
      <c r="D1332" s="12" t="inlineStr">
        <is>
          <t>Motor 3 of 5, 30 kW (VFD output)</t>
        </is>
      </c>
      <c r="E1332" s="12" t="n">
        <v>480</v>
      </c>
      <c r="F1332" s="12" t="n">
        <v>30</v>
      </c>
      <c r="G1332" s="12" t="n">
        <v>42</v>
      </c>
      <c r="H1332" s="12" t="inlineStr">
        <is>
          <t>PCM: power control module</t>
        </is>
      </c>
      <c r="I1332" s="12" t="inlineStr">
        <is>
          <t>LV 600 V</t>
        </is>
      </c>
      <c r="J1332" s="12" t="inlineStr">
        <is>
          <t>2</t>
        </is>
      </c>
      <c r="K1332" s="12" t="n">
        <v>1</v>
      </c>
    </row>
    <row r="1333">
      <c r="A1333" s="12" t="inlineStr">
        <is>
          <t>RICE 2 radiators (5)</t>
        </is>
      </c>
      <c r="B1333" s="12" t="inlineStr"/>
      <c r="C1333" s="12" t="inlineStr">
        <is>
          <t>I</t>
        </is>
      </c>
      <c r="D1333" s="12" t="inlineStr">
        <is>
          <t>Motor 4 of 5, 30 kW (VFD output)</t>
        </is>
      </c>
      <c r="E1333" s="12" t="n">
        <v>480</v>
      </c>
      <c r="F1333" s="12" t="n">
        <v>30</v>
      </c>
      <c r="G1333" s="12" t="n">
        <v>42</v>
      </c>
      <c r="H1333" s="12" t="inlineStr">
        <is>
          <t>PCM: power control module</t>
        </is>
      </c>
      <c r="I1333" s="12" t="inlineStr">
        <is>
          <t>LV 600 V</t>
        </is>
      </c>
      <c r="J1333" s="12" t="inlineStr">
        <is>
          <t>2</t>
        </is>
      </c>
      <c r="K1333" s="12" t="n">
        <v>1</v>
      </c>
    </row>
    <row r="1334">
      <c r="A1334" s="12" t="inlineStr">
        <is>
          <t>RICE 2 radiators (5)</t>
        </is>
      </c>
      <c r="B1334" s="12" t="inlineStr"/>
      <c r="C1334" s="12" t="inlineStr">
        <is>
          <t>I</t>
        </is>
      </c>
      <c r="D1334" s="12" t="inlineStr">
        <is>
          <t>Motor 5 of 5, 30 kW (VFD output)</t>
        </is>
      </c>
      <c r="E1334" s="12" t="n">
        <v>480</v>
      </c>
      <c r="F1334" s="12" t="n">
        <v>30</v>
      </c>
      <c r="G1334" s="12" t="n">
        <v>42</v>
      </c>
      <c r="H1334" s="12" t="inlineStr">
        <is>
          <t>PCM: power control module</t>
        </is>
      </c>
      <c r="I1334" s="12" t="inlineStr">
        <is>
          <t>LV 600 V</t>
        </is>
      </c>
      <c r="J1334" s="12" t="inlineStr">
        <is>
          <t>2</t>
        </is>
      </c>
      <c r="K1334" s="12" t="n">
        <v>1</v>
      </c>
    </row>
    <row r="1335">
      <c r="A1335" s="12" t="inlineStr">
        <is>
          <t>RICE 3 SCR + oxidation catalyst and stack</t>
        </is>
      </c>
      <c r="B1335" s="12" t="inlineStr"/>
      <c r="C1335" s="12" t="inlineStr">
        <is>
          <t>I</t>
        </is>
      </c>
      <c r="D1335" s="12" t="inlineStr">
        <is>
          <t>Motor 1 of 1, 15 kW</t>
        </is>
      </c>
      <c r="E1335" s="12" t="n">
        <v>480</v>
      </c>
      <c r="F1335" s="12" t="n">
        <v>15</v>
      </c>
      <c r="G1335" s="12" t="n">
        <v>21.2</v>
      </c>
      <c r="H1335" s="12" t="inlineStr">
        <is>
          <t>PCM: power control module</t>
        </is>
      </c>
      <c r="I1335" s="12" t="inlineStr">
        <is>
          <t>LV 600 V</t>
        </is>
      </c>
      <c r="J1335" s="12" t="inlineStr">
        <is>
          <t>6</t>
        </is>
      </c>
      <c r="K1335" s="12" t="n">
        <v>1</v>
      </c>
    </row>
    <row r="1336">
      <c r="A1336" s="12" t="inlineStr">
        <is>
          <t>RICE 3 SCR + oxidation catalyst and stack</t>
        </is>
      </c>
      <c r="B1336" s="12" t="inlineStr"/>
      <c r="C1336" s="12" t="inlineStr">
        <is>
          <t>I</t>
        </is>
      </c>
      <c r="D1336" s="12" t="inlineStr">
        <is>
          <t>Area / platform lighting circuit 1 (6 fixtures)</t>
        </is>
      </c>
      <c r="E1336" s="12" t="n">
        <v>480</v>
      </c>
      <c r="F1336" s="12" t="n">
        <v>3</v>
      </c>
      <c r="G1336" s="12" t="n">
        <v>5</v>
      </c>
      <c r="H1336" s="12" t="inlineStr">
        <is>
          <t>PCM: power control module</t>
        </is>
      </c>
      <c r="I1336" s="12" t="inlineStr">
        <is>
          <t>LV 600 V</t>
        </is>
      </c>
      <c r="J1336" s="12" t="inlineStr">
        <is>
          <t>10</t>
        </is>
      </c>
      <c r="K1336" s="12" t="n">
        <v>1</v>
      </c>
    </row>
    <row r="1337">
      <c r="A1337" s="12" t="inlineStr">
        <is>
          <t>RICE 3 radiators (5)</t>
        </is>
      </c>
      <c r="B1337" s="12" t="inlineStr"/>
      <c r="C1337" s="12" t="inlineStr">
        <is>
          <t>I</t>
        </is>
      </c>
      <c r="D1337" s="12" t="inlineStr">
        <is>
          <t>Motor 1 of 5, 30 kW (VFD output)</t>
        </is>
      </c>
      <c r="E1337" s="12" t="n">
        <v>480</v>
      </c>
      <c r="F1337" s="12" t="n">
        <v>30</v>
      </c>
      <c r="G1337" s="12" t="n">
        <v>42</v>
      </c>
      <c r="H1337" s="12" t="inlineStr">
        <is>
          <t>PCM: power control module</t>
        </is>
      </c>
      <c r="I1337" s="12" t="inlineStr">
        <is>
          <t>LV 600 V</t>
        </is>
      </c>
      <c r="J1337" s="12" t="inlineStr">
        <is>
          <t>6</t>
        </is>
      </c>
      <c r="K1337" s="12" t="n">
        <v>1</v>
      </c>
    </row>
    <row r="1338">
      <c r="A1338" s="12" t="inlineStr">
        <is>
          <t>RICE 3 radiators (5)</t>
        </is>
      </c>
      <c r="B1338" s="12" t="inlineStr"/>
      <c r="C1338" s="12" t="inlineStr">
        <is>
          <t>I</t>
        </is>
      </c>
      <c r="D1338" s="12" t="inlineStr">
        <is>
          <t>Motor 2 of 5, 30 kW (VFD output)</t>
        </is>
      </c>
      <c r="E1338" s="12" t="n">
        <v>480</v>
      </c>
      <c r="F1338" s="12" t="n">
        <v>30</v>
      </c>
      <c r="G1338" s="12" t="n">
        <v>42</v>
      </c>
      <c r="H1338" s="12" t="inlineStr">
        <is>
          <t>PCM: power control module</t>
        </is>
      </c>
      <c r="I1338" s="12" t="inlineStr">
        <is>
          <t>LV 600 V</t>
        </is>
      </c>
      <c r="J1338" s="12" t="inlineStr">
        <is>
          <t>6</t>
        </is>
      </c>
      <c r="K1338" s="12" t="n">
        <v>1</v>
      </c>
    </row>
    <row r="1339">
      <c r="A1339" s="12" t="inlineStr">
        <is>
          <t>RICE 3 radiators (5)</t>
        </is>
      </c>
      <c r="B1339" s="12" t="inlineStr"/>
      <c r="C1339" s="12" t="inlineStr">
        <is>
          <t>I</t>
        </is>
      </c>
      <c r="D1339" s="12" t="inlineStr">
        <is>
          <t>Motor 3 of 5, 30 kW (VFD output)</t>
        </is>
      </c>
      <c r="E1339" s="12" t="n">
        <v>480</v>
      </c>
      <c r="F1339" s="12" t="n">
        <v>30</v>
      </c>
      <c r="G1339" s="12" t="n">
        <v>42</v>
      </c>
      <c r="H1339" s="12" t="inlineStr">
        <is>
          <t>PCM: power control module</t>
        </is>
      </c>
      <c r="I1339" s="12" t="inlineStr">
        <is>
          <t>LV 600 V</t>
        </is>
      </c>
      <c r="J1339" s="12" t="inlineStr">
        <is>
          <t>6</t>
        </is>
      </c>
      <c r="K1339" s="12" t="n">
        <v>1</v>
      </c>
    </row>
    <row r="1340">
      <c r="A1340" s="12" t="inlineStr">
        <is>
          <t>RICE 3 radiators (5)</t>
        </is>
      </c>
      <c r="B1340" s="12" t="inlineStr"/>
      <c r="C1340" s="12" t="inlineStr">
        <is>
          <t>I</t>
        </is>
      </c>
      <c r="D1340" s="12" t="inlineStr">
        <is>
          <t>Motor 4 of 5, 30 kW (VFD output)</t>
        </is>
      </c>
      <c r="E1340" s="12" t="n">
        <v>480</v>
      </c>
      <c r="F1340" s="12" t="n">
        <v>30</v>
      </c>
      <c r="G1340" s="12" t="n">
        <v>42</v>
      </c>
      <c r="H1340" s="12" t="inlineStr">
        <is>
          <t>PCM: power control module</t>
        </is>
      </c>
      <c r="I1340" s="12" t="inlineStr">
        <is>
          <t>LV 600 V</t>
        </is>
      </c>
      <c r="J1340" s="12" t="inlineStr">
        <is>
          <t>6</t>
        </is>
      </c>
      <c r="K1340" s="12" t="n">
        <v>1</v>
      </c>
    </row>
    <row r="1341">
      <c r="A1341" s="12" t="inlineStr">
        <is>
          <t>RICE 3 radiators (5)</t>
        </is>
      </c>
      <c r="B1341" s="12" t="inlineStr"/>
      <c r="C1341" s="12" t="inlineStr">
        <is>
          <t>I</t>
        </is>
      </c>
      <c r="D1341" s="12" t="inlineStr">
        <is>
          <t>Motor 5 of 5, 30 kW (VFD output)</t>
        </is>
      </c>
      <c r="E1341" s="12" t="n">
        <v>480</v>
      </c>
      <c r="F1341" s="12" t="n">
        <v>30</v>
      </c>
      <c r="G1341" s="12" t="n">
        <v>42</v>
      </c>
      <c r="H1341" s="12" t="inlineStr">
        <is>
          <t>PCM: power control module</t>
        </is>
      </c>
      <c r="I1341" s="12" t="inlineStr">
        <is>
          <t>LV 600 V</t>
        </is>
      </c>
      <c r="J1341" s="12" t="inlineStr">
        <is>
          <t>6</t>
        </is>
      </c>
      <c r="K1341" s="12" t="n">
        <v>1</v>
      </c>
    </row>
    <row r="1342">
      <c r="A1342" s="12" t="inlineStr">
        <is>
          <t>RICE 4 SCR + oxidation catalyst and stack</t>
        </is>
      </c>
      <c r="B1342" s="12" t="inlineStr"/>
      <c r="C1342" s="12" t="inlineStr">
        <is>
          <t>I</t>
        </is>
      </c>
      <c r="D1342" s="12" t="inlineStr">
        <is>
          <t>Motor 1 of 1, 15 kW</t>
        </is>
      </c>
      <c r="E1342" s="12" t="n">
        <v>480</v>
      </c>
      <c r="F1342" s="12" t="n">
        <v>15</v>
      </c>
      <c r="G1342" s="12" t="n">
        <v>21.2</v>
      </c>
      <c r="H1342" s="12" t="inlineStr">
        <is>
          <t>PCM: power control module</t>
        </is>
      </c>
      <c r="I1342" s="12" t="inlineStr">
        <is>
          <t>LV 600 V</t>
        </is>
      </c>
      <c r="J1342" s="12" t="inlineStr">
        <is>
          <t>6</t>
        </is>
      </c>
      <c r="K1342" s="12" t="n">
        <v>1</v>
      </c>
    </row>
    <row r="1343">
      <c r="A1343" s="12" t="inlineStr">
        <is>
          <t>RICE 4 SCR + oxidation catalyst and stack</t>
        </is>
      </c>
      <c r="B1343" s="12" t="inlineStr"/>
      <c r="C1343" s="12" t="inlineStr">
        <is>
          <t>I</t>
        </is>
      </c>
      <c r="D1343" s="12" t="inlineStr">
        <is>
          <t>Area / platform lighting circuit 1 (6 fixtures)</t>
        </is>
      </c>
      <c r="E1343" s="12" t="n">
        <v>480</v>
      </c>
      <c r="F1343" s="12" t="n">
        <v>3</v>
      </c>
      <c r="G1343" s="12" t="n">
        <v>5</v>
      </c>
      <c r="H1343" s="12" t="inlineStr">
        <is>
          <t>PCM: power control module</t>
        </is>
      </c>
      <c r="I1343" s="12" t="inlineStr">
        <is>
          <t>LV 600 V</t>
        </is>
      </c>
      <c r="J1343" s="12" t="inlineStr">
        <is>
          <t>10</t>
        </is>
      </c>
      <c r="K1343" s="12" t="n">
        <v>1</v>
      </c>
    </row>
    <row r="1344">
      <c r="A1344" s="12" t="inlineStr">
        <is>
          <t>RICE 4 radiators (5)</t>
        </is>
      </c>
      <c r="B1344" s="12" t="inlineStr"/>
      <c r="C1344" s="12" t="inlineStr">
        <is>
          <t>I</t>
        </is>
      </c>
      <c r="D1344" s="12" t="inlineStr">
        <is>
          <t>Motor 1 of 5, 30 kW (VFD output)</t>
        </is>
      </c>
      <c r="E1344" s="12" t="n">
        <v>480</v>
      </c>
      <c r="F1344" s="12" t="n">
        <v>30</v>
      </c>
      <c r="G1344" s="12" t="n">
        <v>42</v>
      </c>
      <c r="H1344" s="12" t="inlineStr">
        <is>
          <t>PCM: power control module</t>
        </is>
      </c>
      <c r="I1344" s="12" t="inlineStr">
        <is>
          <t>LV 600 V</t>
        </is>
      </c>
      <c r="J1344" s="12" t="inlineStr">
        <is>
          <t>6</t>
        </is>
      </c>
      <c r="K1344" s="12" t="n">
        <v>1</v>
      </c>
    </row>
    <row r="1345">
      <c r="A1345" s="12" t="inlineStr">
        <is>
          <t>RICE 4 radiators (5)</t>
        </is>
      </c>
      <c r="B1345" s="12" t="inlineStr"/>
      <c r="C1345" s="12" t="inlineStr">
        <is>
          <t>I</t>
        </is>
      </c>
      <c r="D1345" s="12" t="inlineStr">
        <is>
          <t>Motor 2 of 5, 30 kW (VFD output)</t>
        </is>
      </c>
      <c r="E1345" s="12" t="n">
        <v>480</v>
      </c>
      <c r="F1345" s="12" t="n">
        <v>30</v>
      </c>
      <c r="G1345" s="12" t="n">
        <v>42</v>
      </c>
      <c r="H1345" s="12" t="inlineStr">
        <is>
          <t>PCM: power control module</t>
        </is>
      </c>
      <c r="I1345" s="12" t="inlineStr">
        <is>
          <t>LV 600 V</t>
        </is>
      </c>
      <c r="J1345" s="12" t="inlineStr">
        <is>
          <t>6</t>
        </is>
      </c>
      <c r="K1345" s="12" t="n">
        <v>1</v>
      </c>
    </row>
    <row r="1346">
      <c r="A1346" s="12" t="inlineStr">
        <is>
          <t>RICE 4 radiators (5)</t>
        </is>
      </c>
      <c r="B1346" s="12" t="inlineStr"/>
      <c r="C1346" s="12" t="inlineStr">
        <is>
          <t>I</t>
        </is>
      </c>
      <c r="D1346" s="12" t="inlineStr">
        <is>
          <t>Motor 3 of 5, 30 kW (VFD output)</t>
        </is>
      </c>
      <c r="E1346" s="12" t="n">
        <v>480</v>
      </c>
      <c r="F1346" s="12" t="n">
        <v>30</v>
      </c>
      <c r="G1346" s="12" t="n">
        <v>42</v>
      </c>
      <c r="H1346" s="12" t="inlineStr">
        <is>
          <t>PCM: power control module</t>
        </is>
      </c>
      <c r="I1346" s="12" t="inlineStr">
        <is>
          <t>LV 600 V</t>
        </is>
      </c>
      <c r="J1346" s="12" t="inlineStr">
        <is>
          <t>6</t>
        </is>
      </c>
      <c r="K1346" s="12" t="n">
        <v>1</v>
      </c>
    </row>
    <row r="1347">
      <c r="A1347" s="12" t="inlineStr">
        <is>
          <t>RICE 4 radiators (5)</t>
        </is>
      </c>
      <c r="B1347" s="12" t="inlineStr"/>
      <c r="C1347" s="12" t="inlineStr">
        <is>
          <t>I</t>
        </is>
      </c>
      <c r="D1347" s="12" t="inlineStr">
        <is>
          <t>Motor 4 of 5, 30 kW (VFD output)</t>
        </is>
      </c>
      <c r="E1347" s="12" t="n">
        <v>480</v>
      </c>
      <c r="F1347" s="12" t="n">
        <v>30</v>
      </c>
      <c r="G1347" s="12" t="n">
        <v>42</v>
      </c>
      <c r="H1347" s="12" t="inlineStr">
        <is>
          <t>PCM: power control module</t>
        </is>
      </c>
      <c r="I1347" s="12" t="inlineStr">
        <is>
          <t>LV 600 V</t>
        </is>
      </c>
      <c r="J1347" s="12" t="inlineStr">
        <is>
          <t>6</t>
        </is>
      </c>
      <c r="K1347" s="12" t="n">
        <v>1</v>
      </c>
    </row>
    <row r="1348">
      <c r="A1348" s="12" t="inlineStr">
        <is>
          <t>RICE 4 radiators (5)</t>
        </is>
      </c>
      <c r="B1348" s="12" t="inlineStr"/>
      <c r="C1348" s="12" t="inlineStr">
        <is>
          <t>I</t>
        </is>
      </c>
      <c r="D1348" s="12" t="inlineStr">
        <is>
          <t>Motor 5 of 5, 30 kW (VFD output)</t>
        </is>
      </c>
      <c r="E1348" s="12" t="n">
        <v>480</v>
      </c>
      <c r="F1348" s="12" t="n">
        <v>30</v>
      </c>
      <c r="G1348" s="12" t="n">
        <v>42</v>
      </c>
      <c r="H1348" s="12" t="inlineStr">
        <is>
          <t>PCM: power control module</t>
        </is>
      </c>
      <c r="I1348" s="12" t="inlineStr">
        <is>
          <t>LV 600 V</t>
        </is>
      </c>
      <c r="J1348" s="12" t="inlineStr">
        <is>
          <t>6</t>
        </is>
      </c>
      <c r="K1348" s="12" t="n">
        <v>1</v>
      </c>
    </row>
    <row r="1349">
      <c r="A1349" s="12" t="inlineStr">
        <is>
          <t>RICE 5 SCR + oxidation catalyst and stack</t>
        </is>
      </c>
      <c r="B1349" s="12" t="inlineStr"/>
      <c r="C1349" s="12" t="inlineStr">
        <is>
          <t>I</t>
        </is>
      </c>
      <c r="D1349" s="12" t="inlineStr">
        <is>
          <t>Motor 1 of 1, 15 kW</t>
        </is>
      </c>
      <c r="E1349" s="12" t="n">
        <v>480</v>
      </c>
      <c r="F1349" s="12" t="n">
        <v>15</v>
      </c>
      <c r="G1349" s="12" t="n">
        <v>21.2</v>
      </c>
      <c r="H1349" s="12" t="inlineStr">
        <is>
          <t>PCM: power control module</t>
        </is>
      </c>
      <c r="I1349" s="12" t="inlineStr">
        <is>
          <t>LV 600 V</t>
        </is>
      </c>
      <c r="J1349" s="12" t="inlineStr">
        <is>
          <t>6</t>
        </is>
      </c>
      <c r="K1349" s="12" t="n">
        <v>1</v>
      </c>
    </row>
    <row r="1350">
      <c r="A1350" s="12" t="inlineStr">
        <is>
          <t>RICE 5 SCR + oxidation catalyst and stack</t>
        </is>
      </c>
      <c r="B1350" s="12" t="inlineStr"/>
      <c r="C1350" s="12" t="inlineStr">
        <is>
          <t>I</t>
        </is>
      </c>
      <c r="D1350" s="12" t="inlineStr">
        <is>
          <t>Area / platform lighting circuit 1 (6 fixtures)</t>
        </is>
      </c>
      <c r="E1350" s="12" t="n">
        <v>480</v>
      </c>
      <c r="F1350" s="12" t="n">
        <v>3</v>
      </c>
      <c r="G1350" s="12" t="n">
        <v>5</v>
      </c>
      <c r="H1350" s="12" t="inlineStr">
        <is>
          <t>PCM: power control module</t>
        </is>
      </c>
      <c r="I1350" s="12" t="inlineStr">
        <is>
          <t>LV 600 V</t>
        </is>
      </c>
      <c r="J1350" s="12" t="inlineStr">
        <is>
          <t>10</t>
        </is>
      </c>
      <c r="K1350" s="12" t="n">
        <v>1</v>
      </c>
    </row>
    <row r="1351">
      <c r="A1351" s="12" t="inlineStr">
        <is>
          <t>RICE 5 radiators (5)</t>
        </is>
      </c>
      <c r="B1351" s="12" t="inlineStr"/>
      <c r="C1351" s="12" t="inlineStr">
        <is>
          <t>I</t>
        </is>
      </c>
      <c r="D1351" s="12" t="inlineStr">
        <is>
          <t>Motor 1 of 5, 30 kW (VFD output)</t>
        </is>
      </c>
      <c r="E1351" s="12" t="n">
        <v>480</v>
      </c>
      <c r="F1351" s="12" t="n">
        <v>30</v>
      </c>
      <c r="G1351" s="12" t="n">
        <v>42</v>
      </c>
      <c r="H1351" s="12" t="inlineStr">
        <is>
          <t>PCM: power control module</t>
        </is>
      </c>
      <c r="I1351" s="12" t="inlineStr">
        <is>
          <t>LV 600 V</t>
        </is>
      </c>
      <c r="J1351" s="12" t="inlineStr">
        <is>
          <t>6</t>
        </is>
      </c>
      <c r="K1351" s="12" t="n">
        <v>1</v>
      </c>
    </row>
    <row r="1352">
      <c r="A1352" s="12" t="inlineStr">
        <is>
          <t>RICE 5 radiators (5)</t>
        </is>
      </c>
      <c r="B1352" s="12" t="inlineStr"/>
      <c r="C1352" s="12" t="inlineStr">
        <is>
          <t>I</t>
        </is>
      </c>
      <c r="D1352" s="12" t="inlineStr">
        <is>
          <t>Motor 2 of 5, 30 kW (VFD output)</t>
        </is>
      </c>
      <c r="E1352" s="12" t="n">
        <v>480</v>
      </c>
      <c r="F1352" s="12" t="n">
        <v>30</v>
      </c>
      <c r="G1352" s="12" t="n">
        <v>42</v>
      </c>
      <c r="H1352" s="12" t="inlineStr">
        <is>
          <t>PCM: power control module</t>
        </is>
      </c>
      <c r="I1352" s="12" t="inlineStr">
        <is>
          <t>LV 600 V</t>
        </is>
      </c>
      <c r="J1352" s="12" t="inlineStr">
        <is>
          <t>6</t>
        </is>
      </c>
      <c r="K1352" s="12" t="n">
        <v>1</v>
      </c>
    </row>
    <row r="1353">
      <c r="A1353" s="12" t="inlineStr">
        <is>
          <t>RICE 5 radiators (5)</t>
        </is>
      </c>
      <c r="B1353" s="12" t="inlineStr"/>
      <c r="C1353" s="12" t="inlineStr">
        <is>
          <t>I</t>
        </is>
      </c>
      <c r="D1353" s="12" t="inlineStr">
        <is>
          <t>Motor 3 of 5, 30 kW (VFD output)</t>
        </is>
      </c>
      <c r="E1353" s="12" t="n">
        <v>480</v>
      </c>
      <c r="F1353" s="12" t="n">
        <v>30</v>
      </c>
      <c r="G1353" s="12" t="n">
        <v>42</v>
      </c>
      <c r="H1353" s="12" t="inlineStr">
        <is>
          <t>PCM: power control module</t>
        </is>
      </c>
      <c r="I1353" s="12" t="inlineStr">
        <is>
          <t>LV 600 V</t>
        </is>
      </c>
      <c r="J1353" s="12" t="inlineStr">
        <is>
          <t>6</t>
        </is>
      </c>
      <c r="K1353" s="12" t="n">
        <v>1</v>
      </c>
    </row>
    <row r="1354">
      <c r="A1354" s="12" t="inlineStr">
        <is>
          <t>RICE 5 radiators (5)</t>
        </is>
      </c>
      <c r="B1354" s="12" t="inlineStr"/>
      <c r="C1354" s="12" t="inlineStr">
        <is>
          <t>I</t>
        </is>
      </c>
      <c r="D1354" s="12" t="inlineStr">
        <is>
          <t>Motor 4 of 5, 30 kW (VFD output)</t>
        </is>
      </c>
      <c r="E1354" s="12" t="n">
        <v>480</v>
      </c>
      <c r="F1354" s="12" t="n">
        <v>30</v>
      </c>
      <c r="G1354" s="12" t="n">
        <v>42</v>
      </c>
      <c r="H1354" s="12" t="inlineStr">
        <is>
          <t>PCM: power control module</t>
        </is>
      </c>
      <c r="I1354" s="12" t="inlineStr">
        <is>
          <t>LV 600 V</t>
        </is>
      </c>
      <c r="J1354" s="12" t="inlineStr">
        <is>
          <t>6</t>
        </is>
      </c>
      <c r="K1354" s="12" t="n">
        <v>1</v>
      </c>
    </row>
    <row r="1355">
      <c r="A1355" s="12" t="inlineStr">
        <is>
          <t>RICE 5 radiators (5)</t>
        </is>
      </c>
      <c r="B1355" s="12" t="inlineStr"/>
      <c r="C1355" s="12" t="inlineStr">
        <is>
          <t>I</t>
        </is>
      </c>
      <c r="D1355" s="12" t="inlineStr">
        <is>
          <t>Motor 5 of 5, 30 kW (VFD output)</t>
        </is>
      </c>
      <c r="E1355" s="12" t="n">
        <v>480</v>
      </c>
      <c r="F1355" s="12" t="n">
        <v>30</v>
      </c>
      <c r="G1355" s="12" t="n">
        <v>42</v>
      </c>
      <c r="H1355" s="12" t="inlineStr">
        <is>
          <t>PCM: power control module</t>
        </is>
      </c>
      <c r="I1355" s="12" t="inlineStr">
        <is>
          <t>LV 600 V</t>
        </is>
      </c>
      <c r="J1355" s="12" t="inlineStr">
        <is>
          <t>6</t>
        </is>
      </c>
      <c r="K1355" s="12" t="n">
        <v>1</v>
      </c>
    </row>
    <row r="1356">
      <c r="A1356" s="12" t="inlineStr">
        <is>
          <t>RICE 6 SCR + oxidation catalyst and stack</t>
        </is>
      </c>
      <c r="B1356" s="12" t="inlineStr"/>
      <c r="C1356" s="12" t="inlineStr">
        <is>
          <t>I</t>
        </is>
      </c>
      <c r="D1356" s="12" t="inlineStr">
        <is>
          <t>Motor 1 of 1, 15 kW</t>
        </is>
      </c>
      <c r="E1356" s="12" t="n">
        <v>480</v>
      </c>
      <c r="F1356" s="12" t="n">
        <v>15</v>
      </c>
      <c r="G1356" s="12" t="n">
        <v>21.2</v>
      </c>
      <c r="H1356" s="12" t="inlineStr">
        <is>
          <t>PCM: power control module</t>
        </is>
      </c>
      <c r="I1356" s="12" t="inlineStr">
        <is>
          <t>LV 600 V</t>
        </is>
      </c>
      <c r="J1356" s="12" t="inlineStr">
        <is>
          <t>6</t>
        </is>
      </c>
      <c r="K1356" s="12" t="n">
        <v>1</v>
      </c>
    </row>
    <row r="1357">
      <c r="A1357" s="12" t="inlineStr">
        <is>
          <t>RICE 6 SCR + oxidation catalyst and stack</t>
        </is>
      </c>
      <c r="B1357" s="12" t="inlineStr"/>
      <c r="C1357" s="12" t="inlineStr">
        <is>
          <t>I</t>
        </is>
      </c>
      <c r="D1357" s="12" t="inlineStr">
        <is>
          <t>Area / platform lighting circuit 1 (6 fixtures)</t>
        </is>
      </c>
      <c r="E1357" s="12" t="n">
        <v>480</v>
      </c>
      <c r="F1357" s="12" t="n">
        <v>3</v>
      </c>
      <c r="G1357" s="12" t="n">
        <v>5</v>
      </c>
      <c r="H1357" s="12" t="inlineStr">
        <is>
          <t>PCM: power control module</t>
        </is>
      </c>
      <c r="I1357" s="12" t="inlineStr">
        <is>
          <t>LV 600 V</t>
        </is>
      </c>
      <c r="J1357" s="12" t="inlineStr">
        <is>
          <t>10</t>
        </is>
      </c>
      <c r="K1357" s="12" t="n">
        <v>1</v>
      </c>
    </row>
    <row r="1358">
      <c r="A1358" s="12" t="inlineStr">
        <is>
          <t>RICE 6 radiators (5)</t>
        </is>
      </c>
      <c r="B1358" s="12" t="inlineStr"/>
      <c r="C1358" s="12" t="inlineStr">
        <is>
          <t>I</t>
        </is>
      </c>
      <c r="D1358" s="12" t="inlineStr">
        <is>
          <t>Motor 1 of 5, 30 kW (VFD output)</t>
        </is>
      </c>
      <c r="E1358" s="12" t="n">
        <v>480</v>
      </c>
      <c r="F1358" s="12" t="n">
        <v>30</v>
      </c>
      <c r="G1358" s="12" t="n">
        <v>42</v>
      </c>
      <c r="H1358" s="12" t="inlineStr">
        <is>
          <t>PCM: power control module</t>
        </is>
      </c>
      <c r="I1358" s="12" t="inlineStr">
        <is>
          <t>LV 600 V</t>
        </is>
      </c>
      <c r="J1358" s="12" t="inlineStr">
        <is>
          <t>6</t>
        </is>
      </c>
      <c r="K1358" s="12" t="n">
        <v>1</v>
      </c>
    </row>
    <row r="1359">
      <c r="A1359" s="12" t="inlineStr">
        <is>
          <t>RICE 6 radiators (5)</t>
        </is>
      </c>
      <c r="B1359" s="12" t="inlineStr"/>
      <c r="C1359" s="12" t="inlineStr">
        <is>
          <t>I</t>
        </is>
      </c>
      <c r="D1359" s="12" t="inlineStr">
        <is>
          <t>Motor 2 of 5, 30 kW (VFD output)</t>
        </is>
      </c>
      <c r="E1359" s="12" t="n">
        <v>480</v>
      </c>
      <c r="F1359" s="12" t="n">
        <v>30</v>
      </c>
      <c r="G1359" s="12" t="n">
        <v>42</v>
      </c>
      <c r="H1359" s="12" t="inlineStr">
        <is>
          <t>PCM: power control module</t>
        </is>
      </c>
      <c r="I1359" s="12" t="inlineStr">
        <is>
          <t>LV 600 V</t>
        </is>
      </c>
      <c r="J1359" s="12" t="inlineStr">
        <is>
          <t>6</t>
        </is>
      </c>
      <c r="K1359" s="12" t="n">
        <v>1</v>
      </c>
    </row>
    <row r="1360">
      <c r="A1360" s="12" t="inlineStr">
        <is>
          <t>RICE 6 radiators (5)</t>
        </is>
      </c>
      <c r="B1360" s="12" t="inlineStr"/>
      <c r="C1360" s="12" t="inlineStr">
        <is>
          <t>I</t>
        </is>
      </c>
      <c r="D1360" s="12" t="inlineStr">
        <is>
          <t>Motor 3 of 5, 30 kW (VFD output)</t>
        </is>
      </c>
      <c r="E1360" s="12" t="n">
        <v>480</v>
      </c>
      <c r="F1360" s="12" t="n">
        <v>30</v>
      </c>
      <c r="G1360" s="12" t="n">
        <v>42</v>
      </c>
      <c r="H1360" s="12" t="inlineStr">
        <is>
          <t>PCM: power control module</t>
        </is>
      </c>
      <c r="I1360" s="12" t="inlineStr">
        <is>
          <t>LV 600 V</t>
        </is>
      </c>
      <c r="J1360" s="12" t="inlineStr">
        <is>
          <t>6</t>
        </is>
      </c>
      <c r="K1360" s="12" t="n">
        <v>1</v>
      </c>
    </row>
    <row r="1361">
      <c r="A1361" s="12" t="inlineStr">
        <is>
          <t>RICE 6 radiators (5)</t>
        </is>
      </c>
      <c r="B1361" s="12" t="inlineStr"/>
      <c r="C1361" s="12" t="inlineStr">
        <is>
          <t>I</t>
        </is>
      </c>
      <c r="D1361" s="12" t="inlineStr">
        <is>
          <t>Motor 4 of 5, 30 kW (VFD output)</t>
        </is>
      </c>
      <c r="E1361" s="12" t="n">
        <v>480</v>
      </c>
      <c r="F1361" s="12" t="n">
        <v>30</v>
      </c>
      <c r="G1361" s="12" t="n">
        <v>42</v>
      </c>
      <c r="H1361" s="12" t="inlineStr">
        <is>
          <t>PCM: power control module</t>
        </is>
      </c>
      <c r="I1361" s="12" t="inlineStr">
        <is>
          <t>LV 600 V</t>
        </is>
      </c>
      <c r="J1361" s="12" t="inlineStr">
        <is>
          <t>6</t>
        </is>
      </c>
      <c r="K1361" s="12" t="n">
        <v>1</v>
      </c>
    </row>
    <row r="1362">
      <c r="A1362" s="12" t="inlineStr">
        <is>
          <t>RICE 6 radiators (5)</t>
        </is>
      </c>
      <c r="B1362" s="12" t="inlineStr"/>
      <c r="C1362" s="12" t="inlineStr">
        <is>
          <t>I</t>
        </is>
      </c>
      <c r="D1362" s="12" t="inlineStr">
        <is>
          <t>Motor 5 of 5, 30 kW (VFD output)</t>
        </is>
      </c>
      <c r="E1362" s="12" t="n">
        <v>480</v>
      </c>
      <c r="F1362" s="12" t="n">
        <v>30</v>
      </c>
      <c r="G1362" s="12" t="n">
        <v>42</v>
      </c>
      <c r="H1362" s="12" t="inlineStr">
        <is>
          <t>PCM: power control module</t>
        </is>
      </c>
      <c r="I1362" s="12" t="inlineStr">
        <is>
          <t>LV 600 V</t>
        </is>
      </c>
      <c r="J1362" s="12" t="inlineStr">
        <is>
          <t>6</t>
        </is>
      </c>
      <c r="K1362" s="12" t="n">
        <v>1</v>
      </c>
    </row>
    <row r="1363">
      <c r="A1363" s="12" t="inlineStr">
        <is>
          <t>RICE 7 SCR + oxidation catalyst and stack</t>
        </is>
      </c>
      <c r="B1363" s="12" t="inlineStr"/>
      <c r="C1363" s="12" t="inlineStr">
        <is>
          <t>I</t>
        </is>
      </c>
      <c r="D1363" s="12" t="inlineStr">
        <is>
          <t>Motor 1 of 1, 15 kW</t>
        </is>
      </c>
      <c r="E1363" s="12" t="n">
        <v>480</v>
      </c>
      <c r="F1363" s="12" t="n">
        <v>15</v>
      </c>
      <c r="G1363" s="12" t="n">
        <v>21.2</v>
      </c>
      <c r="H1363" s="12" t="inlineStr">
        <is>
          <t>PCM: power control module</t>
        </is>
      </c>
      <c r="I1363" s="12" t="inlineStr">
        <is>
          <t>LV 600 V</t>
        </is>
      </c>
      <c r="J1363" s="12" t="inlineStr">
        <is>
          <t>8</t>
        </is>
      </c>
      <c r="K1363" s="12" t="n">
        <v>1</v>
      </c>
    </row>
    <row r="1364">
      <c r="A1364" s="12" t="inlineStr">
        <is>
          <t>RICE 7 SCR + oxidation catalyst and stack</t>
        </is>
      </c>
      <c r="B1364" s="12" t="inlineStr"/>
      <c r="C1364" s="12" t="inlineStr">
        <is>
          <t>I</t>
        </is>
      </c>
      <c r="D1364" s="12" t="inlineStr">
        <is>
          <t>Area / platform lighting circuit 1 (6 fixtures)</t>
        </is>
      </c>
      <c r="E1364" s="12" t="n">
        <v>480</v>
      </c>
      <c r="F1364" s="12" t="n">
        <v>3</v>
      </c>
      <c r="G1364" s="12" t="n">
        <v>5</v>
      </c>
      <c r="H1364" s="12" t="inlineStr">
        <is>
          <t>PCM: power control module</t>
        </is>
      </c>
      <c r="I1364" s="12" t="inlineStr">
        <is>
          <t>LV 600 V</t>
        </is>
      </c>
      <c r="J1364" s="12" t="inlineStr">
        <is>
          <t>10</t>
        </is>
      </c>
      <c r="K1364" s="12" t="n">
        <v>1</v>
      </c>
    </row>
    <row r="1365">
      <c r="A1365" s="12" t="inlineStr">
        <is>
          <t>RICE 7 radiators (5)</t>
        </is>
      </c>
      <c r="B1365" s="12" t="inlineStr"/>
      <c r="C1365" s="12" t="inlineStr">
        <is>
          <t>I</t>
        </is>
      </c>
      <c r="D1365" s="12" t="inlineStr">
        <is>
          <t>Motor 1 of 5, 30 kW (VFD output)</t>
        </is>
      </c>
      <c r="E1365" s="12" t="n">
        <v>480</v>
      </c>
      <c r="F1365" s="12" t="n">
        <v>30</v>
      </c>
      <c r="G1365" s="12" t="n">
        <v>42</v>
      </c>
      <c r="H1365" s="12" t="inlineStr">
        <is>
          <t>PCM: power control module</t>
        </is>
      </c>
      <c r="I1365" s="12" t="inlineStr">
        <is>
          <t>LV 600 V</t>
        </is>
      </c>
      <c r="J1365" s="12" t="inlineStr">
        <is>
          <t>6</t>
        </is>
      </c>
      <c r="K1365" s="12" t="n">
        <v>1</v>
      </c>
    </row>
    <row r="1366">
      <c r="A1366" s="12" t="inlineStr">
        <is>
          <t>RICE 7 radiators (5)</t>
        </is>
      </c>
      <c r="B1366" s="12" t="inlineStr"/>
      <c r="C1366" s="12" t="inlineStr">
        <is>
          <t>I</t>
        </is>
      </c>
      <c r="D1366" s="12" t="inlineStr">
        <is>
          <t>Motor 2 of 5, 30 kW (VFD output)</t>
        </is>
      </c>
      <c r="E1366" s="12" t="n">
        <v>480</v>
      </c>
      <c r="F1366" s="12" t="n">
        <v>30</v>
      </c>
      <c r="G1366" s="12" t="n">
        <v>42</v>
      </c>
      <c r="H1366" s="12" t="inlineStr">
        <is>
          <t>PCM: power control module</t>
        </is>
      </c>
      <c r="I1366" s="12" t="inlineStr">
        <is>
          <t>LV 600 V</t>
        </is>
      </c>
      <c r="J1366" s="12" t="inlineStr">
        <is>
          <t>6</t>
        </is>
      </c>
      <c r="K1366" s="12" t="n">
        <v>1</v>
      </c>
    </row>
    <row r="1367">
      <c r="A1367" s="12" t="inlineStr">
        <is>
          <t>RICE 7 radiators (5)</t>
        </is>
      </c>
      <c r="B1367" s="12" t="inlineStr"/>
      <c r="C1367" s="12" t="inlineStr">
        <is>
          <t>I</t>
        </is>
      </c>
      <c r="D1367" s="12" t="inlineStr">
        <is>
          <t>Motor 3 of 5, 30 kW (VFD output)</t>
        </is>
      </c>
      <c r="E1367" s="12" t="n">
        <v>480</v>
      </c>
      <c r="F1367" s="12" t="n">
        <v>30</v>
      </c>
      <c r="G1367" s="12" t="n">
        <v>42</v>
      </c>
      <c r="H1367" s="12" t="inlineStr">
        <is>
          <t>PCM: power control module</t>
        </is>
      </c>
      <c r="I1367" s="12" t="inlineStr">
        <is>
          <t>LV 600 V</t>
        </is>
      </c>
      <c r="J1367" s="12" t="inlineStr">
        <is>
          <t>6</t>
        </is>
      </c>
      <c r="K1367" s="12" t="n">
        <v>1</v>
      </c>
    </row>
    <row r="1368">
      <c r="A1368" s="12" t="inlineStr">
        <is>
          <t>RICE 7 radiators (5)</t>
        </is>
      </c>
      <c r="B1368" s="12" t="inlineStr"/>
      <c r="C1368" s="12" t="inlineStr">
        <is>
          <t>I</t>
        </is>
      </c>
      <c r="D1368" s="12" t="inlineStr">
        <is>
          <t>Motor 4 of 5, 30 kW (VFD output)</t>
        </is>
      </c>
      <c r="E1368" s="12" t="n">
        <v>480</v>
      </c>
      <c r="F1368" s="12" t="n">
        <v>30</v>
      </c>
      <c r="G1368" s="12" t="n">
        <v>42</v>
      </c>
      <c r="H1368" s="12" t="inlineStr">
        <is>
          <t>PCM: power control module</t>
        </is>
      </c>
      <c r="I1368" s="12" t="inlineStr">
        <is>
          <t>LV 600 V</t>
        </is>
      </c>
      <c r="J1368" s="12" t="inlineStr">
        <is>
          <t>6</t>
        </is>
      </c>
      <c r="K1368" s="12" t="n">
        <v>1</v>
      </c>
    </row>
    <row r="1369">
      <c r="A1369" s="12" t="inlineStr">
        <is>
          <t>RICE 7 radiators (5)</t>
        </is>
      </c>
      <c r="B1369" s="12" t="inlineStr"/>
      <c r="C1369" s="12" t="inlineStr">
        <is>
          <t>I</t>
        </is>
      </c>
      <c r="D1369" s="12" t="inlineStr">
        <is>
          <t>Motor 5 of 5, 30 kW (VFD output)</t>
        </is>
      </c>
      <c r="E1369" s="12" t="n">
        <v>480</v>
      </c>
      <c r="F1369" s="12" t="n">
        <v>30</v>
      </c>
      <c r="G1369" s="12" t="n">
        <v>42</v>
      </c>
      <c r="H1369" s="12" t="inlineStr">
        <is>
          <t>PCM: power control module</t>
        </is>
      </c>
      <c r="I1369" s="12" t="inlineStr">
        <is>
          <t>LV 600 V</t>
        </is>
      </c>
      <c r="J1369" s="12" t="inlineStr">
        <is>
          <t>6</t>
        </is>
      </c>
      <c r="K1369" s="12" t="n">
        <v>1</v>
      </c>
    </row>
    <row r="1370">
      <c r="A1370" s="12" t="inlineStr">
        <is>
          <t>RICE 8 SCR + oxidation catalyst and stack</t>
        </is>
      </c>
      <c r="B1370" s="12" t="inlineStr"/>
      <c r="C1370" s="12" t="inlineStr">
        <is>
          <t>I</t>
        </is>
      </c>
      <c r="D1370" s="12" t="inlineStr">
        <is>
          <t>Motor 1 of 1, 15 kW</t>
        </is>
      </c>
      <c r="E1370" s="12" t="n">
        <v>480</v>
      </c>
      <c r="F1370" s="12" t="n">
        <v>15</v>
      </c>
      <c r="G1370" s="12" t="n">
        <v>21.2</v>
      </c>
      <c r="H1370" s="12" t="inlineStr">
        <is>
          <t>PCM: power control module</t>
        </is>
      </c>
      <c r="I1370" s="12" t="inlineStr">
        <is>
          <t>LV 600 V</t>
        </is>
      </c>
      <c r="J1370" s="12" t="inlineStr">
        <is>
          <t>8</t>
        </is>
      </c>
      <c r="K1370" s="12" t="n">
        <v>1</v>
      </c>
    </row>
    <row r="1371">
      <c r="A1371" s="12" t="inlineStr">
        <is>
          <t>RICE 8 SCR + oxidation catalyst and stack</t>
        </is>
      </c>
      <c r="B1371" s="12" t="inlineStr"/>
      <c r="C1371" s="12" t="inlineStr">
        <is>
          <t>I</t>
        </is>
      </c>
      <c r="D1371" s="12" t="inlineStr">
        <is>
          <t>Area / platform lighting circuit 1 (6 fixtures)</t>
        </is>
      </c>
      <c r="E1371" s="12" t="n">
        <v>480</v>
      </c>
      <c r="F1371" s="12" t="n">
        <v>3</v>
      </c>
      <c r="G1371" s="12" t="n">
        <v>5</v>
      </c>
      <c r="H1371" s="12" t="inlineStr">
        <is>
          <t>PCM: power control module</t>
        </is>
      </c>
      <c r="I1371" s="12" t="inlineStr">
        <is>
          <t>LV 600 V</t>
        </is>
      </c>
      <c r="J1371" s="12" t="inlineStr">
        <is>
          <t>10</t>
        </is>
      </c>
      <c r="K1371" s="12" t="n">
        <v>1</v>
      </c>
    </row>
    <row r="1372">
      <c r="A1372" s="12" t="inlineStr">
        <is>
          <t>RICE 8 radiators (5)</t>
        </is>
      </c>
      <c r="B1372" s="12" t="inlineStr"/>
      <c r="C1372" s="12" t="inlineStr">
        <is>
          <t>I</t>
        </is>
      </c>
      <c r="D1372" s="12" t="inlineStr">
        <is>
          <t>Motor 1 of 5, 30 kW (VFD output)</t>
        </is>
      </c>
      <c r="E1372" s="12" t="n">
        <v>480</v>
      </c>
      <c r="F1372" s="12" t="n">
        <v>30</v>
      </c>
      <c r="G1372" s="12" t="n">
        <v>42</v>
      </c>
      <c r="H1372" s="12" t="inlineStr">
        <is>
          <t>PCM: power control module</t>
        </is>
      </c>
      <c r="I1372" s="12" t="inlineStr">
        <is>
          <t>LV 600 V</t>
        </is>
      </c>
      <c r="J1372" s="12" t="inlineStr">
        <is>
          <t>6</t>
        </is>
      </c>
      <c r="K1372" s="12" t="n">
        <v>1</v>
      </c>
    </row>
    <row r="1373">
      <c r="A1373" s="12" t="inlineStr">
        <is>
          <t>RICE 8 radiators (5)</t>
        </is>
      </c>
      <c r="B1373" s="12" t="inlineStr"/>
      <c r="C1373" s="12" t="inlineStr">
        <is>
          <t>I</t>
        </is>
      </c>
      <c r="D1373" s="12" t="inlineStr">
        <is>
          <t>Motor 2 of 5, 30 kW (VFD output)</t>
        </is>
      </c>
      <c r="E1373" s="12" t="n">
        <v>480</v>
      </c>
      <c r="F1373" s="12" t="n">
        <v>30</v>
      </c>
      <c r="G1373" s="12" t="n">
        <v>42</v>
      </c>
      <c r="H1373" s="12" t="inlineStr">
        <is>
          <t>PCM: power control module</t>
        </is>
      </c>
      <c r="I1373" s="12" t="inlineStr">
        <is>
          <t>LV 600 V</t>
        </is>
      </c>
      <c r="J1373" s="12" t="inlineStr">
        <is>
          <t>6</t>
        </is>
      </c>
      <c r="K1373" s="12" t="n">
        <v>1</v>
      </c>
    </row>
    <row r="1374">
      <c r="A1374" s="12" t="inlineStr">
        <is>
          <t>RICE 8 radiators (5)</t>
        </is>
      </c>
      <c r="B1374" s="12" t="inlineStr"/>
      <c r="C1374" s="12" t="inlineStr">
        <is>
          <t>I</t>
        </is>
      </c>
      <c r="D1374" s="12" t="inlineStr">
        <is>
          <t>Motor 3 of 5, 30 kW (VFD output)</t>
        </is>
      </c>
      <c r="E1374" s="12" t="n">
        <v>480</v>
      </c>
      <c r="F1374" s="12" t="n">
        <v>30</v>
      </c>
      <c r="G1374" s="12" t="n">
        <v>42</v>
      </c>
      <c r="H1374" s="12" t="inlineStr">
        <is>
          <t>PCM: power control module</t>
        </is>
      </c>
      <c r="I1374" s="12" t="inlineStr">
        <is>
          <t>LV 600 V</t>
        </is>
      </c>
      <c r="J1374" s="12" t="inlineStr">
        <is>
          <t>6</t>
        </is>
      </c>
      <c r="K1374" s="12" t="n">
        <v>1</v>
      </c>
    </row>
    <row r="1375">
      <c r="A1375" s="12" t="inlineStr">
        <is>
          <t>RICE 8 radiators (5)</t>
        </is>
      </c>
      <c r="B1375" s="12" t="inlineStr"/>
      <c r="C1375" s="12" t="inlineStr">
        <is>
          <t>I</t>
        </is>
      </c>
      <c r="D1375" s="12" t="inlineStr">
        <is>
          <t>Motor 4 of 5, 30 kW (VFD output)</t>
        </is>
      </c>
      <c r="E1375" s="12" t="n">
        <v>480</v>
      </c>
      <c r="F1375" s="12" t="n">
        <v>30</v>
      </c>
      <c r="G1375" s="12" t="n">
        <v>42</v>
      </c>
      <c r="H1375" s="12" t="inlineStr">
        <is>
          <t>PCM: power control module</t>
        </is>
      </c>
      <c r="I1375" s="12" t="inlineStr">
        <is>
          <t>LV 600 V</t>
        </is>
      </c>
      <c r="J1375" s="12" t="inlineStr">
        <is>
          <t>6</t>
        </is>
      </c>
      <c r="K1375" s="12" t="n">
        <v>1</v>
      </c>
    </row>
    <row r="1376">
      <c r="A1376" s="12" t="inlineStr">
        <is>
          <t>RICE 8 radiators (5)</t>
        </is>
      </c>
      <c r="B1376" s="12" t="inlineStr"/>
      <c r="C1376" s="12" t="inlineStr">
        <is>
          <t>I</t>
        </is>
      </c>
      <c r="D1376" s="12" t="inlineStr">
        <is>
          <t>Motor 5 of 5, 30 kW (VFD output)</t>
        </is>
      </c>
      <c r="E1376" s="12" t="n">
        <v>480</v>
      </c>
      <c r="F1376" s="12" t="n">
        <v>30</v>
      </c>
      <c r="G1376" s="12" t="n">
        <v>42</v>
      </c>
      <c r="H1376" s="12" t="inlineStr">
        <is>
          <t>PCM: power control module</t>
        </is>
      </c>
      <c r="I1376" s="12" t="inlineStr">
        <is>
          <t>LV 600 V</t>
        </is>
      </c>
      <c r="J1376" s="12" t="inlineStr">
        <is>
          <t>6</t>
        </is>
      </c>
      <c r="K1376" s="12" t="n">
        <v>1</v>
      </c>
    </row>
    <row r="1377">
      <c r="A1377" s="12" t="inlineStr">
        <is>
          <t>RICE CEMS</t>
        </is>
      </c>
      <c r="B1377" s="12" t="inlineStr"/>
      <c r="C1377" s="12" t="inlineStr">
        <is>
          <t>I</t>
        </is>
      </c>
      <c r="D1377" s="12" t="inlineStr">
        <is>
          <t>LV panel / distribution feeder</t>
        </is>
      </c>
      <c r="E1377" s="12" t="n">
        <v>480</v>
      </c>
      <c r="F1377" s="12" t="n">
        <v>30</v>
      </c>
      <c r="G1377" s="12" t="n">
        <v>42.5</v>
      </c>
      <c r="H1377" s="12" t="inlineStr">
        <is>
          <t>PCM: power control module</t>
        </is>
      </c>
      <c r="I1377" s="12" t="inlineStr">
        <is>
          <t>LV 600 V</t>
        </is>
      </c>
      <c r="J1377" s="12" t="inlineStr">
        <is>
          <t>4</t>
        </is>
      </c>
      <c r="K1377" s="12" t="n">
        <v>1</v>
      </c>
    </row>
    <row r="1378">
      <c r="A1378" s="12" t="inlineStr">
        <is>
          <t>RICE engine hall (8 engines)</t>
        </is>
      </c>
      <c r="B1378" s="12" t="inlineStr">
        <is>
          <t>RICE</t>
        </is>
      </c>
      <c r="C1378" s="12" t="inlineStr">
        <is>
          <t>I</t>
        </is>
      </c>
      <c r="D1378" s="12" t="inlineStr">
        <is>
          <t>LV power feeder</t>
        </is>
      </c>
      <c r="E1378" s="12" t="n">
        <v>480</v>
      </c>
      <c r="F1378" s="12" t="n">
        <v>15</v>
      </c>
      <c r="G1378" s="12" t="n">
        <v>21.2</v>
      </c>
      <c r="H1378" s="12" t="inlineStr">
        <is>
          <t>PCM: power control module</t>
        </is>
      </c>
      <c r="I1378" s="12" t="inlineStr">
        <is>
          <t>LV 600 V</t>
        </is>
      </c>
      <c r="J1378" s="12" t="inlineStr">
        <is>
          <t>8</t>
        </is>
      </c>
      <c r="K1378" s="12" t="n">
        <v>1</v>
      </c>
    </row>
    <row r="1379">
      <c r="A1379" s="12" t="inlineStr">
        <is>
          <t>RICE engine-generator 1</t>
        </is>
      </c>
      <c r="B1379" s="12" t="inlineStr">
        <is>
          <t>RICE-1</t>
        </is>
      </c>
      <c r="C1379" s="12" t="inlineStr">
        <is>
          <t>I</t>
        </is>
      </c>
      <c r="D1379" s="12" t="inlineStr">
        <is>
          <t>Motor 1 of 6, 22 kW</t>
        </is>
      </c>
      <c r="E1379" s="12" t="n">
        <v>480</v>
      </c>
      <c r="F1379" s="12" t="n">
        <v>22</v>
      </c>
      <c r="G1379" s="12" t="n">
        <v>31.1</v>
      </c>
      <c r="H1379" s="12" t="inlineStr">
        <is>
          <t>PCM: power control module</t>
        </is>
      </c>
      <c r="I1379" s="12" t="inlineStr">
        <is>
          <t>LV 600 V</t>
        </is>
      </c>
      <c r="J1379" s="12" t="inlineStr">
        <is>
          <t>4</t>
        </is>
      </c>
      <c r="K1379" s="12" t="n">
        <v>1</v>
      </c>
    </row>
    <row r="1380">
      <c r="A1380" s="12" t="inlineStr">
        <is>
          <t>RICE engine-generator 1</t>
        </is>
      </c>
      <c r="B1380" s="12" t="inlineStr">
        <is>
          <t>RICE-1</t>
        </is>
      </c>
      <c r="C1380" s="12" t="inlineStr">
        <is>
          <t>I</t>
        </is>
      </c>
      <c r="D1380" s="12" t="inlineStr">
        <is>
          <t>Motor 2 of 6, 22 kW</t>
        </is>
      </c>
      <c r="E1380" s="12" t="n">
        <v>480</v>
      </c>
      <c r="F1380" s="12" t="n">
        <v>22</v>
      </c>
      <c r="G1380" s="12" t="n">
        <v>31.1</v>
      </c>
      <c r="H1380" s="12" t="inlineStr">
        <is>
          <t>PCM: power control module</t>
        </is>
      </c>
      <c r="I1380" s="12" t="inlineStr">
        <is>
          <t>LV 600 V</t>
        </is>
      </c>
      <c r="J1380" s="12" t="inlineStr">
        <is>
          <t>4</t>
        </is>
      </c>
      <c r="K1380" s="12" t="n">
        <v>1</v>
      </c>
    </row>
    <row r="1381">
      <c r="A1381" s="12" t="inlineStr">
        <is>
          <t>RICE engine-generator 1</t>
        </is>
      </c>
      <c r="B1381" s="12" t="inlineStr">
        <is>
          <t>RICE-1</t>
        </is>
      </c>
      <c r="C1381" s="12" t="inlineStr">
        <is>
          <t>I</t>
        </is>
      </c>
      <c r="D1381" s="12" t="inlineStr">
        <is>
          <t>Motor 3 of 6, 22 kW</t>
        </is>
      </c>
      <c r="E1381" s="12" t="n">
        <v>480</v>
      </c>
      <c r="F1381" s="12" t="n">
        <v>22</v>
      </c>
      <c r="G1381" s="12" t="n">
        <v>31.1</v>
      </c>
      <c r="H1381" s="12" t="inlineStr">
        <is>
          <t>PCM: power control module</t>
        </is>
      </c>
      <c r="I1381" s="12" t="inlineStr">
        <is>
          <t>LV 600 V</t>
        </is>
      </c>
      <c r="J1381" s="12" t="inlineStr">
        <is>
          <t>4</t>
        </is>
      </c>
      <c r="K1381" s="12" t="n">
        <v>1</v>
      </c>
    </row>
    <row r="1382">
      <c r="A1382" s="12" t="inlineStr">
        <is>
          <t>RICE engine-generator 1</t>
        </is>
      </c>
      <c r="B1382" s="12" t="inlineStr">
        <is>
          <t>RICE-1</t>
        </is>
      </c>
      <c r="C1382" s="12" t="inlineStr">
        <is>
          <t>I</t>
        </is>
      </c>
      <c r="D1382" s="12" t="inlineStr">
        <is>
          <t>Motor 4 of 6, 22 kW</t>
        </is>
      </c>
      <c r="E1382" s="12" t="n">
        <v>480</v>
      </c>
      <c r="F1382" s="12" t="n">
        <v>22</v>
      </c>
      <c r="G1382" s="12" t="n">
        <v>31.1</v>
      </c>
      <c r="H1382" s="12" t="inlineStr">
        <is>
          <t>PCM: power control module</t>
        </is>
      </c>
      <c r="I1382" s="12" t="inlineStr">
        <is>
          <t>LV 600 V</t>
        </is>
      </c>
      <c r="J1382" s="12" t="inlineStr">
        <is>
          <t>4</t>
        </is>
      </c>
      <c r="K1382" s="12" t="n">
        <v>1</v>
      </c>
    </row>
    <row r="1383">
      <c r="A1383" s="12" t="inlineStr">
        <is>
          <t>RICE engine-generator 1</t>
        </is>
      </c>
      <c r="B1383" s="12" t="inlineStr">
        <is>
          <t>RICE-1</t>
        </is>
      </c>
      <c r="C1383" s="12" t="inlineStr">
        <is>
          <t>I</t>
        </is>
      </c>
      <c r="D1383" s="12" t="inlineStr">
        <is>
          <t>Motor 5 of 6, 22 kW</t>
        </is>
      </c>
      <c r="E1383" s="12" t="n">
        <v>480</v>
      </c>
      <c r="F1383" s="12" t="n">
        <v>22</v>
      </c>
      <c r="G1383" s="12" t="n">
        <v>31.1</v>
      </c>
      <c r="H1383" s="12" t="inlineStr">
        <is>
          <t>PCM: power control module</t>
        </is>
      </c>
      <c r="I1383" s="12" t="inlineStr">
        <is>
          <t>LV 600 V</t>
        </is>
      </c>
      <c r="J1383" s="12" t="inlineStr">
        <is>
          <t>4</t>
        </is>
      </c>
      <c r="K1383" s="12" t="n">
        <v>1</v>
      </c>
    </row>
    <row r="1384">
      <c r="A1384" s="12" t="inlineStr">
        <is>
          <t>RICE engine-generator 1</t>
        </is>
      </c>
      <c r="B1384" s="12" t="inlineStr">
        <is>
          <t>RICE-1</t>
        </is>
      </c>
      <c r="C1384" s="12" t="inlineStr">
        <is>
          <t>I</t>
        </is>
      </c>
      <c r="D1384" s="12" t="inlineStr">
        <is>
          <t>Motor 6 of 6, 22 kW</t>
        </is>
      </c>
      <c r="E1384" s="12" t="n">
        <v>480</v>
      </c>
      <c r="F1384" s="12" t="n">
        <v>22</v>
      </c>
      <c r="G1384" s="12" t="n">
        <v>31.1</v>
      </c>
      <c r="H1384" s="12" t="inlineStr">
        <is>
          <t>PCM: power control module</t>
        </is>
      </c>
      <c r="I1384" s="12" t="inlineStr">
        <is>
          <t>LV 600 V</t>
        </is>
      </c>
      <c r="J1384" s="12" t="inlineStr">
        <is>
          <t>4</t>
        </is>
      </c>
      <c r="K1384" s="12" t="n">
        <v>1</v>
      </c>
    </row>
    <row r="1385">
      <c r="A1385" s="12" t="inlineStr">
        <is>
          <t>RICE engine-generator 1</t>
        </is>
      </c>
      <c r="B1385" s="12" t="inlineStr">
        <is>
          <t>RICE-1</t>
        </is>
      </c>
      <c r="C1385" s="12" t="inlineStr">
        <is>
          <t>I</t>
        </is>
      </c>
      <c r="D1385" s="12" t="inlineStr">
        <is>
          <t>480 V welding receptacle 1</t>
        </is>
      </c>
      <c r="E1385" s="12" t="n">
        <v>480</v>
      </c>
      <c r="F1385" s="12" t="n">
        <v>60</v>
      </c>
      <c r="G1385" s="12" t="n">
        <v>76</v>
      </c>
      <c r="H1385" s="12" t="inlineStr">
        <is>
          <t>PCM: power control module</t>
        </is>
      </c>
      <c r="I1385" s="12" t="inlineStr">
        <is>
          <t>LV 600 V</t>
        </is>
      </c>
      <c r="J1385" s="12" t="inlineStr">
        <is>
          <t>1/0</t>
        </is>
      </c>
      <c r="K1385" s="12" t="n">
        <v>1</v>
      </c>
    </row>
    <row r="1386">
      <c r="A1386" s="12" t="inlineStr">
        <is>
          <t>RICE engine-generator 1</t>
        </is>
      </c>
      <c r="B1386" s="12" t="inlineStr">
        <is>
          <t>RICE-1</t>
        </is>
      </c>
      <c r="C1386" s="12" t="inlineStr">
        <is>
          <t>I</t>
        </is>
      </c>
      <c r="D1386" s="12" t="inlineStr">
        <is>
          <t>480 V welding receptacle 2</t>
        </is>
      </c>
      <c r="E1386" s="12" t="n">
        <v>480</v>
      </c>
      <c r="F1386" s="12" t="n">
        <v>60</v>
      </c>
      <c r="G1386" s="12" t="n">
        <v>76</v>
      </c>
      <c r="H1386" s="12" t="inlineStr">
        <is>
          <t>PCM: power control module</t>
        </is>
      </c>
      <c r="I1386" s="12" t="inlineStr">
        <is>
          <t>LV 600 V</t>
        </is>
      </c>
      <c r="J1386" s="12" t="inlineStr">
        <is>
          <t>1/0</t>
        </is>
      </c>
      <c r="K1386" s="12" t="n">
        <v>1</v>
      </c>
    </row>
    <row r="1387">
      <c r="A1387" s="12" t="inlineStr">
        <is>
          <t>RICE engine-generator 1</t>
        </is>
      </c>
      <c r="B1387" s="12" t="inlineStr">
        <is>
          <t>RICE-1</t>
        </is>
      </c>
      <c r="C1387" s="12" t="inlineStr">
        <is>
          <t>I</t>
        </is>
      </c>
      <c r="D1387" s="12" t="inlineStr">
        <is>
          <t>480 V welding receptacle 3</t>
        </is>
      </c>
      <c r="E1387" s="12" t="n">
        <v>480</v>
      </c>
      <c r="F1387" s="12" t="n">
        <v>60</v>
      </c>
      <c r="G1387" s="12" t="n">
        <v>76</v>
      </c>
      <c r="H1387" s="12" t="inlineStr">
        <is>
          <t>PCM: power control module</t>
        </is>
      </c>
      <c r="I1387" s="12" t="inlineStr">
        <is>
          <t>LV 600 V</t>
        </is>
      </c>
      <c r="J1387" s="12" t="inlineStr">
        <is>
          <t>1/0</t>
        </is>
      </c>
      <c r="K1387" s="12" t="n">
        <v>1</v>
      </c>
    </row>
    <row r="1388">
      <c r="A1388" s="12" t="inlineStr">
        <is>
          <t>RICE engine-generator 1</t>
        </is>
      </c>
      <c r="B1388" s="12" t="inlineStr">
        <is>
          <t>RICE-1</t>
        </is>
      </c>
      <c r="C1388" s="12" t="inlineStr">
        <is>
          <t>I</t>
        </is>
      </c>
      <c r="D1388" s="12" t="inlineStr">
        <is>
          <t>480 V welding receptacle 4</t>
        </is>
      </c>
      <c r="E1388" s="12" t="n">
        <v>480</v>
      </c>
      <c r="F1388" s="12" t="n">
        <v>60</v>
      </c>
      <c r="G1388" s="12" t="n">
        <v>76</v>
      </c>
      <c r="H1388" s="12" t="inlineStr">
        <is>
          <t>PCM: power control module</t>
        </is>
      </c>
      <c r="I1388" s="12" t="inlineStr">
        <is>
          <t>LV 600 V</t>
        </is>
      </c>
      <c r="J1388" s="12" t="inlineStr">
        <is>
          <t>1/0</t>
        </is>
      </c>
      <c r="K1388" s="12" t="n">
        <v>1</v>
      </c>
    </row>
    <row r="1389">
      <c r="A1389" s="12" t="inlineStr">
        <is>
          <t>RICE engine-generator 2</t>
        </is>
      </c>
      <c r="B1389" s="12" t="inlineStr">
        <is>
          <t>RICE-2</t>
        </is>
      </c>
      <c r="C1389" s="12" t="inlineStr">
        <is>
          <t>I</t>
        </is>
      </c>
      <c r="D1389" s="12" t="inlineStr">
        <is>
          <t>Motor 1 of 6, 22 kW</t>
        </is>
      </c>
      <c r="E1389" s="12" t="n">
        <v>480</v>
      </c>
      <c r="F1389" s="12" t="n">
        <v>22</v>
      </c>
      <c r="G1389" s="12" t="n">
        <v>31.1</v>
      </c>
      <c r="H1389" s="12" t="inlineStr">
        <is>
          <t>PCM: power control module</t>
        </is>
      </c>
      <c r="I1389" s="12" t="inlineStr">
        <is>
          <t>LV 600 V</t>
        </is>
      </c>
      <c r="J1389" s="12" t="inlineStr">
        <is>
          <t>4</t>
        </is>
      </c>
      <c r="K1389" s="12" t="n">
        <v>1</v>
      </c>
    </row>
    <row r="1390">
      <c r="A1390" s="12" t="inlineStr">
        <is>
          <t>RICE engine-generator 2</t>
        </is>
      </c>
      <c r="B1390" s="12" t="inlineStr">
        <is>
          <t>RICE-2</t>
        </is>
      </c>
      <c r="C1390" s="12" t="inlineStr">
        <is>
          <t>I</t>
        </is>
      </c>
      <c r="D1390" s="12" t="inlineStr">
        <is>
          <t>Motor 2 of 6, 22 kW</t>
        </is>
      </c>
      <c r="E1390" s="12" t="n">
        <v>480</v>
      </c>
      <c r="F1390" s="12" t="n">
        <v>22</v>
      </c>
      <c r="G1390" s="12" t="n">
        <v>31.1</v>
      </c>
      <c r="H1390" s="12" t="inlineStr">
        <is>
          <t>PCM: power control module</t>
        </is>
      </c>
      <c r="I1390" s="12" t="inlineStr">
        <is>
          <t>LV 600 V</t>
        </is>
      </c>
      <c r="J1390" s="12" t="inlineStr">
        <is>
          <t>4</t>
        </is>
      </c>
      <c r="K1390" s="12" t="n">
        <v>1</v>
      </c>
    </row>
    <row r="1391">
      <c r="A1391" s="12" t="inlineStr">
        <is>
          <t>RICE engine-generator 2</t>
        </is>
      </c>
      <c r="B1391" s="12" t="inlineStr">
        <is>
          <t>RICE-2</t>
        </is>
      </c>
      <c r="C1391" s="12" t="inlineStr">
        <is>
          <t>I</t>
        </is>
      </c>
      <c r="D1391" s="12" t="inlineStr">
        <is>
          <t>Motor 3 of 6, 22 kW</t>
        </is>
      </c>
      <c r="E1391" s="12" t="n">
        <v>480</v>
      </c>
      <c r="F1391" s="12" t="n">
        <v>22</v>
      </c>
      <c r="G1391" s="12" t="n">
        <v>31.1</v>
      </c>
      <c r="H1391" s="12" t="inlineStr">
        <is>
          <t>PCM: power control module</t>
        </is>
      </c>
      <c r="I1391" s="12" t="inlineStr">
        <is>
          <t>LV 600 V</t>
        </is>
      </c>
      <c r="J1391" s="12" t="inlineStr">
        <is>
          <t>4</t>
        </is>
      </c>
      <c r="K1391" s="12" t="n">
        <v>1</v>
      </c>
    </row>
    <row r="1392">
      <c r="A1392" s="12" t="inlineStr">
        <is>
          <t>RICE engine-generator 2</t>
        </is>
      </c>
      <c r="B1392" s="12" t="inlineStr">
        <is>
          <t>RICE-2</t>
        </is>
      </c>
      <c r="C1392" s="12" t="inlineStr">
        <is>
          <t>I</t>
        </is>
      </c>
      <c r="D1392" s="12" t="inlineStr">
        <is>
          <t>Motor 4 of 6, 22 kW</t>
        </is>
      </c>
      <c r="E1392" s="12" t="n">
        <v>480</v>
      </c>
      <c r="F1392" s="12" t="n">
        <v>22</v>
      </c>
      <c r="G1392" s="12" t="n">
        <v>31.1</v>
      </c>
      <c r="H1392" s="12" t="inlineStr">
        <is>
          <t>PCM: power control module</t>
        </is>
      </c>
      <c r="I1392" s="12" t="inlineStr">
        <is>
          <t>LV 600 V</t>
        </is>
      </c>
      <c r="J1392" s="12" t="inlineStr">
        <is>
          <t>4</t>
        </is>
      </c>
      <c r="K1392" s="12" t="n">
        <v>1</v>
      </c>
    </row>
    <row r="1393">
      <c r="A1393" s="12" t="inlineStr">
        <is>
          <t>RICE engine-generator 2</t>
        </is>
      </c>
      <c r="B1393" s="12" t="inlineStr">
        <is>
          <t>RICE-2</t>
        </is>
      </c>
      <c r="C1393" s="12" t="inlineStr">
        <is>
          <t>I</t>
        </is>
      </c>
      <c r="D1393" s="12" t="inlineStr">
        <is>
          <t>Motor 5 of 6, 22 kW</t>
        </is>
      </c>
      <c r="E1393" s="12" t="n">
        <v>480</v>
      </c>
      <c r="F1393" s="12" t="n">
        <v>22</v>
      </c>
      <c r="G1393" s="12" t="n">
        <v>31.1</v>
      </c>
      <c r="H1393" s="12" t="inlineStr">
        <is>
          <t>PCM: power control module</t>
        </is>
      </c>
      <c r="I1393" s="12" t="inlineStr">
        <is>
          <t>LV 600 V</t>
        </is>
      </c>
      <c r="J1393" s="12" t="inlineStr">
        <is>
          <t>4</t>
        </is>
      </c>
      <c r="K1393" s="12" t="n">
        <v>1</v>
      </c>
    </row>
    <row r="1394">
      <c r="A1394" s="12" t="inlineStr">
        <is>
          <t>RICE engine-generator 2</t>
        </is>
      </c>
      <c r="B1394" s="12" t="inlineStr">
        <is>
          <t>RICE-2</t>
        </is>
      </c>
      <c r="C1394" s="12" t="inlineStr">
        <is>
          <t>I</t>
        </is>
      </c>
      <c r="D1394" s="12" t="inlineStr">
        <is>
          <t>Motor 6 of 6, 22 kW</t>
        </is>
      </c>
      <c r="E1394" s="12" t="n">
        <v>480</v>
      </c>
      <c r="F1394" s="12" t="n">
        <v>22</v>
      </c>
      <c r="G1394" s="12" t="n">
        <v>31.1</v>
      </c>
      <c r="H1394" s="12" t="inlineStr">
        <is>
          <t>PCM: power control module</t>
        </is>
      </c>
      <c r="I1394" s="12" t="inlineStr">
        <is>
          <t>LV 600 V</t>
        </is>
      </c>
      <c r="J1394" s="12" t="inlineStr">
        <is>
          <t>4</t>
        </is>
      </c>
      <c r="K1394" s="12" t="n">
        <v>1</v>
      </c>
    </row>
    <row r="1395">
      <c r="A1395" s="12" t="inlineStr">
        <is>
          <t>RICE engine-generator 2</t>
        </is>
      </c>
      <c r="B1395" s="12" t="inlineStr">
        <is>
          <t>RICE-2</t>
        </is>
      </c>
      <c r="C1395" s="12" t="inlineStr">
        <is>
          <t>I</t>
        </is>
      </c>
      <c r="D1395" s="12" t="inlineStr">
        <is>
          <t>480 V welding receptacle 1</t>
        </is>
      </c>
      <c r="E1395" s="12" t="n">
        <v>480</v>
      </c>
      <c r="F1395" s="12" t="n">
        <v>60</v>
      </c>
      <c r="G1395" s="12" t="n">
        <v>76</v>
      </c>
      <c r="H1395" s="12" t="inlineStr">
        <is>
          <t>PCM: power control module</t>
        </is>
      </c>
      <c r="I1395" s="12" t="inlineStr">
        <is>
          <t>LV 600 V</t>
        </is>
      </c>
      <c r="J1395" s="12" t="inlineStr">
        <is>
          <t>1/0</t>
        </is>
      </c>
      <c r="K1395" s="12" t="n">
        <v>1</v>
      </c>
    </row>
    <row r="1396">
      <c r="A1396" s="12" t="inlineStr">
        <is>
          <t>RICE engine-generator 2</t>
        </is>
      </c>
      <c r="B1396" s="12" t="inlineStr">
        <is>
          <t>RICE-2</t>
        </is>
      </c>
      <c r="C1396" s="12" t="inlineStr">
        <is>
          <t>I</t>
        </is>
      </c>
      <c r="D1396" s="12" t="inlineStr">
        <is>
          <t>480 V welding receptacle 2</t>
        </is>
      </c>
      <c r="E1396" s="12" t="n">
        <v>480</v>
      </c>
      <c r="F1396" s="12" t="n">
        <v>60</v>
      </c>
      <c r="G1396" s="12" t="n">
        <v>76</v>
      </c>
      <c r="H1396" s="12" t="inlineStr">
        <is>
          <t>PCM: power control module</t>
        </is>
      </c>
      <c r="I1396" s="12" t="inlineStr">
        <is>
          <t>LV 600 V</t>
        </is>
      </c>
      <c r="J1396" s="12" t="inlineStr">
        <is>
          <t>1/0</t>
        </is>
      </c>
      <c r="K1396" s="12" t="n">
        <v>1</v>
      </c>
    </row>
    <row r="1397">
      <c r="A1397" s="12" t="inlineStr">
        <is>
          <t>RICE engine-generator 2</t>
        </is>
      </c>
      <c r="B1397" s="12" t="inlineStr">
        <is>
          <t>RICE-2</t>
        </is>
      </c>
      <c r="C1397" s="12" t="inlineStr">
        <is>
          <t>I</t>
        </is>
      </c>
      <c r="D1397" s="12" t="inlineStr">
        <is>
          <t>480 V welding receptacle 3</t>
        </is>
      </c>
      <c r="E1397" s="12" t="n">
        <v>480</v>
      </c>
      <c r="F1397" s="12" t="n">
        <v>60</v>
      </c>
      <c r="G1397" s="12" t="n">
        <v>76</v>
      </c>
      <c r="H1397" s="12" t="inlineStr">
        <is>
          <t>PCM: power control module</t>
        </is>
      </c>
      <c r="I1397" s="12" t="inlineStr">
        <is>
          <t>LV 600 V</t>
        </is>
      </c>
      <c r="J1397" s="12" t="inlineStr">
        <is>
          <t>1/0</t>
        </is>
      </c>
      <c r="K1397" s="12" t="n">
        <v>1</v>
      </c>
    </row>
    <row r="1398">
      <c r="A1398" s="12" t="inlineStr">
        <is>
          <t>RICE engine-generator 2</t>
        </is>
      </c>
      <c r="B1398" s="12" t="inlineStr">
        <is>
          <t>RICE-2</t>
        </is>
      </c>
      <c r="C1398" s="12" t="inlineStr">
        <is>
          <t>I</t>
        </is>
      </c>
      <c r="D1398" s="12" t="inlineStr">
        <is>
          <t>480 V welding receptacle 4</t>
        </is>
      </c>
      <c r="E1398" s="12" t="n">
        <v>480</v>
      </c>
      <c r="F1398" s="12" t="n">
        <v>60</v>
      </c>
      <c r="G1398" s="12" t="n">
        <v>76</v>
      </c>
      <c r="H1398" s="12" t="inlineStr">
        <is>
          <t>PCM: power control module</t>
        </is>
      </c>
      <c r="I1398" s="12" t="inlineStr">
        <is>
          <t>LV 600 V</t>
        </is>
      </c>
      <c r="J1398" s="12" t="inlineStr">
        <is>
          <t>1/0</t>
        </is>
      </c>
      <c r="K1398" s="12" t="n">
        <v>1</v>
      </c>
    </row>
    <row r="1399">
      <c r="A1399" s="12" t="inlineStr">
        <is>
          <t>RICE engine-generator 3</t>
        </is>
      </c>
      <c r="B1399" s="12" t="inlineStr">
        <is>
          <t>RICE-3</t>
        </is>
      </c>
      <c r="C1399" s="12" t="inlineStr">
        <is>
          <t>I</t>
        </is>
      </c>
      <c r="D1399" s="12" t="inlineStr">
        <is>
          <t>Motor 1 of 6, 22 kW</t>
        </is>
      </c>
      <c r="E1399" s="12" t="n">
        <v>480</v>
      </c>
      <c r="F1399" s="12" t="n">
        <v>22</v>
      </c>
      <c r="G1399" s="12" t="n">
        <v>31.1</v>
      </c>
      <c r="H1399" s="12" t="inlineStr">
        <is>
          <t>PCM: power control module</t>
        </is>
      </c>
      <c r="I1399" s="12" t="inlineStr">
        <is>
          <t>LV 600 V</t>
        </is>
      </c>
      <c r="J1399" s="12" t="inlineStr">
        <is>
          <t>4</t>
        </is>
      </c>
      <c r="K1399" s="12" t="n">
        <v>1</v>
      </c>
    </row>
    <row r="1400">
      <c r="A1400" s="12" t="inlineStr">
        <is>
          <t>RICE engine-generator 3</t>
        </is>
      </c>
      <c r="B1400" s="12" t="inlineStr">
        <is>
          <t>RICE-3</t>
        </is>
      </c>
      <c r="C1400" s="12" t="inlineStr">
        <is>
          <t>I</t>
        </is>
      </c>
      <c r="D1400" s="12" t="inlineStr">
        <is>
          <t>Motor 2 of 6, 22 kW</t>
        </is>
      </c>
      <c r="E1400" s="12" t="n">
        <v>480</v>
      </c>
      <c r="F1400" s="12" t="n">
        <v>22</v>
      </c>
      <c r="G1400" s="12" t="n">
        <v>31.1</v>
      </c>
      <c r="H1400" s="12" t="inlineStr">
        <is>
          <t>PCM: power control module</t>
        </is>
      </c>
      <c r="I1400" s="12" t="inlineStr">
        <is>
          <t>LV 600 V</t>
        </is>
      </c>
      <c r="J1400" s="12" t="inlineStr">
        <is>
          <t>4</t>
        </is>
      </c>
      <c r="K1400" s="12" t="n">
        <v>1</v>
      </c>
    </row>
    <row r="1401">
      <c r="A1401" s="12" t="inlineStr">
        <is>
          <t>RICE engine-generator 3</t>
        </is>
      </c>
      <c r="B1401" s="12" t="inlineStr">
        <is>
          <t>RICE-3</t>
        </is>
      </c>
      <c r="C1401" s="12" t="inlineStr">
        <is>
          <t>I</t>
        </is>
      </c>
      <c r="D1401" s="12" t="inlineStr">
        <is>
          <t>Motor 3 of 6, 22 kW</t>
        </is>
      </c>
      <c r="E1401" s="12" t="n">
        <v>480</v>
      </c>
      <c r="F1401" s="12" t="n">
        <v>22</v>
      </c>
      <c r="G1401" s="12" t="n">
        <v>31.1</v>
      </c>
      <c r="H1401" s="12" t="inlineStr">
        <is>
          <t>PCM: power control module</t>
        </is>
      </c>
      <c r="I1401" s="12" t="inlineStr">
        <is>
          <t>LV 600 V</t>
        </is>
      </c>
      <c r="J1401" s="12" t="inlineStr">
        <is>
          <t>4</t>
        </is>
      </c>
      <c r="K1401" s="12" t="n">
        <v>1</v>
      </c>
    </row>
    <row r="1402">
      <c r="A1402" s="12" t="inlineStr">
        <is>
          <t>RICE engine-generator 3</t>
        </is>
      </c>
      <c r="B1402" s="12" t="inlineStr">
        <is>
          <t>RICE-3</t>
        </is>
      </c>
      <c r="C1402" s="12" t="inlineStr">
        <is>
          <t>I</t>
        </is>
      </c>
      <c r="D1402" s="12" t="inlineStr">
        <is>
          <t>Motor 4 of 6, 22 kW</t>
        </is>
      </c>
      <c r="E1402" s="12" t="n">
        <v>480</v>
      </c>
      <c r="F1402" s="12" t="n">
        <v>22</v>
      </c>
      <c r="G1402" s="12" t="n">
        <v>31.1</v>
      </c>
      <c r="H1402" s="12" t="inlineStr">
        <is>
          <t>PCM: power control module</t>
        </is>
      </c>
      <c r="I1402" s="12" t="inlineStr">
        <is>
          <t>LV 600 V</t>
        </is>
      </c>
      <c r="J1402" s="12" t="inlineStr">
        <is>
          <t>4</t>
        </is>
      </c>
      <c r="K1402" s="12" t="n">
        <v>1</v>
      </c>
    </row>
    <row r="1403">
      <c r="A1403" s="12" t="inlineStr">
        <is>
          <t>RICE engine-generator 3</t>
        </is>
      </c>
      <c r="B1403" s="12" t="inlineStr">
        <is>
          <t>RICE-3</t>
        </is>
      </c>
      <c r="C1403" s="12" t="inlineStr">
        <is>
          <t>I</t>
        </is>
      </c>
      <c r="D1403" s="12" t="inlineStr">
        <is>
          <t>Motor 5 of 6, 22 kW</t>
        </is>
      </c>
      <c r="E1403" s="12" t="n">
        <v>480</v>
      </c>
      <c r="F1403" s="12" t="n">
        <v>22</v>
      </c>
      <c r="G1403" s="12" t="n">
        <v>31.1</v>
      </c>
      <c r="H1403" s="12" t="inlineStr">
        <is>
          <t>PCM: power control module</t>
        </is>
      </c>
      <c r="I1403" s="12" t="inlineStr">
        <is>
          <t>LV 600 V</t>
        </is>
      </c>
      <c r="J1403" s="12" t="inlineStr">
        <is>
          <t>4</t>
        </is>
      </c>
      <c r="K1403" s="12" t="n">
        <v>1</v>
      </c>
    </row>
    <row r="1404">
      <c r="A1404" s="12" t="inlineStr">
        <is>
          <t>RICE engine-generator 3</t>
        </is>
      </c>
      <c r="B1404" s="12" t="inlineStr">
        <is>
          <t>RICE-3</t>
        </is>
      </c>
      <c r="C1404" s="12" t="inlineStr">
        <is>
          <t>I</t>
        </is>
      </c>
      <c r="D1404" s="12" t="inlineStr">
        <is>
          <t>Motor 6 of 6, 22 kW</t>
        </is>
      </c>
      <c r="E1404" s="12" t="n">
        <v>480</v>
      </c>
      <c r="F1404" s="12" t="n">
        <v>22</v>
      </c>
      <c r="G1404" s="12" t="n">
        <v>31.1</v>
      </c>
      <c r="H1404" s="12" t="inlineStr">
        <is>
          <t>PCM: power control module</t>
        </is>
      </c>
      <c r="I1404" s="12" t="inlineStr">
        <is>
          <t>LV 600 V</t>
        </is>
      </c>
      <c r="J1404" s="12" t="inlineStr">
        <is>
          <t>4</t>
        </is>
      </c>
      <c r="K1404" s="12" t="n">
        <v>1</v>
      </c>
    </row>
    <row r="1405">
      <c r="A1405" s="12" t="inlineStr">
        <is>
          <t>RICE engine-generator 3</t>
        </is>
      </c>
      <c r="B1405" s="12" t="inlineStr">
        <is>
          <t>RICE-3</t>
        </is>
      </c>
      <c r="C1405" s="12" t="inlineStr">
        <is>
          <t>I</t>
        </is>
      </c>
      <c r="D1405" s="12" t="inlineStr">
        <is>
          <t>480 V welding receptacle 1</t>
        </is>
      </c>
      <c r="E1405" s="12" t="n">
        <v>480</v>
      </c>
      <c r="F1405" s="12" t="n">
        <v>60</v>
      </c>
      <c r="G1405" s="12" t="n">
        <v>76</v>
      </c>
      <c r="H1405" s="12" t="inlineStr">
        <is>
          <t>PCM: power control module</t>
        </is>
      </c>
      <c r="I1405" s="12" t="inlineStr">
        <is>
          <t>LV 600 V</t>
        </is>
      </c>
      <c r="J1405" s="12" t="inlineStr">
        <is>
          <t>1</t>
        </is>
      </c>
      <c r="K1405" s="12" t="n">
        <v>1</v>
      </c>
    </row>
    <row r="1406">
      <c r="A1406" s="12" t="inlineStr">
        <is>
          <t>RICE engine-generator 3</t>
        </is>
      </c>
      <c r="B1406" s="12" t="inlineStr">
        <is>
          <t>RICE-3</t>
        </is>
      </c>
      <c r="C1406" s="12" t="inlineStr">
        <is>
          <t>I</t>
        </is>
      </c>
      <c r="D1406" s="12" t="inlineStr">
        <is>
          <t>480 V welding receptacle 2</t>
        </is>
      </c>
      <c r="E1406" s="12" t="n">
        <v>480</v>
      </c>
      <c r="F1406" s="12" t="n">
        <v>60</v>
      </c>
      <c r="G1406" s="12" t="n">
        <v>76</v>
      </c>
      <c r="H1406" s="12" t="inlineStr">
        <is>
          <t>PCM: power control module</t>
        </is>
      </c>
      <c r="I1406" s="12" t="inlineStr">
        <is>
          <t>LV 600 V</t>
        </is>
      </c>
      <c r="J1406" s="12" t="inlineStr">
        <is>
          <t>1</t>
        </is>
      </c>
      <c r="K1406" s="12" t="n">
        <v>1</v>
      </c>
    </row>
    <row r="1407">
      <c r="A1407" s="12" t="inlineStr">
        <is>
          <t>RICE engine-generator 3</t>
        </is>
      </c>
      <c r="B1407" s="12" t="inlineStr">
        <is>
          <t>RICE-3</t>
        </is>
      </c>
      <c r="C1407" s="12" t="inlineStr">
        <is>
          <t>I</t>
        </is>
      </c>
      <c r="D1407" s="12" t="inlineStr">
        <is>
          <t>480 V welding receptacle 3</t>
        </is>
      </c>
      <c r="E1407" s="12" t="n">
        <v>480</v>
      </c>
      <c r="F1407" s="12" t="n">
        <v>60</v>
      </c>
      <c r="G1407" s="12" t="n">
        <v>76</v>
      </c>
      <c r="H1407" s="12" t="inlineStr">
        <is>
          <t>PCM: power control module</t>
        </is>
      </c>
      <c r="I1407" s="12" t="inlineStr">
        <is>
          <t>LV 600 V</t>
        </is>
      </c>
      <c r="J1407" s="12" t="inlineStr">
        <is>
          <t>1</t>
        </is>
      </c>
      <c r="K1407" s="12" t="n">
        <v>1</v>
      </c>
    </row>
    <row r="1408">
      <c r="A1408" s="12" t="inlineStr">
        <is>
          <t>RICE engine-generator 3</t>
        </is>
      </c>
      <c r="B1408" s="12" t="inlineStr">
        <is>
          <t>RICE-3</t>
        </is>
      </c>
      <c r="C1408" s="12" t="inlineStr">
        <is>
          <t>I</t>
        </is>
      </c>
      <c r="D1408" s="12" t="inlineStr">
        <is>
          <t>480 V welding receptacle 4</t>
        </is>
      </c>
      <c r="E1408" s="12" t="n">
        <v>480</v>
      </c>
      <c r="F1408" s="12" t="n">
        <v>60</v>
      </c>
      <c r="G1408" s="12" t="n">
        <v>76</v>
      </c>
      <c r="H1408" s="12" t="inlineStr">
        <is>
          <t>PCM: power control module</t>
        </is>
      </c>
      <c r="I1408" s="12" t="inlineStr">
        <is>
          <t>LV 600 V</t>
        </is>
      </c>
      <c r="J1408" s="12" t="inlineStr">
        <is>
          <t>1</t>
        </is>
      </c>
      <c r="K1408" s="12" t="n">
        <v>1</v>
      </c>
    </row>
    <row r="1409">
      <c r="A1409" s="12" t="inlineStr">
        <is>
          <t>RICE engine-generator 4</t>
        </is>
      </c>
      <c r="B1409" s="12" t="inlineStr">
        <is>
          <t>RICE-4</t>
        </is>
      </c>
      <c r="C1409" s="12" t="inlineStr">
        <is>
          <t>I</t>
        </is>
      </c>
      <c r="D1409" s="12" t="inlineStr">
        <is>
          <t>Motor 1 of 6, 22 kW</t>
        </is>
      </c>
      <c r="E1409" s="12" t="n">
        <v>480</v>
      </c>
      <c r="F1409" s="12" t="n">
        <v>22</v>
      </c>
      <c r="G1409" s="12" t="n">
        <v>31.1</v>
      </c>
      <c r="H1409" s="12" t="inlineStr">
        <is>
          <t>PCM: power control module</t>
        </is>
      </c>
      <c r="I1409" s="12" t="inlineStr">
        <is>
          <t>LV 600 V</t>
        </is>
      </c>
      <c r="J1409" s="12" t="inlineStr">
        <is>
          <t>4</t>
        </is>
      </c>
      <c r="K1409" s="12" t="n">
        <v>1</v>
      </c>
    </row>
    <row r="1410">
      <c r="A1410" s="12" t="inlineStr">
        <is>
          <t>RICE engine-generator 4</t>
        </is>
      </c>
      <c r="B1410" s="12" t="inlineStr">
        <is>
          <t>RICE-4</t>
        </is>
      </c>
      <c r="C1410" s="12" t="inlineStr">
        <is>
          <t>I</t>
        </is>
      </c>
      <c r="D1410" s="12" t="inlineStr">
        <is>
          <t>Motor 2 of 6, 22 kW</t>
        </is>
      </c>
      <c r="E1410" s="12" t="n">
        <v>480</v>
      </c>
      <c r="F1410" s="12" t="n">
        <v>22</v>
      </c>
      <c r="G1410" s="12" t="n">
        <v>31.1</v>
      </c>
      <c r="H1410" s="12" t="inlineStr">
        <is>
          <t>PCM: power control module</t>
        </is>
      </c>
      <c r="I1410" s="12" t="inlineStr">
        <is>
          <t>LV 600 V</t>
        </is>
      </c>
      <c r="J1410" s="12" t="inlineStr">
        <is>
          <t>4</t>
        </is>
      </c>
      <c r="K1410" s="12" t="n">
        <v>1</v>
      </c>
    </row>
    <row r="1411">
      <c r="A1411" s="12" t="inlineStr">
        <is>
          <t>RICE engine-generator 4</t>
        </is>
      </c>
      <c r="B1411" s="12" t="inlineStr">
        <is>
          <t>RICE-4</t>
        </is>
      </c>
      <c r="C1411" s="12" t="inlineStr">
        <is>
          <t>I</t>
        </is>
      </c>
      <c r="D1411" s="12" t="inlineStr">
        <is>
          <t>Motor 3 of 6, 22 kW</t>
        </is>
      </c>
      <c r="E1411" s="12" t="n">
        <v>480</v>
      </c>
      <c r="F1411" s="12" t="n">
        <v>22</v>
      </c>
      <c r="G1411" s="12" t="n">
        <v>31.1</v>
      </c>
      <c r="H1411" s="12" t="inlineStr">
        <is>
          <t>PCM: power control module</t>
        </is>
      </c>
      <c r="I1411" s="12" t="inlineStr">
        <is>
          <t>LV 600 V</t>
        </is>
      </c>
      <c r="J1411" s="12" t="inlineStr">
        <is>
          <t>4</t>
        </is>
      </c>
      <c r="K1411" s="12" t="n">
        <v>1</v>
      </c>
    </row>
    <row r="1412">
      <c r="A1412" s="12" t="inlineStr">
        <is>
          <t>RICE engine-generator 4</t>
        </is>
      </c>
      <c r="B1412" s="12" t="inlineStr">
        <is>
          <t>RICE-4</t>
        </is>
      </c>
      <c r="C1412" s="12" t="inlineStr">
        <is>
          <t>I</t>
        </is>
      </c>
      <c r="D1412" s="12" t="inlineStr">
        <is>
          <t>Motor 4 of 6, 22 kW</t>
        </is>
      </c>
      <c r="E1412" s="12" t="n">
        <v>480</v>
      </c>
      <c r="F1412" s="12" t="n">
        <v>22</v>
      </c>
      <c r="G1412" s="12" t="n">
        <v>31.1</v>
      </c>
      <c r="H1412" s="12" t="inlineStr">
        <is>
          <t>PCM: power control module</t>
        </is>
      </c>
      <c r="I1412" s="12" t="inlineStr">
        <is>
          <t>LV 600 V</t>
        </is>
      </c>
      <c r="J1412" s="12" t="inlineStr">
        <is>
          <t>4</t>
        </is>
      </c>
      <c r="K1412" s="12" t="n">
        <v>1</v>
      </c>
    </row>
    <row r="1413">
      <c r="A1413" s="12" t="inlineStr">
        <is>
          <t>RICE engine-generator 4</t>
        </is>
      </c>
      <c r="B1413" s="12" t="inlineStr">
        <is>
          <t>RICE-4</t>
        </is>
      </c>
      <c r="C1413" s="12" t="inlineStr">
        <is>
          <t>I</t>
        </is>
      </c>
      <c r="D1413" s="12" t="inlineStr">
        <is>
          <t>Motor 5 of 6, 22 kW</t>
        </is>
      </c>
      <c r="E1413" s="12" t="n">
        <v>480</v>
      </c>
      <c r="F1413" s="12" t="n">
        <v>22</v>
      </c>
      <c r="G1413" s="12" t="n">
        <v>31.1</v>
      </c>
      <c r="H1413" s="12" t="inlineStr">
        <is>
          <t>PCM: power control module</t>
        </is>
      </c>
      <c r="I1413" s="12" t="inlineStr">
        <is>
          <t>LV 600 V</t>
        </is>
      </c>
      <c r="J1413" s="12" t="inlineStr">
        <is>
          <t>4</t>
        </is>
      </c>
      <c r="K1413" s="12" t="n">
        <v>1</v>
      </c>
    </row>
    <row r="1414">
      <c r="A1414" s="12" t="inlineStr">
        <is>
          <t>RICE engine-generator 4</t>
        </is>
      </c>
      <c r="B1414" s="12" t="inlineStr">
        <is>
          <t>RICE-4</t>
        </is>
      </c>
      <c r="C1414" s="12" t="inlineStr">
        <is>
          <t>I</t>
        </is>
      </c>
      <c r="D1414" s="12" t="inlineStr">
        <is>
          <t>Motor 6 of 6, 22 kW</t>
        </is>
      </c>
      <c r="E1414" s="12" t="n">
        <v>480</v>
      </c>
      <c r="F1414" s="12" t="n">
        <v>22</v>
      </c>
      <c r="G1414" s="12" t="n">
        <v>31.1</v>
      </c>
      <c r="H1414" s="12" t="inlineStr">
        <is>
          <t>PCM: power control module</t>
        </is>
      </c>
      <c r="I1414" s="12" t="inlineStr">
        <is>
          <t>LV 600 V</t>
        </is>
      </c>
      <c r="J1414" s="12" t="inlineStr">
        <is>
          <t>4</t>
        </is>
      </c>
      <c r="K1414" s="12" t="n">
        <v>1</v>
      </c>
    </row>
    <row r="1415">
      <c r="A1415" s="12" t="inlineStr">
        <is>
          <t>RICE engine-generator 4</t>
        </is>
      </c>
      <c r="B1415" s="12" t="inlineStr">
        <is>
          <t>RICE-4</t>
        </is>
      </c>
      <c r="C1415" s="12" t="inlineStr">
        <is>
          <t>I</t>
        </is>
      </c>
      <c r="D1415" s="12" t="inlineStr">
        <is>
          <t>480 V welding receptacle 1</t>
        </is>
      </c>
      <c r="E1415" s="12" t="n">
        <v>480</v>
      </c>
      <c r="F1415" s="12" t="n">
        <v>60</v>
      </c>
      <c r="G1415" s="12" t="n">
        <v>76</v>
      </c>
      <c r="H1415" s="12" t="inlineStr">
        <is>
          <t>PCM: power control module</t>
        </is>
      </c>
      <c r="I1415" s="12" t="inlineStr">
        <is>
          <t>LV 600 V</t>
        </is>
      </c>
      <c r="J1415" s="12" t="inlineStr">
        <is>
          <t>1</t>
        </is>
      </c>
      <c r="K1415" s="12" t="n">
        <v>1</v>
      </c>
    </row>
    <row r="1416">
      <c r="A1416" s="12" t="inlineStr">
        <is>
          <t>RICE engine-generator 4</t>
        </is>
      </c>
      <c r="B1416" s="12" t="inlineStr">
        <is>
          <t>RICE-4</t>
        </is>
      </c>
      <c r="C1416" s="12" t="inlineStr">
        <is>
          <t>I</t>
        </is>
      </c>
      <c r="D1416" s="12" t="inlineStr">
        <is>
          <t>480 V welding receptacle 2</t>
        </is>
      </c>
      <c r="E1416" s="12" t="n">
        <v>480</v>
      </c>
      <c r="F1416" s="12" t="n">
        <v>60</v>
      </c>
      <c r="G1416" s="12" t="n">
        <v>76</v>
      </c>
      <c r="H1416" s="12" t="inlineStr">
        <is>
          <t>PCM: power control module</t>
        </is>
      </c>
      <c r="I1416" s="12" t="inlineStr">
        <is>
          <t>LV 600 V</t>
        </is>
      </c>
      <c r="J1416" s="12" t="inlineStr">
        <is>
          <t>1</t>
        </is>
      </c>
      <c r="K1416" s="12" t="n">
        <v>1</v>
      </c>
    </row>
    <row r="1417">
      <c r="A1417" s="12" t="inlineStr">
        <is>
          <t>RICE engine-generator 4</t>
        </is>
      </c>
      <c r="B1417" s="12" t="inlineStr">
        <is>
          <t>RICE-4</t>
        </is>
      </c>
      <c r="C1417" s="12" t="inlineStr">
        <is>
          <t>I</t>
        </is>
      </c>
      <c r="D1417" s="12" t="inlineStr">
        <is>
          <t>480 V welding receptacle 3</t>
        </is>
      </c>
      <c r="E1417" s="12" t="n">
        <v>480</v>
      </c>
      <c r="F1417" s="12" t="n">
        <v>60</v>
      </c>
      <c r="G1417" s="12" t="n">
        <v>76</v>
      </c>
      <c r="H1417" s="12" t="inlineStr">
        <is>
          <t>PCM: power control module</t>
        </is>
      </c>
      <c r="I1417" s="12" t="inlineStr">
        <is>
          <t>LV 600 V</t>
        </is>
      </c>
      <c r="J1417" s="12" t="inlineStr">
        <is>
          <t>1</t>
        </is>
      </c>
      <c r="K1417" s="12" t="n">
        <v>1</v>
      </c>
    </row>
    <row r="1418">
      <c r="A1418" s="12" t="inlineStr">
        <is>
          <t>RICE engine-generator 4</t>
        </is>
      </c>
      <c r="B1418" s="12" t="inlineStr">
        <is>
          <t>RICE-4</t>
        </is>
      </c>
      <c r="C1418" s="12" t="inlineStr">
        <is>
          <t>I</t>
        </is>
      </c>
      <c r="D1418" s="12" t="inlineStr">
        <is>
          <t>480 V welding receptacle 4</t>
        </is>
      </c>
      <c r="E1418" s="12" t="n">
        <v>480</v>
      </c>
      <c r="F1418" s="12" t="n">
        <v>60</v>
      </c>
      <c r="G1418" s="12" t="n">
        <v>76</v>
      </c>
      <c r="H1418" s="12" t="inlineStr">
        <is>
          <t>PCM: power control module</t>
        </is>
      </c>
      <c r="I1418" s="12" t="inlineStr">
        <is>
          <t>LV 600 V</t>
        </is>
      </c>
      <c r="J1418" s="12" t="inlineStr">
        <is>
          <t>1</t>
        </is>
      </c>
      <c r="K1418" s="12" t="n">
        <v>1</v>
      </c>
    </row>
    <row r="1419">
      <c r="A1419" s="12" t="inlineStr">
        <is>
          <t>RICE engine-generator 5</t>
        </is>
      </c>
      <c r="B1419" s="12" t="inlineStr">
        <is>
          <t>RICE-5</t>
        </is>
      </c>
      <c r="C1419" s="12" t="inlineStr">
        <is>
          <t>I</t>
        </is>
      </c>
      <c r="D1419" s="12" t="inlineStr">
        <is>
          <t>Motor 1 of 6, 22 kW</t>
        </is>
      </c>
      <c r="E1419" s="12" t="n">
        <v>480</v>
      </c>
      <c r="F1419" s="12" t="n">
        <v>22</v>
      </c>
      <c r="G1419" s="12" t="n">
        <v>31.1</v>
      </c>
      <c r="H1419" s="12" t="inlineStr">
        <is>
          <t>PCM: power control module</t>
        </is>
      </c>
      <c r="I1419" s="12" t="inlineStr">
        <is>
          <t>LV 600 V</t>
        </is>
      </c>
      <c r="J1419" s="12" t="inlineStr">
        <is>
          <t>4</t>
        </is>
      </c>
      <c r="K1419" s="12" t="n">
        <v>1</v>
      </c>
    </row>
    <row r="1420">
      <c r="A1420" s="12" t="inlineStr">
        <is>
          <t>RICE engine-generator 5</t>
        </is>
      </c>
      <c r="B1420" s="12" t="inlineStr">
        <is>
          <t>RICE-5</t>
        </is>
      </c>
      <c r="C1420" s="12" t="inlineStr">
        <is>
          <t>I</t>
        </is>
      </c>
      <c r="D1420" s="12" t="inlineStr">
        <is>
          <t>Motor 2 of 6, 22 kW</t>
        </is>
      </c>
      <c r="E1420" s="12" t="n">
        <v>480</v>
      </c>
      <c r="F1420" s="12" t="n">
        <v>22</v>
      </c>
      <c r="G1420" s="12" t="n">
        <v>31.1</v>
      </c>
      <c r="H1420" s="12" t="inlineStr">
        <is>
          <t>PCM: power control module</t>
        </is>
      </c>
      <c r="I1420" s="12" t="inlineStr">
        <is>
          <t>LV 600 V</t>
        </is>
      </c>
      <c r="J1420" s="12" t="inlineStr">
        <is>
          <t>4</t>
        </is>
      </c>
      <c r="K1420" s="12" t="n">
        <v>1</v>
      </c>
    </row>
    <row r="1421">
      <c r="A1421" s="12" t="inlineStr">
        <is>
          <t>RICE engine-generator 5</t>
        </is>
      </c>
      <c r="B1421" s="12" t="inlineStr">
        <is>
          <t>RICE-5</t>
        </is>
      </c>
      <c r="C1421" s="12" t="inlineStr">
        <is>
          <t>I</t>
        </is>
      </c>
      <c r="D1421" s="12" t="inlineStr">
        <is>
          <t>Motor 3 of 6, 22 kW</t>
        </is>
      </c>
      <c r="E1421" s="12" t="n">
        <v>480</v>
      </c>
      <c r="F1421" s="12" t="n">
        <v>22</v>
      </c>
      <c r="G1421" s="12" t="n">
        <v>31.1</v>
      </c>
      <c r="H1421" s="12" t="inlineStr">
        <is>
          <t>PCM: power control module</t>
        </is>
      </c>
      <c r="I1421" s="12" t="inlineStr">
        <is>
          <t>LV 600 V</t>
        </is>
      </c>
      <c r="J1421" s="12" t="inlineStr">
        <is>
          <t>4</t>
        </is>
      </c>
      <c r="K1421" s="12" t="n">
        <v>1</v>
      </c>
    </row>
    <row r="1422">
      <c r="A1422" s="12" t="inlineStr">
        <is>
          <t>RICE engine-generator 5</t>
        </is>
      </c>
      <c r="B1422" s="12" t="inlineStr">
        <is>
          <t>RICE-5</t>
        </is>
      </c>
      <c r="C1422" s="12" t="inlineStr">
        <is>
          <t>I</t>
        </is>
      </c>
      <c r="D1422" s="12" t="inlineStr">
        <is>
          <t>Motor 4 of 6, 22 kW</t>
        </is>
      </c>
      <c r="E1422" s="12" t="n">
        <v>480</v>
      </c>
      <c r="F1422" s="12" t="n">
        <v>22</v>
      </c>
      <c r="G1422" s="12" t="n">
        <v>31.1</v>
      </c>
      <c r="H1422" s="12" t="inlineStr">
        <is>
          <t>PCM: power control module</t>
        </is>
      </c>
      <c r="I1422" s="12" t="inlineStr">
        <is>
          <t>LV 600 V</t>
        </is>
      </c>
      <c r="J1422" s="12" t="inlineStr">
        <is>
          <t>4</t>
        </is>
      </c>
      <c r="K1422" s="12" t="n">
        <v>1</v>
      </c>
    </row>
    <row r="1423">
      <c r="A1423" s="12" t="inlineStr">
        <is>
          <t>RICE engine-generator 5</t>
        </is>
      </c>
      <c r="B1423" s="12" t="inlineStr">
        <is>
          <t>RICE-5</t>
        </is>
      </c>
      <c r="C1423" s="12" t="inlineStr">
        <is>
          <t>I</t>
        </is>
      </c>
      <c r="D1423" s="12" t="inlineStr">
        <is>
          <t>Motor 5 of 6, 22 kW</t>
        </is>
      </c>
      <c r="E1423" s="12" t="n">
        <v>480</v>
      </c>
      <c r="F1423" s="12" t="n">
        <v>22</v>
      </c>
      <c r="G1423" s="12" t="n">
        <v>31.1</v>
      </c>
      <c r="H1423" s="12" t="inlineStr">
        <is>
          <t>PCM: power control module</t>
        </is>
      </c>
      <c r="I1423" s="12" t="inlineStr">
        <is>
          <t>LV 600 V</t>
        </is>
      </c>
      <c r="J1423" s="12" t="inlineStr">
        <is>
          <t>4</t>
        </is>
      </c>
      <c r="K1423" s="12" t="n">
        <v>1</v>
      </c>
    </row>
    <row r="1424">
      <c r="A1424" s="12" t="inlineStr">
        <is>
          <t>RICE engine-generator 5</t>
        </is>
      </c>
      <c r="B1424" s="12" t="inlineStr">
        <is>
          <t>RICE-5</t>
        </is>
      </c>
      <c r="C1424" s="12" t="inlineStr">
        <is>
          <t>I</t>
        </is>
      </c>
      <c r="D1424" s="12" t="inlineStr">
        <is>
          <t>Motor 6 of 6, 22 kW</t>
        </is>
      </c>
      <c r="E1424" s="12" t="n">
        <v>480</v>
      </c>
      <c r="F1424" s="12" t="n">
        <v>22</v>
      </c>
      <c r="G1424" s="12" t="n">
        <v>31.1</v>
      </c>
      <c r="H1424" s="12" t="inlineStr">
        <is>
          <t>PCM: power control module</t>
        </is>
      </c>
      <c r="I1424" s="12" t="inlineStr">
        <is>
          <t>LV 600 V</t>
        </is>
      </c>
      <c r="J1424" s="12" t="inlineStr">
        <is>
          <t>4</t>
        </is>
      </c>
      <c r="K1424" s="12" t="n">
        <v>1</v>
      </c>
    </row>
    <row r="1425">
      <c r="A1425" s="12" t="inlineStr">
        <is>
          <t>RICE engine-generator 5</t>
        </is>
      </c>
      <c r="B1425" s="12" t="inlineStr">
        <is>
          <t>RICE-5</t>
        </is>
      </c>
      <c r="C1425" s="12" t="inlineStr">
        <is>
          <t>I</t>
        </is>
      </c>
      <c r="D1425" s="12" t="inlineStr">
        <is>
          <t>480 V welding receptacle 1</t>
        </is>
      </c>
      <c r="E1425" s="12" t="n">
        <v>480</v>
      </c>
      <c r="F1425" s="12" t="n">
        <v>60</v>
      </c>
      <c r="G1425" s="12" t="n">
        <v>76</v>
      </c>
      <c r="H1425" s="12" t="inlineStr">
        <is>
          <t>PCM: power control module</t>
        </is>
      </c>
      <c r="I1425" s="12" t="inlineStr">
        <is>
          <t>LV 600 V</t>
        </is>
      </c>
      <c r="J1425" s="12" t="inlineStr">
        <is>
          <t>1</t>
        </is>
      </c>
      <c r="K1425" s="12" t="n">
        <v>1</v>
      </c>
    </row>
    <row r="1426">
      <c r="A1426" s="12" t="inlineStr">
        <is>
          <t>RICE engine-generator 5</t>
        </is>
      </c>
      <c r="B1426" s="12" t="inlineStr">
        <is>
          <t>RICE-5</t>
        </is>
      </c>
      <c r="C1426" s="12" t="inlineStr">
        <is>
          <t>I</t>
        </is>
      </c>
      <c r="D1426" s="12" t="inlineStr">
        <is>
          <t>480 V welding receptacle 2</t>
        </is>
      </c>
      <c r="E1426" s="12" t="n">
        <v>480</v>
      </c>
      <c r="F1426" s="12" t="n">
        <v>60</v>
      </c>
      <c r="G1426" s="12" t="n">
        <v>76</v>
      </c>
      <c r="H1426" s="12" t="inlineStr">
        <is>
          <t>PCM: power control module</t>
        </is>
      </c>
      <c r="I1426" s="12" t="inlineStr">
        <is>
          <t>LV 600 V</t>
        </is>
      </c>
      <c r="J1426" s="12" t="inlineStr">
        <is>
          <t>1</t>
        </is>
      </c>
      <c r="K1426" s="12" t="n">
        <v>1</v>
      </c>
    </row>
    <row r="1427">
      <c r="A1427" s="12" t="inlineStr">
        <is>
          <t>RICE engine-generator 5</t>
        </is>
      </c>
      <c r="B1427" s="12" t="inlineStr">
        <is>
          <t>RICE-5</t>
        </is>
      </c>
      <c r="C1427" s="12" t="inlineStr">
        <is>
          <t>I</t>
        </is>
      </c>
      <c r="D1427" s="12" t="inlineStr">
        <is>
          <t>480 V welding receptacle 3</t>
        </is>
      </c>
      <c r="E1427" s="12" t="n">
        <v>480</v>
      </c>
      <c r="F1427" s="12" t="n">
        <v>60</v>
      </c>
      <c r="G1427" s="12" t="n">
        <v>76</v>
      </c>
      <c r="H1427" s="12" t="inlineStr">
        <is>
          <t>PCM: power control module</t>
        </is>
      </c>
      <c r="I1427" s="12" t="inlineStr">
        <is>
          <t>LV 600 V</t>
        </is>
      </c>
      <c r="J1427" s="12" t="inlineStr">
        <is>
          <t>1</t>
        </is>
      </c>
      <c r="K1427" s="12" t="n">
        <v>1</v>
      </c>
    </row>
    <row r="1428">
      <c r="A1428" s="12" t="inlineStr">
        <is>
          <t>RICE engine-generator 5</t>
        </is>
      </c>
      <c r="B1428" s="12" t="inlineStr">
        <is>
          <t>RICE-5</t>
        </is>
      </c>
      <c r="C1428" s="12" t="inlineStr">
        <is>
          <t>I</t>
        </is>
      </c>
      <c r="D1428" s="12" t="inlineStr">
        <is>
          <t>480 V welding receptacle 4</t>
        </is>
      </c>
      <c r="E1428" s="12" t="n">
        <v>480</v>
      </c>
      <c r="F1428" s="12" t="n">
        <v>60</v>
      </c>
      <c r="G1428" s="12" t="n">
        <v>76</v>
      </c>
      <c r="H1428" s="12" t="inlineStr">
        <is>
          <t>PCM: power control module</t>
        </is>
      </c>
      <c r="I1428" s="12" t="inlineStr">
        <is>
          <t>LV 600 V</t>
        </is>
      </c>
      <c r="J1428" s="12" t="inlineStr">
        <is>
          <t>1</t>
        </is>
      </c>
      <c r="K1428" s="12" t="n">
        <v>1</v>
      </c>
    </row>
    <row r="1429">
      <c r="A1429" s="12" t="inlineStr">
        <is>
          <t>RICE engine-generator 6</t>
        </is>
      </c>
      <c r="B1429" s="12" t="inlineStr">
        <is>
          <t>RICE-6</t>
        </is>
      </c>
      <c r="C1429" s="12" t="inlineStr">
        <is>
          <t>I</t>
        </is>
      </c>
      <c r="D1429" s="12" t="inlineStr">
        <is>
          <t>Motor 1 of 6, 22 kW</t>
        </is>
      </c>
      <c r="E1429" s="12" t="n">
        <v>480</v>
      </c>
      <c r="F1429" s="12" t="n">
        <v>22</v>
      </c>
      <c r="G1429" s="12" t="n">
        <v>31.1</v>
      </c>
      <c r="H1429" s="12" t="inlineStr">
        <is>
          <t>PCM: power control module</t>
        </is>
      </c>
      <c r="I1429" s="12" t="inlineStr">
        <is>
          <t>LV 600 V</t>
        </is>
      </c>
      <c r="J1429" s="12" t="inlineStr">
        <is>
          <t>4</t>
        </is>
      </c>
      <c r="K1429" s="12" t="n">
        <v>1</v>
      </c>
    </row>
    <row r="1430">
      <c r="A1430" s="12" t="inlineStr">
        <is>
          <t>RICE engine-generator 6</t>
        </is>
      </c>
      <c r="B1430" s="12" t="inlineStr">
        <is>
          <t>RICE-6</t>
        </is>
      </c>
      <c r="C1430" s="12" t="inlineStr">
        <is>
          <t>I</t>
        </is>
      </c>
      <c r="D1430" s="12" t="inlineStr">
        <is>
          <t>Motor 2 of 6, 22 kW</t>
        </is>
      </c>
      <c r="E1430" s="12" t="n">
        <v>480</v>
      </c>
      <c r="F1430" s="12" t="n">
        <v>22</v>
      </c>
      <c r="G1430" s="12" t="n">
        <v>31.1</v>
      </c>
      <c r="H1430" s="12" t="inlineStr">
        <is>
          <t>PCM: power control module</t>
        </is>
      </c>
      <c r="I1430" s="12" t="inlineStr">
        <is>
          <t>LV 600 V</t>
        </is>
      </c>
      <c r="J1430" s="12" t="inlineStr">
        <is>
          <t>4</t>
        </is>
      </c>
      <c r="K1430" s="12" t="n">
        <v>1</v>
      </c>
    </row>
    <row r="1431">
      <c r="A1431" s="12" t="inlineStr">
        <is>
          <t>RICE engine-generator 6</t>
        </is>
      </c>
      <c r="B1431" s="12" t="inlineStr">
        <is>
          <t>RICE-6</t>
        </is>
      </c>
      <c r="C1431" s="12" t="inlineStr">
        <is>
          <t>I</t>
        </is>
      </c>
      <c r="D1431" s="12" t="inlineStr">
        <is>
          <t>Motor 3 of 6, 22 kW</t>
        </is>
      </c>
      <c r="E1431" s="12" t="n">
        <v>480</v>
      </c>
      <c r="F1431" s="12" t="n">
        <v>22</v>
      </c>
      <c r="G1431" s="12" t="n">
        <v>31.1</v>
      </c>
      <c r="H1431" s="12" t="inlineStr">
        <is>
          <t>PCM: power control module</t>
        </is>
      </c>
      <c r="I1431" s="12" t="inlineStr">
        <is>
          <t>LV 600 V</t>
        </is>
      </c>
      <c r="J1431" s="12" t="inlineStr">
        <is>
          <t>4</t>
        </is>
      </c>
      <c r="K1431" s="12" t="n">
        <v>1</v>
      </c>
    </row>
    <row r="1432">
      <c r="A1432" s="12" t="inlineStr">
        <is>
          <t>RICE engine-generator 6</t>
        </is>
      </c>
      <c r="B1432" s="12" t="inlineStr">
        <is>
          <t>RICE-6</t>
        </is>
      </c>
      <c r="C1432" s="12" t="inlineStr">
        <is>
          <t>I</t>
        </is>
      </c>
      <c r="D1432" s="12" t="inlineStr">
        <is>
          <t>Motor 4 of 6, 22 kW</t>
        </is>
      </c>
      <c r="E1432" s="12" t="n">
        <v>480</v>
      </c>
      <c r="F1432" s="12" t="n">
        <v>22</v>
      </c>
      <c r="G1432" s="12" t="n">
        <v>31.1</v>
      </c>
      <c r="H1432" s="12" t="inlineStr">
        <is>
          <t>PCM: power control module</t>
        </is>
      </c>
      <c r="I1432" s="12" t="inlineStr">
        <is>
          <t>LV 600 V</t>
        </is>
      </c>
      <c r="J1432" s="12" t="inlineStr">
        <is>
          <t>4</t>
        </is>
      </c>
      <c r="K1432" s="12" t="n">
        <v>1</v>
      </c>
    </row>
    <row r="1433">
      <c r="A1433" s="12" t="inlineStr">
        <is>
          <t>RICE engine-generator 6</t>
        </is>
      </c>
      <c r="B1433" s="12" t="inlineStr">
        <is>
          <t>RICE-6</t>
        </is>
      </c>
      <c r="C1433" s="12" t="inlineStr">
        <is>
          <t>I</t>
        </is>
      </c>
      <c r="D1433" s="12" t="inlineStr">
        <is>
          <t>Motor 5 of 6, 22 kW</t>
        </is>
      </c>
      <c r="E1433" s="12" t="n">
        <v>480</v>
      </c>
      <c r="F1433" s="12" t="n">
        <v>22</v>
      </c>
      <c r="G1433" s="12" t="n">
        <v>31.1</v>
      </c>
      <c r="H1433" s="12" t="inlineStr">
        <is>
          <t>PCM: power control module</t>
        </is>
      </c>
      <c r="I1433" s="12" t="inlineStr">
        <is>
          <t>LV 600 V</t>
        </is>
      </c>
      <c r="J1433" s="12" t="inlineStr">
        <is>
          <t>4</t>
        </is>
      </c>
      <c r="K1433" s="12" t="n">
        <v>1</v>
      </c>
    </row>
    <row r="1434">
      <c r="A1434" s="12" t="inlineStr">
        <is>
          <t>RICE engine-generator 6</t>
        </is>
      </c>
      <c r="B1434" s="12" t="inlineStr">
        <is>
          <t>RICE-6</t>
        </is>
      </c>
      <c r="C1434" s="12" t="inlineStr">
        <is>
          <t>I</t>
        </is>
      </c>
      <c r="D1434" s="12" t="inlineStr">
        <is>
          <t>Motor 6 of 6, 22 kW</t>
        </is>
      </c>
      <c r="E1434" s="12" t="n">
        <v>480</v>
      </c>
      <c r="F1434" s="12" t="n">
        <v>22</v>
      </c>
      <c r="G1434" s="12" t="n">
        <v>31.1</v>
      </c>
      <c r="H1434" s="12" t="inlineStr">
        <is>
          <t>PCM: power control module</t>
        </is>
      </c>
      <c r="I1434" s="12" t="inlineStr">
        <is>
          <t>LV 600 V</t>
        </is>
      </c>
      <c r="J1434" s="12" t="inlineStr">
        <is>
          <t>4</t>
        </is>
      </c>
      <c r="K1434" s="12" t="n">
        <v>1</v>
      </c>
    </row>
    <row r="1435">
      <c r="A1435" s="12" t="inlineStr">
        <is>
          <t>RICE engine-generator 6</t>
        </is>
      </c>
      <c r="B1435" s="12" t="inlineStr">
        <is>
          <t>RICE-6</t>
        </is>
      </c>
      <c r="C1435" s="12" t="inlineStr">
        <is>
          <t>I</t>
        </is>
      </c>
      <c r="D1435" s="12" t="inlineStr">
        <is>
          <t>480 V welding receptacle 1</t>
        </is>
      </c>
      <c r="E1435" s="12" t="n">
        <v>480</v>
      </c>
      <c r="F1435" s="12" t="n">
        <v>60</v>
      </c>
      <c r="G1435" s="12" t="n">
        <v>76</v>
      </c>
      <c r="H1435" s="12" t="inlineStr">
        <is>
          <t>PCM: power control module</t>
        </is>
      </c>
      <c r="I1435" s="12" t="inlineStr">
        <is>
          <t>LV 600 V</t>
        </is>
      </c>
      <c r="J1435" s="12" t="inlineStr">
        <is>
          <t>1</t>
        </is>
      </c>
      <c r="K1435" s="12" t="n">
        <v>1</v>
      </c>
    </row>
    <row r="1436">
      <c r="A1436" s="12" t="inlineStr">
        <is>
          <t>RICE engine-generator 6</t>
        </is>
      </c>
      <c r="B1436" s="12" t="inlineStr">
        <is>
          <t>RICE-6</t>
        </is>
      </c>
      <c r="C1436" s="12" t="inlineStr">
        <is>
          <t>I</t>
        </is>
      </c>
      <c r="D1436" s="12" t="inlineStr">
        <is>
          <t>480 V welding receptacle 2</t>
        </is>
      </c>
      <c r="E1436" s="12" t="n">
        <v>480</v>
      </c>
      <c r="F1436" s="12" t="n">
        <v>60</v>
      </c>
      <c r="G1436" s="12" t="n">
        <v>76</v>
      </c>
      <c r="H1436" s="12" t="inlineStr">
        <is>
          <t>PCM: power control module</t>
        </is>
      </c>
      <c r="I1436" s="12" t="inlineStr">
        <is>
          <t>LV 600 V</t>
        </is>
      </c>
      <c r="J1436" s="12" t="inlineStr">
        <is>
          <t>1</t>
        </is>
      </c>
      <c r="K1436" s="12" t="n">
        <v>1</v>
      </c>
    </row>
    <row r="1437">
      <c r="A1437" s="12" t="inlineStr">
        <is>
          <t>RICE engine-generator 6</t>
        </is>
      </c>
      <c r="B1437" s="12" t="inlineStr">
        <is>
          <t>RICE-6</t>
        </is>
      </c>
      <c r="C1437" s="12" t="inlineStr">
        <is>
          <t>I</t>
        </is>
      </c>
      <c r="D1437" s="12" t="inlineStr">
        <is>
          <t>480 V welding receptacle 3</t>
        </is>
      </c>
      <c r="E1437" s="12" t="n">
        <v>480</v>
      </c>
      <c r="F1437" s="12" t="n">
        <v>60</v>
      </c>
      <c r="G1437" s="12" t="n">
        <v>76</v>
      </c>
      <c r="H1437" s="12" t="inlineStr">
        <is>
          <t>PCM: power control module</t>
        </is>
      </c>
      <c r="I1437" s="12" t="inlineStr">
        <is>
          <t>LV 600 V</t>
        </is>
      </c>
      <c r="J1437" s="12" t="inlineStr">
        <is>
          <t>1</t>
        </is>
      </c>
      <c r="K1437" s="12" t="n">
        <v>1</v>
      </c>
    </row>
    <row r="1438">
      <c r="A1438" s="12" t="inlineStr">
        <is>
          <t>RICE engine-generator 6</t>
        </is>
      </c>
      <c r="B1438" s="12" t="inlineStr">
        <is>
          <t>RICE-6</t>
        </is>
      </c>
      <c r="C1438" s="12" t="inlineStr">
        <is>
          <t>I</t>
        </is>
      </c>
      <c r="D1438" s="12" t="inlineStr">
        <is>
          <t>480 V welding receptacle 4</t>
        </is>
      </c>
      <c r="E1438" s="12" t="n">
        <v>480</v>
      </c>
      <c r="F1438" s="12" t="n">
        <v>60</v>
      </c>
      <c r="G1438" s="12" t="n">
        <v>76</v>
      </c>
      <c r="H1438" s="12" t="inlineStr">
        <is>
          <t>PCM: power control module</t>
        </is>
      </c>
      <c r="I1438" s="12" t="inlineStr">
        <is>
          <t>LV 600 V</t>
        </is>
      </c>
      <c r="J1438" s="12" t="inlineStr">
        <is>
          <t>1</t>
        </is>
      </c>
      <c r="K1438" s="12" t="n">
        <v>1</v>
      </c>
    </row>
    <row r="1439">
      <c r="A1439" s="12" t="inlineStr">
        <is>
          <t>RICE engine-generator 7</t>
        </is>
      </c>
      <c r="B1439" s="12" t="inlineStr">
        <is>
          <t>RICE-7</t>
        </is>
      </c>
      <c r="C1439" s="12" t="inlineStr">
        <is>
          <t>I</t>
        </is>
      </c>
      <c r="D1439" s="12" t="inlineStr">
        <is>
          <t>Motor 1 of 6, 22 kW</t>
        </is>
      </c>
      <c r="E1439" s="12" t="n">
        <v>480</v>
      </c>
      <c r="F1439" s="12" t="n">
        <v>22</v>
      </c>
      <c r="G1439" s="12" t="n">
        <v>31.1</v>
      </c>
      <c r="H1439" s="12" t="inlineStr">
        <is>
          <t>PCM: power control module</t>
        </is>
      </c>
      <c r="I1439" s="12" t="inlineStr">
        <is>
          <t>LV 600 V</t>
        </is>
      </c>
      <c r="J1439" s="12" t="inlineStr">
        <is>
          <t>8</t>
        </is>
      </c>
      <c r="K1439" s="12" t="n">
        <v>1</v>
      </c>
    </row>
    <row r="1440">
      <c r="A1440" s="12" t="inlineStr">
        <is>
          <t>RICE engine-generator 7</t>
        </is>
      </c>
      <c r="B1440" s="12" t="inlineStr">
        <is>
          <t>RICE-7</t>
        </is>
      </c>
      <c r="C1440" s="12" t="inlineStr">
        <is>
          <t>I</t>
        </is>
      </c>
      <c r="D1440" s="12" t="inlineStr">
        <is>
          <t>Motor 2 of 6, 22 kW</t>
        </is>
      </c>
      <c r="E1440" s="12" t="n">
        <v>480</v>
      </c>
      <c r="F1440" s="12" t="n">
        <v>22</v>
      </c>
      <c r="G1440" s="12" t="n">
        <v>31.1</v>
      </c>
      <c r="H1440" s="12" t="inlineStr">
        <is>
          <t>PCM: power control module</t>
        </is>
      </c>
      <c r="I1440" s="12" t="inlineStr">
        <is>
          <t>LV 600 V</t>
        </is>
      </c>
      <c r="J1440" s="12" t="inlineStr">
        <is>
          <t>8</t>
        </is>
      </c>
      <c r="K1440" s="12" t="n">
        <v>1</v>
      </c>
    </row>
    <row r="1441">
      <c r="A1441" s="12" t="inlineStr">
        <is>
          <t>RICE engine-generator 7</t>
        </is>
      </c>
      <c r="B1441" s="12" t="inlineStr">
        <is>
          <t>RICE-7</t>
        </is>
      </c>
      <c r="C1441" s="12" t="inlineStr">
        <is>
          <t>I</t>
        </is>
      </c>
      <c r="D1441" s="12" t="inlineStr">
        <is>
          <t>Motor 3 of 6, 22 kW</t>
        </is>
      </c>
      <c r="E1441" s="12" t="n">
        <v>480</v>
      </c>
      <c r="F1441" s="12" t="n">
        <v>22</v>
      </c>
      <c r="G1441" s="12" t="n">
        <v>31.1</v>
      </c>
      <c r="H1441" s="12" t="inlineStr">
        <is>
          <t>PCM: power control module</t>
        </is>
      </c>
      <c r="I1441" s="12" t="inlineStr">
        <is>
          <t>LV 600 V</t>
        </is>
      </c>
      <c r="J1441" s="12" t="inlineStr">
        <is>
          <t>8</t>
        </is>
      </c>
      <c r="K1441" s="12" t="n">
        <v>1</v>
      </c>
    </row>
    <row r="1442">
      <c r="A1442" s="12" t="inlineStr">
        <is>
          <t>RICE engine-generator 7</t>
        </is>
      </c>
      <c r="B1442" s="12" t="inlineStr">
        <is>
          <t>RICE-7</t>
        </is>
      </c>
      <c r="C1442" s="12" t="inlineStr">
        <is>
          <t>I</t>
        </is>
      </c>
      <c r="D1442" s="12" t="inlineStr">
        <is>
          <t>Motor 4 of 6, 22 kW</t>
        </is>
      </c>
      <c r="E1442" s="12" t="n">
        <v>480</v>
      </c>
      <c r="F1442" s="12" t="n">
        <v>22</v>
      </c>
      <c r="G1442" s="12" t="n">
        <v>31.1</v>
      </c>
      <c r="H1442" s="12" t="inlineStr">
        <is>
          <t>PCM: power control module</t>
        </is>
      </c>
      <c r="I1442" s="12" t="inlineStr">
        <is>
          <t>LV 600 V</t>
        </is>
      </c>
      <c r="J1442" s="12" t="inlineStr">
        <is>
          <t>8</t>
        </is>
      </c>
      <c r="K1442" s="12" t="n">
        <v>1</v>
      </c>
    </row>
    <row r="1443">
      <c r="A1443" s="12" t="inlineStr">
        <is>
          <t>RICE engine-generator 7</t>
        </is>
      </c>
      <c r="B1443" s="12" t="inlineStr">
        <is>
          <t>RICE-7</t>
        </is>
      </c>
      <c r="C1443" s="12" t="inlineStr">
        <is>
          <t>I</t>
        </is>
      </c>
      <c r="D1443" s="12" t="inlineStr">
        <is>
          <t>Motor 5 of 6, 22 kW</t>
        </is>
      </c>
      <c r="E1443" s="12" t="n">
        <v>480</v>
      </c>
      <c r="F1443" s="12" t="n">
        <v>22</v>
      </c>
      <c r="G1443" s="12" t="n">
        <v>31.1</v>
      </c>
      <c r="H1443" s="12" t="inlineStr">
        <is>
          <t>PCM: power control module</t>
        </is>
      </c>
      <c r="I1443" s="12" t="inlineStr">
        <is>
          <t>LV 600 V</t>
        </is>
      </c>
      <c r="J1443" s="12" t="inlineStr">
        <is>
          <t>8</t>
        </is>
      </c>
      <c r="K1443" s="12" t="n">
        <v>1</v>
      </c>
    </row>
    <row r="1444">
      <c r="A1444" s="12" t="inlineStr">
        <is>
          <t>RICE engine-generator 7</t>
        </is>
      </c>
      <c r="B1444" s="12" t="inlineStr">
        <is>
          <t>RICE-7</t>
        </is>
      </c>
      <c r="C1444" s="12" t="inlineStr">
        <is>
          <t>I</t>
        </is>
      </c>
      <c r="D1444" s="12" t="inlineStr">
        <is>
          <t>Motor 6 of 6, 22 kW</t>
        </is>
      </c>
      <c r="E1444" s="12" t="n">
        <v>480</v>
      </c>
      <c r="F1444" s="12" t="n">
        <v>22</v>
      </c>
      <c r="G1444" s="12" t="n">
        <v>31.1</v>
      </c>
      <c r="H1444" s="12" t="inlineStr">
        <is>
          <t>PCM: power control module</t>
        </is>
      </c>
      <c r="I1444" s="12" t="inlineStr">
        <is>
          <t>LV 600 V</t>
        </is>
      </c>
      <c r="J1444" s="12" t="inlineStr">
        <is>
          <t>8</t>
        </is>
      </c>
      <c r="K1444" s="12" t="n">
        <v>1</v>
      </c>
    </row>
    <row r="1445">
      <c r="A1445" s="12" t="inlineStr">
        <is>
          <t>RICE engine-generator 7</t>
        </is>
      </c>
      <c r="B1445" s="12" t="inlineStr">
        <is>
          <t>RICE-7</t>
        </is>
      </c>
      <c r="C1445" s="12" t="inlineStr">
        <is>
          <t>I</t>
        </is>
      </c>
      <c r="D1445" s="12" t="inlineStr">
        <is>
          <t>480 V welding receptacle 1</t>
        </is>
      </c>
      <c r="E1445" s="12" t="n">
        <v>480</v>
      </c>
      <c r="F1445" s="12" t="n">
        <v>60</v>
      </c>
      <c r="G1445" s="12" t="n">
        <v>76</v>
      </c>
      <c r="H1445" s="12" t="inlineStr">
        <is>
          <t>PCM: power control module</t>
        </is>
      </c>
      <c r="I1445" s="12" t="inlineStr">
        <is>
          <t>LV 600 V</t>
        </is>
      </c>
      <c r="J1445" s="12" t="inlineStr">
        <is>
          <t>2</t>
        </is>
      </c>
      <c r="K1445" s="12" t="n">
        <v>1</v>
      </c>
    </row>
    <row r="1446">
      <c r="A1446" s="12" t="inlineStr">
        <is>
          <t>RICE engine-generator 7</t>
        </is>
      </c>
      <c r="B1446" s="12" t="inlineStr">
        <is>
          <t>RICE-7</t>
        </is>
      </c>
      <c r="C1446" s="12" t="inlineStr">
        <is>
          <t>I</t>
        </is>
      </c>
      <c r="D1446" s="12" t="inlineStr">
        <is>
          <t>480 V welding receptacle 2</t>
        </is>
      </c>
      <c r="E1446" s="12" t="n">
        <v>480</v>
      </c>
      <c r="F1446" s="12" t="n">
        <v>60</v>
      </c>
      <c r="G1446" s="12" t="n">
        <v>76</v>
      </c>
      <c r="H1446" s="12" t="inlineStr">
        <is>
          <t>PCM: power control module</t>
        </is>
      </c>
      <c r="I1446" s="12" t="inlineStr">
        <is>
          <t>LV 600 V</t>
        </is>
      </c>
      <c r="J1446" s="12" t="inlineStr">
        <is>
          <t>2</t>
        </is>
      </c>
      <c r="K1446" s="12" t="n">
        <v>1</v>
      </c>
    </row>
    <row r="1447">
      <c r="A1447" s="12" t="inlineStr">
        <is>
          <t>RICE engine-generator 7</t>
        </is>
      </c>
      <c r="B1447" s="12" t="inlineStr">
        <is>
          <t>RICE-7</t>
        </is>
      </c>
      <c r="C1447" s="12" t="inlineStr">
        <is>
          <t>I</t>
        </is>
      </c>
      <c r="D1447" s="12" t="inlineStr">
        <is>
          <t>480 V welding receptacle 3</t>
        </is>
      </c>
      <c r="E1447" s="12" t="n">
        <v>480</v>
      </c>
      <c r="F1447" s="12" t="n">
        <v>60</v>
      </c>
      <c r="G1447" s="12" t="n">
        <v>76</v>
      </c>
      <c r="H1447" s="12" t="inlineStr">
        <is>
          <t>PCM: power control module</t>
        </is>
      </c>
      <c r="I1447" s="12" t="inlineStr">
        <is>
          <t>LV 600 V</t>
        </is>
      </c>
      <c r="J1447" s="12" t="inlineStr">
        <is>
          <t>2</t>
        </is>
      </c>
      <c r="K1447" s="12" t="n">
        <v>1</v>
      </c>
    </row>
    <row r="1448">
      <c r="A1448" s="12" t="inlineStr">
        <is>
          <t>RICE engine-generator 7</t>
        </is>
      </c>
      <c r="B1448" s="12" t="inlineStr">
        <is>
          <t>RICE-7</t>
        </is>
      </c>
      <c r="C1448" s="12" t="inlineStr">
        <is>
          <t>I</t>
        </is>
      </c>
      <c r="D1448" s="12" t="inlineStr">
        <is>
          <t>480 V welding receptacle 4</t>
        </is>
      </c>
      <c r="E1448" s="12" t="n">
        <v>480</v>
      </c>
      <c r="F1448" s="12" t="n">
        <v>60</v>
      </c>
      <c r="G1448" s="12" t="n">
        <v>76</v>
      </c>
      <c r="H1448" s="12" t="inlineStr">
        <is>
          <t>PCM: power control module</t>
        </is>
      </c>
      <c r="I1448" s="12" t="inlineStr">
        <is>
          <t>LV 600 V</t>
        </is>
      </c>
      <c r="J1448" s="12" t="inlineStr">
        <is>
          <t>2</t>
        </is>
      </c>
      <c r="K1448" s="12" t="n">
        <v>1</v>
      </c>
    </row>
    <row r="1449">
      <c r="A1449" s="12" t="inlineStr">
        <is>
          <t>RICE engine-generator 8</t>
        </is>
      </c>
      <c r="B1449" s="12" t="inlineStr">
        <is>
          <t>RICE-8</t>
        </is>
      </c>
      <c r="C1449" s="12" t="inlineStr">
        <is>
          <t>I</t>
        </is>
      </c>
      <c r="D1449" s="12" t="inlineStr">
        <is>
          <t>Motor 1 of 6, 22 kW</t>
        </is>
      </c>
      <c r="E1449" s="12" t="n">
        <v>480</v>
      </c>
      <c r="F1449" s="12" t="n">
        <v>22</v>
      </c>
      <c r="G1449" s="12" t="n">
        <v>31.1</v>
      </c>
      <c r="H1449" s="12" t="inlineStr">
        <is>
          <t>PCM: power control module</t>
        </is>
      </c>
      <c r="I1449" s="12" t="inlineStr">
        <is>
          <t>LV 600 V</t>
        </is>
      </c>
      <c r="J1449" s="12" t="inlineStr">
        <is>
          <t>8</t>
        </is>
      </c>
      <c r="K1449" s="12" t="n">
        <v>1</v>
      </c>
    </row>
    <row r="1450">
      <c r="A1450" s="12" t="inlineStr">
        <is>
          <t>RICE engine-generator 8</t>
        </is>
      </c>
      <c r="B1450" s="12" t="inlineStr">
        <is>
          <t>RICE-8</t>
        </is>
      </c>
      <c r="C1450" s="12" t="inlineStr">
        <is>
          <t>I</t>
        </is>
      </c>
      <c r="D1450" s="12" t="inlineStr">
        <is>
          <t>Motor 2 of 6, 22 kW</t>
        </is>
      </c>
      <c r="E1450" s="12" t="n">
        <v>480</v>
      </c>
      <c r="F1450" s="12" t="n">
        <v>22</v>
      </c>
      <c r="G1450" s="12" t="n">
        <v>31.1</v>
      </c>
      <c r="H1450" s="12" t="inlineStr">
        <is>
          <t>PCM: power control module</t>
        </is>
      </c>
      <c r="I1450" s="12" t="inlineStr">
        <is>
          <t>LV 600 V</t>
        </is>
      </c>
      <c r="J1450" s="12" t="inlineStr">
        <is>
          <t>8</t>
        </is>
      </c>
      <c r="K1450" s="12" t="n">
        <v>1</v>
      </c>
    </row>
    <row r="1451">
      <c r="A1451" s="12" t="inlineStr">
        <is>
          <t>RICE engine-generator 8</t>
        </is>
      </c>
      <c r="B1451" s="12" t="inlineStr">
        <is>
          <t>RICE-8</t>
        </is>
      </c>
      <c r="C1451" s="12" t="inlineStr">
        <is>
          <t>I</t>
        </is>
      </c>
      <c r="D1451" s="12" t="inlineStr">
        <is>
          <t>Motor 3 of 6, 22 kW</t>
        </is>
      </c>
      <c r="E1451" s="12" t="n">
        <v>480</v>
      </c>
      <c r="F1451" s="12" t="n">
        <v>22</v>
      </c>
      <c r="G1451" s="12" t="n">
        <v>31.1</v>
      </c>
      <c r="H1451" s="12" t="inlineStr">
        <is>
          <t>PCM: power control module</t>
        </is>
      </c>
      <c r="I1451" s="12" t="inlineStr">
        <is>
          <t>LV 600 V</t>
        </is>
      </c>
      <c r="J1451" s="12" t="inlineStr">
        <is>
          <t>8</t>
        </is>
      </c>
      <c r="K1451" s="12" t="n">
        <v>1</v>
      </c>
    </row>
    <row r="1452">
      <c r="A1452" s="12" t="inlineStr">
        <is>
          <t>RICE engine-generator 8</t>
        </is>
      </c>
      <c r="B1452" s="12" t="inlineStr">
        <is>
          <t>RICE-8</t>
        </is>
      </c>
      <c r="C1452" s="12" t="inlineStr">
        <is>
          <t>I</t>
        </is>
      </c>
      <c r="D1452" s="12" t="inlineStr">
        <is>
          <t>Motor 4 of 6, 22 kW</t>
        </is>
      </c>
      <c r="E1452" s="12" t="n">
        <v>480</v>
      </c>
      <c r="F1452" s="12" t="n">
        <v>22</v>
      </c>
      <c r="G1452" s="12" t="n">
        <v>31.1</v>
      </c>
      <c r="H1452" s="12" t="inlineStr">
        <is>
          <t>PCM: power control module</t>
        </is>
      </c>
      <c r="I1452" s="12" t="inlineStr">
        <is>
          <t>LV 600 V</t>
        </is>
      </c>
      <c r="J1452" s="12" t="inlineStr">
        <is>
          <t>8</t>
        </is>
      </c>
      <c r="K1452" s="12" t="n">
        <v>1</v>
      </c>
    </row>
    <row r="1453">
      <c r="A1453" s="12" t="inlineStr">
        <is>
          <t>RICE engine-generator 8</t>
        </is>
      </c>
      <c r="B1453" s="12" t="inlineStr">
        <is>
          <t>RICE-8</t>
        </is>
      </c>
      <c r="C1453" s="12" t="inlineStr">
        <is>
          <t>I</t>
        </is>
      </c>
      <c r="D1453" s="12" t="inlineStr">
        <is>
          <t>Motor 5 of 6, 22 kW</t>
        </is>
      </c>
      <c r="E1453" s="12" t="n">
        <v>480</v>
      </c>
      <c r="F1453" s="12" t="n">
        <v>22</v>
      </c>
      <c r="G1453" s="12" t="n">
        <v>31.1</v>
      </c>
      <c r="H1453" s="12" t="inlineStr">
        <is>
          <t>PCM: power control module</t>
        </is>
      </c>
      <c r="I1453" s="12" t="inlineStr">
        <is>
          <t>LV 600 V</t>
        </is>
      </c>
      <c r="J1453" s="12" t="inlineStr">
        <is>
          <t>8</t>
        </is>
      </c>
      <c r="K1453" s="12" t="n">
        <v>1</v>
      </c>
    </row>
    <row r="1454">
      <c r="A1454" s="12" t="inlineStr">
        <is>
          <t>RICE engine-generator 8</t>
        </is>
      </c>
      <c r="B1454" s="12" t="inlineStr">
        <is>
          <t>RICE-8</t>
        </is>
      </c>
      <c r="C1454" s="12" t="inlineStr">
        <is>
          <t>I</t>
        </is>
      </c>
      <c r="D1454" s="12" t="inlineStr">
        <is>
          <t>Motor 6 of 6, 22 kW</t>
        </is>
      </c>
      <c r="E1454" s="12" t="n">
        <v>480</v>
      </c>
      <c r="F1454" s="12" t="n">
        <v>22</v>
      </c>
      <c r="G1454" s="12" t="n">
        <v>31.1</v>
      </c>
      <c r="H1454" s="12" t="inlineStr">
        <is>
          <t>PCM: power control module</t>
        </is>
      </c>
      <c r="I1454" s="12" t="inlineStr">
        <is>
          <t>LV 600 V</t>
        </is>
      </c>
      <c r="J1454" s="12" t="inlineStr">
        <is>
          <t>8</t>
        </is>
      </c>
      <c r="K1454" s="12" t="n">
        <v>1</v>
      </c>
    </row>
    <row r="1455">
      <c r="A1455" s="12" t="inlineStr">
        <is>
          <t>RICE engine-generator 8</t>
        </is>
      </c>
      <c r="B1455" s="12" t="inlineStr">
        <is>
          <t>RICE-8</t>
        </is>
      </c>
      <c r="C1455" s="12" t="inlineStr">
        <is>
          <t>I</t>
        </is>
      </c>
      <c r="D1455" s="12" t="inlineStr">
        <is>
          <t>480 V welding receptacle 1</t>
        </is>
      </c>
      <c r="E1455" s="12" t="n">
        <v>480</v>
      </c>
      <c r="F1455" s="12" t="n">
        <v>60</v>
      </c>
      <c r="G1455" s="12" t="n">
        <v>76</v>
      </c>
      <c r="H1455" s="12" t="inlineStr">
        <is>
          <t>PCM: power control module</t>
        </is>
      </c>
      <c r="I1455" s="12" t="inlineStr">
        <is>
          <t>LV 600 V</t>
        </is>
      </c>
      <c r="J1455" s="12" t="inlineStr">
        <is>
          <t>2</t>
        </is>
      </c>
      <c r="K1455" s="12" t="n">
        <v>1</v>
      </c>
    </row>
    <row r="1456">
      <c r="A1456" s="12" t="inlineStr">
        <is>
          <t>RICE engine-generator 8</t>
        </is>
      </c>
      <c r="B1456" s="12" t="inlineStr">
        <is>
          <t>RICE-8</t>
        </is>
      </c>
      <c r="C1456" s="12" t="inlineStr">
        <is>
          <t>I</t>
        </is>
      </c>
      <c r="D1456" s="12" t="inlineStr">
        <is>
          <t>480 V welding receptacle 2</t>
        </is>
      </c>
      <c r="E1456" s="12" t="n">
        <v>480</v>
      </c>
      <c r="F1456" s="12" t="n">
        <v>60</v>
      </c>
      <c r="G1456" s="12" t="n">
        <v>76</v>
      </c>
      <c r="H1456" s="12" t="inlineStr">
        <is>
          <t>PCM: power control module</t>
        </is>
      </c>
      <c r="I1456" s="12" t="inlineStr">
        <is>
          <t>LV 600 V</t>
        </is>
      </c>
      <c r="J1456" s="12" t="inlineStr">
        <is>
          <t>2</t>
        </is>
      </c>
      <c r="K1456" s="12" t="n">
        <v>1</v>
      </c>
    </row>
    <row r="1457">
      <c r="A1457" s="12" t="inlineStr">
        <is>
          <t>RICE engine-generator 8</t>
        </is>
      </c>
      <c r="B1457" s="12" t="inlineStr">
        <is>
          <t>RICE-8</t>
        </is>
      </c>
      <c r="C1457" s="12" t="inlineStr">
        <is>
          <t>I</t>
        </is>
      </c>
      <c r="D1457" s="12" t="inlineStr">
        <is>
          <t>480 V welding receptacle 3</t>
        </is>
      </c>
      <c r="E1457" s="12" t="n">
        <v>480</v>
      </c>
      <c r="F1457" s="12" t="n">
        <v>60</v>
      </c>
      <c r="G1457" s="12" t="n">
        <v>76</v>
      </c>
      <c r="H1457" s="12" t="inlineStr">
        <is>
          <t>PCM: power control module</t>
        </is>
      </c>
      <c r="I1457" s="12" t="inlineStr">
        <is>
          <t>LV 600 V</t>
        </is>
      </c>
      <c r="J1457" s="12" t="inlineStr">
        <is>
          <t>2</t>
        </is>
      </c>
      <c r="K1457" s="12" t="n">
        <v>1</v>
      </c>
    </row>
    <row r="1458">
      <c r="A1458" s="12" t="inlineStr">
        <is>
          <t>RICE engine-generator 8</t>
        </is>
      </c>
      <c r="B1458" s="12" t="inlineStr">
        <is>
          <t>RICE-8</t>
        </is>
      </c>
      <c r="C1458" s="12" t="inlineStr">
        <is>
          <t>I</t>
        </is>
      </c>
      <c r="D1458" s="12" t="inlineStr">
        <is>
          <t>480 V welding receptacle 4</t>
        </is>
      </c>
      <c r="E1458" s="12" t="n">
        <v>480</v>
      </c>
      <c r="F1458" s="12" t="n">
        <v>60</v>
      </c>
      <c r="G1458" s="12" t="n">
        <v>76</v>
      </c>
      <c r="H1458" s="12" t="inlineStr">
        <is>
          <t>PCM: power control module</t>
        </is>
      </c>
      <c r="I1458" s="12" t="inlineStr">
        <is>
          <t>LV 600 V</t>
        </is>
      </c>
      <c r="J1458" s="12" t="inlineStr">
        <is>
          <t>2</t>
        </is>
      </c>
      <c r="K1458" s="12" t="n">
        <v>1</v>
      </c>
    </row>
    <row r="1459">
      <c r="A1459" s="12" t="inlineStr">
        <is>
          <t>Reagent storage</t>
        </is>
      </c>
      <c r="B1459" s="12" t="inlineStr"/>
      <c r="C1459" s="12" t="inlineStr">
        <is>
          <t>I</t>
        </is>
      </c>
      <c r="D1459" s="12" t="inlineStr">
        <is>
          <t>LV power feeder</t>
        </is>
      </c>
      <c r="E1459" s="12" t="n">
        <v>480</v>
      </c>
      <c r="F1459" s="12" t="n">
        <v>15</v>
      </c>
      <c r="G1459" s="12" t="n">
        <v>21.2</v>
      </c>
      <c r="H1459" s="12" t="inlineStr">
        <is>
          <t>PCM: power control module</t>
        </is>
      </c>
      <c r="I1459" s="12" t="inlineStr">
        <is>
          <t>LV 600 V</t>
        </is>
      </c>
      <c r="J1459" s="12" t="inlineStr">
        <is>
          <t>10</t>
        </is>
      </c>
      <c r="K1459" s="12" t="n">
        <v>1</v>
      </c>
    </row>
    <row r="1460">
      <c r="A1460" s="12" t="inlineStr">
        <is>
          <t>SC-1 SCR / CO catalyst</t>
        </is>
      </c>
      <c r="B1460" s="12" t="inlineStr"/>
      <c r="C1460" s="12" t="inlineStr">
        <is>
          <t>I</t>
        </is>
      </c>
      <c r="D1460" s="12" t="inlineStr">
        <is>
          <t>Motor 1 of 2, 30 kW</t>
        </is>
      </c>
      <c r="E1460" s="12" t="n">
        <v>480</v>
      </c>
      <c r="F1460" s="12" t="n">
        <v>30</v>
      </c>
      <c r="G1460" s="12" t="n">
        <v>42.5</v>
      </c>
      <c r="H1460" s="12" t="inlineStr">
        <is>
          <t>PCM: power control module</t>
        </is>
      </c>
      <c r="I1460" s="12" t="inlineStr">
        <is>
          <t>LV 600 V</t>
        </is>
      </c>
      <c r="J1460" s="12" t="inlineStr">
        <is>
          <t>6</t>
        </is>
      </c>
      <c r="K1460" s="12" t="n">
        <v>1</v>
      </c>
    </row>
    <row r="1461">
      <c r="A1461" s="12" t="inlineStr">
        <is>
          <t>SC-1 SCR / CO catalyst</t>
        </is>
      </c>
      <c r="B1461" s="12" t="inlineStr"/>
      <c r="C1461" s="12" t="inlineStr">
        <is>
          <t>I</t>
        </is>
      </c>
      <c r="D1461" s="12" t="inlineStr">
        <is>
          <t>Motor 2 of 2, 30 kW</t>
        </is>
      </c>
      <c r="E1461" s="12" t="n">
        <v>480</v>
      </c>
      <c r="F1461" s="12" t="n">
        <v>30</v>
      </c>
      <c r="G1461" s="12" t="n">
        <v>42.5</v>
      </c>
      <c r="H1461" s="12" t="inlineStr">
        <is>
          <t>PCM: power control module</t>
        </is>
      </c>
      <c r="I1461" s="12" t="inlineStr">
        <is>
          <t>LV 600 V</t>
        </is>
      </c>
      <c r="J1461" s="12" t="inlineStr">
        <is>
          <t>6</t>
        </is>
      </c>
      <c r="K1461" s="12" t="n">
        <v>1</v>
      </c>
    </row>
    <row r="1462">
      <c r="A1462" s="12" t="inlineStr">
        <is>
          <t>SC-1 lube-oil fin-fan cooler</t>
        </is>
      </c>
      <c r="B1462" s="12" t="inlineStr"/>
      <c r="C1462" s="12" t="inlineStr">
        <is>
          <t>I</t>
        </is>
      </c>
      <c r="D1462" s="12" t="inlineStr">
        <is>
          <t>Motor 1 of 4, 15 kW</t>
        </is>
      </c>
      <c r="E1462" s="12" t="n">
        <v>480</v>
      </c>
      <c r="F1462" s="12" t="n">
        <v>15</v>
      </c>
      <c r="G1462" s="12" t="n">
        <v>21.2</v>
      </c>
      <c r="H1462" s="12" t="inlineStr">
        <is>
          <t>PCM: power control module</t>
        </is>
      </c>
      <c r="I1462" s="12" t="inlineStr">
        <is>
          <t>LV 600 V</t>
        </is>
      </c>
      <c r="J1462" s="12" t="inlineStr">
        <is>
          <t>10</t>
        </is>
      </c>
      <c r="K1462" s="12" t="n">
        <v>1</v>
      </c>
    </row>
    <row r="1463">
      <c r="A1463" s="12" t="inlineStr">
        <is>
          <t>SC-1 lube-oil fin-fan cooler</t>
        </is>
      </c>
      <c r="B1463" s="12" t="inlineStr"/>
      <c r="C1463" s="12" t="inlineStr">
        <is>
          <t>I</t>
        </is>
      </c>
      <c r="D1463" s="12" t="inlineStr">
        <is>
          <t>Motor 2 of 4, 15 kW</t>
        </is>
      </c>
      <c r="E1463" s="12" t="n">
        <v>480</v>
      </c>
      <c r="F1463" s="12" t="n">
        <v>15</v>
      </c>
      <c r="G1463" s="12" t="n">
        <v>21.2</v>
      </c>
      <c r="H1463" s="12" t="inlineStr">
        <is>
          <t>PCM: power control module</t>
        </is>
      </c>
      <c r="I1463" s="12" t="inlineStr">
        <is>
          <t>LV 600 V</t>
        </is>
      </c>
      <c r="J1463" s="12" t="inlineStr">
        <is>
          <t>10</t>
        </is>
      </c>
      <c r="K1463" s="12" t="n">
        <v>1</v>
      </c>
    </row>
    <row r="1464">
      <c r="A1464" s="12" t="inlineStr">
        <is>
          <t>SC-1 lube-oil fin-fan cooler</t>
        </is>
      </c>
      <c r="B1464" s="12" t="inlineStr"/>
      <c r="C1464" s="12" t="inlineStr">
        <is>
          <t>I</t>
        </is>
      </c>
      <c r="D1464" s="12" t="inlineStr">
        <is>
          <t>Motor 3 of 4, 15 kW</t>
        </is>
      </c>
      <c r="E1464" s="12" t="n">
        <v>480</v>
      </c>
      <c r="F1464" s="12" t="n">
        <v>15</v>
      </c>
      <c r="G1464" s="12" t="n">
        <v>21.2</v>
      </c>
      <c r="H1464" s="12" t="inlineStr">
        <is>
          <t>PCM: power control module</t>
        </is>
      </c>
      <c r="I1464" s="12" t="inlineStr">
        <is>
          <t>LV 600 V</t>
        </is>
      </c>
      <c r="J1464" s="12" t="inlineStr">
        <is>
          <t>10</t>
        </is>
      </c>
      <c r="K1464" s="12" t="n">
        <v>1</v>
      </c>
    </row>
    <row r="1465">
      <c r="A1465" s="12" t="inlineStr">
        <is>
          <t>SC-1 lube-oil fin-fan cooler</t>
        </is>
      </c>
      <c r="B1465" s="12" t="inlineStr"/>
      <c r="C1465" s="12" t="inlineStr">
        <is>
          <t>I</t>
        </is>
      </c>
      <c r="D1465" s="12" t="inlineStr">
        <is>
          <t>Motor 4 of 4, 15 kW</t>
        </is>
      </c>
      <c r="E1465" s="12" t="n">
        <v>480</v>
      </c>
      <c r="F1465" s="12" t="n">
        <v>15</v>
      </c>
      <c r="G1465" s="12" t="n">
        <v>21.2</v>
      </c>
      <c r="H1465" s="12" t="inlineStr">
        <is>
          <t>PCM: power control module</t>
        </is>
      </c>
      <c r="I1465" s="12" t="inlineStr">
        <is>
          <t>LV 600 V</t>
        </is>
      </c>
      <c r="J1465" s="12" t="inlineStr">
        <is>
          <t>10</t>
        </is>
      </c>
      <c r="K1465" s="12" t="n">
        <v>1</v>
      </c>
    </row>
    <row r="1466">
      <c r="A1466" s="12" t="inlineStr">
        <is>
          <t>SC-1 stack (80 ft)</t>
        </is>
      </c>
      <c r="B1466" s="12" t="inlineStr"/>
      <c r="C1466" s="12" t="inlineStr">
        <is>
          <t>I</t>
        </is>
      </c>
      <c r="D1466" s="12" t="inlineStr">
        <is>
          <t>Area / platform lighting circuit 1 (4 fixtures)</t>
        </is>
      </c>
      <c r="E1466" s="12" t="n">
        <v>480</v>
      </c>
      <c r="F1466" s="12" t="n">
        <v>3</v>
      </c>
      <c r="G1466" s="12" t="n">
        <v>5</v>
      </c>
      <c r="H1466" s="12" t="inlineStr">
        <is>
          <t>PCM: power control module</t>
        </is>
      </c>
      <c r="I1466" s="12" t="inlineStr">
        <is>
          <t>LV 600 V</t>
        </is>
      </c>
      <c r="J1466" s="12" t="inlineStr">
        <is>
          <t>2</t>
        </is>
      </c>
      <c r="K1466" s="12" t="n">
        <v>1</v>
      </c>
    </row>
    <row r="1467">
      <c r="A1467" s="12" t="inlineStr">
        <is>
          <t>SC-1: aeroderivative simple-cycle unit (LM6000 class)</t>
        </is>
      </c>
      <c r="B1467" s="12" t="inlineStr">
        <is>
          <t>SC-1</t>
        </is>
      </c>
      <c r="C1467" s="12" t="inlineStr">
        <is>
          <t>I</t>
        </is>
      </c>
      <c r="D1467" s="12" t="inlineStr">
        <is>
          <t>Motor 1 of 10, 30 kW</t>
        </is>
      </c>
      <c r="E1467" s="12" t="n">
        <v>480</v>
      </c>
      <c r="F1467" s="12" t="n">
        <v>30</v>
      </c>
      <c r="G1467" s="12" t="n">
        <v>42.5</v>
      </c>
      <c r="H1467" s="12" t="inlineStr">
        <is>
          <t>PCM: power control module</t>
        </is>
      </c>
      <c r="I1467" s="12" t="inlineStr">
        <is>
          <t>LV 600 V</t>
        </is>
      </c>
      <c r="J1467" s="12" t="inlineStr">
        <is>
          <t>6</t>
        </is>
      </c>
      <c r="K1467" s="12" t="n">
        <v>1</v>
      </c>
    </row>
    <row r="1468">
      <c r="A1468" s="12" t="inlineStr">
        <is>
          <t>SC-1: aeroderivative simple-cycle unit (LM6000 class)</t>
        </is>
      </c>
      <c r="B1468" s="12" t="inlineStr">
        <is>
          <t>SC-1</t>
        </is>
      </c>
      <c r="C1468" s="12" t="inlineStr">
        <is>
          <t>I</t>
        </is>
      </c>
      <c r="D1468" s="12" t="inlineStr">
        <is>
          <t>Motor 2 of 10, 30 kW</t>
        </is>
      </c>
      <c r="E1468" s="12" t="n">
        <v>480</v>
      </c>
      <c r="F1468" s="12" t="n">
        <v>30</v>
      </c>
      <c r="G1468" s="12" t="n">
        <v>42.5</v>
      </c>
      <c r="H1468" s="12" t="inlineStr">
        <is>
          <t>PCM: power control module</t>
        </is>
      </c>
      <c r="I1468" s="12" t="inlineStr">
        <is>
          <t>LV 600 V</t>
        </is>
      </c>
      <c r="J1468" s="12" t="inlineStr">
        <is>
          <t>6</t>
        </is>
      </c>
      <c r="K1468" s="12" t="n">
        <v>1</v>
      </c>
    </row>
    <row r="1469">
      <c r="A1469" s="12" t="inlineStr">
        <is>
          <t>SC-1: aeroderivative simple-cycle unit (LM6000 class)</t>
        </is>
      </c>
      <c r="B1469" s="12" t="inlineStr">
        <is>
          <t>SC-1</t>
        </is>
      </c>
      <c r="C1469" s="12" t="inlineStr">
        <is>
          <t>I</t>
        </is>
      </c>
      <c r="D1469" s="12" t="inlineStr">
        <is>
          <t>Motor 3 of 10, 30 kW</t>
        </is>
      </c>
      <c r="E1469" s="12" t="n">
        <v>480</v>
      </c>
      <c r="F1469" s="12" t="n">
        <v>30</v>
      </c>
      <c r="G1469" s="12" t="n">
        <v>42.5</v>
      </c>
      <c r="H1469" s="12" t="inlineStr">
        <is>
          <t>PCM: power control module</t>
        </is>
      </c>
      <c r="I1469" s="12" t="inlineStr">
        <is>
          <t>LV 600 V</t>
        </is>
      </c>
      <c r="J1469" s="12" t="inlineStr">
        <is>
          <t>6</t>
        </is>
      </c>
      <c r="K1469" s="12" t="n">
        <v>1</v>
      </c>
    </row>
    <row r="1470">
      <c r="A1470" s="12" t="inlineStr">
        <is>
          <t>SC-1: aeroderivative simple-cycle unit (LM6000 class)</t>
        </is>
      </c>
      <c r="B1470" s="12" t="inlineStr">
        <is>
          <t>SC-1</t>
        </is>
      </c>
      <c r="C1470" s="12" t="inlineStr">
        <is>
          <t>I</t>
        </is>
      </c>
      <c r="D1470" s="12" t="inlineStr">
        <is>
          <t>Motor 4 of 10, 30 kW</t>
        </is>
      </c>
      <c r="E1470" s="12" t="n">
        <v>480</v>
      </c>
      <c r="F1470" s="12" t="n">
        <v>30</v>
      </c>
      <c r="G1470" s="12" t="n">
        <v>42.5</v>
      </c>
      <c r="H1470" s="12" t="inlineStr">
        <is>
          <t>PCM: power control module</t>
        </is>
      </c>
      <c r="I1470" s="12" t="inlineStr">
        <is>
          <t>LV 600 V</t>
        </is>
      </c>
      <c r="J1470" s="12" t="inlineStr">
        <is>
          <t>6</t>
        </is>
      </c>
      <c r="K1470" s="12" t="n">
        <v>1</v>
      </c>
    </row>
    <row r="1471">
      <c r="A1471" s="12" t="inlineStr">
        <is>
          <t>SC-1: aeroderivative simple-cycle unit (LM6000 class)</t>
        </is>
      </c>
      <c r="B1471" s="12" t="inlineStr">
        <is>
          <t>SC-1</t>
        </is>
      </c>
      <c r="C1471" s="12" t="inlineStr">
        <is>
          <t>I</t>
        </is>
      </c>
      <c r="D1471" s="12" t="inlineStr">
        <is>
          <t>Motor 5 of 10, 30 kW</t>
        </is>
      </c>
      <c r="E1471" s="12" t="n">
        <v>480</v>
      </c>
      <c r="F1471" s="12" t="n">
        <v>30</v>
      </c>
      <c r="G1471" s="12" t="n">
        <v>42.5</v>
      </c>
      <c r="H1471" s="12" t="inlineStr">
        <is>
          <t>PCM: power control module</t>
        </is>
      </c>
      <c r="I1471" s="12" t="inlineStr">
        <is>
          <t>LV 600 V</t>
        </is>
      </c>
      <c r="J1471" s="12" t="inlineStr">
        <is>
          <t>6</t>
        </is>
      </c>
      <c r="K1471" s="12" t="n">
        <v>1</v>
      </c>
    </row>
    <row r="1472">
      <c r="A1472" s="12" t="inlineStr">
        <is>
          <t>SC-1: aeroderivative simple-cycle unit (LM6000 class)</t>
        </is>
      </c>
      <c r="B1472" s="12" t="inlineStr">
        <is>
          <t>SC-1</t>
        </is>
      </c>
      <c r="C1472" s="12" t="inlineStr">
        <is>
          <t>I</t>
        </is>
      </c>
      <c r="D1472" s="12" t="inlineStr">
        <is>
          <t>Motor 6 of 10, 30 kW</t>
        </is>
      </c>
      <c r="E1472" s="12" t="n">
        <v>480</v>
      </c>
      <c r="F1472" s="12" t="n">
        <v>30</v>
      </c>
      <c r="G1472" s="12" t="n">
        <v>42.5</v>
      </c>
      <c r="H1472" s="12" t="inlineStr">
        <is>
          <t>PCM: power control module</t>
        </is>
      </c>
      <c r="I1472" s="12" t="inlineStr">
        <is>
          <t>LV 600 V</t>
        </is>
      </c>
      <c r="J1472" s="12" t="inlineStr">
        <is>
          <t>6</t>
        </is>
      </c>
      <c r="K1472" s="12" t="n">
        <v>1</v>
      </c>
    </row>
    <row r="1473">
      <c r="A1473" s="12" t="inlineStr">
        <is>
          <t>SC-1: aeroderivative simple-cycle unit (LM6000 class)</t>
        </is>
      </c>
      <c r="B1473" s="12" t="inlineStr">
        <is>
          <t>SC-1</t>
        </is>
      </c>
      <c r="C1473" s="12" t="inlineStr">
        <is>
          <t>I</t>
        </is>
      </c>
      <c r="D1473" s="12" t="inlineStr">
        <is>
          <t>Motor 7 of 10, 30 kW</t>
        </is>
      </c>
      <c r="E1473" s="12" t="n">
        <v>480</v>
      </c>
      <c r="F1473" s="12" t="n">
        <v>30</v>
      </c>
      <c r="G1473" s="12" t="n">
        <v>42.5</v>
      </c>
      <c r="H1473" s="12" t="inlineStr">
        <is>
          <t>PCM: power control module</t>
        </is>
      </c>
      <c r="I1473" s="12" t="inlineStr">
        <is>
          <t>LV 600 V</t>
        </is>
      </c>
      <c r="J1473" s="12" t="inlineStr">
        <is>
          <t>6</t>
        </is>
      </c>
      <c r="K1473" s="12" t="n">
        <v>1</v>
      </c>
    </row>
    <row r="1474">
      <c r="A1474" s="12" t="inlineStr">
        <is>
          <t>SC-1: aeroderivative simple-cycle unit (LM6000 class)</t>
        </is>
      </c>
      <c r="B1474" s="12" t="inlineStr">
        <is>
          <t>SC-1</t>
        </is>
      </c>
      <c r="C1474" s="12" t="inlineStr">
        <is>
          <t>I</t>
        </is>
      </c>
      <c r="D1474" s="12" t="inlineStr">
        <is>
          <t>Motor 8 of 10, 30 kW</t>
        </is>
      </c>
      <c r="E1474" s="12" t="n">
        <v>480</v>
      </c>
      <c r="F1474" s="12" t="n">
        <v>30</v>
      </c>
      <c r="G1474" s="12" t="n">
        <v>42.5</v>
      </c>
      <c r="H1474" s="12" t="inlineStr">
        <is>
          <t>PCM: power control module</t>
        </is>
      </c>
      <c r="I1474" s="12" t="inlineStr">
        <is>
          <t>LV 600 V</t>
        </is>
      </c>
      <c r="J1474" s="12" t="inlineStr">
        <is>
          <t>6</t>
        </is>
      </c>
      <c r="K1474" s="12" t="n">
        <v>1</v>
      </c>
    </row>
    <row r="1475">
      <c r="A1475" s="12" t="inlineStr">
        <is>
          <t>SC-1: aeroderivative simple-cycle unit (LM6000 class)</t>
        </is>
      </c>
      <c r="B1475" s="12" t="inlineStr">
        <is>
          <t>SC-1</t>
        </is>
      </c>
      <c r="C1475" s="12" t="inlineStr">
        <is>
          <t>I</t>
        </is>
      </c>
      <c r="D1475" s="12" t="inlineStr">
        <is>
          <t>Motor 9 of 10, 30 kW</t>
        </is>
      </c>
      <c r="E1475" s="12" t="n">
        <v>480</v>
      </c>
      <c r="F1475" s="12" t="n">
        <v>30</v>
      </c>
      <c r="G1475" s="12" t="n">
        <v>42.5</v>
      </c>
      <c r="H1475" s="12" t="inlineStr">
        <is>
          <t>PCM: power control module</t>
        </is>
      </c>
      <c r="I1475" s="12" t="inlineStr">
        <is>
          <t>LV 600 V</t>
        </is>
      </c>
      <c r="J1475" s="12" t="inlineStr">
        <is>
          <t>6</t>
        </is>
      </c>
      <c r="K1475" s="12" t="n">
        <v>1</v>
      </c>
    </row>
    <row r="1476">
      <c r="A1476" s="12" t="inlineStr">
        <is>
          <t>SC-1: aeroderivative simple-cycle unit (LM6000 class)</t>
        </is>
      </c>
      <c r="B1476" s="12" t="inlineStr">
        <is>
          <t>SC-1</t>
        </is>
      </c>
      <c r="C1476" s="12" t="inlineStr">
        <is>
          <t>I</t>
        </is>
      </c>
      <c r="D1476" s="12" t="inlineStr">
        <is>
          <t>Motor 10 of 10, 30 kW</t>
        </is>
      </c>
      <c r="E1476" s="12" t="n">
        <v>480</v>
      </c>
      <c r="F1476" s="12" t="n">
        <v>30</v>
      </c>
      <c r="G1476" s="12" t="n">
        <v>42.5</v>
      </c>
      <c r="H1476" s="12" t="inlineStr">
        <is>
          <t>PCM: power control module</t>
        </is>
      </c>
      <c r="I1476" s="12" t="inlineStr">
        <is>
          <t>LV 600 V</t>
        </is>
      </c>
      <c r="J1476" s="12" t="inlineStr">
        <is>
          <t>6</t>
        </is>
      </c>
      <c r="K1476" s="12" t="n">
        <v>1</v>
      </c>
    </row>
    <row r="1477">
      <c r="A1477" s="12" t="inlineStr">
        <is>
          <t>SC-2 SCR / CO catalyst</t>
        </is>
      </c>
      <c r="B1477" s="12" t="inlineStr"/>
      <c r="C1477" s="12" t="inlineStr">
        <is>
          <t>I</t>
        </is>
      </c>
      <c r="D1477" s="12" t="inlineStr">
        <is>
          <t>Motor 1 of 2, 30 kW</t>
        </is>
      </c>
      <c r="E1477" s="12" t="n">
        <v>480</v>
      </c>
      <c r="F1477" s="12" t="n">
        <v>30</v>
      </c>
      <c r="G1477" s="12" t="n">
        <v>42.5</v>
      </c>
      <c r="H1477" s="12" t="inlineStr">
        <is>
          <t>MOD-LV 480 V board + 480 V : 13.8 kV step-up</t>
        </is>
      </c>
      <c r="I1477" s="12" t="inlineStr">
        <is>
          <t>LV 600 V</t>
        </is>
      </c>
      <c r="J1477" s="12" t="inlineStr">
        <is>
          <t>350 kcmil</t>
        </is>
      </c>
      <c r="K1477" s="12" t="n">
        <v>1</v>
      </c>
    </row>
    <row r="1478">
      <c r="A1478" s="12" t="inlineStr">
        <is>
          <t>SC-2 SCR / CO catalyst</t>
        </is>
      </c>
      <c r="B1478" s="12" t="inlineStr"/>
      <c r="C1478" s="12" t="inlineStr">
        <is>
          <t>I</t>
        </is>
      </c>
      <c r="D1478" s="12" t="inlineStr">
        <is>
          <t>Motor 2 of 2, 30 kW</t>
        </is>
      </c>
      <c r="E1478" s="12" t="n">
        <v>480</v>
      </c>
      <c r="F1478" s="12" t="n">
        <v>30</v>
      </c>
      <c r="G1478" s="12" t="n">
        <v>42.5</v>
      </c>
      <c r="H1478" s="12" t="inlineStr">
        <is>
          <t>MOD-LV 480 V board + 480 V : 13.8 kV step-up</t>
        </is>
      </c>
      <c r="I1478" s="12" t="inlineStr">
        <is>
          <t>LV 600 V</t>
        </is>
      </c>
      <c r="J1478" s="12" t="inlineStr">
        <is>
          <t>350 kcmil</t>
        </is>
      </c>
      <c r="K1478" s="12" t="n">
        <v>1</v>
      </c>
    </row>
    <row r="1479">
      <c r="A1479" s="12" t="inlineStr">
        <is>
          <t>SC-2 lube-oil fin-fan cooler</t>
        </is>
      </c>
      <c r="B1479" s="12" t="inlineStr"/>
      <c r="C1479" s="12" t="inlineStr">
        <is>
          <t>I</t>
        </is>
      </c>
      <c r="D1479" s="12" t="inlineStr">
        <is>
          <t>Motor 1 of 4, 15 kW</t>
        </is>
      </c>
      <c r="E1479" s="12" t="n">
        <v>480</v>
      </c>
      <c r="F1479" s="12" t="n">
        <v>15</v>
      </c>
      <c r="G1479" s="12" t="n">
        <v>21.2</v>
      </c>
      <c r="H1479" s="12" t="inlineStr">
        <is>
          <t>MOD-LV 480 V board + 480 V : 13.8 kV step-up</t>
        </is>
      </c>
      <c r="I1479" s="12" t="inlineStr">
        <is>
          <t>LV 600 V</t>
        </is>
      </c>
      <c r="J1479" s="12" t="inlineStr">
        <is>
          <t>3/0</t>
        </is>
      </c>
      <c r="K1479" s="12" t="n">
        <v>1</v>
      </c>
    </row>
    <row r="1480">
      <c r="A1480" s="12" t="inlineStr">
        <is>
          <t>SC-2 lube-oil fin-fan cooler</t>
        </is>
      </c>
      <c r="B1480" s="12" t="inlineStr"/>
      <c r="C1480" s="12" t="inlineStr">
        <is>
          <t>I</t>
        </is>
      </c>
      <c r="D1480" s="12" t="inlineStr">
        <is>
          <t>Motor 2 of 4, 15 kW</t>
        </is>
      </c>
      <c r="E1480" s="12" t="n">
        <v>480</v>
      </c>
      <c r="F1480" s="12" t="n">
        <v>15</v>
      </c>
      <c r="G1480" s="12" t="n">
        <v>21.2</v>
      </c>
      <c r="H1480" s="12" t="inlineStr">
        <is>
          <t>MOD-LV 480 V board + 480 V : 13.8 kV step-up</t>
        </is>
      </c>
      <c r="I1480" s="12" t="inlineStr">
        <is>
          <t>LV 600 V</t>
        </is>
      </c>
      <c r="J1480" s="12" t="inlineStr">
        <is>
          <t>3/0</t>
        </is>
      </c>
      <c r="K1480" s="12" t="n">
        <v>1</v>
      </c>
    </row>
    <row r="1481">
      <c r="A1481" s="12" t="inlineStr">
        <is>
          <t>SC-2 lube-oil fin-fan cooler</t>
        </is>
      </c>
      <c r="B1481" s="12" t="inlineStr"/>
      <c r="C1481" s="12" t="inlineStr">
        <is>
          <t>I</t>
        </is>
      </c>
      <c r="D1481" s="12" t="inlineStr">
        <is>
          <t>Motor 3 of 4, 15 kW</t>
        </is>
      </c>
      <c r="E1481" s="12" t="n">
        <v>480</v>
      </c>
      <c r="F1481" s="12" t="n">
        <v>15</v>
      </c>
      <c r="G1481" s="12" t="n">
        <v>21.2</v>
      </c>
      <c r="H1481" s="12" t="inlineStr">
        <is>
          <t>MOD-LV 480 V board + 480 V : 13.8 kV step-up</t>
        </is>
      </c>
      <c r="I1481" s="12" t="inlineStr">
        <is>
          <t>LV 600 V</t>
        </is>
      </c>
      <c r="J1481" s="12" t="inlineStr">
        <is>
          <t>3/0</t>
        </is>
      </c>
      <c r="K1481" s="12" t="n">
        <v>1</v>
      </c>
    </row>
    <row r="1482">
      <c r="A1482" s="12" t="inlineStr">
        <is>
          <t>SC-2 lube-oil fin-fan cooler</t>
        </is>
      </c>
      <c r="B1482" s="12" t="inlineStr"/>
      <c r="C1482" s="12" t="inlineStr">
        <is>
          <t>I</t>
        </is>
      </c>
      <c r="D1482" s="12" t="inlineStr">
        <is>
          <t>Motor 4 of 4, 15 kW</t>
        </is>
      </c>
      <c r="E1482" s="12" t="n">
        <v>480</v>
      </c>
      <c r="F1482" s="12" t="n">
        <v>15</v>
      </c>
      <c r="G1482" s="12" t="n">
        <v>21.2</v>
      </c>
      <c r="H1482" s="12" t="inlineStr">
        <is>
          <t>MOD-LV 480 V board + 480 V : 13.8 kV step-up</t>
        </is>
      </c>
      <c r="I1482" s="12" t="inlineStr">
        <is>
          <t>LV 600 V</t>
        </is>
      </c>
      <c r="J1482" s="12" t="inlineStr">
        <is>
          <t>3/0</t>
        </is>
      </c>
      <c r="K1482" s="12" t="n">
        <v>1</v>
      </c>
    </row>
    <row r="1483">
      <c r="A1483" s="12" t="inlineStr">
        <is>
          <t>SC-2 stack (80 ft)</t>
        </is>
      </c>
      <c r="B1483" s="12" t="inlineStr"/>
      <c r="C1483" s="12" t="inlineStr">
        <is>
          <t>I</t>
        </is>
      </c>
      <c r="D1483" s="12" t="inlineStr">
        <is>
          <t>Area / platform lighting circuit 1 (4 fixtures)</t>
        </is>
      </c>
      <c r="E1483" s="12" t="n">
        <v>480</v>
      </c>
      <c r="F1483" s="12" t="n">
        <v>3</v>
      </c>
      <c r="G1483" s="12" t="n">
        <v>5</v>
      </c>
      <c r="H1483" s="12" t="inlineStr">
        <is>
          <t>MOD-LV 480 V board + 480 V : 13.8 kV step-up</t>
        </is>
      </c>
      <c r="I1483" s="12" t="inlineStr">
        <is>
          <t>LV 600 V</t>
        </is>
      </c>
      <c r="J1483" s="12" t="inlineStr">
        <is>
          <t>4</t>
        </is>
      </c>
      <c r="K1483" s="12" t="n">
        <v>1</v>
      </c>
    </row>
    <row r="1484">
      <c r="A1484" s="12" t="inlineStr">
        <is>
          <t>SC-2: aeroderivative simple-cycle unit (LM6000 class)</t>
        </is>
      </c>
      <c r="B1484" s="12" t="inlineStr">
        <is>
          <t>SC-2</t>
        </is>
      </c>
      <c r="C1484" s="12" t="inlineStr">
        <is>
          <t>I</t>
        </is>
      </c>
      <c r="D1484" s="12" t="inlineStr">
        <is>
          <t>Motor 1 of 10, 30 kW</t>
        </is>
      </c>
      <c r="E1484" s="12" t="n">
        <v>480</v>
      </c>
      <c r="F1484" s="12" t="n">
        <v>30</v>
      </c>
      <c r="G1484" s="12" t="n">
        <v>42.5</v>
      </c>
      <c r="H1484" s="12" t="inlineStr">
        <is>
          <t>MOD-LV 480 V board + 480 V : 13.8 kV step-up</t>
        </is>
      </c>
      <c r="I1484" s="12" t="inlineStr">
        <is>
          <t>LV 600 V</t>
        </is>
      </c>
      <c r="J1484" s="12" t="inlineStr">
        <is>
          <t>350 kcmil</t>
        </is>
      </c>
      <c r="K1484" s="12" t="n">
        <v>1</v>
      </c>
    </row>
    <row r="1485">
      <c r="A1485" s="12" t="inlineStr">
        <is>
          <t>SC-2: aeroderivative simple-cycle unit (LM6000 class)</t>
        </is>
      </c>
      <c r="B1485" s="12" t="inlineStr">
        <is>
          <t>SC-2</t>
        </is>
      </c>
      <c r="C1485" s="12" t="inlineStr">
        <is>
          <t>I</t>
        </is>
      </c>
      <c r="D1485" s="12" t="inlineStr">
        <is>
          <t>Motor 2 of 10, 30 kW</t>
        </is>
      </c>
      <c r="E1485" s="12" t="n">
        <v>480</v>
      </c>
      <c r="F1485" s="12" t="n">
        <v>30</v>
      </c>
      <c r="G1485" s="12" t="n">
        <v>42.5</v>
      </c>
      <c r="H1485" s="12" t="inlineStr">
        <is>
          <t>MOD-LV 480 V board + 480 V : 13.8 kV step-up</t>
        </is>
      </c>
      <c r="I1485" s="12" t="inlineStr">
        <is>
          <t>LV 600 V</t>
        </is>
      </c>
      <c r="J1485" s="12" t="inlineStr">
        <is>
          <t>350 kcmil</t>
        </is>
      </c>
      <c r="K1485" s="12" t="n">
        <v>1</v>
      </c>
    </row>
    <row r="1486">
      <c r="A1486" s="12" t="inlineStr">
        <is>
          <t>SC-2: aeroderivative simple-cycle unit (LM6000 class)</t>
        </is>
      </c>
      <c r="B1486" s="12" t="inlineStr">
        <is>
          <t>SC-2</t>
        </is>
      </c>
      <c r="C1486" s="12" t="inlineStr">
        <is>
          <t>I</t>
        </is>
      </c>
      <c r="D1486" s="12" t="inlineStr">
        <is>
          <t>Motor 3 of 10, 30 kW</t>
        </is>
      </c>
      <c r="E1486" s="12" t="n">
        <v>480</v>
      </c>
      <c r="F1486" s="12" t="n">
        <v>30</v>
      </c>
      <c r="G1486" s="12" t="n">
        <v>42.5</v>
      </c>
      <c r="H1486" s="12" t="inlineStr">
        <is>
          <t>MOD-LV 480 V board + 480 V : 13.8 kV step-up</t>
        </is>
      </c>
      <c r="I1486" s="12" t="inlineStr">
        <is>
          <t>LV 600 V</t>
        </is>
      </c>
      <c r="J1486" s="12" t="inlineStr">
        <is>
          <t>350 kcmil</t>
        </is>
      </c>
      <c r="K1486" s="12" t="n">
        <v>1</v>
      </c>
    </row>
    <row r="1487">
      <c r="A1487" s="12" t="inlineStr">
        <is>
          <t>SC-2: aeroderivative simple-cycle unit (LM6000 class)</t>
        </is>
      </c>
      <c r="B1487" s="12" t="inlineStr">
        <is>
          <t>SC-2</t>
        </is>
      </c>
      <c r="C1487" s="12" t="inlineStr">
        <is>
          <t>I</t>
        </is>
      </c>
      <c r="D1487" s="12" t="inlineStr">
        <is>
          <t>Motor 4 of 10, 30 kW</t>
        </is>
      </c>
      <c r="E1487" s="12" t="n">
        <v>480</v>
      </c>
      <c r="F1487" s="12" t="n">
        <v>30</v>
      </c>
      <c r="G1487" s="12" t="n">
        <v>42.5</v>
      </c>
      <c r="H1487" s="12" t="inlineStr">
        <is>
          <t>MOD-LV 480 V board + 480 V : 13.8 kV step-up</t>
        </is>
      </c>
      <c r="I1487" s="12" t="inlineStr">
        <is>
          <t>LV 600 V</t>
        </is>
      </c>
      <c r="J1487" s="12" t="inlineStr">
        <is>
          <t>350 kcmil</t>
        </is>
      </c>
      <c r="K1487" s="12" t="n">
        <v>1</v>
      </c>
    </row>
    <row r="1488">
      <c r="A1488" s="12" t="inlineStr">
        <is>
          <t>SC-2: aeroderivative simple-cycle unit (LM6000 class)</t>
        </is>
      </c>
      <c r="B1488" s="12" t="inlineStr">
        <is>
          <t>SC-2</t>
        </is>
      </c>
      <c r="C1488" s="12" t="inlineStr">
        <is>
          <t>I</t>
        </is>
      </c>
      <c r="D1488" s="12" t="inlineStr">
        <is>
          <t>Motor 5 of 10, 30 kW</t>
        </is>
      </c>
      <c r="E1488" s="12" t="n">
        <v>480</v>
      </c>
      <c r="F1488" s="12" t="n">
        <v>30</v>
      </c>
      <c r="G1488" s="12" t="n">
        <v>42.5</v>
      </c>
      <c r="H1488" s="12" t="inlineStr">
        <is>
          <t>MOD-LV 480 V board + 480 V : 13.8 kV step-up</t>
        </is>
      </c>
      <c r="I1488" s="12" t="inlineStr">
        <is>
          <t>LV 600 V</t>
        </is>
      </c>
      <c r="J1488" s="12" t="inlineStr">
        <is>
          <t>350 kcmil</t>
        </is>
      </c>
      <c r="K1488" s="12" t="n">
        <v>1</v>
      </c>
    </row>
    <row r="1489">
      <c r="A1489" s="12" t="inlineStr">
        <is>
          <t>SC-2: aeroderivative simple-cycle unit (LM6000 class)</t>
        </is>
      </c>
      <c r="B1489" s="12" t="inlineStr">
        <is>
          <t>SC-2</t>
        </is>
      </c>
      <c r="C1489" s="12" t="inlineStr">
        <is>
          <t>I</t>
        </is>
      </c>
      <c r="D1489" s="12" t="inlineStr">
        <is>
          <t>Motor 6 of 10, 30 kW</t>
        </is>
      </c>
      <c r="E1489" s="12" t="n">
        <v>480</v>
      </c>
      <c r="F1489" s="12" t="n">
        <v>30</v>
      </c>
      <c r="G1489" s="12" t="n">
        <v>42.5</v>
      </c>
      <c r="H1489" s="12" t="inlineStr">
        <is>
          <t>MOD-LV 480 V board + 480 V : 13.8 kV step-up</t>
        </is>
      </c>
      <c r="I1489" s="12" t="inlineStr">
        <is>
          <t>LV 600 V</t>
        </is>
      </c>
      <c r="J1489" s="12" t="inlineStr">
        <is>
          <t>350 kcmil</t>
        </is>
      </c>
      <c r="K1489" s="12" t="n">
        <v>1</v>
      </c>
    </row>
    <row r="1490">
      <c r="A1490" s="12" t="inlineStr">
        <is>
          <t>SC-2: aeroderivative simple-cycle unit (LM6000 class)</t>
        </is>
      </c>
      <c r="B1490" s="12" t="inlineStr">
        <is>
          <t>SC-2</t>
        </is>
      </c>
      <c r="C1490" s="12" t="inlineStr">
        <is>
          <t>I</t>
        </is>
      </c>
      <c r="D1490" s="12" t="inlineStr">
        <is>
          <t>Motor 7 of 10, 30 kW</t>
        </is>
      </c>
      <c r="E1490" s="12" t="n">
        <v>480</v>
      </c>
      <c r="F1490" s="12" t="n">
        <v>30</v>
      </c>
      <c r="G1490" s="12" t="n">
        <v>42.5</v>
      </c>
      <c r="H1490" s="12" t="inlineStr">
        <is>
          <t>MOD-LV 480 V board + 480 V : 13.8 kV step-up</t>
        </is>
      </c>
      <c r="I1490" s="12" t="inlineStr">
        <is>
          <t>LV 600 V</t>
        </is>
      </c>
      <c r="J1490" s="12" t="inlineStr">
        <is>
          <t>350 kcmil</t>
        </is>
      </c>
      <c r="K1490" s="12" t="n">
        <v>1</v>
      </c>
    </row>
    <row r="1491">
      <c r="A1491" s="12" t="inlineStr">
        <is>
          <t>SC-2: aeroderivative simple-cycle unit (LM6000 class)</t>
        </is>
      </c>
      <c r="B1491" s="12" t="inlineStr">
        <is>
          <t>SC-2</t>
        </is>
      </c>
      <c r="C1491" s="12" t="inlineStr">
        <is>
          <t>I</t>
        </is>
      </c>
      <c r="D1491" s="12" t="inlineStr">
        <is>
          <t>Motor 8 of 10, 30 kW</t>
        </is>
      </c>
      <c r="E1491" s="12" t="n">
        <v>480</v>
      </c>
      <c r="F1491" s="12" t="n">
        <v>30</v>
      </c>
      <c r="G1491" s="12" t="n">
        <v>42.5</v>
      </c>
      <c r="H1491" s="12" t="inlineStr">
        <is>
          <t>MOD-LV 480 V board + 480 V : 13.8 kV step-up</t>
        </is>
      </c>
      <c r="I1491" s="12" t="inlineStr">
        <is>
          <t>LV 600 V</t>
        </is>
      </c>
      <c r="J1491" s="12" t="inlineStr">
        <is>
          <t>350 kcmil</t>
        </is>
      </c>
      <c r="K1491" s="12" t="n">
        <v>1</v>
      </c>
    </row>
    <row r="1492">
      <c r="A1492" s="12" t="inlineStr">
        <is>
          <t>SC-2: aeroderivative simple-cycle unit (LM6000 class)</t>
        </is>
      </c>
      <c r="B1492" s="12" t="inlineStr">
        <is>
          <t>SC-2</t>
        </is>
      </c>
      <c r="C1492" s="12" t="inlineStr">
        <is>
          <t>I</t>
        </is>
      </c>
      <c r="D1492" s="12" t="inlineStr">
        <is>
          <t>Motor 9 of 10, 30 kW</t>
        </is>
      </c>
      <c r="E1492" s="12" t="n">
        <v>480</v>
      </c>
      <c r="F1492" s="12" t="n">
        <v>30</v>
      </c>
      <c r="G1492" s="12" t="n">
        <v>42.5</v>
      </c>
      <c r="H1492" s="12" t="inlineStr">
        <is>
          <t>MOD-LV 480 V board + 480 V : 13.8 kV step-up</t>
        </is>
      </c>
      <c r="I1492" s="12" t="inlineStr">
        <is>
          <t>LV 600 V</t>
        </is>
      </c>
      <c r="J1492" s="12" t="inlineStr">
        <is>
          <t>350 kcmil</t>
        </is>
      </c>
      <c r="K1492" s="12" t="n">
        <v>1</v>
      </c>
    </row>
    <row r="1493">
      <c r="A1493" s="12" t="inlineStr">
        <is>
          <t>SC-2: aeroderivative simple-cycle unit (LM6000 class)</t>
        </is>
      </c>
      <c r="B1493" s="12" t="inlineStr">
        <is>
          <t>SC-2</t>
        </is>
      </c>
      <c r="C1493" s="12" t="inlineStr">
        <is>
          <t>I</t>
        </is>
      </c>
      <c r="D1493" s="12" t="inlineStr">
        <is>
          <t>Motor 10 of 10, 30 kW</t>
        </is>
      </c>
      <c r="E1493" s="12" t="n">
        <v>480</v>
      </c>
      <c r="F1493" s="12" t="n">
        <v>30</v>
      </c>
      <c r="G1493" s="12" t="n">
        <v>42.5</v>
      </c>
      <c r="H1493" s="12" t="inlineStr">
        <is>
          <t>MOD-LV 480 V board + 480 V : 13.8 kV step-up</t>
        </is>
      </c>
      <c r="I1493" s="12" t="inlineStr">
        <is>
          <t>LV 600 V</t>
        </is>
      </c>
      <c r="J1493" s="12" t="inlineStr">
        <is>
          <t>350 kcmil</t>
        </is>
      </c>
      <c r="K1493" s="12" t="n">
        <v>1</v>
      </c>
    </row>
    <row r="1494">
      <c r="A1494" s="12" t="inlineStr">
        <is>
          <t>T-MOD 230 kV take-off gantry with arresters</t>
        </is>
      </c>
      <c r="B1494" s="12" t="inlineStr"/>
      <c r="C1494" s="12" t="inlineStr">
        <is>
          <t>I</t>
        </is>
      </c>
      <c r="D1494" s="12" t="inlineStr">
        <is>
          <t>Motor 1 of 6, 2 kW</t>
        </is>
      </c>
      <c r="E1494" s="12" t="n">
        <v>480</v>
      </c>
      <c r="F1494" s="12" t="n">
        <v>2</v>
      </c>
      <c r="G1494" s="12" t="n">
        <v>2.8</v>
      </c>
      <c r="H1494" s="12" t="inlineStr">
        <is>
          <t>MOD-LV 480 V board + 480 V : 13.8 kV step-up</t>
        </is>
      </c>
      <c r="I1494" s="12" t="inlineStr">
        <is>
          <t>LV 600 V</t>
        </is>
      </c>
      <c r="J1494" s="12" t="inlineStr">
        <is>
          <t>10</t>
        </is>
      </c>
      <c r="K1494" s="12" t="n">
        <v>1</v>
      </c>
    </row>
    <row r="1495">
      <c r="A1495" s="12" t="inlineStr">
        <is>
          <t>T-MOD 230 kV take-off gantry with arresters</t>
        </is>
      </c>
      <c r="B1495" s="12" t="inlineStr"/>
      <c r="C1495" s="12" t="inlineStr">
        <is>
          <t>I</t>
        </is>
      </c>
      <c r="D1495" s="12" t="inlineStr">
        <is>
          <t>Motor 2 of 6, 2 kW</t>
        </is>
      </c>
      <c r="E1495" s="12" t="n">
        <v>480</v>
      </c>
      <c r="F1495" s="12" t="n">
        <v>2</v>
      </c>
      <c r="G1495" s="12" t="n">
        <v>2.8</v>
      </c>
      <c r="H1495" s="12" t="inlineStr">
        <is>
          <t>MOD-LV 480 V board + 480 V : 13.8 kV step-up</t>
        </is>
      </c>
      <c r="I1495" s="12" t="inlineStr">
        <is>
          <t>LV 600 V</t>
        </is>
      </c>
      <c r="J1495" s="12" t="inlineStr">
        <is>
          <t>10</t>
        </is>
      </c>
      <c r="K1495" s="12" t="n">
        <v>1</v>
      </c>
    </row>
    <row r="1496">
      <c r="A1496" s="12" t="inlineStr">
        <is>
          <t>T-MOD 230 kV take-off gantry with arresters</t>
        </is>
      </c>
      <c r="B1496" s="12" t="inlineStr"/>
      <c r="C1496" s="12" t="inlineStr">
        <is>
          <t>I</t>
        </is>
      </c>
      <c r="D1496" s="12" t="inlineStr">
        <is>
          <t>Motor 3 of 6, 2 kW</t>
        </is>
      </c>
      <c r="E1496" s="12" t="n">
        <v>480</v>
      </c>
      <c r="F1496" s="12" t="n">
        <v>2</v>
      </c>
      <c r="G1496" s="12" t="n">
        <v>2.8</v>
      </c>
      <c r="H1496" s="12" t="inlineStr">
        <is>
          <t>MOD-LV 480 V board + 480 V : 13.8 kV step-up</t>
        </is>
      </c>
      <c r="I1496" s="12" t="inlineStr">
        <is>
          <t>LV 600 V</t>
        </is>
      </c>
      <c r="J1496" s="12" t="inlineStr">
        <is>
          <t>10</t>
        </is>
      </c>
      <c r="K1496" s="12" t="n">
        <v>1</v>
      </c>
    </row>
    <row r="1497">
      <c r="A1497" s="12" t="inlineStr">
        <is>
          <t>T-MOD 230 kV take-off gantry with arresters</t>
        </is>
      </c>
      <c r="B1497" s="12" t="inlineStr"/>
      <c r="C1497" s="12" t="inlineStr">
        <is>
          <t>I</t>
        </is>
      </c>
      <c r="D1497" s="12" t="inlineStr">
        <is>
          <t>Motor 4 of 6, 2 kW</t>
        </is>
      </c>
      <c r="E1497" s="12" t="n">
        <v>480</v>
      </c>
      <c r="F1497" s="12" t="n">
        <v>2</v>
      </c>
      <c r="G1497" s="12" t="n">
        <v>2.8</v>
      </c>
      <c r="H1497" s="12" t="inlineStr">
        <is>
          <t>MOD-LV 480 V board + 480 V : 13.8 kV step-up</t>
        </is>
      </c>
      <c r="I1497" s="12" t="inlineStr">
        <is>
          <t>LV 600 V</t>
        </is>
      </c>
      <c r="J1497" s="12" t="inlineStr">
        <is>
          <t>10</t>
        </is>
      </c>
      <c r="K1497" s="12" t="n">
        <v>1</v>
      </c>
    </row>
    <row r="1498">
      <c r="A1498" s="12" t="inlineStr">
        <is>
          <t>T-MOD 230 kV take-off gantry with arresters</t>
        </is>
      </c>
      <c r="B1498" s="12" t="inlineStr"/>
      <c r="C1498" s="12" t="inlineStr">
        <is>
          <t>I</t>
        </is>
      </c>
      <c r="D1498" s="12" t="inlineStr">
        <is>
          <t>Motor 5 of 6, 2 kW</t>
        </is>
      </c>
      <c r="E1498" s="12" t="n">
        <v>480</v>
      </c>
      <c r="F1498" s="12" t="n">
        <v>2</v>
      </c>
      <c r="G1498" s="12" t="n">
        <v>2.8</v>
      </c>
      <c r="H1498" s="12" t="inlineStr">
        <is>
          <t>MOD-LV 480 V board + 480 V : 13.8 kV step-up</t>
        </is>
      </c>
      <c r="I1498" s="12" t="inlineStr">
        <is>
          <t>LV 600 V</t>
        </is>
      </c>
      <c r="J1498" s="12" t="inlineStr">
        <is>
          <t>10</t>
        </is>
      </c>
      <c r="K1498" s="12" t="n">
        <v>1</v>
      </c>
    </row>
    <row r="1499">
      <c r="A1499" s="12" t="inlineStr">
        <is>
          <t>T-MOD 230 kV take-off gantry with arresters</t>
        </is>
      </c>
      <c r="B1499" s="12" t="inlineStr"/>
      <c r="C1499" s="12" t="inlineStr">
        <is>
          <t>I</t>
        </is>
      </c>
      <c r="D1499" s="12" t="inlineStr">
        <is>
          <t>Motor 6 of 6, 2 kW</t>
        </is>
      </c>
      <c r="E1499" s="12" t="n">
        <v>480</v>
      </c>
      <c r="F1499" s="12" t="n">
        <v>2</v>
      </c>
      <c r="G1499" s="12" t="n">
        <v>2.8</v>
      </c>
      <c r="H1499" s="12" t="inlineStr">
        <is>
          <t>MOD-LV 480 V board + 480 V : 13.8 kV step-up</t>
        </is>
      </c>
      <c r="I1499" s="12" t="inlineStr">
        <is>
          <t>LV 600 V</t>
        </is>
      </c>
      <c r="J1499" s="12" t="inlineStr">
        <is>
          <t>10</t>
        </is>
      </c>
      <c r="K1499" s="12" t="n">
        <v>1</v>
      </c>
    </row>
    <row r="1500">
      <c r="A1500" s="12" t="inlineStr">
        <is>
          <t>T-MOD-1 / T-MOD-2 firewall</t>
        </is>
      </c>
      <c r="B1500" s="12" t="inlineStr"/>
      <c r="C1500" s="12" t="inlineStr">
        <is>
          <t>I</t>
        </is>
      </c>
      <c r="D1500" s="12" t="inlineStr">
        <is>
          <t>Motor 1 of 6, 2 kW</t>
        </is>
      </c>
      <c r="E1500" s="12" t="n">
        <v>480</v>
      </c>
      <c r="F1500" s="12" t="n">
        <v>2</v>
      </c>
      <c r="G1500" s="12" t="n">
        <v>2.8</v>
      </c>
      <c r="H1500" s="12" t="inlineStr">
        <is>
          <t>MOD-LV 480 V board + 480 V : 13.8 kV step-up</t>
        </is>
      </c>
      <c r="I1500" s="12" t="inlineStr">
        <is>
          <t>LV 600 V</t>
        </is>
      </c>
      <c r="J1500" s="12" t="inlineStr">
        <is>
          <t>10</t>
        </is>
      </c>
      <c r="K1500" s="12" t="n">
        <v>1</v>
      </c>
    </row>
    <row r="1501">
      <c r="A1501" s="12" t="inlineStr">
        <is>
          <t>T-MOD-1 / T-MOD-2 firewall</t>
        </is>
      </c>
      <c r="B1501" s="12" t="inlineStr"/>
      <c r="C1501" s="12" t="inlineStr">
        <is>
          <t>I</t>
        </is>
      </c>
      <c r="D1501" s="12" t="inlineStr">
        <is>
          <t>Motor 2 of 6, 2 kW</t>
        </is>
      </c>
      <c r="E1501" s="12" t="n">
        <v>480</v>
      </c>
      <c r="F1501" s="12" t="n">
        <v>2</v>
      </c>
      <c r="G1501" s="12" t="n">
        <v>2.8</v>
      </c>
      <c r="H1501" s="12" t="inlineStr">
        <is>
          <t>MOD-LV 480 V board + 480 V : 13.8 kV step-up</t>
        </is>
      </c>
      <c r="I1501" s="12" t="inlineStr">
        <is>
          <t>LV 600 V</t>
        </is>
      </c>
      <c r="J1501" s="12" t="inlineStr">
        <is>
          <t>10</t>
        </is>
      </c>
      <c r="K1501" s="12" t="n">
        <v>1</v>
      </c>
    </row>
    <row r="1502">
      <c r="A1502" s="12" t="inlineStr">
        <is>
          <t>T-MOD-1 / T-MOD-2 firewall</t>
        </is>
      </c>
      <c r="B1502" s="12" t="inlineStr"/>
      <c r="C1502" s="12" t="inlineStr">
        <is>
          <t>I</t>
        </is>
      </c>
      <c r="D1502" s="12" t="inlineStr">
        <is>
          <t>Motor 3 of 6, 2 kW</t>
        </is>
      </c>
      <c r="E1502" s="12" t="n">
        <v>480</v>
      </c>
      <c r="F1502" s="12" t="n">
        <v>2</v>
      </c>
      <c r="G1502" s="12" t="n">
        <v>2.8</v>
      </c>
      <c r="H1502" s="12" t="inlineStr">
        <is>
          <t>MOD-LV 480 V board + 480 V : 13.8 kV step-up</t>
        </is>
      </c>
      <c r="I1502" s="12" t="inlineStr">
        <is>
          <t>LV 600 V</t>
        </is>
      </c>
      <c r="J1502" s="12" t="inlineStr">
        <is>
          <t>10</t>
        </is>
      </c>
      <c r="K1502" s="12" t="n">
        <v>1</v>
      </c>
    </row>
    <row r="1503">
      <c r="A1503" s="12" t="inlineStr">
        <is>
          <t>T-MOD-1 / T-MOD-2 firewall</t>
        </is>
      </c>
      <c r="B1503" s="12" t="inlineStr"/>
      <c r="C1503" s="12" t="inlineStr">
        <is>
          <t>I</t>
        </is>
      </c>
      <c r="D1503" s="12" t="inlineStr">
        <is>
          <t>Motor 4 of 6, 2 kW</t>
        </is>
      </c>
      <c r="E1503" s="12" t="n">
        <v>480</v>
      </c>
      <c r="F1503" s="12" t="n">
        <v>2</v>
      </c>
      <c r="G1503" s="12" t="n">
        <v>2.8</v>
      </c>
      <c r="H1503" s="12" t="inlineStr">
        <is>
          <t>MOD-LV 480 V board + 480 V : 13.8 kV step-up</t>
        </is>
      </c>
      <c r="I1503" s="12" t="inlineStr">
        <is>
          <t>LV 600 V</t>
        </is>
      </c>
      <c r="J1503" s="12" t="inlineStr">
        <is>
          <t>10</t>
        </is>
      </c>
      <c r="K1503" s="12" t="n">
        <v>1</v>
      </c>
    </row>
    <row r="1504">
      <c r="A1504" s="12" t="inlineStr">
        <is>
          <t>T-MOD-1 / T-MOD-2 firewall</t>
        </is>
      </c>
      <c r="B1504" s="12" t="inlineStr"/>
      <c r="C1504" s="12" t="inlineStr">
        <is>
          <t>I</t>
        </is>
      </c>
      <c r="D1504" s="12" t="inlineStr">
        <is>
          <t>Motor 5 of 6, 2 kW</t>
        </is>
      </c>
      <c r="E1504" s="12" t="n">
        <v>480</v>
      </c>
      <c r="F1504" s="12" t="n">
        <v>2</v>
      </c>
      <c r="G1504" s="12" t="n">
        <v>2.8</v>
      </c>
      <c r="H1504" s="12" t="inlineStr">
        <is>
          <t>MOD-LV 480 V board + 480 V : 13.8 kV step-up</t>
        </is>
      </c>
      <c r="I1504" s="12" t="inlineStr">
        <is>
          <t>LV 600 V</t>
        </is>
      </c>
      <c r="J1504" s="12" t="inlineStr">
        <is>
          <t>10</t>
        </is>
      </c>
      <c r="K1504" s="12" t="n">
        <v>1</v>
      </c>
    </row>
    <row r="1505">
      <c r="A1505" s="12" t="inlineStr">
        <is>
          <t>T-MOD-1 / T-MOD-2 firewall</t>
        </is>
      </c>
      <c r="B1505" s="12" t="inlineStr"/>
      <c r="C1505" s="12" t="inlineStr">
        <is>
          <t>I</t>
        </is>
      </c>
      <c r="D1505" s="12" t="inlineStr">
        <is>
          <t>Motor 6 of 6, 2 kW</t>
        </is>
      </c>
      <c r="E1505" s="12" t="n">
        <v>480</v>
      </c>
      <c r="F1505" s="12" t="n">
        <v>2</v>
      </c>
      <c r="G1505" s="12" t="n">
        <v>2.8</v>
      </c>
      <c r="H1505" s="12" t="inlineStr">
        <is>
          <t>MOD-LV 480 V board + 480 V : 13.8 kV step-up</t>
        </is>
      </c>
      <c r="I1505" s="12" t="inlineStr">
        <is>
          <t>LV 600 V</t>
        </is>
      </c>
      <c r="J1505" s="12" t="inlineStr">
        <is>
          <t>10</t>
        </is>
      </c>
      <c r="K1505" s="12" t="n">
        <v>1</v>
      </c>
    </row>
    <row r="1506">
      <c r="A1506" s="12" t="inlineStr">
        <is>
          <t>T-MOD-1: 13.8/230 kV</t>
        </is>
      </c>
      <c r="B1506" s="12" t="inlineStr">
        <is>
          <t>T-MOD-1</t>
        </is>
      </c>
      <c r="C1506" s="12" t="inlineStr">
        <is>
          <t>I</t>
        </is>
      </c>
      <c r="D1506" s="12" t="inlineStr">
        <is>
          <t>Motor 1 of 6, 2 kW</t>
        </is>
      </c>
      <c r="E1506" s="12" t="n">
        <v>480</v>
      </c>
      <c r="F1506" s="12" t="n">
        <v>2</v>
      </c>
      <c r="G1506" s="12" t="n">
        <v>2.8</v>
      </c>
      <c r="H1506" s="12" t="inlineStr">
        <is>
          <t>MOD-LV 480 V board + 480 V : 13.8 kV step-up</t>
        </is>
      </c>
      <c r="I1506" s="12" t="inlineStr">
        <is>
          <t>LV 600 V</t>
        </is>
      </c>
      <c r="J1506" s="12" t="inlineStr">
        <is>
          <t>10</t>
        </is>
      </c>
      <c r="K1506" s="12" t="n">
        <v>1</v>
      </c>
    </row>
    <row r="1507">
      <c r="A1507" s="12" t="inlineStr">
        <is>
          <t>T-MOD-1: 13.8/230 kV</t>
        </is>
      </c>
      <c r="B1507" s="12" t="inlineStr">
        <is>
          <t>T-MOD-1</t>
        </is>
      </c>
      <c r="C1507" s="12" t="inlineStr">
        <is>
          <t>I</t>
        </is>
      </c>
      <c r="D1507" s="12" t="inlineStr">
        <is>
          <t>Motor 2 of 6, 2 kW</t>
        </is>
      </c>
      <c r="E1507" s="12" t="n">
        <v>480</v>
      </c>
      <c r="F1507" s="12" t="n">
        <v>2</v>
      </c>
      <c r="G1507" s="12" t="n">
        <v>2.8</v>
      </c>
      <c r="H1507" s="12" t="inlineStr">
        <is>
          <t>MOD-LV 480 V board + 480 V : 13.8 kV step-up</t>
        </is>
      </c>
      <c r="I1507" s="12" t="inlineStr">
        <is>
          <t>LV 600 V</t>
        </is>
      </c>
      <c r="J1507" s="12" t="inlineStr">
        <is>
          <t>10</t>
        </is>
      </c>
      <c r="K1507" s="12" t="n">
        <v>1</v>
      </c>
    </row>
    <row r="1508">
      <c r="A1508" s="12" t="inlineStr">
        <is>
          <t>T-MOD-1: 13.8/230 kV</t>
        </is>
      </c>
      <c r="B1508" s="12" t="inlineStr">
        <is>
          <t>T-MOD-1</t>
        </is>
      </c>
      <c r="C1508" s="12" t="inlineStr">
        <is>
          <t>I</t>
        </is>
      </c>
      <c r="D1508" s="12" t="inlineStr">
        <is>
          <t>Motor 3 of 6, 2 kW</t>
        </is>
      </c>
      <c r="E1508" s="12" t="n">
        <v>480</v>
      </c>
      <c r="F1508" s="12" t="n">
        <v>2</v>
      </c>
      <c r="G1508" s="12" t="n">
        <v>2.8</v>
      </c>
      <c r="H1508" s="12" t="inlineStr">
        <is>
          <t>MOD-LV 480 V board + 480 V : 13.8 kV step-up</t>
        </is>
      </c>
      <c r="I1508" s="12" t="inlineStr">
        <is>
          <t>LV 600 V</t>
        </is>
      </c>
      <c r="J1508" s="12" t="inlineStr">
        <is>
          <t>10</t>
        </is>
      </c>
      <c r="K1508" s="12" t="n">
        <v>1</v>
      </c>
    </row>
    <row r="1509">
      <c r="A1509" s="12" t="inlineStr">
        <is>
          <t>T-MOD-1: 13.8/230 kV</t>
        </is>
      </c>
      <c r="B1509" s="12" t="inlineStr">
        <is>
          <t>T-MOD-1</t>
        </is>
      </c>
      <c r="C1509" s="12" t="inlineStr">
        <is>
          <t>I</t>
        </is>
      </c>
      <c r="D1509" s="12" t="inlineStr">
        <is>
          <t>Motor 4 of 6, 2 kW</t>
        </is>
      </c>
      <c r="E1509" s="12" t="n">
        <v>480</v>
      </c>
      <c r="F1509" s="12" t="n">
        <v>2</v>
      </c>
      <c r="G1509" s="12" t="n">
        <v>2.8</v>
      </c>
      <c r="H1509" s="12" t="inlineStr">
        <is>
          <t>MOD-LV 480 V board + 480 V : 13.8 kV step-up</t>
        </is>
      </c>
      <c r="I1509" s="12" t="inlineStr">
        <is>
          <t>LV 600 V</t>
        </is>
      </c>
      <c r="J1509" s="12" t="inlineStr">
        <is>
          <t>10</t>
        </is>
      </c>
      <c r="K1509" s="12" t="n">
        <v>1</v>
      </c>
    </row>
    <row r="1510">
      <c r="A1510" s="12" t="inlineStr">
        <is>
          <t>T-MOD-1: 13.8/230 kV</t>
        </is>
      </c>
      <c r="B1510" s="12" t="inlineStr">
        <is>
          <t>T-MOD-1</t>
        </is>
      </c>
      <c r="C1510" s="12" t="inlineStr">
        <is>
          <t>I</t>
        </is>
      </c>
      <c r="D1510" s="12" t="inlineStr">
        <is>
          <t>Motor 5 of 6, 2 kW</t>
        </is>
      </c>
      <c r="E1510" s="12" t="n">
        <v>480</v>
      </c>
      <c r="F1510" s="12" t="n">
        <v>2</v>
      </c>
      <c r="G1510" s="12" t="n">
        <v>2.8</v>
      </c>
      <c r="H1510" s="12" t="inlineStr">
        <is>
          <t>MOD-LV 480 V board + 480 V : 13.8 kV step-up</t>
        </is>
      </c>
      <c r="I1510" s="12" t="inlineStr">
        <is>
          <t>LV 600 V</t>
        </is>
      </c>
      <c r="J1510" s="12" t="inlineStr">
        <is>
          <t>10</t>
        </is>
      </c>
      <c r="K1510" s="12" t="n">
        <v>1</v>
      </c>
    </row>
    <row r="1511">
      <c r="A1511" s="12" t="inlineStr">
        <is>
          <t>T-MOD-1: 13.8/230 kV</t>
        </is>
      </c>
      <c r="B1511" s="12" t="inlineStr">
        <is>
          <t>T-MOD-1</t>
        </is>
      </c>
      <c r="C1511" s="12" t="inlineStr">
        <is>
          <t>I</t>
        </is>
      </c>
      <c r="D1511" s="12" t="inlineStr">
        <is>
          <t>Motor 6 of 6, 2 kW</t>
        </is>
      </c>
      <c r="E1511" s="12" t="n">
        <v>480</v>
      </c>
      <c r="F1511" s="12" t="n">
        <v>2</v>
      </c>
      <c r="G1511" s="12" t="n">
        <v>2.8</v>
      </c>
      <c r="H1511" s="12" t="inlineStr">
        <is>
          <t>MOD-LV 480 V board + 480 V : 13.8 kV step-up</t>
        </is>
      </c>
      <c r="I1511" s="12" t="inlineStr">
        <is>
          <t>LV 600 V</t>
        </is>
      </c>
      <c r="J1511" s="12" t="inlineStr">
        <is>
          <t>10</t>
        </is>
      </c>
      <c r="K1511" s="12" t="n">
        <v>1</v>
      </c>
    </row>
    <row r="1512">
      <c r="A1512" s="12" t="inlineStr">
        <is>
          <t>T-MOD-2: 13.8/230 kV</t>
        </is>
      </c>
      <c r="B1512" s="12" t="inlineStr">
        <is>
          <t>T-MOD-2</t>
        </is>
      </c>
      <c r="C1512" s="12" t="inlineStr">
        <is>
          <t>I</t>
        </is>
      </c>
      <c r="D1512" s="12" t="inlineStr">
        <is>
          <t>Motor 1 of 6, 2 kW</t>
        </is>
      </c>
      <c r="E1512" s="12" t="n">
        <v>480</v>
      </c>
      <c r="F1512" s="12" t="n">
        <v>2</v>
      </c>
      <c r="G1512" s="12" t="n">
        <v>2.8</v>
      </c>
      <c r="H1512" s="12" t="inlineStr">
        <is>
          <t>MOD-LV 480 V board + 480 V : 13.8 kV step-up</t>
        </is>
      </c>
      <c r="I1512" s="12" t="inlineStr">
        <is>
          <t>LV 600 V</t>
        </is>
      </c>
      <c r="J1512" s="12" t="inlineStr">
        <is>
          <t>10</t>
        </is>
      </c>
      <c r="K1512" s="12" t="n">
        <v>1</v>
      </c>
    </row>
    <row r="1513">
      <c r="A1513" s="12" t="inlineStr">
        <is>
          <t>T-MOD-2: 13.8/230 kV</t>
        </is>
      </c>
      <c r="B1513" s="12" t="inlineStr">
        <is>
          <t>T-MOD-2</t>
        </is>
      </c>
      <c r="C1513" s="12" t="inlineStr">
        <is>
          <t>I</t>
        </is>
      </c>
      <c r="D1513" s="12" t="inlineStr">
        <is>
          <t>Motor 2 of 6, 2 kW</t>
        </is>
      </c>
      <c r="E1513" s="12" t="n">
        <v>480</v>
      </c>
      <c r="F1513" s="12" t="n">
        <v>2</v>
      </c>
      <c r="G1513" s="12" t="n">
        <v>2.8</v>
      </c>
      <c r="H1513" s="12" t="inlineStr">
        <is>
          <t>MOD-LV 480 V board + 480 V : 13.8 kV step-up</t>
        </is>
      </c>
      <c r="I1513" s="12" t="inlineStr">
        <is>
          <t>LV 600 V</t>
        </is>
      </c>
      <c r="J1513" s="12" t="inlineStr">
        <is>
          <t>10</t>
        </is>
      </c>
      <c r="K1513" s="12" t="n">
        <v>1</v>
      </c>
    </row>
    <row r="1514">
      <c r="A1514" s="12" t="inlineStr">
        <is>
          <t>T-MOD-2: 13.8/230 kV</t>
        </is>
      </c>
      <c r="B1514" s="12" t="inlineStr">
        <is>
          <t>T-MOD-2</t>
        </is>
      </c>
      <c r="C1514" s="12" t="inlineStr">
        <is>
          <t>I</t>
        </is>
      </c>
      <c r="D1514" s="12" t="inlineStr">
        <is>
          <t>Motor 3 of 6, 2 kW</t>
        </is>
      </c>
      <c r="E1514" s="12" t="n">
        <v>480</v>
      </c>
      <c r="F1514" s="12" t="n">
        <v>2</v>
      </c>
      <c r="G1514" s="12" t="n">
        <v>2.8</v>
      </c>
      <c r="H1514" s="12" t="inlineStr">
        <is>
          <t>MOD-LV 480 V board + 480 V : 13.8 kV step-up</t>
        </is>
      </c>
      <c r="I1514" s="12" t="inlineStr">
        <is>
          <t>LV 600 V</t>
        </is>
      </c>
      <c r="J1514" s="12" t="inlineStr">
        <is>
          <t>10</t>
        </is>
      </c>
      <c r="K1514" s="12" t="n">
        <v>1</v>
      </c>
    </row>
    <row r="1515">
      <c r="A1515" s="12" t="inlineStr">
        <is>
          <t>T-MOD-2: 13.8/230 kV</t>
        </is>
      </c>
      <c r="B1515" s="12" t="inlineStr">
        <is>
          <t>T-MOD-2</t>
        </is>
      </c>
      <c r="C1515" s="12" t="inlineStr">
        <is>
          <t>I</t>
        </is>
      </c>
      <c r="D1515" s="12" t="inlineStr">
        <is>
          <t>Motor 4 of 6, 2 kW</t>
        </is>
      </c>
      <c r="E1515" s="12" t="n">
        <v>480</v>
      </c>
      <c r="F1515" s="12" t="n">
        <v>2</v>
      </c>
      <c r="G1515" s="12" t="n">
        <v>2.8</v>
      </c>
      <c r="H1515" s="12" t="inlineStr">
        <is>
          <t>MOD-LV 480 V board + 480 V : 13.8 kV step-up</t>
        </is>
      </c>
      <c r="I1515" s="12" t="inlineStr">
        <is>
          <t>LV 600 V</t>
        </is>
      </c>
      <c r="J1515" s="12" t="inlineStr">
        <is>
          <t>10</t>
        </is>
      </c>
      <c r="K1515" s="12" t="n">
        <v>1</v>
      </c>
    </row>
    <row r="1516">
      <c r="A1516" s="12" t="inlineStr">
        <is>
          <t>T-MOD-2: 13.8/230 kV</t>
        </is>
      </c>
      <c r="B1516" s="12" t="inlineStr">
        <is>
          <t>T-MOD-2</t>
        </is>
      </c>
      <c r="C1516" s="12" t="inlineStr">
        <is>
          <t>I</t>
        </is>
      </c>
      <c r="D1516" s="12" t="inlineStr">
        <is>
          <t>Motor 5 of 6, 2 kW</t>
        </is>
      </c>
      <c r="E1516" s="12" t="n">
        <v>480</v>
      </c>
      <c r="F1516" s="12" t="n">
        <v>2</v>
      </c>
      <c r="G1516" s="12" t="n">
        <v>2.8</v>
      </c>
      <c r="H1516" s="12" t="inlineStr">
        <is>
          <t>MOD-LV 480 V board + 480 V : 13.8 kV step-up</t>
        </is>
      </c>
      <c r="I1516" s="12" t="inlineStr">
        <is>
          <t>LV 600 V</t>
        </is>
      </c>
      <c r="J1516" s="12" t="inlineStr">
        <is>
          <t>10</t>
        </is>
      </c>
      <c r="K1516" s="12" t="n">
        <v>1</v>
      </c>
    </row>
    <row r="1517">
      <c r="A1517" s="12" t="inlineStr">
        <is>
          <t>T-MOD-2: 13.8/230 kV</t>
        </is>
      </c>
      <c r="B1517" s="12" t="inlineStr">
        <is>
          <t>T-MOD-2</t>
        </is>
      </c>
      <c r="C1517" s="12" t="inlineStr">
        <is>
          <t>I</t>
        </is>
      </c>
      <c r="D1517" s="12" t="inlineStr">
        <is>
          <t>Motor 6 of 6, 2 kW</t>
        </is>
      </c>
      <c r="E1517" s="12" t="n">
        <v>480</v>
      </c>
      <c r="F1517" s="12" t="n">
        <v>2</v>
      </c>
      <c r="G1517" s="12" t="n">
        <v>2.8</v>
      </c>
      <c r="H1517" s="12" t="inlineStr">
        <is>
          <t>MOD-LV 480 V board + 480 V : 13.8 kV step-up</t>
        </is>
      </c>
      <c r="I1517" s="12" t="inlineStr">
        <is>
          <t>LV 600 V</t>
        </is>
      </c>
      <c r="J1517" s="12" t="inlineStr">
        <is>
          <t>10</t>
        </is>
      </c>
      <c r="K1517" s="12" t="n">
        <v>1</v>
      </c>
    </row>
    <row r="1518">
      <c r="A1518" s="12" t="inlineStr">
        <is>
          <t>TM-1: trailer-mounted aeroderivative GT (TM2500 class, ~35 MW)</t>
        </is>
      </c>
      <c r="B1518" s="12" t="inlineStr">
        <is>
          <t>TM-1</t>
        </is>
      </c>
      <c r="C1518" s="12" t="inlineStr">
        <is>
          <t>I</t>
        </is>
      </c>
      <c r="D1518" s="12" t="inlineStr">
        <is>
          <t>Motor 1 of 6, 22 kW</t>
        </is>
      </c>
      <c r="E1518" s="12" t="n">
        <v>480</v>
      </c>
      <c r="F1518" s="12" t="n">
        <v>22</v>
      </c>
      <c r="G1518" s="12" t="n">
        <v>31.1</v>
      </c>
      <c r="H1518" s="12" t="inlineStr">
        <is>
          <t>MOD-LV 480 V board + 480 V : 13.8 kV step-up</t>
        </is>
      </c>
      <c r="I1518" s="12" t="inlineStr">
        <is>
          <t>LV 600 V</t>
        </is>
      </c>
      <c r="J1518" s="12" t="inlineStr">
        <is>
          <t>4/0</t>
        </is>
      </c>
      <c r="K1518" s="12" t="n">
        <v>1</v>
      </c>
    </row>
    <row r="1519">
      <c r="A1519" s="12" t="inlineStr">
        <is>
          <t>TM-1: trailer-mounted aeroderivative GT (TM2500 class, ~35 MW)</t>
        </is>
      </c>
      <c r="B1519" s="12" t="inlineStr">
        <is>
          <t>TM-1</t>
        </is>
      </c>
      <c r="C1519" s="12" t="inlineStr">
        <is>
          <t>I</t>
        </is>
      </c>
      <c r="D1519" s="12" t="inlineStr">
        <is>
          <t>Motor 2 of 6, 22 kW</t>
        </is>
      </c>
      <c r="E1519" s="12" t="n">
        <v>480</v>
      </c>
      <c r="F1519" s="12" t="n">
        <v>22</v>
      </c>
      <c r="G1519" s="12" t="n">
        <v>31.1</v>
      </c>
      <c r="H1519" s="12" t="inlineStr">
        <is>
          <t>MOD-LV 480 V board + 480 V : 13.8 kV step-up</t>
        </is>
      </c>
      <c r="I1519" s="12" t="inlineStr">
        <is>
          <t>LV 600 V</t>
        </is>
      </c>
      <c r="J1519" s="12" t="inlineStr">
        <is>
          <t>4/0</t>
        </is>
      </c>
      <c r="K1519" s="12" t="n">
        <v>1</v>
      </c>
    </row>
    <row r="1520">
      <c r="A1520" s="12" t="inlineStr">
        <is>
          <t>TM-1: trailer-mounted aeroderivative GT (TM2500 class, ~35 MW)</t>
        </is>
      </c>
      <c r="B1520" s="12" t="inlineStr">
        <is>
          <t>TM-1</t>
        </is>
      </c>
      <c r="C1520" s="12" t="inlineStr">
        <is>
          <t>I</t>
        </is>
      </c>
      <c r="D1520" s="12" t="inlineStr">
        <is>
          <t>Motor 3 of 6, 22 kW</t>
        </is>
      </c>
      <c r="E1520" s="12" t="n">
        <v>480</v>
      </c>
      <c r="F1520" s="12" t="n">
        <v>22</v>
      </c>
      <c r="G1520" s="12" t="n">
        <v>31.1</v>
      </c>
      <c r="H1520" s="12" t="inlineStr">
        <is>
          <t>MOD-LV 480 V board + 480 V : 13.8 kV step-up</t>
        </is>
      </c>
      <c r="I1520" s="12" t="inlineStr">
        <is>
          <t>LV 600 V</t>
        </is>
      </c>
      <c r="J1520" s="12" t="inlineStr">
        <is>
          <t>4/0</t>
        </is>
      </c>
      <c r="K1520" s="12" t="n">
        <v>1</v>
      </c>
    </row>
    <row r="1521">
      <c r="A1521" s="12" t="inlineStr">
        <is>
          <t>TM-1: trailer-mounted aeroderivative GT (TM2500 class, ~35 MW)</t>
        </is>
      </c>
      <c r="B1521" s="12" t="inlineStr">
        <is>
          <t>TM-1</t>
        </is>
      </c>
      <c r="C1521" s="12" t="inlineStr">
        <is>
          <t>I</t>
        </is>
      </c>
      <c r="D1521" s="12" t="inlineStr">
        <is>
          <t>Motor 4 of 6, 22 kW</t>
        </is>
      </c>
      <c r="E1521" s="12" t="n">
        <v>480</v>
      </c>
      <c r="F1521" s="12" t="n">
        <v>22</v>
      </c>
      <c r="G1521" s="12" t="n">
        <v>31.1</v>
      </c>
      <c r="H1521" s="12" t="inlineStr">
        <is>
          <t>MOD-LV 480 V board + 480 V : 13.8 kV step-up</t>
        </is>
      </c>
      <c r="I1521" s="12" t="inlineStr">
        <is>
          <t>LV 600 V</t>
        </is>
      </c>
      <c r="J1521" s="12" t="inlineStr">
        <is>
          <t>4/0</t>
        </is>
      </c>
      <c r="K1521" s="12" t="n">
        <v>1</v>
      </c>
    </row>
    <row r="1522">
      <c r="A1522" s="12" t="inlineStr">
        <is>
          <t>TM-1: trailer-mounted aeroderivative GT (TM2500 class, ~35 MW)</t>
        </is>
      </c>
      <c r="B1522" s="12" t="inlineStr">
        <is>
          <t>TM-1</t>
        </is>
      </c>
      <c r="C1522" s="12" t="inlineStr">
        <is>
          <t>I</t>
        </is>
      </c>
      <c r="D1522" s="12" t="inlineStr">
        <is>
          <t>Motor 5 of 6, 22 kW</t>
        </is>
      </c>
      <c r="E1522" s="12" t="n">
        <v>480</v>
      </c>
      <c r="F1522" s="12" t="n">
        <v>22</v>
      </c>
      <c r="G1522" s="12" t="n">
        <v>31.1</v>
      </c>
      <c r="H1522" s="12" t="inlineStr">
        <is>
          <t>MOD-LV 480 V board + 480 V : 13.8 kV step-up</t>
        </is>
      </c>
      <c r="I1522" s="12" t="inlineStr">
        <is>
          <t>LV 600 V</t>
        </is>
      </c>
      <c r="J1522" s="12" t="inlineStr">
        <is>
          <t>4/0</t>
        </is>
      </c>
      <c r="K1522" s="12" t="n">
        <v>1</v>
      </c>
    </row>
    <row r="1523">
      <c r="A1523" s="12" t="inlineStr">
        <is>
          <t>TM-1: trailer-mounted aeroderivative GT (TM2500 class, ~35 MW)</t>
        </is>
      </c>
      <c r="B1523" s="12" t="inlineStr">
        <is>
          <t>TM-1</t>
        </is>
      </c>
      <c r="C1523" s="12" t="inlineStr">
        <is>
          <t>I</t>
        </is>
      </c>
      <c r="D1523" s="12" t="inlineStr">
        <is>
          <t>Motor 6 of 6, 22 kW</t>
        </is>
      </c>
      <c r="E1523" s="12" t="n">
        <v>480</v>
      </c>
      <c r="F1523" s="12" t="n">
        <v>22</v>
      </c>
      <c r="G1523" s="12" t="n">
        <v>31.1</v>
      </c>
      <c r="H1523" s="12" t="inlineStr">
        <is>
          <t>MOD-LV 480 V board + 480 V : 13.8 kV step-up</t>
        </is>
      </c>
      <c r="I1523" s="12" t="inlineStr">
        <is>
          <t>LV 600 V</t>
        </is>
      </c>
      <c r="J1523" s="12" t="inlineStr">
        <is>
          <t>4/0</t>
        </is>
      </c>
      <c r="K1523" s="12" t="n">
        <v>1</v>
      </c>
    </row>
    <row r="1524">
      <c r="A1524" s="12" t="inlineStr">
        <is>
          <t>TM-2: trailer-mounted aeroderivative GT (TM2500 class, ~35 MW)</t>
        </is>
      </c>
      <c r="B1524" s="12" t="inlineStr">
        <is>
          <t>TM-2</t>
        </is>
      </c>
      <c r="C1524" s="12" t="inlineStr">
        <is>
          <t>I</t>
        </is>
      </c>
      <c r="D1524" s="12" t="inlineStr">
        <is>
          <t>Motor 1 of 6, 22 kW</t>
        </is>
      </c>
      <c r="E1524" s="12" t="n">
        <v>480</v>
      </c>
      <c r="F1524" s="12" t="n">
        <v>22</v>
      </c>
      <c r="G1524" s="12" t="n">
        <v>31.1</v>
      </c>
      <c r="H1524" s="12" t="inlineStr">
        <is>
          <t>MOD-LV 480 V board + 480 V : 13.8 kV step-up</t>
        </is>
      </c>
      <c r="I1524" s="12" t="inlineStr">
        <is>
          <t>LV 600 V</t>
        </is>
      </c>
      <c r="J1524" s="12" t="inlineStr">
        <is>
          <t>4/0</t>
        </is>
      </c>
      <c r="K1524" s="12" t="n">
        <v>1</v>
      </c>
    </row>
    <row r="1525">
      <c r="A1525" s="12" t="inlineStr">
        <is>
          <t>TM-2: trailer-mounted aeroderivative GT (TM2500 class, ~35 MW)</t>
        </is>
      </c>
      <c r="B1525" s="12" t="inlineStr">
        <is>
          <t>TM-2</t>
        </is>
      </c>
      <c r="C1525" s="12" t="inlineStr">
        <is>
          <t>I</t>
        </is>
      </c>
      <c r="D1525" s="12" t="inlineStr">
        <is>
          <t>Motor 2 of 6, 22 kW</t>
        </is>
      </c>
      <c r="E1525" s="12" t="n">
        <v>480</v>
      </c>
      <c r="F1525" s="12" t="n">
        <v>22</v>
      </c>
      <c r="G1525" s="12" t="n">
        <v>31.1</v>
      </c>
      <c r="H1525" s="12" t="inlineStr">
        <is>
          <t>MOD-LV 480 V board + 480 V : 13.8 kV step-up</t>
        </is>
      </c>
      <c r="I1525" s="12" t="inlineStr">
        <is>
          <t>LV 600 V</t>
        </is>
      </c>
      <c r="J1525" s="12" t="inlineStr">
        <is>
          <t>4/0</t>
        </is>
      </c>
      <c r="K1525" s="12" t="n">
        <v>1</v>
      </c>
    </row>
    <row r="1526">
      <c r="A1526" s="12" t="inlineStr">
        <is>
          <t>TM-2: trailer-mounted aeroderivative GT (TM2500 class, ~35 MW)</t>
        </is>
      </c>
      <c r="B1526" s="12" t="inlineStr">
        <is>
          <t>TM-2</t>
        </is>
      </c>
      <c r="C1526" s="12" t="inlineStr">
        <is>
          <t>I</t>
        </is>
      </c>
      <c r="D1526" s="12" t="inlineStr">
        <is>
          <t>Motor 3 of 6, 22 kW</t>
        </is>
      </c>
      <c r="E1526" s="12" t="n">
        <v>480</v>
      </c>
      <c r="F1526" s="12" t="n">
        <v>22</v>
      </c>
      <c r="G1526" s="12" t="n">
        <v>31.1</v>
      </c>
      <c r="H1526" s="12" t="inlineStr">
        <is>
          <t>MOD-LV 480 V board + 480 V : 13.8 kV step-up</t>
        </is>
      </c>
      <c r="I1526" s="12" t="inlineStr">
        <is>
          <t>LV 600 V</t>
        </is>
      </c>
      <c r="J1526" s="12" t="inlineStr">
        <is>
          <t>4/0</t>
        </is>
      </c>
      <c r="K1526" s="12" t="n">
        <v>1</v>
      </c>
    </row>
    <row r="1527">
      <c r="A1527" s="12" t="inlineStr">
        <is>
          <t>TM-2: trailer-mounted aeroderivative GT (TM2500 class, ~35 MW)</t>
        </is>
      </c>
      <c r="B1527" s="12" t="inlineStr">
        <is>
          <t>TM-2</t>
        </is>
      </c>
      <c r="C1527" s="12" t="inlineStr">
        <is>
          <t>I</t>
        </is>
      </c>
      <c r="D1527" s="12" t="inlineStr">
        <is>
          <t>Motor 4 of 6, 22 kW</t>
        </is>
      </c>
      <c r="E1527" s="12" t="n">
        <v>480</v>
      </c>
      <c r="F1527" s="12" t="n">
        <v>22</v>
      </c>
      <c r="G1527" s="12" t="n">
        <v>31.1</v>
      </c>
      <c r="H1527" s="12" t="inlineStr">
        <is>
          <t>MOD-LV 480 V board + 480 V : 13.8 kV step-up</t>
        </is>
      </c>
      <c r="I1527" s="12" t="inlineStr">
        <is>
          <t>LV 600 V</t>
        </is>
      </c>
      <c r="J1527" s="12" t="inlineStr">
        <is>
          <t>4/0</t>
        </is>
      </c>
      <c r="K1527" s="12" t="n">
        <v>1</v>
      </c>
    </row>
    <row r="1528">
      <c r="A1528" s="12" t="inlineStr">
        <is>
          <t>TM-2: trailer-mounted aeroderivative GT (TM2500 class, ~35 MW)</t>
        </is>
      </c>
      <c r="B1528" s="12" t="inlineStr">
        <is>
          <t>TM-2</t>
        </is>
      </c>
      <c r="C1528" s="12" t="inlineStr">
        <is>
          <t>I</t>
        </is>
      </c>
      <c r="D1528" s="12" t="inlineStr">
        <is>
          <t>Motor 5 of 6, 22 kW</t>
        </is>
      </c>
      <c r="E1528" s="12" t="n">
        <v>480</v>
      </c>
      <c r="F1528" s="12" t="n">
        <v>22</v>
      </c>
      <c r="G1528" s="12" t="n">
        <v>31.1</v>
      </c>
      <c r="H1528" s="12" t="inlineStr">
        <is>
          <t>MOD-LV 480 V board + 480 V : 13.8 kV step-up</t>
        </is>
      </c>
      <c r="I1528" s="12" t="inlineStr">
        <is>
          <t>LV 600 V</t>
        </is>
      </c>
      <c r="J1528" s="12" t="inlineStr">
        <is>
          <t>4/0</t>
        </is>
      </c>
      <c r="K1528" s="12" t="n">
        <v>1</v>
      </c>
    </row>
    <row r="1529">
      <c r="A1529" s="12" t="inlineStr">
        <is>
          <t>TM-2: trailer-mounted aeroderivative GT (TM2500 class, ~35 MW)</t>
        </is>
      </c>
      <c r="B1529" s="12" t="inlineStr">
        <is>
          <t>TM-2</t>
        </is>
      </c>
      <c r="C1529" s="12" t="inlineStr">
        <is>
          <t>I</t>
        </is>
      </c>
      <c r="D1529" s="12" t="inlineStr">
        <is>
          <t>Motor 6 of 6, 22 kW</t>
        </is>
      </c>
      <c r="E1529" s="12" t="n">
        <v>480</v>
      </c>
      <c r="F1529" s="12" t="n">
        <v>22</v>
      </c>
      <c r="G1529" s="12" t="n">
        <v>31.1</v>
      </c>
      <c r="H1529" s="12" t="inlineStr">
        <is>
          <t>MOD-LV 480 V board + 480 V : 13.8 kV step-up</t>
        </is>
      </c>
      <c r="I1529" s="12" t="inlineStr">
        <is>
          <t>LV 600 V</t>
        </is>
      </c>
      <c r="J1529" s="12" t="inlineStr">
        <is>
          <t>4/0</t>
        </is>
      </c>
      <c r="K1529" s="12" t="n">
        <v>1</v>
      </c>
    </row>
    <row r="1530">
      <c r="A1530" s="12" t="inlineStr">
        <is>
          <t>Water-injection skid</t>
        </is>
      </c>
      <c r="B1530" s="12" t="inlineStr"/>
      <c r="C1530" s="12" t="inlineStr">
        <is>
          <t>I</t>
        </is>
      </c>
      <c r="D1530" s="12" t="inlineStr">
        <is>
          <t>LV power feeder</t>
        </is>
      </c>
      <c r="E1530" s="12" t="n">
        <v>480</v>
      </c>
      <c r="F1530" s="12" t="n">
        <v>15</v>
      </c>
      <c r="G1530" s="12" t="n">
        <v>21.2</v>
      </c>
      <c r="H1530" s="12" t="inlineStr">
        <is>
          <t>MOD-LV 480 V board + 480 V : 13.8 kV step-up</t>
        </is>
      </c>
      <c r="I1530" s="12" t="inlineStr">
        <is>
          <t>LV 600 V</t>
        </is>
      </c>
      <c r="J1530" s="12" t="inlineStr">
        <is>
          <t>3/0</t>
        </is>
      </c>
      <c r="K1530" s="12" t="n">
        <v>1</v>
      </c>
    </row>
    <row r="1531">
      <c r="A1531" s="12" t="inlineStr">
        <is>
          <t>Fuel-gas compressors 3 x 100% electric</t>
        </is>
      </c>
      <c r="B1531" s="12" t="inlineStr"/>
      <c r="C1531" s="12" t="inlineStr">
        <is>
          <t>I</t>
        </is>
      </c>
      <c r="D1531" s="12" t="inlineStr">
        <is>
          <t>Modular-yard fuel-gas compressor</t>
        </is>
      </c>
      <c r="E1531" s="12" t="n">
        <v>13800</v>
      </c>
      <c r="F1531" s="12" t="n">
        <v>1500</v>
      </c>
      <c r="G1531" s="12" t="n">
        <v>70</v>
      </c>
      <c r="H1531" s="12" t="inlineStr">
        <is>
          <t>MOD-EH: 13.8 kV modular collector e-house</t>
        </is>
      </c>
      <c r="I1531" s="12" t="inlineStr">
        <is>
          <t>MV 15 kV</t>
        </is>
      </c>
      <c r="J1531" s="12" t="inlineStr">
        <is>
          <t>2</t>
        </is>
      </c>
      <c r="K1531" s="12" t="n">
        <v>1</v>
      </c>
    </row>
    <row r="1532">
      <c r="A1532" s="12" t="inlineStr">
        <is>
          <t>Fuel-gas compressors 3 x 100% electric</t>
        </is>
      </c>
      <c r="B1532" s="12" t="inlineStr"/>
      <c r="C1532" s="12" t="inlineStr">
        <is>
          <t>I</t>
        </is>
      </c>
      <c r="D1532" s="12" t="inlineStr">
        <is>
          <t>Modular-yard fuel-gas compressor</t>
        </is>
      </c>
      <c r="E1532" s="12" t="n">
        <v>13800</v>
      </c>
      <c r="F1532" s="12" t="n">
        <v>1500</v>
      </c>
      <c r="G1532" s="12" t="n">
        <v>70</v>
      </c>
      <c r="H1532" s="12" t="inlineStr">
        <is>
          <t>MOD-EH: 13.8 kV modular collector e-house</t>
        </is>
      </c>
      <c r="I1532" s="12" t="inlineStr">
        <is>
          <t>MV 15 kV</t>
        </is>
      </c>
      <c r="J1532" s="12" t="inlineStr">
        <is>
          <t>2</t>
        </is>
      </c>
      <c r="K1532" s="12" t="n">
        <v>1</v>
      </c>
    </row>
    <row r="1533">
      <c r="A1533" s="12" t="inlineStr">
        <is>
          <t>Fuel-gas compressors 3 x 100% electric</t>
        </is>
      </c>
      <c r="B1533" s="12" t="inlineStr"/>
      <c r="C1533" s="12" t="inlineStr">
        <is>
          <t>I</t>
        </is>
      </c>
      <c r="D1533" s="12" t="inlineStr">
        <is>
          <t>Modular-yard fuel-gas compressor</t>
        </is>
      </c>
      <c r="E1533" s="12" t="n">
        <v>13800</v>
      </c>
      <c r="F1533" s="12" t="n">
        <v>1500</v>
      </c>
      <c r="G1533" s="12" t="n">
        <v>70</v>
      </c>
      <c r="H1533" s="12" t="inlineStr">
        <is>
          <t>MOD-EH: 13.8 kV modular collector e-house</t>
        </is>
      </c>
      <c r="I1533" s="12" t="inlineStr">
        <is>
          <t>MV 15 kV</t>
        </is>
      </c>
      <c r="J1533" s="12" t="inlineStr">
        <is>
          <t>2</t>
        </is>
      </c>
      <c r="K1533" s="12" t="n">
        <v>1</v>
      </c>
    </row>
    <row r="1534">
      <c r="A1534" s="12" t="inlineStr">
        <is>
          <t>MOD-EH: 13.8 kV modular collector e-house</t>
        </is>
      </c>
      <c r="B1534" s="12" t="inlineStr">
        <is>
          <t>MOD-EH</t>
        </is>
      </c>
      <c r="C1534" s="12" t="inlineStr">
        <is>
          <t>I</t>
        </is>
      </c>
      <c r="D1534" s="12" t="inlineStr">
        <is>
          <t>SC-1 PCM to MOD-EH</t>
        </is>
      </c>
      <c r="E1534" s="12" t="n">
        <v>13800</v>
      </c>
      <c r="F1534" s="12" t="n">
        <v>50000</v>
      </c>
      <c r="G1534" s="12" t="n">
        <v>2092</v>
      </c>
      <c r="H1534" s="12" t="inlineStr">
        <is>
          <t>SC-1 PCM + 15 kV GCB</t>
        </is>
      </c>
      <c r="I1534" s="12" t="inlineStr">
        <is>
          <t>MV 15 kV</t>
        </is>
      </c>
      <c r="J1534" s="12" t="inlineStr">
        <is>
          <t>750 kcmil</t>
        </is>
      </c>
      <c r="K1534" s="12" t="n">
        <v>5</v>
      </c>
    </row>
    <row r="1535">
      <c r="A1535" s="12" t="inlineStr">
        <is>
          <t>MOD-EH: 13.8 kV modular collector e-house</t>
        </is>
      </c>
      <c r="B1535" s="12" t="inlineStr">
        <is>
          <t>MOD-EH</t>
        </is>
      </c>
      <c r="C1535" s="12" t="inlineStr">
        <is>
          <t>I</t>
        </is>
      </c>
      <c r="D1535" s="12" t="inlineStr">
        <is>
          <t>SC-2 PCM to MOD-EH</t>
        </is>
      </c>
      <c r="E1535" s="12" t="n">
        <v>13800</v>
      </c>
      <c r="F1535" s="12" t="n">
        <v>50000</v>
      </c>
      <c r="G1535" s="12" t="n">
        <v>2092</v>
      </c>
      <c r="H1535" s="12" t="inlineStr">
        <is>
          <t>SC-2 PCM + 15 kV GCB</t>
        </is>
      </c>
      <c r="I1535" s="12" t="inlineStr">
        <is>
          <t>MV 15 kV</t>
        </is>
      </c>
      <c r="J1535" s="12" t="inlineStr">
        <is>
          <t>750 kcmil</t>
        </is>
      </c>
      <c r="K1535" s="12" t="n">
        <v>5</v>
      </c>
    </row>
    <row r="1536">
      <c r="A1536" s="12" t="inlineStr">
        <is>
          <t>MOD-EH: 13.8 kV modular collector e-house</t>
        </is>
      </c>
      <c r="B1536" s="12" t="inlineStr">
        <is>
          <t>MOD-EH</t>
        </is>
      </c>
      <c r="C1536" s="12" t="inlineStr">
        <is>
          <t>I</t>
        </is>
      </c>
      <c r="D1536" s="12" t="inlineStr">
        <is>
          <t>MOD-LV step-up to MOD-EH</t>
        </is>
      </c>
      <c r="E1536" s="12" t="n">
        <v>13800</v>
      </c>
      <c r="F1536" s="12" t="n">
        <v>7500</v>
      </c>
      <c r="G1536" s="12" t="n">
        <v>314</v>
      </c>
      <c r="H1536" s="12" t="inlineStr">
        <is>
          <t>MOD-LV 480 V board + 480 V : 13.8 kV step-up</t>
        </is>
      </c>
      <c r="I1536" s="12" t="inlineStr">
        <is>
          <t>MV 15 kV</t>
        </is>
      </c>
      <c r="J1536" s="12" t="inlineStr">
        <is>
          <t>500 kcmil</t>
        </is>
      </c>
      <c r="K1536" s="12" t="n">
        <v>1</v>
      </c>
    </row>
    <row r="1537">
      <c r="A1537" s="12" t="inlineStr">
        <is>
          <t>PAD-EH 13.8 kV switchgear e-house</t>
        </is>
      </c>
      <c r="B1537" s="12" t="inlineStr">
        <is>
          <t>PAD-EH</t>
        </is>
      </c>
      <c r="C1537" s="12" t="inlineStr">
        <is>
          <t>I</t>
        </is>
      </c>
      <c r="D1537" s="12" t="inlineStr">
        <is>
          <t>CONT-3 13.8 kV to PAD-EH (extension section, ground tray)</t>
        </is>
      </c>
      <c r="E1537" s="12" t="n">
        <v>13800</v>
      </c>
      <c r="F1537" s="12" t="n">
        <v>2000</v>
      </c>
      <c r="G1537" s="12" t="n">
        <v>93</v>
      </c>
      <c r="H1537" s="12" t="inlineStr">
        <is>
          <t>CONT-3: containerized gas genset 13.8 kV (40 ft)</t>
        </is>
      </c>
      <c r="I1537" s="12" t="inlineStr">
        <is>
          <t>MV 15 kV</t>
        </is>
      </c>
      <c r="J1537" s="12" t="inlineStr">
        <is>
          <t>2</t>
        </is>
      </c>
      <c r="K1537" s="12" t="n">
        <v>1</v>
      </c>
    </row>
    <row r="1538">
      <c r="A1538" s="12" t="inlineStr">
        <is>
          <t>PAD-EH 13.8 kV switchgear e-house</t>
        </is>
      </c>
      <c r="B1538" s="12" t="inlineStr">
        <is>
          <t>PAD-EH</t>
        </is>
      </c>
      <c r="C1538" s="12" t="inlineStr">
        <is>
          <t>I</t>
        </is>
      </c>
      <c r="D1538" s="12" t="inlineStr">
        <is>
          <t>CONT-4 13.8 kV to PAD-EH (extension section, ground tray)</t>
        </is>
      </c>
      <c r="E1538" s="12" t="n">
        <v>13800</v>
      </c>
      <c r="F1538" s="12" t="n">
        <v>2000</v>
      </c>
      <c r="G1538" s="12" t="n">
        <v>93</v>
      </c>
      <c r="H1538" s="12" t="inlineStr">
        <is>
          <t>CONT-4: containerized gas genset 13.8 kV (40 ft)</t>
        </is>
      </c>
      <c r="I1538" s="12" t="inlineStr">
        <is>
          <t>MV 15 kV</t>
        </is>
      </c>
      <c r="J1538" s="12" t="inlineStr">
        <is>
          <t>2</t>
        </is>
      </c>
      <c r="K1538" s="12" t="n">
        <v>1</v>
      </c>
    </row>
    <row r="1539">
      <c r="A1539" s="12" t="inlineStr">
        <is>
          <t>PAD-EH 13.8 kV switchgear e-house</t>
        </is>
      </c>
      <c r="B1539" s="12" t="inlineStr">
        <is>
          <t>PAD-EH</t>
        </is>
      </c>
      <c r="C1539" s="12" t="inlineStr">
        <is>
          <t>I</t>
        </is>
      </c>
      <c r="D1539" s="12" t="inlineStr">
        <is>
          <t>CONT-5 13.8 kV to PAD-EH (extension section, ground tray)</t>
        </is>
      </c>
      <c r="E1539" s="12" t="n">
        <v>13800</v>
      </c>
      <c r="F1539" s="12" t="n">
        <v>2000</v>
      </c>
      <c r="G1539" s="12" t="n">
        <v>93</v>
      </c>
      <c r="H1539" s="12" t="inlineStr">
        <is>
          <t>CONT-5: containerized gas genset 13.8 kV (40 ft)</t>
        </is>
      </c>
      <c r="I1539" s="12" t="inlineStr">
        <is>
          <t>MV 15 kV</t>
        </is>
      </c>
      <c r="J1539" s="12" t="inlineStr">
        <is>
          <t>2</t>
        </is>
      </c>
      <c r="K1539" s="12" t="n">
        <v>1</v>
      </c>
    </row>
    <row r="1540">
      <c r="A1540" s="12" t="inlineStr">
        <is>
          <t>PAD-EH 13.8 kV switchgear e-house</t>
        </is>
      </c>
      <c r="B1540" s="12" t="inlineStr">
        <is>
          <t>PAD-EH</t>
        </is>
      </c>
      <c r="C1540" s="12" t="inlineStr">
        <is>
          <t>I</t>
        </is>
      </c>
      <c r="D1540" s="12" t="inlineStr">
        <is>
          <t>CONT-6 13.8 kV to PAD-EH (extension section, ground tray)</t>
        </is>
      </c>
      <c r="E1540" s="12" t="n">
        <v>13800</v>
      </c>
      <c r="F1540" s="12" t="n">
        <v>2000</v>
      </c>
      <c r="G1540" s="12" t="n">
        <v>93</v>
      </c>
      <c r="H1540" s="12" t="inlineStr">
        <is>
          <t>CONT-6: containerized gas genset 13.8 kV (40 ft)</t>
        </is>
      </c>
      <c r="I1540" s="12" t="inlineStr">
        <is>
          <t>MV 15 kV</t>
        </is>
      </c>
      <c r="J1540" s="12" t="inlineStr">
        <is>
          <t>2</t>
        </is>
      </c>
      <c r="K1540" s="12" t="n">
        <v>1</v>
      </c>
    </row>
    <row r="1541">
      <c r="A1541" s="12" t="inlineStr">
        <is>
          <t>PAD-EH 13.8 kV switchgear e-house</t>
        </is>
      </c>
      <c r="B1541" s="12" t="inlineStr">
        <is>
          <t>PAD-EH</t>
        </is>
      </c>
      <c r="C1541" s="12" t="inlineStr">
        <is>
          <t>I</t>
        </is>
      </c>
      <c r="D1541" s="12" t="inlineStr">
        <is>
          <t>CONT-7 13.8 kV to PAD-EH (extension section, ground tray)</t>
        </is>
      </c>
      <c r="E1541" s="12" t="n">
        <v>13800</v>
      </c>
      <c r="F1541" s="12" t="n">
        <v>2000</v>
      </c>
      <c r="G1541" s="12" t="n">
        <v>93</v>
      </c>
      <c r="H1541" s="12" t="inlineStr">
        <is>
          <t>CONT-7: containerized gas genset 13.8 kV (40 ft)</t>
        </is>
      </c>
      <c r="I1541" s="12" t="inlineStr">
        <is>
          <t>MV 15 kV</t>
        </is>
      </c>
      <c r="J1541" s="12" t="inlineStr">
        <is>
          <t>2</t>
        </is>
      </c>
      <c r="K1541" s="12" t="n">
        <v>1</v>
      </c>
    </row>
    <row r="1542">
      <c r="A1542" s="12" t="inlineStr">
        <is>
          <t>PAD-EH 13.8 kV switchgear e-house</t>
        </is>
      </c>
      <c r="B1542" s="12" t="inlineStr">
        <is>
          <t>PAD-EH</t>
        </is>
      </c>
      <c r="C1542" s="12" t="inlineStr">
        <is>
          <t>I</t>
        </is>
      </c>
      <c r="D1542" s="12" t="inlineStr">
        <is>
          <t>CONT-8 13.8 kV to PAD-EH (extension section, ground tray)</t>
        </is>
      </c>
      <c r="E1542" s="12" t="n">
        <v>13800</v>
      </c>
      <c r="F1542" s="12" t="n">
        <v>2000</v>
      </c>
      <c r="G1542" s="12" t="n">
        <v>93</v>
      </c>
      <c r="H1542" s="12" t="inlineStr">
        <is>
          <t>CONT-8: containerized gas genset 13.8 kV (40 ft)</t>
        </is>
      </c>
      <c r="I1542" s="12" t="inlineStr">
        <is>
          <t>MV 15 kV</t>
        </is>
      </c>
      <c r="J1542" s="12" t="inlineStr">
        <is>
          <t>2</t>
        </is>
      </c>
      <c r="K1542" s="12" t="n">
        <v>1</v>
      </c>
    </row>
    <row r="1543">
      <c r="A1543" s="12" t="inlineStr">
        <is>
          <t>PAD-EH 13.8 kV switchgear e-house</t>
        </is>
      </c>
      <c r="B1543" s="12" t="inlineStr">
        <is>
          <t>PAD-EH</t>
        </is>
      </c>
      <c r="C1543" s="12" t="inlineStr">
        <is>
          <t>I</t>
        </is>
      </c>
      <c r="D1543" s="12" t="inlineStr">
        <is>
          <t>TM-1 (TM2500) generator leads to PAD-EH</t>
        </is>
      </c>
      <c r="E1543" s="12" t="n">
        <v>13800</v>
      </c>
      <c r="F1543" s="12" t="n">
        <v>35000</v>
      </c>
      <c r="G1543" s="12" t="n">
        <v>1464</v>
      </c>
      <c r="H1543" s="12" t="inlineStr">
        <is>
          <t>TM-1: trailer-mounted aeroderivative GT (TM2500 class, ~35 M</t>
        </is>
      </c>
      <c r="I1543" s="12" t="inlineStr">
        <is>
          <t>MV 15 kV</t>
        </is>
      </c>
      <c r="J1543" s="12" t="inlineStr">
        <is>
          <t>1000 kcmil</t>
        </is>
      </c>
      <c r="K1543" s="12" t="n">
        <v>3</v>
      </c>
    </row>
    <row r="1544">
      <c r="A1544" s="12" t="inlineStr">
        <is>
          <t>PAD-EH 13.8 kV switchgear e-house</t>
        </is>
      </c>
      <c r="B1544" s="12" t="inlineStr">
        <is>
          <t>PAD-EH</t>
        </is>
      </c>
      <c r="C1544" s="12" t="inlineStr">
        <is>
          <t>I</t>
        </is>
      </c>
      <c r="D1544" s="12" t="inlineStr">
        <is>
          <t>TM-2 (TM2500) generator leads to PAD-EH</t>
        </is>
      </c>
      <c r="E1544" s="12" t="n">
        <v>13800</v>
      </c>
      <c r="F1544" s="12" t="n">
        <v>35000</v>
      </c>
      <c r="G1544" s="12" t="n">
        <v>1464</v>
      </c>
      <c r="H1544" s="12" t="inlineStr">
        <is>
          <t>TM-2: trailer-mounted aeroderivative GT (TM2500 class, ~35 M</t>
        </is>
      </c>
      <c r="I1544" s="12" t="inlineStr">
        <is>
          <t>MV 15 kV</t>
        </is>
      </c>
      <c r="J1544" s="12" t="inlineStr">
        <is>
          <t>1000 kcmil</t>
        </is>
      </c>
      <c r="K1544" s="12" t="n">
        <v>3</v>
      </c>
    </row>
    <row r="1545">
      <c r="A1545" s="12" t="inlineStr">
        <is>
          <t>PCM: power control module</t>
        </is>
      </c>
      <c r="B1545" s="12" t="inlineStr"/>
      <c r="C1545" s="12" t="inlineStr">
        <is>
          <t>I</t>
        </is>
      </c>
      <c r="D1545" s="12" t="inlineStr">
        <is>
          <t>RICE-1 generator leads to the PCM</t>
        </is>
      </c>
      <c r="E1545" s="12" t="n">
        <v>13800</v>
      </c>
      <c r="F1545" s="12" t="n">
        <v>18400</v>
      </c>
      <c r="G1545" s="12" t="n">
        <v>770</v>
      </c>
      <c r="H1545" s="12" t="inlineStr">
        <is>
          <t>RICE engine-generator 1</t>
        </is>
      </c>
      <c r="I1545" s="12" t="inlineStr">
        <is>
          <t>MV 15 kV</t>
        </is>
      </c>
      <c r="J1545" s="12" t="inlineStr">
        <is>
          <t>750 kcmil</t>
        </is>
      </c>
      <c r="K1545" s="12" t="n">
        <v>2</v>
      </c>
    </row>
    <row r="1546">
      <c r="A1546" s="12" t="inlineStr">
        <is>
          <t>PCM: power control module</t>
        </is>
      </c>
      <c r="B1546" s="12" t="inlineStr"/>
      <c r="C1546" s="12" t="inlineStr">
        <is>
          <t>I</t>
        </is>
      </c>
      <c r="D1546" s="12" t="inlineStr">
        <is>
          <t>RICE-2 generator leads to the PCM</t>
        </is>
      </c>
      <c r="E1546" s="12" t="n">
        <v>13800</v>
      </c>
      <c r="F1546" s="12" t="n">
        <v>18400</v>
      </c>
      <c r="G1546" s="12" t="n">
        <v>770</v>
      </c>
      <c r="H1546" s="12" t="inlineStr">
        <is>
          <t>RICE engine-generator 2</t>
        </is>
      </c>
      <c r="I1546" s="12" t="inlineStr">
        <is>
          <t>MV 15 kV</t>
        </is>
      </c>
      <c r="J1546" s="12" t="inlineStr">
        <is>
          <t>750 kcmil</t>
        </is>
      </c>
      <c r="K1546" s="12" t="n">
        <v>2</v>
      </c>
    </row>
    <row r="1547">
      <c r="A1547" s="12" t="inlineStr">
        <is>
          <t>PCM: power control module</t>
        </is>
      </c>
      <c r="B1547" s="12" t="inlineStr"/>
      <c r="C1547" s="12" t="inlineStr">
        <is>
          <t>I</t>
        </is>
      </c>
      <c r="D1547" s="12" t="inlineStr">
        <is>
          <t>RICE-3 generator leads to the PCM</t>
        </is>
      </c>
      <c r="E1547" s="12" t="n">
        <v>13800</v>
      </c>
      <c r="F1547" s="12" t="n">
        <v>18400</v>
      </c>
      <c r="G1547" s="12" t="n">
        <v>770</v>
      </c>
      <c r="H1547" s="12" t="inlineStr">
        <is>
          <t>RICE engine-generator 3</t>
        </is>
      </c>
      <c r="I1547" s="12" t="inlineStr">
        <is>
          <t>MV 15 kV</t>
        </is>
      </c>
      <c r="J1547" s="12" t="inlineStr">
        <is>
          <t>750 kcmil</t>
        </is>
      </c>
      <c r="K1547" s="12" t="n">
        <v>2</v>
      </c>
    </row>
    <row r="1548">
      <c r="A1548" s="12" t="inlineStr">
        <is>
          <t>PCM: power control module</t>
        </is>
      </c>
      <c r="B1548" s="12" t="inlineStr"/>
      <c r="C1548" s="12" t="inlineStr">
        <is>
          <t>I</t>
        </is>
      </c>
      <c r="D1548" s="12" t="inlineStr">
        <is>
          <t>RICE-4 generator leads to the PCM</t>
        </is>
      </c>
      <c r="E1548" s="12" t="n">
        <v>13800</v>
      </c>
      <c r="F1548" s="12" t="n">
        <v>18400</v>
      </c>
      <c r="G1548" s="12" t="n">
        <v>770</v>
      </c>
      <c r="H1548" s="12" t="inlineStr">
        <is>
          <t>RICE engine-generator 4</t>
        </is>
      </c>
      <c r="I1548" s="12" t="inlineStr">
        <is>
          <t>MV 15 kV</t>
        </is>
      </c>
      <c r="J1548" s="12" t="inlineStr">
        <is>
          <t>750 kcmil</t>
        </is>
      </c>
      <c r="K1548" s="12" t="n">
        <v>2</v>
      </c>
    </row>
    <row r="1549">
      <c r="A1549" s="12" t="inlineStr">
        <is>
          <t>PCM: power control module</t>
        </is>
      </c>
      <c r="B1549" s="12" t="inlineStr"/>
      <c r="C1549" s="12" t="inlineStr">
        <is>
          <t>I</t>
        </is>
      </c>
      <c r="D1549" s="12" t="inlineStr">
        <is>
          <t>RICE-5 generator leads to the PCM</t>
        </is>
      </c>
      <c r="E1549" s="12" t="n">
        <v>13800</v>
      </c>
      <c r="F1549" s="12" t="n">
        <v>18400</v>
      </c>
      <c r="G1549" s="12" t="n">
        <v>770</v>
      </c>
      <c r="H1549" s="12" t="inlineStr">
        <is>
          <t>RICE engine-generator 5</t>
        </is>
      </c>
      <c r="I1549" s="12" t="inlineStr">
        <is>
          <t>MV 15 kV</t>
        </is>
      </c>
      <c r="J1549" s="12" t="inlineStr">
        <is>
          <t>750 kcmil</t>
        </is>
      </c>
      <c r="K1549" s="12" t="n">
        <v>2</v>
      </c>
    </row>
    <row r="1550">
      <c r="A1550" s="12" t="inlineStr">
        <is>
          <t>PCM: power control module</t>
        </is>
      </c>
      <c r="B1550" s="12" t="inlineStr"/>
      <c r="C1550" s="12" t="inlineStr">
        <is>
          <t>I</t>
        </is>
      </c>
      <c r="D1550" s="12" t="inlineStr">
        <is>
          <t>RICE-6 generator leads to the PCM</t>
        </is>
      </c>
      <c r="E1550" s="12" t="n">
        <v>13800</v>
      </c>
      <c r="F1550" s="12" t="n">
        <v>18400</v>
      </c>
      <c r="G1550" s="12" t="n">
        <v>770</v>
      </c>
      <c r="H1550" s="12" t="inlineStr">
        <is>
          <t>RICE engine-generator 6</t>
        </is>
      </c>
      <c r="I1550" s="12" t="inlineStr">
        <is>
          <t>MV 15 kV</t>
        </is>
      </c>
      <c r="J1550" s="12" t="inlineStr">
        <is>
          <t>750 kcmil</t>
        </is>
      </c>
      <c r="K1550" s="12" t="n">
        <v>2</v>
      </c>
    </row>
    <row r="1551">
      <c r="A1551" s="12" t="inlineStr">
        <is>
          <t>PCM: power control module</t>
        </is>
      </c>
      <c r="B1551" s="12" t="inlineStr"/>
      <c r="C1551" s="12" t="inlineStr">
        <is>
          <t>I</t>
        </is>
      </c>
      <c r="D1551" s="12" t="inlineStr">
        <is>
          <t>RICE-7 generator leads to the PCM</t>
        </is>
      </c>
      <c r="E1551" s="12" t="n">
        <v>13800</v>
      </c>
      <c r="F1551" s="12" t="n">
        <v>18400</v>
      </c>
      <c r="G1551" s="12" t="n">
        <v>770</v>
      </c>
      <c r="H1551" s="12" t="inlineStr">
        <is>
          <t>RICE engine-generator 7</t>
        </is>
      </c>
      <c r="I1551" s="12" t="inlineStr">
        <is>
          <t>MV 15 kV</t>
        </is>
      </c>
      <c r="J1551" s="12" t="inlineStr">
        <is>
          <t>750 kcmil</t>
        </is>
      </c>
      <c r="K1551" s="12" t="n">
        <v>2</v>
      </c>
    </row>
    <row r="1552">
      <c r="A1552" s="12" t="inlineStr">
        <is>
          <t>PCM: power control module</t>
        </is>
      </c>
      <c r="B1552" s="12" t="inlineStr"/>
      <c r="C1552" s="12" t="inlineStr">
        <is>
          <t>I</t>
        </is>
      </c>
      <c r="D1552" s="12" t="inlineStr">
        <is>
          <t>RICE-8 generator leads to the PCM</t>
        </is>
      </c>
      <c r="E1552" s="12" t="n">
        <v>13800</v>
      </c>
      <c r="F1552" s="12" t="n">
        <v>18400</v>
      </c>
      <c r="G1552" s="12" t="n">
        <v>770</v>
      </c>
      <c r="H1552" s="12" t="inlineStr">
        <is>
          <t>RICE engine-generator 8</t>
        </is>
      </c>
      <c r="I1552" s="12" t="inlineStr">
        <is>
          <t>MV 15 kV</t>
        </is>
      </c>
      <c r="J1552" s="12" t="inlineStr">
        <is>
          <t>750 kcmil</t>
        </is>
      </c>
      <c r="K1552" s="12" t="n">
        <v>2</v>
      </c>
    </row>
    <row r="1553">
      <c r="A1553" s="12" t="inlineStr">
        <is>
          <t>SC-1 PCM + 15 kV GCB</t>
        </is>
      </c>
      <c r="B1553" s="12" t="inlineStr"/>
      <c r="C1553" s="12" t="inlineStr">
        <is>
          <t>I</t>
        </is>
      </c>
      <c r="D1553" s="12" t="inlineStr">
        <is>
          <t>SC-1 (LM6000 class) generator leads to its PCM / GCB</t>
        </is>
      </c>
      <c r="E1553" s="12" t="n">
        <v>13800</v>
      </c>
      <c r="F1553" s="12" t="n">
        <v>50000</v>
      </c>
      <c r="G1553" s="12" t="n">
        <v>2092</v>
      </c>
      <c r="H1553" s="12" t="inlineStr">
        <is>
          <t>SC-1: aeroderivative simple-cycle unit (LM6000 class)</t>
        </is>
      </c>
      <c r="I1553" s="12" t="inlineStr">
        <is>
          <t>MV 15 kV</t>
        </is>
      </c>
      <c r="J1553" s="12" t="inlineStr">
        <is>
          <t>750 kcmil</t>
        </is>
      </c>
      <c r="K1553" s="12" t="n">
        <v>5</v>
      </c>
    </row>
    <row r="1554">
      <c r="A1554" s="12" t="inlineStr">
        <is>
          <t>SC-2 PCM + 15 kV GCB</t>
        </is>
      </c>
      <c r="B1554" s="12" t="inlineStr"/>
      <c r="C1554" s="12" t="inlineStr">
        <is>
          <t>I</t>
        </is>
      </c>
      <c r="D1554" s="12" t="inlineStr">
        <is>
          <t>SC-2 (LM6000 class) generator leads to its PCM / GCB</t>
        </is>
      </c>
      <c r="E1554" s="12" t="n">
        <v>13800</v>
      </c>
      <c r="F1554" s="12" t="n">
        <v>50000</v>
      </c>
      <c r="G1554" s="12" t="n">
        <v>2092</v>
      </c>
      <c r="H1554" s="12" t="inlineStr">
        <is>
          <t>SC-2: aeroderivative simple-cycle unit (LM6000 class)</t>
        </is>
      </c>
      <c r="I1554" s="12" t="inlineStr">
        <is>
          <t>MV 15 kV</t>
        </is>
      </c>
      <c r="J1554" s="12" t="inlineStr">
        <is>
          <t>750 kcmil</t>
        </is>
      </c>
      <c r="K1554" s="12" t="n">
        <v>5</v>
      </c>
    </row>
    <row r="1555">
      <c r="A1555" s="12" t="inlineStr">
        <is>
          <t>PAD-LV 480 V paralleling switchboard</t>
        </is>
      </c>
      <c r="B1555" s="12" t="inlineStr">
        <is>
          <t>PAD-LV</t>
        </is>
      </c>
      <c r="C1555" s="12" t="inlineStr">
        <is>
          <t>I</t>
        </is>
      </c>
      <c r="D1555" s="12" t="inlineStr">
        <is>
          <t>GEN-E 480 V to PAD-LV (Type W sets, cam-lock)</t>
        </is>
      </c>
      <c r="E1555" s="12" t="n">
        <v>480</v>
      </c>
      <c r="F1555" s="12" t="n">
        <v>2000</v>
      </c>
      <c r="G1555" s="12" t="n">
        <v>2406</v>
      </c>
      <c r="H1555" s="12" t="inlineStr">
        <is>
          <t>GEN-E: enclosed industrial gas genset 2 MW</t>
        </is>
      </c>
      <c r="I1555" s="12" t="inlineStr">
        <is>
          <t>Portable LV</t>
        </is>
      </c>
      <c r="J1555" s="12" t="inlineStr">
        <is>
          <t>4/0</t>
        </is>
      </c>
      <c r="K1555" s="12" t="n">
        <v>8</v>
      </c>
    </row>
    <row r="1556">
      <c r="A1556" s="12" t="inlineStr">
        <is>
          <t>PAD-LV 480 V paralleling switchboard</t>
        </is>
      </c>
      <c r="B1556" s="12" t="inlineStr">
        <is>
          <t>PAD-LV</t>
        </is>
      </c>
      <c r="C1556" s="12" t="inlineStr">
        <is>
          <t>I</t>
        </is>
      </c>
      <c r="D1556" s="12" t="inlineStr">
        <is>
          <t>GEN-O 480 V to PAD-LV (Type W sets, cam-lock)</t>
        </is>
      </c>
      <c r="E1556" s="12" t="n">
        <v>480</v>
      </c>
      <c r="F1556" s="12" t="n">
        <v>1000</v>
      </c>
      <c r="G1556" s="12" t="n">
        <v>1203</v>
      </c>
      <c r="H1556" s="12" t="inlineStr">
        <is>
          <t>GEN-O: open engine-generator skid</t>
        </is>
      </c>
      <c r="I1556" s="12" t="inlineStr">
        <is>
          <t>Portable LV</t>
        </is>
      </c>
      <c r="J1556" s="12" t="inlineStr">
        <is>
          <t>4/0</t>
        </is>
      </c>
      <c r="K1556" s="12" t="n">
        <v>4</v>
      </c>
    </row>
    <row r="1557">
      <c r="A1557" s="12" t="inlineStr">
        <is>
          <t>GSP-1: generator breaker / protection</t>
        </is>
      </c>
      <c r="B1557" s="12" t="inlineStr">
        <is>
          <t>GSP-1</t>
        </is>
      </c>
      <c r="C1557" s="12" t="inlineStr">
        <is>
          <t>I</t>
        </is>
      </c>
      <c r="D1557" s="12" t="inlineStr">
        <is>
          <t>CONT-1 13.8 kV leads to GSP-1</t>
        </is>
      </c>
      <c r="E1557" s="12" t="n">
        <v>13800</v>
      </c>
      <c r="F1557" s="12" t="n">
        <v>2000</v>
      </c>
      <c r="G1557" s="12" t="n">
        <v>93</v>
      </c>
      <c r="H1557" s="12" t="inlineStr">
        <is>
          <t>CONT-1: containerized genset 13.8 kV (40 ft)</t>
        </is>
      </c>
      <c r="I1557" s="12" t="inlineStr">
        <is>
          <t>Portable MV</t>
        </is>
      </c>
      <c r="J1557" s="12" t="inlineStr">
        <is>
          <t>2</t>
        </is>
      </c>
      <c r="K1557" s="12" t="n">
        <v>1</v>
      </c>
    </row>
    <row r="1558">
      <c r="A1558" s="12" t="inlineStr">
        <is>
          <t>GSP-2: generator breaker / protection</t>
        </is>
      </c>
      <c r="B1558" s="12" t="inlineStr">
        <is>
          <t>GSP-2</t>
        </is>
      </c>
      <c r="C1558" s="12" t="inlineStr">
        <is>
          <t>I</t>
        </is>
      </c>
      <c r="D1558" s="12" t="inlineStr">
        <is>
          <t>CONT-2 13.8 kV leads to GSP-2</t>
        </is>
      </c>
      <c r="E1558" s="12" t="n">
        <v>13800</v>
      </c>
      <c r="F1558" s="12" t="n">
        <v>2000</v>
      </c>
      <c r="G1558" s="12" t="n">
        <v>93</v>
      </c>
      <c r="H1558" s="12" t="inlineStr">
        <is>
          <t>CONT-2: containerized genset 13.8 kV (40 ft)</t>
        </is>
      </c>
      <c r="I1558" s="12" t="inlineStr">
        <is>
          <t>Portable MV</t>
        </is>
      </c>
      <c r="J1558" s="12" t="inlineStr">
        <is>
          <t>2</t>
        </is>
      </c>
      <c r="K1558" s="12" t="n">
        <v>1</v>
      </c>
    </row>
    <row r="1559">
      <c r="A1559" s="12" t="inlineStr">
        <is>
          <t>LB: commissioning load bank (trailer)</t>
        </is>
      </c>
      <c r="B1559" s="12" t="inlineStr">
        <is>
          <t>LB</t>
        </is>
      </c>
      <c r="C1559" s="12" t="inlineStr">
        <is>
          <t>I</t>
        </is>
      </c>
      <c r="D1559" s="12" t="inlineStr">
        <is>
          <t>PIC to commissioning load bank</t>
        </is>
      </c>
      <c r="E1559" s="12" t="n">
        <v>13800</v>
      </c>
      <c r="F1559" s="12" t="n">
        <v>2000</v>
      </c>
      <c r="G1559" s="12" t="n">
        <v>93</v>
      </c>
      <c r="H1559" s="12" t="inlineStr">
        <is>
          <t>PIC: portable input cabinet</t>
        </is>
      </c>
      <c r="I1559" s="12" t="inlineStr">
        <is>
          <t>Portable MV</t>
        </is>
      </c>
      <c r="J1559" s="12" t="inlineStr">
        <is>
          <t>2</t>
        </is>
      </c>
      <c r="K1559" s="12" t="n">
        <v>1</v>
      </c>
    </row>
    <row r="1560">
      <c r="A1560" s="12" t="inlineStr">
        <is>
          <t>PAD-EH 13.8 kV switchgear e-house</t>
        </is>
      </c>
      <c r="B1560" s="12" t="inlineStr">
        <is>
          <t>PAD-EH</t>
        </is>
      </c>
      <c r="C1560" s="12" t="inlineStr">
        <is>
          <t>I</t>
        </is>
      </c>
      <c r="D1560" s="12" t="inlineStr">
        <is>
          <t>GSP-1 to PAD-EH</t>
        </is>
      </c>
      <c r="E1560" s="12" t="n">
        <v>13800</v>
      </c>
      <c r="F1560" s="12" t="n">
        <v>2000</v>
      </c>
      <c r="G1560" s="12" t="n">
        <v>93</v>
      </c>
      <c r="H1560" s="12" t="inlineStr">
        <is>
          <t>GSP-1: generator breaker / protection</t>
        </is>
      </c>
      <c r="I1560" s="12" t="inlineStr">
        <is>
          <t>Portable MV</t>
        </is>
      </c>
      <c r="J1560" s="12" t="inlineStr">
        <is>
          <t>2</t>
        </is>
      </c>
      <c r="K1560" s="12" t="n">
        <v>1</v>
      </c>
    </row>
    <row r="1561">
      <c r="A1561" s="12" t="inlineStr">
        <is>
          <t>PAD-EH 13.8 kV switchgear e-house</t>
        </is>
      </c>
      <c r="B1561" s="12" t="inlineStr">
        <is>
          <t>PAD-EH</t>
        </is>
      </c>
      <c r="C1561" s="12" t="inlineStr">
        <is>
          <t>I</t>
        </is>
      </c>
      <c r="D1561" s="12" t="inlineStr">
        <is>
          <t>GSP-2 to PAD-EH</t>
        </is>
      </c>
      <c r="E1561" s="12" t="n">
        <v>13800</v>
      </c>
      <c r="F1561" s="12" t="n">
        <v>2000</v>
      </c>
      <c r="G1561" s="12" t="n">
        <v>93</v>
      </c>
      <c r="H1561" s="12" t="inlineStr">
        <is>
          <t>GSP-2: generator breaker / protection</t>
        </is>
      </c>
      <c r="I1561" s="12" t="inlineStr">
        <is>
          <t>Portable MV</t>
        </is>
      </c>
      <c r="J1561" s="12" t="inlineStr">
        <is>
          <t>2</t>
        </is>
      </c>
      <c r="K1561" s="12" t="n">
        <v>1</v>
      </c>
    </row>
    <row r="1562">
      <c r="A1562" s="12" t="inlineStr">
        <is>
          <t>PIC: portable input cabinet</t>
        </is>
      </c>
      <c r="B1562" s="12" t="inlineStr">
        <is>
          <t>PIC</t>
        </is>
      </c>
      <c r="C1562" s="12" t="inlineStr">
        <is>
          <t>I</t>
        </is>
      </c>
      <c r="D1562" s="12" t="inlineStr">
        <is>
          <t>MOB-1 13.8 kV to PIC through the C-L01 ramp</t>
        </is>
      </c>
      <c r="E1562" s="12" t="n">
        <v>13800</v>
      </c>
      <c r="F1562" s="12" t="n">
        <v>2000</v>
      </c>
      <c r="G1562" s="12" t="n">
        <v>93</v>
      </c>
      <c r="H1562" s="12" t="inlineStr">
        <is>
          <t>MOB-1: trailer genset</t>
        </is>
      </c>
      <c r="I1562" s="12" t="inlineStr">
        <is>
          <t>Portable MV</t>
        </is>
      </c>
      <c r="J1562" s="12" t="inlineStr">
        <is>
          <t>2</t>
        </is>
      </c>
      <c r="K1562" s="12" t="n">
        <v>1</v>
      </c>
    </row>
    <row r="1563">
      <c r="A1563" s="12" t="inlineStr">
        <is>
          <t>CHW pumps</t>
        </is>
      </c>
      <c r="B1563" s="12" t="inlineStr"/>
      <c r="C1563" s="12" t="inlineStr">
        <is>
          <t>J</t>
        </is>
      </c>
      <c r="D1563" s="12" t="inlineStr">
        <is>
          <t>Motor 1 of 4, 150 kW</t>
        </is>
      </c>
      <c r="E1563" s="12" t="n">
        <v>480</v>
      </c>
      <c r="F1563" s="12" t="n">
        <v>150</v>
      </c>
      <c r="G1563" s="12" t="n">
        <v>212.3</v>
      </c>
      <c r="H1563" s="12" t="inlineStr">
        <is>
          <t>Inlet-chilling e-house / transformer</t>
        </is>
      </c>
      <c r="I1563" s="12" t="inlineStr">
        <is>
          <t>LV 600 V</t>
        </is>
      </c>
      <c r="J1563" s="12" t="inlineStr">
        <is>
          <t>350 kcmil</t>
        </is>
      </c>
      <c r="K1563" s="12" t="n">
        <v>1</v>
      </c>
    </row>
    <row r="1564">
      <c r="A1564" s="12" t="inlineStr">
        <is>
          <t>CHW pumps</t>
        </is>
      </c>
      <c r="B1564" s="12" t="inlineStr"/>
      <c r="C1564" s="12" t="inlineStr">
        <is>
          <t>J</t>
        </is>
      </c>
      <c r="D1564" s="12" t="inlineStr">
        <is>
          <t>Motor 2 of 4, 150 kW</t>
        </is>
      </c>
      <c r="E1564" s="12" t="n">
        <v>480</v>
      </c>
      <c r="F1564" s="12" t="n">
        <v>150</v>
      </c>
      <c r="G1564" s="12" t="n">
        <v>212.3</v>
      </c>
      <c r="H1564" s="12" t="inlineStr">
        <is>
          <t>Inlet-chilling e-house / transformer</t>
        </is>
      </c>
      <c r="I1564" s="12" t="inlineStr">
        <is>
          <t>LV 600 V</t>
        </is>
      </c>
      <c r="J1564" s="12" t="inlineStr">
        <is>
          <t>350 kcmil</t>
        </is>
      </c>
      <c r="K1564" s="12" t="n">
        <v>1</v>
      </c>
    </row>
    <row r="1565">
      <c r="A1565" s="12" t="inlineStr">
        <is>
          <t>CHW pumps</t>
        </is>
      </c>
      <c r="B1565" s="12" t="inlineStr"/>
      <c r="C1565" s="12" t="inlineStr">
        <is>
          <t>J</t>
        </is>
      </c>
      <c r="D1565" s="12" t="inlineStr">
        <is>
          <t>Motor 3 of 4, 150 kW</t>
        </is>
      </c>
      <c r="E1565" s="12" t="n">
        <v>480</v>
      </c>
      <c r="F1565" s="12" t="n">
        <v>150</v>
      </c>
      <c r="G1565" s="12" t="n">
        <v>212.3</v>
      </c>
      <c r="H1565" s="12" t="inlineStr">
        <is>
          <t>Inlet-chilling e-house / transformer</t>
        </is>
      </c>
      <c r="I1565" s="12" t="inlineStr">
        <is>
          <t>LV 600 V</t>
        </is>
      </c>
      <c r="J1565" s="12" t="inlineStr">
        <is>
          <t>350 kcmil</t>
        </is>
      </c>
      <c r="K1565" s="12" t="n">
        <v>1</v>
      </c>
    </row>
    <row r="1566">
      <c r="A1566" s="12" t="inlineStr">
        <is>
          <t>CHW pumps</t>
        </is>
      </c>
      <c r="B1566" s="12" t="inlineStr"/>
      <c r="C1566" s="12" t="inlineStr">
        <is>
          <t>J</t>
        </is>
      </c>
      <c r="D1566" s="12" t="inlineStr">
        <is>
          <t>Motor 4 of 4, 150 kW</t>
        </is>
      </c>
      <c r="E1566" s="12" t="n">
        <v>480</v>
      </c>
      <c r="F1566" s="12" t="n">
        <v>150</v>
      </c>
      <c r="G1566" s="12" t="n">
        <v>212.3</v>
      </c>
      <c r="H1566" s="12" t="inlineStr">
        <is>
          <t>Inlet-chilling e-house / transformer</t>
        </is>
      </c>
      <c r="I1566" s="12" t="inlineStr">
        <is>
          <t>LV 600 V</t>
        </is>
      </c>
      <c r="J1566" s="12" t="inlineStr">
        <is>
          <t>350 kcmil</t>
        </is>
      </c>
      <c r="K1566" s="12" t="n">
        <v>1</v>
      </c>
    </row>
    <row r="1567">
      <c r="A1567" s="12" t="inlineStr">
        <is>
          <t>CONDITIONAL: TES chilled-water tank</t>
        </is>
      </c>
      <c r="B1567" s="12" t="inlineStr"/>
      <c r="C1567" s="12" t="inlineStr">
        <is>
          <t>J</t>
        </is>
      </c>
      <c r="D1567" s="12" t="inlineStr">
        <is>
          <t>LV power feeder</t>
        </is>
      </c>
      <c r="E1567" s="12" t="n">
        <v>480</v>
      </c>
      <c r="F1567" s="12" t="n">
        <v>10</v>
      </c>
      <c r="G1567" s="12" t="n">
        <v>14.2</v>
      </c>
      <c r="H1567" s="12" t="inlineStr">
        <is>
          <t>Inlet-chilling e-house / transformer</t>
        </is>
      </c>
      <c r="I1567" s="12" t="inlineStr">
        <is>
          <t>LV 600 V</t>
        </is>
      </c>
      <c r="J1567" s="12" t="inlineStr">
        <is>
          <t>8</t>
        </is>
      </c>
      <c r="K1567" s="12" t="n">
        <v>1</v>
      </c>
    </row>
    <row r="1568">
      <c r="A1568" s="12" t="inlineStr">
        <is>
          <t>Chillers x6 (water-cooled)</t>
        </is>
      </c>
      <c r="B1568" s="12" t="inlineStr"/>
      <c r="C1568" s="12" t="inlineStr">
        <is>
          <t>J</t>
        </is>
      </c>
      <c r="D1568" s="12" t="inlineStr">
        <is>
          <t>Motor 1 of 6, 7 kW</t>
        </is>
      </c>
      <c r="E1568" s="12" t="n">
        <v>480</v>
      </c>
      <c r="F1568" s="12" t="n">
        <v>7</v>
      </c>
      <c r="G1568" s="12" t="n">
        <v>9.9</v>
      </c>
      <c r="H1568" s="12" t="inlineStr">
        <is>
          <t>Inlet-chilling e-house / transformer</t>
        </is>
      </c>
      <c r="I1568" s="12" t="inlineStr">
        <is>
          <t>LV 600 V</t>
        </is>
      </c>
      <c r="J1568" s="12" t="inlineStr">
        <is>
          <t>10</t>
        </is>
      </c>
      <c r="K1568" s="12" t="n">
        <v>1</v>
      </c>
    </row>
    <row r="1569">
      <c r="A1569" s="12" t="inlineStr">
        <is>
          <t>Chillers x6 (water-cooled)</t>
        </is>
      </c>
      <c r="B1569" s="12" t="inlineStr"/>
      <c r="C1569" s="12" t="inlineStr">
        <is>
          <t>J</t>
        </is>
      </c>
      <c r="D1569" s="12" t="inlineStr">
        <is>
          <t>Motor 2 of 6, 7 kW</t>
        </is>
      </c>
      <c r="E1569" s="12" t="n">
        <v>480</v>
      </c>
      <c r="F1569" s="12" t="n">
        <v>7</v>
      </c>
      <c r="G1569" s="12" t="n">
        <v>9.9</v>
      </c>
      <c r="H1569" s="12" t="inlineStr">
        <is>
          <t>Inlet-chilling e-house / transformer</t>
        </is>
      </c>
      <c r="I1569" s="12" t="inlineStr">
        <is>
          <t>LV 600 V</t>
        </is>
      </c>
      <c r="J1569" s="12" t="inlineStr">
        <is>
          <t>10</t>
        </is>
      </c>
      <c r="K1569" s="12" t="n">
        <v>1</v>
      </c>
    </row>
    <row r="1570">
      <c r="A1570" s="12" t="inlineStr">
        <is>
          <t>Chillers x6 (water-cooled)</t>
        </is>
      </c>
      <c r="B1570" s="12" t="inlineStr"/>
      <c r="C1570" s="12" t="inlineStr">
        <is>
          <t>J</t>
        </is>
      </c>
      <c r="D1570" s="12" t="inlineStr">
        <is>
          <t>Motor 3 of 6, 7 kW</t>
        </is>
      </c>
      <c r="E1570" s="12" t="n">
        <v>480</v>
      </c>
      <c r="F1570" s="12" t="n">
        <v>7</v>
      </c>
      <c r="G1570" s="12" t="n">
        <v>9.9</v>
      </c>
      <c r="H1570" s="12" t="inlineStr">
        <is>
          <t>Inlet-chilling e-house / transformer</t>
        </is>
      </c>
      <c r="I1570" s="12" t="inlineStr">
        <is>
          <t>LV 600 V</t>
        </is>
      </c>
      <c r="J1570" s="12" t="inlineStr">
        <is>
          <t>10</t>
        </is>
      </c>
      <c r="K1570" s="12" t="n">
        <v>1</v>
      </c>
    </row>
    <row r="1571">
      <c r="A1571" s="12" t="inlineStr">
        <is>
          <t>Chillers x6 (water-cooled)</t>
        </is>
      </c>
      <c r="B1571" s="12" t="inlineStr"/>
      <c r="C1571" s="12" t="inlineStr">
        <is>
          <t>J</t>
        </is>
      </c>
      <c r="D1571" s="12" t="inlineStr">
        <is>
          <t>Motor 4 of 6, 7 kW</t>
        </is>
      </c>
      <c r="E1571" s="12" t="n">
        <v>480</v>
      </c>
      <c r="F1571" s="12" t="n">
        <v>7</v>
      </c>
      <c r="G1571" s="12" t="n">
        <v>9.9</v>
      </c>
      <c r="H1571" s="12" t="inlineStr">
        <is>
          <t>Inlet-chilling e-house / transformer</t>
        </is>
      </c>
      <c r="I1571" s="12" t="inlineStr">
        <is>
          <t>LV 600 V</t>
        </is>
      </c>
      <c r="J1571" s="12" t="inlineStr">
        <is>
          <t>10</t>
        </is>
      </c>
      <c r="K1571" s="12" t="n">
        <v>1</v>
      </c>
    </row>
    <row r="1572">
      <c r="A1572" s="12" t="inlineStr">
        <is>
          <t>Chillers x6 (water-cooled)</t>
        </is>
      </c>
      <c r="B1572" s="12" t="inlineStr"/>
      <c r="C1572" s="12" t="inlineStr">
        <is>
          <t>J</t>
        </is>
      </c>
      <c r="D1572" s="12" t="inlineStr">
        <is>
          <t>Motor 5 of 6, 7 kW</t>
        </is>
      </c>
      <c r="E1572" s="12" t="n">
        <v>480</v>
      </c>
      <c r="F1572" s="12" t="n">
        <v>7</v>
      </c>
      <c r="G1572" s="12" t="n">
        <v>9.9</v>
      </c>
      <c r="H1572" s="12" t="inlineStr">
        <is>
          <t>Inlet-chilling e-house / transformer</t>
        </is>
      </c>
      <c r="I1572" s="12" t="inlineStr">
        <is>
          <t>LV 600 V</t>
        </is>
      </c>
      <c r="J1572" s="12" t="inlineStr">
        <is>
          <t>10</t>
        </is>
      </c>
      <c r="K1572" s="12" t="n">
        <v>1</v>
      </c>
    </row>
    <row r="1573">
      <c r="A1573" s="12" t="inlineStr">
        <is>
          <t>Chillers x6 (water-cooled)</t>
        </is>
      </c>
      <c r="B1573" s="12" t="inlineStr"/>
      <c r="C1573" s="12" t="inlineStr">
        <is>
          <t>J</t>
        </is>
      </c>
      <c r="D1573" s="12" t="inlineStr">
        <is>
          <t>Motor 6 of 6, 7 kW</t>
        </is>
      </c>
      <c r="E1573" s="12" t="n">
        <v>480</v>
      </c>
      <c r="F1573" s="12" t="n">
        <v>7</v>
      </c>
      <c r="G1573" s="12" t="n">
        <v>9.9</v>
      </c>
      <c r="H1573" s="12" t="inlineStr">
        <is>
          <t>Inlet-chilling e-house / transformer</t>
        </is>
      </c>
      <c r="I1573" s="12" t="inlineStr">
        <is>
          <t>LV 600 V</t>
        </is>
      </c>
      <c r="J1573" s="12" t="inlineStr">
        <is>
          <t>10</t>
        </is>
      </c>
      <c r="K1573" s="12" t="n">
        <v>1</v>
      </c>
    </row>
    <row r="1574">
      <c r="A1574" s="12" t="inlineStr">
        <is>
          <t>Inlet-chilling tower (12 cells): chiller heat rejection</t>
        </is>
      </c>
      <c r="B1574" s="12" t="inlineStr"/>
      <c r="C1574" s="12" t="inlineStr">
        <is>
          <t>J</t>
        </is>
      </c>
      <c r="D1574" s="12" t="inlineStr">
        <is>
          <t>Motor 1 of 12, 75 kW (VFD output)</t>
        </is>
      </c>
      <c r="E1574" s="12" t="n">
        <v>480</v>
      </c>
      <c r="F1574" s="12" t="n">
        <v>75</v>
      </c>
      <c r="G1574" s="12" t="n">
        <v>106</v>
      </c>
      <c r="H1574" s="12" t="inlineStr">
        <is>
          <t>Inlet-chilling e-house / transformer</t>
        </is>
      </c>
      <c r="I1574" s="12" t="inlineStr">
        <is>
          <t>LV 600 V</t>
        </is>
      </c>
      <c r="J1574" s="12" t="inlineStr">
        <is>
          <t>2/0</t>
        </is>
      </c>
      <c r="K1574" s="12" t="n">
        <v>1</v>
      </c>
    </row>
    <row r="1575">
      <c r="A1575" s="12" t="inlineStr">
        <is>
          <t>Inlet-chilling tower (12 cells): chiller heat rejection</t>
        </is>
      </c>
      <c r="B1575" s="12" t="inlineStr"/>
      <c r="C1575" s="12" t="inlineStr">
        <is>
          <t>J</t>
        </is>
      </c>
      <c r="D1575" s="12" t="inlineStr">
        <is>
          <t>Motor 2 of 12, 75 kW (VFD output)</t>
        </is>
      </c>
      <c r="E1575" s="12" t="n">
        <v>480</v>
      </c>
      <c r="F1575" s="12" t="n">
        <v>75</v>
      </c>
      <c r="G1575" s="12" t="n">
        <v>106</v>
      </c>
      <c r="H1575" s="12" t="inlineStr">
        <is>
          <t>Inlet-chilling e-house / transformer</t>
        </is>
      </c>
      <c r="I1575" s="12" t="inlineStr">
        <is>
          <t>LV 600 V</t>
        </is>
      </c>
      <c r="J1575" s="12" t="inlineStr">
        <is>
          <t>2/0</t>
        </is>
      </c>
      <c r="K1575" s="12" t="n">
        <v>1</v>
      </c>
    </row>
    <row r="1576">
      <c r="A1576" s="12" t="inlineStr">
        <is>
          <t>Inlet-chilling tower (12 cells): chiller heat rejection</t>
        </is>
      </c>
      <c r="B1576" s="12" t="inlineStr"/>
      <c r="C1576" s="12" t="inlineStr">
        <is>
          <t>J</t>
        </is>
      </c>
      <c r="D1576" s="12" t="inlineStr">
        <is>
          <t>Motor 3 of 12, 75 kW (VFD output)</t>
        </is>
      </c>
      <c r="E1576" s="12" t="n">
        <v>480</v>
      </c>
      <c r="F1576" s="12" t="n">
        <v>75</v>
      </c>
      <c r="G1576" s="12" t="n">
        <v>106</v>
      </c>
      <c r="H1576" s="12" t="inlineStr">
        <is>
          <t>Inlet-chilling e-house / transformer</t>
        </is>
      </c>
      <c r="I1576" s="12" t="inlineStr">
        <is>
          <t>LV 600 V</t>
        </is>
      </c>
      <c r="J1576" s="12" t="inlineStr">
        <is>
          <t>2/0</t>
        </is>
      </c>
      <c r="K1576" s="12" t="n">
        <v>1</v>
      </c>
    </row>
    <row r="1577">
      <c r="A1577" s="12" t="inlineStr">
        <is>
          <t>Inlet-chilling tower (12 cells): chiller heat rejection</t>
        </is>
      </c>
      <c r="B1577" s="12" t="inlineStr"/>
      <c r="C1577" s="12" t="inlineStr">
        <is>
          <t>J</t>
        </is>
      </c>
      <c r="D1577" s="12" t="inlineStr">
        <is>
          <t>Motor 4 of 12, 75 kW (VFD output)</t>
        </is>
      </c>
      <c r="E1577" s="12" t="n">
        <v>480</v>
      </c>
      <c r="F1577" s="12" t="n">
        <v>75</v>
      </c>
      <c r="G1577" s="12" t="n">
        <v>106</v>
      </c>
      <c r="H1577" s="12" t="inlineStr">
        <is>
          <t>Inlet-chilling e-house / transformer</t>
        </is>
      </c>
      <c r="I1577" s="12" t="inlineStr">
        <is>
          <t>LV 600 V</t>
        </is>
      </c>
      <c r="J1577" s="12" t="inlineStr">
        <is>
          <t>2/0</t>
        </is>
      </c>
      <c r="K1577" s="12" t="n">
        <v>1</v>
      </c>
    </row>
    <row r="1578">
      <c r="A1578" s="12" t="inlineStr">
        <is>
          <t>Inlet-chilling tower (12 cells): chiller heat rejection</t>
        </is>
      </c>
      <c r="B1578" s="12" t="inlineStr"/>
      <c r="C1578" s="12" t="inlineStr">
        <is>
          <t>J</t>
        </is>
      </c>
      <c r="D1578" s="12" t="inlineStr">
        <is>
          <t>Motor 5 of 12, 75 kW (VFD output)</t>
        </is>
      </c>
      <c r="E1578" s="12" t="n">
        <v>480</v>
      </c>
      <c r="F1578" s="12" t="n">
        <v>75</v>
      </c>
      <c r="G1578" s="12" t="n">
        <v>106</v>
      </c>
      <c r="H1578" s="12" t="inlineStr">
        <is>
          <t>Inlet-chilling e-house / transformer</t>
        </is>
      </c>
      <c r="I1578" s="12" t="inlineStr">
        <is>
          <t>LV 600 V</t>
        </is>
      </c>
      <c r="J1578" s="12" t="inlineStr">
        <is>
          <t>2/0</t>
        </is>
      </c>
      <c r="K1578" s="12" t="n">
        <v>1</v>
      </c>
    </row>
    <row r="1579">
      <c r="A1579" s="12" t="inlineStr">
        <is>
          <t>Inlet-chilling tower (12 cells): chiller heat rejection</t>
        </is>
      </c>
      <c r="B1579" s="12" t="inlineStr"/>
      <c r="C1579" s="12" t="inlineStr">
        <is>
          <t>J</t>
        </is>
      </c>
      <c r="D1579" s="12" t="inlineStr">
        <is>
          <t>Motor 6 of 12, 75 kW (VFD output)</t>
        </is>
      </c>
      <c r="E1579" s="12" t="n">
        <v>480</v>
      </c>
      <c r="F1579" s="12" t="n">
        <v>75</v>
      </c>
      <c r="G1579" s="12" t="n">
        <v>106</v>
      </c>
      <c r="H1579" s="12" t="inlineStr">
        <is>
          <t>Inlet-chilling e-house / transformer</t>
        </is>
      </c>
      <c r="I1579" s="12" t="inlineStr">
        <is>
          <t>LV 600 V</t>
        </is>
      </c>
      <c r="J1579" s="12" t="inlineStr">
        <is>
          <t>2/0</t>
        </is>
      </c>
      <c r="K1579" s="12" t="n">
        <v>1</v>
      </c>
    </row>
    <row r="1580">
      <c r="A1580" s="12" t="inlineStr">
        <is>
          <t>Inlet-chilling tower (12 cells): chiller heat rejection</t>
        </is>
      </c>
      <c r="B1580" s="12" t="inlineStr"/>
      <c r="C1580" s="12" t="inlineStr">
        <is>
          <t>J</t>
        </is>
      </c>
      <c r="D1580" s="12" t="inlineStr">
        <is>
          <t>Motor 7 of 12, 75 kW (VFD output)</t>
        </is>
      </c>
      <c r="E1580" s="12" t="n">
        <v>480</v>
      </c>
      <c r="F1580" s="12" t="n">
        <v>75</v>
      </c>
      <c r="G1580" s="12" t="n">
        <v>106</v>
      </c>
      <c r="H1580" s="12" t="inlineStr">
        <is>
          <t>Inlet-chilling e-house / transformer</t>
        </is>
      </c>
      <c r="I1580" s="12" t="inlineStr">
        <is>
          <t>LV 600 V</t>
        </is>
      </c>
      <c r="J1580" s="12" t="inlineStr">
        <is>
          <t>2/0</t>
        </is>
      </c>
      <c r="K1580" s="12" t="n">
        <v>1</v>
      </c>
    </row>
    <row r="1581">
      <c r="A1581" s="12" t="inlineStr">
        <is>
          <t>Inlet-chilling tower (12 cells): chiller heat rejection</t>
        </is>
      </c>
      <c r="B1581" s="12" t="inlineStr"/>
      <c r="C1581" s="12" t="inlineStr">
        <is>
          <t>J</t>
        </is>
      </c>
      <c r="D1581" s="12" t="inlineStr">
        <is>
          <t>Motor 8 of 12, 75 kW (VFD output)</t>
        </is>
      </c>
      <c r="E1581" s="12" t="n">
        <v>480</v>
      </c>
      <c r="F1581" s="12" t="n">
        <v>75</v>
      </c>
      <c r="G1581" s="12" t="n">
        <v>106</v>
      </c>
      <c r="H1581" s="12" t="inlineStr">
        <is>
          <t>Inlet-chilling e-house / transformer</t>
        </is>
      </c>
      <c r="I1581" s="12" t="inlineStr">
        <is>
          <t>LV 600 V</t>
        </is>
      </c>
      <c r="J1581" s="12" t="inlineStr">
        <is>
          <t>2/0</t>
        </is>
      </c>
      <c r="K1581" s="12" t="n">
        <v>1</v>
      </c>
    </row>
    <row r="1582">
      <c r="A1582" s="12" t="inlineStr">
        <is>
          <t>Inlet-chilling tower (12 cells): chiller heat rejection</t>
        </is>
      </c>
      <c r="B1582" s="12" t="inlineStr"/>
      <c r="C1582" s="12" t="inlineStr">
        <is>
          <t>J</t>
        </is>
      </c>
      <c r="D1582" s="12" t="inlineStr">
        <is>
          <t>Motor 9 of 12, 75 kW (VFD output)</t>
        </is>
      </c>
      <c r="E1582" s="12" t="n">
        <v>480</v>
      </c>
      <c r="F1582" s="12" t="n">
        <v>75</v>
      </c>
      <c r="G1582" s="12" t="n">
        <v>106</v>
      </c>
      <c r="H1582" s="12" t="inlineStr">
        <is>
          <t>Inlet-chilling e-house / transformer</t>
        </is>
      </c>
      <c r="I1582" s="12" t="inlineStr">
        <is>
          <t>LV 600 V</t>
        </is>
      </c>
      <c r="J1582" s="12" t="inlineStr">
        <is>
          <t>2/0</t>
        </is>
      </c>
      <c r="K1582" s="12" t="n">
        <v>1</v>
      </c>
    </row>
    <row r="1583">
      <c r="A1583" s="12" t="inlineStr">
        <is>
          <t>Inlet-chilling tower (12 cells): chiller heat rejection</t>
        </is>
      </c>
      <c r="B1583" s="12" t="inlineStr"/>
      <c r="C1583" s="12" t="inlineStr">
        <is>
          <t>J</t>
        </is>
      </c>
      <c r="D1583" s="12" t="inlineStr">
        <is>
          <t>Motor 10 of 12, 75 kW (VFD output)</t>
        </is>
      </c>
      <c r="E1583" s="12" t="n">
        <v>480</v>
      </c>
      <c r="F1583" s="12" t="n">
        <v>75</v>
      </c>
      <c r="G1583" s="12" t="n">
        <v>106</v>
      </c>
      <c r="H1583" s="12" t="inlineStr">
        <is>
          <t>Inlet-chilling e-house / transformer</t>
        </is>
      </c>
      <c r="I1583" s="12" t="inlineStr">
        <is>
          <t>LV 600 V</t>
        </is>
      </c>
      <c r="J1583" s="12" t="inlineStr">
        <is>
          <t>2/0</t>
        </is>
      </c>
      <c r="K1583" s="12" t="n">
        <v>1</v>
      </c>
    </row>
    <row r="1584">
      <c r="A1584" s="12" t="inlineStr">
        <is>
          <t>Inlet-chilling tower (12 cells): chiller heat rejection</t>
        </is>
      </c>
      <c r="B1584" s="12" t="inlineStr"/>
      <c r="C1584" s="12" t="inlineStr">
        <is>
          <t>J</t>
        </is>
      </c>
      <c r="D1584" s="12" t="inlineStr">
        <is>
          <t>Motor 11 of 12, 75 kW (VFD output)</t>
        </is>
      </c>
      <c r="E1584" s="12" t="n">
        <v>480</v>
      </c>
      <c r="F1584" s="12" t="n">
        <v>75</v>
      </c>
      <c r="G1584" s="12" t="n">
        <v>106</v>
      </c>
      <c r="H1584" s="12" t="inlineStr">
        <is>
          <t>Inlet-chilling e-house / transformer</t>
        </is>
      </c>
      <c r="I1584" s="12" t="inlineStr">
        <is>
          <t>LV 600 V</t>
        </is>
      </c>
      <c r="J1584" s="12" t="inlineStr">
        <is>
          <t>2/0</t>
        </is>
      </c>
      <c r="K1584" s="12" t="n">
        <v>1</v>
      </c>
    </row>
    <row r="1585">
      <c r="A1585" s="12" t="inlineStr">
        <is>
          <t>Inlet-chilling tower (12 cells): chiller heat rejection</t>
        </is>
      </c>
      <c r="B1585" s="12" t="inlineStr"/>
      <c r="C1585" s="12" t="inlineStr">
        <is>
          <t>J</t>
        </is>
      </c>
      <c r="D1585" s="12" t="inlineStr">
        <is>
          <t>Motor 12 of 12, 75 kW (VFD output)</t>
        </is>
      </c>
      <c r="E1585" s="12" t="n">
        <v>480</v>
      </c>
      <c r="F1585" s="12" t="n">
        <v>75</v>
      </c>
      <c r="G1585" s="12" t="n">
        <v>106</v>
      </c>
      <c r="H1585" s="12" t="inlineStr">
        <is>
          <t>Inlet-chilling e-house / transformer</t>
        </is>
      </c>
      <c r="I1585" s="12" t="inlineStr">
        <is>
          <t>LV 600 V</t>
        </is>
      </c>
      <c r="J1585" s="12" t="inlineStr">
        <is>
          <t>2/0</t>
        </is>
      </c>
      <c r="K1585" s="12" t="n">
        <v>1</v>
      </c>
    </row>
    <row r="1586">
      <c r="A1586" s="12" t="inlineStr">
        <is>
          <t>Inlet-chilling tower (12 cells): chiller heat rejection</t>
        </is>
      </c>
      <c r="B1586" s="12" t="inlineStr"/>
      <c r="C1586" s="12" t="inlineStr">
        <is>
          <t>J</t>
        </is>
      </c>
      <c r="D1586" s="12" t="inlineStr">
        <is>
          <t>Area / platform lighting circuit 1 (12 fixtures)</t>
        </is>
      </c>
      <c r="E1586" s="12" t="n">
        <v>480</v>
      </c>
      <c r="F1586" s="12" t="n">
        <v>3</v>
      </c>
      <c r="G1586" s="12" t="n">
        <v>5</v>
      </c>
      <c r="H1586" s="12" t="inlineStr">
        <is>
          <t>Inlet-chilling e-house / transformer</t>
        </is>
      </c>
      <c r="I1586" s="12" t="inlineStr">
        <is>
          <t>LV 600 V</t>
        </is>
      </c>
      <c r="J1586" s="12" t="inlineStr">
        <is>
          <t>10</t>
        </is>
      </c>
      <c r="K1586" s="12" t="n">
        <v>1</v>
      </c>
    </row>
    <row r="1587">
      <c r="A1587" s="12" t="inlineStr">
        <is>
          <t>Inlet-chilling e-house / transformer</t>
        </is>
      </c>
      <c r="B1587" s="12" t="inlineStr"/>
      <c r="C1587" s="12" t="inlineStr">
        <is>
          <t>J</t>
        </is>
      </c>
      <c r="D1587" s="12" t="inlineStr">
        <is>
          <t>Inlet-chilling e-house / transformer</t>
        </is>
      </c>
      <c r="E1587" s="12" t="n">
        <v>13800</v>
      </c>
      <c r="F1587" s="12" t="n">
        <v>12000</v>
      </c>
      <c r="G1587" s="12" t="n">
        <v>502</v>
      </c>
      <c r="H1587" s="12" t="inlineStr">
        <is>
          <t>R1 SWGR-13.8-1 (11 x 36 in cubicles, 15 kV metal-clad)</t>
        </is>
      </c>
      <c r="I1587" s="12" t="inlineStr">
        <is>
          <t>MV 15 kV</t>
        </is>
      </c>
      <c r="J1587" s="12" t="inlineStr">
        <is>
          <t>1000 kcmil</t>
        </is>
      </c>
      <c r="K1587" s="12" t="n">
        <v>1</v>
      </c>
    </row>
    <row r="1588">
      <c r="A1588" s="12" t="inlineStr">
        <is>
          <t>CW pumps (inlet chilling)</t>
        </is>
      </c>
      <c r="B1588" s="12" t="inlineStr"/>
      <c r="C1588" s="12" t="inlineStr">
        <is>
          <t>J</t>
        </is>
      </c>
      <c r="D1588" s="12" t="inlineStr">
        <is>
          <t>Inlet-chilling CW pump 1</t>
        </is>
      </c>
      <c r="E1588" s="12" t="n">
        <v>4160</v>
      </c>
      <c r="F1588" s="12" t="n">
        <v>450</v>
      </c>
      <c r="G1588" s="12" t="n">
        <v>69</v>
      </c>
      <c r="H1588" s="12" t="inlineStr">
        <is>
          <t>Inlet-chilling e-house / transformer</t>
        </is>
      </c>
      <c r="I1588" s="12" t="inlineStr">
        <is>
          <t>MV 5 kV</t>
        </is>
      </c>
      <c r="J1588" s="12" t="inlineStr">
        <is>
          <t>2</t>
        </is>
      </c>
      <c r="K1588" s="12" t="n">
        <v>1</v>
      </c>
    </row>
    <row r="1589">
      <c r="A1589" s="12" t="inlineStr">
        <is>
          <t>CW pumps (inlet chilling)</t>
        </is>
      </c>
      <c r="B1589" s="12" t="inlineStr"/>
      <c r="C1589" s="12" t="inlineStr">
        <is>
          <t>J</t>
        </is>
      </c>
      <c r="D1589" s="12" t="inlineStr">
        <is>
          <t>Inlet-chilling CW pump 2</t>
        </is>
      </c>
      <c r="E1589" s="12" t="n">
        <v>4160</v>
      </c>
      <c r="F1589" s="12" t="n">
        <v>450</v>
      </c>
      <c r="G1589" s="12" t="n">
        <v>69</v>
      </c>
      <c r="H1589" s="12" t="inlineStr">
        <is>
          <t>Inlet-chilling e-house / transformer</t>
        </is>
      </c>
      <c r="I1589" s="12" t="inlineStr">
        <is>
          <t>MV 5 kV</t>
        </is>
      </c>
      <c r="J1589" s="12" t="inlineStr">
        <is>
          <t>2</t>
        </is>
      </c>
      <c r="K1589" s="12" t="n">
        <v>1</v>
      </c>
    </row>
    <row r="1590">
      <c r="A1590" s="12" t="inlineStr">
        <is>
          <t>CW pumps (inlet chilling)</t>
        </is>
      </c>
      <c r="B1590" s="12" t="inlineStr"/>
      <c r="C1590" s="12" t="inlineStr">
        <is>
          <t>J</t>
        </is>
      </c>
      <c r="D1590" s="12" t="inlineStr">
        <is>
          <t>Inlet-chilling CW pump 3</t>
        </is>
      </c>
      <c r="E1590" s="12" t="n">
        <v>4160</v>
      </c>
      <c r="F1590" s="12" t="n">
        <v>450</v>
      </c>
      <c r="G1590" s="12" t="n">
        <v>69</v>
      </c>
      <c r="H1590" s="12" t="inlineStr">
        <is>
          <t>Inlet-chilling e-house / transformer</t>
        </is>
      </c>
      <c r="I1590" s="12" t="inlineStr">
        <is>
          <t>MV 5 kV</t>
        </is>
      </c>
      <c r="J1590" s="12" t="inlineStr">
        <is>
          <t>2</t>
        </is>
      </c>
      <c r="K1590" s="12" t="n">
        <v>1</v>
      </c>
    </row>
    <row r="1591">
      <c r="A1591" s="12" t="inlineStr">
        <is>
          <t>CW pumps (inlet chilling)</t>
        </is>
      </c>
      <c r="B1591" s="12" t="inlineStr"/>
      <c r="C1591" s="12" t="inlineStr">
        <is>
          <t>J</t>
        </is>
      </c>
      <c r="D1591" s="12" t="inlineStr">
        <is>
          <t>Inlet-chilling CW pump 4</t>
        </is>
      </c>
      <c r="E1591" s="12" t="n">
        <v>4160</v>
      </c>
      <c r="F1591" s="12" t="n">
        <v>450</v>
      </c>
      <c r="G1591" s="12" t="n">
        <v>69</v>
      </c>
      <c r="H1591" s="12" t="inlineStr">
        <is>
          <t>Inlet-chilling e-house / transformer</t>
        </is>
      </c>
      <c r="I1591" s="12" t="inlineStr">
        <is>
          <t>MV 5 kV</t>
        </is>
      </c>
      <c r="J1591" s="12" t="inlineStr">
        <is>
          <t>2</t>
        </is>
      </c>
      <c r="K1591" s="12" t="n">
        <v>1</v>
      </c>
    </row>
    <row r="1592">
      <c r="A1592" s="12" t="inlineStr">
        <is>
          <t>Chillers x6 (water-cooled)</t>
        </is>
      </c>
      <c r="B1592" s="12" t="inlineStr"/>
      <c r="C1592" s="12" t="inlineStr">
        <is>
          <t>J</t>
        </is>
      </c>
      <c r="D1592" s="12" t="inlineStr">
        <is>
          <t>Water-cooled chiller CH-1</t>
        </is>
      </c>
      <c r="E1592" s="12" t="n">
        <v>4160</v>
      </c>
      <c r="F1592" s="12" t="n">
        <v>1500</v>
      </c>
      <c r="G1592" s="12" t="n">
        <v>231</v>
      </c>
      <c r="H1592" s="12" t="inlineStr">
        <is>
          <t>Inlet-chilling e-house / transformer</t>
        </is>
      </c>
      <c r="I1592" s="12" t="inlineStr">
        <is>
          <t>MV 5 kV</t>
        </is>
      </c>
      <c r="J1592" s="12" t="inlineStr">
        <is>
          <t>250 kcmil</t>
        </is>
      </c>
      <c r="K1592" s="12" t="n">
        <v>1</v>
      </c>
    </row>
    <row r="1593">
      <c r="A1593" s="12" t="inlineStr">
        <is>
          <t>Chillers x6 (water-cooled)</t>
        </is>
      </c>
      <c r="B1593" s="12" t="inlineStr"/>
      <c r="C1593" s="12" t="inlineStr">
        <is>
          <t>J</t>
        </is>
      </c>
      <c r="D1593" s="12" t="inlineStr">
        <is>
          <t>Water-cooled chiller CH-2</t>
        </is>
      </c>
      <c r="E1593" s="12" t="n">
        <v>4160</v>
      </c>
      <c r="F1593" s="12" t="n">
        <v>1500</v>
      </c>
      <c r="G1593" s="12" t="n">
        <v>231</v>
      </c>
      <c r="H1593" s="12" t="inlineStr">
        <is>
          <t>Inlet-chilling e-house / transformer</t>
        </is>
      </c>
      <c r="I1593" s="12" t="inlineStr">
        <is>
          <t>MV 5 kV</t>
        </is>
      </c>
      <c r="J1593" s="12" t="inlineStr">
        <is>
          <t>250 kcmil</t>
        </is>
      </c>
      <c r="K1593" s="12" t="n">
        <v>1</v>
      </c>
    </row>
    <row r="1594">
      <c r="A1594" s="12" t="inlineStr">
        <is>
          <t>Chillers x6 (water-cooled)</t>
        </is>
      </c>
      <c r="B1594" s="12" t="inlineStr"/>
      <c r="C1594" s="12" t="inlineStr">
        <is>
          <t>J</t>
        </is>
      </c>
      <c r="D1594" s="12" t="inlineStr">
        <is>
          <t>Water-cooled chiller CH-3</t>
        </is>
      </c>
      <c r="E1594" s="12" t="n">
        <v>4160</v>
      </c>
      <c r="F1594" s="12" t="n">
        <v>1500</v>
      </c>
      <c r="G1594" s="12" t="n">
        <v>231</v>
      </c>
      <c r="H1594" s="12" t="inlineStr">
        <is>
          <t>Inlet-chilling e-house / transformer</t>
        </is>
      </c>
      <c r="I1594" s="12" t="inlineStr">
        <is>
          <t>MV 5 kV</t>
        </is>
      </c>
      <c r="J1594" s="12" t="inlineStr">
        <is>
          <t>250 kcmil</t>
        </is>
      </c>
      <c r="K1594" s="12" t="n">
        <v>1</v>
      </c>
    </row>
    <row r="1595">
      <c r="A1595" s="12" t="inlineStr">
        <is>
          <t>Chillers x6 (water-cooled)</t>
        </is>
      </c>
      <c r="B1595" s="12" t="inlineStr"/>
      <c r="C1595" s="12" t="inlineStr">
        <is>
          <t>J</t>
        </is>
      </c>
      <c r="D1595" s="12" t="inlineStr">
        <is>
          <t>Water-cooled chiller CH-4</t>
        </is>
      </c>
      <c r="E1595" s="12" t="n">
        <v>4160</v>
      </c>
      <c r="F1595" s="12" t="n">
        <v>1500</v>
      </c>
      <c r="G1595" s="12" t="n">
        <v>231</v>
      </c>
      <c r="H1595" s="12" t="inlineStr">
        <is>
          <t>Inlet-chilling e-house / transformer</t>
        </is>
      </c>
      <c r="I1595" s="12" t="inlineStr">
        <is>
          <t>MV 5 kV</t>
        </is>
      </c>
      <c r="J1595" s="12" t="inlineStr">
        <is>
          <t>250 kcmil</t>
        </is>
      </c>
      <c r="K1595" s="12" t="n">
        <v>1</v>
      </c>
    </row>
    <row r="1596">
      <c r="A1596" s="12" t="inlineStr">
        <is>
          <t>Chillers x6 (water-cooled)</t>
        </is>
      </c>
      <c r="B1596" s="12" t="inlineStr"/>
      <c r="C1596" s="12" t="inlineStr">
        <is>
          <t>J</t>
        </is>
      </c>
      <c r="D1596" s="12" t="inlineStr">
        <is>
          <t>Water-cooled chiller CH-5</t>
        </is>
      </c>
      <c r="E1596" s="12" t="n">
        <v>4160</v>
      </c>
      <c r="F1596" s="12" t="n">
        <v>1500</v>
      </c>
      <c r="G1596" s="12" t="n">
        <v>231</v>
      </c>
      <c r="H1596" s="12" t="inlineStr">
        <is>
          <t>Inlet-chilling e-house / transformer</t>
        </is>
      </c>
      <c r="I1596" s="12" t="inlineStr">
        <is>
          <t>MV 5 kV</t>
        </is>
      </c>
      <c r="J1596" s="12" t="inlineStr">
        <is>
          <t>250 kcmil</t>
        </is>
      </c>
      <c r="K1596" s="12" t="n">
        <v>1</v>
      </c>
    </row>
    <row r="1597">
      <c r="A1597" s="12" t="inlineStr">
        <is>
          <t>Chillers x6 (water-cooled)</t>
        </is>
      </c>
      <c r="B1597" s="12" t="inlineStr"/>
      <c r="C1597" s="12" t="inlineStr">
        <is>
          <t>J</t>
        </is>
      </c>
      <c r="D1597" s="12" t="inlineStr">
        <is>
          <t>Water-cooled chiller CH-6</t>
        </is>
      </c>
      <c r="E1597" s="12" t="n">
        <v>4160</v>
      </c>
      <c r="F1597" s="12" t="n">
        <v>1500</v>
      </c>
      <c r="G1597" s="12" t="n">
        <v>231</v>
      </c>
      <c r="H1597" s="12" t="inlineStr">
        <is>
          <t>Inlet-chilling e-house / transformer</t>
        </is>
      </c>
      <c r="I1597" s="12" t="inlineStr">
        <is>
          <t>MV 5 kV</t>
        </is>
      </c>
      <c r="J1597" s="12" t="inlineStr">
        <is>
          <t>250 kcmil</t>
        </is>
      </c>
      <c r="K1597" s="12" t="n">
        <v>1</v>
      </c>
    </row>
    <row r="1598">
      <c r="A1598" s="12" t="inlineStr">
        <is>
          <t>H2 19: T-H2 230/13.8 kV (about 40 MVA)</t>
        </is>
      </c>
      <c r="B1598" s="12" t="inlineStr">
        <is>
          <t>T-H2</t>
        </is>
      </c>
      <c r="C1598" s="12" t="inlineStr">
        <is>
          <t>K</t>
        </is>
      </c>
      <c r="D1598" s="12" t="inlineStr">
        <is>
          <t>Motor 1 of 1, 15 kW</t>
        </is>
      </c>
      <c r="E1598" s="12" t="n">
        <v>480</v>
      </c>
      <c r="F1598" s="12" t="n">
        <v>15</v>
      </c>
      <c r="G1598" s="12" t="n">
        <v>21.2</v>
      </c>
      <c r="H1598" s="12" t="inlineStr">
        <is>
          <t>H2 20: 13.8 kV e-house</t>
        </is>
      </c>
      <c r="I1598" s="12" t="inlineStr">
        <is>
          <t>LV 600 V</t>
        </is>
      </c>
      <c r="J1598" s="12" t="inlineStr">
        <is>
          <t>10</t>
        </is>
      </c>
      <c r="K1598" s="12" t="n">
        <v>1</v>
      </c>
    </row>
    <row r="1599">
      <c r="A1599" s="12" t="inlineStr">
        <is>
          <t>H2 20: 13.8 kV e-house</t>
        </is>
      </c>
      <c r="B1599" s="12" t="inlineStr"/>
      <c r="C1599" s="12" t="inlineStr">
        <is>
          <t>K</t>
        </is>
      </c>
      <c r="D1599" s="12" t="inlineStr">
        <is>
          <t>Motor 1 of 1, 15 kW</t>
        </is>
      </c>
      <c r="E1599" s="12" t="n">
        <v>480</v>
      </c>
      <c r="F1599" s="12" t="n">
        <v>15</v>
      </c>
      <c r="G1599" s="12" t="n">
        <v>21.2</v>
      </c>
      <c r="H1599" s="12" t="inlineStr">
        <is>
          <t>H2 20: 13.8 kV e-house</t>
        </is>
      </c>
      <c r="I1599" s="12" t="inlineStr">
        <is>
          <t>LV 600 V</t>
        </is>
      </c>
      <c r="J1599" s="12" t="inlineStr">
        <is>
          <t>10</t>
        </is>
      </c>
      <c r="K1599" s="12" t="n">
        <v>1</v>
      </c>
    </row>
    <row r="1600">
      <c r="A1600" s="12" t="inlineStr">
        <is>
          <t>H2 21: rectifier transformer 1 (7 MVA)</t>
        </is>
      </c>
      <c r="B1600" s="12" t="inlineStr"/>
      <c r="C1600" s="12" t="inlineStr">
        <is>
          <t>K</t>
        </is>
      </c>
      <c r="D1600" s="12" t="inlineStr">
        <is>
          <t>Motor 1 of 1, 15 kW</t>
        </is>
      </c>
      <c r="E1600" s="12" t="n">
        <v>480</v>
      </c>
      <c r="F1600" s="12" t="n">
        <v>15</v>
      </c>
      <c r="G1600" s="12" t="n">
        <v>21.2</v>
      </c>
      <c r="H1600" s="12" t="inlineStr">
        <is>
          <t>H2 20: 13.8 kV e-house</t>
        </is>
      </c>
      <c r="I1600" s="12" t="inlineStr">
        <is>
          <t>LV 600 V</t>
        </is>
      </c>
      <c r="J1600" s="12" t="inlineStr">
        <is>
          <t>8</t>
        </is>
      </c>
      <c r="K1600" s="12" t="n">
        <v>1</v>
      </c>
    </row>
    <row r="1601">
      <c r="A1601" s="12" t="inlineStr">
        <is>
          <t>H2 21: rectifier transformer 2 (7 MVA)</t>
        </is>
      </c>
      <c r="B1601" s="12" t="inlineStr"/>
      <c r="C1601" s="12" t="inlineStr">
        <is>
          <t>K</t>
        </is>
      </c>
      <c r="D1601" s="12" t="inlineStr">
        <is>
          <t>Motor 1 of 1, 15 kW</t>
        </is>
      </c>
      <c r="E1601" s="12" t="n">
        <v>480</v>
      </c>
      <c r="F1601" s="12" t="n">
        <v>15</v>
      </c>
      <c r="G1601" s="12" t="n">
        <v>21.2</v>
      </c>
      <c r="H1601" s="12" t="inlineStr">
        <is>
          <t>H2 20: 13.8 kV e-house</t>
        </is>
      </c>
      <c r="I1601" s="12" t="inlineStr">
        <is>
          <t>LV 600 V</t>
        </is>
      </c>
      <c r="J1601" s="12" t="inlineStr">
        <is>
          <t>8</t>
        </is>
      </c>
      <c r="K1601" s="12" t="n">
        <v>1</v>
      </c>
    </row>
    <row r="1602">
      <c r="A1602" s="12" t="inlineStr">
        <is>
          <t>H2 21: rectifier transformer 3 (7 MVA)</t>
        </is>
      </c>
      <c r="B1602" s="12" t="inlineStr"/>
      <c r="C1602" s="12" t="inlineStr">
        <is>
          <t>K</t>
        </is>
      </c>
      <c r="D1602" s="12" t="inlineStr">
        <is>
          <t>Motor 1 of 1, 15 kW</t>
        </is>
      </c>
      <c r="E1602" s="12" t="n">
        <v>480</v>
      </c>
      <c r="F1602" s="12" t="n">
        <v>15</v>
      </c>
      <c r="G1602" s="12" t="n">
        <v>21.2</v>
      </c>
      <c r="H1602" s="12" t="inlineStr">
        <is>
          <t>H2 20: 13.8 kV e-house</t>
        </is>
      </c>
      <c r="I1602" s="12" t="inlineStr">
        <is>
          <t>LV 600 V</t>
        </is>
      </c>
      <c r="J1602" s="12" t="inlineStr">
        <is>
          <t>8</t>
        </is>
      </c>
      <c r="K1602" s="12" t="n">
        <v>1</v>
      </c>
    </row>
    <row r="1603">
      <c r="A1603" s="12" t="inlineStr">
        <is>
          <t>H2 21: rectifier transformer 4 (7 MVA)</t>
        </is>
      </c>
      <c r="B1603" s="12" t="inlineStr"/>
      <c r="C1603" s="12" t="inlineStr">
        <is>
          <t>K</t>
        </is>
      </c>
      <c r="D1603" s="12" t="inlineStr">
        <is>
          <t>Motor 1 of 1, 15 kW</t>
        </is>
      </c>
      <c r="E1603" s="12" t="n">
        <v>480</v>
      </c>
      <c r="F1603" s="12" t="n">
        <v>15</v>
      </c>
      <c r="G1603" s="12" t="n">
        <v>21.2</v>
      </c>
      <c r="H1603" s="12" t="inlineStr">
        <is>
          <t>H2 20: 13.8 kV e-house</t>
        </is>
      </c>
      <c r="I1603" s="12" t="inlineStr">
        <is>
          <t>LV 600 V</t>
        </is>
      </c>
      <c r="J1603" s="12" t="inlineStr">
        <is>
          <t>8</t>
        </is>
      </c>
      <c r="K1603" s="12" t="n">
        <v>1</v>
      </c>
    </row>
    <row r="1604">
      <c r="A1604" s="12" t="inlineStr">
        <is>
          <t>H2 21: rectifier transformer 5 (7 MVA)</t>
        </is>
      </c>
      <c r="B1604" s="12" t="inlineStr"/>
      <c r="C1604" s="12" t="inlineStr">
        <is>
          <t>K</t>
        </is>
      </c>
      <c r="D1604" s="12" t="inlineStr">
        <is>
          <t>Motor 1 of 1, 15 kW</t>
        </is>
      </c>
      <c r="E1604" s="12" t="n">
        <v>480</v>
      </c>
      <c r="F1604" s="12" t="n">
        <v>15</v>
      </c>
      <c r="G1604" s="12" t="n">
        <v>21.2</v>
      </c>
      <c r="H1604" s="12" t="inlineStr">
        <is>
          <t>H2 20: 13.8 kV e-house</t>
        </is>
      </c>
      <c r="I1604" s="12" t="inlineStr">
        <is>
          <t>LV 600 V</t>
        </is>
      </c>
      <c r="J1604" s="12" t="inlineStr">
        <is>
          <t>10</t>
        </is>
      </c>
      <c r="K1604" s="12" t="n">
        <v>1</v>
      </c>
    </row>
    <row r="1605">
      <c r="A1605" s="12" t="inlineStr">
        <is>
          <t>H2 22: electrolyzer building (5 x HyLYZER-1000 + 5 rectifiers)</t>
        </is>
      </c>
      <c r="B1605" s="12" t="inlineStr">
        <is>
          <t>H2-EL</t>
        </is>
      </c>
      <c r="C1605" s="12" t="inlineStr">
        <is>
          <t>K</t>
        </is>
      </c>
      <c r="D1605" s="12" t="inlineStr">
        <is>
          <t>Motor 1 of 1, 15 kW</t>
        </is>
      </c>
      <c r="E1605" s="12" t="n">
        <v>480</v>
      </c>
      <c r="F1605" s="12" t="n">
        <v>15</v>
      </c>
      <c r="G1605" s="12" t="n">
        <v>21.2</v>
      </c>
      <c r="H1605" s="12" t="inlineStr">
        <is>
          <t>H2 20: 13.8 kV e-house</t>
        </is>
      </c>
      <c r="I1605" s="12" t="inlineStr">
        <is>
          <t>LV 600 V</t>
        </is>
      </c>
      <c r="J1605" s="12" t="inlineStr">
        <is>
          <t>8</t>
        </is>
      </c>
      <c r="K1605" s="12" t="n">
        <v>1</v>
      </c>
    </row>
    <row r="1606">
      <c r="A1606" s="12" t="inlineStr">
        <is>
          <t>H2 23: dry coolers</t>
        </is>
      </c>
      <c r="B1606" s="12" t="inlineStr"/>
      <c r="C1606" s="12" t="inlineStr">
        <is>
          <t>K</t>
        </is>
      </c>
      <c r="D1606" s="12" t="inlineStr">
        <is>
          <t>Motor 1 of 1, 15 kW</t>
        </is>
      </c>
      <c r="E1606" s="12" t="n">
        <v>480</v>
      </c>
      <c r="F1606" s="12" t="n">
        <v>15</v>
      </c>
      <c r="G1606" s="12" t="n">
        <v>21.2</v>
      </c>
      <c r="H1606" s="12" t="inlineStr">
        <is>
          <t>H2 20: 13.8 kV e-house</t>
        </is>
      </c>
      <c r="I1606" s="12" t="inlineStr">
        <is>
          <t>LV 600 V</t>
        </is>
      </c>
      <c r="J1606" s="12" t="inlineStr">
        <is>
          <t>10</t>
        </is>
      </c>
      <c r="K1606" s="12" t="n">
        <v>1</v>
      </c>
    </row>
    <row r="1607">
      <c r="A1607" s="12" t="inlineStr">
        <is>
          <t>H2 24: water purification (RO / EDI)</t>
        </is>
      </c>
      <c r="B1607" s="12" t="inlineStr"/>
      <c r="C1607" s="12" t="inlineStr">
        <is>
          <t>K</t>
        </is>
      </c>
      <c r="D1607" s="12" t="inlineStr">
        <is>
          <t>Motor 1 of 1, 15 kW</t>
        </is>
      </c>
      <c r="E1607" s="12" t="n">
        <v>480</v>
      </c>
      <c r="F1607" s="12" t="n">
        <v>15</v>
      </c>
      <c r="G1607" s="12" t="n">
        <v>21.2</v>
      </c>
      <c r="H1607" s="12" t="inlineStr">
        <is>
          <t>H2 20: 13.8 kV e-house</t>
        </is>
      </c>
      <c r="I1607" s="12" t="inlineStr">
        <is>
          <t>LV 600 V</t>
        </is>
      </c>
      <c r="J1607" s="12" t="inlineStr">
        <is>
          <t>10</t>
        </is>
      </c>
      <c r="K1607" s="12" t="n">
        <v>1</v>
      </c>
    </row>
    <row r="1608">
      <c r="A1608" s="12" t="inlineStr">
        <is>
          <t>H2 25: H2 dryer / purification</t>
        </is>
      </c>
      <c r="B1608" s="12" t="inlineStr"/>
      <c r="C1608" s="12" t="inlineStr">
        <is>
          <t>K</t>
        </is>
      </c>
      <c r="D1608" s="12" t="inlineStr">
        <is>
          <t>Motor 1 of 1, 15 kW</t>
        </is>
      </c>
      <c r="E1608" s="12" t="n">
        <v>480</v>
      </c>
      <c r="F1608" s="12" t="n">
        <v>15</v>
      </c>
      <c r="G1608" s="12" t="n">
        <v>21.2</v>
      </c>
      <c r="H1608" s="12" t="inlineStr">
        <is>
          <t>H2 20: 13.8 kV e-house</t>
        </is>
      </c>
      <c r="I1608" s="12" t="inlineStr">
        <is>
          <t>LV 600 V</t>
        </is>
      </c>
      <c r="J1608" s="12" t="inlineStr">
        <is>
          <t>10</t>
        </is>
      </c>
      <c r="K1608" s="12" t="n">
        <v>1</v>
      </c>
    </row>
    <row r="1609">
      <c r="A1609" s="12" t="inlineStr">
        <is>
          <t>H2 26: H2 compressor 1 (40 ft ISO)</t>
        </is>
      </c>
      <c r="B1609" s="12" t="inlineStr"/>
      <c r="C1609" s="12" t="inlineStr">
        <is>
          <t>K</t>
        </is>
      </c>
      <c r="D1609" s="12" t="inlineStr">
        <is>
          <t>Motor 1 of 1, 15 kW</t>
        </is>
      </c>
      <c r="E1609" s="12" t="n">
        <v>480</v>
      </c>
      <c r="F1609" s="12" t="n">
        <v>15</v>
      </c>
      <c r="G1609" s="12" t="n">
        <v>21.2</v>
      </c>
      <c r="H1609" s="12" t="inlineStr">
        <is>
          <t>H2 20: 13.8 kV e-house</t>
        </is>
      </c>
      <c r="I1609" s="12" t="inlineStr">
        <is>
          <t>LV 600 V</t>
        </is>
      </c>
      <c r="J1609" s="12" t="inlineStr">
        <is>
          <t>10</t>
        </is>
      </c>
      <c r="K1609" s="12" t="n">
        <v>1</v>
      </c>
    </row>
    <row r="1610">
      <c r="A1610" s="12" t="inlineStr">
        <is>
          <t>H2 26: H2 compressor 2 (40 ft ISO)</t>
        </is>
      </c>
      <c r="B1610" s="12" t="inlineStr"/>
      <c r="C1610" s="12" t="inlineStr">
        <is>
          <t>K</t>
        </is>
      </c>
      <c r="D1610" s="12" t="inlineStr">
        <is>
          <t>Motor 1 of 1, 15 kW</t>
        </is>
      </c>
      <c r="E1610" s="12" t="n">
        <v>480</v>
      </c>
      <c r="F1610" s="12" t="n">
        <v>15</v>
      </c>
      <c r="G1610" s="12" t="n">
        <v>21.2</v>
      </c>
      <c r="H1610" s="12" t="inlineStr">
        <is>
          <t>H2 20: 13.8 kV e-house</t>
        </is>
      </c>
      <c r="I1610" s="12" t="inlineStr">
        <is>
          <t>LV 600 V</t>
        </is>
      </c>
      <c r="J1610" s="12" t="inlineStr">
        <is>
          <t>10</t>
        </is>
      </c>
      <c r="K1610" s="12" t="n">
        <v>1</v>
      </c>
    </row>
    <row r="1611">
      <c r="A1611" s="12" t="inlineStr">
        <is>
          <t>H2 27: storage tube bank (~40 ft tubes)</t>
        </is>
      </c>
      <c r="B1611" s="12" t="inlineStr"/>
      <c r="C1611" s="12" t="inlineStr">
        <is>
          <t>K</t>
        </is>
      </c>
      <c r="D1611" s="12" t="inlineStr">
        <is>
          <t>Motor 1 of 1, 15 kW</t>
        </is>
      </c>
      <c r="E1611" s="12" t="n">
        <v>480</v>
      </c>
      <c r="F1611" s="12" t="n">
        <v>15</v>
      </c>
      <c r="G1611" s="12" t="n">
        <v>21.2</v>
      </c>
      <c r="H1611" s="12" t="inlineStr">
        <is>
          <t>H2 20: 13.8 kV e-house</t>
        </is>
      </c>
      <c r="I1611" s="12" t="inlineStr">
        <is>
          <t>LV 600 V</t>
        </is>
      </c>
      <c r="J1611" s="12" t="inlineStr">
        <is>
          <t>10</t>
        </is>
      </c>
      <c r="K1611" s="12" t="n">
        <v>1</v>
      </c>
    </row>
    <row r="1612">
      <c r="A1612" s="12" t="inlineStr">
        <is>
          <t>H2 27: storage tube bank (~40 ft tubes)</t>
        </is>
      </c>
      <c r="B1612" s="12" t="inlineStr"/>
      <c r="C1612" s="12" t="inlineStr">
        <is>
          <t>K</t>
        </is>
      </c>
      <c r="D1612" s="12" t="inlineStr">
        <is>
          <t>Motor 1 of 1, 15 kW</t>
        </is>
      </c>
      <c r="E1612" s="12" t="n">
        <v>480</v>
      </c>
      <c r="F1612" s="12" t="n">
        <v>15</v>
      </c>
      <c r="G1612" s="12" t="n">
        <v>21.2</v>
      </c>
      <c r="H1612" s="12" t="inlineStr">
        <is>
          <t>H2 20: 13.8 kV e-house</t>
        </is>
      </c>
      <c r="I1612" s="12" t="inlineStr">
        <is>
          <t>LV 600 V</t>
        </is>
      </c>
      <c r="J1612" s="12" t="inlineStr">
        <is>
          <t>10</t>
        </is>
      </c>
      <c r="K1612" s="12" t="n">
        <v>1</v>
      </c>
    </row>
    <row r="1613">
      <c r="A1613" s="12" t="inlineStr">
        <is>
          <t>H2 27: storage tube bank (~40 ft tubes)</t>
        </is>
      </c>
      <c r="B1613" s="12" t="inlineStr"/>
      <c r="C1613" s="12" t="inlineStr">
        <is>
          <t>K</t>
        </is>
      </c>
      <c r="D1613" s="12" t="inlineStr">
        <is>
          <t>Motor 1 of 1, 15 kW</t>
        </is>
      </c>
      <c r="E1613" s="12" t="n">
        <v>480</v>
      </c>
      <c r="F1613" s="12" t="n">
        <v>15</v>
      </c>
      <c r="G1613" s="12" t="n">
        <v>21.2</v>
      </c>
      <c r="H1613" s="12" t="inlineStr">
        <is>
          <t>H2 20: 13.8 kV e-house</t>
        </is>
      </c>
      <c r="I1613" s="12" t="inlineStr">
        <is>
          <t>LV 600 V</t>
        </is>
      </c>
      <c r="J1613" s="12" t="inlineStr">
        <is>
          <t>10</t>
        </is>
      </c>
      <c r="K1613" s="12" t="n">
        <v>1</v>
      </c>
    </row>
    <row r="1614">
      <c r="A1614" s="12" t="inlineStr">
        <is>
          <t>H2 27: storage tube bank (~40 ft tubes)</t>
        </is>
      </c>
      <c r="B1614" s="12" t="inlineStr"/>
      <c r="C1614" s="12" t="inlineStr">
        <is>
          <t>K</t>
        </is>
      </c>
      <c r="D1614" s="12" t="inlineStr">
        <is>
          <t>Motor 1 of 1, 15 kW</t>
        </is>
      </c>
      <c r="E1614" s="12" t="n">
        <v>480</v>
      </c>
      <c r="F1614" s="12" t="n">
        <v>15</v>
      </c>
      <c r="G1614" s="12" t="n">
        <v>21.2</v>
      </c>
      <c r="H1614" s="12" t="inlineStr">
        <is>
          <t>H2 20: 13.8 kV e-house</t>
        </is>
      </c>
      <c r="I1614" s="12" t="inlineStr">
        <is>
          <t>LV 600 V</t>
        </is>
      </c>
      <c r="J1614" s="12" t="inlineStr">
        <is>
          <t>10</t>
        </is>
      </c>
      <c r="K1614" s="12" t="n">
        <v>1</v>
      </c>
    </row>
    <row r="1615">
      <c r="A1615" s="12" t="inlineStr">
        <is>
          <t>H2 28: N2 purge supply</t>
        </is>
      </c>
      <c r="B1615" s="12" t="inlineStr"/>
      <c r="C1615" s="12" t="inlineStr">
        <is>
          <t>K</t>
        </is>
      </c>
      <c r="D1615" s="12" t="inlineStr">
        <is>
          <t>Motor 1 of 1, 15 kW</t>
        </is>
      </c>
      <c r="E1615" s="12" t="n">
        <v>480</v>
      </c>
      <c r="F1615" s="12" t="n">
        <v>15</v>
      </c>
      <c r="G1615" s="12" t="n">
        <v>21.2</v>
      </c>
      <c r="H1615" s="12" t="inlineStr">
        <is>
          <t>H2 20: 13.8 kV e-house</t>
        </is>
      </c>
      <c r="I1615" s="12" t="inlineStr">
        <is>
          <t>LV 600 V</t>
        </is>
      </c>
      <c r="J1615" s="12" t="inlineStr">
        <is>
          <t>10</t>
        </is>
      </c>
      <c r="K1615" s="12" t="n">
        <v>1</v>
      </c>
    </row>
    <row r="1616">
      <c r="A1616" s="12" t="inlineStr">
        <is>
          <t>H2 29: vent stack</t>
        </is>
      </c>
      <c r="B1616" s="12" t="inlineStr"/>
      <c r="C1616" s="12" t="inlineStr">
        <is>
          <t>K</t>
        </is>
      </c>
      <c r="D1616" s="12" t="inlineStr">
        <is>
          <t>Motor 1 of 1, 15 kW</t>
        </is>
      </c>
      <c r="E1616" s="12" t="n">
        <v>480</v>
      </c>
      <c r="F1616" s="12" t="n">
        <v>15</v>
      </c>
      <c r="G1616" s="12" t="n">
        <v>21.2</v>
      </c>
      <c r="H1616" s="12" t="inlineStr">
        <is>
          <t>H2 20: 13.8 kV e-house</t>
        </is>
      </c>
      <c r="I1616" s="12" t="inlineStr">
        <is>
          <t>LV 600 V</t>
        </is>
      </c>
      <c r="J1616" s="12" t="inlineStr">
        <is>
          <t>10</t>
        </is>
      </c>
      <c r="K1616" s="12" t="n">
        <v>1</v>
      </c>
    </row>
    <row r="1617">
      <c r="A1617" s="12" t="inlineStr">
        <is>
          <t>H2 30: H2 / gas blending station (plant gas yard)</t>
        </is>
      </c>
      <c r="B1617" s="12" t="inlineStr"/>
      <c r="C1617" s="12" t="inlineStr">
        <is>
          <t>K</t>
        </is>
      </c>
      <c r="D1617" s="12" t="inlineStr">
        <is>
          <t>Motor 1 of 1, 15 kW</t>
        </is>
      </c>
      <c r="E1617" s="12" t="n">
        <v>480</v>
      </c>
      <c r="F1617" s="12" t="n">
        <v>15</v>
      </c>
      <c r="G1617" s="12" t="n">
        <v>21.2</v>
      </c>
      <c r="H1617" s="12" t="inlineStr">
        <is>
          <t>LNG 17: LNG e-house (13.8 kV / 480 V)</t>
        </is>
      </c>
      <c r="I1617" s="12" t="inlineStr">
        <is>
          <t>LV 600 V</t>
        </is>
      </c>
      <c r="J1617" s="12" t="inlineStr">
        <is>
          <t>4</t>
        </is>
      </c>
      <c r="K1617" s="12" t="n">
        <v>1</v>
      </c>
    </row>
    <row r="1618">
      <c r="A1618" s="12" t="inlineStr">
        <is>
          <t>H2 pipe track and cable trench, hall -&gt; dryer / compressors (N2, instr</t>
        </is>
      </c>
      <c r="B1618" s="12" t="inlineStr"/>
      <c r="C1618" s="12" t="inlineStr">
        <is>
          <t>K</t>
        </is>
      </c>
      <c r="D1618" s="12" t="inlineStr">
        <is>
          <t>Motor 1 of 2, 250 kW</t>
        </is>
      </c>
      <c r="E1618" s="12" t="n">
        <v>480</v>
      </c>
      <c r="F1618" s="12" t="n">
        <v>250</v>
      </c>
      <c r="G1618" s="12" t="n">
        <v>353.8</v>
      </c>
      <c r="H1618" s="12" t="inlineStr">
        <is>
          <t>H2 20: 13.8 kV e-house</t>
        </is>
      </c>
      <c r="I1618" s="12" t="inlineStr">
        <is>
          <t>LV 600 V</t>
        </is>
      </c>
      <c r="J1618" s="12" t="inlineStr">
        <is>
          <t>4/0</t>
        </is>
      </c>
      <c r="K1618" s="12" t="n">
        <v>2</v>
      </c>
    </row>
    <row r="1619">
      <c r="A1619" s="12" t="inlineStr">
        <is>
          <t>H2 pipe track and cable trench, hall -&gt; dryer / compressors (N2, instr</t>
        </is>
      </c>
      <c r="B1619" s="12" t="inlineStr"/>
      <c r="C1619" s="12" t="inlineStr">
        <is>
          <t>K</t>
        </is>
      </c>
      <c r="D1619" s="12" t="inlineStr">
        <is>
          <t>Motor 2 of 2, 250 kW</t>
        </is>
      </c>
      <c r="E1619" s="12" t="n">
        <v>480</v>
      </c>
      <c r="F1619" s="12" t="n">
        <v>250</v>
      </c>
      <c r="G1619" s="12" t="n">
        <v>353.8</v>
      </c>
      <c r="H1619" s="12" t="inlineStr">
        <is>
          <t>H2 20: 13.8 kV e-house</t>
        </is>
      </c>
      <c r="I1619" s="12" t="inlineStr">
        <is>
          <t>LV 600 V</t>
        </is>
      </c>
      <c r="J1619" s="12" t="inlineStr">
        <is>
          <t>4/0</t>
        </is>
      </c>
      <c r="K1619" s="12" t="n">
        <v>2</v>
      </c>
    </row>
    <row r="1620">
      <c r="A1620" s="12" t="inlineStr">
        <is>
          <t>H2 storage tube banks x4</t>
        </is>
      </c>
      <c r="B1620" s="12" t="inlineStr">
        <is>
          <t>H2-ST</t>
        </is>
      </c>
      <c r="C1620" s="12" t="inlineStr">
        <is>
          <t>K</t>
        </is>
      </c>
      <c r="D1620" s="12" t="inlineStr">
        <is>
          <t>LV power feeder</t>
        </is>
      </c>
      <c r="E1620" s="12" t="n">
        <v>480</v>
      </c>
      <c r="F1620" s="12" t="n">
        <v>15</v>
      </c>
      <c r="G1620" s="12" t="n">
        <v>21.2</v>
      </c>
      <c r="H1620" s="12" t="inlineStr">
        <is>
          <t>H2 20: 13.8 kV e-house</t>
        </is>
      </c>
      <c r="I1620" s="12" t="inlineStr">
        <is>
          <t>LV 600 V</t>
        </is>
      </c>
      <c r="J1620" s="12" t="inlineStr">
        <is>
          <t>10</t>
        </is>
      </c>
      <c r="K1620" s="12" t="n">
        <v>1</v>
      </c>
    </row>
    <row r="1621">
      <c r="A1621" s="12" t="inlineStr">
        <is>
          <t>H2R: hydrogen pipeline receiving station (pig receiver, filters, meter</t>
        </is>
      </c>
      <c r="B1621" s="12" t="inlineStr">
        <is>
          <t>H2R</t>
        </is>
      </c>
      <c r="C1621" s="12" t="inlineStr">
        <is>
          <t>K</t>
        </is>
      </c>
      <c r="D1621" s="12" t="inlineStr">
        <is>
          <t>LV power feeder</t>
        </is>
      </c>
      <c r="E1621" s="12" t="n">
        <v>480</v>
      </c>
      <c r="F1621" s="12" t="n">
        <v>15</v>
      </c>
      <c r="G1621" s="12" t="n">
        <v>21.2</v>
      </c>
      <c r="H1621" s="12" t="inlineStr">
        <is>
          <t>H2 20: 13.8 kV e-house</t>
        </is>
      </c>
      <c r="I1621" s="12" t="inlineStr">
        <is>
          <t>LV 600 V</t>
        </is>
      </c>
      <c r="J1621" s="12" t="inlineStr">
        <is>
          <t>10</t>
        </is>
      </c>
      <c r="K1621" s="12" t="n">
        <v>1</v>
      </c>
    </row>
    <row r="1622">
      <c r="A1622" s="12" t="inlineStr">
        <is>
          <t>LNG 10: truck unloading bay 1</t>
        </is>
      </c>
      <c r="B1622" s="12" t="inlineStr"/>
      <c r="C1622" s="12" t="inlineStr">
        <is>
          <t>K</t>
        </is>
      </c>
      <c r="D1622" s="12" t="inlineStr">
        <is>
          <t>Motor 1 of 1, 15 kW</t>
        </is>
      </c>
      <c r="E1622" s="12" t="n">
        <v>480</v>
      </c>
      <c r="F1622" s="12" t="n">
        <v>15</v>
      </c>
      <c r="G1622" s="12" t="n">
        <v>21.2</v>
      </c>
      <c r="H1622" s="12" t="inlineStr">
        <is>
          <t>LNG 17: LNG e-house (13.8 kV / 480 V)</t>
        </is>
      </c>
      <c r="I1622" s="12" t="inlineStr">
        <is>
          <t>LV 600 V</t>
        </is>
      </c>
      <c r="J1622" s="12" t="inlineStr">
        <is>
          <t>8</t>
        </is>
      </c>
      <c r="K1622" s="12" t="n">
        <v>1</v>
      </c>
    </row>
    <row r="1623">
      <c r="A1623" s="12" t="inlineStr">
        <is>
          <t>LNG 10: truck unloading bay 2</t>
        </is>
      </c>
      <c r="B1623" s="12" t="inlineStr"/>
      <c r="C1623" s="12" t="inlineStr">
        <is>
          <t>K</t>
        </is>
      </c>
      <c r="D1623" s="12" t="inlineStr">
        <is>
          <t>Motor 1 of 1, 15 kW</t>
        </is>
      </c>
      <c r="E1623" s="12" t="n">
        <v>480</v>
      </c>
      <c r="F1623" s="12" t="n">
        <v>15</v>
      </c>
      <c r="G1623" s="12" t="n">
        <v>21.2</v>
      </c>
      <c r="H1623" s="12" t="inlineStr">
        <is>
          <t>LNG 17: LNG e-house (13.8 kV / 480 V)</t>
        </is>
      </c>
      <c r="I1623" s="12" t="inlineStr">
        <is>
          <t>LV 600 V</t>
        </is>
      </c>
      <c r="J1623" s="12" t="inlineStr">
        <is>
          <t>10</t>
        </is>
      </c>
      <c r="K1623" s="12" t="n">
        <v>1</v>
      </c>
    </row>
    <row r="1624">
      <c r="A1624" s="12" t="inlineStr">
        <is>
          <t>LNG 10: unloading skid</t>
        </is>
      </c>
      <c r="B1624" s="12" t="inlineStr"/>
      <c r="C1624" s="12" t="inlineStr">
        <is>
          <t>K</t>
        </is>
      </c>
      <c r="D1624" s="12" t="inlineStr">
        <is>
          <t>Motor 1 of 1, 15 kW</t>
        </is>
      </c>
      <c r="E1624" s="12" t="n">
        <v>480</v>
      </c>
      <c r="F1624" s="12" t="n">
        <v>15</v>
      </c>
      <c r="G1624" s="12" t="n">
        <v>21.2</v>
      </c>
      <c r="H1624" s="12" t="inlineStr">
        <is>
          <t>LNG 17: LNG e-house (13.8 kV / 480 V)</t>
        </is>
      </c>
      <c r="I1624" s="12" t="inlineStr">
        <is>
          <t>LV 600 V</t>
        </is>
      </c>
      <c r="J1624" s="12" t="inlineStr">
        <is>
          <t>10</t>
        </is>
      </c>
      <c r="K1624" s="12" t="n">
        <v>1</v>
      </c>
    </row>
    <row r="1625">
      <c r="A1625" s="12" t="inlineStr">
        <is>
          <t>LNG 11: tank 1, Chart HS 50000 (51,780 gal)</t>
        </is>
      </c>
      <c r="B1625" s="12" t="inlineStr">
        <is>
          <t>LNG-T1</t>
        </is>
      </c>
      <c r="C1625" s="12" t="inlineStr">
        <is>
          <t>K</t>
        </is>
      </c>
      <c r="D1625" s="12" t="inlineStr">
        <is>
          <t>LV power feeder</t>
        </is>
      </c>
      <c r="E1625" s="12" t="n">
        <v>480</v>
      </c>
      <c r="F1625" s="12" t="n">
        <v>10</v>
      </c>
      <c r="G1625" s="12" t="n">
        <v>14.2</v>
      </c>
      <c r="H1625" s="12" t="inlineStr">
        <is>
          <t>LNG 17: LNG e-house (13.8 kV / 480 V)</t>
        </is>
      </c>
      <c r="I1625" s="12" t="inlineStr">
        <is>
          <t>LV 600 V</t>
        </is>
      </c>
      <c r="J1625" s="12" t="inlineStr">
        <is>
          <t>10</t>
        </is>
      </c>
      <c r="K1625" s="12" t="n">
        <v>1</v>
      </c>
    </row>
    <row r="1626">
      <c r="A1626" s="12" t="inlineStr">
        <is>
          <t>LNG 11: tank 2, Chart HS 50000 (51,780 gal)</t>
        </is>
      </c>
      <c r="B1626" s="12" t="inlineStr">
        <is>
          <t>LNG-T2</t>
        </is>
      </c>
      <c r="C1626" s="12" t="inlineStr">
        <is>
          <t>K</t>
        </is>
      </c>
      <c r="D1626" s="12" t="inlineStr">
        <is>
          <t>LV power feeder</t>
        </is>
      </c>
      <c r="E1626" s="12" t="n">
        <v>480</v>
      </c>
      <c r="F1626" s="12" t="n">
        <v>10</v>
      </c>
      <c r="G1626" s="12" t="n">
        <v>14.2</v>
      </c>
      <c r="H1626" s="12" t="inlineStr">
        <is>
          <t>LNG 17: LNG e-house (13.8 kV / 480 V)</t>
        </is>
      </c>
      <c r="I1626" s="12" t="inlineStr">
        <is>
          <t>LV 600 V</t>
        </is>
      </c>
      <c r="J1626" s="12" t="inlineStr">
        <is>
          <t>10</t>
        </is>
      </c>
      <c r="K1626" s="12" t="n">
        <v>1</v>
      </c>
    </row>
    <row r="1627">
      <c r="A1627" s="12" t="inlineStr">
        <is>
          <t>LNG 11: tank 3, Chart HS 50000 (51,780 gal)</t>
        </is>
      </c>
      <c r="B1627" s="12" t="inlineStr">
        <is>
          <t>LNG-T3</t>
        </is>
      </c>
      <c r="C1627" s="12" t="inlineStr">
        <is>
          <t>K</t>
        </is>
      </c>
      <c r="D1627" s="12" t="inlineStr">
        <is>
          <t>LV power feeder</t>
        </is>
      </c>
      <c r="E1627" s="12" t="n">
        <v>480</v>
      </c>
      <c r="F1627" s="12" t="n">
        <v>10</v>
      </c>
      <c r="G1627" s="12" t="n">
        <v>14.2</v>
      </c>
      <c r="H1627" s="12" t="inlineStr">
        <is>
          <t>LNG 17: LNG e-house (13.8 kV / 480 V)</t>
        </is>
      </c>
      <c r="I1627" s="12" t="inlineStr">
        <is>
          <t>LV 600 V</t>
        </is>
      </c>
      <c r="J1627" s="12" t="inlineStr">
        <is>
          <t>10</t>
        </is>
      </c>
      <c r="K1627" s="12" t="n">
        <v>1</v>
      </c>
    </row>
    <row r="1628">
      <c r="A1628" s="12" t="inlineStr">
        <is>
          <t>LNG 11: tank 4, Chart HS 50000 (51,780 gal)</t>
        </is>
      </c>
      <c r="B1628" s="12" t="inlineStr">
        <is>
          <t>LNG-T4</t>
        </is>
      </c>
      <c r="C1628" s="12" t="inlineStr">
        <is>
          <t>K</t>
        </is>
      </c>
      <c r="D1628" s="12" t="inlineStr">
        <is>
          <t>LV power feeder</t>
        </is>
      </c>
      <c r="E1628" s="12" t="n">
        <v>480</v>
      </c>
      <c r="F1628" s="12" t="n">
        <v>10</v>
      </c>
      <c r="G1628" s="12" t="n">
        <v>14.2</v>
      </c>
      <c r="H1628" s="12" t="inlineStr">
        <is>
          <t>LNG 17: LNG e-house (13.8 kV / 480 V)</t>
        </is>
      </c>
      <c r="I1628" s="12" t="inlineStr">
        <is>
          <t>LV 600 V</t>
        </is>
      </c>
      <c r="J1628" s="12" t="inlineStr">
        <is>
          <t>10</t>
        </is>
      </c>
      <c r="K1628" s="12" t="n">
        <v>1</v>
      </c>
    </row>
    <row r="1629">
      <c r="A1629" s="12" t="inlineStr">
        <is>
          <t>LNG 11: tank 5, Chart HS 50000 (51,780 gal)</t>
        </is>
      </c>
      <c r="B1629" s="12" t="inlineStr">
        <is>
          <t>LNG-T5</t>
        </is>
      </c>
      <c r="C1629" s="12" t="inlineStr">
        <is>
          <t>K</t>
        </is>
      </c>
      <c r="D1629" s="12" t="inlineStr">
        <is>
          <t>LV power feeder</t>
        </is>
      </c>
      <c r="E1629" s="12" t="n">
        <v>480</v>
      </c>
      <c r="F1629" s="12" t="n">
        <v>10</v>
      </c>
      <c r="G1629" s="12" t="n">
        <v>14.2</v>
      </c>
      <c r="H1629" s="12" t="inlineStr">
        <is>
          <t>LNG 17: LNG e-house (13.8 kV / 480 V)</t>
        </is>
      </c>
      <c r="I1629" s="12" t="inlineStr">
        <is>
          <t>LV 600 V</t>
        </is>
      </c>
      <c r="J1629" s="12" t="inlineStr">
        <is>
          <t>10</t>
        </is>
      </c>
      <c r="K1629" s="12" t="n">
        <v>1</v>
      </c>
    </row>
    <row r="1630">
      <c r="A1630" s="12" t="inlineStr">
        <is>
          <t>LNG 11: tank 6, Chart HS 50000 (51,780 gal)</t>
        </is>
      </c>
      <c r="B1630" s="12" t="inlineStr">
        <is>
          <t>LNG-T6</t>
        </is>
      </c>
      <c r="C1630" s="12" t="inlineStr">
        <is>
          <t>K</t>
        </is>
      </c>
      <c r="D1630" s="12" t="inlineStr">
        <is>
          <t>LV power feeder</t>
        </is>
      </c>
      <c r="E1630" s="12" t="n">
        <v>480</v>
      </c>
      <c r="F1630" s="12" t="n">
        <v>10</v>
      </c>
      <c r="G1630" s="12" t="n">
        <v>14.2</v>
      </c>
      <c r="H1630" s="12" t="inlineStr">
        <is>
          <t>LNG 17: LNG e-house (13.8 kV / 480 V)</t>
        </is>
      </c>
      <c r="I1630" s="12" t="inlineStr">
        <is>
          <t>LV 600 V</t>
        </is>
      </c>
      <c r="J1630" s="12" t="inlineStr">
        <is>
          <t>10</t>
        </is>
      </c>
      <c r="K1630" s="12" t="n">
        <v>1</v>
      </c>
    </row>
    <row r="1631">
      <c r="A1631" s="12" t="inlineStr">
        <is>
          <t>LNG 11: tank 7, Chart HS 50000 (51,780 gal)</t>
        </is>
      </c>
      <c r="B1631" s="12" t="inlineStr">
        <is>
          <t>LNG-T7</t>
        </is>
      </c>
      <c r="C1631" s="12" t="inlineStr">
        <is>
          <t>K</t>
        </is>
      </c>
      <c r="D1631" s="12" t="inlineStr">
        <is>
          <t>LV power feeder</t>
        </is>
      </c>
      <c r="E1631" s="12" t="n">
        <v>480</v>
      </c>
      <c r="F1631" s="12" t="n">
        <v>10</v>
      </c>
      <c r="G1631" s="12" t="n">
        <v>14.2</v>
      </c>
      <c r="H1631" s="12" t="inlineStr">
        <is>
          <t>LNG 17: LNG e-house (13.8 kV / 480 V)</t>
        </is>
      </c>
      <c r="I1631" s="12" t="inlineStr">
        <is>
          <t>LV 600 V</t>
        </is>
      </c>
      <c r="J1631" s="12" t="inlineStr">
        <is>
          <t>10</t>
        </is>
      </c>
      <c r="K1631" s="12" t="n">
        <v>1</v>
      </c>
    </row>
    <row r="1632">
      <c r="A1632" s="12" t="inlineStr">
        <is>
          <t>LNG 11: tank 8, Chart HS 50000 (51,780 gal)</t>
        </is>
      </c>
      <c r="B1632" s="12" t="inlineStr">
        <is>
          <t>LNG-T8</t>
        </is>
      </c>
      <c r="C1632" s="12" t="inlineStr">
        <is>
          <t>K</t>
        </is>
      </c>
      <c r="D1632" s="12" t="inlineStr">
        <is>
          <t>LV power feeder</t>
        </is>
      </c>
      <c r="E1632" s="12" t="n">
        <v>480</v>
      </c>
      <c r="F1632" s="12" t="n">
        <v>10</v>
      </c>
      <c r="G1632" s="12" t="n">
        <v>14.2</v>
      </c>
      <c r="H1632" s="12" t="inlineStr">
        <is>
          <t>LNG 17: LNG e-house (13.8 kV / 480 V)</t>
        </is>
      </c>
      <c r="I1632" s="12" t="inlineStr">
        <is>
          <t>LV 600 V</t>
        </is>
      </c>
      <c r="J1632" s="12" t="inlineStr">
        <is>
          <t>10</t>
        </is>
      </c>
      <c r="K1632" s="12" t="n">
        <v>1</v>
      </c>
    </row>
    <row r="1633">
      <c r="A1633" s="12" t="inlineStr">
        <is>
          <t>LNG 12: spill impoundment (NFPA 59A, to verify)</t>
        </is>
      </c>
      <c r="B1633" s="12" t="inlineStr"/>
      <c r="C1633" s="12" t="inlineStr">
        <is>
          <t>K</t>
        </is>
      </c>
      <c r="D1633" s="12" t="inlineStr">
        <is>
          <t>Motor 1 of 1, 15 kW</t>
        </is>
      </c>
      <c r="E1633" s="12" t="n">
        <v>480</v>
      </c>
      <c r="F1633" s="12" t="n">
        <v>15</v>
      </c>
      <c r="G1633" s="12" t="n">
        <v>21.2</v>
      </c>
      <c r="H1633" s="12" t="inlineStr">
        <is>
          <t>LNG 17: LNG e-house (13.8 kV / 480 V)</t>
        </is>
      </c>
      <c r="I1633" s="12" t="inlineStr">
        <is>
          <t>LV 600 V</t>
        </is>
      </c>
      <c r="J1633" s="12" t="inlineStr">
        <is>
          <t>10</t>
        </is>
      </c>
      <c r="K1633" s="12" t="n">
        <v>1</v>
      </c>
    </row>
    <row r="1634">
      <c r="A1634" s="12" t="inlineStr">
        <is>
          <t>LNG 13: send-out pumps 2 x 100%</t>
        </is>
      </c>
      <c r="B1634" s="12" t="inlineStr"/>
      <c r="C1634" s="12" t="inlineStr">
        <is>
          <t>K</t>
        </is>
      </c>
      <c r="D1634" s="12" t="inlineStr">
        <is>
          <t>Motor 1 of 1, 15 kW</t>
        </is>
      </c>
      <c r="E1634" s="12" t="n">
        <v>480</v>
      </c>
      <c r="F1634" s="12" t="n">
        <v>15</v>
      </c>
      <c r="G1634" s="12" t="n">
        <v>21.2</v>
      </c>
      <c r="H1634" s="12" t="inlineStr">
        <is>
          <t>LNG 17: LNG e-house (13.8 kV / 480 V)</t>
        </is>
      </c>
      <c r="I1634" s="12" t="inlineStr">
        <is>
          <t>LV 600 V</t>
        </is>
      </c>
      <c r="J1634" s="12" t="inlineStr">
        <is>
          <t>10</t>
        </is>
      </c>
      <c r="K1634" s="12" t="n">
        <v>1</v>
      </c>
    </row>
    <row r="1635">
      <c r="A1635" s="12" t="inlineStr">
        <is>
          <t>LNG 14: vaporizers + glycol heater</t>
        </is>
      </c>
      <c r="B1635" s="12" t="inlineStr"/>
      <c r="C1635" s="12" t="inlineStr">
        <is>
          <t>K</t>
        </is>
      </c>
      <c r="D1635" s="12" t="inlineStr">
        <is>
          <t>Motor 1 of 1, 15 kW</t>
        </is>
      </c>
      <c r="E1635" s="12" t="n">
        <v>480</v>
      </c>
      <c r="F1635" s="12" t="n">
        <v>15</v>
      </c>
      <c r="G1635" s="12" t="n">
        <v>21.2</v>
      </c>
      <c r="H1635" s="12" t="inlineStr">
        <is>
          <t>LNG 17: LNG e-house (13.8 kV / 480 V)</t>
        </is>
      </c>
      <c r="I1635" s="12" t="inlineStr">
        <is>
          <t>LV 600 V</t>
        </is>
      </c>
      <c r="J1635" s="12" t="inlineStr">
        <is>
          <t>10</t>
        </is>
      </c>
      <c r="K1635" s="12" t="n">
        <v>1</v>
      </c>
    </row>
    <row r="1636">
      <c r="A1636" s="12" t="inlineStr">
        <is>
          <t>LNG 15: boil-off gas compressor</t>
        </is>
      </c>
      <c r="B1636" s="12" t="inlineStr"/>
      <c r="C1636" s="12" t="inlineStr">
        <is>
          <t>K</t>
        </is>
      </c>
      <c r="D1636" s="12" t="inlineStr">
        <is>
          <t>Motor 1 of 1, 15 kW</t>
        </is>
      </c>
      <c r="E1636" s="12" t="n">
        <v>480</v>
      </c>
      <c r="F1636" s="12" t="n">
        <v>15</v>
      </c>
      <c r="G1636" s="12" t="n">
        <v>21.2</v>
      </c>
      <c r="H1636" s="12" t="inlineStr">
        <is>
          <t>LNG 17: LNG e-house (13.8 kV / 480 V)</t>
        </is>
      </c>
      <c r="I1636" s="12" t="inlineStr">
        <is>
          <t>LV 600 V</t>
        </is>
      </c>
      <c r="J1636" s="12" t="inlineStr">
        <is>
          <t>10</t>
        </is>
      </c>
      <c r="K1636" s="12" t="n">
        <v>1</v>
      </c>
    </row>
    <row r="1637">
      <c r="A1637" s="12" t="inlineStr">
        <is>
          <t>LNG 16: send-out metering + pressure control</t>
        </is>
      </c>
      <c r="B1637" s="12" t="inlineStr"/>
      <c r="C1637" s="12" t="inlineStr">
        <is>
          <t>K</t>
        </is>
      </c>
      <c r="D1637" s="12" t="inlineStr">
        <is>
          <t>Motor 1 of 1, 15 kW</t>
        </is>
      </c>
      <c r="E1637" s="12" t="n">
        <v>480</v>
      </c>
      <c r="F1637" s="12" t="n">
        <v>15</v>
      </c>
      <c r="G1637" s="12" t="n">
        <v>21.2</v>
      </c>
      <c r="H1637" s="12" t="inlineStr">
        <is>
          <t>LNG 17: LNG e-house (13.8 kV / 480 V)</t>
        </is>
      </c>
      <c r="I1637" s="12" t="inlineStr">
        <is>
          <t>LV 600 V</t>
        </is>
      </c>
      <c r="J1637" s="12" t="inlineStr">
        <is>
          <t>10</t>
        </is>
      </c>
      <c r="K1637" s="12" t="n">
        <v>1</v>
      </c>
    </row>
    <row r="1638">
      <c r="A1638" s="12" t="inlineStr">
        <is>
          <t>LNG 17: LNG e-house (13.8 kV / 480 V)</t>
        </is>
      </c>
      <c r="B1638" s="12" t="inlineStr"/>
      <c r="C1638" s="12" t="inlineStr">
        <is>
          <t>K</t>
        </is>
      </c>
      <c r="D1638" s="12" t="inlineStr">
        <is>
          <t>Motor 1 of 1, 15 kW</t>
        </is>
      </c>
      <c r="E1638" s="12" t="n">
        <v>480</v>
      </c>
      <c r="F1638" s="12" t="n">
        <v>15</v>
      </c>
      <c r="G1638" s="12" t="n">
        <v>21.2</v>
      </c>
      <c r="H1638" s="12" t="inlineStr">
        <is>
          <t>LNG 17: LNG e-house (13.8 kV / 480 V)</t>
        </is>
      </c>
      <c r="I1638" s="12" t="inlineStr">
        <is>
          <t>LV 600 V</t>
        </is>
      </c>
      <c r="J1638" s="12" t="inlineStr">
        <is>
          <t>10</t>
        </is>
      </c>
      <c r="K1638" s="12" t="n">
        <v>1</v>
      </c>
    </row>
    <row r="1639">
      <c r="A1639" s="12" t="inlineStr">
        <is>
          <t>LNG 18: vent stack</t>
        </is>
      </c>
      <c r="B1639" s="12" t="inlineStr"/>
      <c r="C1639" s="12" t="inlineStr">
        <is>
          <t>K</t>
        </is>
      </c>
      <c r="D1639" s="12" t="inlineStr">
        <is>
          <t>Motor 1 of 1, 15 kW</t>
        </is>
      </c>
      <c r="E1639" s="12" t="n">
        <v>480</v>
      </c>
      <c r="F1639" s="12" t="n">
        <v>15</v>
      </c>
      <c r="G1639" s="12" t="n">
        <v>21.2</v>
      </c>
      <c r="H1639" s="12" t="inlineStr">
        <is>
          <t>LNG 17: LNG e-house (13.8 kV / 480 V)</t>
        </is>
      </c>
      <c r="I1639" s="12" t="inlineStr">
        <is>
          <t>LV 600 V</t>
        </is>
      </c>
      <c r="J1639" s="12" t="inlineStr">
        <is>
          <t>10</t>
        </is>
      </c>
      <c r="K1639" s="12" t="n">
        <v>1</v>
      </c>
    </row>
    <row r="1640">
      <c r="A1640" s="12" t="inlineStr">
        <is>
          <t>LNG impoundment sump pump</t>
        </is>
      </c>
      <c r="B1640" s="12" t="inlineStr"/>
      <c r="C1640" s="12" t="inlineStr">
        <is>
          <t>K</t>
        </is>
      </c>
      <c r="D1640" s="12" t="inlineStr">
        <is>
          <t>LV power feeder</t>
        </is>
      </c>
      <c r="E1640" s="12" t="n">
        <v>480</v>
      </c>
      <c r="F1640" s="12" t="n">
        <v>15</v>
      </c>
      <c r="G1640" s="12" t="n">
        <v>21.2</v>
      </c>
      <c r="H1640" s="12" t="inlineStr">
        <is>
          <t>LNG 17: LNG e-house (13.8 kV / 480 V)</t>
        </is>
      </c>
      <c r="I1640" s="12" t="inlineStr">
        <is>
          <t>LV 600 V</t>
        </is>
      </c>
      <c r="J1640" s="12" t="inlineStr">
        <is>
          <t>8</t>
        </is>
      </c>
      <c r="K1640" s="12" t="n">
        <v>1</v>
      </c>
    </row>
    <row r="1641">
      <c r="A1641" s="12" t="inlineStr">
        <is>
          <t>M&amp;R 2: insulating joint + ESD valve</t>
        </is>
      </c>
      <c r="B1641" s="12" t="inlineStr"/>
      <c r="C1641" s="12" t="inlineStr">
        <is>
          <t>K</t>
        </is>
      </c>
      <c r="D1641" s="12" t="inlineStr">
        <is>
          <t>LV power feeder</t>
        </is>
      </c>
      <c r="E1641" s="12" t="n">
        <v>480</v>
      </c>
      <c r="F1641" s="12" t="n">
        <v>10</v>
      </c>
      <c r="G1641" s="12" t="n">
        <v>14.2</v>
      </c>
      <c r="H1641" s="12" t="inlineStr">
        <is>
          <t>LNG 17: LNG e-house (13.8 kV / 480 V)</t>
        </is>
      </c>
      <c r="I1641" s="12" t="inlineStr">
        <is>
          <t>LV 600 V</t>
        </is>
      </c>
      <c r="J1641" s="12" t="inlineStr">
        <is>
          <t>6</t>
        </is>
      </c>
      <c r="K1641" s="12" t="n">
        <v>1</v>
      </c>
    </row>
    <row r="1642">
      <c r="A1642" s="12" t="inlineStr">
        <is>
          <t>M&amp;R 3: horizontal filter-separator</t>
        </is>
      </c>
      <c r="B1642" s="12" t="inlineStr"/>
      <c r="C1642" s="12" t="inlineStr">
        <is>
          <t>K</t>
        </is>
      </c>
      <c r="D1642" s="12" t="inlineStr">
        <is>
          <t>LV power feeder</t>
        </is>
      </c>
      <c r="E1642" s="12" t="n">
        <v>480</v>
      </c>
      <c r="F1642" s="12" t="n">
        <v>15</v>
      </c>
      <c r="G1642" s="12" t="n">
        <v>21.2</v>
      </c>
      <c r="H1642" s="12" t="inlineStr">
        <is>
          <t>LNG 17: LNG e-house (13.8 kV / 480 V)</t>
        </is>
      </c>
      <c r="I1642" s="12" t="inlineStr">
        <is>
          <t>LV 600 V</t>
        </is>
      </c>
      <c r="J1642" s="12" t="inlineStr">
        <is>
          <t>4</t>
        </is>
      </c>
      <c r="K1642" s="12" t="n">
        <v>1</v>
      </c>
    </row>
    <row r="1643">
      <c r="A1643" s="12" t="inlineStr">
        <is>
          <t>M&amp;R 4: line heater 1 (water bath)</t>
        </is>
      </c>
      <c r="B1643" s="12" t="inlineStr"/>
      <c r="C1643" s="12" t="inlineStr">
        <is>
          <t>K</t>
        </is>
      </c>
      <c r="D1643" s="12" t="inlineStr">
        <is>
          <t>LV power feeder</t>
        </is>
      </c>
      <c r="E1643" s="12" t="n">
        <v>480</v>
      </c>
      <c r="F1643" s="12" t="n">
        <v>15</v>
      </c>
      <c r="G1643" s="12" t="n">
        <v>21.2</v>
      </c>
      <c r="H1643" s="12" t="inlineStr">
        <is>
          <t>LNG 17: LNG e-house (13.8 kV / 480 V)</t>
        </is>
      </c>
      <c r="I1643" s="12" t="inlineStr">
        <is>
          <t>LV 600 V</t>
        </is>
      </c>
      <c r="J1643" s="12" t="inlineStr">
        <is>
          <t>6</t>
        </is>
      </c>
      <c r="K1643" s="12" t="n">
        <v>1</v>
      </c>
    </row>
    <row r="1644">
      <c r="A1644" s="12" t="inlineStr">
        <is>
          <t>M&amp;R 4: line heater 2 (water bath)</t>
        </is>
      </c>
      <c r="B1644" s="12" t="inlineStr"/>
      <c r="C1644" s="12" t="inlineStr">
        <is>
          <t>K</t>
        </is>
      </c>
      <c r="D1644" s="12" t="inlineStr">
        <is>
          <t>LV power feeder</t>
        </is>
      </c>
      <c r="E1644" s="12" t="n">
        <v>480</v>
      </c>
      <c r="F1644" s="12" t="n">
        <v>15</v>
      </c>
      <c r="G1644" s="12" t="n">
        <v>21.2</v>
      </c>
      <c r="H1644" s="12" t="inlineStr">
        <is>
          <t>LNG 17: LNG e-house (13.8 kV / 480 V)</t>
        </is>
      </c>
      <c r="I1644" s="12" t="inlineStr">
        <is>
          <t>LV 600 V</t>
        </is>
      </c>
      <c r="J1644" s="12" t="inlineStr">
        <is>
          <t>6</t>
        </is>
      </c>
      <c r="K1644" s="12" t="n">
        <v>1</v>
      </c>
    </row>
    <row r="1645">
      <c r="A1645" s="12" t="inlineStr">
        <is>
          <t>M&amp;R 4: line heater 3 (water bath)</t>
        </is>
      </c>
      <c r="B1645" s="12" t="inlineStr"/>
      <c r="C1645" s="12" t="inlineStr">
        <is>
          <t>K</t>
        </is>
      </c>
      <c r="D1645" s="12" t="inlineStr">
        <is>
          <t>LV power feeder</t>
        </is>
      </c>
      <c r="E1645" s="12" t="n">
        <v>480</v>
      </c>
      <c r="F1645" s="12" t="n">
        <v>15</v>
      </c>
      <c r="G1645" s="12" t="n">
        <v>21.2</v>
      </c>
      <c r="H1645" s="12" t="inlineStr">
        <is>
          <t>LNG 17: LNG e-house (13.8 kV / 480 V)</t>
        </is>
      </c>
      <c r="I1645" s="12" t="inlineStr">
        <is>
          <t>LV 600 V</t>
        </is>
      </c>
      <c r="J1645" s="12" t="inlineStr">
        <is>
          <t>6</t>
        </is>
      </c>
      <c r="K1645" s="12" t="n">
        <v>1</v>
      </c>
    </row>
    <row r="1646">
      <c r="A1646" s="12" t="inlineStr">
        <is>
          <t>M&amp;R 6: regulation / flow control building</t>
        </is>
      </c>
      <c r="B1646" s="12" t="inlineStr"/>
      <c r="C1646" s="12" t="inlineStr">
        <is>
          <t>K</t>
        </is>
      </c>
      <c r="D1646" s="12" t="inlineStr">
        <is>
          <t>LV panel / distribution feeder</t>
        </is>
      </c>
      <c r="E1646" s="12" t="n">
        <v>480</v>
      </c>
      <c r="F1646" s="12" t="n">
        <v>10</v>
      </c>
      <c r="G1646" s="12" t="n">
        <v>14.2</v>
      </c>
      <c r="H1646" s="12" t="inlineStr">
        <is>
          <t>LNG 17: LNG e-house (13.8 kV / 480 V)</t>
        </is>
      </c>
      <c r="I1646" s="12" t="inlineStr">
        <is>
          <t>LV 600 V</t>
        </is>
      </c>
      <c r="J1646" s="12" t="inlineStr">
        <is>
          <t>8</t>
        </is>
      </c>
      <c r="K1646" s="12" t="n">
        <v>1</v>
      </c>
    </row>
    <row r="1647">
      <c r="A1647" s="12" t="inlineStr">
        <is>
          <t>M&amp;R 7: gas quality + measurement building</t>
        </is>
      </c>
      <c r="B1647" s="12" t="inlineStr"/>
      <c r="C1647" s="12" t="inlineStr">
        <is>
          <t>K</t>
        </is>
      </c>
      <c r="D1647" s="12" t="inlineStr">
        <is>
          <t>LV panel / distribution feeder</t>
        </is>
      </c>
      <c r="E1647" s="12" t="n">
        <v>480</v>
      </c>
      <c r="F1647" s="12" t="n">
        <v>30</v>
      </c>
      <c r="G1647" s="12" t="n">
        <v>42.5</v>
      </c>
      <c r="H1647" s="12" t="inlineStr">
        <is>
          <t>LNG 17: LNG e-house (13.8 kV / 480 V)</t>
        </is>
      </c>
      <c r="I1647" s="12" t="inlineStr">
        <is>
          <t>LV 600 V</t>
        </is>
      </c>
      <c r="J1647" s="12" t="inlineStr">
        <is>
          <t>2</t>
        </is>
      </c>
      <c r="K1647" s="12" t="n">
        <v>1</v>
      </c>
    </row>
    <row r="1648">
      <c r="A1648" s="12" t="inlineStr">
        <is>
          <t>M&amp;R 8: condensate tank</t>
        </is>
      </c>
      <c r="B1648" s="12" t="inlineStr"/>
      <c r="C1648" s="12" t="inlineStr">
        <is>
          <t>K</t>
        </is>
      </c>
      <c r="D1648" s="12" t="inlineStr">
        <is>
          <t>LV power feeder</t>
        </is>
      </c>
      <c r="E1648" s="12" t="n">
        <v>480</v>
      </c>
      <c r="F1648" s="12" t="n">
        <v>10</v>
      </c>
      <c r="G1648" s="12" t="n">
        <v>14.2</v>
      </c>
      <c r="H1648" s="12" t="inlineStr">
        <is>
          <t>LNG 17: LNG e-house (13.8 kV / 480 V)</t>
        </is>
      </c>
      <c r="I1648" s="12" t="inlineStr">
        <is>
          <t>LV 600 V</t>
        </is>
      </c>
      <c r="J1648" s="12" t="inlineStr">
        <is>
          <t>8</t>
        </is>
      </c>
      <c r="K1648" s="12" t="n">
        <v>1</v>
      </c>
    </row>
    <row r="1649">
      <c r="A1649" s="12" t="inlineStr">
        <is>
          <t>M&amp;R 9: service panel + UPS, SCADA RTU, CP</t>
        </is>
      </c>
      <c r="B1649" s="12" t="inlineStr"/>
      <c r="C1649" s="12" t="inlineStr">
        <is>
          <t>K</t>
        </is>
      </c>
      <c r="D1649" s="12" t="inlineStr">
        <is>
          <t>LV power feeder</t>
        </is>
      </c>
      <c r="E1649" s="12" t="n">
        <v>480</v>
      </c>
      <c r="F1649" s="12" t="n">
        <v>15</v>
      </c>
      <c r="G1649" s="12" t="n">
        <v>21.2</v>
      </c>
      <c r="H1649" s="12" t="inlineStr">
        <is>
          <t>LNG 17: LNG e-house (13.8 kV / 480 V)</t>
        </is>
      </c>
      <c r="I1649" s="12" t="inlineStr">
        <is>
          <t>LV 600 V</t>
        </is>
      </c>
      <c r="J1649" s="12" t="inlineStr">
        <is>
          <t>6</t>
        </is>
      </c>
      <c r="K1649" s="12" t="n">
        <v>1</v>
      </c>
    </row>
    <row r="1650">
      <c r="A1650" s="12" t="inlineStr">
        <is>
          <t>M&amp;R CP test station (as drawn)</t>
        </is>
      </c>
      <c r="B1650" s="12" t="inlineStr"/>
      <c r="C1650" s="12" t="inlineStr">
        <is>
          <t>K</t>
        </is>
      </c>
      <c r="D1650" s="12" t="inlineStr">
        <is>
          <t>LV power feeder</t>
        </is>
      </c>
      <c r="E1650" s="12" t="n">
        <v>480</v>
      </c>
      <c r="F1650" s="12" t="n">
        <v>15</v>
      </c>
      <c r="G1650" s="12" t="n">
        <v>21.2</v>
      </c>
      <c r="H1650" s="12" t="inlineStr">
        <is>
          <t>LNG 17: LNG e-house (13.8 kV / 480 V)</t>
        </is>
      </c>
      <c r="I1650" s="12" t="inlineStr">
        <is>
          <t>LV 600 V</t>
        </is>
      </c>
      <c r="J1650" s="12" t="inlineStr">
        <is>
          <t>6</t>
        </is>
      </c>
      <c r="K1650" s="12" t="n">
        <v>1</v>
      </c>
    </row>
    <row r="1651">
      <c r="A1651" s="12" t="inlineStr">
        <is>
          <t>M&amp;R SCADA antenna mast base (as drawn)</t>
        </is>
      </c>
      <c r="B1651" s="12" t="inlineStr"/>
      <c r="C1651" s="12" t="inlineStr">
        <is>
          <t>K</t>
        </is>
      </c>
      <c r="D1651" s="12" t="inlineStr">
        <is>
          <t>LV power feeder</t>
        </is>
      </c>
      <c r="E1651" s="12" t="n">
        <v>480</v>
      </c>
      <c r="F1651" s="12" t="n">
        <v>15</v>
      </c>
      <c r="G1651" s="12" t="n">
        <v>21.2</v>
      </c>
      <c r="H1651" s="12" t="inlineStr">
        <is>
          <t>LNG 17: LNG e-house (13.8 kV / 480 V)</t>
        </is>
      </c>
      <c r="I1651" s="12" t="inlineStr">
        <is>
          <t>LV 600 V</t>
        </is>
      </c>
      <c r="J1651" s="12" t="inlineStr">
        <is>
          <t>8</t>
        </is>
      </c>
      <c r="K1651" s="12" t="n">
        <v>1</v>
      </c>
    </row>
    <row r="1652">
      <c r="A1652" s="12" t="inlineStr">
        <is>
          <t>H2 20: 13.8 kV e-house</t>
        </is>
      </c>
      <c r="B1652" s="12" t="inlineStr"/>
      <c r="C1652" s="12" t="inlineStr">
        <is>
          <t>K</t>
        </is>
      </c>
      <c r="D1652" s="12" t="inlineStr">
        <is>
          <t>H2 13.8 kV e-house (electrolyzers)</t>
        </is>
      </c>
      <c r="E1652" s="12" t="n">
        <v>13800</v>
      </c>
      <c r="F1652" s="12" t="n">
        <v>20000</v>
      </c>
      <c r="G1652" s="12" t="n">
        <v>837</v>
      </c>
      <c r="H1652" s="12" t="inlineStr">
        <is>
          <t>R1 SWGR-13.8-3 (11 x 36 in cubicles, 15 kV metal-clad)</t>
        </is>
      </c>
      <c r="I1652" s="12" t="inlineStr">
        <is>
          <t>MV 15 kV</t>
        </is>
      </c>
      <c r="J1652" s="12" t="inlineStr">
        <is>
          <t>750 kcmil</t>
        </is>
      </c>
      <c r="K1652" s="12" t="n">
        <v>2</v>
      </c>
    </row>
    <row r="1653">
      <c r="A1653" s="12" t="inlineStr">
        <is>
          <t>LNG 17: LNG e-house (13.8 kV / 480 V)</t>
        </is>
      </c>
      <c r="B1653" s="12" t="inlineStr"/>
      <c r="C1653" s="12" t="inlineStr">
        <is>
          <t>K</t>
        </is>
      </c>
      <c r="D1653" s="12" t="inlineStr">
        <is>
          <t>LNG e-house</t>
        </is>
      </c>
      <c r="E1653" s="12" t="n">
        <v>13800</v>
      </c>
      <c r="F1653" s="12" t="n">
        <v>5000</v>
      </c>
      <c r="G1653" s="12" t="n">
        <v>209</v>
      </c>
      <c r="H1653" s="12" t="inlineStr">
        <is>
          <t>R1 SWGR-13.8-3 (11 x 36 in cubicles, 15 kV metal-clad)</t>
        </is>
      </c>
      <c r="I1653" s="12" t="inlineStr">
        <is>
          <t>MV 15 kV</t>
        </is>
      </c>
      <c r="J1653" s="12" t="inlineStr">
        <is>
          <t>4/0</t>
        </is>
      </c>
      <c r="K1653" s="12" t="n">
        <v>1</v>
      </c>
    </row>
    <row r="1654">
      <c r="A1654" s="12" t="inlineStr">
        <is>
          <t>Small-bore piping: instrument air, service water, nitrogen, HRSG drain</t>
        </is>
      </c>
      <c r="B1654" s="12" t="inlineStr"/>
      <c r="C1654" s="12" t="inlineStr"/>
      <c r="D1654" s="12" t="inlineStr">
        <is>
          <t>Motor 1 of 2, 250 kW</t>
        </is>
      </c>
      <c r="E1654" s="12" t="n">
        <v>480</v>
      </c>
      <c r="F1654" s="12" t="n">
        <v>250</v>
      </c>
      <c r="G1654" s="12" t="n">
        <v>353.8</v>
      </c>
      <c r="H1654" s="12" t="inlineStr">
        <is>
          <t>R1 MCC-C1</t>
        </is>
      </c>
      <c r="I1654" s="12" t="inlineStr">
        <is>
          <t>LV 600 V</t>
        </is>
      </c>
      <c r="J1654" s="12" t="inlineStr">
        <is>
          <t>250 kcmil</t>
        </is>
      </c>
      <c r="K1654" s="12" t="n">
        <v>2</v>
      </c>
    </row>
    <row r="1655">
      <c r="A1655" s="12" t="inlineStr">
        <is>
          <t>Small-bore piping: instrument air, service water, nitrogen, HRSG drain</t>
        </is>
      </c>
      <c r="B1655" s="12" t="inlineStr"/>
      <c r="C1655" s="12" t="inlineStr"/>
      <c r="D1655" s="12" t="inlineStr">
        <is>
          <t>Motor 2 of 2, 250 kW</t>
        </is>
      </c>
      <c r="E1655" s="12" t="n">
        <v>480</v>
      </c>
      <c r="F1655" s="12" t="n">
        <v>250</v>
      </c>
      <c r="G1655" s="12" t="n">
        <v>353.8</v>
      </c>
      <c r="H1655" s="12" t="inlineStr">
        <is>
          <t>R1 MCC-C1</t>
        </is>
      </c>
      <c r="I1655" s="12" t="inlineStr">
        <is>
          <t>LV 600 V</t>
        </is>
      </c>
      <c r="J1655" s="12" t="inlineStr">
        <is>
          <t>250 kcmil</t>
        </is>
      </c>
      <c r="K1655" s="12"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2026-10-16T14:45:27Z</dcterms:created>
  <dcterms:modified xsi:type="dcterms:W3CDTF">2026-10-16T14:45:29Z</dcterms:modified>
</cp:coreProperties>
</file>